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ktur" sheetId="1" r:id="rId5"/>
    <sheet state="visible" name="Surat Jalan" sheetId="2" r:id="rId6"/>
    <sheet state="hidden" name="Faktur Masa (Print)" sheetId="3" r:id="rId7"/>
    <sheet state="hidden" name="FakturMasa_Soft" sheetId="4" r:id="rId8"/>
    <sheet state="hidden" name="Purchases Order" sheetId="5" r:id="rId9"/>
    <sheet state="hidden" name="Surat Jalan Lain" sheetId="6" r:id="rId10"/>
    <sheet state="hidden" name="Faktur Masa Custom Date" sheetId="7" r:id="rId11"/>
    <sheet state="hidden" name="draftFAKTUR MASA &amp; KWITANSI" sheetId="8" r:id="rId12"/>
    <sheet state="hidden" name="Tanda Terima (Connected Faktur)" sheetId="9" r:id="rId13"/>
    <sheet state="hidden" name="Tanda Terima (Connected Faktur " sheetId="10" r:id="rId14"/>
    <sheet state="hidden" name="database" sheetId="11" r:id="rId15"/>
    <sheet state="hidden" name="DB PERIODE" sheetId="12" r:id="rId16"/>
    <sheet state="hidden" name="Custom Tanda Terima" sheetId="13" r:id="rId17"/>
    <sheet state="hidden" name="TTBK" sheetId="14" r:id="rId18"/>
    <sheet state="hidden" name="Copy of Kwitansi" sheetId="15" r:id="rId19"/>
    <sheet state="hidden" name="Surat Jalan Filling" sheetId="16" r:id="rId20"/>
  </sheets>
  <definedNames>
    <definedName name="documentLog">database!$Q:$X</definedName>
    <definedName name="docNumDescOther">database!$AA$1:$AA$1956</definedName>
    <definedName name="customerDetails">database!$AC:$AI</definedName>
    <definedName name="Pelanggan_fakturperiode">#REF!</definedName>
    <definedName name="itemCategoryDetails">database!$BB:$BG</definedName>
    <definedName name="customInv">database!$AL$2:$AQ$2499</definedName>
    <definedName name="inventoryLog">database!$A:$O</definedName>
    <definedName name="docNumDescNormal">database!$Z$2:$Z$1956</definedName>
    <definedName name="concatDocNumber">database!$AL:$AL</definedName>
    <definedName hidden="1" localSheetId="11" name="_xlnm._FilterDatabase">'DB PERIODE'!$A$1:$Z$1501</definedName>
  </definedNames>
  <calcPr/>
</workbook>
</file>

<file path=xl/sharedStrings.xml><?xml version="1.0" encoding="utf-8"?>
<sst xmlns="http://schemas.openxmlformats.org/spreadsheetml/2006/main" count="383" uniqueCount="132">
  <si>
    <t>Kepada Yth :</t>
  </si>
  <si>
    <t>Jl. Parengan Kali 19, Parengan, Kraton, Kec. Krian, Kab. Sidoarjo, Jawa Timur
Telp    : 085655863676
Email  : atmakarsa.id@gmail.com</t>
  </si>
  <si>
    <t>FAKTUR PENJUALAN</t>
  </si>
  <si>
    <t>NPWP</t>
  </si>
  <si>
    <t>No. Faktur</t>
  </si>
  <si>
    <t>04261063117</t>
  </si>
  <si>
    <t>ID Pelanggan</t>
  </si>
  <si>
    <t>Tgl. Faktur</t>
  </si>
  <si>
    <t>No. PO</t>
  </si>
  <si>
    <t>Batas Pembayaran</t>
  </si>
  <si>
    <t>No</t>
  </si>
  <si>
    <t>Nama Barang</t>
  </si>
  <si>
    <t>Satuan</t>
  </si>
  <si>
    <t>Kuantitas</t>
  </si>
  <si>
    <t>Harga Satuan</t>
  </si>
  <si>
    <t>Jumlah</t>
  </si>
  <si>
    <t>Harga Jual</t>
  </si>
  <si>
    <t>Ongkos Kirim</t>
  </si>
  <si>
    <t>Potongan Harga</t>
  </si>
  <si>
    <t>Uang Muka Diterima</t>
  </si>
  <si>
    <t>Dasar Pengenaan Pajak</t>
  </si>
  <si>
    <t>PPN 11%</t>
  </si>
  <si>
    <t>Jumlah yang Harus Dibayarkan</t>
  </si>
  <si>
    <t>Catatan  :</t>
  </si>
  <si>
    <t>Wahyono</t>
  </si>
  <si>
    <t>Mohon sertakan nomor faktur pada berita/note.
Pembayaran sah apabila terdapat bukti transfer ke :</t>
  </si>
  <si>
    <t>BRI</t>
  </si>
  <si>
    <t>055301001926309 (Atma Karsa Gasindo)</t>
  </si>
  <si>
    <t>BNI</t>
  </si>
  <si>
    <t xml:space="preserve">1895607235 (Atma Karsa Gasindo)
</t>
  </si>
  <si>
    <t>BCA</t>
  </si>
  <si>
    <t>1841622478 (Rizki Kurniawan)</t>
  </si>
  <si>
    <t>Customer Service :</t>
  </si>
  <si>
    <t>WA   081333292028</t>
  </si>
  <si>
    <t>SURAT JALAN</t>
  </si>
  <si>
    <t>Nomor Dokumen</t>
  </si>
  <si>
    <t>Tanggal</t>
  </si>
  <si>
    <t>No. Polisi</t>
  </si>
  <si>
    <t>L 8314 JQ</t>
  </si>
  <si>
    <t>Driver</t>
  </si>
  <si>
    <t>Sugiyono</t>
  </si>
  <si>
    <t>Telp. Driver</t>
  </si>
  <si>
    <t>085850403150</t>
  </si>
  <si>
    <t>Alamat :</t>
  </si>
  <si>
    <t xml:space="preserve"> Nama Barang</t>
  </si>
  <si>
    <t>Catatan :</t>
  </si>
  <si>
    <t>Nomor PO :</t>
  </si>
  <si>
    <t>Diterima Oleh,</t>
  </si>
  <si>
    <t xml:space="preserve">  Pengangkut,</t>
  </si>
  <si>
    <t>Hormat Kami,</t>
  </si>
  <si>
    <t>_____________________</t>
  </si>
  <si>
    <t>Rizki Kurniawan</t>
  </si>
  <si>
    <t>PERATURAN PENYERAHAN GAS DAN PEMINJAMAN BOTOL</t>
  </si>
  <si>
    <t>1. Pelanggan wajib memeriksa botol pada waktu menerima dan pada waktu mengembalikan botol kosong bersama petugas pengiriman.
2. Botol berisi yang sudah diterima baik, tidak dapat dikembalikan/diklaim mengenai tekanan/isinya, kecuali memang terdapat kebocoran botol dan lain lain oleh pihak PT Atma Karsa Gasindo.
3. Selama dalam waktu peminjaman, untuk setiap (1) kali periode pengisian, botol harus dikembalikan selambat-lambatnya 60 (enam puluh) hari sejak tanggal penyerahan, dan pihak PT Atma Karsa Gasindo akan mengirimkan surat konfirmasi pinjaman tabung lama 30 (tiga puluh) hari sebelum kadaluarsa. Keterlambatan pengembalian botol, baik untuk setiap periode pengisian maupun pada saat jangka waktu peminjaman telah berakhir, Pelanggan akan dikenakan tambahan biaya sewa dengan tarif botol/hari sebagai berikut :</t>
  </si>
  <si>
    <t>4. Pelanggan tidak diperkenankan memodifikasi isi dan tampilan botol; memperjual belikan kembali botol; dipinjamkan dan dipindah-tangankan hak milik kepada pihak lain.
5. Pelanggan bertanggung jawab terhadap botol yang diterimanya/dipinjamnya. Pihak PT Atma Karsa Gasindo akan memberi surat peringatan apabila botol terindikasi hilang untuk memberi batas waktu pencarian kepada pelanggan. Apabila dalam waktu 3 (tiga) bulan sejak tanggal penyerahan belum dikembalikan, maka botol dinyatakan hilang dan pelanggan wajib membayar ganti rugi tunai sebesar :</t>
  </si>
  <si>
    <t>LPG | 50 Kg</t>
  </si>
  <si>
    <t>O2/N2/CO2/Ar | 7m3</t>
  </si>
  <si>
    <t>O2/N2/CO2/Ar | 6m3</t>
  </si>
  <si>
    <t>LPG | 12 Kg</t>
  </si>
  <si>
    <t>Acetylene</t>
  </si>
  <si>
    <t>Kran Botol</t>
  </si>
  <si>
    <t>Dibuat pada tanggal 1 November 2024 dan dapat berubah sewaktu-waktu.</t>
  </si>
  <si>
    <r>
      <rPr>
        <rFont val="Roboto"/>
        <b/>
        <i/>
        <color theme="1"/>
        <sz val="11.0"/>
      </rPr>
      <t xml:space="preserve">PUTIH </t>
    </r>
    <r>
      <rPr>
        <rFont val="Roboto"/>
        <i/>
        <color theme="1"/>
        <sz val="11.0"/>
      </rPr>
      <t xml:space="preserve">(FINANCE-AKG/LUNAS)    </t>
    </r>
    <r>
      <rPr>
        <rFont val="Roboto"/>
        <b/>
        <i/>
        <color theme="1"/>
        <sz val="11.0"/>
      </rPr>
      <t xml:space="preserve">MERAH </t>
    </r>
    <r>
      <rPr>
        <rFont val="Roboto"/>
        <i/>
        <color theme="1"/>
        <sz val="11.0"/>
      </rPr>
      <t xml:space="preserve">(ADM-AKG)    </t>
    </r>
    <r>
      <rPr>
        <rFont val="Roboto"/>
        <b/>
        <i/>
        <color theme="1"/>
        <sz val="11.0"/>
      </rPr>
      <t xml:space="preserve">KUNING </t>
    </r>
    <r>
      <rPr>
        <rFont val="Roboto"/>
        <i/>
        <color theme="1"/>
        <sz val="11.0"/>
      </rPr>
      <t xml:space="preserve">(RELASI)    </t>
    </r>
    <r>
      <rPr>
        <rFont val="Roboto"/>
        <b/>
        <i/>
        <color theme="1"/>
        <sz val="11.0"/>
      </rPr>
      <t xml:space="preserve">HIJAU </t>
    </r>
    <r>
      <rPr>
        <rFont val="Roboto"/>
        <i/>
        <color theme="1"/>
        <sz val="11.0"/>
      </rPr>
      <t>(OPT)</t>
    </r>
  </si>
  <si>
    <t>2260314</t>
  </si>
  <si>
    <t>Referensi :</t>
  </si>
  <si>
    <t>PURCHASE ORDER</t>
  </si>
  <si>
    <t>Nomor</t>
  </si>
  <si>
    <t>Tanggal Kirim</t>
  </si>
  <si>
    <t>Kepada :</t>
  </si>
  <si>
    <t>PIC PO :</t>
  </si>
  <si>
    <t>Tujuan :</t>
  </si>
  <si>
    <t>Mohon Dikirimkan Ke :</t>
  </si>
  <si>
    <t>TOP :</t>
  </si>
  <si>
    <t>Surat Jalan</t>
  </si>
  <si>
    <t>4042612928</t>
  </si>
  <si>
    <t xml:space="preserve">Catatan : </t>
  </si>
  <si>
    <t>2250042</t>
  </si>
  <si>
    <t>2250033</t>
  </si>
  <si>
    <r>
      <rPr>
        <rFont val="Roboto"/>
        <b/>
        <color theme="1"/>
        <sz val="11.0"/>
      </rPr>
      <t xml:space="preserve">BNI  </t>
    </r>
    <r>
      <rPr>
        <rFont val="Roboto"/>
        <b/>
        <i/>
        <color theme="1"/>
        <sz val="11.0"/>
      </rPr>
      <t>1895607235 (Atma Karsa Gasindo)</t>
    </r>
  </si>
  <si>
    <r>
      <rPr>
        <rFont val="Roboto"/>
        <b/>
        <color theme="1"/>
        <sz val="11.0"/>
      </rPr>
      <t xml:space="preserve">BCA </t>
    </r>
    <r>
      <rPr>
        <rFont val="Roboto"/>
        <b/>
        <i/>
        <color theme="1"/>
        <sz val="11.0"/>
      </rPr>
      <t>1841622478 (Rizki Kurniawan)</t>
    </r>
  </si>
  <si>
    <t>Tanda Terima</t>
  </si>
  <si>
    <t>Jl. Parengan Kali 19, Parengan, Kraton, Kec. Krian, Kab. Sidoarjo, Jawa Timur
Telp    : 085655863676
Email  : atmakarsa.id@gmail.com</t>
  </si>
  <si>
    <t>Tanggal :</t>
  </si>
  <si>
    <t>Telah terima</t>
  </si>
  <si>
    <t>:</t>
  </si>
  <si>
    <t>Dari/Untuk</t>
  </si>
  <si>
    <t>Yang menyerahkan,</t>
  </si>
  <si>
    <t>Penerima,</t>
  </si>
  <si>
    <t>KWITANSI</t>
  </si>
  <si>
    <t>Telah terima dari</t>
  </si>
  <si>
    <t>Uang sejumlah</t>
  </si>
  <si>
    <t>Untuk pembayaran</t>
  </si>
  <si>
    <t>docNumDescNormal</t>
  </si>
  <si>
    <t>docNumDescOther</t>
  </si>
  <si>
    <t>Nofak-Periode</t>
  </si>
  <si>
    <r>
      <rPr>
        <rFont val="Roboto"/>
        <color rgb="FF000000"/>
      </rPr>
      <t xml:space="preserve">Keterangan : Penariksan Tabung </t>
    </r>
    <r>
      <rPr>
        <rFont val="Roboto"/>
        <b/>
        <color rgb="FF000000"/>
      </rPr>
      <t>Oksigen 6m3</t>
    </r>
    <r>
      <rPr>
        <rFont val="Roboto"/>
        <color rgb="FF000000"/>
      </rPr>
      <t xml:space="preserve"> Dengan Nomor Tabung : </t>
    </r>
    <r>
      <rPr>
        <rFont val="Roboto"/>
        <b/>
        <color rgb="FF000000"/>
      </rPr>
      <t>11230 11220 11224</t>
    </r>
  </si>
  <si>
    <r>
      <rPr>
        <rFont val="Roboto"/>
        <b/>
        <color rgb="FF000000"/>
      </rPr>
      <t>Argon 6m3</t>
    </r>
    <r>
      <rPr>
        <rFont val="Roboto"/>
        <color rgb="FF000000"/>
      </rPr>
      <t xml:space="preserve"> : </t>
    </r>
    <r>
      <rPr>
        <rFont val="Roboto"/>
        <b/>
        <color rgb="FF000000"/>
      </rPr>
      <t>12049</t>
    </r>
  </si>
  <si>
    <t>PT. Citra Bintang Karya</t>
  </si>
  <si>
    <t>TTBK</t>
  </si>
  <si>
    <t>Tanda Terima Botol Kosong</t>
  </si>
  <si>
    <t>Nomor :</t>
  </si>
  <si>
    <t>Kepada Relasi/Pelanggan :</t>
  </si>
  <si>
    <t>Dengan hormat, bersama ini kami menugaskan :</t>
  </si>
  <si>
    <t>Pengemudi</t>
  </si>
  <si>
    <t>Untuk mengambil botol kosong dengan rincian :</t>
  </si>
  <si>
    <t>Keterangan</t>
  </si>
  <si>
    <t>Daftar nomor botol kosong yang telah dikembalikan</t>
  </si>
  <si>
    <r>
      <rPr>
        <rFont val="Roboto"/>
        <b/>
        <color theme="1"/>
        <sz val="17.0"/>
      </rPr>
      <t xml:space="preserve">Perhatian !
</t>
    </r>
    <r>
      <rPr>
        <rFont val="Roboto"/>
        <color theme="1"/>
        <sz val="17.0"/>
      </rPr>
      <t>1. Relasi/Pelanggan dimohon melakukan pengecekan terhadap jumlah, jenis, dan nomor tabung bersama dengan pihak PT Atma Karsa Gasindo.
2. Relasi/Pelanggan menyetujui bahwa TTBK sesuai dengan kondisi sebenarnya dan dapat digunakan sebagai bukti mengenai jumlah botol yang dipinjam dan dikembalikan.</t>
    </r>
  </si>
  <si>
    <t>Yang Menyerahkan,</t>
  </si>
  <si>
    <t>Yang Menerima,</t>
  </si>
  <si>
    <t>_____________________________________</t>
  </si>
  <si>
    <t>Jl. Parengan Kali 19, Parengan, Kraton, Kec. Krian, Kab. Sidoarjo</t>
  </si>
  <si>
    <t>Didik Nurharianto</t>
  </si>
  <si>
    <t>1 (Satu) Unit L300 all paper</t>
  </si>
  <si>
    <t>Sidoarjo,</t>
  </si>
  <si>
    <t>No :</t>
  </si>
  <si>
    <t xml:space="preserve">Kepada </t>
  </si>
  <si>
    <t>Nominal</t>
  </si>
  <si>
    <t>NOTA</t>
  </si>
  <si>
    <t>TANGGAL NOTA</t>
  </si>
  <si>
    <t>TANGGAL JATUH TEMPO</t>
  </si>
  <si>
    <t>NO FAKTUR PJK</t>
  </si>
  <si>
    <t>NOMINAL</t>
  </si>
  <si>
    <t>010.010-24.50758366</t>
  </si>
  <si>
    <t>Total    :</t>
  </si>
  <si>
    <t>Pengembalian Botol / Equipment MR</t>
  </si>
  <si>
    <t>7-07250140</t>
  </si>
  <si>
    <t>Botol rusak, tidak dapat diisi</t>
  </si>
  <si>
    <t>Pengangkut,</t>
  </si>
  <si>
    <t>SUGIYONO</t>
  </si>
  <si>
    <t>RIZKI KURNIAWAN</t>
  </si>
  <si>
    <r>
      <rPr>
        <rFont val="Roboto"/>
        <b/>
        <color rgb="FF000000"/>
        <sz val="11.0"/>
      </rPr>
      <t xml:space="preserve">Perhatian !
</t>
    </r>
    <r>
      <rPr>
        <rFont val="Roboto"/>
        <color rgb="FF000000"/>
        <sz val="11.0"/>
      </rPr>
      <t xml:space="preserve">1. Mitra/Relasi/Pelanggan dimohon melakukan pengecekan terhadap jumlah, jenis, dan nomor tabung bersama dengan pihak PT Atma Karsa Gasindo.
2. Mitra/Relasi/Pelanggan menyetujui bahwa </t>
    </r>
    <r>
      <rPr>
        <rFont val="Roboto"/>
        <b/>
        <color rgb="FF000000"/>
        <sz val="11.0"/>
      </rPr>
      <t>Surat Jalan dan TTBK</t>
    </r>
    <r>
      <rPr>
        <rFont val="Roboto"/>
        <color rgb="FF000000"/>
        <sz val="11.0"/>
      </rPr>
      <t xml:space="preserve"> sesuai dengan kondisi sebenarnya dan dapat digunakan sebagai bukti mengenai jumlah botol yang dipinjam dan dikembalikan.</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</si>
</sst>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_-[$Rp-421]* #,##0.00_-;_-[$Rp-421]* \-#,##0.00_-;_-[$Rp-421]* &quot;-&quot;??_-;_-@"/>
    <numFmt numFmtId="166" formatCode="_-[$Rp-421]* #,##0.00_-;_-[$-421]* ;_-[$-421]* &quot;&quot;??_-;_-@"/>
    <numFmt numFmtId="167" formatCode="d/m/yyyy"/>
    <numFmt numFmtId="168" formatCode="M/d/yyyy H:mm:ss"/>
    <numFmt numFmtId="169" formatCode="m/d/yyyy h:mm:ss"/>
    <numFmt numFmtId="170" formatCode="[$Rp       ]#,##0.00"/>
    <numFmt numFmtId="171" formatCode="m/d/yyyy"/>
    <numFmt numFmtId="172" formatCode="mmm&quot;  &quot;yyyy"/>
    <numFmt numFmtId="173" formatCode="[$Rp]* #,##0.00"/>
    <numFmt numFmtId="174" formatCode="d mmmm yyyy"/>
  </numFmts>
  <fonts count="71">
    <font>
      <sz val="10.0"/>
      <color rgb="FF000000"/>
      <name val="Calibri"/>
      <scheme val="minor"/>
    </font>
    <font>
      <b/>
      <sz val="24.0"/>
      <color rgb="FFFFFFFF"/>
      <name val="Roboto"/>
    </font>
    <font>
      <color theme="1"/>
      <name val="Roboto"/>
    </font>
    <font>
      <sz val="12.0"/>
      <color theme="1"/>
      <name val="Roboto"/>
    </font>
    <font>
      <sz val="10.0"/>
      <color rgb="FF000000"/>
      <name val="Roboto"/>
    </font>
    <font>
      <b/>
      <sz val="13.0"/>
      <color theme="1"/>
      <name val="Roboto"/>
    </font>
    <font>
      <sz val="13.0"/>
      <color theme="1"/>
      <name val="Roboto"/>
    </font>
    <font>
      <b/>
      <sz val="12.0"/>
      <color theme="1"/>
      <name val="Roboto"/>
    </font>
    <font/>
    <font>
      <i/>
      <sz val="12.0"/>
      <color theme="1"/>
      <name val="Roboto"/>
    </font>
    <font>
      <color rgb="FF000000"/>
      <name val="Roboto"/>
    </font>
    <font>
      <sz val="11.0"/>
      <color theme="1"/>
      <name val="Roboto"/>
    </font>
    <font>
      <b/>
      <sz val="11.0"/>
      <color theme="1"/>
      <name val="Roboto"/>
    </font>
    <font>
      <b/>
      <sz val="10.0"/>
      <color theme="1"/>
      <name val="Roboto"/>
    </font>
    <font>
      <b/>
      <sz val="24.0"/>
      <color rgb="FF2ED06E"/>
      <name val="Roboto"/>
    </font>
    <font>
      <b/>
      <sz val="16.0"/>
      <color rgb="FF000000"/>
      <name val="Roboto"/>
    </font>
    <font>
      <sz val="23.0"/>
      <color theme="1"/>
      <name val="Libre Barcode 39"/>
    </font>
    <font>
      <b/>
      <sz val="13.0"/>
      <color rgb="FF000000"/>
      <name val="Roboto"/>
    </font>
    <font>
      <sz val="11.0"/>
      <color rgb="FF000000"/>
      <name val="Roboto"/>
    </font>
    <font>
      <b/>
      <sz val="12.0"/>
      <color rgb="FF000000"/>
      <name val="Roboto"/>
    </font>
    <font>
      <sz val="12.0"/>
      <color rgb="FF000000"/>
      <name val="Roboto"/>
    </font>
    <font>
      <sz val="12.0"/>
      <color theme="1"/>
      <name val="Arial"/>
    </font>
    <font>
      <sz val="13.0"/>
      <color theme="1"/>
      <name val="Arial"/>
    </font>
    <font>
      <sz val="10.0"/>
      <color theme="1"/>
      <name val="Roboto"/>
    </font>
    <font>
      <sz val="42.0"/>
      <color theme="1"/>
      <name val="Libre Barcode 39"/>
    </font>
    <font>
      <i/>
      <sz val="10.0"/>
      <color theme="1"/>
      <name val="Roboto"/>
    </font>
    <font>
      <i/>
      <sz val="11.0"/>
      <color theme="1"/>
      <name val="Roboto"/>
    </font>
    <font>
      <color theme="1"/>
      <name val="Calibri"/>
    </font>
    <font>
      <sz val="14.0"/>
      <color rgb="FFFFFFFF"/>
      <name val="Roboto"/>
    </font>
    <font>
      <sz val="14.0"/>
      <color theme="1"/>
      <name val="Calibri"/>
      <scheme val="minor"/>
    </font>
    <font>
      <b/>
      <sz val="18.0"/>
      <color theme="1"/>
      <name val="Calibri"/>
      <scheme val="minor"/>
    </font>
    <font>
      <color theme="1"/>
      <name val="Calibri"/>
      <scheme val="minor"/>
    </font>
    <font>
      <sz val="14.0"/>
      <color theme="1"/>
      <name val="Roboto"/>
    </font>
    <font>
      <b/>
      <i/>
      <sz val="14.0"/>
      <color rgb="FF000000"/>
      <name val="Roboto"/>
    </font>
    <font>
      <b/>
      <sz val="11.0"/>
      <color rgb="FFFFFFFF"/>
      <name val="Roboto"/>
    </font>
    <font>
      <sz val="11.0"/>
      <color rgb="FFFFFFFF"/>
      <name val="Roboto"/>
    </font>
    <font>
      <sz val="11.0"/>
      <color theme="1"/>
      <name val="Calibri"/>
      <scheme val="minor"/>
    </font>
    <font>
      <b/>
      <sz val="24.0"/>
      <color rgb="FF000000"/>
      <name val="Arial"/>
    </font>
    <font>
      <b/>
      <sz val="19.0"/>
      <color rgb="FF000000"/>
      <name val="Roboto"/>
    </font>
    <font>
      <color rgb="FFFFFFFF"/>
      <name val="Roboto"/>
    </font>
    <font>
      <b/>
      <color rgb="FF000000"/>
      <name val="Roboto"/>
    </font>
    <font>
      <b/>
      <sz val="10.0"/>
      <color rgb="FF000000"/>
      <name val="Arial"/>
    </font>
    <font>
      <sz val="9.0"/>
      <color rgb="FF000000"/>
      <name val="Roboto"/>
    </font>
    <font>
      <b/>
      <i/>
      <sz val="12.0"/>
      <color theme="1"/>
      <name val="Roboto"/>
    </font>
    <font>
      <b/>
      <i/>
      <sz val="15.0"/>
      <color theme="1"/>
      <name val="Roboto"/>
    </font>
    <font>
      <color rgb="FFFFFFFF"/>
      <name val="Calibri"/>
      <scheme val="minor"/>
    </font>
    <font>
      <b/>
      <sz val="19.0"/>
      <color theme="1"/>
      <name val="Roboto"/>
    </font>
    <font>
      <b/>
      <sz val="19.0"/>
      <color rgb="FF2ED06E"/>
      <name val="Roboto"/>
    </font>
    <font>
      <sz val="19.0"/>
      <color theme="1"/>
      <name val="Roboto"/>
    </font>
    <font>
      <b/>
      <sz val="27.0"/>
      <color theme="1"/>
      <name val="Roboto"/>
    </font>
    <font>
      <sz val="19.0"/>
      <color theme="1"/>
      <name val="Calibri"/>
      <scheme val="minor"/>
    </font>
    <font>
      <b/>
      <sz val="26.0"/>
      <color theme="1"/>
      <name val="Roboto"/>
    </font>
    <font>
      <sz val="17.0"/>
      <color rgb="FF000000"/>
      <name val="Roboto"/>
    </font>
    <font>
      <sz val="19.0"/>
      <color rgb="FF000000"/>
      <name val="&quot;Google Sans Mono&quot;"/>
    </font>
    <font>
      <sz val="17.0"/>
      <color theme="1"/>
      <name val="Roboto"/>
    </font>
    <font>
      <b/>
      <sz val="24.0"/>
      <color theme="1"/>
      <name val="Roboto"/>
    </font>
    <font>
      <b/>
      <sz val="20.0"/>
      <color theme="1"/>
      <name val="Roboto"/>
    </font>
    <font>
      <i/>
      <color theme="1"/>
      <name val="Roboto"/>
    </font>
    <font>
      <sz val="10.0"/>
      <color rgb="FF000000"/>
      <name val="&quot;Google Sans Mono&quot;"/>
    </font>
    <font>
      <b/>
      <color theme="1"/>
      <name val="Roboto"/>
    </font>
    <font>
      <b/>
      <sz val="24.0"/>
      <color rgb="FF2ED06E"/>
      <name val="Arial"/>
    </font>
    <font>
      <sz val="10.0"/>
      <color rgb="FF000000"/>
      <name val="Arial"/>
    </font>
    <font>
      <b/>
      <sz val="12.0"/>
      <color rgb="FF000000"/>
      <name val="Arial"/>
    </font>
    <font>
      <sz val="12.0"/>
      <color rgb="FF000000"/>
      <name val="Arial"/>
    </font>
    <font>
      <sz val="13.0"/>
      <color rgb="FF000000"/>
      <name val="Arial"/>
    </font>
    <font>
      <b/>
      <sz val="12.0"/>
      <color theme="1"/>
      <name val="Arial"/>
    </font>
    <font>
      <sz val="12.0"/>
      <color theme="1"/>
      <name val="Calibri"/>
      <scheme val="minor"/>
    </font>
    <font>
      <sz val="10.0"/>
      <color theme="1"/>
      <name val="Arial"/>
    </font>
    <font>
      <sz val="10.0"/>
      <color theme="1"/>
      <name val="Calibri"/>
      <scheme val="minor"/>
    </font>
    <font>
      <b/>
      <color theme="1"/>
      <name val="Calibri"/>
      <scheme val="minor"/>
    </font>
    <font>
      <i/>
      <sz val="8.0"/>
      <color theme="1"/>
      <name val="Calibri"/>
      <scheme val="minor"/>
    </font>
  </fonts>
  <fills count="3">
    <fill>
      <patternFill patternType="none"/>
    </fill>
    <fill>
      <patternFill patternType="lightGray"/>
    </fill>
    <fill>
      <patternFill patternType="solid">
        <fgColor rgb="FFFFFFFF"/>
        <bgColor rgb="FFFFFFFF"/>
      </patternFill>
    </fill>
  </fills>
  <borders count="39">
    <border/>
    <border>
      <bottom style="thin">
        <color rgb="FF000000"/>
      </bottom>
    </border>
    <border>
      <top/>
    </border>
    <border>
      <bottom/>
    </border>
    <border>
      <left/>
      <right/>
      <bottom style="thick">
        <color rgb="FFFFFFFF"/>
      </bottom>
    </border>
    <border>
      <left/>
      <bottom style="thick">
        <color rgb="FFFFFFFF"/>
      </bottom>
    </border>
    <border>
      <right/>
      <bottom style="thick">
        <color rgb="FFFFFFFF"/>
      </bottom>
    </border>
    <border>
      <left/>
      <right/>
      <top/>
      <bottom style="thick">
        <color rgb="FFFFFFFF"/>
      </bottom>
    </border>
    <border>
      <left/>
      <top/>
      <bottom style="thick">
        <color rgb="FFFFFFFF"/>
      </bottom>
    </border>
    <border>
      <right/>
      <top/>
      <bottom style="thick">
        <color rgb="FFFFFFFF"/>
      </bottom>
    </border>
    <border>
      <top style="thin">
        <color rgb="FF000000"/>
      </top>
    </border>
    <border>
      <right/>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bottom style="medium">
        <color rgb="FF000000"/>
      </bottom>
    </border>
    <border>
      <top/>
      <bottom/>
    </border>
    <border>
      <left style="thin">
        <color rgb="FF000000"/>
      </left>
      <right/>
      <top style="thin">
        <color rgb="FFFFFFFF"/>
      </top>
      <bottom style="thin">
        <color rgb="FF000000"/>
      </bottom>
    </border>
    <border>
      <left style="thin">
        <color rgb="FF000000"/>
      </left>
      <righ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359">
    <xf borderId="0" fillId="0" fontId="0" numFmtId="0" xfId="0" applyAlignment="1" applyFont="1">
      <alignment readingOrder="0" shrinkToFit="0" vertical="bottom" wrapText="0"/>
    </xf>
    <xf borderId="0" fillId="2" fontId="1" numFmtId="0" xfId="0" applyAlignment="1" applyFill="1" applyFont="1">
      <alignment vertical="center"/>
    </xf>
    <xf borderId="0" fillId="0" fontId="2" numFmtId="0" xfId="0" applyFont="1"/>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vertical="top" wrapText="1"/>
    </xf>
    <xf borderId="0" fillId="0" fontId="4" numFmtId="0" xfId="0" applyAlignment="1" applyFont="1">
      <alignment readingOrder="0" shrinkToFit="0" vertical="center" wrapText="1"/>
    </xf>
    <xf borderId="0" fillId="0" fontId="5" numFmtId="0" xfId="0" applyAlignment="1" applyFont="1">
      <alignment horizontal="center" readingOrder="0" vertical="center"/>
    </xf>
    <xf borderId="0" fillId="0" fontId="3" numFmtId="49" xfId="0" applyAlignment="1" applyFont="1" applyNumberFormat="1">
      <alignment horizontal="left" readingOrder="0"/>
    </xf>
    <xf borderId="0" fillId="0" fontId="6" numFmtId="49" xfId="0" applyAlignment="1" applyFont="1" applyNumberFormat="1">
      <alignment horizontal="left" readingOrder="0"/>
    </xf>
    <xf borderId="0" fillId="0" fontId="3" numFmtId="49" xfId="0" applyAlignment="1" applyFont="1" applyNumberFormat="1">
      <alignment readingOrder="0"/>
    </xf>
    <xf borderId="0" fillId="0" fontId="3" numFmtId="164" xfId="0" applyAlignment="1" applyFont="1" applyNumberFormat="1">
      <alignment horizontal="left" readingOrder="0"/>
    </xf>
    <xf borderId="0" fillId="0" fontId="7" numFmtId="49" xfId="0" applyAlignment="1" applyFont="1" applyNumberFormat="1">
      <alignment readingOrder="0"/>
    </xf>
    <xf borderId="0" fillId="0" fontId="3" numFmtId="0" xfId="0" applyAlignment="1" applyFont="1">
      <alignment readingOrder="0" shrinkToFit="0" wrapText="0"/>
    </xf>
    <xf borderId="0" fillId="0" fontId="3" numFmtId="0" xfId="0" applyFont="1"/>
    <xf borderId="1" fillId="0" fontId="7" numFmtId="0" xfId="0" applyAlignment="1" applyBorder="1" applyFont="1">
      <alignment horizontal="center" readingOrder="0" vertical="center"/>
    </xf>
    <xf borderId="1" fillId="0" fontId="8" numFmtId="0" xfId="0" applyBorder="1" applyFont="1"/>
    <xf borderId="0" fillId="0" fontId="3" numFmtId="0" xfId="0" applyAlignment="1" applyFont="1">
      <alignment horizontal="center" readingOrder="0"/>
    </xf>
    <xf borderId="0" fillId="0" fontId="7" numFmtId="0" xfId="0" applyAlignment="1" applyFont="1">
      <alignment horizontal="right" readingOrder="0"/>
    </xf>
    <xf borderId="0" fillId="0" fontId="3" numFmtId="165" xfId="0" applyAlignment="1" applyFont="1" applyNumberFormat="1">
      <alignment readingOrder="0"/>
    </xf>
    <xf borderId="0" fillId="0" fontId="3" numFmtId="166" xfId="0" applyFont="1" applyNumberFormat="1"/>
    <xf borderId="0" fillId="0" fontId="7" numFmtId="0" xfId="0" applyAlignment="1" applyFont="1">
      <alignment readingOrder="0"/>
    </xf>
    <xf borderId="0" fillId="0" fontId="3" numFmtId="166" xfId="0" applyAlignment="1" applyFont="1" applyNumberFormat="1">
      <alignment readingOrder="0"/>
    </xf>
    <xf borderId="0" fillId="0" fontId="3" numFmtId="0" xfId="0" applyAlignment="1" applyFont="1">
      <alignment horizontal="lef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166" xfId="0" applyAlignment="1" applyFont="1" applyNumberFormat="1">
      <alignment vertical="bottom"/>
    </xf>
    <xf borderId="0" fillId="0" fontId="9" numFmtId="0" xfId="0" applyAlignment="1" applyFont="1">
      <alignment horizontal="left" vertical="top"/>
    </xf>
    <xf borderId="0" fillId="0" fontId="3" numFmtId="9" xfId="0" applyAlignment="1" applyFont="1" applyNumberFormat="1">
      <alignment readingOrder="0"/>
    </xf>
    <xf borderId="0" fillId="0" fontId="3" numFmtId="165" xfId="0" applyFont="1" applyNumberFormat="1"/>
    <xf borderId="0" fillId="0" fontId="3" numFmtId="0" xfId="0" applyAlignment="1" applyFont="1">
      <alignment horizontal="center"/>
    </xf>
    <xf borderId="0" fillId="0" fontId="7" numFmtId="0" xfId="0" applyFont="1"/>
    <xf borderId="0" fillId="0" fontId="7" numFmtId="165" xfId="0" applyFont="1" applyNumberFormat="1"/>
    <xf borderId="0" fillId="0" fontId="7" numFmtId="0" xfId="0" applyAlignment="1" applyFont="1">
      <alignment readingOrder="0" vertical="top"/>
    </xf>
    <xf borderId="0" fillId="0" fontId="3" numFmtId="0" xfId="0" applyAlignment="1" applyFont="1">
      <alignment horizontal="center" readingOrder="0" vertical="bottom"/>
    </xf>
    <xf borderId="0" fillId="0" fontId="10" numFmtId="0" xfId="0" applyFont="1"/>
    <xf borderId="0" fillId="0" fontId="2" numFmtId="0" xfId="0" applyAlignment="1" applyFont="1">
      <alignment horizontal="center"/>
    </xf>
    <xf borderId="0" fillId="0" fontId="11" numFmtId="0" xfId="0" applyAlignment="1" applyFont="1">
      <alignment readingOrder="0" shrinkToFit="0" wrapText="0"/>
    </xf>
    <xf borderId="0" fillId="0" fontId="12" numFmtId="0" xfId="0" applyAlignment="1" applyFont="1">
      <alignment readingOrder="0"/>
    </xf>
    <xf borderId="0" fillId="0" fontId="12" numFmtId="0" xfId="0" applyAlignment="1" applyFont="1">
      <alignment horizontal="left" readingOrder="0"/>
    </xf>
    <xf borderId="0" fillId="0" fontId="7" numFmtId="0" xfId="0" applyAlignment="1" applyFont="1">
      <alignment horizontal="center" readingOrder="0" vertical="center"/>
    </xf>
    <xf borderId="0" fillId="0" fontId="11" numFmtId="0" xfId="0" applyFont="1"/>
    <xf borderId="0" fillId="0" fontId="13" numFmtId="0" xfId="0" applyAlignment="1" applyFont="1">
      <alignment horizontal="center" readingOrder="0" vertical="center"/>
    </xf>
    <xf borderId="0" fillId="0" fontId="14" numFmtId="0" xfId="0" applyAlignment="1" applyFont="1">
      <alignment vertical="center"/>
    </xf>
    <xf borderId="0" fillId="2" fontId="15" numFmtId="0" xfId="0" applyAlignment="1" applyFont="1">
      <alignment horizontal="left" readingOrder="0" vertical="center"/>
    </xf>
    <xf borderId="2" fillId="2" fontId="15" numFmtId="0" xfId="0" applyAlignment="1" applyBorder="1" applyFont="1">
      <alignment horizontal="left" readingOrder="0" vertical="bottom"/>
    </xf>
    <xf borderId="0" fillId="0" fontId="16" numFmtId="0" xfId="0" applyAlignment="1" applyFont="1">
      <alignment horizontal="center" shrinkToFit="0" vertical="center" wrapText="0"/>
    </xf>
    <xf borderId="3" fillId="0" fontId="8" numFmtId="0" xfId="0" applyBorder="1" applyFont="1"/>
    <xf borderId="0" fillId="0" fontId="4" numFmtId="0" xfId="0" applyFont="1"/>
    <xf borderId="0" fillId="0" fontId="17" numFmtId="0" xfId="0" applyAlignment="1" applyFont="1">
      <alignment vertical="bottom"/>
    </xf>
    <xf borderId="0" fillId="2" fontId="17" numFmtId="49" xfId="0" applyAlignment="1" applyFont="1" applyNumberFormat="1">
      <alignment readingOrder="0" vertical="bottom"/>
    </xf>
    <xf borderId="0" fillId="0" fontId="11" numFmtId="0" xfId="0" applyAlignment="1" applyFont="1">
      <alignment vertical="center"/>
    </xf>
    <xf borderId="0" fillId="0" fontId="11" numFmtId="164" xfId="0" applyAlignment="1" applyFont="1" applyNumberFormat="1">
      <alignment horizontal="left" vertical="center"/>
    </xf>
    <xf borderId="0" fillId="0" fontId="18" numFmtId="0" xfId="0" applyAlignment="1" applyFont="1">
      <alignment readingOrder="0" shrinkToFit="0" vertical="center" wrapText="1"/>
    </xf>
    <xf borderId="0" fillId="0" fontId="4" numFmtId="0" xfId="0" applyAlignment="1" applyFont="1">
      <alignment readingOrder="0"/>
    </xf>
    <xf borderId="0" fillId="0" fontId="18" numFmtId="0" xfId="0" applyAlignment="1" applyFont="1">
      <alignment readingOrder="0" vertical="center"/>
    </xf>
    <xf borderId="0" fillId="0" fontId="18" numFmtId="49" xfId="0" applyAlignment="1" applyFont="1" applyNumberFormat="1">
      <alignment readingOrder="0" vertical="center"/>
    </xf>
    <xf quotePrefix="1" borderId="0" fillId="0" fontId="18" numFmtId="0" xfId="0" applyAlignment="1" applyFont="1">
      <alignment readingOrder="0" vertical="center"/>
    </xf>
    <xf borderId="0" fillId="0" fontId="4" numFmtId="0" xfId="0" applyAlignment="1" applyFont="1">
      <alignment readingOrder="0" vertical="center"/>
    </xf>
    <xf borderId="1" fillId="0" fontId="19" numFmtId="0" xfId="0" applyAlignment="1" applyBorder="1" applyFont="1">
      <alignment horizontal="center" readingOrder="0" vertical="center"/>
    </xf>
    <xf borderId="0" fillId="0" fontId="20" numFmtId="0" xfId="0" applyAlignment="1" applyFont="1">
      <alignment horizontal="center" readingOrder="0" shrinkToFit="0" vertical="center" wrapText="1"/>
    </xf>
    <xf borderId="0" fillId="0" fontId="20" numFmtId="0" xfId="0" applyAlignment="1" applyFont="1">
      <alignment horizontal="center" readingOrder="0" vertical="center"/>
    </xf>
    <xf borderId="1" fillId="0" fontId="7" numFmtId="0" xfId="0" applyAlignment="1" applyBorder="1" applyFont="1">
      <alignment horizontal="center" readingOrder="0"/>
    </xf>
    <xf borderId="1" fillId="2" fontId="19" numFmtId="0" xfId="0" applyAlignment="1" applyBorder="1" applyFont="1">
      <alignment horizontal="center" readingOrder="0" vertical="center"/>
    </xf>
    <xf borderId="1" fillId="2" fontId="19" numFmtId="0" xfId="0" applyAlignment="1" applyBorder="1" applyFont="1">
      <alignment horizontal="center" vertical="center"/>
    </xf>
    <xf borderId="0" fillId="0" fontId="7" numFmtId="0" xfId="0" applyAlignment="1" applyFont="1">
      <alignment horizontal="center" readingOrder="0"/>
    </xf>
    <xf borderId="0" fillId="2" fontId="19" numFmtId="0" xfId="0" applyAlignment="1" applyFont="1">
      <alignment horizontal="center" readingOrder="0" vertical="center"/>
    </xf>
    <xf borderId="0" fillId="2" fontId="19" numFmtId="0" xfId="0" applyAlignment="1" applyFont="1">
      <alignment horizontal="center" vertical="center"/>
    </xf>
    <xf borderId="0" fillId="2" fontId="3" numFmtId="0" xfId="0" applyAlignment="1" applyFont="1">
      <alignment horizontal="center" shrinkToFit="0" vertical="center" wrapText="1"/>
    </xf>
    <xf borderId="4" fillId="2" fontId="3" numFmtId="0" xfId="0" applyAlignment="1" applyBorder="1" applyFont="1">
      <alignment readingOrder="0" shrinkToFit="0" vertical="center" wrapText="1"/>
    </xf>
    <xf borderId="5" fillId="2" fontId="21" numFmtId="0" xfId="0" applyAlignment="1" applyBorder="1" applyFont="1">
      <alignment horizontal="left" readingOrder="0" shrinkToFit="0" vertical="top" wrapText="1"/>
    </xf>
    <xf borderId="6" fillId="0" fontId="8" numFmtId="0" xfId="0" applyBorder="1" applyFont="1"/>
    <xf borderId="4" fillId="2" fontId="3" numFmtId="1" xfId="0" applyAlignment="1" applyBorder="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0" fillId="2" fontId="3" numFmtId="0" xfId="0" applyAlignment="1" applyFont="1">
      <alignment horizontal="center" readingOrder="0" shrinkToFit="0" vertical="center" wrapText="1"/>
    </xf>
    <xf borderId="7" fillId="2" fontId="3" numFmtId="0" xfId="0" applyAlignment="1" applyBorder="1" applyFont="1">
      <alignment readingOrder="0" shrinkToFit="0" vertical="center" wrapText="1"/>
    </xf>
    <xf borderId="5" fillId="2" fontId="22" numFmtId="0" xfId="0" applyAlignment="1" applyBorder="1" applyFont="1">
      <alignment horizontal="left" readingOrder="0" shrinkToFit="0" vertical="center" wrapText="1"/>
    </xf>
    <xf borderId="7" fillId="2" fontId="3" numFmtId="1" xfId="0" applyAlignment="1" applyBorder="1" applyFont="1" applyNumberFormat="1">
      <alignment horizontal="center" readingOrder="0" vertical="center"/>
    </xf>
    <xf borderId="7" fillId="2" fontId="3" numFmtId="0" xfId="0" applyAlignment="1" applyBorder="1" applyFont="1">
      <alignment shrinkToFit="0" vertical="center" wrapText="1"/>
    </xf>
    <xf borderId="5" fillId="2" fontId="21" numFmtId="0" xfId="0" applyAlignment="1" applyBorder="1" applyFont="1">
      <alignment horizontal="left" shrinkToFit="0" vertical="center" wrapText="1"/>
    </xf>
    <xf borderId="7" fillId="2" fontId="3" numFmtId="1" xfId="0" applyAlignment="1" applyBorder="1" applyFont="1" applyNumberFormat="1">
      <alignment horizontal="center" vertical="center"/>
    </xf>
    <xf borderId="8" fillId="2" fontId="21" numFmtId="0" xfId="0" applyAlignment="1" applyBorder="1" applyFont="1">
      <alignment horizontal="left" shrinkToFit="0" vertical="center" wrapText="1"/>
    </xf>
    <xf borderId="9" fillId="0" fontId="8" numFmtId="0" xfId="0" applyBorder="1" applyFont="1"/>
    <xf borderId="0" fillId="2" fontId="3" numFmtId="0" xfId="0" applyAlignment="1" applyFont="1">
      <alignment shrinkToFit="0" vertical="center" wrapText="1"/>
    </xf>
    <xf borderId="8" fillId="2" fontId="3" numFmtId="0" xfId="0" applyAlignment="1" applyBorder="1" applyFont="1">
      <alignment horizontal="left" shrinkToFit="0" vertical="center" wrapText="1"/>
    </xf>
    <xf borderId="7" fillId="2" fontId="3" numFmtId="1" xfId="0" applyAlignment="1" applyBorder="1" applyFont="1" applyNumberFormat="1">
      <alignment horizontal="left" readingOrder="0" shrinkToFit="0" vertical="center" wrapText="1"/>
    </xf>
    <xf borderId="0" fillId="2" fontId="7" numFmtId="0" xfId="0" applyAlignment="1" applyFont="1">
      <alignment readingOrder="0" shrinkToFit="0" vertical="center" wrapText="1"/>
    </xf>
    <xf borderId="0" fillId="2" fontId="5" numFmtId="1" xfId="0" applyAlignment="1" applyFont="1" applyNumberFormat="1">
      <alignment horizontal="left" readingOrder="0" shrinkToFit="0" vertical="top" wrapText="1"/>
    </xf>
    <xf borderId="0" fillId="0" fontId="11" numFmtId="0" xfId="0" applyAlignment="1" applyFont="1">
      <alignment horizontal="center" readingOrder="0" vertical="top"/>
    </xf>
    <xf borderId="0" fillId="0" fontId="11" numFmtId="0" xfId="0" applyAlignment="1" applyFont="1">
      <alignment horizontal="center" readingOrder="0"/>
    </xf>
    <xf borderId="0" fillId="0" fontId="11" numFmtId="49" xfId="0" applyAlignment="1" applyFont="1" applyNumberFormat="1">
      <alignment horizontal="center" readingOrder="0" vertical="top"/>
    </xf>
    <xf borderId="10" fillId="0" fontId="12" numFmtId="0" xfId="0" applyAlignment="1" applyBorder="1" applyFont="1">
      <alignment horizontal="center" readingOrder="0" vertical="center"/>
    </xf>
    <xf borderId="10" fillId="0" fontId="8" numFmtId="0" xfId="0" applyBorder="1" applyFont="1"/>
    <xf borderId="11" fillId="0" fontId="8" numFmtId="0" xfId="0" applyBorder="1" applyFont="1"/>
    <xf borderId="0" fillId="0" fontId="11" numFmtId="0" xfId="0" applyAlignment="1" applyFont="1">
      <alignment readingOrder="0" shrinkToFit="0" vertical="top" wrapText="1"/>
    </xf>
    <xf borderId="0" fillId="0" fontId="11" numFmtId="165" xfId="0" applyAlignment="1" applyFont="1" applyNumberFormat="1">
      <alignment readingOrder="0" shrinkToFit="0" vertical="top" wrapText="1"/>
    </xf>
    <xf borderId="0" fillId="0" fontId="23" numFmtId="0" xfId="0" applyAlignment="1" applyFont="1">
      <alignment readingOrder="0" shrinkToFit="0" vertical="top" wrapText="1"/>
    </xf>
    <xf borderId="0" fillId="0" fontId="23" numFmtId="165" xfId="0" applyAlignment="1" applyFont="1" applyNumberFormat="1">
      <alignment horizontal="center" readingOrder="0" shrinkToFit="0" vertical="top" wrapText="1"/>
    </xf>
    <xf borderId="0" fillId="0" fontId="24" numFmtId="0" xfId="0" applyAlignment="1" applyFont="1">
      <alignment horizontal="right" vertical="bottom"/>
    </xf>
    <xf borderId="0" fillId="0" fontId="25" numFmtId="0" xfId="0" applyAlignment="1" applyFont="1">
      <alignment readingOrder="0" shrinkToFit="0" vertical="bottom" wrapText="1"/>
    </xf>
    <xf borderId="0" fillId="0" fontId="26" numFmtId="0" xfId="0" applyAlignment="1" applyFont="1">
      <alignment horizontal="right" readingOrder="0" shrinkToFit="0" vertical="bottom" wrapText="1"/>
    </xf>
    <xf borderId="0" fillId="0" fontId="20" numFmtId="164" xfId="0" applyAlignment="1" applyFont="1" applyNumberFormat="1">
      <alignment horizontal="left" readingOrder="0"/>
    </xf>
    <xf borderId="0" fillId="0" fontId="3" numFmtId="49" xfId="0" applyAlignment="1" applyFont="1" applyNumberFormat="1">
      <alignment readingOrder="0" shrinkToFit="0" wrapText="0"/>
    </xf>
    <xf borderId="0" fillId="0" fontId="7"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11" numFmtId="0" xfId="0" applyAlignment="1" applyFont="1">
      <alignment vertical="bottom"/>
    </xf>
    <xf borderId="0" fillId="0" fontId="27" numFmtId="0" xfId="0" applyAlignment="1" applyFont="1">
      <alignment vertical="bottom"/>
    </xf>
    <xf borderId="0" fillId="0" fontId="27" numFmtId="0" xfId="0" applyAlignment="1" applyFont="1">
      <alignment vertical="bottom"/>
    </xf>
    <xf borderId="0" fillId="0" fontId="12" numFmtId="0" xfId="0" applyAlignment="1" applyFont="1">
      <alignment vertical="bottom"/>
    </xf>
    <xf borderId="0" fillId="0" fontId="27" numFmtId="0" xfId="0" applyFont="1"/>
    <xf borderId="0" fillId="2" fontId="28" numFmtId="0" xfId="0" applyAlignment="1" applyFont="1">
      <alignment vertical="center"/>
    </xf>
    <xf borderId="0" fillId="0" fontId="29" numFmtId="0" xfId="0" applyFont="1"/>
    <xf borderId="0" fillId="0" fontId="30" numFmtId="0" xfId="0" applyAlignment="1" applyFont="1">
      <alignment readingOrder="0"/>
    </xf>
    <xf borderId="0" fillId="0" fontId="29" numFmtId="0" xfId="0" applyAlignment="1" applyFont="1">
      <alignment readingOrder="0"/>
    </xf>
    <xf borderId="0" fillId="0" fontId="20" numFmtId="0" xfId="0" applyAlignment="1" applyFont="1">
      <alignment readingOrder="0" shrinkToFit="0" vertical="center" wrapText="1"/>
    </xf>
    <xf borderId="0" fillId="0" fontId="29" numFmtId="0" xfId="0" applyAlignment="1" applyFont="1">
      <alignment readingOrder="0" vertical="center"/>
    </xf>
    <xf borderId="12" fillId="0" fontId="29" numFmtId="0" xfId="0" applyAlignment="1" applyBorder="1" applyFont="1">
      <alignment readingOrder="0" vertical="center"/>
    </xf>
    <xf borderId="12" fillId="0" fontId="8" numFmtId="0" xfId="0" applyBorder="1" applyFont="1"/>
    <xf borderId="12" fillId="0" fontId="29" numFmtId="0" xfId="0" applyAlignment="1" applyBorder="1" applyFont="1">
      <alignment vertical="center"/>
    </xf>
    <xf borderId="12" fillId="0" fontId="31" numFmtId="0" xfId="0" applyBorder="1" applyFont="1"/>
    <xf borderId="0" fillId="0" fontId="32" numFmtId="0" xfId="0" applyAlignment="1" applyFont="1">
      <alignment horizontal="center" readingOrder="0" vertical="center"/>
    </xf>
    <xf borderId="1" fillId="0" fontId="32" numFmtId="0" xfId="0" applyAlignment="1" applyBorder="1" applyFont="1">
      <alignment horizontal="center" readingOrder="0" vertical="center"/>
    </xf>
    <xf borderId="0" fillId="0" fontId="32" numFmtId="0" xfId="0" applyAlignment="1" applyFont="1">
      <alignment horizontal="center" readingOrder="0"/>
    </xf>
    <xf borderId="0" fillId="0" fontId="32" numFmtId="0" xfId="0" applyAlignment="1" applyFont="1">
      <alignment readingOrder="0" shrinkToFit="0" wrapText="0"/>
    </xf>
    <xf borderId="0" fillId="0" fontId="32" numFmtId="0" xfId="0" applyAlignment="1" applyFont="1">
      <alignment horizontal="right" readingOrder="0"/>
    </xf>
    <xf borderId="0" fillId="0" fontId="32" numFmtId="165" xfId="0" applyAlignment="1" applyFont="1" applyNumberFormat="1">
      <alignment readingOrder="0"/>
    </xf>
    <xf borderId="0" fillId="0" fontId="32" numFmtId="166" xfId="0" applyFont="1" applyNumberFormat="1"/>
    <xf borderId="0" fillId="0" fontId="29" numFmtId="0" xfId="0" applyAlignment="1" applyFont="1">
      <alignment readingOrder="0"/>
    </xf>
    <xf borderId="2" fillId="2" fontId="33" numFmtId="0" xfId="0" applyAlignment="1" applyBorder="1" applyFont="1">
      <alignment horizontal="left" readingOrder="0" vertical="bottom"/>
    </xf>
    <xf borderId="7" fillId="2" fontId="3" numFmtId="1" xfId="0" applyAlignment="1" applyBorder="1" applyFont="1" applyNumberFormat="1">
      <alignment horizontal="center" readingOrder="0" shrinkToFit="0" vertical="center" wrapText="1"/>
    </xf>
    <xf borderId="0" fillId="2" fontId="7" numFmtId="1" xfId="0" applyAlignment="1" applyFont="1" applyNumberFormat="1">
      <alignment horizontal="left" readingOrder="0" shrinkToFit="0" vertical="center" wrapText="1"/>
    </xf>
    <xf borderId="0" fillId="0" fontId="2" numFmtId="49" xfId="0" applyAlignment="1" applyFont="1" applyNumberFormat="1">
      <alignment readingOrder="0"/>
    </xf>
    <xf borderId="0" fillId="0" fontId="2" numFmtId="49" xfId="0" applyFont="1" applyNumberFormat="1"/>
    <xf borderId="0" fillId="2" fontId="34" numFmtId="0" xfId="0" applyAlignment="1" applyFont="1">
      <alignment vertical="center"/>
    </xf>
    <xf borderId="0" fillId="0" fontId="11" numFmtId="0" xfId="0" applyAlignment="1" applyFont="1">
      <alignment readingOrder="0"/>
    </xf>
    <xf borderId="0" fillId="0" fontId="11" numFmtId="0" xfId="0" applyAlignment="1" applyFont="1">
      <alignment readingOrder="0" shrinkToFit="0" wrapText="1"/>
    </xf>
    <xf borderId="0" fillId="0" fontId="12" numFmtId="0" xfId="0" applyAlignment="1" applyFont="1">
      <alignment horizontal="center" readingOrder="0" vertical="center"/>
    </xf>
    <xf borderId="0" fillId="0" fontId="11" numFmtId="49" xfId="0" applyAlignment="1" applyFont="1" applyNumberFormat="1">
      <alignment horizontal="left" readingOrder="0"/>
    </xf>
    <xf borderId="0" fillId="0" fontId="11" numFmtId="49" xfId="0" applyAlignment="1" applyFont="1" applyNumberFormat="1">
      <alignment readingOrder="0"/>
    </xf>
    <xf borderId="0" fillId="0" fontId="11" numFmtId="164" xfId="0" applyAlignment="1" applyFont="1" applyNumberFormat="1">
      <alignment horizontal="left" readingOrder="0"/>
    </xf>
    <xf borderId="0" fillId="0" fontId="12" numFmtId="49" xfId="0" applyAlignment="1" applyFont="1" applyNumberFormat="1">
      <alignment readingOrder="0"/>
    </xf>
    <xf borderId="0" fillId="0" fontId="35" numFmtId="164" xfId="0" applyAlignment="1" applyFont="1" applyNumberFormat="1">
      <alignment horizontal="left" readingOrder="0"/>
    </xf>
    <xf borderId="1" fillId="0" fontId="12" numFmtId="0" xfId="0" applyAlignment="1" applyBorder="1" applyFont="1">
      <alignment horizontal="center" readingOrder="0" vertical="center"/>
    </xf>
    <xf borderId="0" fillId="0" fontId="11" numFmtId="49" xfId="0" applyAlignment="1" applyFont="1" applyNumberFormat="1">
      <alignment readingOrder="0" shrinkToFit="0" wrapText="0"/>
    </xf>
    <xf borderId="0" fillId="0" fontId="12" numFmtId="0" xfId="0" applyAlignment="1" applyFont="1">
      <alignment horizontal="right" readingOrder="0"/>
    </xf>
    <xf borderId="0" fillId="0" fontId="11" numFmtId="165" xfId="0" applyAlignment="1" applyFont="1" applyNumberFormat="1">
      <alignment readingOrder="0"/>
    </xf>
    <xf borderId="0" fillId="0" fontId="11" numFmtId="166" xfId="0" applyFont="1" applyNumberFormat="1"/>
    <xf borderId="0" fillId="0" fontId="36" numFmtId="0" xfId="0" applyFont="1"/>
    <xf borderId="0" fillId="0" fontId="11" numFmtId="0" xfId="0" applyAlignment="1" applyFont="1">
      <alignment horizontal="left" readingOrder="0" vertical="bottom"/>
    </xf>
    <xf borderId="0" fillId="0" fontId="11" numFmtId="0" xfId="0" applyAlignment="1" applyFont="1">
      <alignment readingOrder="0" vertical="bottom"/>
    </xf>
    <xf borderId="0" fillId="0" fontId="11" numFmtId="166" xfId="0" applyAlignment="1" applyFont="1" applyNumberFormat="1">
      <alignment vertical="bottom"/>
    </xf>
    <xf borderId="0" fillId="0" fontId="12" numFmtId="0" xfId="0" applyAlignment="1" applyFont="1">
      <alignment readingOrder="0" shrinkToFit="0" vertical="top" wrapText="1"/>
    </xf>
    <xf borderId="0" fillId="0" fontId="11" numFmtId="9" xfId="0" applyAlignment="1" applyFont="1" applyNumberFormat="1">
      <alignment readingOrder="0"/>
    </xf>
    <xf borderId="0" fillId="0" fontId="11" numFmtId="165" xfId="0" applyFont="1" applyNumberFormat="1"/>
    <xf borderId="0" fillId="0" fontId="11" numFmtId="49" xfId="0" applyAlignment="1" applyFont="1" applyNumberFormat="1">
      <alignment readingOrder="0" shrinkToFit="0" vertical="top" wrapText="1"/>
    </xf>
    <xf borderId="0" fillId="0" fontId="12" numFmtId="0" xfId="0" applyFont="1"/>
    <xf borderId="0" fillId="0" fontId="12" numFmtId="165" xfId="0" applyFont="1" applyNumberFormat="1"/>
    <xf borderId="13" fillId="0" fontId="11" numFmtId="0" xfId="0" applyAlignment="1" applyBorder="1" applyFont="1">
      <alignment horizontal="center"/>
    </xf>
    <xf borderId="10" fillId="0" fontId="36" numFmtId="0" xfId="0" applyBorder="1" applyFont="1"/>
    <xf borderId="14" fillId="0" fontId="11" numFmtId="0" xfId="0" applyBorder="1" applyFont="1"/>
    <xf borderId="13" fillId="0" fontId="11" numFmtId="0" xfId="0" applyAlignment="1" applyBorder="1" applyFont="1">
      <alignment horizontal="center" readingOrder="0"/>
    </xf>
    <xf borderId="14" fillId="0" fontId="8" numFmtId="0" xfId="0" applyBorder="1" applyFont="1"/>
    <xf borderId="15" fillId="0" fontId="8" numFmtId="0" xfId="0" applyBorder="1" applyFont="1"/>
    <xf borderId="16" fillId="0" fontId="8" numFmtId="0" xfId="0" applyBorder="1" applyFont="1"/>
    <xf borderId="15" fillId="0" fontId="11" numFmtId="0" xfId="0" applyAlignment="1" applyBorder="1" applyFont="1">
      <alignment readingOrder="0" shrinkToFit="0" wrapText="0"/>
    </xf>
    <xf borderId="16" fillId="0" fontId="11" numFmtId="0" xfId="0" applyBorder="1" applyFont="1"/>
    <xf borderId="15" fillId="0" fontId="36" numFmtId="0" xfId="0" applyBorder="1" applyFont="1"/>
    <xf borderId="17" fillId="0" fontId="8" numFmtId="0" xfId="0" applyBorder="1" applyFont="1"/>
    <xf borderId="1" fillId="0" fontId="36" numFmtId="0" xfId="0" applyBorder="1" applyFont="1"/>
    <xf borderId="1" fillId="0" fontId="11" numFmtId="0" xfId="0" applyBorder="1" applyFont="1"/>
    <xf borderId="18" fillId="0" fontId="11" numFmtId="0" xfId="0" applyBorder="1" applyFont="1"/>
    <xf borderId="17" fillId="0" fontId="11" numFmtId="0" xfId="0" applyAlignment="1" applyBorder="1" applyFont="1">
      <alignment horizontal="center" readingOrder="0" vertical="bottom"/>
    </xf>
    <xf borderId="18" fillId="0" fontId="8" numFmtId="0" xfId="0" applyBorder="1" applyFont="1"/>
    <xf borderId="0" fillId="0" fontId="11" numFmtId="49" xfId="0" applyFont="1" applyNumberFormat="1"/>
    <xf borderId="0" fillId="0" fontId="18" numFmtId="0" xfId="0" applyFont="1"/>
    <xf borderId="0" fillId="0" fontId="37" numFmtId="0" xfId="0" applyAlignment="1" applyFont="1">
      <alignment vertical="center"/>
    </xf>
    <xf borderId="0" fillId="0" fontId="10" numFmtId="0" xfId="0" applyAlignment="1" applyFont="1">
      <alignment vertical="center"/>
    </xf>
    <xf borderId="0" fillId="0" fontId="2" numFmtId="0" xfId="0" applyAlignment="1" applyFont="1">
      <alignment vertical="center"/>
    </xf>
    <xf borderId="0" fillId="0" fontId="38" numFmtId="0" xfId="0" applyAlignment="1" applyFont="1">
      <alignment horizontal="center" readingOrder="0" vertical="center"/>
    </xf>
    <xf borderId="0" fillId="0" fontId="4" numFmtId="0" xfId="0" applyAlignment="1" applyFont="1">
      <alignment readingOrder="0" shrinkToFit="0" vertical="center" wrapText="1"/>
    </xf>
    <xf borderId="0" fillId="0" fontId="10" numFmtId="0" xfId="0" applyAlignment="1" applyFont="1">
      <alignment horizontal="right" readingOrder="0" vertical="center"/>
    </xf>
    <xf borderId="0" fillId="0" fontId="39" numFmtId="167" xfId="0" applyAlignment="1" applyFont="1" applyNumberFormat="1">
      <alignment horizontal="left" readingOrder="0" vertical="center"/>
    </xf>
    <xf borderId="0" fillId="0" fontId="40" numFmtId="0" xfId="0" applyAlignment="1" applyFont="1">
      <alignment readingOrder="0" vertical="center"/>
    </xf>
    <xf borderId="0" fillId="0" fontId="10" numFmtId="0" xfId="0" applyAlignment="1" applyFont="1">
      <alignment horizontal="center" readingOrder="0" vertical="center"/>
    </xf>
    <xf borderId="1" fillId="0" fontId="40" numFmtId="0" xfId="0" applyAlignment="1" applyBorder="1" applyFont="1">
      <alignment readingOrder="0" vertical="center"/>
    </xf>
    <xf borderId="1" fillId="0" fontId="10" numFmtId="0" xfId="0" applyAlignment="1" applyBorder="1" applyFont="1">
      <alignment vertical="center"/>
    </xf>
    <xf borderId="1" fillId="0" fontId="41" numFmtId="165" xfId="0" applyBorder="1" applyFont="1" applyNumberFormat="1"/>
    <xf borderId="0" fillId="0" fontId="10" numFmtId="0" xfId="0" applyAlignment="1" applyFont="1">
      <alignment horizontal="center" vertical="center"/>
    </xf>
    <xf borderId="1" fillId="0" fontId="10" numFmtId="49" xfId="0" applyAlignment="1" applyBorder="1" applyFont="1" applyNumberFormat="1">
      <alignment readingOrder="0" vertical="center"/>
    </xf>
    <xf borderId="0" fillId="0" fontId="2" numFmtId="0" xfId="0" applyAlignment="1" applyFont="1">
      <alignment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0" fillId="0" fontId="2" numFmtId="0" xfId="0" applyAlignment="1" applyFont="1">
      <alignment horizontal="center" readingOrder="0" vertical="center"/>
    </xf>
    <xf borderId="1" fillId="0" fontId="2" numFmtId="0" xfId="0" applyAlignment="1" applyBorder="1" applyFont="1">
      <alignment vertical="center"/>
    </xf>
    <xf borderId="1" fillId="0" fontId="2" numFmtId="0" xfId="0" applyAlignment="1" applyBorder="1" applyFont="1">
      <alignment horizontal="center" readingOrder="0" vertical="center"/>
    </xf>
    <xf borderId="1" fillId="0" fontId="10" numFmtId="49" xfId="0" applyAlignment="1" applyBorder="1" applyFont="1" applyNumberFormat="1">
      <alignment horizontal="left" readingOrder="0" vertical="center"/>
    </xf>
    <xf borderId="0" fillId="0" fontId="42" numFmtId="0" xfId="0" applyAlignment="1" applyFont="1">
      <alignment readingOrder="0" shrinkToFit="0" vertical="center" wrapText="1"/>
    </xf>
    <xf borderId="0" fillId="0" fontId="9" numFmtId="0" xfId="0" applyAlignment="1" applyFont="1">
      <alignment vertical="center"/>
    </xf>
    <xf borderId="0" fillId="0" fontId="3" numFmtId="0" xfId="0" applyAlignment="1" applyFont="1">
      <alignment vertical="center"/>
    </xf>
    <xf borderId="12" fillId="0" fontId="43" numFmtId="0" xfId="0" applyAlignment="1" applyBorder="1" applyFont="1">
      <alignment horizontal="center" shrinkToFit="0" vertical="center" wrapText="1"/>
    </xf>
    <xf borderId="12" fillId="0" fontId="8" numFmtId="0" xfId="0" applyBorder="1" applyFont="1"/>
    <xf borderId="0" fillId="0" fontId="9"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horizontal="center" vertical="center"/>
    </xf>
    <xf borderId="19" fillId="0" fontId="44" numFmtId="165" xfId="0" applyAlignment="1" applyBorder="1" applyFont="1" applyNumberFormat="1">
      <alignment vertical="center"/>
    </xf>
    <xf borderId="20" fillId="0" fontId="8" numFmtId="0" xfId="0" applyBorder="1" applyFont="1"/>
    <xf borderId="21" fillId="0" fontId="8" numFmtId="0" xfId="0" applyBorder="1" applyFont="1"/>
    <xf borderId="22" fillId="0" fontId="8" numFmtId="0" xfId="0" applyBorder="1" applyFont="1"/>
    <xf borderId="23" fillId="0" fontId="8" numFmtId="0" xfId="0" applyBorder="1" applyFont="1"/>
    <xf borderId="24" fillId="0" fontId="8" numFmtId="0" xfId="0" applyBorder="1" applyFont="1"/>
    <xf borderId="0" fillId="0" fontId="31" numFmtId="49" xfId="0" applyFont="1" applyNumberFormat="1"/>
    <xf borderId="0" fillId="0" fontId="31" numFmtId="0" xfId="0" applyFont="1"/>
    <xf borderId="0" fillId="0" fontId="31" numFmtId="0" xfId="0" applyAlignment="1" applyFont="1">
      <alignment readingOrder="0"/>
    </xf>
    <xf borderId="0" fillId="0" fontId="31" numFmtId="168" xfId="0" applyFont="1" applyNumberFormat="1"/>
    <xf borderId="0" fillId="0" fontId="31" numFmtId="1" xfId="0" applyFont="1" applyNumberFormat="1"/>
    <xf borderId="0" fillId="0" fontId="31" numFmtId="169" xfId="0" applyFont="1" applyNumberFormat="1"/>
    <xf borderId="0" fillId="0" fontId="31" numFmtId="170" xfId="0" applyFont="1" applyNumberFormat="1"/>
    <xf borderId="0" fillId="0" fontId="31" numFmtId="1" xfId="0" applyFont="1" applyNumberFormat="1"/>
    <xf borderId="0" fillId="0" fontId="31" numFmtId="171" xfId="0" applyFont="1" applyNumberFormat="1"/>
    <xf borderId="0" fillId="0" fontId="45" numFmtId="49" xfId="0" applyFont="1" applyNumberFormat="1"/>
    <xf borderId="0" fillId="0" fontId="45" numFmtId="168" xfId="0" applyFont="1" applyNumberFormat="1"/>
    <xf borderId="0" fillId="0" fontId="45" numFmtId="0" xfId="0" applyFont="1"/>
    <xf borderId="0" fillId="0" fontId="31" numFmtId="4" xfId="0" applyFont="1" applyNumberFormat="1"/>
    <xf borderId="0" fillId="0" fontId="31" numFmtId="172" xfId="0" applyFont="1" applyNumberFormat="1"/>
    <xf borderId="0" fillId="0" fontId="31" numFmtId="165" xfId="0" applyFont="1" applyNumberFormat="1"/>
    <xf borderId="0" fillId="0" fontId="31" numFmtId="173" xfId="0" applyFont="1" applyNumberFormat="1"/>
    <xf borderId="0" fillId="0" fontId="10" numFmtId="167" xfId="0" applyAlignment="1" applyFont="1" applyNumberFormat="1">
      <alignment horizontal="left" readingOrder="0" vertical="center"/>
    </xf>
    <xf borderId="1" fillId="0" fontId="10" numFmtId="0" xfId="0" applyAlignment="1" applyBorder="1" applyFont="1">
      <alignment horizontal="left" readingOrder="0" vertical="center"/>
    </xf>
    <xf borderId="0" fillId="0" fontId="46" numFmtId="0" xfId="0" applyAlignment="1" applyFont="1">
      <alignment horizontal="center" readingOrder="0" textRotation="90" vertical="center"/>
    </xf>
    <xf borderId="0" fillId="0" fontId="47" numFmtId="0" xfId="0" applyAlignment="1" applyFont="1">
      <alignment vertical="center"/>
    </xf>
    <xf borderId="0" fillId="0" fontId="48" numFmtId="0" xfId="0" applyFont="1"/>
    <xf borderId="0" fillId="0" fontId="46" numFmtId="0" xfId="0" applyAlignment="1" applyFont="1">
      <alignment horizontal="center" readingOrder="0" vertical="center"/>
    </xf>
    <xf borderId="0" fillId="0" fontId="49" numFmtId="0" xfId="0" applyAlignment="1" applyFont="1">
      <alignment horizontal="center" readingOrder="0" vertical="center"/>
    </xf>
    <xf borderId="0" fillId="0" fontId="50" numFmtId="0" xfId="0" applyFont="1"/>
    <xf borderId="0" fillId="0" fontId="51" numFmtId="0" xfId="0" applyAlignment="1" applyFont="1">
      <alignment horizontal="center" readingOrder="0" vertical="center"/>
    </xf>
    <xf borderId="0" fillId="2" fontId="52" numFmtId="0" xfId="0" applyAlignment="1" applyFont="1">
      <alignment horizontal="left" readingOrder="0" shrinkToFit="0" vertical="center" wrapText="1"/>
    </xf>
    <xf borderId="0" fillId="0" fontId="48" numFmtId="0" xfId="0" applyAlignment="1" applyFont="1">
      <alignment horizontal="right" readingOrder="0" vertical="center"/>
    </xf>
    <xf borderId="0" fillId="0" fontId="48" numFmtId="0" xfId="0" applyAlignment="1" applyFont="1">
      <alignment horizontal="left" readingOrder="0" vertical="center"/>
    </xf>
    <xf borderId="0" fillId="0" fontId="48" numFmtId="0" xfId="0" applyAlignment="1" applyFont="1">
      <alignment readingOrder="0" vertical="center"/>
    </xf>
    <xf borderId="0" fillId="0" fontId="48" numFmtId="0" xfId="0" applyAlignment="1" applyFont="1">
      <alignment horizontal="center" readingOrder="0" vertical="center"/>
    </xf>
    <xf borderId="0" fillId="0" fontId="46" numFmtId="0" xfId="0" applyAlignment="1" applyFont="1">
      <alignment vertical="center"/>
    </xf>
    <xf borderId="0" fillId="0" fontId="48" numFmtId="0" xfId="0" applyAlignment="1" applyFont="1">
      <alignment vertical="center"/>
    </xf>
    <xf borderId="1" fillId="0" fontId="48" numFmtId="0" xfId="0" applyAlignment="1" applyBorder="1" applyFont="1">
      <alignment readingOrder="0" vertical="center"/>
    </xf>
    <xf borderId="1" fillId="0" fontId="48" numFmtId="0" xfId="0" applyAlignment="1" applyBorder="1" applyFont="1">
      <alignment horizontal="center" readingOrder="0" vertical="center"/>
    </xf>
    <xf borderId="1" fillId="0" fontId="46" numFmtId="0" xfId="0" applyAlignment="1" applyBorder="1" applyFont="1">
      <alignment horizontal="center" vertical="center"/>
    </xf>
    <xf borderId="0" fillId="0" fontId="46" numFmtId="0" xfId="0" applyAlignment="1" applyFont="1">
      <alignment horizontal="center" vertical="center"/>
    </xf>
    <xf borderId="1" fillId="0" fontId="48" numFmtId="0" xfId="0" applyAlignment="1" applyBorder="1" applyFont="1">
      <alignment vertical="center"/>
    </xf>
    <xf borderId="0" fillId="0" fontId="48" numFmtId="0" xfId="0" applyAlignment="1" applyFont="1">
      <alignment readingOrder="0"/>
    </xf>
    <xf borderId="1" fillId="0" fontId="48" numFmtId="0" xfId="0" applyAlignment="1" applyBorder="1" applyFont="1">
      <alignment readingOrder="0"/>
    </xf>
    <xf borderId="1" fillId="0" fontId="48" numFmtId="0" xfId="0" applyBorder="1" applyFont="1"/>
    <xf borderId="25" fillId="0" fontId="48" numFmtId="0" xfId="0" applyAlignment="1" applyBorder="1" applyFont="1">
      <alignment horizontal="center" readingOrder="0" vertical="center"/>
    </xf>
    <xf borderId="26" fillId="0" fontId="8" numFmtId="0" xfId="0" applyBorder="1" applyFont="1"/>
    <xf borderId="13" fillId="0" fontId="50" numFmtId="0" xfId="0" applyBorder="1" applyFont="1"/>
    <xf borderId="25" fillId="0" fontId="48" numFmtId="0" xfId="0" applyAlignment="1" applyBorder="1" applyFont="1">
      <alignment horizontal="center" vertical="center"/>
    </xf>
    <xf borderId="25" fillId="0" fontId="48" numFmtId="0" xfId="0" applyBorder="1" applyFont="1"/>
    <xf borderId="27" fillId="0" fontId="11" numFmtId="0" xfId="0" applyAlignment="1" applyBorder="1" applyFont="1">
      <alignment horizontal="center" readingOrder="0" vertical="top"/>
    </xf>
    <xf borderId="25" fillId="0" fontId="11" numFmtId="0" xfId="0" applyAlignment="1" applyBorder="1" applyFont="1">
      <alignment horizontal="center" readingOrder="0" vertical="top"/>
    </xf>
    <xf borderId="13" fillId="0" fontId="11" numFmtId="0" xfId="0" applyAlignment="1" applyBorder="1" applyFont="1">
      <alignment horizontal="center" readingOrder="0" vertical="top"/>
    </xf>
    <xf borderId="26" fillId="0" fontId="11" numFmtId="0" xfId="0" applyAlignment="1" applyBorder="1" applyFont="1">
      <alignment horizontal="center" readingOrder="0" vertical="top"/>
    </xf>
    <xf borderId="27" fillId="0" fontId="11" numFmtId="0" xfId="0" applyAlignment="1" applyBorder="1" applyFont="1">
      <alignment horizontal="right" readingOrder="0" vertical="top"/>
    </xf>
    <xf borderId="27" fillId="0" fontId="48" numFmtId="0" xfId="0" applyBorder="1" applyFont="1"/>
    <xf borderId="27" fillId="0" fontId="48" numFmtId="0" xfId="0" applyAlignment="1" applyBorder="1" applyFont="1">
      <alignment horizontal="right" readingOrder="0"/>
    </xf>
    <xf borderId="25" fillId="0" fontId="48" numFmtId="174" xfId="0" applyAlignment="1" applyBorder="1" applyFont="1" applyNumberFormat="1">
      <alignment horizontal="left" readingOrder="0" shrinkToFit="0" wrapText="0"/>
    </xf>
    <xf borderId="26" fillId="0" fontId="48" numFmtId="174" xfId="0" applyAlignment="1" applyBorder="1" applyFont="1" applyNumberFormat="1">
      <alignment horizontal="left" readingOrder="0" shrinkToFit="0" wrapText="0"/>
    </xf>
    <xf borderId="27" fillId="0" fontId="48" numFmtId="174" xfId="0" applyAlignment="1" applyBorder="1" applyFont="1" applyNumberFormat="1">
      <alignment horizontal="left" readingOrder="0" shrinkToFit="0" wrapText="0"/>
    </xf>
    <xf borderId="26" fillId="0" fontId="48" numFmtId="0" xfId="0" applyBorder="1" applyFont="1"/>
    <xf borderId="27" fillId="0" fontId="48" numFmtId="0" xfId="0" applyAlignment="1" applyBorder="1" applyFont="1">
      <alignment horizontal="center" readingOrder="0" vertical="center"/>
    </xf>
    <xf borderId="26" fillId="0" fontId="48" numFmtId="0" xfId="0" applyAlignment="1" applyBorder="1" applyFont="1">
      <alignment horizontal="center" readingOrder="0" vertical="center"/>
    </xf>
    <xf borderId="27" fillId="0" fontId="48" numFmtId="0" xfId="0" applyAlignment="1" applyBorder="1" applyFont="1">
      <alignment horizontal="center" readingOrder="0" vertical="bottom"/>
    </xf>
    <xf borderId="27" fillId="0" fontId="11" numFmtId="0" xfId="0" applyAlignment="1" applyBorder="1" applyFont="1">
      <alignment horizontal="left" readingOrder="0" vertical="bottom"/>
    </xf>
    <xf borderId="0" fillId="2" fontId="53" numFmtId="0" xfId="0" applyAlignment="1" applyFont="1">
      <alignment horizontal="left"/>
    </xf>
    <xf borderId="0" fillId="0" fontId="48" numFmtId="0" xfId="0" applyAlignment="1" applyFont="1">
      <alignment shrinkToFit="0" wrapText="1"/>
    </xf>
    <xf borderId="0" fillId="0" fontId="48" numFmtId="164" xfId="0" applyAlignment="1" applyFont="1" applyNumberFormat="1">
      <alignment horizontal="left" readingOrder="0" vertical="center"/>
    </xf>
    <xf borderId="13" fillId="0" fontId="54" numFmtId="0" xfId="0" applyAlignment="1" applyBorder="1" applyFont="1">
      <alignment readingOrder="0" shrinkToFit="0" vertical="top" wrapText="1"/>
    </xf>
    <xf borderId="0" fillId="0" fontId="48" numFmtId="0" xfId="0" applyAlignment="1" applyFont="1">
      <alignment horizontal="center" readingOrder="0" shrinkToFit="0" vertical="center" wrapText="1"/>
    </xf>
    <xf borderId="0" fillId="0" fontId="48" numFmtId="0" xfId="0" applyAlignment="1" applyFont="1">
      <alignment shrinkToFit="0" vertical="top" wrapText="1"/>
    </xf>
    <xf borderId="0" fillId="0" fontId="48" numFmtId="0" xfId="0" applyAlignment="1" applyFont="1">
      <alignment horizontal="center" readingOrder="0"/>
    </xf>
    <xf borderId="0" fillId="0" fontId="55" numFmtId="0" xfId="0" applyAlignment="1" applyFont="1">
      <alignment horizontal="center" readingOrder="0" textRotation="90" vertical="center"/>
    </xf>
    <xf borderId="0" fillId="0" fontId="56" numFmtId="0" xfId="0" applyAlignment="1" applyFont="1">
      <alignment horizontal="center" readingOrder="0" vertical="center"/>
    </xf>
    <xf borderId="0" fillId="2" fontId="42" numFmtId="0" xfId="0" applyAlignment="1" applyFont="1">
      <alignment horizontal="left" readingOrder="0" shrinkToFit="0" vertical="center" wrapText="1"/>
    </xf>
    <xf borderId="0" fillId="0" fontId="7" numFmtId="0" xfId="0" applyAlignment="1" applyFont="1">
      <alignment horizontal="center" readingOrder="0" textRotation="90" vertical="center"/>
    </xf>
    <xf borderId="0" fillId="0" fontId="9" numFmtId="0" xfId="0" applyAlignment="1" applyFont="1">
      <alignment readingOrder="0" vertical="center"/>
    </xf>
    <xf borderId="0" fillId="0" fontId="9" numFmtId="0" xfId="0" applyAlignment="1" applyFont="1">
      <alignment horizontal="center" readingOrder="0" vertical="center"/>
    </xf>
    <xf borderId="0" fillId="0" fontId="43" numFmtId="0" xfId="0" applyAlignment="1" applyFont="1">
      <alignment readingOrder="0" vertical="center"/>
    </xf>
    <xf borderId="12" fillId="0" fontId="43" numFmtId="0" xfId="0" applyAlignment="1" applyBorder="1" applyFont="1">
      <alignment horizontal="center" vertical="center"/>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1"/>
    </xf>
    <xf borderId="0" fillId="0" fontId="9" numFmtId="0" xfId="0" applyFont="1"/>
    <xf borderId="0" fillId="0" fontId="3" numFmtId="0" xfId="0" applyAlignment="1" applyFont="1">
      <alignment horizontal="right" readingOrder="0"/>
    </xf>
    <xf borderId="0" fillId="0" fontId="3" numFmtId="174" xfId="0" applyAlignment="1" applyFont="1" applyNumberFormat="1">
      <alignment horizontal="left" readingOrder="0" shrinkToFit="0" wrapText="0"/>
    </xf>
    <xf borderId="0" fillId="0" fontId="57" numFmtId="0" xfId="0" applyFont="1"/>
    <xf borderId="28" fillId="0" fontId="43" numFmtId="165" xfId="0" applyAlignment="1" applyBorder="1" applyFont="1" applyNumberFormat="1">
      <alignment readingOrder="0" shrinkToFit="0" vertical="center" wrapText="0"/>
    </xf>
    <xf borderId="29" fillId="0" fontId="8" numFmtId="0" xfId="0" applyBorder="1" applyFont="1"/>
    <xf borderId="0" fillId="0" fontId="3" numFmtId="0" xfId="0" applyAlignment="1" applyFont="1">
      <alignment horizontal="center" readingOrder="0" vertical="center"/>
    </xf>
    <xf borderId="0" fillId="0" fontId="2" numFmtId="0" xfId="0" applyAlignment="1" applyFont="1">
      <alignment horizontal="right" readingOrder="0" vertical="center"/>
    </xf>
    <xf borderId="0" fillId="0" fontId="2" numFmtId="0" xfId="0" applyAlignment="1" applyFont="1">
      <alignment readingOrder="0"/>
    </xf>
    <xf borderId="0" fillId="2" fontId="58" numFmtId="0" xfId="0" applyAlignment="1" applyFont="1">
      <alignment horizontal="left"/>
    </xf>
    <xf borderId="0" fillId="0" fontId="2" numFmtId="0" xfId="0" applyAlignment="1" applyFont="1">
      <alignment shrinkToFit="0" wrapText="1"/>
    </xf>
    <xf borderId="0" fillId="0" fontId="2" numFmtId="164" xfId="0" applyAlignment="1" applyFont="1" applyNumberFormat="1">
      <alignment horizontal="left" readingOrder="0" vertical="center"/>
    </xf>
    <xf borderId="0" fillId="0" fontId="2" numFmtId="0" xfId="0" applyAlignment="1" applyFont="1">
      <alignment shrinkToFit="0" vertical="top" wrapText="1"/>
    </xf>
    <xf borderId="0" fillId="0" fontId="59" numFmtId="170" xfId="0" applyAlignment="1" applyFont="1" applyNumberFormat="1">
      <alignment horizontal="left" vertical="center"/>
    </xf>
    <xf borderId="0" fillId="0" fontId="2" numFmtId="0" xfId="0" applyAlignment="1" applyFont="1">
      <alignment shrinkToFit="0" vertical="top" wrapText="0"/>
    </xf>
    <xf borderId="30" fillId="0" fontId="2" numFmtId="0" xfId="0" applyAlignment="1" applyBorder="1" applyFont="1">
      <alignment horizontal="center" readingOrder="0" vertical="center"/>
    </xf>
    <xf borderId="30" fillId="0" fontId="8" numFmtId="0" xfId="0" applyBorder="1" applyFont="1"/>
    <xf borderId="0" fillId="0" fontId="2" numFmtId="49" xfId="0" applyAlignment="1" applyFont="1" applyNumberFormat="1">
      <alignment horizontal="center" vertical="center"/>
    </xf>
    <xf borderId="0" fillId="0" fontId="2" numFmtId="174" xfId="0" applyAlignment="1" applyFont="1" applyNumberFormat="1">
      <alignment horizontal="center" vertical="center"/>
    </xf>
    <xf borderId="0" fillId="0" fontId="2" numFmtId="170" xfId="0" applyAlignment="1" applyFont="1" applyNumberFormat="1">
      <alignment horizontal="center" vertical="center"/>
    </xf>
    <xf borderId="0" fillId="0" fontId="2" numFmtId="164" xfId="0" applyAlignment="1" applyFont="1" applyNumberFormat="1">
      <alignment horizontal="center" readingOrder="0" vertical="center"/>
    </xf>
    <xf borderId="0" fillId="0" fontId="2" numFmtId="0" xfId="0" applyAlignment="1" applyFont="1">
      <alignment horizontal="center" vertical="center"/>
    </xf>
    <xf borderId="0" fillId="0" fontId="2" numFmtId="170" xfId="0" applyAlignment="1" applyFont="1" applyNumberFormat="1">
      <alignment horizontal="center" readingOrder="0" vertical="center"/>
    </xf>
    <xf borderId="0" fillId="0" fontId="59" numFmtId="0" xfId="0" applyAlignment="1" applyFont="1">
      <alignment readingOrder="0" vertical="center"/>
    </xf>
    <xf borderId="0" fillId="0" fontId="59" numFmtId="170" xfId="0" applyAlignment="1" applyFont="1" applyNumberFormat="1">
      <alignment horizontal="center" vertical="center"/>
    </xf>
    <xf borderId="0" fillId="0" fontId="59" numFmtId="0" xfId="0" applyAlignment="1" applyFont="1">
      <alignment horizontal="center" readingOrder="0" vertical="center"/>
    </xf>
    <xf borderId="1" fillId="0" fontId="2" numFmtId="0" xfId="0" applyBorder="1" applyFont="1"/>
    <xf borderId="0" fillId="0" fontId="60" numFmtId="0" xfId="0" applyAlignment="1" applyFont="1">
      <alignment vertical="center"/>
    </xf>
    <xf borderId="31" fillId="2" fontId="15" numFmtId="0" xfId="0" applyAlignment="1" applyBorder="1" applyFont="1">
      <alignment horizontal="left" readingOrder="0" vertical="center"/>
    </xf>
    <xf borderId="31" fillId="0" fontId="8" numFmtId="0" xfId="0" applyBorder="1" applyFont="1"/>
    <xf borderId="0" fillId="0" fontId="41" numFmtId="0" xfId="0" applyAlignment="1" applyFont="1">
      <alignment readingOrder="0" vertical="top"/>
    </xf>
    <xf borderId="0" fillId="0" fontId="31" numFmtId="0" xfId="0" applyAlignment="1" applyFont="1">
      <alignment vertical="top"/>
    </xf>
    <xf borderId="0" fillId="0" fontId="61" numFmtId="0" xfId="0" applyFont="1"/>
    <xf borderId="0" fillId="0" fontId="61" numFmtId="0" xfId="0" applyAlignment="1" applyFont="1">
      <alignment vertical="center"/>
    </xf>
    <xf borderId="32" fillId="0" fontId="61" numFmtId="164" xfId="0" applyAlignment="1" applyBorder="1" applyFont="1" applyNumberFormat="1">
      <alignment horizontal="right" readingOrder="0" vertical="center"/>
    </xf>
    <xf borderId="33" fillId="0" fontId="61" numFmtId="49" xfId="0" applyAlignment="1" applyBorder="1" applyFont="1" applyNumberFormat="1">
      <alignment readingOrder="0" vertical="center"/>
    </xf>
    <xf borderId="0" fillId="0" fontId="61" numFmtId="0" xfId="0" applyAlignment="1" applyFont="1">
      <alignment readingOrder="0" shrinkToFit="0" vertical="center" wrapText="1"/>
    </xf>
    <xf borderId="0" fillId="0" fontId="61" numFmtId="0" xfId="0" applyAlignment="1" applyFont="1">
      <alignment readingOrder="0"/>
    </xf>
    <xf borderId="0" fillId="0" fontId="61" numFmtId="0" xfId="0" applyAlignment="1" applyFont="1">
      <alignment readingOrder="0" vertical="center"/>
    </xf>
    <xf borderId="33" fillId="0" fontId="61" numFmtId="0" xfId="0" applyAlignment="1" applyBorder="1" applyFont="1">
      <alignment readingOrder="0" vertical="center"/>
    </xf>
    <xf quotePrefix="1" borderId="33" fillId="0" fontId="61" numFmtId="0" xfId="0" applyAlignment="1" applyBorder="1" applyFont="1">
      <alignment readingOrder="0" vertical="center"/>
    </xf>
    <xf borderId="25" fillId="0" fontId="62" numFmtId="0" xfId="0" applyAlignment="1" applyBorder="1" applyFont="1">
      <alignment horizontal="center" readingOrder="0" vertical="center"/>
    </xf>
    <xf borderId="0" fillId="0" fontId="63" numFmtId="0" xfId="0" applyAlignment="1" applyFont="1">
      <alignment horizontal="center" readingOrder="0" shrinkToFit="0" vertical="center" wrapText="1"/>
    </xf>
    <xf borderId="0" fillId="0" fontId="63" numFmtId="0" xfId="0" applyAlignment="1" applyFont="1">
      <alignment horizontal="center" readingOrder="0" vertical="center"/>
    </xf>
    <xf borderId="0" fillId="0" fontId="63" numFmtId="0" xfId="0" applyFont="1"/>
    <xf borderId="0" fillId="0" fontId="63" numFmtId="0" xfId="0" applyAlignment="1" applyFont="1">
      <alignment shrinkToFit="0" vertical="center" wrapText="1"/>
    </xf>
    <xf borderId="0" fillId="0" fontId="62" numFmtId="0" xfId="0" applyAlignment="1" applyFont="1">
      <alignment horizontal="left" shrinkToFit="0" vertical="center" wrapText="1"/>
    </xf>
    <xf borderId="34" fillId="2" fontId="62" numFmtId="0" xfId="0" applyAlignment="1" applyBorder="1" applyFont="1">
      <alignment horizontal="center" readingOrder="0" vertical="center"/>
    </xf>
    <xf borderId="35" fillId="0" fontId="8" numFmtId="0" xfId="0" applyBorder="1" applyFont="1"/>
    <xf borderId="36" fillId="0" fontId="8" numFmtId="0" xfId="0" applyBorder="1" applyFont="1"/>
    <xf borderId="37" fillId="2" fontId="62" numFmtId="0" xfId="0" applyAlignment="1" applyBorder="1" applyFont="1">
      <alignment horizontal="center" readingOrder="0" vertical="center"/>
    </xf>
    <xf borderId="38" fillId="2" fontId="62" numFmtId="0" xfId="0" applyAlignment="1" applyBorder="1" applyFont="1">
      <alignment horizontal="center" vertical="center"/>
    </xf>
    <xf borderId="0" fillId="2" fontId="21" numFmtId="0" xfId="0" applyAlignment="1" applyFont="1">
      <alignment shrinkToFit="0" vertical="center" wrapText="1"/>
    </xf>
    <xf borderId="7" fillId="2" fontId="21" numFmtId="0" xfId="0" applyAlignment="1" applyBorder="1" applyFont="1">
      <alignment readingOrder="0" shrinkToFit="0" vertical="center" wrapText="1"/>
    </xf>
    <xf borderId="8" fillId="2" fontId="64" numFmtId="0" xfId="0" applyAlignment="1" applyBorder="1" applyFont="1">
      <alignment horizontal="left" readingOrder="0" shrinkToFit="0" vertical="center" wrapText="1"/>
    </xf>
    <xf borderId="7" fillId="2" fontId="20" numFmtId="1" xfId="0" applyAlignment="1" applyBorder="1" applyFont="1" applyNumberFormat="1">
      <alignment horizontal="center" readingOrder="0" vertical="center"/>
    </xf>
    <xf borderId="0" fillId="2" fontId="63" numFmtId="0" xfId="0" applyAlignment="1" applyFont="1">
      <alignment readingOrder="0" shrinkToFit="0" vertical="center" wrapText="1"/>
    </xf>
    <xf borderId="7" fillId="2" fontId="63" numFmtId="0" xfId="0" applyAlignment="1" applyBorder="1" applyFont="1">
      <alignment readingOrder="0" shrinkToFit="0" vertical="center" wrapText="1"/>
    </xf>
    <xf borderId="7" fillId="2" fontId="21" numFmtId="0" xfId="0" applyAlignment="1" applyBorder="1" applyFont="1">
      <alignment shrinkToFit="0" vertical="center" wrapText="1"/>
    </xf>
    <xf borderId="7" fillId="2" fontId="21" numFmtId="0" xfId="0" applyAlignment="1" applyBorder="1" applyFont="1">
      <alignment readingOrder="0" shrinkToFit="0" vertical="center" wrapText="0"/>
    </xf>
    <xf borderId="0" fillId="2" fontId="65" numFmtId="0" xfId="0" applyAlignment="1" applyFont="1">
      <alignment readingOrder="0" shrinkToFit="0" vertical="center" wrapText="1"/>
    </xf>
    <xf borderId="0" fillId="2" fontId="21" numFmtId="0" xfId="0" applyAlignment="1" applyFont="1">
      <alignment horizontal="left" shrinkToFit="0" vertical="center" wrapText="1"/>
    </xf>
    <xf borderId="0" fillId="2" fontId="3" numFmtId="1" xfId="0" applyAlignment="1" applyFont="1" applyNumberFormat="1">
      <alignment horizontal="center" readingOrder="0" shrinkToFit="0" vertical="center" wrapText="1"/>
    </xf>
    <xf borderId="0" fillId="2" fontId="3" numFmtId="1" xfId="0" applyAlignment="1" applyFont="1" applyNumberFormat="1">
      <alignment horizontal="center" vertical="center"/>
    </xf>
    <xf borderId="0" fillId="0" fontId="66" numFmtId="0" xfId="0" applyFont="1"/>
    <xf borderId="0" fillId="0" fontId="67" numFmtId="0" xfId="0" applyAlignment="1" applyFont="1">
      <alignment horizontal="center" readingOrder="0" vertical="top"/>
    </xf>
    <xf borderId="0" fillId="0" fontId="68" numFmtId="0" xfId="0" applyAlignment="1" applyFont="1">
      <alignment horizontal="center" readingOrder="0"/>
    </xf>
    <xf borderId="0" fillId="0" fontId="69" numFmtId="0" xfId="0" applyAlignment="1" applyFont="1">
      <alignment horizontal="center" readingOrder="0" vertical="center"/>
    </xf>
    <xf borderId="0" fillId="0" fontId="31" numFmtId="0" xfId="0" applyAlignment="1" applyFont="1">
      <alignment readingOrder="0" shrinkToFit="0" vertical="top" wrapText="1"/>
    </xf>
    <xf borderId="0" fillId="0" fontId="31" numFmtId="165" xfId="0" applyAlignment="1" applyFont="1" applyNumberFormat="1">
      <alignment readingOrder="0" shrinkToFit="0" vertical="top" wrapText="1"/>
    </xf>
    <xf borderId="13" fillId="0" fontId="18" numFmtId="0" xfId="0" applyAlignment="1" applyBorder="1" applyFont="1">
      <alignment readingOrder="0" shrinkToFit="0" vertical="center" wrapText="1"/>
    </xf>
    <xf borderId="0" fillId="0" fontId="70"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647700</xdr:colOff>
      <xdr:row>27</xdr:row>
      <xdr:rowOff>123825</xdr:rowOff>
    </xdr:from>
    <xdr:ext cx="1438275" cy="1743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85750" cy="762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523875</xdr:colOff>
      <xdr:row>20</xdr:row>
      <xdr:rowOff>28575</xdr:rowOff>
    </xdr:from>
    <xdr:ext cx="2028825" cy="2333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42900"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762000</xdr:colOff>
      <xdr:row>29</xdr:row>
      <xdr:rowOff>171450</xdr:rowOff>
    </xdr:from>
    <xdr:ext cx="1438275" cy="1743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85750" cy="762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1314450</xdr:colOff>
      <xdr:row>30</xdr:row>
      <xdr:rowOff>133350</xdr:rowOff>
    </xdr:from>
    <xdr:ext cx="3019425" cy="1495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85750" cy="762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81000" cy="104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523875</xdr:colOff>
      <xdr:row>20</xdr:row>
      <xdr:rowOff>28575</xdr:rowOff>
    </xdr:from>
    <xdr:ext cx="2028825" cy="2333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42900" cy="95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714375</xdr:colOff>
      <xdr:row>27</xdr:row>
      <xdr:rowOff>161925</xdr:rowOff>
    </xdr:from>
    <xdr:ext cx="1438275" cy="1743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85750" cy="762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685800</xdr:colOff>
      <xdr:row>27</xdr:row>
      <xdr:rowOff>104775</xdr:rowOff>
    </xdr:from>
    <xdr:ext cx="1247775" cy="15049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85750" cy="762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 cy="19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42</xdr:row>
      <xdr:rowOff>152400</xdr:rowOff>
    </xdr:from>
    <xdr:ext cx="1438275" cy="1743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66675" cy="190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29</xdr:row>
      <xdr:rowOff>0</xdr:rowOff>
    </xdr:from>
    <xdr:ext cx="466725" cy="1333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 cy="190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438275" cy="4000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8</xdr:row>
      <xdr:rowOff>266700</xdr:rowOff>
    </xdr:from>
    <xdr:ext cx="1438275" cy="1743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742950" cy="2095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647700" cy="1905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361950</xdr:colOff>
      <xdr:row>0</xdr:row>
      <xdr:rowOff>4676775</xdr:rowOff>
    </xdr:from>
    <xdr:ext cx="1857375" cy="2105025"/>
    <xdr:pic>
      <xdr:nvPicPr>
        <xdr:cNvPr id="0" name="image5.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61925" cy="381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sheetViews>
  <sheetFormatPr customHeight="1" defaultColWidth="14.43" defaultRowHeight="15.0"/>
  <cols>
    <col customWidth="1" min="1" max="1" width="4.29"/>
    <col customWidth="1" min="2" max="2" width="18.29"/>
    <col customWidth="1" min="3" max="3" width="23.43"/>
    <col customWidth="1" min="4" max="4" width="11.57"/>
    <col customWidth="1" min="5" max="5" width="22.0"/>
    <col customWidth="1" min="6" max="6" width="22.29"/>
    <col customWidth="1" min="7" max="7" width="20.71"/>
  </cols>
  <sheetData>
    <row r="1">
      <c r="A1" s="1"/>
      <c r="E1" s="2"/>
      <c r="F1" s="2"/>
      <c r="G1" s="2"/>
    </row>
    <row r="2">
      <c r="E2" s="2"/>
      <c r="F2" s="2"/>
      <c r="G2" s="2"/>
    </row>
    <row r="3">
      <c r="E3" s="2"/>
      <c r="F3" s="3" t="s">
        <v>0</v>
      </c>
      <c r="G3" s="2"/>
    </row>
    <row r="4">
      <c r="E4" s="2"/>
      <c r="F4" s="4" t="str">
        <f t="array" ref="F4">IFERROR(INDEX(customerDetails,MATCH(C13,INDEX(customerDetails,,1),0),2),"")</f>
        <v>Bengkel Las Bpk. Ari</v>
      </c>
    </row>
    <row r="5">
      <c r="E5" s="2"/>
      <c r="F5" s="5" t="str">
        <f t="array" ref="F5">IFERROR(INDEX(customerDetails,MATCH($C$13,INDEX(customerDetails,,1),0),5),"")</f>
        <v>Sumber Kembar, Wonodadi, Kec. Kutorejo, Kabupaten Mojokerto, Jawa Timur</v>
      </c>
    </row>
    <row r="6">
      <c r="A6" s="6" t="s">
        <v>1</v>
      </c>
      <c r="E6" s="2"/>
    </row>
    <row r="7">
      <c r="E7" s="2"/>
    </row>
    <row r="8">
      <c r="E8" s="2"/>
    </row>
    <row r="9">
      <c r="E9" s="2"/>
      <c r="F9" s="2"/>
      <c r="G9" s="2"/>
    </row>
    <row r="10">
      <c r="A10" s="2"/>
      <c r="B10" s="2"/>
      <c r="C10" s="2"/>
      <c r="D10" s="2"/>
      <c r="E10" s="2"/>
      <c r="F10" s="2"/>
      <c r="G10" s="2"/>
    </row>
    <row r="11" ht="21.0" customHeight="1">
      <c r="A11" s="7" t="s">
        <v>2</v>
      </c>
    </row>
    <row r="12">
      <c r="A12" s="3" t="s">
        <v>3</v>
      </c>
      <c r="C12" s="8" t="str">
        <f t="array" ref="C12">IFERROR(INDEX(customerDetails,MATCH(C13,INDEX(customerDetails,,1),0),3),"")</f>
        <v/>
      </c>
      <c r="E12" s="3" t="s">
        <v>4</v>
      </c>
      <c r="F12" s="9" t="s">
        <v>5</v>
      </c>
    </row>
    <row r="13">
      <c r="A13" s="3" t="s">
        <v>6</v>
      </c>
      <c r="C13" s="10" t="str">
        <f t="array" ref="C13">INDEX(documentLog,MATCH($F$12,INDEX(documentLog,,2),0),3)</f>
        <v>b2b5f2c5</v>
      </c>
      <c r="E13" s="3" t="s">
        <v>7</v>
      </c>
      <c r="F13" s="11">
        <f t="array" ref="F13">INDEX(documentLog,MATCH($F$12,INDEX(documentLog,,2),0),5)</f>
        <v>46129.51082</v>
      </c>
    </row>
    <row r="14">
      <c r="A14" s="3" t="s">
        <v>8</v>
      </c>
      <c r="C14" s="12"/>
      <c r="E14" s="13" t="s">
        <v>9</v>
      </c>
      <c r="F14" s="11">
        <f t="array" ref="F14">F13 + INDEX(customerDetails,MATCH(C13,INDEX(customerDetails,,1),0),6)</f>
        <v>46143.51082</v>
      </c>
    </row>
    <row r="15">
      <c r="A15" s="14"/>
      <c r="B15" s="14"/>
      <c r="C15" s="14"/>
      <c r="D15" s="14"/>
      <c r="E15" s="14"/>
      <c r="F15" s="14"/>
      <c r="G15" s="14"/>
    </row>
    <row r="16">
      <c r="A16" s="15" t="s">
        <v>10</v>
      </c>
      <c r="B16" s="15" t="s">
        <v>11</v>
      </c>
      <c r="C16" s="16"/>
      <c r="D16" s="15" t="s">
        <v>12</v>
      </c>
      <c r="E16" s="15" t="s">
        <v>13</v>
      </c>
      <c r="F16" s="15" t="s">
        <v>14</v>
      </c>
      <c r="G16" s="15" t="s">
        <v>15</v>
      </c>
    </row>
    <row r="17">
      <c r="A17" s="17">
        <f t="array" ref="A17:A18">IFERROR(SEQUENCE(COUNTA(B17:B21),1),"")</f>
        <v>1</v>
      </c>
      <c r="B17" s="13" t="str">
        <f>IFERROR(__xludf.DUMMYFUNCTION("QUERY(inventoryLog,""SELECT G WHERE B='""&amp;F12&amp;""'"",)"),"Oksigen 6m3")</f>
        <v>Oksigen 6m3</v>
      </c>
      <c r="C17" s="18"/>
      <c r="D17" s="17" t="str">
        <f t="array" ref="D17">IF(ISBLANK($B17),"", INDEX(itemCategoryDetails,MATCH($B17,INDEX(itemCategoryDetails,,2),0),5))</f>
        <v>Btl</v>
      </c>
      <c r="E17" s="17">
        <f>IFERROR(__xludf.DUMMYFUNCTION("QUERY(inventoryLog,""SELECT J,L WHERE B='""&amp;F12&amp;""'"",)"),2.0)</f>
        <v>2</v>
      </c>
      <c r="F17" s="19">
        <f>IFERROR(__xludf.DUMMYFUNCTION("""COMPUTED_VALUE"""),60000.0)</f>
        <v>60000</v>
      </c>
      <c r="G17" s="20">
        <f t="shared" ref="G17:G20" si="1">F17*E17</f>
        <v>120000</v>
      </c>
    </row>
    <row r="18">
      <c r="A18" s="17">
        <v>2.0</v>
      </c>
      <c r="B18" s="13" t="str">
        <f>IFERROR(__xludf.DUMMYFUNCTION("""COMPUTED_VALUE"""),"Karbondioksida")</f>
        <v>Karbondioksida</v>
      </c>
      <c r="C18" s="18"/>
      <c r="D18" s="17" t="str">
        <f t="array" ref="D18">IF(ISBLANK($B18),"", INDEX(itemCategoryDetails,MATCH($B18,INDEX(itemCategoryDetails,,2),0),5))</f>
        <v>Btl</v>
      </c>
      <c r="E18" s="17">
        <f>IFERROR(__xludf.DUMMYFUNCTION("""COMPUTED_VALUE"""),2.0)</f>
        <v>2</v>
      </c>
      <c r="F18" s="19">
        <f>IFERROR(__xludf.DUMMYFUNCTION("""COMPUTED_VALUE"""),180000.0)</f>
        <v>180000</v>
      </c>
      <c r="G18" s="20">
        <f t="shared" si="1"/>
        <v>360000</v>
      </c>
    </row>
    <row r="19" ht="15.0" customHeight="1">
      <c r="A19" s="17"/>
      <c r="B19" s="13"/>
      <c r="C19" s="21"/>
      <c r="D19" s="17" t="str">
        <f t="array" ref="D19">IF(ISBLANK($B19),"", INDEX(itemCategoryDetails,MATCH($B19,INDEX(itemCategoryDetails,,2),0),5))</f>
        <v/>
      </c>
      <c r="E19" s="17"/>
      <c r="F19" s="22"/>
      <c r="G19" s="22">
        <f t="shared" si="1"/>
        <v>0</v>
      </c>
    </row>
    <row r="20" ht="15.0" customHeight="1">
      <c r="A20" s="17"/>
      <c r="B20" s="13"/>
      <c r="D20" s="17" t="str">
        <f t="array" ref="D20">IF(ISBLANK($B20),"", INDEX(itemCategoryDetails,MATCH($B20,INDEX(itemCategoryDetails,,2),0),5))</f>
        <v/>
      </c>
      <c r="E20" s="17"/>
      <c r="F20" s="22"/>
      <c r="G20" s="22">
        <f t="shared" si="1"/>
        <v>0</v>
      </c>
    </row>
    <row r="21">
      <c r="D21" s="17" t="str">
        <f>IF(B21&lt;&gt;"", "Btl", "")</f>
        <v/>
      </c>
      <c r="F21" s="22"/>
      <c r="G21" s="22"/>
    </row>
    <row r="22">
      <c r="A22" s="23"/>
      <c r="B22" s="24"/>
      <c r="C22" s="25"/>
      <c r="D22" s="25"/>
      <c r="E22" s="24" t="s">
        <v>16</v>
      </c>
      <c r="F22" s="25"/>
      <c r="G22" s="26">
        <f>SUM(G17:G21)</f>
        <v>480000</v>
      </c>
    </row>
    <row r="23">
      <c r="A23" s="27"/>
      <c r="D23" s="14"/>
      <c r="E23" s="3" t="s">
        <v>17</v>
      </c>
      <c r="F23" s="14"/>
      <c r="G23" s="19"/>
    </row>
    <row r="24">
      <c r="D24" s="14"/>
      <c r="E24" s="3" t="s">
        <v>18</v>
      </c>
      <c r="F24" s="14"/>
      <c r="G24" s="28"/>
    </row>
    <row r="25">
      <c r="D25" s="14"/>
      <c r="E25" s="3" t="s">
        <v>19</v>
      </c>
      <c r="F25" s="14"/>
      <c r="G25" s="14"/>
    </row>
    <row r="26">
      <c r="D26" s="14"/>
      <c r="E26" s="3" t="s">
        <v>20</v>
      </c>
      <c r="F26" s="14"/>
      <c r="G26" s="29" t="str">
        <f t="array" ref="G26">IFERROR(IF(INDEX(customerDetails,MATCH(C13,INDEX(customerDetails,,1),0),4)=TRUE,G22,""),"")</f>
        <v/>
      </c>
    </row>
    <row r="27">
      <c r="A27" s="30"/>
      <c r="B27" s="14"/>
      <c r="C27" s="14"/>
      <c r="D27" s="14"/>
      <c r="E27" s="3" t="s">
        <v>21</v>
      </c>
      <c r="F27" s="14"/>
      <c r="G27" s="20" t="str">
        <f t="array" ref="G27">IFERROR(IF(INDEX(customerDetails,MATCH(C13,INDEX(customerDetails,,1),0),4)=TRUE,G22*11/100,""),"")</f>
        <v/>
      </c>
    </row>
    <row r="28">
      <c r="A28" s="30"/>
      <c r="B28" s="14"/>
      <c r="C28" s="14"/>
      <c r="D28" s="14"/>
      <c r="E28" s="21" t="s">
        <v>22</v>
      </c>
      <c r="F28" s="31"/>
      <c r="G28" s="32">
        <f>G22+G27+G23</f>
        <v>480000</v>
      </c>
    </row>
    <row r="29">
      <c r="A29" s="14"/>
      <c r="B29" s="14"/>
      <c r="C29" s="14"/>
      <c r="D29" s="14"/>
      <c r="E29" s="14"/>
      <c r="F29" s="14"/>
      <c r="G29" s="14"/>
    </row>
    <row r="30">
      <c r="A30" s="3" t="s">
        <v>23</v>
      </c>
      <c r="B30" s="14"/>
      <c r="C30" s="3"/>
      <c r="D30" s="14"/>
      <c r="E30" s="14"/>
      <c r="F30" s="17" t="str">
        <f>"Sidoarjo,"&amp;" "&amp;text(F13,"dd mmmm yyy")</f>
        <v>Sidoarjo, 17 April 2026</v>
      </c>
    </row>
    <row r="31">
      <c r="A31" s="33"/>
      <c r="E31" s="14"/>
      <c r="F31" s="14"/>
      <c r="G31" s="14"/>
    </row>
    <row r="32">
      <c r="E32" s="14"/>
      <c r="F32" s="14"/>
      <c r="G32" s="14"/>
    </row>
    <row r="33">
      <c r="E33" s="14"/>
      <c r="F33" s="14"/>
      <c r="G33" s="14"/>
    </row>
    <row r="34">
      <c r="E34" s="14"/>
      <c r="F34" s="14"/>
      <c r="G34" s="14"/>
    </row>
    <row r="35">
      <c r="E35" s="14"/>
      <c r="F35" s="34" t="s">
        <v>24</v>
      </c>
    </row>
    <row r="36">
      <c r="E36" s="2"/>
      <c r="F36" s="2"/>
      <c r="G36" s="2"/>
    </row>
    <row r="37">
      <c r="E37" s="2"/>
      <c r="F37" s="2"/>
      <c r="G37" s="2"/>
    </row>
    <row r="38">
      <c r="A38" s="2"/>
      <c r="B38" s="2"/>
      <c r="C38" s="2"/>
      <c r="D38" s="2"/>
      <c r="E38" s="2"/>
      <c r="F38" s="2"/>
      <c r="G38" s="35"/>
    </row>
    <row r="39">
      <c r="A39" s="2"/>
      <c r="B39" s="2"/>
      <c r="C39" s="2"/>
      <c r="D39" s="2"/>
      <c r="E39" s="2"/>
      <c r="F39" s="2"/>
      <c r="G39" s="2"/>
    </row>
    <row r="40">
      <c r="A40" s="2"/>
      <c r="B40" s="2"/>
      <c r="C40" s="2"/>
      <c r="D40" s="2"/>
      <c r="E40" s="2"/>
      <c r="F40" s="2"/>
      <c r="G40" s="2"/>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t="str">
        <f>IMAGE("https://qris.interactive.co.id/restapi/qris/show_qris.php")</f>
        <v/>
      </c>
      <c r="C46" s="2"/>
      <c r="D46" s="2"/>
      <c r="E46" s="2"/>
      <c r="F46" s="2"/>
      <c r="G46" s="36" t="str">
        <f>IMAGE("https://quickchart.io/qr?text=" &amp; ENCODEURL($F$12))</f>
        <v/>
      </c>
    </row>
    <row r="47">
      <c r="A47" s="2"/>
      <c r="B47" s="2"/>
      <c r="C47" s="2"/>
      <c r="D47" s="2"/>
      <c r="E47" s="2"/>
      <c r="F47" s="2"/>
    </row>
    <row r="48">
      <c r="A48" s="2"/>
      <c r="B48" s="2"/>
      <c r="C48" s="2"/>
      <c r="D48" s="2"/>
      <c r="E48" s="2"/>
      <c r="F48" s="2"/>
    </row>
    <row r="49">
      <c r="A49" s="37" t="s">
        <v>25</v>
      </c>
      <c r="E49" s="2"/>
      <c r="F49" s="2"/>
    </row>
    <row r="50">
      <c r="E50" s="2"/>
      <c r="F50" s="2"/>
    </row>
    <row r="51" ht="23.25" customHeight="1">
      <c r="A51" s="37"/>
      <c r="B51" s="38" t="s">
        <v>26</v>
      </c>
      <c r="C51" s="39" t="s">
        <v>27</v>
      </c>
      <c r="F51" s="40"/>
    </row>
    <row r="52">
      <c r="A52" s="41"/>
      <c r="B52" s="38" t="s">
        <v>28</v>
      </c>
      <c r="C52" s="39" t="s">
        <v>29</v>
      </c>
      <c r="E52" s="40"/>
      <c r="F52" s="40"/>
      <c r="G52" s="40"/>
    </row>
    <row r="53">
      <c r="A53" s="41"/>
      <c r="B53" s="38" t="s">
        <v>30</v>
      </c>
      <c r="C53" s="39" t="s">
        <v>31</v>
      </c>
      <c r="E53" s="40"/>
      <c r="F53" s="42" t="s">
        <v>32</v>
      </c>
      <c r="G53" s="42" t="s">
        <v>33</v>
      </c>
    </row>
  </sheetData>
  <mergeCells count="24">
    <mergeCell ref="A1:D5"/>
    <mergeCell ref="F4:G4"/>
    <mergeCell ref="F5:G8"/>
    <mergeCell ref="A6:D9"/>
    <mergeCell ref="A11:G11"/>
    <mergeCell ref="C12:D12"/>
    <mergeCell ref="F12:G12"/>
    <mergeCell ref="A12:B12"/>
    <mergeCell ref="A13:B13"/>
    <mergeCell ref="C13:D13"/>
    <mergeCell ref="F13:G13"/>
    <mergeCell ref="A14:B14"/>
    <mergeCell ref="C14:D14"/>
    <mergeCell ref="F14:G14"/>
    <mergeCell ref="C51:E51"/>
    <mergeCell ref="C52:D52"/>
    <mergeCell ref="C53:D53"/>
    <mergeCell ref="B16:C16"/>
    <mergeCell ref="A23:C26"/>
    <mergeCell ref="F30:G30"/>
    <mergeCell ref="A31:D37"/>
    <mergeCell ref="F35:G35"/>
    <mergeCell ref="G46:G51"/>
    <mergeCell ref="A49:D50"/>
  </mergeCells>
  <dataValidations>
    <dataValidation type="list" allowBlank="1" showErrorMessage="1" sqref="F12">
      <formula1>database!$Z$2:$Z53</formula1>
    </dataValidation>
  </dataValidations>
  <printOptions horizontalCentered="1"/>
  <pageMargins bottom="0.39370078740157477" footer="0.0" header="0.0" left="0.5905511811023622" right="0.905511811023622" top="0.6692913385826771"/>
  <pageSetup orientation="portrait" pageOrder="overThenDown" paperHeight="11.023622047244093in" paperWidth="9.448818897637794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4.43" defaultRowHeight="15.0"/>
  <cols>
    <col customWidth="1" min="1" max="1" width="5.14"/>
    <col customWidth="1" min="2" max="2" width="32.29"/>
    <col customWidth="1" min="3" max="3" width="30.86"/>
    <col customWidth="1" min="4" max="4" width="25.86"/>
    <col customWidth="1" min="5" max="5" width="23.0"/>
    <col customWidth="1" min="6" max="6" width="23.71"/>
  </cols>
  <sheetData>
    <row r="1" ht="15.75" customHeight="1">
      <c r="A1" s="43"/>
      <c r="D1" s="44"/>
      <c r="E1" s="45" t="s">
        <v>34</v>
      </c>
      <c r="F1" s="46"/>
    </row>
    <row r="2" ht="9.75" customHeight="1">
      <c r="D2" s="2"/>
      <c r="E2" s="47"/>
    </row>
    <row r="3" ht="20.25" customHeight="1">
      <c r="D3" s="48"/>
      <c r="E3" s="49" t="s">
        <v>35</v>
      </c>
      <c r="F3" s="50" t="str">
        <f>Faktur!$F$12</f>
        <v>04261063117</v>
      </c>
    </row>
    <row r="4" ht="19.5" customHeight="1">
      <c r="D4" s="48"/>
      <c r="E4" s="51" t="s">
        <v>36</v>
      </c>
      <c r="F4" s="52">
        <f t="array" ref="F4">INDEX(documentLog,MATCH($F$3,INDEX(documentLog,,2),0),5)</f>
        <v>46129.51082</v>
      </c>
    </row>
    <row r="5" ht="19.5" customHeight="1">
      <c r="A5" s="53" t="s">
        <v>1</v>
      </c>
      <c r="D5" s="54"/>
      <c r="E5" s="55" t="s">
        <v>37</v>
      </c>
      <c r="F5" s="55" t="s">
        <v>38</v>
      </c>
    </row>
    <row r="6" ht="19.5" customHeight="1">
      <c r="D6" s="54"/>
      <c r="E6" s="55" t="s">
        <v>39</v>
      </c>
      <c r="F6" s="56" t="s">
        <v>40</v>
      </c>
    </row>
    <row r="7" ht="19.5" customHeight="1">
      <c r="D7" s="54"/>
      <c r="E7" s="55" t="s">
        <v>41</v>
      </c>
      <c r="F7" s="57" t="s">
        <v>42</v>
      </c>
    </row>
    <row r="8" ht="6.0" customHeight="1">
      <c r="A8" s="6"/>
      <c r="B8" s="6"/>
      <c r="C8" s="6"/>
      <c r="D8" s="54"/>
      <c r="E8" s="58"/>
      <c r="F8" s="58"/>
    </row>
    <row r="9" ht="29.25" customHeight="1">
      <c r="A9" s="2"/>
      <c r="B9" s="2"/>
      <c r="C9" s="2"/>
      <c r="D9" s="2"/>
    </row>
    <row r="10" ht="19.5" customHeight="1">
      <c r="A10" s="59" t="s">
        <v>43</v>
      </c>
      <c r="B10" s="16"/>
      <c r="C10" s="16"/>
      <c r="D10" s="59" t="s">
        <v>0</v>
      </c>
      <c r="E10" s="16"/>
      <c r="F10" s="16"/>
    </row>
    <row r="11" ht="42.75" customHeight="1">
      <c r="A11" s="60" t="str">
        <f t="array" ref="A11">INDEX(documentLog,MATCH($F$3,INDEX(documentLog,,2),0),6)</f>
        <v>Sumber Kembar, Wonodadi, Kec. Kutorejo, Kabupaten Mojokerto, Jawa Timur</v>
      </c>
      <c r="D11" s="61" t="str">
        <f t="array" ref="D11">INDEX(documentLog,MATCH($F$3,INDEX(documentLog,,2),0),4)</f>
        <v>Bengkel Las Bpk. Ari</v>
      </c>
    </row>
    <row r="12" ht="17.25" customHeight="1">
      <c r="A12" s="60"/>
      <c r="B12" s="60"/>
      <c r="C12" s="60"/>
      <c r="D12" s="61"/>
      <c r="E12" s="61"/>
      <c r="F12" s="61"/>
    </row>
    <row r="13" ht="15.75" customHeight="1">
      <c r="A13" s="62" t="s">
        <v>10</v>
      </c>
      <c r="B13" s="63" t="s">
        <v>44</v>
      </c>
      <c r="C13" s="16"/>
      <c r="D13" s="16"/>
      <c r="E13" s="63" t="s">
        <v>12</v>
      </c>
      <c r="F13" s="64" t="s">
        <v>15</v>
      </c>
    </row>
    <row r="14" ht="2.25" customHeight="1">
      <c r="A14" s="65"/>
      <c r="B14" s="66"/>
      <c r="C14" s="66"/>
      <c r="D14" s="66"/>
      <c r="E14" s="66"/>
      <c r="F14" s="67"/>
    </row>
    <row r="15">
      <c r="A15" s="68">
        <f t="array" ref="A15:A16">IFERROR(SEQUENCE(COUNTA(B15:B19),1),"")</f>
        <v>1</v>
      </c>
      <c r="B15" s="69" t="str">
        <f>IFERROR(__xludf.DUMMYFUNCTION("QUERY(inventoryLog,""SELECT G,K WHERE B='""&amp;F3&amp;""'"",)"),"Oksigen 6m3")</f>
        <v>Oksigen 6m3</v>
      </c>
      <c r="C15" s="70" t="str">
        <f>IFERROR(__xludf.DUMMYFUNCTION("""COMPUTED_VALUE"""),"11244 11235")</f>
        <v>11244 11235</v>
      </c>
      <c r="D15" s="71"/>
      <c r="E15" s="72" t="str">
        <f t="array" ref="E15">IF(ISBLANK($B15),"", INDEX(itemCategoryDetails,MATCH($B15,INDEX(itemCategoryDetails,,2),0),5))</f>
        <v>Btl</v>
      </c>
      <c r="F15" s="73">
        <f>IFERROR(__xludf.DUMMYFUNCTION("QUERY(inventoryLog,""SELECT J WHERE B='""&amp;F3&amp;""'"",)"),2.0)</f>
        <v>2</v>
      </c>
    </row>
    <row r="16">
      <c r="A16" s="74">
        <v>2.0</v>
      </c>
      <c r="B16" s="75" t="str">
        <f>IFERROR(__xludf.DUMMYFUNCTION("""COMPUTED_VALUE"""),"Karbondioksida")</f>
        <v>Karbondioksida</v>
      </c>
      <c r="C16" s="76" t="str">
        <f>IFERROR(__xludf.DUMMYFUNCTION("""COMPUTED_VALUE"""),"13024 13074")</f>
        <v>13024 13074</v>
      </c>
      <c r="D16" s="71"/>
      <c r="E16" s="72" t="str">
        <f t="array" ref="E16">IF(ISBLANK($B16),"", INDEX(itemCategoryDetails,MATCH($B16,INDEX(itemCategoryDetails,,2),0),5))</f>
        <v>Btl</v>
      </c>
      <c r="F16" s="77">
        <f>IFERROR(__xludf.DUMMYFUNCTION("""COMPUTED_VALUE"""),2.0)</f>
        <v>2</v>
      </c>
    </row>
    <row r="17">
      <c r="A17" s="68"/>
      <c r="B17" s="78"/>
      <c r="C17" s="79"/>
      <c r="D17" s="71"/>
      <c r="E17" s="72" t="str">
        <f t="array" ref="E17">IF(ISBLANK($B17),"", INDEX(itemCategoryDetails,MATCH($B17,INDEX(itemCategoryDetails,,2),0),5))</f>
        <v/>
      </c>
      <c r="F17" s="80"/>
    </row>
    <row r="18">
      <c r="A18" s="68"/>
      <c r="B18" s="78"/>
      <c r="C18" s="81"/>
      <c r="D18" s="82"/>
      <c r="E18" s="72" t="str">
        <f t="array" ref="E18">IF(ISBLANK($B18),"", INDEX(itemCategoryDetails,MATCH($B18,INDEX(itemCategoryDetails,,2),0),5))</f>
        <v/>
      </c>
      <c r="F18" s="80"/>
    </row>
    <row r="19">
      <c r="A19" s="68"/>
      <c r="B19" s="78"/>
      <c r="C19" s="81"/>
      <c r="D19" s="82"/>
      <c r="E19" s="72" t="str">
        <f t="array" ref="E19">IF(ISBLANK($B19),"", INDEX(itemCategoryDetails,MATCH($B19,INDEX(itemCategoryDetails,,2),0),5))</f>
        <v/>
      </c>
      <c r="F19" s="80"/>
    </row>
    <row r="20">
      <c r="A20" s="83"/>
      <c r="B20" s="75" t="s">
        <v>45</v>
      </c>
      <c r="C20" s="84"/>
      <c r="D20" s="82"/>
      <c r="F20" s="85" t="s">
        <v>46</v>
      </c>
    </row>
    <row r="21">
      <c r="A21" s="83"/>
      <c r="B21" s="86"/>
      <c r="F21" s="87"/>
    </row>
    <row r="22" ht="18.75" customHeight="1">
      <c r="A22" s="14"/>
      <c r="B22" s="14"/>
      <c r="C22" s="14"/>
      <c r="D22" s="14"/>
      <c r="E22" s="14"/>
    </row>
    <row r="23" ht="94.5" customHeight="1">
      <c r="A23" s="14"/>
      <c r="B23" s="88" t="s">
        <v>47</v>
      </c>
      <c r="C23" s="88" t="s">
        <v>48</v>
      </c>
      <c r="E23" s="88" t="s">
        <v>49</v>
      </c>
    </row>
    <row r="24" ht="15.75" customHeight="1">
      <c r="A24" s="14"/>
      <c r="B24" s="89" t="s">
        <v>50</v>
      </c>
      <c r="C24" s="90" t="str">
        <f>F6</f>
        <v>Sugiyono</v>
      </c>
      <c r="E24" s="88" t="s">
        <v>51</v>
      </c>
    </row>
    <row r="25" ht="23.25" customHeight="1">
      <c r="A25" s="2"/>
      <c r="B25" s="2"/>
      <c r="C25" s="2"/>
      <c r="D25" s="2"/>
      <c r="E25" s="2"/>
      <c r="F25" s="2"/>
    </row>
    <row r="26" ht="25.5" customHeight="1">
      <c r="A26" s="91" t="s">
        <v>52</v>
      </c>
      <c r="B26" s="92"/>
      <c r="C26" s="92"/>
      <c r="D26" s="92"/>
      <c r="E26" s="92"/>
      <c r="F26" s="92"/>
    </row>
    <row r="27" ht="18.75" customHeight="1">
      <c r="A27" s="5" t="s">
        <v>53</v>
      </c>
      <c r="D27" s="5" t="s">
        <v>54</v>
      </c>
      <c r="F27" s="93"/>
    </row>
    <row r="28" ht="18.75" customHeight="1">
      <c r="F28" s="93"/>
    </row>
    <row r="29" ht="18.75" customHeight="1">
      <c r="F29" s="93"/>
    </row>
    <row r="30" ht="18.75" customHeight="1">
      <c r="F30" s="93"/>
    </row>
    <row r="31" ht="18.75" customHeight="1">
      <c r="F31" s="93"/>
    </row>
    <row r="32" ht="18.75" customHeight="1">
      <c r="F32" s="93"/>
    </row>
    <row r="33" ht="18.75" customHeight="1">
      <c r="F33" s="93"/>
    </row>
    <row r="34" ht="18.75" customHeight="1">
      <c r="F34" s="93"/>
    </row>
    <row r="35" ht="18.75" customHeight="1">
      <c r="D35" s="94" t="s">
        <v>55</v>
      </c>
      <c r="E35" s="94"/>
      <c r="F35" s="95">
        <v>2500000.0</v>
      </c>
    </row>
    <row r="36" ht="18.75" customHeight="1">
      <c r="D36" s="94" t="s">
        <v>56</v>
      </c>
      <c r="E36" s="94"/>
      <c r="F36" s="95">
        <v>2500000.0</v>
      </c>
    </row>
    <row r="37" ht="18.75" customHeight="1">
      <c r="D37" s="94" t="s">
        <v>57</v>
      </c>
      <c r="E37" s="94"/>
      <c r="F37" s="95">
        <v>2000000.0</v>
      </c>
    </row>
    <row r="38" ht="18.75" customHeight="1">
      <c r="D38" s="94" t="s">
        <v>58</v>
      </c>
      <c r="E38" s="94"/>
      <c r="F38" s="95">
        <v>2000000.0</v>
      </c>
    </row>
    <row r="39" ht="18.75" customHeight="1">
      <c r="D39" s="94" t="s">
        <v>59</v>
      </c>
      <c r="E39" s="94"/>
      <c r="F39" s="95">
        <v>2000000.0</v>
      </c>
    </row>
    <row r="40" ht="18.75" customHeight="1">
      <c r="A40" s="94" t="s">
        <v>55</v>
      </c>
      <c r="C40" s="95">
        <v>2000.0</v>
      </c>
      <c r="D40" s="94" t="s">
        <v>60</v>
      </c>
      <c r="E40" s="94"/>
      <c r="F40" s="95">
        <v>150000.0</v>
      </c>
    </row>
    <row r="41" ht="18.75" customHeight="1">
      <c r="A41" s="94" t="s">
        <v>56</v>
      </c>
      <c r="C41" s="95">
        <v>1500.0</v>
      </c>
      <c r="D41" s="96"/>
      <c r="E41" s="96"/>
      <c r="F41" s="97" t="str">
        <f>IMAGE("https://quickchart.io/qr?text=" &amp; ENCODEURL(F3))</f>
        <v/>
      </c>
    </row>
    <row r="42" ht="18.75" customHeight="1">
      <c r="A42" s="94" t="s">
        <v>57</v>
      </c>
      <c r="C42" s="95">
        <v>1000.0</v>
      </c>
      <c r="D42" s="96"/>
      <c r="E42" s="98"/>
    </row>
    <row r="43" ht="18.75" customHeight="1">
      <c r="A43" s="94" t="s">
        <v>58</v>
      </c>
      <c r="C43" s="95">
        <v>1000.0</v>
      </c>
      <c r="E43" s="98"/>
    </row>
    <row r="44" ht="18.75" customHeight="1">
      <c r="A44" s="94" t="s">
        <v>59</v>
      </c>
      <c r="C44" s="95">
        <v>1000.0</v>
      </c>
      <c r="E44" s="98"/>
    </row>
    <row r="45" ht="18.75" customHeight="1">
      <c r="A45" s="99" t="s">
        <v>61</v>
      </c>
      <c r="E45" s="98"/>
    </row>
    <row r="46">
      <c r="A46" s="99"/>
    </row>
    <row r="47">
      <c r="A47" s="99"/>
      <c r="B47" s="99"/>
      <c r="C47" s="100" t="s">
        <v>62</v>
      </c>
    </row>
  </sheetData>
  <mergeCells count="33">
    <mergeCell ref="A1:C4"/>
    <mergeCell ref="E1:E2"/>
    <mergeCell ref="F1:F2"/>
    <mergeCell ref="A5:C7"/>
    <mergeCell ref="A10:C10"/>
    <mergeCell ref="D10:F10"/>
    <mergeCell ref="D11:F11"/>
    <mergeCell ref="A11:C11"/>
    <mergeCell ref="B13:D13"/>
    <mergeCell ref="C15:D15"/>
    <mergeCell ref="C16:D16"/>
    <mergeCell ref="C17:D17"/>
    <mergeCell ref="C18:D18"/>
    <mergeCell ref="C19:D19"/>
    <mergeCell ref="C20:D20"/>
    <mergeCell ref="B21:D21"/>
    <mergeCell ref="F21:F22"/>
    <mergeCell ref="C23:D23"/>
    <mergeCell ref="E23:F23"/>
    <mergeCell ref="E24:F24"/>
    <mergeCell ref="A26:F26"/>
    <mergeCell ref="A43:B43"/>
    <mergeCell ref="A44:B44"/>
    <mergeCell ref="A45:C45"/>
    <mergeCell ref="A46:C46"/>
    <mergeCell ref="C24:D24"/>
    <mergeCell ref="A27:C39"/>
    <mergeCell ref="D27:F34"/>
    <mergeCell ref="A40:B40"/>
    <mergeCell ref="A41:B41"/>
    <mergeCell ref="F41:F46"/>
    <mergeCell ref="A42:B42"/>
    <mergeCell ref="C47:F47"/>
  </mergeCells>
  <dataValidations>
    <dataValidation type="list" allowBlank="1" showErrorMessage="1" sqref="F3">
      <formula1>database!$Z$2:$Z47</formula1>
    </dataValidation>
  </dataValidations>
  <printOptions horizontalCentered="1"/>
  <pageMargins bottom="0.39370078740157477" footer="0.0" header="0.0" left="0.5905511811023622" right="0.905511811023622" top="0.6692913385826771"/>
  <pageSetup orientation="portrait" pageOrder="overThenDown" paperHeight="11.023622047244093in" paperWidth="9.448818897637794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sheetViews>
  <sheetFormatPr customHeight="1" defaultColWidth="14.43" defaultRowHeight="15.0"/>
  <cols>
    <col customWidth="1" min="1" max="1" width="4.29"/>
    <col customWidth="1" min="2" max="2" width="18.29"/>
    <col customWidth="1" min="3" max="3" width="23.43"/>
    <col customWidth="1" min="4" max="4" width="11.57"/>
    <col customWidth="1" min="5" max="5" width="22.0"/>
    <col customWidth="1" min="6" max="6" width="22.29"/>
    <col customWidth="1" min="7" max="7" width="20.71"/>
  </cols>
  <sheetData>
    <row r="1">
      <c r="A1" s="1"/>
      <c r="E1" s="2"/>
      <c r="F1" s="2"/>
      <c r="G1" s="2"/>
    </row>
    <row r="2">
      <c r="E2" s="2"/>
      <c r="F2" s="2"/>
      <c r="G2" s="2"/>
    </row>
    <row r="3">
      <c r="E3" s="2"/>
      <c r="F3" s="3" t="s">
        <v>0</v>
      </c>
      <c r="G3" s="2"/>
    </row>
    <row r="4">
      <c r="E4" s="2"/>
      <c r="F4" s="4" t="str">
        <f t="array" ref="F4">IFERROR(INDEX(customerDetails,MATCH(C13,INDEX(customerDetails,,1),0),2),"")</f>
        <v>Bpk. Kadir (Maintenance Velg)</v>
      </c>
    </row>
    <row r="5">
      <c r="E5" s="2"/>
      <c r="F5" s="5" t="str">
        <f t="array" ref="F5">IFERROR(INDEX(customerDetails,MATCH($C$13,INDEX(customerDetails,,1),0),5),"")</f>
        <v>Jl. Lkr. Bypass Krian Timur, Sidogolong, Watugolong, Kec. Krian, Kabupaten Sidoarjo, Jawa Timur 61262</v>
      </c>
    </row>
    <row r="6">
      <c r="A6" s="6" t="s">
        <v>1</v>
      </c>
      <c r="E6" s="2"/>
    </row>
    <row r="7">
      <c r="E7" s="2"/>
    </row>
    <row r="8">
      <c r="E8" s="2"/>
    </row>
    <row r="9">
      <c r="E9" s="2"/>
      <c r="F9" s="2"/>
      <c r="G9" s="2"/>
    </row>
    <row r="10">
      <c r="A10" s="2"/>
      <c r="B10" s="2"/>
      <c r="C10" s="2"/>
      <c r="D10" s="2"/>
      <c r="E10" s="2"/>
      <c r="F10" s="2"/>
      <c r="G10" s="2"/>
    </row>
    <row r="11" ht="21.0" customHeight="1">
      <c r="A11" s="7" t="s">
        <v>2</v>
      </c>
    </row>
    <row r="12">
      <c r="A12" s="3" t="s">
        <v>3</v>
      </c>
      <c r="C12" s="8" t="str">
        <f t="array" ref="C12">IFERROR(INDEX(customerDetails,MATCH(C13,INDEX(customerDetails,,1),0),3),"")</f>
        <v/>
      </c>
      <c r="E12" s="3" t="s">
        <v>4</v>
      </c>
      <c r="F12" s="8" t="s">
        <v>63</v>
      </c>
    </row>
    <row r="13">
      <c r="A13" s="3" t="s">
        <v>6</v>
      </c>
      <c r="C13" s="10" t="str">
        <f t="array" ref="C13">INDEX(customInv,MATCH($F$12,INDEX(customInv,,1),0),3)</f>
        <v>ec231cc9</v>
      </c>
      <c r="E13" s="3" t="s">
        <v>7</v>
      </c>
      <c r="F13" s="11" t="str">
        <f>IFERROR(__xludf.DUMMYFUNCTION("INDEX(TEXT(SORT(QUERY(customInv,""SELECT AQ WHERE AL='""&amp;$F$12&amp;""'""),1,FALSE),""DD/MM/YYYY""),1,1)"),"17/04/2026")</f>
        <v>17/04/2026</v>
      </c>
    </row>
    <row r="14">
      <c r="A14" s="3" t="s">
        <v>8</v>
      </c>
      <c r="C14" s="12"/>
      <c r="E14" s="13" t="s">
        <v>9</v>
      </c>
      <c r="F14" s="101">
        <f t="array" ref="F14">F13 + INDEX(customerDetails,MATCH(C13,INDEX(customerDetails,,1),0),6)</f>
        <v>46143</v>
      </c>
    </row>
    <row r="15">
      <c r="A15" s="14"/>
      <c r="B15" s="14"/>
      <c r="C15" s="14"/>
      <c r="D15" s="14"/>
      <c r="E15" s="14"/>
      <c r="F15" s="14"/>
      <c r="G15" s="14"/>
    </row>
    <row r="16">
      <c r="A16" s="15" t="s">
        <v>10</v>
      </c>
      <c r="B16" s="15" t="s">
        <v>11</v>
      </c>
      <c r="C16" s="16"/>
      <c r="D16" s="15" t="s">
        <v>12</v>
      </c>
      <c r="E16" s="15" t="s">
        <v>13</v>
      </c>
      <c r="F16" s="15" t="s">
        <v>14</v>
      </c>
      <c r="G16" s="15" t="s">
        <v>15</v>
      </c>
    </row>
    <row r="17">
      <c r="A17" s="17">
        <f t="array" ref="A17:A19">IFERROR(SEQUENCE(COUNTA(B17:B24),1),"")</f>
        <v>1</v>
      </c>
      <c r="B17" s="102" t="str">
        <f>IFERROR(__xludf.DUMMYFUNCTION("UNIQUE(FILTER(
  database!G2:G53,
  ISNUMBER(MATCH(database!B2:B53,ARRAYFORMULA(SPLIT(REGEXREPLACE(A36,""(\d+)"",""'$1""),"" ""))
, 0))
))
"),"Oksigen 6m3")</f>
        <v>Oksigen 6m3</v>
      </c>
      <c r="C17" s="18"/>
      <c r="D17" s="17" t="str">
        <f t="array" ref="D17">IF(ISBLANK($B17),"", INDEX(itemCategoryDetails,MATCH($B17,INDEX(itemCategoryDetails,,2),0),5))</f>
        <v>Btl</v>
      </c>
      <c r="E17" s="17">
        <f>IFERROR(__xludf.DUMMYFUNCTION("IF(ISBLANK($B17),"""",SUM(FILTER(
  database!$J$2:$J53,
  ISNUMBER(MATCH(database!$B$2:$B53,ARRAYFORMULA(SPLIT(REGEXREPLACE($A$36,""(\d+)"",""'$1""),"" ""))
, 0)),database!$G$2:$G53=$B17
)))"),16.0)</f>
        <v>16</v>
      </c>
      <c r="F17" s="19">
        <f>IFERROR(__xludf.DUMMYFUNCTION("IF(ISBLANK($B17),"""",INDEX(FILTER(
  database!$L$2:$L53,
  ISNUMBER(MATCH(database!$B$2:$B53,ARRAYFORMULA(SPLIT(REGEXREPLACE($A$36,""(\d+)"",""'$1""),"" ""))
, 0)),database!$G$2:$G53=$B17
),1,))"),55000.0)</f>
        <v>55000</v>
      </c>
      <c r="G17" s="19">
        <f t="shared" ref="G17:G24" si="1">IF(ISBLANK($B17),"",$E17*$F17)</f>
        <v>880000</v>
      </c>
    </row>
    <row r="18">
      <c r="A18" s="17">
        <v>2.0</v>
      </c>
      <c r="B18" s="13" t="str">
        <f>IFERROR(__xludf.DUMMYFUNCTION("""COMPUTED_VALUE"""),"Karbondioksida")</f>
        <v>Karbondioksida</v>
      </c>
      <c r="C18" s="18"/>
      <c r="D18" s="17" t="str">
        <f t="array" ref="D18">IF(ISBLANK($B18),"", INDEX(itemCategoryDetails,MATCH($B18,INDEX(itemCategoryDetails,,2),0),5))</f>
        <v>Btl</v>
      </c>
      <c r="E18" s="17">
        <f>IFERROR(__xludf.DUMMYFUNCTION("IF(ISBLANK($B18),"""",SUM(FILTER(
  database!$J$2:$J53,
  ISNUMBER(MATCH(database!$B$2:$B53,ARRAYFORMULA(SPLIT(REGEXREPLACE($A$36,""(\d+)"",""'$1""),"" ""))
, 0)),database!$G$2:$G53=$B18
)))"),5.0)</f>
        <v>5</v>
      </c>
      <c r="F18" s="19">
        <f>IFERROR(__xludf.DUMMYFUNCTION("IF(ISBLANK($B18),"""",INDEX(FILTER(
  database!$L$2:$L53,
  ISNUMBER(MATCH(database!$B$2:$B53,ARRAYFORMULA(SPLIT(REGEXREPLACE($A$36,""(\d+)"",""'$1""),"" ""))
, 0)),database!$G$2:$G53=$B18
),1,))"),175000.0)</f>
        <v>175000</v>
      </c>
      <c r="G18" s="19">
        <f t="shared" si="1"/>
        <v>875000</v>
      </c>
    </row>
    <row r="19" ht="15.0" customHeight="1">
      <c r="A19" s="17">
        <v>3.0</v>
      </c>
      <c r="B19" s="13" t="str">
        <f>IFERROR(__xludf.DUMMYFUNCTION("""COMPUTED_VALUE"""),"Oksigen 7m3")</f>
        <v>Oksigen 7m3</v>
      </c>
      <c r="C19" s="21"/>
      <c r="D19" s="17" t="str">
        <f t="array" ref="D19">IF(ISBLANK($B19),"", INDEX(itemCategoryDetails,MATCH($B19,INDEX(itemCategoryDetails,,2),0),5))</f>
        <v>Btl</v>
      </c>
      <c r="E19" s="17">
        <f>IFERROR(__xludf.DUMMYFUNCTION("IF(ISBLANK($B19),"""",SUM(FILTER(
  database!$J$2:$J53,
  ISNUMBER(MATCH(database!$B$2:$B53,ARRAYFORMULA(SPLIT(REGEXREPLACE($A$36,""(\d+)"",""'$1""),"" ""))
, 0)),database!$G$2:$G53=$B19
)))"),1.0)</f>
        <v>1</v>
      </c>
      <c r="F19" s="19">
        <f>IFERROR(__xludf.DUMMYFUNCTION("IF(ISBLANK($B19),"""",INDEX(FILTER(
  database!$L$2:$L53,
  ISNUMBER(MATCH(database!$B$2:$B53,ARRAYFORMULA(SPLIT(REGEXREPLACE($A$36,""(\d+)"",""'$1""),"" ""))
, 0)),database!$G$2:$G53=$B19
),1,))"),55000.0)</f>
        <v>55000</v>
      </c>
      <c r="G19" s="19">
        <f t="shared" si="1"/>
        <v>55000</v>
      </c>
    </row>
    <row r="20" ht="15.0" customHeight="1">
      <c r="A20" s="17"/>
      <c r="B20" s="13"/>
      <c r="D20" s="17" t="str">
        <f t="array" ref="D20">IF(ISBLANK($B20),"", INDEX(itemCategoryDetails,MATCH($B20,INDEX(itemCategoryDetails,,2),0),5))</f>
        <v/>
      </c>
      <c r="E20" s="17" t="str">
        <f>IFERROR(__xludf.DUMMYFUNCTION("IF(ISBLANK($B20),"""",SUM(FILTER(
  database!$J$2:$J53,
  ISNUMBER(MATCH(database!$B$2:$B53,ARRAYFORMULA(SPLIT(REGEXREPLACE($A$36,""(\d+)"",""'$1""),"" ""))
, 0)),database!$G$2:$G53=$B20
)))"),"")</f>
        <v/>
      </c>
      <c r="F20" s="19" t="str">
        <f>IFERROR(__xludf.DUMMYFUNCTION("IF(ISBLANK($B20),"""",INDEX(FILTER(
  database!$L$2:$L53,
  ISNUMBER(MATCH(database!$B$2:$B53,ARRAYFORMULA(SPLIT(REGEXREPLACE($A$36,""(\d+)"",""'$1""),"" ""))
, 0)),database!$G$2:$G53=$B20
),1,))")," ")</f>
        <v/>
      </c>
      <c r="G20" s="19" t="str">
        <f t="shared" si="1"/>
        <v/>
      </c>
    </row>
    <row r="21" ht="15.0" customHeight="1">
      <c r="D21" s="17" t="str">
        <f t="array" ref="D21">IF(ISBLANK($B21),"", INDEX(itemCategoryDetails,MATCH($B21,INDEX(itemCategoryDetails,,2),0),5))</f>
        <v/>
      </c>
      <c r="E21" s="17" t="str">
        <f>IFERROR(__xludf.DUMMYFUNCTION("IF(ISBLANK($B21),"""",SUM(FILTER(
  database!$J$2:$J53,
  ISNUMBER(MATCH(database!$B$2:$B53,ARRAYFORMULA(SPLIT(REGEXREPLACE($A$36,""(\d+)"",""'$1""),"" ""))
, 0)),database!$G$2:$G53=$B21
)))"),"")</f>
        <v/>
      </c>
      <c r="F21" s="19" t="str">
        <f>IFERROR(__xludf.DUMMYFUNCTION("IF(ISBLANK($B21),"""",INDEX(FILTER(
  database!$L$2:$L53,
  ISNUMBER(MATCH(database!$B$2:$B53,ARRAYFORMULA(SPLIT(REGEXREPLACE($A$36,""(\d+)"",""'$1""),"" ""))
, 0)),database!$G$2:$G53=$B21
),1,))")," ")</f>
        <v/>
      </c>
      <c r="G21" s="19" t="str">
        <f t="shared" si="1"/>
        <v/>
      </c>
    </row>
    <row r="22">
      <c r="D22" s="17" t="str">
        <f t="array" ref="D22">IF(ISBLANK($B22),"", INDEX(itemCategoryDetails,MATCH($B22,INDEX(itemCategoryDetails,,2),0),5))</f>
        <v/>
      </c>
      <c r="E22" s="17" t="str">
        <f>IFERROR(__xludf.DUMMYFUNCTION("IF(ISBLANK($B22),"""",SUM(FILTER(
  database!$J$2:$J53,
  ISNUMBER(MATCH(database!$B$2:$B53,ARRAYFORMULA(SPLIT(REGEXREPLACE($A$36,""(\d+)"",""'$1""),"" ""))
, 0)),database!$G$2:$G53=$B22
)))"),"")</f>
        <v/>
      </c>
      <c r="F22" s="19" t="str">
        <f>IFERROR(__xludf.DUMMYFUNCTION("IF(ISBLANK($B22),"""",INDEX(FILTER(
  database!$L$2:$L53,
  ISNUMBER(MATCH(database!$B$2:$B53,ARRAYFORMULA(SPLIT(REGEXREPLACE($A$36,""(\d+)"",""'$1""),"" ""))
, 0)),database!$G$2:$G53=$B22
),1,))")," ")</f>
        <v/>
      </c>
      <c r="G22" s="19" t="str">
        <f t="shared" si="1"/>
        <v/>
      </c>
    </row>
    <row r="23">
      <c r="D23" s="17" t="str">
        <f t="array" ref="D23">IF(ISBLANK($B23),"", INDEX(itemCategoryDetails,MATCH($B23,INDEX(itemCategoryDetails,,2),0),5))</f>
        <v/>
      </c>
      <c r="E23" s="17" t="str">
        <f>IFERROR(__xludf.DUMMYFUNCTION("IF(ISBLANK($B23),"""",SUM(FILTER(
  database!$J$2:$J53,
  ISNUMBER(MATCH(database!$B$2:$B53,ARRAYFORMULA(SPLIT(REGEXREPLACE($A$36,""(\d+)"",""'$1""),"" ""))
, 0)),database!$G$2:$G53=$B23
)))"),"")</f>
        <v/>
      </c>
      <c r="F23" s="19" t="str">
        <f>IFERROR(__xludf.DUMMYFUNCTION("IF(ISBLANK($B23),"""",INDEX(FILTER(
  database!$L$2:$L53,
  ISNUMBER(MATCH(database!$B$2:$B53,ARRAYFORMULA(SPLIT(REGEXREPLACE($A$36,""(\d+)"",""'$1""),"" ""))
, 0)),database!$G$2:$G53=$B23
),1,))")," ")</f>
        <v/>
      </c>
      <c r="G23" s="19" t="str">
        <f t="shared" si="1"/>
        <v/>
      </c>
    </row>
    <row r="24">
      <c r="D24" s="17" t="str">
        <f t="array" ref="D24">IF(ISBLANK($B24),"", INDEX(itemCategoryDetails,MATCH($B24,INDEX(itemCategoryDetails,,2),0),5))</f>
        <v/>
      </c>
      <c r="E24" s="17" t="str">
        <f>IFERROR(__xludf.DUMMYFUNCTION("IF(ISBLANK($B24),"""",SUM(FILTER(
  database!$J$2:$J53,
  ISNUMBER(MATCH(database!$B$2:$B53,ARRAYFORMULA(SPLIT(REGEXREPLACE($A$36,""(\d+)"",""'$1""),"" ""))
, 0)),database!$G$2:$G53=$B24
)))"),"")</f>
        <v/>
      </c>
      <c r="F24" s="19" t="str">
        <f>IFERROR(__xludf.DUMMYFUNCTION("IF(ISBLANK($B24),"""",INDEX(FILTER(
  database!$L$2:$L53,
  ISNUMBER(MATCH(database!$B$2:$B53,ARRAYFORMULA(SPLIT(REGEXREPLACE($A$36,""(\d+)"",""'$1""),"" ""))
, 0)),database!$G$2:$G53=$B24
),1,))")," ")</f>
        <v/>
      </c>
      <c r="G24" s="19" t="str">
        <f t="shared" si="1"/>
        <v/>
      </c>
    </row>
    <row r="25">
      <c r="A25" s="23"/>
      <c r="B25" s="24"/>
      <c r="C25" s="25"/>
      <c r="D25" s="25"/>
      <c r="E25" s="24" t="s">
        <v>16</v>
      </c>
      <c r="F25" s="25"/>
      <c r="G25" s="19">
        <f>SUM(G17:G24)</f>
        <v>1810000</v>
      </c>
    </row>
    <row r="26">
      <c r="A26" s="27"/>
      <c r="B26" s="27"/>
      <c r="C26" s="27"/>
      <c r="D26" s="14"/>
      <c r="E26" s="3" t="s">
        <v>18</v>
      </c>
      <c r="F26" s="14"/>
      <c r="G26" s="19"/>
    </row>
    <row r="27">
      <c r="A27" s="27"/>
      <c r="B27" s="27"/>
      <c r="C27" s="27"/>
      <c r="D27" s="14"/>
      <c r="E27" s="3" t="s">
        <v>19</v>
      </c>
      <c r="F27" s="14"/>
      <c r="G27" s="19"/>
    </row>
    <row r="28">
      <c r="A28" s="27"/>
      <c r="B28" s="27"/>
      <c r="C28" s="27"/>
      <c r="D28" s="14"/>
      <c r="E28" s="3" t="s">
        <v>20</v>
      </c>
      <c r="F28" s="14"/>
      <c r="G28" s="19" t="str">
        <f>IFERROR(__xludf.DUMMYFUNCTION("IFERROR(IF(INDEX(customerDetails,MATCH(C13,INDEX(customerDetails,,1),0),4)=TRUE,G25-IFERROR(SUM(QUERY($B$17:$G$24,""SELECT G WHERE B CONTAINS 'Non PPN'"")),0),""""))")," ")</f>
        <v/>
      </c>
    </row>
    <row r="29">
      <c r="A29" s="30"/>
      <c r="B29" s="14"/>
      <c r="C29" s="14"/>
      <c r="D29" s="14"/>
      <c r="E29" s="3" t="s">
        <v>21</v>
      </c>
      <c r="F29" s="14"/>
      <c r="G29" s="19" t="str">
        <f t="array" ref="G29">IFERROR(IF(INDEX(customerDetails,MATCH(C13,INDEX(customerDetails,,1),0),4)=TRUE,$G28*11/100,""),"")</f>
        <v/>
      </c>
    </row>
    <row r="30">
      <c r="A30" s="30"/>
      <c r="B30" s="14"/>
      <c r="C30" s="14"/>
      <c r="D30" s="14"/>
      <c r="E30" s="21" t="s">
        <v>22</v>
      </c>
      <c r="F30" s="31"/>
      <c r="G30" s="32">
        <f>round(G25+G29,0)</f>
        <v>1810000</v>
      </c>
    </row>
    <row r="31">
      <c r="A31" s="14"/>
      <c r="B31" s="14"/>
      <c r="C31" s="14"/>
      <c r="D31" s="14"/>
      <c r="E31" s="14"/>
      <c r="F31" s="14"/>
      <c r="G31" s="14"/>
    </row>
    <row r="32">
      <c r="A32" s="3" t="s">
        <v>23</v>
      </c>
      <c r="B32" s="14"/>
      <c r="C32" s="14"/>
      <c r="D32" s="14"/>
      <c r="E32" s="14"/>
      <c r="F32" s="17" t="str">
        <f>"Sidoarjo,"&amp;" "&amp;text(F13,"dd mmmm yyy")</f>
        <v>Sidoarjo, 17 April 2026</v>
      </c>
    </row>
    <row r="33">
      <c r="A33" s="103" t="str">
        <f>IFERROR(__xludf.DUMMYFUNCTION("CONCATENATE(""Pengiriman periode "",""
"",INDEX(TEXT(SORT(QUERY(customInv,""SELECT AQ WHERE AL='""&amp;$F$12&amp;""'""),1,TRUE),""DD MMMM YYYY""),1,1),"" - "",INDEX(TEXT(SORT(QUERY(customInv,""SELECT AQ WHERE AL='""&amp;$F$12&amp;""'""),1,TRUE),""DD MMMM YYYY""),COUNT(QU"&amp;"ERY(customInv,""SELECT AQ WHERE AL='""&amp;$F$12&amp;""'"")),1))"),"Pengiriman periode 
01 April 2026 - 17 April 2026")</f>
        <v>Pengiriman periode 
01 April 2026 - 17 April 2026</v>
      </c>
      <c r="D33" s="14"/>
      <c r="E33" s="14"/>
      <c r="F33" s="14"/>
      <c r="G33" s="14"/>
    </row>
    <row r="34">
      <c r="D34" s="14"/>
      <c r="E34" s="14"/>
      <c r="F34" s="14"/>
      <c r="G34" s="14"/>
    </row>
    <row r="35">
      <c r="A35" s="3" t="s">
        <v>64</v>
      </c>
      <c r="B35" s="14"/>
      <c r="C35" s="14"/>
      <c r="D35" s="14"/>
      <c r="E35" s="14"/>
      <c r="F35" s="14"/>
      <c r="G35" s="14"/>
    </row>
    <row r="36">
      <c r="A36" s="104" t="str">
        <f>IFERROR(__xludf.DUMMYFUNCTION("JOIN("" "",QUERY(customInv,""SELECT AM WHERE AL='""&amp;$F$12&amp;""' ORDER BY AQ DESC""))"),"0426533113 0426523078 0426513006 0426502950")</f>
        <v>0426533113 0426523078 0426513006 0426502950</v>
      </c>
      <c r="D36" s="14"/>
      <c r="E36" s="14"/>
      <c r="F36" s="14"/>
      <c r="G36" s="14"/>
    </row>
    <row r="37">
      <c r="D37" s="14"/>
      <c r="E37" s="14"/>
      <c r="F37" s="34" t="s">
        <v>24</v>
      </c>
    </row>
    <row r="38">
      <c r="D38" s="2"/>
      <c r="E38" s="2"/>
      <c r="F38" s="2"/>
      <c r="G38" s="2"/>
    </row>
    <row r="39">
      <c r="D39" s="2"/>
      <c r="E39" s="2"/>
      <c r="F39" s="2"/>
      <c r="G39" s="2"/>
    </row>
    <row r="40">
      <c r="D40" s="2"/>
      <c r="E40" s="2"/>
      <c r="F40" s="2"/>
      <c r="G40" s="35"/>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t="str">
        <f>IMAGE("https://qris.interactive.co.id/restapi/qris/show_qris.php")</f>
        <v/>
      </c>
      <c r="C46" s="2"/>
      <c r="D46" s="2"/>
      <c r="E46" s="2"/>
      <c r="F46" s="2"/>
      <c r="G46" s="36" t="str">
        <f>IMAGE("https://quickchart.io/qr?text=" &amp; ENCODEURL($F$12))</f>
        <v/>
      </c>
    </row>
    <row r="47">
      <c r="A47" s="2"/>
      <c r="B47" s="2"/>
      <c r="C47" s="2"/>
      <c r="D47" s="2"/>
      <c r="E47" s="2"/>
      <c r="F47" s="2"/>
    </row>
    <row r="48">
      <c r="A48" s="2"/>
      <c r="B48" s="2"/>
      <c r="C48" s="2"/>
      <c r="D48" s="2"/>
      <c r="E48" s="2"/>
      <c r="F48" s="2"/>
    </row>
    <row r="49">
      <c r="A49" s="37" t="s">
        <v>25</v>
      </c>
      <c r="E49" s="2"/>
      <c r="F49" s="2"/>
    </row>
    <row r="50">
      <c r="E50" s="2"/>
      <c r="F50" s="2"/>
    </row>
    <row r="51" ht="23.25" customHeight="1">
      <c r="A51" s="37"/>
      <c r="B51" s="38" t="s">
        <v>26</v>
      </c>
      <c r="C51" s="39" t="s">
        <v>27</v>
      </c>
      <c r="F51" s="40"/>
    </row>
    <row r="52">
      <c r="A52" s="41"/>
      <c r="B52" s="38" t="s">
        <v>28</v>
      </c>
      <c r="C52" s="39" t="s">
        <v>29</v>
      </c>
      <c r="E52" s="40"/>
      <c r="F52" s="40"/>
      <c r="G52" s="40"/>
    </row>
    <row r="53">
      <c r="A53" s="41"/>
      <c r="B53" s="38" t="s">
        <v>30</v>
      </c>
      <c r="C53" s="39" t="s">
        <v>31</v>
      </c>
      <c r="E53" s="40"/>
      <c r="F53" s="42" t="s">
        <v>32</v>
      </c>
      <c r="G53" s="42" t="s">
        <v>33</v>
      </c>
    </row>
  </sheetData>
  <mergeCells count="24">
    <mergeCell ref="A1:D5"/>
    <mergeCell ref="F4:G4"/>
    <mergeCell ref="F5:G8"/>
    <mergeCell ref="A6:D9"/>
    <mergeCell ref="A11:G11"/>
    <mergeCell ref="C12:D12"/>
    <mergeCell ref="F12:G12"/>
    <mergeCell ref="A12:B12"/>
    <mergeCell ref="A13:B13"/>
    <mergeCell ref="C13:D13"/>
    <mergeCell ref="F13:G13"/>
    <mergeCell ref="A14:B14"/>
    <mergeCell ref="C14:D14"/>
    <mergeCell ref="B16:C16"/>
    <mergeCell ref="C51:E51"/>
    <mergeCell ref="C52:D52"/>
    <mergeCell ref="C53:D53"/>
    <mergeCell ref="F14:G14"/>
    <mergeCell ref="F32:G32"/>
    <mergeCell ref="A33:C34"/>
    <mergeCell ref="A36:C40"/>
    <mergeCell ref="F37:G37"/>
    <mergeCell ref="G46:G51"/>
    <mergeCell ref="A49:D50"/>
  </mergeCells>
  <dataValidations>
    <dataValidation type="list" allowBlank="1" showErrorMessage="1" sqref="F12">
      <formula1>database!$AL$2:$AL53</formula1>
    </dataValidation>
  </dataValidations>
  <printOptions horizontalCentered="1"/>
  <pageMargins bottom="0.39370078740157477" footer="0.0" header="0.0" left="0.5905511811023622" right="0.905511811023622" top="0.6692913385826771"/>
  <pageSetup orientation="portrait" pageOrder="overThenDown" paperHeight="11.023622047244093in" paperWidth="9.448818897637794i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sheetViews>
  <sheetFormatPr customHeight="1" defaultColWidth="14.43" defaultRowHeight="15.0"/>
  <cols>
    <col customWidth="1" min="1" max="1" width="4.29"/>
    <col customWidth="1" min="2" max="2" width="18.29"/>
    <col customWidth="1" min="3" max="3" width="23.43"/>
    <col customWidth="1" min="4" max="4" width="11.57"/>
    <col customWidth="1" min="5" max="5" width="22.0"/>
    <col customWidth="1" min="6" max="6" width="22.29"/>
    <col customWidth="1" min="7" max="7" width="20.71"/>
  </cols>
  <sheetData>
    <row r="1">
      <c r="A1" s="1"/>
      <c r="E1" s="2"/>
      <c r="F1" s="2"/>
      <c r="G1" s="2"/>
    </row>
    <row r="2">
      <c r="E2" s="2"/>
      <c r="F2" s="2"/>
      <c r="G2" s="2"/>
    </row>
    <row r="3">
      <c r="E3" s="2"/>
      <c r="F3" s="3" t="s">
        <v>0</v>
      </c>
      <c r="G3" s="2"/>
    </row>
    <row r="4">
      <c r="E4" s="2"/>
      <c r="F4" s="4" t="str">
        <f t="array" ref="F4">IFERROR(INDEX(customerDetails,MATCH(C13,INDEX(customerDetails,,1),0),2),"")</f>
        <v>Bpk. Kadir (Maintenance Velg)</v>
      </c>
    </row>
    <row r="5">
      <c r="E5" s="2"/>
      <c r="F5" s="5" t="str">
        <f t="array" ref="F5">IFERROR(INDEX(customerDetails,MATCH($C$13,INDEX(customerDetails,,1),0),5),"")</f>
        <v>Jl. Lkr. Bypass Krian Timur, Sidogolong, Watugolong, Kec. Krian, Kabupaten Sidoarjo, Jawa Timur 61262</v>
      </c>
    </row>
    <row r="6">
      <c r="A6" s="6" t="s">
        <v>1</v>
      </c>
      <c r="E6" s="2"/>
    </row>
    <row r="7">
      <c r="E7" s="2"/>
    </row>
    <row r="8">
      <c r="E8" s="2"/>
    </row>
    <row r="9">
      <c r="E9" s="2"/>
      <c r="F9" s="2"/>
      <c r="G9" s="2"/>
    </row>
    <row r="10">
      <c r="A10" s="2"/>
      <c r="B10" s="2"/>
      <c r="C10" s="2"/>
      <c r="D10" s="2"/>
      <c r="E10" s="2"/>
      <c r="F10" s="2"/>
      <c r="G10" s="2"/>
    </row>
    <row r="11" ht="21.0" customHeight="1">
      <c r="A11" s="7" t="s">
        <v>2</v>
      </c>
    </row>
    <row r="12">
      <c r="A12" s="3" t="s">
        <v>3</v>
      </c>
      <c r="C12" s="8" t="str">
        <f t="array" ref="C12">IFERROR(INDEX(customerDetails,MATCH(C13,INDEX(customerDetails,,1),0),3),"")</f>
        <v/>
      </c>
      <c r="E12" s="3" t="s">
        <v>4</v>
      </c>
      <c r="F12" s="8" t="str">
        <f>'Faktur Masa (Print)'!$F$12</f>
        <v>2260314</v>
      </c>
    </row>
    <row r="13">
      <c r="A13" s="3" t="s">
        <v>6</v>
      </c>
      <c r="C13" s="10" t="str">
        <f t="array" ref="C13">INDEX(customInv,MATCH($F$12,INDEX(customInv,,1),0),3)</f>
        <v>ec231cc9</v>
      </c>
      <c r="E13" s="3" t="s">
        <v>7</v>
      </c>
      <c r="F13" s="11" t="str">
        <f>IFERROR(__xludf.DUMMYFUNCTION("INDEX(TEXT(SORT(QUERY(customInv,""SELECT AQ WHERE AL='""&amp;$F$12&amp;""'""),1,FALSE),""DD/MM/YYYY""),1,1)"),"17/04/2026")</f>
        <v>17/04/2026</v>
      </c>
    </row>
    <row r="14">
      <c r="A14" s="3" t="s">
        <v>8</v>
      </c>
      <c r="C14" s="12"/>
      <c r="E14" s="13" t="s">
        <v>9</v>
      </c>
      <c r="F14" s="101">
        <f t="array" ref="F14">F13 + INDEX(customerDetails,MATCH(C13,INDEX(customerDetails,,1),0),6)</f>
        <v>46143</v>
      </c>
    </row>
    <row r="15">
      <c r="A15" s="14"/>
      <c r="B15" s="14"/>
      <c r="C15" s="14"/>
      <c r="D15" s="14"/>
      <c r="E15" s="14"/>
      <c r="F15" s="14"/>
      <c r="G15" s="14"/>
    </row>
    <row r="16">
      <c r="A16" s="15" t="s">
        <v>10</v>
      </c>
      <c r="B16" s="15" t="s">
        <v>11</v>
      </c>
      <c r="C16" s="16"/>
      <c r="D16" s="15" t="s">
        <v>12</v>
      </c>
      <c r="E16" s="15" t="s">
        <v>13</v>
      </c>
      <c r="F16" s="15" t="s">
        <v>14</v>
      </c>
      <c r="G16" s="15" t="s">
        <v>15</v>
      </c>
    </row>
    <row r="17">
      <c r="A17" s="17">
        <f t="array" ref="A17:A19">IFERROR(SEQUENCE(COUNTA(B17:B22),1),"")</f>
        <v>1</v>
      </c>
      <c r="B17" s="102" t="str">
        <f>IFERROR(__xludf.DUMMYFUNCTION("UNIQUE(FILTER(
  database!G2:G56,
  ISNUMBER(MATCH(database!B2:B56,ARRAYFORMULA(SPLIT(REGEXREPLACE(A36,""(\d+)"",""'$1""),"" ""))
, 0))
))
"),"Oksigen 6m3")</f>
        <v>Oksigen 6m3</v>
      </c>
      <c r="C17" s="18"/>
      <c r="D17" s="17" t="str">
        <f t="array" ref="D17">IF(ISBLANK($B17),"", INDEX(itemCategoryDetails,MATCH($B17,INDEX(itemCategoryDetails,,2),0),5))</f>
        <v>Btl</v>
      </c>
      <c r="E17" s="17">
        <f>IFERROR(__xludf.DUMMYFUNCTION("IF(ISBLANK($B17),"""",SUM(FILTER(
  database!$J$2:$J56,
  ISNUMBER(MATCH(database!$B$2:$B56,ARRAYFORMULA(SPLIT(REGEXREPLACE($A$36,""(\d+)"",""'$1""),"" ""))
, 0)),database!$G$2:$G56=$B17
)))"),16.0)</f>
        <v>16</v>
      </c>
      <c r="F17" s="19">
        <f>IFERROR(__xludf.DUMMYFUNCTION("IF(ISBLANK($B17),"""",INDEX(FILTER(
  database!$L$2:$L56,
  ISNUMBER(MATCH(database!$B$2:$B56,ARRAYFORMULA(SPLIT(REGEXREPLACE($A$36,""(\d+)"",""'$1""),"" ""))
, 0)),database!$G$2:$G56=$B17
),1,))"),55000.0)</f>
        <v>55000</v>
      </c>
      <c r="G17" s="19">
        <f t="shared" ref="G17:G20" si="1">IF(ISBLANK($B17),"",$E17*$F17)</f>
        <v>880000</v>
      </c>
    </row>
    <row r="18">
      <c r="A18" s="17">
        <v>2.0</v>
      </c>
      <c r="B18" s="13" t="str">
        <f>IFERROR(__xludf.DUMMYFUNCTION("""COMPUTED_VALUE"""),"Karbondioksida")</f>
        <v>Karbondioksida</v>
      </c>
      <c r="C18" s="18"/>
      <c r="D18" s="17" t="str">
        <f t="array" ref="D18">IF(ISBLANK($B18),"", INDEX(itemCategoryDetails,MATCH($B18,INDEX(itemCategoryDetails,,2),0),5))</f>
        <v>Btl</v>
      </c>
      <c r="E18" s="17">
        <f>IFERROR(__xludf.DUMMYFUNCTION("IF(ISBLANK($B18),"""",SUM(FILTER(
  database!$J$2:$J56,
  ISNUMBER(MATCH(database!$B$2:$B56,ARRAYFORMULA(SPLIT(REGEXREPLACE($A$36,""(\d+)"",""'$1""),"" ""))
, 0)),database!$G$2:$G56=$B18
)))"),5.0)</f>
        <v>5</v>
      </c>
      <c r="F18" s="19">
        <f>IFERROR(__xludf.DUMMYFUNCTION("IF(ISBLANK($B18),"""",INDEX(FILTER(
  database!$L$2:$L56,
  ISNUMBER(MATCH(database!$B$2:$B56,ARRAYFORMULA(SPLIT(REGEXREPLACE($A$36,""(\d+)"",""'$1""),"" ""))
, 0)),database!$G$2:$G56=$B18
),1,))"),175000.0)</f>
        <v>175000</v>
      </c>
      <c r="G18" s="19">
        <f t="shared" si="1"/>
        <v>875000</v>
      </c>
    </row>
    <row r="19" ht="15.0" customHeight="1">
      <c r="A19" s="17">
        <v>3.0</v>
      </c>
      <c r="B19" s="13" t="str">
        <f>IFERROR(__xludf.DUMMYFUNCTION("""COMPUTED_VALUE"""),"Oksigen 7m3")</f>
        <v>Oksigen 7m3</v>
      </c>
      <c r="C19" s="21"/>
      <c r="D19" s="17" t="str">
        <f t="array" ref="D19">IF(ISBLANK($B19),"", INDEX(itemCategoryDetails,MATCH($B19,INDEX(itemCategoryDetails,,2),0),5))</f>
        <v>Btl</v>
      </c>
      <c r="E19" s="17">
        <f>IFERROR(__xludf.DUMMYFUNCTION("IF(ISBLANK($B19),"""",SUM(FILTER(
  database!$J$2:$J56,
  ISNUMBER(MATCH(database!$B$2:$B56,ARRAYFORMULA(SPLIT(REGEXREPLACE($A$36,""(\d+)"",""'$1""),"" ""))
, 0)),database!$G$2:$G56=$B19
)))"),1.0)</f>
        <v>1</v>
      </c>
      <c r="F19" s="19">
        <f>IFERROR(__xludf.DUMMYFUNCTION("IF(ISBLANK($B19),"""",INDEX(FILTER(
  database!$L$2:$L56,
  ISNUMBER(MATCH(database!$B$2:$B56,ARRAYFORMULA(SPLIT(REGEXREPLACE($A$36,""(\d+)"",""'$1""),"" ""))
, 0)),database!$G$2:$G56=$B19
),1,))"),55000.0)</f>
        <v>55000</v>
      </c>
      <c r="G19" s="19">
        <f t="shared" si="1"/>
        <v>55000</v>
      </c>
    </row>
    <row r="20" ht="15.0" customHeight="1">
      <c r="A20" s="17"/>
      <c r="B20" s="13"/>
      <c r="D20" s="17" t="str">
        <f t="array" ref="D20">IF(ISBLANK($B20),"", INDEX(itemCategoryDetails,MATCH($B20,INDEX(itemCategoryDetails,,2),0),5))</f>
        <v/>
      </c>
      <c r="E20" s="17" t="str">
        <f>IFERROR(__xludf.DUMMYFUNCTION("IF(ISBLANK($B20),"""",SUM(FILTER(
  database!$J$2:$J56,
  ISNUMBER(MATCH(database!$B$2:$B56,ARRAYFORMULA(SPLIT(REGEXREPLACE($A$36,""(\d+)"",""'$1""),"" ""))
, 0)),database!$G$2:$G56=$B20
)))"),"")</f>
        <v/>
      </c>
      <c r="F20" s="19" t="str">
        <f>IFERROR(__xludf.DUMMYFUNCTION("IF(ISBLANK($B20),"""",INDEX(FILTER(
  database!$L$2:$L56,
  ISNUMBER(MATCH(database!$B$2:$B56,ARRAYFORMULA(SPLIT(REGEXREPLACE($A$36,""(\d+)"",""'$1""),"" ""))
, 0)),database!$G$2:$G56=$B20
),1,))")," ")</f>
        <v/>
      </c>
      <c r="G20" s="19" t="str">
        <f t="shared" si="1"/>
        <v/>
      </c>
    </row>
    <row r="21" ht="15.0" customHeight="1">
      <c r="D21" s="17"/>
      <c r="E21" s="17"/>
      <c r="F21" s="19" t="str">
        <f>IFERROR(__xludf.DUMMYFUNCTION("IF(ISBLANK($B21),"""",INDEX(FILTER(
  database!$L$2:$L56,
  ISNUMBER(MATCH(database!$B$2:$B56,ARRAYFORMULA(SPLIT(REGEXREPLACE($A$36,""(\d+)"",""'$1""),"" ""))
, 0)),database!$G$2:$G56=$B21
),1,))")," ")</f>
        <v/>
      </c>
      <c r="G21" s="19"/>
    </row>
    <row r="22">
      <c r="D22" s="17" t="str">
        <f t="array" ref="D22">IF(ISBLANK($B22),"", INDEX(itemCategoryDetails,MATCH($B22,INDEX(itemCategoryDetails,,2),0),5))</f>
        <v/>
      </c>
      <c r="E22" s="17" t="str">
        <f>IFERROR(__xludf.DUMMYFUNCTION("IF(ISBLANK($B22),"""",SUM(FILTER(
  database!$J$2:$J56,
  ISNUMBER(MATCH(database!$B$2:$B56,ARRAYFORMULA(SPLIT(REGEXREPLACE($A$36,""(\d+)"",""'$1""),"" ""))
, 0)),database!$G$2:$G56=$B22
)))"),"")</f>
        <v/>
      </c>
      <c r="F22" s="19" t="str">
        <f>IFERROR(__xludf.DUMMYFUNCTION("IF(ISBLANK($B22),"""",INDEX(FILTER(
  database!$L$2:$L56,
  ISNUMBER(MATCH(database!$B$2:$B56,ARRAYFORMULA(SPLIT(REGEXREPLACE($A$36,""(\d+)"",""'$1""),"" ""))
, 0)),database!$G$2:$G56=$B22
),1,))")," ")</f>
        <v/>
      </c>
      <c r="G22" s="19" t="str">
        <f>IF(ISBLANK($B22),"",$E22*$F22)</f>
        <v/>
      </c>
    </row>
    <row r="23">
      <c r="F23" s="19" t="str">
        <f>IFERROR(__xludf.DUMMYFUNCTION("IF(ISBLANK($B23),"""",INDEX(FILTER(
  database!$L$2:$L56,
  ISNUMBER(MATCH(database!$B$2:$B56,ARRAYFORMULA(SPLIT(REGEXREPLACE($A$36,""(\d+)"",""'$1""),"" ""))
, 0)),database!$G$2:$G56=$B23
),1,))")," ")</f>
        <v/>
      </c>
    </row>
    <row r="24">
      <c r="F24" s="19" t="str">
        <f>IFERROR(__xludf.DUMMYFUNCTION("IF(ISBLANK($B24),"""",INDEX(FILTER(
  database!$L$2:$L56,
  ISNUMBER(MATCH(database!$B$2:$B56,ARRAYFORMULA(SPLIT(REGEXREPLACE($A$36,""(\d+)"",""'$1""),"" ""))
, 0)),database!$G$2:$G56=$B24
),1,))")," ")</f>
        <v/>
      </c>
    </row>
    <row r="25">
      <c r="A25" s="23"/>
      <c r="B25" s="24"/>
      <c r="C25" s="25"/>
      <c r="D25" s="25"/>
      <c r="E25" s="24" t="s">
        <v>16</v>
      </c>
      <c r="F25" s="25"/>
      <c r="G25" s="19">
        <f>SUM($G$17:$G$24)</f>
        <v>1810000</v>
      </c>
    </row>
    <row r="26">
      <c r="A26" s="27"/>
      <c r="D26" s="14"/>
      <c r="E26" s="3" t="s">
        <v>18</v>
      </c>
      <c r="F26" s="14"/>
      <c r="G26" s="19"/>
    </row>
    <row r="27">
      <c r="D27" s="14"/>
      <c r="E27" s="3" t="s">
        <v>19</v>
      </c>
      <c r="F27" s="14"/>
      <c r="G27" s="19"/>
    </row>
    <row r="28">
      <c r="D28" s="14"/>
      <c r="E28" s="3" t="s">
        <v>20</v>
      </c>
      <c r="F28" s="14"/>
      <c r="G28" s="19" t="str">
        <f>IFERROR(__xludf.DUMMYFUNCTION("IFERROR(IF(INDEX(customerDetails,MATCH(C13,INDEX(customerDetails,,1),0),4)=TRUE,G25-IFERROR(SUM(QUERY($B$17:$G$24,""SELECT G WHERE B CONTAINS 'Non PPN'"")),0),""""))")," ")</f>
        <v/>
      </c>
    </row>
    <row r="29">
      <c r="A29" s="30"/>
      <c r="B29" s="14"/>
      <c r="C29" s="14"/>
      <c r="D29" s="14"/>
      <c r="E29" s="3" t="s">
        <v>21</v>
      </c>
      <c r="F29" s="14"/>
      <c r="G29" s="19" t="str">
        <f t="array" ref="G29">IFERROR(IF(INDEX(customerDetails,MATCH(C13,INDEX(customerDetails,,1),0),4)=TRUE,$G28*11/100,""),"")</f>
        <v/>
      </c>
    </row>
    <row r="30">
      <c r="A30" s="30"/>
      <c r="B30" s="14"/>
      <c r="C30" s="14"/>
      <c r="D30" s="14"/>
      <c r="E30" s="21" t="s">
        <v>22</v>
      </c>
      <c r="F30" s="31"/>
      <c r="G30" s="32">
        <f>round(G25+G29,0)</f>
        <v>1810000</v>
      </c>
    </row>
    <row r="31">
      <c r="A31" s="14"/>
      <c r="B31" s="14"/>
      <c r="C31" s="14"/>
      <c r="D31" s="14"/>
      <c r="E31" s="14"/>
      <c r="F31" s="14"/>
      <c r="G31" s="14"/>
    </row>
    <row r="32">
      <c r="A32" s="3" t="s">
        <v>23</v>
      </c>
      <c r="B32" s="14"/>
      <c r="C32" s="14"/>
      <c r="D32" s="14"/>
      <c r="E32" s="14"/>
      <c r="F32" s="17" t="str">
        <f>"Sidoarjo,"&amp;" "&amp;text(F13,"dd mmmm yyy")</f>
        <v>Sidoarjo, 17 April 2026</v>
      </c>
    </row>
    <row r="33">
      <c r="A33" s="103" t="str">
        <f>IFERROR(__xludf.DUMMYFUNCTION("CONCATENATE(""Pengiriman periode "",""
"",INDEX(TEXT(SORT(QUERY(customInv,""SELECT AQ WHERE AL='""&amp;$F$12&amp;""'""),1,TRUE),""DD MMMM YYYY""),1,1),"" - "",INDEX(TEXT(SORT(QUERY(customInv,""SELECT AQ WHERE AL='""&amp;$F$12&amp;""'""),1,TRUE),""DD MMMM YYYY""),COUNT(QU"&amp;"ERY(customInv,""SELECT AQ WHERE AL='""&amp;$F$12&amp;""'"")),1))"),"Pengiriman periode 
01 April 2026 - 17 April 2026")</f>
        <v>Pengiriman periode 
01 April 2026 - 17 April 2026</v>
      </c>
      <c r="D33" s="14"/>
      <c r="E33" s="14"/>
      <c r="F33" s="14"/>
      <c r="G33" s="14"/>
    </row>
    <row r="34">
      <c r="D34" s="14"/>
      <c r="E34" s="14"/>
      <c r="F34" s="14"/>
      <c r="G34" s="14"/>
    </row>
    <row r="35">
      <c r="A35" s="3" t="s">
        <v>64</v>
      </c>
      <c r="B35" s="14"/>
      <c r="C35" s="14"/>
      <c r="D35" s="14"/>
      <c r="E35" s="14"/>
      <c r="F35" s="14"/>
      <c r="G35" s="14"/>
    </row>
    <row r="36">
      <c r="A36" s="104" t="str">
        <f>IFERROR(__xludf.DUMMYFUNCTION("JOIN("" "",QUERY(customInv,""SELECT AM WHERE AL='""&amp;$F$12&amp;""' ORDER BY AQ DESC""))"),"0426533113 0426523078 0426513006 0426502950")</f>
        <v>0426533113 0426523078 0426513006 0426502950</v>
      </c>
      <c r="D36" s="14"/>
      <c r="E36" s="14"/>
      <c r="F36" s="14"/>
      <c r="G36" s="14"/>
    </row>
    <row r="37">
      <c r="D37" s="14"/>
      <c r="E37" s="14"/>
    </row>
    <row r="38">
      <c r="D38" s="2"/>
      <c r="E38" s="2"/>
      <c r="F38" s="34" t="s">
        <v>24</v>
      </c>
    </row>
    <row r="39">
      <c r="D39" s="2"/>
      <c r="E39" s="2"/>
      <c r="F39" s="2"/>
      <c r="G39" s="2"/>
    </row>
    <row r="40">
      <c r="D40" s="2"/>
      <c r="E40" s="2"/>
      <c r="F40" s="2"/>
      <c r="G40" s="35"/>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c r="C46" s="2"/>
      <c r="D46" s="2"/>
      <c r="E46" s="2"/>
      <c r="F46" s="2"/>
      <c r="G46" s="36"/>
    </row>
    <row r="47">
      <c r="A47" s="2"/>
      <c r="B47" s="2"/>
      <c r="C47" s="2"/>
      <c r="D47" s="2"/>
      <c r="E47" s="2"/>
      <c r="F47" s="2"/>
    </row>
    <row r="48">
      <c r="A48" s="2"/>
      <c r="B48" s="2"/>
      <c r="C48" s="2"/>
      <c r="D48" s="2"/>
      <c r="E48" s="2"/>
      <c r="F48" s="2"/>
    </row>
    <row r="49">
      <c r="A49" s="2"/>
      <c r="B49" s="2" t="str">
        <f>IMAGE("https://qris.interactive.co.id/restapi/qris/show_qris.php")</f>
        <v/>
      </c>
      <c r="C49" s="2"/>
      <c r="D49" s="2"/>
      <c r="E49" s="2"/>
      <c r="F49" s="2"/>
      <c r="G49" s="36" t="str">
        <f>IMAGE("https://quickchart.io/qr?text=" &amp; ENCODEURL($F$12))</f>
        <v/>
      </c>
    </row>
    <row r="50">
      <c r="A50" s="2"/>
      <c r="B50" s="2"/>
      <c r="C50" s="2"/>
      <c r="D50" s="2"/>
      <c r="E50" s="2"/>
      <c r="F50" s="2"/>
    </row>
    <row r="51">
      <c r="A51" s="2"/>
      <c r="B51" s="2"/>
      <c r="C51" s="2"/>
      <c r="D51" s="2"/>
      <c r="E51" s="2"/>
      <c r="F51" s="2"/>
    </row>
    <row r="52">
      <c r="A52" s="105" t="s">
        <v>25</v>
      </c>
      <c r="E52" s="106"/>
      <c r="F52" s="2"/>
    </row>
    <row r="53">
      <c r="E53" s="106"/>
      <c r="F53" s="2"/>
    </row>
    <row r="54">
      <c r="A54" s="107"/>
      <c r="B54" s="108" t="s">
        <v>26</v>
      </c>
      <c r="C54" s="108" t="s">
        <v>27</v>
      </c>
      <c r="F54" s="40"/>
    </row>
    <row r="55">
      <c r="A55" s="106"/>
      <c r="B55" s="108" t="s">
        <v>28</v>
      </c>
      <c r="C55" s="108" t="s">
        <v>29</v>
      </c>
      <c r="E55" s="109"/>
      <c r="F55" s="40"/>
      <c r="G55" s="40"/>
    </row>
    <row r="56">
      <c r="A56" s="106"/>
      <c r="B56" s="108" t="s">
        <v>30</v>
      </c>
      <c r="C56" s="108" t="s">
        <v>31</v>
      </c>
      <c r="E56" s="109"/>
      <c r="F56" s="42" t="s">
        <v>32</v>
      </c>
      <c r="G56" s="42" t="s">
        <v>33</v>
      </c>
    </row>
  </sheetData>
  <mergeCells count="26">
    <mergeCell ref="A1:D5"/>
    <mergeCell ref="F4:G4"/>
    <mergeCell ref="F5:G8"/>
    <mergeCell ref="A6:D9"/>
    <mergeCell ref="A11:G11"/>
    <mergeCell ref="C12:D12"/>
    <mergeCell ref="F12:G12"/>
    <mergeCell ref="A12:B12"/>
    <mergeCell ref="A13:B13"/>
    <mergeCell ref="C13:D13"/>
    <mergeCell ref="F13:G13"/>
    <mergeCell ref="A14:B14"/>
    <mergeCell ref="C14:D14"/>
    <mergeCell ref="F14:G14"/>
    <mergeCell ref="G49:G54"/>
    <mergeCell ref="A52:D53"/>
    <mergeCell ref="C54:E54"/>
    <mergeCell ref="C55:D55"/>
    <mergeCell ref="C56:D56"/>
    <mergeCell ref="B16:C16"/>
    <mergeCell ref="A26:C28"/>
    <mergeCell ref="F32:G32"/>
    <mergeCell ref="A33:C34"/>
    <mergeCell ref="A36:C40"/>
    <mergeCell ref="F38:G38"/>
    <mergeCell ref="G46:G48"/>
  </mergeCells>
  <dataValidations>
    <dataValidation type="list" allowBlank="1" showErrorMessage="1" sqref="F12">
      <formula1>database!$AL$2:$AL56</formula1>
    </dataValidation>
  </dataValidations>
  <printOptions horizontalCentered="1"/>
  <pageMargins bottom="0.39370078740157477" footer="0.0" header="0.0" left="0.5905511811023622" right="0.905511811023622" top="0.6692913385826771"/>
  <pageSetup orientation="portrait" pageOrder="overThenDown" paperHeight="11.023622047244093in" paperWidth="9.448818897637794i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5.71"/>
    <col customWidth="1" min="4" max="4" width="26.57"/>
    <col customWidth="1" min="7" max="7" width="28.29"/>
    <col customWidth="1" min="8" max="8" width="33.86"/>
    <col customWidth="1" min="9" max="9" width="4.0"/>
  </cols>
  <sheetData>
    <row r="1">
      <c r="A1" s="110"/>
      <c r="B1" s="110"/>
      <c r="F1" s="111"/>
      <c r="G1" s="111"/>
      <c r="H1" s="111"/>
      <c r="I1" s="111"/>
      <c r="J1" s="111"/>
      <c r="K1" s="111"/>
      <c r="L1" s="111"/>
      <c r="M1" s="111"/>
      <c r="N1" s="111"/>
      <c r="O1" s="111"/>
      <c r="P1" s="111"/>
      <c r="Q1" s="111"/>
      <c r="R1" s="111"/>
      <c r="S1" s="111"/>
      <c r="T1" s="111"/>
      <c r="U1" s="111"/>
      <c r="V1" s="111"/>
      <c r="W1" s="111"/>
      <c r="X1" s="111"/>
      <c r="Y1" s="111"/>
      <c r="Z1" s="111"/>
      <c r="AA1" s="111"/>
    </row>
    <row r="2">
      <c r="A2" s="110"/>
      <c r="F2" s="111"/>
      <c r="G2" s="111"/>
      <c r="H2" s="111"/>
      <c r="I2" s="111"/>
      <c r="J2" s="111"/>
      <c r="K2" s="111"/>
      <c r="L2" s="111"/>
      <c r="M2" s="111"/>
      <c r="N2" s="111"/>
      <c r="O2" s="111"/>
      <c r="P2" s="111"/>
      <c r="Q2" s="111"/>
      <c r="R2" s="111"/>
      <c r="S2" s="111"/>
      <c r="T2" s="111"/>
      <c r="U2" s="111"/>
      <c r="V2" s="111"/>
      <c r="W2" s="111"/>
      <c r="X2" s="111"/>
      <c r="Y2" s="111"/>
      <c r="Z2" s="111"/>
      <c r="AA2" s="111"/>
    </row>
    <row r="3">
      <c r="A3" s="110"/>
      <c r="F3" s="111"/>
      <c r="G3" s="111"/>
      <c r="H3" s="112" t="s">
        <v>65</v>
      </c>
      <c r="I3" s="111"/>
      <c r="J3" s="111"/>
      <c r="K3" s="111"/>
      <c r="L3" s="111"/>
      <c r="M3" s="111"/>
      <c r="N3" s="111"/>
      <c r="O3" s="111"/>
      <c r="P3" s="111"/>
      <c r="Q3" s="111"/>
      <c r="R3" s="111"/>
      <c r="S3" s="111"/>
      <c r="T3" s="111"/>
      <c r="U3" s="111"/>
      <c r="V3" s="111"/>
      <c r="W3" s="111"/>
      <c r="X3" s="111"/>
      <c r="Y3" s="111"/>
      <c r="Z3" s="111"/>
      <c r="AA3" s="111"/>
    </row>
    <row r="4">
      <c r="A4" s="110"/>
      <c r="F4" s="111"/>
      <c r="G4" s="111"/>
      <c r="H4" s="113" t="s">
        <v>66</v>
      </c>
      <c r="I4" s="113"/>
      <c r="J4" s="111"/>
      <c r="K4" s="111"/>
      <c r="L4" s="111"/>
      <c r="M4" s="111"/>
      <c r="N4" s="111"/>
      <c r="O4" s="111"/>
      <c r="P4" s="111"/>
      <c r="Q4" s="111"/>
      <c r="R4" s="111"/>
      <c r="S4" s="111"/>
      <c r="T4" s="111"/>
      <c r="U4" s="111"/>
      <c r="V4" s="111"/>
      <c r="W4" s="111"/>
      <c r="X4" s="111"/>
      <c r="Y4" s="111"/>
      <c r="Z4" s="111"/>
      <c r="AA4" s="111"/>
    </row>
    <row r="5">
      <c r="A5" s="110"/>
      <c r="F5" s="111"/>
      <c r="G5" s="111"/>
      <c r="H5" s="113" t="s">
        <v>36</v>
      </c>
      <c r="I5" s="111"/>
      <c r="J5" s="111"/>
      <c r="K5" s="111"/>
      <c r="L5" s="111"/>
      <c r="M5" s="111"/>
      <c r="N5" s="111"/>
      <c r="O5" s="111"/>
      <c r="P5" s="111"/>
      <c r="Q5" s="111"/>
      <c r="R5" s="111"/>
      <c r="S5" s="111"/>
      <c r="T5" s="111"/>
      <c r="U5" s="111"/>
      <c r="V5" s="111"/>
      <c r="W5" s="111"/>
      <c r="X5" s="111"/>
      <c r="Y5" s="111"/>
      <c r="Z5" s="111"/>
      <c r="AA5" s="111"/>
    </row>
    <row r="6">
      <c r="A6" s="114"/>
      <c r="B6" s="114" t="s">
        <v>1</v>
      </c>
      <c r="F6" s="111"/>
      <c r="G6" s="111"/>
      <c r="H6" s="113" t="s">
        <v>67</v>
      </c>
      <c r="I6" s="111"/>
      <c r="J6" s="111"/>
      <c r="K6" s="111"/>
      <c r="L6" s="111"/>
      <c r="M6" s="111"/>
      <c r="N6" s="111"/>
      <c r="O6" s="111"/>
      <c r="P6" s="111"/>
      <c r="Q6" s="111"/>
      <c r="R6" s="111"/>
      <c r="S6" s="111"/>
      <c r="T6" s="111"/>
      <c r="U6" s="111"/>
      <c r="V6" s="111"/>
      <c r="W6" s="111"/>
      <c r="X6" s="111"/>
      <c r="Y6" s="111"/>
      <c r="Z6" s="111"/>
      <c r="AA6" s="111"/>
    </row>
    <row r="7">
      <c r="A7" s="114"/>
      <c r="F7" s="111"/>
      <c r="G7" s="111"/>
      <c r="H7" s="111"/>
      <c r="I7" s="111"/>
      <c r="J7" s="111"/>
      <c r="K7" s="111"/>
      <c r="L7" s="111"/>
      <c r="M7" s="111"/>
      <c r="N7" s="111"/>
      <c r="O7" s="111"/>
      <c r="P7" s="111"/>
      <c r="Q7" s="111"/>
      <c r="R7" s="111"/>
      <c r="S7" s="111"/>
      <c r="T7" s="111"/>
      <c r="U7" s="111"/>
      <c r="V7" s="111"/>
      <c r="W7" s="111"/>
      <c r="X7" s="111"/>
      <c r="Y7" s="111"/>
      <c r="Z7" s="111"/>
      <c r="AA7" s="111"/>
    </row>
    <row r="8">
      <c r="A8" s="114"/>
      <c r="F8" s="111"/>
      <c r="G8" s="111"/>
      <c r="H8" s="111"/>
      <c r="I8" s="111"/>
      <c r="J8" s="111"/>
      <c r="K8" s="111"/>
      <c r="L8" s="111"/>
      <c r="M8" s="111"/>
      <c r="N8" s="111"/>
      <c r="O8" s="111"/>
      <c r="P8" s="111"/>
      <c r="Q8" s="111"/>
      <c r="R8" s="111"/>
      <c r="S8" s="111"/>
      <c r="T8" s="111"/>
      <c r="U8" s="111"/>
      <c r="V8" s="111"/>
      <c r="W8" s="111"/>
      <c r="X8" s="111"/>
      <c r="Y8" s="111"/>
      <c r="Z8" s="111"/>
      <c r="AA8" s="111"/>
    </row>
    <row r="9">
      <c r="A9" s="114"/>
      <c r="F9" s="111"/>
      <c r="G9" s="111"/>
      <c r="H9" s="111"/>
      <c r="I9" s="111"/>
      <c r="J9" s="111"/>
      <c r="K9" s="111"/>
      <c r="L9" s="111"/>
      <c r="M9" s="111"/>
      <c r="N9" s="111"/>
      <c r="O9" s="111"/>
      <c r="P9" s="111"/>
      <c r="Q9" s="111"/>
      <c r="R9" s="111"/>
      <c r="S9" s="111"/>
      <c r="T9" s="111"/>
      <c r="U9" s="111"/>
      <c r="V9" s="111"/>
      <c r="W9" s="111"/>
      <c r="X9" s="111"/>
      <c r="Y9" s="111"/>
      <c r="Z9" s="111"/>
      <c r="AA9" s="111"/>
    </row>
    <row r="10">
      <c r="A10" s="111"/>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row>
    <row r="11">
      <c r="A11" s="111"/>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c r="AA11" s="111"/>
    </row>
    <row r="12">
      <c r="A12" s="115"/>
      <c r="B12" s="116" t="s">
        <v>68</v>
      </c>
      <c r="C12" s="117"/>
      <c r="D12" s="118"/>
      <c r="E12" s="118"/>
      <c r="F12" s="118"/>
      <c r="G12" s="116" t="s">
        <v>69</v>
      </c>
      <c r="H12" s="119"/>
      <c r="I12" s="111"/>
      <c r="J12" s="111"/>
      <c r="K12" s="111"/>
      <c r="O12" s="111"/>
      <c r="P12" s="111"/>
      <c r="Q12" s="111"/>
      <c r="R12" s="111"/>
      <c r="S12" s="111"/>
      <c r="T12" s="111"/>
      <c r="U12" s="111"/>
      <c r="V12" s="111"/>
      <c r="W12" s="111"/>
      <c r="X12" s="111"/>
      <c r="Y12" s="111"/>
      <c r="Z12" s="111"/>
      <c r="AA12" s="111"/>
    </row>
    <row r="13">
      <c r="A13" s="111"/>
      <c r="B13" s="111"/>
      <c r="C13" s="111"/>
      <c r="D13" s="111"/>
      <c r="E13" s="111"/>
      <c r="F13" s="111"/>
      <c r="G13" s="111"/>
      <c r="I13" s="111"/>
      <c r="J13" s="111"/>
      <c r="K13" s="111"/>
      <c r="O13" s="111"/>
      <c r="P13" s="111"/>
      <c r="Q13" s="111"/>
      <c r="R13" s="111"/>
      <c r="S13" s="111"/>
      <c r="T13" s="111"/>
      <c r="U13" s="111"/>
      <c r="V13" s="111"/>
      <c r="W13" s="111"/>
      <c r="X13" s="111"/>
      <c r="Y13" s="111"/>
      <c r="Z13" s="111"/>
      <c r="AA13" s="111"/>
    </row>
    <row r="14">
      <c r="A14" s="111"/>
      <c r="B14" s="111"/>
      <c r="C14" s="111"/>
      <c r="D14" s="111"/>
      <c r="E14" s="111"/>
      <c r="F14" s="111"/>
      <c r="G14" s="111"/>
      <c r="I14" s="111"/>
      <c r="J14" s="111"/>
      <c r="K14" s="111"/>
      <c r="O14" s="111"/>
      <c r="P14" s="111"/>
      <c r="Q14" s="111"/>
      <c r="R14" s="111"/>
      <c r="S14" s="111"/>
      <c r="T14" s="111"/>
      <c r="U14" s="111"/>
      <c r="V14" s="111"/>
      <c r="W14" s="111"/>
      <c r="X14" s="111"/>
      <c r="Y14" s="111"/>
      <c r="Z14" s="111"/>
      <c r="AA14" s="111"/>
    </row>
    <row r="15">
      <c r="A15" s="115"/>
      <c r="B15" s="116" t="s">
        <v>70</v>
      </c>
      <c r="C15" s="117"/>
      <c r="D15" s="118"/>
      <c r="E15" s="118"/>
      <c r="F15" s="118"/>
      <c r="G15" s="116" t="s">
        <v>71</v>
      </c>
      <c r="H15" s="119"/>
      <c r="I15" s="111"/>
      <c r="J15" s="111"/>
      <c r="K15" s="111"/>
      <c r="O15" s="111"/>
      <c r="P15" s="111"/>
      <c r="Q15" s="111"/>
      <c r="R15" s="111"/>
      <c r="S15" s="111"/>
      <c r="T15" s="111"/>
      <c r="U15" s="111"/>
      <c r="V15" s="111"/>
      <c r="W15" s="111"/>
      <c r="X15" s="111"/>
      <c r="Y15" s="111"/>
      <c r="Z15" s="111"/>
      <c r="AA15" s="111"/>
    </row>
    <row r="16">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row>
    <row r="17">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row>
    <row r="18">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row>
    <row r="19">
      <c r="A19" s="120"/>
      <c r="B19" s="121" t="s">
        <v>10</v>
      </c>
      <c r="C19" s="121" t="s">
        <v>11</v>
      </c>
      <c r="D19" s="16"/>
      <c r="E19" s="121" t="s">
        <v>12</v>
      </c>
      <c r="F19" s="121" t="s">
        <v>13</v>
      </c>
      <c r="G19" s="121" t="s">
        <v>14</v>
      </c>
      <c r="H19" s="121" t="s">
        <v>15</v>
      </c>
      <c r="I19" s="111"/>
      <c r="J19" s="111"/>
      <c r="K19" s="111"/>
      <c r="L19" s="111"/>
      <c r="M19" s="111"/>
      <c r="N19" s="111"/>
      <c r="O19" s="111"/>
      <c r="P19" s="111"/>
      <c r="Q19" s="111"/>
      <c r="R19" s="111"/>
      <c r="S19" s="111"/>
      <c r="T19" s="111"/>
      <c r="U19" s="111"/>
      <c r="V19" s="111"/>
      <c r="W19" s="111"/>
      <c r="X19" s="111"/>
      <c r="Y19" s="111"/>
      <c r="Z19" s="111"/>
      <c r="AA19" s="111"/>
    </row>
    <row r="20">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row>
    <row r="21">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row>
    <row r="22">
      <c r="A22" s="122"/>
      <c r="B22" s="122"/>
      <c r="C22" s="123"/>
      <c r="D22" s="124"/>
      <c r="E22" s="122"/>
      <c r="F22" s="122"/>
      <c r="G22" s="125"/>
      <c r="H22" s="126"/>
      <c r="I22" s="111"/>
      <c r="J22" s="111"/>
      <c r="K22" s="111"/>
      <c r="L22" s="111"/>
      <c r="M22" s="111"/>
      <c r="N22" s="111"/>
      <c r="O22" s="111"/>
      <c r="P22" s="111"/>
      <c r="Q22" s="111"/>
      <c r="R22" s="111"/>
      <c r="S22" s="111"/>
      <c r="T22" s="111"/>
      <c r="U22" s="111"/>
      <c r="V22" s="111"/>
      <c r="W22" s="111"/>
      <c r="X22" s="111"/>
      <c r="Y22" s="111"/>
      <c r="Z22" s="111"/>
      <c r="AA22" s="111"/>
    </row>
    <row r="23">
      <c r="A23" s="122"/>
      <c r="B23" s="122"/>
      <c r="C23" s="123"/>
      <c r="D23" s="124"/>
      <c r="E23" s="122"/>
      <c r="F23" s="122"/>
      <c r="G23" s="125"/>
      <c r="H23" s="126"/>
      <c r="I23" s="111"/>
      <c r="J23" s="111"/>
      <c r="K23" s="111"/>
      <c r="L23" s="111"/>
      <c r="M23" s="111"/>
      <c r="N23" s="111"/>
      <c r="O23" s="111"/>
      <c r="P23" s="111"/>
      <c r="Q23" s="111"/>
      <c r="R23" s="111"/>
      <c r="S23" s="111"/>
      <c r="T23" s="111"/>
      <c r="U23" s="111"/>
      <c r="V23" s="111"/>
      <c r="W23" s="111"/>
      <c r="X23" s="111"/>
      <c r="Y23" s="111"/>
      <c r="Z23" s="111"/>
      <c r="AA23" s="111"/>
    </row>
    <row r="24">
      <c r="A24" s="113"/>
      <c r="B24" s="113" t="s">
        <v>72</v>
      </c>
      <c r="C24" s="111"/>
      <c r="D24" s="111"/>
      <c r="E24" s="111"/>
      <c r="F24" s="111"/>
      <c r="G24" s="127" t="s">
        <v>16</v>
      </c>
      <c r="H24" s="111"/>
      <c r="I24" s="111"/>
      <c r="J24" s="111"/>
      <c r="K24" s="111"/>
      <c r="L24" s="111"/>
      <c r="M24" s="111"/>
      <c r="N24" s="111"/>
      <c r="O24" s="111"/>
      <c r="P24" s="111"/>
      <c r="Q24" s="111"/>
      <c r="R24" s="111"/>
      <c r="S24" s="111"/>
      <c r="T24" s="111"/>
      <c r="U24" s="111"/>
      <c r="V24" s="111"/>
      <c r="W24" s="111"/>
      <c r="X24" s="111"/>
      <c r="Y24" s="111"/>
      <c r="Z24" s="111"/>
      <c r="AA24" s="111"/>
    </row>
    <row r="25">
      <c r="A25" s="111"/>
      <c r="B25" s="111"/>
      <c r="C25" s="111"/>
      <c r="D25" s="111"/>
      <c r="E25" s="111"/>
      <c r="F25" s="111"/>
      <c r="G25" s="127" t="s">
        <v>18</v>
      </c>
      <c r="H25" s="111"/>
      <c r="I25" s="111"/>
      <c r="J25" s="111"/>
      <c r="K25" s="111"/>
      <c r="L25" s="111"/>
      <c r="M25" s="111"/>
      <c r="N25" s="111"/>
      <c r="O25" s="111"/>
      <c r="P25" s="111"/>
      <c r="Q25" s="111"/>
      <c r="R25" s="111"/>
      <c r="S25" s="111"/>
      <c r="T25" s="111"/>
      <c r="U25" s="111"/>
      <c r="V25" s="111"/>
      <c r="W25" s="111"/>
      <c r="X25" s="111"/>
      <c r="Y25" s="111"/>
      <c r="Z25" s="111"/>
      <c r="AA25" s="111"/>
    </row>
    <row r="26">
      <c r="A26" s="111"/>
      <c r="B26" s="111"/>
      <c r="C26" s="111"/>
      <c r="D26" s="111"/>
      <c r="E26" s="111"/>
      <c r="F26" s="111"/>
      <c r="G26" s="127" t="s">
        <v>19</v>
      </c>
      <c r="H26" s="111"/>
      <c r="I26" s="111"/>
      <c r="J26" s="111"/>
      <c r="K26" s="111"/>
      <c r="L26" s="111"/>
      <c r="M26" s="111"/>
      <c r="N26" s="111"/>
      <c r="O26" s="111"/>
      <c r="P26" s="111"/>
      <c r="Q26" s="111"/>
      <c r="R26" s="111"/>
      <c r="S26" s="111"/>
      <c r="T26" s="111"/>
      <c r="U26" s="111"/>
      <c r="V26" s="111"/>
      <c r="W26" s="111"/>
      <c r="X26" s="111"/>
      <c r="Y26" s="111"/>
      <c r="Z26" s="111"/>
      <c r="AA26" s="111"/>
    </row>
    <row r="27">
      <c r="A27" s="113"/>
      <c r="B27" s="113" t="s">
        <v>45</v>
      </c>
      <c r="C27" s="111"/>
      <c r="D27" s="111"/>
      <c r="E27" s="111"/>
      <c r="F27" s="111"/>
      <c r="G27" s="127" t="s">
        <v>20</v>
      </c>
      <c r="H27" s="111"/>
      <c r="I27" s="111"/>
      <c r="J27" s="111"/>
      <c r="K27" s="111"/>
      <c r="L27" s="111"/>
      <c r="M27" s="111"/>
      <c r="N27" s="111"/>
      <c r="O27" s="111"/>
      <c r="P27" s="111"/>
      <c r="Q27" s="111"/>
      <c r="R27" s="111"/>
      <c r="S27" s="111"/>
      <c r="T27" s="111"/>
      <c r="U27" s="111"/>
      <c r="V27" s="111"/>
      <c r="W27" s="111"/>
      <c r="X27" s="111"/>
      <c r="Y27" s="111"/>
      <c r="Z27" s="111"/>
      <c r="AA27" s="111"/>
    </row>
    <row r="28">
      <c r="A28" s="111"/>
      <c r="B28" s="111"/>
      <c r="C28" s="111"/>
      <c r="D28" s="111"/>
      <c r="E28" s="111"/>
      <c r="F28" s="111"/>
      <c r="G28" s="127" t="s">
        <v>21</v>
      </c>
      <c r="H28" s="111"/>
      <c r="I28" s="111"/>
      <c r="J28" s="111"/>
      <c r="K28" s="111"/>
      <c r="L28" s="111"/>
      <c r="M28" s="111"/>
      <c r="N28" s="111"/>
      <c r="O28" s="111"/>
      <c r="P28" s="111"/>
      <c r="Q28" s="111"/>
      <c r="R28" s="111"/>
      <c r="S28" s="111"/>
      <c r="T28" s="111"/>
      <c r="U28" s="111"/>
      <c r="V28" s="111"/>
      <c r="W28" s="111"/>
      <c r="X28" s="111"/>
      <c r="Y28" s="111"/>
      <c r="Z28" s="111"/>
      <c r="AA28" s="111"/>
    </row>
    <row r="29">
      <c r="A29" s="111"/>
      <c r="B29" s="111"/>
      <c r="C29" s="111"/>
      <c r="D29" s="111"/>
      <c r="E29" s="111"/>
      <c r="F29" s="111"/>
      <c r="G29" s="127" t="s">
        <v>22</v>
      </c>
      <c r="H29" s="111"/>
      <c r="I29" s="111"/>
      <c r="J29" s="111"/>
      <c r="K29" s="111"/>
      <c r="L29" s="111"/>
      <c r="M29" s="111"/>
      <c r="N29" s="111"/>
      <c r="O29" s="111"/>
      <c r="P29" s="111"/>
      <c r="Q29" s="111"/>
      <c r="R29" s="111"/>
      <c r="S29" s="111"/>
      <c r="T29" s="111"/>
      <c r="U29" s="111"/>
      <c r="V29" s="111"/>
      <c r="W29" s="111"/>
      <c r="X29" s="111"/>
      <c r="Y29" s="111"/>
      <c r="Z29" s="111"/>
      <c r="AA29" s="111"/>
    </row>
    <row r="30">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row>
    <row r="31">
      <c r="A31" s="111"/>
      <c r="B31" s="111"/>
      <c r="C31" s="111"/>
      <c r="D31" s="111"/>
      <c r="E31" s="111"/>
      <c r="F31" s="111"/>
      <c r="G31" s="17" t="str">
        <f>"Sidoarjo,"</f>
        <v>Sidoarjo,</v>
      </c>
      <c r="I31" s="111"/>
      <c r="J31" s="111"/>
      <c r="K31" s="111"/>
      <c r="L31" s="111"/>
      <c r="M31" s="111"/>
      <c r="N31" s="111"/>
      <c r="O31" s="111"/>
      <c r="P31" s="111"/>
      <c r="Q31" s="111"/>
      <c r="R31" s="111"/>
      <c r="S31" s="111"/>
      <c r="T31" s="111"/>
      <c r="U31" s="111"/>
      <c r="V31" s="111"/>
      <c r="W31" s="111"/>
      <c r="X31" s="111"/>
      <c r="Y31" s="111"/>
      <c r="Z31" s="111"/>
      <c r="AA31" s="111"/>
    </row>
    <row r="32">
      <c r="A32" s="111"/>
      <c r="B32" s="111"/>
      <c r="C32" s="111"/>
      <c r="D32" s="111"/>
      <c r="E32" s="111"/>
      <c r="F32" s="111"/>
      <c r="G32" s="14"/>
      <c r="H32" s="14"/>
      <c r="I32" s="111"/>
      <c r="J32" s="111"/>
      <c r="K32" s="111"/>
      <c r="L32" s="111"/>
      <c r="M32" s="111"/>
      <c r="N32" s="111"/>
      <c r="O32" s="111"/>
      <c r="P32" s="111"/>
      <c r="Q32" s="111"/>
      <c r="R32" s="111"/>
      <c r="S32" s="111"/>
      <c r="T32" s="111"/>
      <c r="U32" s="111"/>
      <c r="V32" s="111"/>
      <c r="W32" s="111"/>
      <c r="X32" s="111"/>
      <c r="Y32" s="111"/>
      <c r="Z32" s="111"/>
      <c r="AA32" s="111"/>
    </row>
    <row r="33">
      <c r="A33" s="111"/>
      <c r="B33" s="111"/>
      <c r="C33" s="111"/>
      <c r="D33" s="111"/>
      <c r="E33" s="111"/>
      <c r="F33" s="111"/>
      <c r="G33" s="14"/>
      <c r="H33" s="14"/>
      <c r="I33" s="111"/>
      <c r="J33" s="111"/>
      <c r="K33" s="111"/>
      <c r="L33" s="111"/>
      <c r="M33" s="111"/>
      <c r="N33" s="111"/>
      <c r="O33" s="111"/>
      <c r="P33" s="111"/>
      <c r="Q33" s="111"/>
      <c r="R33" s="111"/>
      <c r="S33" s="111"/>
      <c r="T33" s="111"/>
      <c r="U33" s="111"/>
      <c r="V33" s="111"/>
      <c r="W33" s="111"/>
      <c r="X33" s="111"/>
      <c r="Y33" s="111"/>
      <c r="Z33" s="111"/>
      <c r="AA33" s="111"/>
    </row>
    <row r="34">
      <c r="A34" s="111"/>
      <c r="B34" s="111"/>
      <c r="C34" s="111"/>
      <c r="D34" s="111"/>
      <c r="E34" s="111"/>
      <c r="F34" s="111"/>
      <c r="G34" s="14"/>
      <c r="H34" s="14"/>
      <c r="I34" s="111"/>
      <c r="J34" s="111"/>
      <c r="K34" s="111"/>
      <c r="L34" s="111"/>
      <c r="M34" s="111"/>
      <c r="N34" s="111"/>
      <c r="O34" s="111"/>
      <c r="P34" s="111"/>
      <c r="Q34" s="111"/>
      <c r="R34" s="111"/>
      <c r="S34" s="111"/>
      <c r="T34" s="111"/>
      <c r="U34" s="111"/>
      <c r="V34" s="111"/>
      <c r="W34" s="111"/>
      <c r="X34" s="111"/>
      <c r="Y34" s="111"/>
      <c r="Z34" s="111"/>
      <c r="AA34" s="111"/>
    </row>
    <row r="35">
      <c r="A35" s="111"/>
      <c r="B35" s="111"/>
      <c r="C35" s="111"/>
      <c r="D35" s="111"/>
      <c r="E35" s="111"/>
      <c r="F35" s="111"/>
      <c r="G35" s="14"/>
      <c r="H35" s="14"/>
      <c r="I35" s="111"/>
      <c r="J35" s="111"/>
      <c r="K35" s="111"/>
      <c r="L35" s="111"/>
      <c r="M35" s="111"/>
      <c r="N35" s="111"/>
      <c r="O35" s="111"/>
      <c r="P35" s="111"/>
      <c r="Q35" s="111"/>
      <c r="R35" s="111"/>
      <c r="S35" s="111"/>
      <c r="T35" s="111"/>
      <c r="U35" s="111"/>
      <c r="V35" s="111"/>
      <c r="W35" s="111"/>
      <c r="X35" s="111"/>
      <c r="Y35" s="111"/>
      <c r="Z35" s="111"/>
      <c r="AA35" s="111"/>
    </row>
    <row r="36">
      <c r="A36" s="111"/>
      <c r="B36" s="111"/>
      <c r="C36" s="111"/>
      <c r="D36" s="111"/>
      <c r="E36" s="111"/>
      <c r="F36" s="111"/>
      <c r="G36" s="34" t="s">
        <v>24</v>
      </c>
      <c r="I36" s="111"/>
      <c r="J36" s="111"/>
      <c r="K36" s="111"/>
      <c r="L36" s="111"/>
      <c r="M36" s="111"/>
      <c r="N36" s="111"/>
      <c r="O36" s="111"/>
      <c r="P36" s="111"/>
      <c r="Q36" s="111"/>
      <c r="R36" s="111"/>
      <c r="S36" s="111"/>
      <c r="T36" s="111"/>
      <c r="U36" s="111"/>
      <c r="V36" s="111"/>
      <c r="W36" s="111"/>
      <c r="X36" s="111"/>
      <c r="Y36" s="111"/>
      <c r="Z36" s="111"/>
      <c r="AA36" s="111"/>
    </row>
    <row r="37">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row>
    <row r="38">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row>
    <row r="39">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row>
    <row r="40">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row>
    <row r="41">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row>
    <row r="4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row>
    <row r="43">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row>
    <row r="44">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row>
    <row r="45">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row>
    <row r="46">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row>
    <row r="47">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row>
    <row r="48">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row>
    <row r="49">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row>
    <row r="50">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row>
    <row r="51">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row>
    <row r="5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row>
    <row r="53">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row>
    <row r="54">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row>
    <row r="55">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row>
    <row r="5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row>
    <row r="57">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row>
    <row r="58">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row>
    <row r="59">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row>
    <row r="60">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row>
    <row r="6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row>
    <row r="6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row>
    <row r="63">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row>
    <row r="6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row>
    <row r="6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row>
    <row r="67">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row>
    <row r="68">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row>
    <row r="69">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row>
    <row r="70">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row>
    <row r="7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row>
    <row r="73">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row>
    <row r="7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row>
    <row r="77">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row>
    <row r="7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row>
    <row r="8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row>
    <row r="83">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row>
    <row r="8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row>
    <row r="87">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row>
    <row r="8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row>
    <row r="9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row>
    <row r="93">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row>
    <row r="9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row>
    <row r="97">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row>
    <row r="9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row>
    <row r="10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row>
    <row r="103">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row>
    <row r="105">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row>
    <row r="107">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row>
    <row r="10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row>
    <row r="11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row>
    <row r="113">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row>
    <row r="115">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row>
    <row r="117">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row>
    <row r="11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row>
    <row r="12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row>
    <row r="123">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row>
    <row r="1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row>
    <row r="127">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row>
    <row r="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row>
    <row r="13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row>
    <row r="133">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row>
    <row r="13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row>
    <row r="137">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row>
    <row r="13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row>
    <row r="14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row>
    <row r="143">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row>
    <row r="145">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row>
    <row r="147">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row>
    <row r="14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row>
    <row r="15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row>
    <row r="153">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row>
    <row r="155">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row>
    <row r="157">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row>
    <row r="15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row>
    <row r="16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row>
    <row r="163">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row>
    <row r="165">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row>
    <row r="167">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row>
    <row r="16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row>
    <row r="17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row>
    <row r="175">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row>
    <row r="177">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row>
    <row r="17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row>
    <row r="18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row>
    <row r="183">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row>
    <row r="185">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row>
    <row r="187">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row>
    <row r="18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row>
    <row r="19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row>
    <row r="193">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row>
    <row r="195">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row>
    <row r="197">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row>
    <row r="19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row>
    <row r="20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row>
    <row r="203">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row>
    <row r="205">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row>
    <row r="207">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row>
    <row r="20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row>
    <row r="21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row>
    <row r="213">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row>
    <row r="215">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row>
    <row r="217">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row>
    <row r="21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row>
    <row r="22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row>
    <row r="223">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row>
    <row r="225">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row>
    <row r="227">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row>
    <row r="2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row>
    <row r="23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row>
    <row r="233">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row>
    <row r="235">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row>
    <row r="237">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row>
    <row r="23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row>
    <row r="24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row>
    <row r="243">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row>
    <row r="245">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row>
    <row r="247">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row>
    <row r="24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row>
    <row r="25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row>
    <row r="253">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row>
    <row r="255">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row>
    <row r="257">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row>
    <row r="25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row>
    <row r="26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row>
    <row r="263">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row>
    <row r="265">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row>
    <row r="267">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row>
    <row r="26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row>
    <row r="27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row>
    <row r="273">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row>
    <row r="275">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row>
    <row r="277">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row>
    <row r="27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row>
    <row r="28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row>
    <row r="283">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row>
    <row r="285">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row>
    <row r="287">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row>
    <row r="28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row>
    <row r="29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row>
    <row r="293">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row>
    <row r="295">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row>
    <row r="297">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row>
    <row r="29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row>
    <row r="30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row>
    <row r="303">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row>
    <row r="305">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row>
    <row r="307">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row>
    <row r="30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row>
    <row r="31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row>
    <row r="313">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row>
    <row r="315">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row>
    <row r="317">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row>
    <row r="31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row>
    <row r="32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row>
    <row r="323">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row>
    <row r="325">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row>
    <row r="327">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row>
    <row r="3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row>
    <row r="33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row>
    <row r="333">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row>
    <row r="335">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row>
    <row r="337">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row>
    <row r="33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row>
    <row r="34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row>
    <row r="343">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row>
    <row r="345">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row>
    <row r="347">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row>
    <row r="34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row>
    <row r="35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row>
    <row r="353">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row>
    <row r="355">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row>
    <row r="357">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row>
    <row r="35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row>
    <row r="36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row>
    <row r="363">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row>
    <row r="365">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row>
    <row r="367">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row>
    <row r="36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row>
    <row r="37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row>
    <row r="373">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row>
    <row r="375">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row>
    <row r="377">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row>
    <row r="37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row>
    <row r="38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row>
    <row r="383">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row>
    <row r="385">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row>
    <row r="387">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row>
    <row r="38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row>
    <row r="39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row>
    <row r="393">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row>
    <row r="395">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row>
    <row r="397">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row>
    <row r="39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row>
    <row r="40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row>
    <row r="403">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row>
    <row r="405">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row>
    <row r="407">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row>
    <row r="40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row>
    <row r="41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row>
    <row r="413">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row>
    <row r="415">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row>
    <row r="417">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row>
    <row r="41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row>
    <row r="42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row>
    <row r="423">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row>
    <row r="425">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row>
    <row r="427">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row>
    <row r="4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row>
    <row r="43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row>
    <row r="433">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row>
    <row r="435">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row>
    <row r="437">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row>
    <row r="43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row>
    <row r="44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row>
    <row r="443">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row>
    <row r="445">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row>
    <row r="447">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row>
    <row r="44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row>
    <row r="45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row>
    <row r="453">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row>
    <row r="455">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row>
    <row r="457">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row>
    <row r="45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row>
    <row r="46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row>
    <row r="463">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row>
    <row r="465">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row>
    <row r="467">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row>
    <row r="46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row>
    <row r="47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row>
    <row r="473">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row>
    <row r="475">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row>
    <row r="477">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row>
    <row r="47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row>
    <row r="48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row>
    <row r="483">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row>
    <row r="48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row>
    <row r="487">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row>
    <row r="48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row>
    <row r="49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row>
    <row r="493">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row>
    <row r="49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row>
    <row r="497">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row>
    <row r="49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row>
    <row r="50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row>
    <row r="503">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row>
    <row r="50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row>
    <row r="507">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row>
    <row r="50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row>
    <row r="51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row>
    <row r="513">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row>
    <row r="51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row>
    <row r="517">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row>
    <row r="51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row>
    <row r="52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row>
    <row r="523">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row>
    <row r="5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row>
    <row r="527">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row>
    <row r="5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row>
    <row r="53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row>
    <row r="533">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row>
    <row r="53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row>
    <row r="537">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row>
    <row r="53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row>
    <row r="54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row>
    <row r="543">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row>
    <row r="54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row>
    <row r="547">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row>
    <row r="54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row>
    <row r="55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row>
    <row r="553">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row>
    <row r="55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row>
    <row r="557">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row>
    <row r="55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row>
    <row r="56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row>
    <row r="563">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row>
    <row r="56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row>
    <row r="567">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row>
    <row r="56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row>
    <row r="57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row>
    <row r="573">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row>
    <row r="57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row>
    <row r="577">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row>
    <row r="57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row>
    <row r="58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row>
    <row r="583">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row>
    <row r="58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row>
    <row r="587">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row>
    <row r="58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row>
    <row r="59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row>
    <row r="593">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row>
    <row r="59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row>
    <row r="597">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row>
    <row r="59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row>
    <row r="60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row>
    <row r="603">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row>
    <row r="60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row>
    <row r="607">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row>
    <row r="60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row>
    <row r="61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row>
    <row r="613">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row>
    <row r="61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row>
    <row r="617">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row>
    <row r="61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row>
    <row r="62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row>
    <row r="623">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row>
    <row r="6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row>
    <row r="627">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row>
    <row r="6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row>
    <row r="63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row>
    <row r="633">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row>
    <row r="63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row>
    <row r="637">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row>
    <row r="63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row>
    <row r="64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row>
    <row r="643">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row>
    <row r="64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row>
    <row r="647">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row>
    <row r="64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row>
    <row r="65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row>
    <row r="653">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row>
    <row r="65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row>
    <row r="657">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row>
    <row r="65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row>
    <row r="66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row>
    <row r="663">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row>
    <row r="66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row>
    <row r="667">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row>
    <row r="66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row>
    <row r="67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row>
    <row r="673">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row>
    <row r="67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row>
    <row r="677">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row>
    <row r="67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row>
    <row r="68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row>
    <row r="683">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row>
    <row r="68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row>
    <row r="687">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row>
    <row r="68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row>
    <row r="69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row>
    <row r="693">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row>
    <row r="69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row>
    <row r="697">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row>
    <row r="69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row>
    <row r="70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row>
    <row r="703">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row>
    <row r="70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row>
    <row r="707">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row>
    <row r="70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row>
    <row r="71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row>
    <row r="713">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row>
    <row r="71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row>
    <row r="717">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row>
    <row r="71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row>
    <row r="72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row>
    <row r="723">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row>
    <row r="7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row>
    <row r="727">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row>
    <row r="7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row>
    <row r="73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row>
    <row r="733">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row>
    <row r="73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row>
    <row r="737">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row>
    <row r="73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row>
    <row r="74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row>
    <row r="743">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row>
    <row r="74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row>
    <row r="747">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row>
    <row r="74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row>
    <row r="75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row>
    <row r="753">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row>
    <row r="75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row>
    <row r="757">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row>
    <row r="75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row>
    <row r="76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row>
    <row r="763">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row>
    <row r="76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row>
    <row r="767">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row>
    <row r="76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row>
    <row r="77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row>
    <row r="773">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row>
    <row r="77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row>
    <row r="777">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row>
    <row r="77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row>
    <row r="78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row>
    <row r="783">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row>
    <row r="78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row>
    <row r="787">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row>
    <row r="78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row>
    <row r="79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row>
    <row r="99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row>
    <row r="1001">
      <c r="A1001" s="111"/>
      <c r="B1001" s="111"/>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c r="AA1001" s="111"/>
    </row>
    <row r="1002">
      <c r="A1002" s="111"/>
      <c r="B1002" s="111"/>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c r="AA1002" s="111"/>
    </row>
  </sheetData>
  <mergeCells count="7">
    <mergeCell ref="B1:E5"/>
    <mergeCell ref="B6:E9"/>
    <mergeCell ref="B12:C12"/>
    <mergeCell ref="B15:C15"/>
    <mergeCell ref="C19:D19"/>
    <mergeCell ref="G31:H31"/>
    <mergeCell ref="G36:H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4.43" defaultRowHeight="15.0"/>
  <cols>
    <col customWidth="1" min="1" max="1" width="5.14"/>
    <col customWidth="1" min="2" max="2" width="32.29"/>
    <col customWidth="1" min="3" max="3" width="30.86"/>
    <col customWidth="1" min="4" max="4" width="25.86"/>
    <col customWidth="1" min="5" max="5" width="23.0"/>
    <col customWidth="1" min="6" max="6" width="23.71"/>
  </cols>
  <sheetData>
    <row r="1" ht="15.75" customHeight="1">
      <c r="A1" s="43"/>
      <c r="D1" s="44"/>
      <c r="E1" s="45" t="s">
        <v>73</v>
      </c>
      <c r="F1" s="128" t="str">
        <f t="array" ref="F1">INDEX(inventoryLog,MATCH($F$3,INDEX(inventoryLog,,2),0),9)</f>
        <v>EMPTY</v>
      </c>
    </row>
    <row r="2" ht="9.75" customHeight="1">
      <c r="D2" s="2"/>
      <c r="E2" s="47"/>
      <c r="F2" s="47"/>
    </row>
    <row r="3" ht="20.25" customHeight="1">
      <c r="D3" s="48"/>
      <c r="E3" s="49" t="s">
        <v>35</v>
      </c>
      <c r="F3" s="50" t="s">
        <v>74</v>
      </c>
    </row>
    <row r="4" ht="19.5" customHeight="1">
      <c r="D4" s="48"/>
      <c r="E4" s="51" t="s">
        <v>36</v>
      </c>
      <c r="F4" s="52">
        <f t="array" ref="F4">INDEX(documentLog,MATCH($F$3,INDEX(documentLog,,2),0),5)</f>
        <v>46116.36218</v>
      </c>
    </row>
    <row r="5" ht="19.5" customHeight="1">
      <c r="A5" s="53" t="s">
        <v>1</v>
      </c>
      <c r="D5" s="54"/>
      <c r="E5" s="55" t="s">
        <v>37</v>
      </c>
      <c r="F5" s="55" t="s">
        <v>38</v>
      </c>
    </row>
    <row r="6" ht="19.5" customHeight="1">
      <c r="D6" s="54"/>
      <c r="E6" s="55" t="s">
        <v>39</v>
      </c>
      <c r="F6" s="50" t="s">
        <v>40</v>
      </c>
    </row>
    <row r="7" ht="19.5" customHeight="1">
      <c r="D7" s="54"/>
      <c r="E7" s="55" t="s">
        <v>41</v>
      </c>
      <c r="F7" s="57" t="s">
        <v>42</v>
      </c>
    </row>
    <row r="8" ht="6.0" customHeight="1">
      <c r="A8" s="6"/>
      <c r="B8" s="6"/>
      <c r="C8" s="6"/>
      <c r="D8" s="54"/>
      <c r="E8" s="58"/>
      <c r="F8" s="58"/>
    </row>
    <row r="9" ht="29.25" customHeight="1">
      <c r="A9" s="2"/>
      <c r="B9" s="2"/>
      <c r="C9" s="2"/>
      <c r="D9" s="2"/>
    </row>
    <row r="10" ht="19.5" customHeight="1">
      <c r="A10" s="59" t="s">
        <v>43</v>
      </c>
      <c r="B10" s="16"/>
      <c r="C10" s="16"/>
      <c r="D10" s="59" t="s">
        <v>0</v>
      </c>
      <c r="E10" s="16"/>
      <c r="F10" s="16"/>
    </row>
    <row r="11" ht="42.75" customHeight="1">
      <c r="A11" s="60" t="str">
        <f t="array" ref="A11">INDEX(documentLog,MATCH($F$3,INDEX(documentLog,,2),0),6)</f>
        <v>Jl. Bypass Krian, Kraton, Kec. Krian, Kabupaten Sidoarjo, Jawa Timur 61262</v>
      </c>
      <c r="D11" s="61" t="str">
        <f t="array" ref="D11">INDEX(documentLog,MATCH($F$3,INDEX(documentLog,,2),0),4)</f>
        <v>UD. Ais Jaya</v>
      </c>
    </row>
    <row r="12" ht="17.25" customHeight="1">
      <c r="A12" s="60"/>
      <c r="B12" s="60"/>
      <c r="C12" s="60"/>
      <c r="D12" s="61"/>
      <c r="E12" s="61"/>
      <c r="F12" s="61"/>
    </row>
    <row r="13" ht="15.75" customHeight="1">
      <c r="A13" s="62" t="s">
        <v>10</v>
      </c>
      <c r="B13" s="63" t="s">
        <v>44</v>
      </c>
      <c r="C13" s="16"/>
      <c r="D13" s="16"/>
      <c r="E13" s="63" t="s">
        <v>12</v>
      </c>
      <c r="F13" s="64" t="s">
        <v>15</v>
      </c>
    </row>
    <row r="14" ht="2.25" customHeight="1">
      <c r="A14" s="65"/>
      <c r="B14" s="66"/>
      <c r="C14" s="66"/>
      <c r="D14" s="66"/>
      <c r="E14" s="66"/>
      <c r="F14" s="67"/>
    </row>
    <row r="15">
      <c r="A15" s="68">
        <f t="array" ref="A15">IFERROR(SEQUENCE(COUNTA(B15:B19),1),"")</f>
        <v>1</v>
      </c>
      <c r="B15" s="69" t="str">
        <f>IFERROR(__xludf.DUMMYFUNCTION("QUERY(inventoryLog,""SELECT G,K WHERE B='""&amp;F3&amp;""'"",)"),"Oksigen 6m3")</f>
        <v>Oksigen 6m3</v>
      </c>
      <c r="C15" s="70" t="str">
        <f>IFERROR(__xludf.DUMMYFUNCTION("""COMPUTED_VALUE"""),"11120")</f>
        <v>11120</v>
      </c>
      <c r="D15" s="71"/>
      <c r="E15" s="72" t="str">
        <f t="shared" ref="E15:E19" si="1">IF(B15&lt;&gt;"", "Btl", "")</f>
        <v>Btl</v>
      </c>
      <c r="F15" s="73">
        <f>IFERROR(__xludf.DUMMYFUNCTION("QUERY(inventoryLog,""SELECT J WHERE B='""&amp;F3&amp;""'"",)"),1.0)</f>
        <v>1</v>
      </c>
    </row>
    <row r="16">
      <c r="A16" s="74"/>
      <c r="B16" s="75"/>
      <c r="C16" s="76"/>
      <c r="D16" s="71"/>
      <c r="E16" s="129" t="str">
        <f t="shared" si="1"/>
        <v/>
      </c>
      <c r="F16" s="77"/>
    </row>
    <row r="17">
      <c r="A17" s="68"/>
      <c r="B17" s="78"/>
      <c r="C17" s="79"/>
      <c r="D17" s="71"/>
      <c r="E17" s="129" t="str">
        <f t="shared" si="1"/>
        <v/>
      </c>
      <c r="F17" s="80"/>
    </row>
    <row r="18">
      <c r="A18" s="68"/>
      <c r="B18" s="78"/>
      <c r="C18" s="81"/>
      <c r="D18" s="82"/>
      <c r="E18" s="129" t="str">
        <f t="shared" si="1"/>
        <v/>
      </c>
      <c r="F18" s="80"/>
    </row>
    <row r="19">
      <c r="A19" s="68"/>
      <c r="B19" s="78"/>
      <c r="C19" s="81"/>
      <c r="D19" s="82"/>
      <c r="E19" s="129" t="str">
        <f t="shared" si="1"/>
        <v/>
      </c>
      <c r="F19" s="80"/>
    </row>
    <row r="20">
      <c r="A20" s="83"/>
      <c r="B20" s="75" t="s">
        <v>75</v>
      </c>
      <c r="C20" s="84"/>
      <c r="D20" s="82"/>
      <c r="F20" s="85" t="s">
        <v>46</v>
      </c>
    </row>
    <row r="21">
      <c r="A21" s="83"/>
      <c r="B21" s="86"/>
      <c r="F21" s="130"/>
    </row>
    <row r="22" ht="18.75" customHeight="1">
      <c r="A22" s="14"/>
      <c r="B22" s="14"/>
      <c r="C22" s="14"/>
      <c r="D22" s="14"/>
      <c r="E22" s="14"/>
      <c r="F22" s="14"/>
    </row>
    <row r="23" ht="94.5" customHeight="1">
      <c r="A23" s="14"/>
      <c r="B23" s="88" t="s">
        <v>47</v>
      </c>
      <c r="C23" s="88" t="s">
        <v>48</v>
      </c>
      <c r="E23" s="88" t="s">
        <v>49</v>
      </c>
    </row>
    <row r="24" ht="15.75" customHeight="1">
      <c r="A24" s="14"/>
      <c r="B24" s="89" t="s">
        <v>50</v>
      </c>
      <c r="C24" s="90" t="str">
        <f>F6</f>
        <v>Sugiyono</v>
      </c>
      <c r="E24" s="88" t="s">
        <v>51</v>
      </c>
    </row>
    <row r="25" ht="23.25" customHeight="1">
      <c r="A25" s="2"/>
      <c r="B25" s="2"/>
      <c r="C25" s="2"/>
      <c r="D25" s="2"/>
      <c r="E25" s="2"/>
      <c r="F25" s="2"/>
    </row>
    <row r="26" ht="18.75" customHeight="1">
      <c r="A26" s="91" t="s">
        <v>52</v>
      </c>
      <c r="B26" s="92"/>
      <c r="C26" s="92"/>
      <c r="D26" s="92"/>
      <c r="E26" s="92"/>
      <c r="F26" s="92"/>
    </row>
    <row r="27" ht="18.75" customHeight="1">
      <c r="A27" s="5" t="s">
        <v>53</v>
      </c>
      <c r="D27" s="5" t="s">
        <v>54</v>
      </c>
      <c r="F27" s="93"/>
    </row>
    <row r="28" ht="18.75" customHeight="1">
      <c r="F28" s="93"/>
    </row>
    <row r="29" ht="18.75" customHeight="1">
      <c r="F29" s="93"/>
    </row>
    <row r="30" ht="18.75" customHeight="1">
      <c r="F30" s="93"/>
    </row>
    <row r="31" ht="18.75" customHeight="1">
      <c r="F31" s="93"/>
    </row>
    <row r="32" ht="18.75" customHeight="1">
      <c r="F32" s="93"/>
    </row>
    <row r="33" ht="18.75" customHeight="1">
      <c r="F33" s="93"/>
    </row>
    <row r="34" ht="18.75" customHeight="1">
      <c r="F34" s="93"/>
    </row>
    <row r="35" ht="18.75" customHeight="1">
      <c r="D35" s="94" t="s">
        <v>55</v>
      </c>
      <c r="E35" s="94"/>
      <c r="F35" s="95">
        <v>2500000.0</v>
      </c>
    </row>
    <row r="36" ht="18.75" customHeight="1">
      <c r="D36" s="94" t="s">
        <v>56</v>
      </c>
      <c r="E36" s="94"/>
      <c r="F36" s="95">
        <v>2500000.0</v>
      </c>
    </row>
    <row r="37" ht="18.75" customHeight="1">
      <c r="D37" s="94" t="s">
        <v>57</v>
      </c>
      <c r="E37" s="94"/>
      <c r="F37" s="95">
        <v>2000000.0</v>
      </c>
    </row>
    <row r="38" ht="18.75" customHeight="1">
      <c r="D38" s="94" t="s">
        <v>58</v>
      </c>
      <c r="E38" s="94"/>
      <c r="F38" s="95">
        <v>2000000.0</v>
      </c>
    </row>
    <row r="39" ht="18.75" customHeight="1">
      <c r="D39" s="94" t="s">
        <v>59</v>
      </c>
      <c r="E39" s="94"/>
      <c r="F39" s="95">
        <v>2000000.0</v>
      </c>
    </row>
    <row r="40" ht="18.75" customHeight="1">
      <c r="A40" s="94" t="s">
        <v>55</v>
      </c>
      <c r="C40" s="95">
        <v>2000.0</v>
      </c>
      <c r="D40" s="94" t="s">
        <v>60</v>
      </c>
      <c r="E40" s="94"/>
      <c r="F40" s="95">
        <v>150000.0</v>
      </c>
    </row>
    <row r="41" ht="18.75" customHeight="1">
      <c r="A41" s="94" t="s">
        <v>56</v>
      </c>
      <c r="C41" s="95">
        <v>1500.0</v>
      </c>
      <c r="D41" s="96"/>
      <c r="E41" s="96"/>
      <c r="F41" s="97" t="str">
        <f>IMAGE("https://quickchart.io/qr?text=" &amp; ENCODEURL(F3))</f>
        <v/>
      </c>
    </row>
    <row r="42" ht="18.75" customHeight="1">
      <c r="A42" s="94" t="s">
        <v>57</v>
      </c>
      <c r="C42" s="95">
        <v>1000.0</v>
      </c>
      <c r="D42" s="96"/>
      <c r="E42" s="98"/>
    </row>
    <row r="43" ht="18.75" customHeight="1">
      <c r="A43" s="94" t="s">
        <v>58</v>
      </c>
      <c r="C43" s="95">
        <v>1000.0</v>
      </c>
      <c r="E43" s="98"/>
    </row>
    <row r="44" ht="18.75" customHeight="1">
      <c r="A44" s="94" t="s">
        <v>59</v>
      </c>
      <c r="C44" s="95">
        <v>1000.0</v>
      </c>
      <c r="E44" s="98"/>
    </row>
    <row r="45" ht="18.75" customHeight="1">
      <c r="A45" s="99" t="s">
        <v>61</v>
      </c>
      <c r="E45" s="98"/>
    </row>
    <row r="46">
      <c r="A46" s="99"/>
    </row>
  </sheetData>
  <mergeCells count="31">
    <mergeCell ref="A1:C4"/>
    <mergeCell ref="E1:E2"/>
    <mergeCell ref="F1:F2"/>
    <mergeCell ref="A5:C7"/>
    <mergeCell ref="A10:C10"/>
    <mergeCell ref="D10:F10"/>
    <mergeCell ref="D11:F11"/>
    <mergeCell ref="A11:C11"/>
    <mergeCell ref="B13:D13"/>
    <mergeCell ref="C15:D15"/>
    <mergeCell ref="C16:D16"/>
    <mergeCell ref="C17:D17"/>
    <mergeCell ref="C18:D18"/>
    <mergeCell ref="C19:D19"/>
    <mergeCell ref="E24:F24"/>
    <mergeCell ref="D27:F34"/>
    <mergeCell ref="A40:B40"/>
    <mergeCell ref="A41:B41"/>
    <mergeCell ref="F41:F45"/>
    <mergeCell ref="A42:B42"/>
    <mergeCell ref="A43:B43"/>
    <mergeCell ref="A44:B44"/>
    <mergeCell ref="A45:C45"/>
    <mergeCell ref="A46:C46"/>
    <mergeCell ref="C20:D20"/>
    <mergeCell ref="B21:D21"/>
    <mergeCell ref="C23:D23"/>
    <mergeCell ref="E23:F23"/>
    <mergeCell ref="C24:D24"/>
    <mergeCell ref="A26:F26"/>
    <mergeCell ref="A27:C39"/>
  </mergeCells>
  <dataValidations>
    <dataValidation type="list" allowBlank="1" showErrorMessage="1" sqref="F3">
      <formula1>database!$AA$2:$AA46</formula1>
    </dataValidation>
  </dataValidations>
  <printOptions horizontalCentered="1"/>
  <pageMargins bottom="0.39370078740157477" footer="0.0" header="0.0" left="0.5905511811023622" right="0.984251968503937" top="0.6692913385826771"/>
  <pageSetup orientation="portrait" pageOrder="overThenDown" paperHeight="11.023622047244093in" paperWidth="9.448818897637794i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sheetViews>
  <sheetFormatPr customHeight="1" defaultColWidth="14.43" defaultRowHeight="15.0"/>
  <cols>
    <col customWidth="1" min="1" max="1" width="4.29"/>
    <col customWidth="1" min="2" max="2" width="18.29"/>
    <col customWidth="1" min="3" max="3" width="23.43"/>
    <col customWidth="1" min="4" max="4" width="11.57"/>
    <col customWidth="1" min="5" max="5" width="22.0"/>
    <col customWidth="1" min="6" max="6" width="22.29"/>
    <col customWidth="1" min="7" max="7" width="20.71"/>
  </cols>
  <sheetData>
    <row r="1">
      <c r="A1" s="1"/>
      <c r="E1" s="2"/>
      <c r="F1" s="2"/>
      <c r="G1" s="2"/>
    </row>
    <row r="2">
      <c r="E2" s="2"/>
      <c r="F2" s="2"/>
      <c r="G2" s="2"/>
    </row>
    <row r="3">
      <c r="E3" s="2"/>
      <c r="F3" s="3" t="s">
        <v>0</v>
      </c>
      <c r="G3" s="2"/>
    </row>
    <row r="4">
      <c r="E4" s="2"/>
      <c r="F4" s="4" t="str">
        <f t="array" ref="F4">IFERROR(INDEX(customerDetails,MATCH(C13,INDEX(customerDetails,,1),0),2),"")</f>
        <v>PT Sinar Indogreen Kencana</v>
      </c>
    </row>
    <row r="5">
      <c r="E5" s="2"/>
      <c r="F5" s="5" t="str">
        <f t="array" ref="F5">IFERROR(INDEX(customerDetails,MATCH($C$13,INDEX(customerDetails,,1),0),5),"")</f>
        <v>Jl. Raya Ponokawan 8b RT/001 RW/002, Ponokawan, Krian, Sidoarjo</v>
      </c>
    </row>
    <row r="6">
      <c r="A6" s="6" t="s">
        <v>1</v>
      </c>
      <c r="E6" s="2"/>
    </row>
    <row r="7">
      <c r="E7" s="2"/>
    </row>
    <row r="8">
      <c r="E8" s="2"/>
    </row>
    <row r="9">
      <c r="E9" s="2"/>
      <c r="F9" s="2"/>
      <c r="G9" s="2"/>
    </row>
    <row r="10">
      <c r="A10" s="2"/>
      <c r="B10" s="2"/>
      <c r="C10" s="2"/>
      <c r="D10" s="2"/>
      <c r="E10" s="2"/>
      <c r="F10" s="2"/>
      <c r="G10" s="2"/>
    </row>
    <row r="11" ht="21.0" customHeight="1">
      <c r="A11" s="7" t="s">
        <v>2</v>
      </c>
    </row>
    <row r="12">
      <c r="A12" s="3" t="s">
        <v>3</v>
      </c>
      <c r="C12" s="8" t="str">
        <f t="array" ref="C12">IFERROR(INDEX(customerDetails,MATCH(C13,INDEX(customerDetails,,1),0),3),"")</f>
        <v/>
      </c>
      <c r="E12" s="3" t="s">
        <v>4</v>
      </c>
      <c r="F12" s="8" t="s">
        <v>76</v>
      </c>
    </row>
    <row r="13">
      <c r="A13" s="3" t="s">
        <v>6</v>
      </c>
      <c r="C13" s="10" t="str">
        <f t="array" ref="C13">INDEX(customInv,MATCH($F$12,INDEX(customInv,,1),0),3)</f>
        <v>d78b2eaf</v>
      </c>
      <c r="E13" s="3" t="s">
        <v>7</v>
      </c>
      <c r="F13" s="11">
        <v>45901.0</v>
      </c>
    </row>
    <row r="14">
      <c r="A14" s="3" t="s">
        <v>8</v>
      </c>
      <c r="C14" s="12"/>
      <c r="E14" s="13" t="s">
        <v>9</v>
      </c>
      <c r="F14" s="101">
        <f>F13 + 29</f>
        <v>45930</v>
      </c>
    </row>
    <row r="15">
      <c r="A15" s="14"/>
      <c r="B15" s="14"/>
      <c r="C15" s="14"/>
      <c r="D15" s="14"/>
      <c r="E15" s="14"/>
      <c r="F15" s="14"/>
      <c r="G15" s="14"/>
    </row>
    <row r="16">
      <c r="A16" s="15" t="s">
        <v>10</v>
      </c>
      <c r="B16" s="15" t="s">
        <v>11</v>
      </c>
      <c r="C16" s="16"/>
      <c r="D16" s="15" t="s">
        <v>12</v>
      </c>
      <c r="E16" s="15" t="s">
        <v>13</v>
      </c>
      <c r="F16" s="15" t="s">
        <v>14</v>
      </c>
      <c r="G16" s="15" t="s">
        <v>15</v>
      </c>
    </row>
    <row r="17">
      <c r="A17" s="17">
        <f t="array" ref="A17">IFERROR(SEQUENCE(COUNTA(B17:B22),1),"")</f>
        <v>1</v>
      </c>
      <c r="B17" s="102" t="str">
        <f>IFERROR(__xludf.DUMMYFUNCTION("UNIQUE(FILTER(
  database!G2:G53,
  ISNUMBER(MATCH(database!B2:B53,ARRAYFORMULA(SPLIT(REGEXREPLACE(A34,""(\d+)"",""'$1""),"" ""))
, 0))
))
"),"LPG 12kg")</f>
        <v>LPG 12kg</v>
      </c>
      <c r="C17" s="18"/>
      <c r="D17" s="17" t="str">
        <f t="array" ref="D17">IF(ISBLANK($B17),"", INDEX(itemCategoryDetails,MATCH($B17,INDEX(itemCategoryDetails,,2),0),5))</f>
        <v>Btl</v>
      </c>
      <c r="E17" s="17">
        <f>IFERROR(__xludf.DUMMYFUNCTION("IF(ISBLANK($B17),"""",SUM(FILTER(
  database!$J$2:$J53,
  ISNUMBER(MATCH(database!$B$2:$B53,ARRAYFORMULA(SPLIT(REGEXREPLACE($A$34,""(\d+)"",""'$1""),"" ""))
, 0)),database!$G$2:$G53=$B17
)))"),3.0)</f>
        <v>3</v>
      </c>
      <c r="F17" s="19" t="str">
        <f>IFERROR(__xludf.DUMMYFUNCTION("IF(ISBLANK($B17),"""",INDEX(FILTER(
  database!$M$2:$M53,
  ISNUMBER(MATCH(database!$B$2:$B53,ARRAYFORMULA(SPLIT(REGEXREPLACE($A$34,""(\d+)"",""'$1""),"" ""))
, 0)),database!$G$2:$G53=$B17
),1,))"),"")</f>
        <v/>
      </c>
      <c r="G17" s="20">
        <f t="shared" ref="G17:G20" si="1">IF(ISBLANK($B17),"",$E17*$F17)</f>
        <v>0</v>
      </c>
    </row>
    <row r="18">
      <c r="A18" s="17"/>
      <c r="B18" s="13"/>
      <c r="C18" s="18"/>
      <c r="D18" s="17" t="str">
        <f t="array" ref="D18">IF(ISBLANK($B18),"", INDEX(itemCategoryDetails,MATCH($B18,INDEX(itemCategoryDetails,,2),0),5))</f>
        <v/>
      </c>
      <c r="E18" s="17" t="str">
        <f>IFERROR(__xludf.DUMMYFUNCTION("IF(ISBLANK($B18),"""",SUM(FILTER(
  database!$J$2:$J53,
  ISNUMBER(MATCH(database!$B$2:$B53,ARRAYFORMULA(SPLIT(REGEXREPLACE($A$34,""(\d+)"",""'$1""),"" ""))
, 0)),database!$G$2:$G53=$B18
)))"),"")</f>
        <v/>
      </c>
      <c r="F18" s="19" t="str">
        <f>IFERROR(__xludf.DUMMYFUNCTION("IF(ISBLANK($B18),"""",INDEX(FILTER(
  database!$M$2:$M53,
  ISNUMBER(MATCH(database!$B$2:$B53,ARRAYFORMULA(SPLIT(REGEXREPLACE($A$34,""(\d+)"",""'$1""),"" ""))
, 0)),database!$G$2:$G53=$B18
),1,))")," ")</f>
        <v/>
      </c>
      <c r="G18" s="20" t="str">
        <f t="shared" si="1"/>
        <v/>
      </c>
    </row>
    <row r="19" ht="15.0" customHeight="1">
      <c r="A19" s="17"/>
      <c r="B19" s="13"/>
      <c r="C19" s="21"/>
      <c r="D19" s="17" t="str">
        <f t="array" ref="D19">IF(ISBLANK($B19),"", INDEX(itemCategoryDetails,MATCH($B19,INDEX(itemCategoryDetails,,2),0),5))</f>
        <v/>
      </c>
      <c r="E19" s="17" t="str">
        <f>IFERROR(__xludf.DUMMYFUNCTION("IF(ISBLANK($B19),"""",SUM(FILTER(
  database!$J$2:$J53,
  ISNUMBER(MATCH(database!$B$2:$B53,ARRAYFORMULA(SPLIT(REGEXREPLACE($A$34,""(\d+)"",""'$1""),"" ""))
, 0)),database!$G$2:$G53=$B19
)))"),"")</f>
        <v/>
      </c>
      <c r="F19" s="19" t="str">
        <f>IFERROR(__xludf.DUMMYFUNCTION("IF(ISBLANK($B19),"""",INDEX(FILTER(
  database!$M$2:$M53,
  ISNUMBER(MATCH(database!$B$2:$B53,ARRAYFORMULA(SPLIT(REGEXREPLACE($A$34,""(\d+)"",""'$1""),"" ""))
, 0)),database!$G$2:$G53=$B19
),1,))")," ")</f>
        <v/>
      </c>
      <c r="G19" s="20" t="str">
        <f t="shared" si="1"/>
        <v/>
      </c>
    </row>
    <row r="20" ht="15.0" customHeight="1">
      <c r="D20" s="17" t="str">
        <f t="array" ref="D20">IF(ISBLANK($B20),"", INDEX(itemCategoryDetails,MATCH($B20,INDEX(itemCategoryDetails,,2),0),5))</f>
        <v/>
      </c>
      <c r="E20" s="17" t="str">
        <f>IFERROR(__xludf.DUMMYFUNCTION("IF(ISBLANK($B20),"""",SUM(FILTER(
  database!$J$2:$J53,
  ISNUMBER(MATCH(database!$B$2:$B53,ARRAYFORMULA(SPLIT(REGEXREPLACE($A$34,""(\d+)"",""'$1""),"" ""))
, 0)),database!$G$2:$G53=$B20
)))"),"")</f>
        <v/>
      </c>
      <c r="F20" s="19" t="str">
        <f>IFERROR(__xludf.DUMMYFUNCTION("IF(ISBLANK($B20),"""",INDEX(FILTER(
  database!$M$2:$M53,
  ISNUMBER(MATCH(database!$B$2:$B53,ARRAYFORMULA(SPLIT(REGEXREPLACE($A$34,""(\d+)"",""'$1""),"" ""))
, 0)),database!$G$2:$G53=$B20
),1,))")," ")</f>
        <v/>
      </c>
      <c r="G20" s="20" t="str">
        <f t="shared" si="1"/>
        <v/>
      </c>
    </row>
    <row r="21" ht="15.0" customHeight="1">
      <c r="D21" s="17"/>
      <c r="E21" s="17"/>
      <c r="F21" s="19"/>
      <c r="G21" s="20"/>
    </row>
    <row r="22">
      <c r="D22" s="17" t="str">
        <f t="array" ref="D22">IF(ISBLANK($B22),"", INDEX(itemCategoryDetails,MATCH($B22,INDEX(itemCategoryDetails,,2),0),5))</f>
        <v/>
      </c>
      <c r="E22" s="17" t="str">
        <f>IFERROR(__xludf.DUMMYFUNCTION("IF(ISBLANK($B22),"""",SUM(FILTER(
  database!$J$2:$J53,
  ISNUMBER(MATCH(database!$B$2:$B53,ARRAYFORMULA(SPLIT(REGEXREPLACE($A$34,""(\d+)"",""'$1""),"" ""))
, 0)),database!$G$2:$G53=$B22
)))"),"")</f>
        <v/>
      </c>
      <c r="F22" s="19" t="str">
        <f>IFERROR(__xludf.DUMMYFUNCTION("IF(ISBLANK($B22),"""",INDEX(FILTER(
  database!$M$2:$M53,
  ISNUMBER(MATCH(database!$B$2:$B53,ARRAYFORMULA(SPLIT(REGEXREPLACE($A$34,""(\d+)"",""'$1""),"" ""))
, 0)),database!$G$2:$G53=$B22
),1,))")," ")</f>
        <v/>
      </c>
      <c r="G22" s="20" t="str">
        <f>IF(ISBLANK($B22),"",$E22*$F22)</f>
        <v/>
      </c>
    </row>
    <row r="23">
      <c r="A23" s="23"/>
      <c r="B23" s="24"/>
      <c r="C23" s="25"/>
      <c r="D23" s="25"/>
      <c r="E23" s="24" t="s">
        <v>16</v>
      </c>
      <c r="F23" s="25"/>
      <c r="G23" s="26">
        <f>SUM(G17:G19)</f>
        <v>0</v>
      </c>
    </row>
    <row r="24">
      <c r="A24" s="27"/>
      <c r="D24" s="14"/>
      <c r="E24" s="3" t="s">
        <v>18</v>
      </c>
      <c r="F24" s="14"/>
      <c r="G24" s="28"/>
    </row>
    <row r="25">
      <c r="D25" s="14"/>
      <c r="E25" s="3" t="s">
        <v>19</v>
      </c>
      <c r="F25" s="14"/>
      <c r="G25" s="14"/>
    </row>
    <row r="26">
      <c r="D26" s="14"/>
      <c r="E26" s="3" t="s">
        <v>20</v>
      </c>
      <c r="F26" s="14"/>
      <c r="G26" s="29">
        <f t="array" ref="G26">IFERROR(IF(INDEX(customerDetails,MATCH(C13,INDEX(customerDetails,,1),0),4)=TRUE,G23,""),"")</f>
        <v>0</v>
      </c>
    </row>
    <row r="27">
      <c r="A27" s="30"/>
      <c r="B27" s="14"/>
      <c r="C27" s="14"/>
      <c r="D27" s="14"/>
      <c r="E27" s="3" t="s">
        <v>21</v>
      </c>
      <c r="F27" s="14"/>
      <c r="G27" s="20">
        <f t="array" ref="G27">IFERROR(IF(INDEX(customerDetails,MATCH(C13,INDEX(customerDetails,,1),0),4)=TRUE,$G26*11/100,""),"")</f>
        <v>0</v>
      </c>
    </row>
    <row r="28">
      <c r="A28" s="30"/>
      <c r="B28" s="14"/>
      <c r="C28" s="14"/>
      <c r="D28" s="14"/>
      <c r="E28" s="21" t="s">
        <v>22</v>
      </c>
      <c r="F28" s="31"/>
      <c r="G28" s="32">
        <f>round(G23+G27,0)</f>
        <v>0</v>
      </c>
    </row>
    <row r="29">
      <c r="A29" s="14"/>
      <c r="B29" s="14"/>
      <c r="C29" s="14"/>
      <c r="D29" s="14"/>
      <c r="E29" s="14"/>
      <c r="F29" s="14"/>
      <c r="G29" s="14"/>
    </row>
    <row r="30">
      <c r="A30" s="3" t="s">
        <v>23</v>
      </c>
      <c r="B30" s="14"/>
      <c r="C30" s="14"/>
      <c r="D30" s="14"/>
      <c r="E30" s="14"/>
      <c r="F30" s="17" t="str">
        <f>"Sidoarjo,"&amp;" "&amp;text(F13,"dd mmmm yyy")</f>
        <v>Sidoarjo, 01 September 2025</v>
      </c>
    </row>
    <row r="31">
      <c r="A31" s="103" t="str">
        <f>IFERROR(__xludf.DUMMYFUNCTION("CONCATENATE(""Pengiriman periode "",""
"",INDEX(TEXT(SORT(QUERY(customInv,""SELECT AQ WHERE AL='""&amp;$F$12&amp;""'""),1,TRUE),""DD MMMM YYYY""),1,1),"" - "",INDEX(TEXT(SORT(QUERY(customInv,""SELECT AQ WHERE AL='""&amp;$F$12&amp;""'""),1,TRUE),""DD MMMM YYYY""),COUNT(QU"&amp;"ERY(customInv,""SELECT AQ WHERE AL='""&amp;$F$12&amp;""'"")),1))"),"Pengiriman periode 
21 Juli 2025 - 19 Agustus 2025")</f>
        <v>Pengiriman periode 
21 Juli 2025 - 19 Agustus 2025</v>
      </c>
      <c r="D31" s="14"/>
      <c r="E31" s="14"/>
      <c r="F31" s="14"/>
      <c r="G31" s="14"/>
    </row>
    <row r="32">
      <c r="D32" s="14"/>
      <c r="E32" s="14"/>
      <c r="F32" s="14"/>
      <c r="G32" s="14"/>
    </row>
    <row r="33">
      <c r="A33" s="3" t="s">
        <v>64</v>
      </c>
      <c r="B33" s="14"/>
      <c r="C33" s="14"/>
      <c r="D33" s="14"/>
      <c r="E33" s="14"/>
      <c r="F33" s="14"/>
      <c r="G33" s="14"/>
    </row>
    <row r="34">
      <c r="A34" s="104" t="str">
        <f>IFERROR(__xludf.DUMMYFUNCTION("JOIN("" "",QUERY(customInv,""SELECT AM WHERE AL='""&amp;$F$12&amp;""' ORDER BY AQ DESC""))"),"0825131141 0825121111 07250593")</f>
        <v>0825131141 0825121111 07250593</v>
      </c>
      <c r="D34" s="14"/>
      <c r="E34" s="14"/>
      <c r="F34" s="14"/>
      <c r="G34" s="14"/>
    </row>
    <row r="35">
      <c r="D35" s="14"/>
      <c r="E35" s="14"/>
      <c r="F35" s="34" t="s">
        <v>24</v>
      </c>
    </row>
    <row r="36">
      <c r="A36" s="2"/>
      <c r="B36" s="2"/>
      <c r="C36" s="2"/>
      <c r="D36" s="2"/>
      <c r="E36" s="2"/>
      <c r="F36" s="2"/>
      <c r="G36" s="2"/>
    </row>
    <row r="37">
      <c r="A37" s="2"/>
      <c r="B37" s="131"/>
      <c r="C37" s="132"/>
      <c r="D37" s="2"/>
      <c r="E37" s="2"/>
      <c r="F37" s="2"/>
      <c r="G37" s="2"/>
    </row>
    <row r="38">
      <c r="A38" s="2"/>
      <c r="B38" s="2"/>
      <c r="C38" s="2"/>
      <c r="D38" s="2"/>
      <c r="E38" s="2"/>
      <c r="F38" s="2"/>
      <c r="G38" s="35"/>
    </row>
    <row r="39">
      <c r="A39" s="2"/>
      <c r="B39" s="2"/>
      <c r="C39" s="2"/>
      <c r="D39" s="2"/>
      <c r="E39" s="2"/>
      <c r="F39" s="2"/>
      <c r="G39" s="2"/>
    </row>
    <row r="40">
      <c r="A40" s="2"/>
      <c r="B40" s="2"/>
      <c r="C40" s="2"/>
      <c r="D40" s="2"/>
      <c r="E40" s="2"/>
      <c r="F40" s="2"/>
      <c r="G40" s="2"/>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t="str">
        <f>IMAGE("https://qris.interactive.co.id/restapi/qris/show_qris.php")</f>
        <v/>
      </c>
      <c r="C46" s="2"/>
      <c r="D46" s="2"/>
      <c r="E46" s="2"/>
      <c r="F46" s="2"/>
      <c r="G46" s="36" t="str">
        <f>IMAGE("https://quickchart.io/qr?text=" &amp; ENCODEURL($F$12))</f>
        <v/>
      </c>
    </row>
    <row r="47">
      <c r="A47" s="2"/>
      <c r="B47" s="2"/>
      <c r="C47" s="2"/>
      <c r="D47" s="2"/>
      <c r="E47" s="2"/>
      <c r="F47" s="2"/>
    </row>
    <row r="48">
      <c r="A48" s="2"/>
      <c r="B48" s="2"/>
      <c r="C48" s="2"/>
      <c r="D48" s="2"/>
      <c r="E48" s="2"/>
      <c r="F48" s="2"/>
    </row>
    <row r="49">
      <c r="A49" s="2"/>
      <c r="B49" s="2"/>
      <c r="C49" s="2"/>
      <c r="D49" s="2"/>
      <c r="E49" s="2"/>
      <c r="F49" s="2"/>
    </row>
    <row r="50">
      <c r="A50" s="37" t="s">
        <v>25</v>
      </c>
      <c r="E50" s="2"/>
      <c r="F50" s="2"/>
    </row>
    <row r="51" ht="23.25" customHeight="1">
      <c r="E51" s="40"/>
      <c r="F51" s="40"/>
    </row>
    <row r="52">
      <c r="A52" s="41"/>
      <c r="B52" s="38" t="s">
        <v>28</v>
      </c>
      <c r="C52" s="39" t="s">
        <v>29</v>
      </c>
      <c r="E52" s="40"/>
      <c r="F52" s="40"/>
      <c r="G52" s="40"/>
    </row>
    <row r="53">
      <c r="A53" s="41"/>
      <c r="B53" s="38" t="s">
        <v>30</v>
      </c>
      <c r="C53" s="39" t="s">
        <v>31</v>
      </c>
      <c r="E53" s="40"/>
      <c r="F53" s="42" t="s">
        <v>32</v>
      </c>
      <c r="G53" s="42" t="s">
        <v>33</v>
      </c>
    </row>
  </sheetData>
  <mergeCells count="24">
    <mergeCell ref="A1:D5"/>
    <mergeCell ref="F4:G4"/>
    <mergeCell ref="F5:G8"/>
    <mergeCell ref="A6:D9"/>
    <mergeCell ref="A11:G11"/>
    <mergeCell ref="C12:D12"/>
    <mergeCell ref="F12:G12"/>
    <mergeCell ref="A12:B12"/>
    <mergeCell ref="A13:B13"/>
    <mergeCell ref="C13:D13"/>
    <mergeCell ref="F13:G13"/>
    <mergeCell ref="A14:B14"/>
    <mergeCell ref="C14:D14"/>
    <mergeCell ref="F14:G14"/>
    <mergeCell ref="A50:D51"/>
    <mergeCell ref="C52:D52"/>
    <mergeCell ref="C53:D53"/>
    <mergeCell ref="B16:C16"/>
    <mergeCell ref="A24:C26"/>
    <mergeCell ref="F30:G30"/>
    <mergeCell ref="A31:C32"/>
    <mergeCell ref="A34:C35"/>
    <mergeCell ref="F35:G35"/>
    <mergeCell ref="G46:G51"/>
  </mergeCells>
  <dataValidations>
    <dataValidation type="list" allowBlank="1" showErrorMessage="1" sqref="F12">
      <formula1>database!$AL$2:$AL53</formula1>
    </dataValidation>
  </dataValidations>
  <printOptions horizontalCentered="1"/>
  <pageMargins bottom="0.39370078740157477" footer="0.0" header="0.0" left="0.5905511811023622" right="0.905511811023622" top="0.6692913385826771"/>
  <pageSetup orientation="portrait" pageOrder="overThenDown" paperHeight="11.023622047244093in" paperWidth="9.448818897637794i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showGridLines="0" workbookViewId="0"/>
  </sheetViews>
  <sheetFormatPr customHeight="1" defaultColWidth="14.43" defaultRowHeight="15.0"/>
  <cols>
    <col customWidth="1" min="1" max="1" width="4.29"/>
    <col customWidth="1" min="2" max="2" width="18.29"/>
    <col customWidth="1" min="3" max="3" width="23.43"/>
    <col customWidth="1" min="4" max="4" width="11.57"/>
    <col customWidth="1" min="5" max="5" width="22.0"/>
    <col customWidth="1" min="6" max="6" width="22.29"/>
    <col customWidth="1" min="7" max="7" width="20.71"/>
  </cols>
  <sheetData>
    <row r="1">
      <c r="A1" s="133"/>
      <c r="D1" s="133"/>
      <c r="E1" s="41"/>
      <c r="F1" s="41"/>
      <c r="G1" s="41"/>
    </row>
    <row r="2">
      <c r="D2" s="133"/>
      <c r="E2" s="41"/>
      <c r="F2" s="41"/>
      <c r="G2" s="41"/>
    </row>
    <row r="3">
      <c r="D3" s="133"/>
      <c r="E3" s="41"/>
      <c r="F3" s="134" t="s">
        <v>0</v>
      </c>
      <c r="G3" s="41"/>
    </row>
    <row r="4">
      <c r="D4" s="133"/>
      <c r="E4" s="41"/>
      <c r="F4" s="135" t="str">
        <f t="array" ref="F4">IFERROR(INDEX(customerDetails,MATCH(C13,INDEX(customerDetails,,1),0),2),"")</f>
        <v>Mitra Wood Sejahtera</v>
      </c>
    </row>
    <row r="5">
      <c r="D5" s="133"/>
      <c r="E5" s="41"/>
      <c r="F5" s="94" t="str">
        <f t="array" ref="F5">IFERROR(INDEX(customerDetails,MATCH($C$13,INDEX(customerDetails,,1),0),5),"")</f>
        <v>Jl.cungkling, Jl. Tanggungan, Nanom Kidul, Lebaniwaras, Kec. Wringinanom, Kabupaten Gresik, Jawa Timur 61176</v>
      </c>
    </row>
    <row r="6">
      <c r="A6" s="6" t="s">
        <v>1</v>
      </c>
      <c r="E6" s="41"/>
    </row>
    <row r="7">
      <c r="E7" s="41"/>
    </row>
    <row r="8">
      <c r="E8" s="41"/>
    </row>
    <row r="9">
      <c r="E9" s="41"/>
      <c r="F9" s="41"/>
      <c r="G9" s="41"/>
    </row>
    <row r="10" ht="12.75" customHeight="1">
      <c r="A10" s="41"/>
      <c r="B10" s="41"/>
      <c r="C10" s="41"/>
      <c r="D10" s="41"/>
      <c r="E10" s="41"/>
      <c r="F10" s="41"/>
      <c r="G10" s="41"/>
    </row>
    <row r="11" ht="13.5" customHeight="1">
      <c r="A11" s="136" t="s">
        <v>2</v>
      </c>
    </row>
    <row r="12" ht="13.5" customHeight="1">
      <c r="A12" s="134" t="s">
        <v>3</v>
      </c>
      <c r="C12" s="137" t="str">
        <f t="array" ref="C12">IFERROR(INDEX(customerDetails,MATCH(C13,INDEX(customerDetails,,1),0),3),"")</f>
        <v/>
      </c>
      <c r="E12" s="134" t="s">
        <v>4</v>
      </c>
      <c r="F12" s="137" t="s">
        <v>77</v>
      </c>
    </row>
    <row r="13" ht="13.5" customHeight="1">
      <c r="A13" s="134" t="s">
        <v>6</v>
      </c>
      <c r="C13" s="138" t="str">
        <f t="array" ref="C13">INDEX(customInv,MATCH($F$12,INDEX(customInv,,1),0),3)</f>
        <v>eec2e801</v>
      </c>
      <c r="E13" s="134" t="s">
        <v>7</v>
      </c>
      <c r="F13" s="139" t="str">
        <f>IFERROR(__xludf.DUMMYFUNCTION("INDEX(TEXT(SORT(QUERY(customInv,""SELECT AQ WHERE AL='""&amp;$F$12&amp;""'""),1,FALSE),""DD/MM/YYYY""),1,1)"),"23/07/2025")</f>
        <v>23/07/2025</v>
      </c>
    </row>
    <row r="14" ht="13.5" customHeight="1">
      <c r="A14" s="134" t="s">
        <v>8</v>
      </c>
      <c r="C14" s="140"/>
      <c r="E14" s="37" t="s">
        <v>9</v>
      </c>
      <c r="F14" s="141"/>
    </row>
    <row r="15" ht="13.5" customHeight="1">
      <c r="A15" s="41"/>
      <c r="B15" s="41"/>
      <c r="C15" s="41"/>
      <c r="D15" s="41"/>
      <c r="E15" s="41"/>
      <c r="F15" s="41"/>
      <c r="G15" s="41"/>
    </row>
    <row r="16" ht="13.5" customHeight="1">
      <c r="A16" s="142" t="s">
        <v>10</v>
      </c>
      <c r="B16" s="142" t="s">
        <v>11</v>
      </c>
      <c r="C16" s="16"/>
      <c r="D16" s="142" t="s">
        <v>12</v>
      </c>
      <c r="E16" s="142" t="s">
        <v>13</v>
      </c>
      <c r="F16" s="142" t="s">
        <v>14</v>
      </c>
      <c r="G16" s="142" t="s">
        <v>15</v>
      </c>
    </row>
    <row r="17" ht="13.5" customHeight="1">
      <c r="A17" s="89">
        <f t="array" ref="A17:A18">IFERROR(SEQUENCE(COUNTA(B17:B21),1),"")</f>
        <v>1</v>
      </c>
      <c r="B17" s="143" t="str">
        <f>IFERROR(__xludf.DUMMYFUNCTION("UNIQUE(FILTER(
  database!G2:G53,
  ISNUMBER(MATCH(database!B2:B53,ARRAYFORMULA(SPLIT(REGEXREPLACE(A27,""(\d+)"",""'$1""),"" ""))
, 0))
))
"),"Oksigen 6m3")</f>
        <v>Oksigen 6m3</v>
      </c>
      <c r="C17" s="144"/>
      <c r="D17" s="89" t="str">
        <f t="array" ref="D17">IF(ISBLANK($B17),"", INDEX(itemCategoryDetails,MATCH($B17,INDEX(itemCategoryDetails,,2),0),5))</f>
        <v>Btl</v>
      </c>
      <c r="E17" s="89">
        <f>IFERROR(__xludf.DUMMYFUNCTION("IF(ISBLANK($B17),"""",SUM(FILTER(
  database!$J$2:$J53,
  ISNUMBER(MATCH(database!$B$2:$B53,ARRAYFORMULA(SPLIT(REGEXREPLACE($A$27,""(\d+)"",""'$1""),"" ""))
, 0)),database!$G$2:$G53=$B17
)))"),20.0)</f>
        <v>20</v>
      </c>
      <c r="F17" s="145" t="str">
        <f>IFERROR(__xludf.DUMMYFUNCTION("IF(ISBLANK($B17),"""",INDEX(FILTER(
  database!$M$2:$M53,
  ISNUMBER(MATCH(database!$B$2:$B53,ARRAYFORMULA(SPLIT(REGEXREPLACE($A$27,""(\d+)"",""'$1""),"" ""))
, 0)),database!$G$2:$G53=$B17
),1,))"),"")</f>
        <v/>
      </c>
      <c r="G17" s="146">
        <f t="shared" ref="G17:G21" si="1">IF(ISBLANK($B17),"",$E17*$F17)</f>
        <v>0</v>
      </c>
    </row>
    <row r="18" ht="13.5" customHeight="1">
      <c r="A18" s="89">
        <v>2.0</v>
      </c>
      <c r="B18" s="37" t="str">
        <f>IFERROR(__xludf.DUMMYFUNCTION("""COMPUTED_VALUE"""),"LPG 12kg")</f>
        <v>LPG 12kg</v>
      </c>
      <c r="C18" s="144"/>
      <c r="D18" s="89" t="str">
        <f t="array" ref="D18">IF(ISBLANK($B18),"", INDEX(itemCategoryDetails,MATCH($B18,INDEX(itemCategoryDetails,,2),0),5))</f>
        <v>Btl</v>
      </c>
      <c r="E18" s="89">
        <f>IFERROR(__xludf.DUMMYFUNCTION("IF(ISBLANK($B18),"""",SUM(FILTER(
  database!$J$2:$J53,
  ISNUMBER(MATCH(database!$B$2:$B53,ARRAYFORMULA(SPLIT(REGEXREPLACE($A$27,""(\d+)"",""'$1""),"" ""))
, 0)),database!$G$2:$G53=$B18
)))"),4.0)</f>
        <v>4</v>
      </c>
      <c r="F18" s="145" t="str">
        <f>IFERROR(__xludf.DUMMYFUNCTION("IF(ISBLANK($B18),"""",INDEX(FILTER(
  database!$M$2:$M53,
  ISNUMBER(MATCH(database!$B$2:$B53,ARRAYFORMULA(SPLIT(REGEXREPLACE($A$27,""(\d+)"",""'$1""),"" ""))
, 0)),database!$G$2:$G53=$B18
),1,))"),"")</f>
        <v/>
      </c>
      <c r="G18" s="146">
        <f t="shared" si="1"/>
        <v>0</v>
      </c>
    </row>
    <row r="19" ht="13.5" customHeight="1">
      <c r="A19" s="89"/>
      <c r="B19" s="37"/>
      <c r="C19" s="38"/>
      <c r="D19" s="89" t="str">
        <f t="array" ref="D19">IF(ISBLANK($B19),"", INDEX(itemCategoryDetails,MATCH($B19,INDEX(itemCategoryDetails,,2),0),5))</f>
        <v/>
      </c>
      <c r="E19" s="89" t="str">
        <f>IFERROR(__xludf.DUMMYFUNCTION("IF(ISBLANK($B19),"""",SUM(FILTER(
  database!$J$2:$J53,
  ISNUMBER(MATCH(database!$B$2:$B53,ARRAYFORMULA(SPLIT(REGEXREPLACE($A$27,""(\d+)"",""'$1""),"" ""))
, 0)),database!$G$2:$G53=$B19
)))"),"")</f>
        <v/>
      </c>
      <c r="F19" s="145" t="str">
        <f>IFERROR(__xludf.DUMMYFUNCTION("IF(ISBLANK($B19),"""",INDEX(FILTER(
  database!$M$2:$M53,
  ISNUMBER(MATCH(database!$B$2:$B53,ARRAYFORMULA(SPLIT(REGEXREPLACE($A$27,""(\d+)"",""'$1""),"" ""))
, 0)),database!$G$2:$G53=$B19
),1,))")," ")</f>
        <v/>
      </c>
      <c r="G19" s="146" t="str">
        <f t="shared" si="1"/>
        <v/>
      </c>
    </row>
    <row r="20" ht="13.5" customHeight="1">
      <c r="A20" s="147"/>
      <c r="B20" s="147"/>
      <c r="C20" s="147"/>
      <c r="D20" s="89" t="str">
        <f t="array" ref="D20">IF(ISBLANK($B20),"", INDEX(itemCategoryDetails,MATCH($B20,INDEX(itemCategoryDetails,,2),0),5))</f>
        <v/>
      </c>
      <c r="E20" s="89" t="str">
        <f>IFERROR(__xludf.DUMMYFUNCTION("IF(ISBLANK($B20),"""",SUM(FILTER(
  database!$J$2:$J53,
  ISNUMBER(MATCH(database!$B$2:$B53,ARRAYFORMULA(SPLIT(REGEXREPLACE($A$27,""(\d+)"",""'$1""),"" ""))
, 0)),database!$G$2:$G53=$B20
)))"),"")</f>
        <v/>
      </c>
      <c r="F20" s="145" t="str">
        <f>IFERROR(__xludf.DUMMYFUNCTION("IF(ISBLANK($B20),"""",INDEX(FILTER(
  database!$M$2:$M53,
  ISNUMBER(MATCH(database!$B$2:$B53,ARRAYFORMULA(SPLIT(REGEXREPLACE($A$27,""(\d+)"",""'$1""),"" ""))
, 0)),database!$G$2:$G53=$B20
),1,))")," ")</f>
        <v/>
      </c>
      <c r="G20" s="146" t="str">
        <f t="shared" si="1"/>
        <v/>
      </c>
    </row>
    <row r="21" ht="13.5" customHeight="1">
      <c r="A21" s="147"/>
      <c r="B21" s="147"/>
      <c r="C21" s="147"/>
      <c r="D21" s="89" t="str">
        <f t="array" ref="D21">IF(ISBLANK($B21),"", INDEX(itemCategoryDetails,MATCH($B21,INDEX(itemCategoryDetails,,2),0),5))</f>
        <v/>
      </c>
      <c r="E21" s="89" t="str">
        <f>IFERROR(__xludf.DUMMYFUNCTION("IF(ISBLANK($B21),"""",SUM(FILTER(
  database!$J$2:$J53,
  ISNUMBER(MATCH(database!$B$2:$B53,ARRAYFORMULA(SPLIT(REGEXREPLACE($A$27,""(\d+)"",""'$1""),"" ""))
, 0)),database!$G$2:$G53=$B21
)))"),"")</f>
        <v/>
      </c>
      <c r="F21" s="145" t="str">
        <f>IFERROR(__xludf.DUMMYFUNCTION("IF(ISBLANK($B21),"""",INDEX(FILTER(
  database!$M$2:$M53,
  ISNUMBER(MATCH(database!$B$2:$B53,ARRAYFORMULA(SPLIT(REGEXREPLACE($A$27,""(\d+)"",""'$1""),"" ""))
, 0)),database!$G$2:$G53=$B21
),1,))")," ")</f>
        <v/>
      </c>
      <c r="G21" s="146" t="str">
        <f t="shared" si="1"/>
        <v/>
      </c>
    </row>
    <row r="22" ht="13.5" customHeight="1">
      <c r="A22" s="148"/>
      <c r="B22" s="149"/>
      <c r="C22" s="105"/>
      <c r="D22" s="105"/>
      <c r="E22" s="149" t="s">
        <v>16</v>
      </c>
      <c r="F22" s="105"/>
      <c r="G22" s="150">
        <f>SUM(G17:G19)</f>
        <v>0</v>
      </c>
    </row>
    <row r="23" ht="13.5" customHeight="1">
      <c r="A23" s="134" t="s">
        <v>23</v>
      </c>
      <c r="B23" s="41"/>
      <c r="C23" s="41"/>
      <c r="D23" s="41"/>
      <c r="E23" s="134" t="s">
        <v>17</v>
      </c>
      <c r="F23" s="41"/>
      <c r="G23" s="145"/>
    </row>
    <row r="24" ht="13.5" customHeight="1">
      <c r="A24" s="151" t="str">
        <f>IFERROR(__xludf.DUMMYFUNCTION("CONCATENATE(""Pengiriman periode "",""
"",INDEX(TEXT(SORT(QUERY(customInv,""SELECT AQ WHERE AL='""&amp;$F$12&amp;""'""),1,TRUE),""DD MMMM YYYY""),1,1),"" - "",INDEX(TEXT(SORT(QUERY(customInv,""SELECT AQ WHERE AL='""&amp;$F$12&amp;""'""),1,TRUE),""DD MMMM YYYY""),COUNT(QU"&amp;"ERY(customInv,""SELECT AQ WHERE AL='""&amp;$F$12&amp;""'"")),1))"),"Pengiriman periode 
23 Juli 2025 - 23 Juli 2025")</f>
        <v>Pengiriman periode 
23 Juli 2025 - 23 Juli 2025</v>
      </c>
      <c r="D24" s="41"/>
      <c r="E24" s="134" t="s">
        <v>18</v>
      </c>
      <c r="F24" s="41"/>
      <c r="G24" s="152"/>
    </row>
    <row r="25" ht="13.5" customHeight="1">
      <c r="D25" s="41"/>
      <c r="E25" s="134" t="s">
        <v>19</v>
      </c>
      <c r="F25" s="41"/>
      <c r="G25" s="41"/>
    </row>
    <row r="26" ht="13.5" customHeight="1">
      <c r="A26" s="134" t="s">
        <v>64</v>
      </c>
      <c r="B26" s="41"/>
      <c r="C26" s="41"/>
      <c r="D26" s="41"/>
      <c r="E26" s="134" t="s">
        <v>20</v>
      </c>
      <c r="F26" s="41"/>
      <c r="G26" s="153" t="str">
        <f t="array" ref="G26">IFERROR(IF(INDEX(customerDetails,MATCH(C13,INDEX(customerDetails,,1),0),4)=TRUE,G22,""),"")</f>
        <v/>
      </c>
    </row>
    <row r="27" ht="13.5" customHeight="1">
      <c r="A27" s="154" t="str">
        <f>IFERROR(__xludf.DUMMYFUNCTION("JOIN("" "",QUERY(customInv,""SELECT AM WHERE AL='""&amp;$F$12&amp;""' ORDER BY AQ DESC""))"),"07250602 07250604")</f>
        <v>07250602 07250604</v>
      </c>
      <c r="D27" s="41"/>
      <c r="E27" s="134" t="s">
        <v>21</v>
      </c>
      <c r="F27" s="41"/>
      <c r="G27" s="146" t="str">
        <f t="array" ref="G27">IFERROR(IF(INDEX(customerDetails,MATCH(C13,INDEX(customerDetails,,1),0),4)=TRUE,G22*11/100,""),"")</f>
        <v/>
      </c>
    </row>
    <row r="28" ht="13.5" customHeight="1">
      <c r="D28" s="41"/>
      <c r="E28" s="38" t="s">
        <v>22</v>
      </c>
      <c r="F28" s="155"/>
      <c r="G28" s="156">
        <f>G22+G27+G23</f>
        <v>0</v>
      </c>
    </row>
    <row r="29" ht="12.75" customHeight="1">
      <c r="A29" s="41"/>
      <c r="B29" s="41"/>
      <c r="C29" s="41"/>
      <c r="D29" s="41"/>
      <c r="E29" s="41"/>
      <c r="F29" s="41"/>
      <c r="G29" s="41"/>
    </row>
    <row r="30" ht="12.75" customHeight="1">
      <c r="A30" s="157" t="str">
        <f>IMAGE("https://quickchart.io/qr?text=" &amp; ENCODEURL($F$12))</f>
        <v/>
      </c>
      <c r="B30" s="92"/>
      <c r="C30" s="158"/>
      <c r="D30" s="158"/>
      <c r="E30" s="159"/>
      <c r="F30" s="160" t="str">
        <f>"Sidoarjo,"&amp;" "&amp;text(F13,"dd mmmm yyy")</f>
        <v>Sidoarjo, 23 Juli 2025</v>
      </c>
      <c r="G30" s="161"/>
    </row>
    <row r="31" ht="12.75" customHeight="1">
      <c r="A31" s="162"/>
      <c r="C31" s="37" t="s">
        <v>25</v>
      </c>
      <c r="E31" s="163"/>
      <c r="F31" s="164"/>
      <c r="G31" s="165"/>
    </row>
    <row r="32" ht="12.75" customHeight="1">
      <c r="A32" s="162"/>
      <c r="E32" s="163"/>
      <c r="F32" s="164"/>
      <c r="G32" s="165"/>
    </row>
    <row r="33" ht="12.75" customHeight="1">
      <c r="A33" s="162"/>
      <c r="C33" s="38" t="s">
        <v>78</v>
      </c>
      <c r="E33" s="163"/>
      <c r="F33" s="166"/>
      <c r="G33" s="165"/>
    </row>
    <row r="34" ht="12.75" customHeight="1">
      <c r="A34" s="162"/>
      <c r="C34" s="38" t="s">
        <v>79</v>
      </c>
      <c r="E34" s="163"/>
      <c r="F34" s="166"/>
      <c r="G34" s="165"/>
    </row>
    <row r="35" ht="12.75" customHeight="1">
      <c r="A35" s="167"/>
      <c r="B35" s="16"/>
      <c r="C35" s="168"/>
      <c r="D35" s="169"/>
      <c r="E35" s="170"/>
      <c r="F35" s="171" t="s">
        <v>24</v>
      </c>
      <c r="G35" s="172"/>
    </row>
    <row r="36">
      <c r="A36" s="41"/>
      <c r="B36" s="41"/>
      <c r="C36" s="41"/>
      <c r="D36" s="41"/>
      <c r="E36" s="41"/>
      <c r="F36" s="41"/>
      <c r="G36" s="41"/>
    </row>
    <row r="37">
      <c r="A37" s="41"/>
      <c r="B37" s="138"/>
      <c r="C37" s="173"/>
      <c r="D37" s="41"/>
      <c r="E37" s="41"/>
      <c r="F37" s="41"/>
      <c r="G37" s="41"/>
    </row>
    <row r="38">
      <c r="A38" s="41"/>
      <c r="B38" s="147"/>
      <c r="C38" s="147"/>
      <c r="D38" s="147"/>
      <c r="E38" s="147"/>
      <c r="F38" s="41"/>
      <c r="G38" s="174"/>
    </row>
    <row r="39">
      <c r="A39" s="41"/>
      <c r="B39" s="147"/>
      <c r="C39" s="147"/>
      <c r="D39" s="147"/>
      <c r="E39" s="147"/>
      <c r="F39" s="41"/>
      <c r="G39" s="41"/>
    </row>
    <row r="40">
      <c r="A40" s="41"/>
      <c r="B40" s="147"/>
      <c r="C40" s="147"/>
      <c r="D40" s="147"/>
      <c r="E40" s="147"/>
      <c r="F40" s="41"/>
      <c r="G40" s="41"/>
    </row>
    <row r="41">
      <c r="A41" s="41"/>
      <c r="B41" s="147"/>
      <c r="C41" s="147"/>
      <c r="D41" s="147"/>
      <c r="E41" s="147"/>
      <c r="F41" s="41"/>
      <c r="G41" s="41"/>
    </row>
    <row r="42">
      <c r="A42" s="41"/>
      <c r="B42" s="41"/>
      <c r="C42" s="41"/>
      <c r="D42" s="41"/>
      <c r="E42" s="41"/>
      <c r="F42" s="41"/>
      <c r="G42" s="41"/>
    </row>
    <row r="43">
      <c r="A43" s="41"/>
      <c r="B43" s="41"/>
      <c r="C43" s="41"/>
      <c r="D43" s="41"/>
      <c r="E43" s="41"/>
      <c r="F43" s="41"/>
      <c r="G43" s="41"/>
    </row>
    <row r="44">
      <c r="A44" s="41"/>
      <c r="B44" s="41"/>
      <c r="C44" s="41"/>
      <c r="D44" s="41"/>
      <c r="E44" s="41"/>
      <c r="F44" s="41"/>
      <c r="G44" s="41"/>
    </row>
    <row r="45">
      <c r="A45" s="41"/>
      <c r="B45" s="41"/>
      <c r="C45" s="41"/>
      <c r="D45" s="41"/>
      <c r="E45" s="41"/>
      <c r="F45" s="41"/>
      <c r="G45" s="41"/>
    </row>
    <row r="46">
      <c r="A46" s="41"/>
      <c r="B46" s="41" t="str">
        <f>IMAGE("https://qris.interactive.co.id/restapi/qris/show_qris.php")</f>
        <v/>
      </c>
      <c r="C46" s="41"/>
      <c r="D46" s="41"/>
      <c r="E46" s="41"/>
      <c r="F46" s="41"/>
      <c r="G46" s="147"/>
    </row>
    <row r="47">
      <c r="A47" s="41"/>
      <c r="B47" s="41"/>
      <c r="C47" s="41"/>
      <c r="D47" s="41"/>
      <c r="E47" s="41"/>
      <c r="F47" s="41"/>
      <c r="G47" s="147"/>
    </row>
    <row r="48">
      <c r="A48" s="41"/>
      <c r="B48" s="41"/>
      <c r="C48" s="41"/>
      <c r="D48" s="41"/>
      <c r="E48" s="41"/>
      <c r="F48" s="41"/>
      <c r="G48" s="147"/>
    </row>
    <row r="49">
      <c r="A49" s="41"/>
      <c r="B49" s="41"/>
      <c r="C49" s="41"/>
      <c r="D49" s="41"/>
      <c r="E49" s="41"/>
      <c r="F49" s="41"/>
      <c r="G49" s="147"/>
    </row>
    <row r="50">
      <c r="A50" s="147"/>
      <c r="B50" s="147"/>
      <c r="C50" s="147"/>
      <c r="D50" s="147"/>
      <c r="E50" s="41"/>
      <c r="F50" s="41"/>
      <c r="G50" s="147"/>
    </row>
    <row r="51" ht="23.25" customHeight="1">
      <c r="A51" s="147"/>
      <c r="B51" s="147"/>
      <c r="C51" s="147"/>
      <c r="D51" s="147"/>
      <c r="E51" s="136"/>
      <c r="F51" s="136"/>
      <c r="G51" s="147"/>
    </row>
    <row r="52">
      <c r="A52" s="147"/>
      <c r="B52" s="147"/>
      <c r="C52" s="147"/>
      <c r="D52" s="147"/>
      <c r="E52" s="136"/>
      <c r="F52" s="136"/>
      <c r="G52" s="136"/>
    </row>
    <row r="53">
      <c r="A53" s="147"/>
      <c r="B53" s="147"/>
      <c r="C53" s="147"/>
      <c r="D53" s="147"/>
      <c r="E53" s="136"/>
      <c r="F53" s="136"/>
      <c r="G53" s="136"/>
    </row>
  </sheetData>
  <mergeCells count="23">
    <mergeCell ref="A1:C5"/>
    <mergeCell ref="F4:G4"/>
    <mergeCell ref="F5:G8"/>
    <mergeCell ref="A6:D9"/>
    <mergeCell ref="A11:G11"/>
    <mergeCell ref="C12:D12"/>
    <mergeCell ref="F12:G12"/>
    <mergeCell ref="A12:B12"/>
    <mergeCell ref="A13:B13"/>
    <mergeCell ref="C13:D13"/>
    <mergeCell ref="F13:G13"/>
    <mergeCell ref="A14:B14"/>
    <mergeCell ref="C14:D14"/>
    <mergeCell ref="F14:G14"/>
    <mergeCell ref="C34:E34"/>
    <mergeCell ref="F35:G35"/>
    <mergeCell ref="B16:C16"/>
    <mergeCell ref="A24:C25"/>
    <mergeCell ref="A27:C28"/>
    <mergeCell ref="A30:B35"/>
    <mergeCell ref="F30:G30"/>
    <mergeCell ref="C31:E32"/>
    <mergeCell ref="C33:E33"/>
  </mergeCells>
  <dataValidations>
    <dataValidation type="list" allowBlank="1" showErrorMessage="1" sqref="F12">
      <formula1>database!$AL$2:$AL53</formula1>
    </dataValidation>
  </dataValidations>
  <printOptions horizontalCentered="1"/>
  <pageMargins bottom="0.39370078740157477" footer="0.0" header="0.0" left="4.520314280369381" right="0.0" top="1.9077234336092603"/>
  <pageSetup scale="80" orientation="landscape" pageOrder="overThenDown" paperHeight="5.5118110236220454in" paperWidth="9.548818897637794i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3.43"/>
    <col customWidth="1" min="4" max="4" width="18.43"/>
    <col customWidth="1" min="7" max="7" width="21.0"/>
  </cols>
  <sheetData>
    <row r="1" ht="1.5" customHeight="1">
      <c r="A1" s="175"/>
      <c r="E1" s="176"/>
      <c r="F1" s="176"/>
      <c r="G1" s="176"/>
      <c r="H1" s="177"/>
      <c r="I1" s="177"/>
      <c r="J1" s="177"/>
      <c r="K1" s="177"/>
      <c r="L1" s="177"/>
      <c r="M1" s="177"/>
      <c r="N1" s="177"/>
      <c r="O1" s="177"/>
      <c r="P1" s="177"/>
      <c r="Q1" s="177"/>
      <c r="R1" s="177"/>
      <c r="S1" s="177"/>
      <c r="T1" s="177"/>
      <c r="U1" s="177"/>
      <c r="V1" s="177"/>
      <c r="W1" s="177"/>
      <c r="X1" s="177"/>
      <c r="Y1" s="177"/>
      <c r="Z1" s="177"/>
    </row>
    <row r="2">
      <c r="E2" s="176"/>
      <c r="F2" s="176"/>
      <c r="G2" s="176"/>
      <c r="H2" s="177"/>
      <c r="I2" s="177"/>
      <c r="J2" s="177"/>
      <c r="K2" s="177"/>
      <c r="L2" s="177"/>
      <c r="M2" s="177"/>
      <c r="N2" s="177"/>
      <c r="O2" s="177"/>
      <c r="P2" s="177"/>
      <c r="Q2" s="177"/>
      <c r="R2" s="177"/>
      <c r="S2" s="177"/>
      <c r="T2" s="177"/>
      <c r="U2" s="177"/>
      <c r="V2" s="177"/>
      <c r="W2" s="177"/>
      <c r="X2" s="177"/>
      <c r="Y2" s="177"/>
      <c r="Z2" s="177"/>
    </row>
    <row r="3">
      <c r="E3" s="176"/>
      <c r="F3" s="176"/>
      <c r="G3" s="176"/>
      <c r="H3" s="177"/>
      <c r="I3" s="177"/>
      <c r="J3" s="177"/>
      <c r="K3" s="177"/>
      <c r="L3" s="177"/>
      <c r="M3" s="177"/>
      <c r="N3" s="177"/>
      <c r="O3" s="177"/>
      <c r="P3" s="177"/>
      <c r="Q3" s="177"/>
      <c r="R3" s="177"/>
      <c r="S3" s="177"/>
      <c r="T3" s="177"/>
      <c r="U3" s="177"/>
      <c r="V3" s="177"/>
      <c r="W3" s="177"/>
      <c r="X3" s="177"/>
      <c r="Y3" s="177"/>
      <c r="Z3" s="177"/>
    </row>
    <row r="4">
      <c r="E4" s="176"/>
      <c r="F4" s="178" t="s">
        <v>80</v>
      </c>
      <c r="H4" s="177"/>
      <c r="I4" s="177"/>
      <c r="J4" s="177"/>
      <c r="K4" s="177"/>
      <c r="L4" s="177"/>
      <c r="M4" s="177"/>
      <c r="N4" s="177"/>
      <c r="O4" s="177"/>
      <c r="P4" s="177"/>
      <c r="Q4" s="177"/>
      <c r="R4" s="177"/>
      <c r="S4" s="177"/>
      <c r="T4" s="177"/>
      <c r="U4" s="177"/>
      <c r="V4" s="177"/>
      <c r="W4" s="177"/>
      <c r="X4" s="177"/>
      <c r="Y4" s="177"/>
      <c r="Z4" s="177"/>
    </row>
    <row r="5">
      <c r="E5" s="176"/>
      <c r="H5" s="177"/>
      <c r="I5" s="177"/>
      <c r="J5" s="177"/>
      <c r="K5" s="177"/>
      <c r="L5" s="177"/>
      <c r="M5" s="177"/>
      <c r="N5" s="177"/>
      <c r="O5" s="177"/>
      <c r="P5" s="177"/>
      <c r="Q5" s="177"/>
      <c r="R5" s="177"/>
      <c r="S5" s="177"/>
      <c r="T5" s="177"/>
      <c r="U5" s="177"/>
      <c r="V5" s="177"/>
      <c r="W5" s="177"/>
      <c r="X5" s="177"/>
      <c r="Y5" s="177"/>
      <c r="Z5" s="177"/>
    </row>
    <row r="6">
      <c r="A6" s="179" t="s">
        <v>81</v>
      </c>
      <c r="E6" s="176"/>
      <c r="H6" s="177"/>
      <c r="I6" s="177"/>
      <c r="J6" s="177"/>
      <c r="K6" s="177"/>
      <c r="L6" s="177"/>
      <c r="M6" s="177"/>
      <c r="N6" s="177"/>
      <c r="O6" s="177"/>
      <c r="P6" s="177"/>
      <c r="Q6" s="177"/>
      <c r="R6" s="177"/>
      <c r="S6" s="177"/>
      <c r="T6" s="177"/>
      <c r="U6" s="177"/>
      <c r="V6" s="177"/>
      <c r="W6" s="177"/>
      <c r="X6" s="177"/>
      <c r="Y6" s="177"/>
      <c r="Z6" s="177"/>
    </row>
    <row r="7">
      <c r="E7" s="176"/>
      <c r="F7" s="180" t="s">
        <v>82</v>
      </c>
      <c r="G7" s="181">
        <v>45757.0</v>
      </c>
      <c r="H7" s="177"/>
      <c r="I7" s="177"/>
      <c r="J7" s="177"/>
      <c r="K7" s="177"/>
      <c r="L7" s="177"/>
      <c r="M7" s="177"/>
      <c r="N7" s="177"/>
      <c r="O7" s="177"/>
      <c r="P7" s="177"/>
      <c r="Q7" s="177"/>
      <c r="R7" s="177"/>
      <c r="S7" s="177"/>
      <c r="T7" s="177"/>
      <c r="U7" s="177"/>
      <c r="V7" s="177"/>
      <c r="W7" s="177"/>
      <c r="X7" s="177"/>
      <c r="Y7" s="177"/>
      <c r="Z7" s="177"/>
    </row>
    <row r="8" ht="5.25" customHeight="1">
      <c r="E8" s="176"/>
      <c r="F8" s="176"/>
      <c r="G8" s="176"/>
      <c r="H8" s="177"/>
      <c r="I8" s="177"/>
      <c r="J8" s="177"/>
      <c r="K8" s="177"/>
      <c r="L8" s="177"/>
      <c r="M8" s="177"/>
      <c r="N8" s="177"/>
      <c r="O8" s="177"/>
      <c r="P8" s="177"/>
      <c r="Q8" s="177"/>
      <c r="R8" s="177"/>
      <c r="S8" s="177"/>
      <c r="T8" s="177"/>
      <c r="U8" s="177"/>
      <c r="V8" s="177"/>
      <c r="W8" s="177"/>
      <c r="X8" s="177"/>
      <c r="Y8" s="177"/>
      <c r="Z8" s="177"/>
    </row>
    <row r="9">
      <c r="E9" s="176"/>
      <c r="F9" s="176"/>
      <c r="G9" s="176"/>
      <c r="H9" s="177"/>
      <c r="I9" s="177"/>
      <c r="J9" s="177"/>
      <c r="K9" s="177"/>
      <c r="L9" s="177"/>
      <c r="M9" s="177"/>
      <c r="N9" s="177"/>
      <c r="O9" s="177"/>
      <c r="P9" s="177"/>
      <c r="Q9" s="177"/>
      <c r="R9" s="177"/>
      <c r="S9" s="177"/>
      <c r="T9" s="177"/>
      <c r="U9" s="177"/>
      <c r="V9" s="177"/>
      <c r="W9" s="177"/>
      <c r="X9" s="177"/>
      <c r="Y9" s="177"/>
      <c r="Z9" s="177"/>
    </row>
    <row r="10">
      <c r="A10" s="176"/>
      <c r="B10" s="176"/>
      <c r="C10" s="176"/>
      <c r="D10" s="176"/>
      <c r="E10" s="176"/>
      <c r="F10" s="176"/>
      <c r="G10" s="176"/>
      <c r="H10" s="177"/>
      <c r="I10" s="177"/>
      <c r="J10" s="177"/>
      <c r="K10" s="177"/>
      <c r="L10" s="177"/>
      <c r="M10" s="177"/>
      <c r="N10" s="177"/>
      <c r="O10" s="177"/>
      <c r="P10" s="177"/>
      <c r="Q10" s="177"/>
      <c r="R10" s="177"/>
      <c r="S10" s="177"/>
      <c r="T10" s="177"/>
      <c r="U10" s="177"/>
      <c r="V10" s="177"/>
      <c r="W10" s="177"/>
      <c r="X10" s="177"/>
      <c r="Y10" s="177"/>
      <c r="Z10" s="177"/>
    </row>
    <row r="11">
      <c r="A11" s="182" t="s">
        <v>83</v>
      </c>
      <c r="B11" s="183" t="s">
        <v>84</v>
      </c>
      <c r="C11" s="184" t="str">
        <f>"1. Faktur Penjualan" &amp;" x1"</f>
        <v>1. Faktur Penjualan x1</v>
      </c>
      <c r="D11" s="185"/>
      <c r="E11" s="185"/>
      <c r="F11" s="185"/>
      <c r="G11" s="186"/>
      <c r="H11" s="177"/>
      <c r="I11" s="177"/>
      <c r="J11" s="177"/>
      <c r="K11" s="177"/>
      <c r="L11" s="177"/>
      <c r="M11" s="177"/>
      <c r="N11" s="177"/>
      <c r="O11" s="177"/>
      <c r="P11" s="177"/>
      <c r="Q11" s="177"/>
      <c r="R11" s="177"/>
      <c r="S11" s="177"/>
      <c r="T11" s="177"/>
      <c r="U11" s="177"/>
      <c r="V11" s="177"/>
      <c r="W11" s="177"/>
      <c r="X11" s="177"/>
      <c r="Y11" s="177"/>
      <c r="Z11" s="177"/>
    </row>
    <row r="12">
      <c r="A12" s="176"/>
      <c r="B12" s="187"/>
      <c r="C12" s="188" t="str">
        <f>Faktur!F12</f>
        <v>04261063117</v>
      </c>
      <c r="D12" s="185"/>
      <c r="E12" s="185"/>
      <c r="F12" s="185"/>
      <c r="G12" s="185"/>
      <c r="H12" s="189"/>
      <c r="I12" s="177"/>
      <c r="J12" s="177"/>
      <c r="K12" s="177"/>
      <c r="L12" s="177"/>
      <c r="M12" s="177"/>
      <c r="N12" s="177"/>
      <c r="O12" s="177"/>
      <c r="P12" s="177"/>
      <c r="Q12" s="177"/>
      <c r="R12" s="177"/>
      <c r="S12" s="177"/>
      <c r="T12" s="177"/>
      <c r="U12" s="177"/>
      <c r="V12" s="177"/>
      <c r="W12" s="177"/>
      <c r="X12" s="177"/>
      <c r="Y12" s="177"/>
      <c r="Z12" s="177"/>
    </row>
    <row r="13">
      <c r="A13" s="176"/>
      <c r="B13" s="187"/>
      <c r="C13" s="184" t="str">
        <f>"2. Surat Jalan x1"</f>
        <v>2. Surat Jalan x1</v>
      </c>
      <c r="D13" s="190"/>
      <c r="E13" s="190"/>
      <c r="F13" s="190"/>
      <c r="G13" s="190"/>
      <c r="H13" s="189"/>
      <c r="I13" s="177"/>
      <c r="J13" s="177"/>
      <c r="K13" s="177"/>
      <c r="L13" s="177"/>
      <c r="M13" s="177"/>
      <c r="N13" s="177"/>
      <c r="O13" s="177"/>
      <c r="P13" s="177"/>
      <c r="Q13" s="177"/>
      <c r="R13" s="177"/>
      <c r="S13" s="177"/>
      <c r="T13" s="177"/>
      <c r="U13" s="177"/>
      <c r="V13" s="177"/>
      <c r="W13" s="177"/>
      <c r="X13" s="177"/>
      <c r="Y13" s="177"/>
      <c r="Z13" s="177"/>
    </row>
    <row r="14">
      <c r="A14" s="176"/>
      <c r="B14" s="187"/>
      <c r="C14" s="188" t="str">
        <f>Faktur!F12</f>
        <v>04261063117</v>
      </c>
      <c r="D14" s="185"/>
      <c r="E14" s="185"/>
      <c r="F14" s="185"/>
      <c r="G14" s="185"/>
      <c r="H14" s="189"/>
      <c r="I14" s="177"/>
      <c r="J14" s="177"/>
      <c r="K14" s="177"/>
      <c r="L14" s="177"/>
      <c r="M14" s="177"/>
      <c r="N14" s="177"/>
      <c r="O14" s="177"/>
      <c r="P14" s="177"/>
      <c r="Q14" s="177"/>
      <c r="R14" s="177"/>
      <c r="S14" s="177"/>
      <c r="T14" s="177"/>
      <c r="U14" s="177"/>
      <c r="V14" s="177"/>
      <c r="W14" s="177"/>
      <c r="X14" s="177"/>
      <c r="Y14" s="177"/>
      <c r="Z14" s="177"/>
    </row>
    <row r="15">
      <c r="A15" s="176"/>
      <c r="B15" s="187"/>
      <c r="C15" s="185"/>
      <c r="D15" s="185"/>
      <c r="E15" s="185"/>
      <c r="F15" s="185"/>
      <c r="G15" s="185"/>
      <c r="H15" s="189"/>
      <c r="I15" s="177"/>
      <c r="J15" s="177"/>
      <c r="K15" s="177"/>
      <c r="L15" s="177"/>
      <c r="M15" s="177"/>
      <c r="N15" s="177"/>
      <c r="O15" s="177"/>
      <c r="P15" s="177"/>
      <c r="Q15" s="177"/>
      <c r="R15" s="177"/>
      <c r="S15" s="177"/>
      <c r="T15" s="177"/>
      <c r="U15" s="177"/>
      <c r="V15" s="177"/>
      <c r="W15" s="177"/>
      <c r="X15" s="177"/>
      <c r="Y15" s="177"/>
      <c r="Z15" s="177"/>
    </row>
    <row r="16">
      <c r="A16" s="176"/>
      <c r="B16" s="187"/>
      <c r="C16" s="176"/>
      <c r="D16" s="176"/>
      <c r="E16" s="176"/>
      <c r="F16" s="176"/>
      <c r="G16" s="176"/>
      <c r="H16" s="177"/>
      <c r="I16" s="177"/>
      <c r="J16" s="177"/>
      <c r="K16" s="177"/>
      <c r="L16" s="177"/>
      <c r="M16" s="177"/>
      <c r="N16" s="177"/>
      <c r="O16" s="177"/>
      <c r="P16" s="177"/>
      <c r="Q16" s="177"/>
      <c r="R16" s="177"/>
      <c r="S16" s="177"/>
      <c r="T16" s="177"/>
      <c r="U16" s="177"/>
      <c r="V16" s="177"/>
      <c r="W16" s="177"/>
      <c r="X16" s="177"/>
      <c r="Y16" s="177"/>
      <c r="Z16" s="177"/>
    </row>
    <row r="17">
      <c r="A17" s="182" t="s">
        <v>85</v>
      </c>
      <c r="B17" s="183" t="s">
        <v>84</v>
      </c>
      <c r="C17" s="191" t="str">
        <f>'Faktur Masa (Print)'!$F$4</f>
        <v>Bpk. Kadir (Maintenance Velg)</v>
      </c>
      <c r="D17" s="16"/>
      <c r="E17" s="16"/>
      <c r="F17" s="176"/>
      <c r="G17" s="176"/>
      <c r="H17" s="177"/>
      <c r="I17" s="177"/>
      <c r="J17" s="177"/>
      <c r="K17" s="177"/>
      <c r="L17" s="177"/>
      <c r="M17" s="177"/>
      <c r="N17" s="177"/>
      <c r="O17" s="177"/>
      <c r="P17" s="177"/>
      <c r="Q17" s="177"/>
      <c r="R17" s="177"/>
      <c r="S17" s="177"/>
      <c r="T17" s="177"/>
      <c r="U17" s="177"/>
      <c r="V17" s="177"/>
      <c r="W17" s="177"/>
      <c r="X17" s="177"/>
      <c r="Y17" s="177"/>
      <c r="Z17" s="177"/>
    </row>
    <row r="18">
      <c r="A18" s="177"/>
      <c r="B18" s="177"/>
      <c r="C18" s="177"/>
      <c r="D18" s="177"/>
      <c r="E18" s="177"/>
      <c r="F18" s="177"/>
      <c r="G18" s="189"/>
      <c r="H18" s="177"/>
      <c r="I18" s="177"/>
      <c r="J18" s="177"/>
      <c r="K18" s="177"/>
      <c r="L18" s="177"/>
      <c r="M18" s="177"/>
      <c r="N18" s="177"/>
      <c r="O18" s="177"/>
      <c r="P18" s="177"/>
      <c r="Q18" s="177"/>
      <c r="R18" s="177"/>
      <c r="S18" s="177"/>
      <c r="T18" s="177"/>
      <c r="U18" s="177"/>
      <c r="V18" s="177"/>
      <c r="W18" s="177"/>
      <c r="X18" s="177"/>
      <c r="Y18" s="177"/>
      <c r="Z18" s="177"/>
    </row>
    <row r="19">
      <c r="A19" s="192" t="s">
        <v>86</v>
      </c>
      <c r="D19" s="177"/>
      <c r="E19" s="177"/>
      <c r="F19" s="192" t="s">
        <v>87</v>
      </c>
      <c r="H19" s="177"/>
      <c r="I19" s="177"/>
      <c r="J19" s="177"/>
      <c r="K19" s="177"/>
      <c r="L19" s="177"/>
      <c r="M19" s="177"/>
      <c r="N19" s="177"/>
      <c r="O19" s="177"/>
      <c r="P19" s="177"/>
      <c r="Q19" s="177"/>
      <c r="R19" s="177"/>
      <c r="S19" s="177"/>
      <c r="T19" s="177"/>
      <c r="U19" s="177"/>
      <c r="V19" s="177"/>
      <c r="W19" s="177"/>
      <c r="X19" s="177"/>
      <c r="Y19" s="177"/>
      <c r="Z19" s="177"/>
    </row>
    <row r="20">
      <c r="A20" s="177"/>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c r="A21" s="177"/>
      <c r="B21" s="177"/>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row>
    <row r="22">
      <c r="A22" s="177"/>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c r="A23" s="177"/>
      <c r="B23" s="177"/>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row>
    <row r="24">
      <c r="A24" s="193"/>
      <c r="B24" s="16"/>
      <c r="C24" s="16"/>
      <c r="D24" s="177"/>
      <c r="E24" s="177"/>
      <c r="F24" s="194"/>
      <c r="G24" s="16"/>
      <c r="H24" s="177"/>
      <c r="I24" s="177"/>
      <c r="J24" s="177"/>
      <c r="K24" s="177"/>
      <c r="L24" s="177"/>
      <c r="M24" s="177"/>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8">
    <mergeCell ref="A1:D5"/>
    <mergeCell ref="F4:G6"/>
    <mergeCell ref="A6:D9"/>
    <mergeCell ref="C17:E17"/>
    <mergeCell ref="A19:C19"/>
    <mergeCell ref="F19:G19"/>
    <mergeCell ref="A24:C24"/>
    <mergeCell ref="F24:G24"/>
  </mergeCells>
  <printOptions horizontalCentered="1"/>
  <pageMargins bottom="0.39370078740157477" footer="0.0" header="0.0" left="0.5905511811023622" right="0.984251968503937" top="0.6496062992125984"/>
  <pageSetup orientation="landscape" pageOrder="overThenDown" paperHeight="5.511811023622046in" paperWidth="9.448818897637794i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5.14"/>
    <col customWidth="1" min="3" max="3" width="12.86"/>
    <col customWidth="1" min="4" max="4" width="18.43"/>
    <col customWidth="1" min="7" max="7" width="21.0"/>
  </cols>
  <sheetData>
    <row r="1" ht="1.5" customHeight="1">
      <c r="A1" s="175"/>
      <c r="E1" s="176"/>
      <c r="F1" s="176"/>
      <c r="G1" s="176"/>
    </row>
    <row r="2">
      <c r="E2" s="176"/>
      <c r="F2" s="176"/>
      <c r="G2" s="176"/>
    </row>
    <row r="3">
      <c r="E3" s="176"/>
      <c r="F3" s="176"/>
      <c r="G3" s="176"/>
    </row>
    <row r="4">
      <c r="E4" s="176"/>
      <c r="F4" s="178" t="s">
        <v>80</v>
      </c>
    </row>
    <row r="5">
      <c r="E5" s="176"/>
    </row>
    <row r="6">
      <c r="A6" s="179" t="s">
        <v>81</v>
      </c>
      <c r="E6" s="176"/>
    </row>
    <row r="7">
      <c r="E7" s="176"/>
      <c r="F7" s="180" t="s">
        <v>82</v>
      </c>
      <c r="G7" s="181">
        <v>45757.0</v>
      </c>
    </row>
    <row r="8" ht="5.25" customHeight="1">
      <c r="E8" s="176"/>
      <c r="F8" s="176"/>
      <c r="G8" s="176"/>
    </row>
    <row r="9">
      <c r="E9" s="176"/>
      <c r="F9" s="176"/>
      <c r="G9" s="176"/>
    </row>
    <row r="10">
      <c r="A10" s="176"/>
      <c r="B10" s="176"/>
      <c r="C10" s="176"/>
      <c r="D10" s="176"/>
      <c r="E10" s="176"/>
      <c r="F10" s="176"/>
      <c r="G10" s="176"/>
    </row>
    <row r="11">
      <c r="A11" s="182" t="s">
        <v>83</v>
      </c>
      <c r="B11" s="183" t="s">
        <v>84</v>
      </c>
      <c r="C11" s="184" t="str">
        <f>"1. Faktur Penjualan" &amp;" x1"</f>
        <v>1. Faktur Penjualan x1</v>
      </c>
      <c r="D11" s="185"/>
      <c r="E11" s="185"/>
      <c r="F11" s="185"/>
      <c r="G11" s="186"/>
    </row>
    <row r="12">
      <c r="A12" s="176"/>
      <c r="B12" s="187"/>
      <c r="C12" s="188" t="str">
        <f>'Faktur Masa (Print)'!$F$12</f>
        <v>2260314</v>
      </c>
      <c r="D12" s="185"/>
      <c r="E12" s="185"/>
      <c r="F12" s="185"/>
      <c r="G12" s="185"/>
    </row>
    <row r="13">
      <c r="A13" s="176"/>
      <c r="B13" s="187"/>
      <c r="C13" s="184" t="str">
        <f>IFERROR(__xludf.DUMMYFUNCTION("""2. Surat Jalan"" &amp;"" x""&amp;COUNTA(SPLIT('Faktur Masa (Print)'!$A$36,"" ""))"),"2. Surat Jalan x4")</f>
        <v>2. Surat Jalan x4</v>
      </c>
      <c r="D13" s="190"/>
      <c r="E13" s="190"/>
      <c r="F13" s="190"/>
      <c r="G13" s="190"/>
    </row>
    <row r="14">
      <c r="A14" s="176"/>
      <c r="B14" s="187"/>
      <c r="C14" s="195" t="str">
        <f>'Faktur Masa (Print)'!$A$36</f>
        <v>0426533113 0426523078 0426513006 0426502950</v>
      </c>
      <c r="D14" s="185"/>
      <c r="E14" s="185"/>
      <c r="F14" s="185"/>
      <c r="G14" s="185"/>
    </row>
    <row r="15">
      <c r="A15" s="176"/>
      <c r="B15" s="187"/>
      <c r="C15" s="185"/>
      <c r="D15" s="185"/>
      <c r="E15" s="185"/>
      <c r="F15" s="185"/>
      <c r="G15" s="185"/>
    </row>
    <row r="16">
      <c r="A16" s="176"/>
      <c r="B16" s="187"/>
      <c r="C16" s="176"/>
      <c r="D16" s="176"/>
      <c r="E16" s="176"/>
      <c r="F16" s="176"/>
      <c r="G16" s="176"/>
    </row>
    <row r="17">
      <c r="A17" s="182" t="s">
        <v>85</v>
      </c>
      <c r="B17" s="183" t="s">
        <v>84</v>
      </c>
      <c r="C17" s="191" t="str">
        <f>'Faktur Masa (Print)'!$F$4</f>
        <v>Bpk. Kadir (Maintenance Velg)</v>
      </c>
      <c r="D17" s="16"/>
      <c r="E17" s="16"/>
      <c r="F17" s="176"/>
      <c r="G17" s="176"/>
    </row>
    <row r="18">
      <c r="A18" s="177"/>
      <c r="B18" s="177"/>
      <c r="C18" s="177"/>
      <c r="D18" s="177"/>
      <c r="E18" s="177"/>
      <c r="F18" s="177"/>
      <c r="G18" s="189"/>
    </row>
    <row r="19">
      <c r="A19" s="192" t="s">
        <v>86</v>
      </c>
      <c r="D19" s="177"/>
      <c r="E19" s="177"/>
      <c r="F19" s="192" t="s">
        <v>87</v>
      </c>
    </row>
    <row r="20">
      <c r="A20" s="177"/>
      <c r="B20" s="177"/>
      <c r="C20" s="177"/>
      <c r="D20" s="177"/>
      <c r="E20" s="177"/>
      <c r="F20" s="177"/>
      <c r="G20" s="177"/>
    </row>
    <row r="21">
      <c r="A21" s="177"/>
      <c r="B21" s="177"/>
      <c r="C21" s="177"/>
      <c r="D21" s="177"/>
      <c r="E21" s="177"/>
      <c r="F21" s="177"/>
      <c r="G21" s="177"/>
    </row>
    <row r="22">
      <c r="A22" s="177"/>
      <c r="B22" s="177"/>
      <c r="C22" s="177"/>
      <c r="D22" s="177"/>
      <c r="E22" s="177"/>
      <c r="F22" s="177"/>
      <c r="G22" s="177"/>
    </row>
    <row r="23">
      <c r="A23" s="177"/>
      <c r="B23" s="177"/>
      <c r="C23" s="177"/>
      <c r="D23" s="177"/>
      <c r="E23" s="177"/>
      <c r="F23" s="177"/>
      <c r="G23" s="177"/>
    </row>
    <row r="24">
      <c r="A24" s="193"/>
      <c r="B24" s="16"/>
      <c r="C24" s="16"/>
      <c r="D24" s="177"/>
      <c r="E24" s="177"/>
      <c r="F24" s="194"/>
      <c r="G24" s="16"/>
    </row>
    <row r="25">
      <c r="A25" s="177"/>
      <c r="B25" s="177"/>
      <c r="C25" s="177"/>
      <c r="D25" s="177"/>
      <c r="E25" s="177"/>
      <c r="F25" s="177"/>
      <c r="G25" s="177"/>
    </row>
    <row r="26">
      <c r="A26" s="177"/>
      <c r="B26" s="177"/>
      <c r="C26" s="177"/>
      <c r="D26" s="177"/>
      <c r="E26" s="177"/>
      <c r="F26" s="177"/>
      <c r="G26" s="177"/>
    </row>
    <row r="27">
      <c r="A27" s="177"/>
      <c r="B27" s="177"/>
      <c r="C27" s="177"/>
      <c r="D27" s="177"/>
      <c r="E27" s="177"/>
      <c r="F27" s="177"/>
      <c r="G27" s="177"/>
    </row>
    <row r="28" ht="8.25" customHeight="1">
      <c r="A28" s="177"/>
      <c r="B28" s="177"/>
      <c r="C28" s="177"/>
      <c r="D28" s="177"/>
      <c r="E28" s="177"/>
      <c r="F28" s="177"/>
      <c r="G28" s="177"/>
    </row>
    <row r="29">
      <c r="A29" s="177"/>
      <c r="B29" s="177"/>
      <c r="C29" s="177"/>
      <c r="D29" s="177"/>
      <c r="E29" s="177"/>
      <c r="F29" s="177"/>
      <c r="G29" s="177"/>
    </row>
    <row r="30" ht="10.5" customHeight="1">
      <c r="A30" s="175"/>
      <c r="E30" s="176"/>
      <c r="F30" s="176"/>
      <c r="G30" s="176"/>
    </row>
    <row r="31" ht="10.5" customHeight="1">
      <c r="E31" s="176"/>
      <c r="F31" s="176"/>
      <c r="G31" s="176"/>
    </row>
    <row r="32" ht="10.5" customHeight="1">
      <c r="E32" s="176"/>
      <c r="F32" s="176"/>
      <c r="G32" s="176"/>
    </row>
    <row r="33" ht="10.5" customHeight="1">
      <c r="E33" s="176"/>
      <c r="F33" s="178" t="s">
        <v>88</v>
      </c>
    </row>
    <row r="34" ht="10.5" customHeight="1">
      <c r="E34" s="176"/>
    </row>
    <row r="35" ht="10.5" customHeight="1">
      <c r="A35" s="196" t="s">
        <v>81</v>
      </c>
      <c r="E35" s="176"/>
    </row>
    <row r="36" ht="10.5" customHeight="1">
      <c r="E36" s="176"/>
    </row>
    <row r="37" ht="10.5" customHeight="1">
      <c r="E37" s="176"/>
      <c r="F37" s="176"/>
      <c r="G37" s="176"/>
    </row>
    <row r="38" ht="10.5" customHeight="1">
      <c r="E38" s="176"/>
      <c r="F38" s="176"/>
      <c r="G38" s="176"/>
    </row>
    <row r="39">
      <c r="A39" s="177"/>
      <c r="B39" s="177"/>
      <c r="C39" s="177"/>
      <c r="D39" s="177"/>
      <c r="E39" s="177"/>
      <c r="F39" s="177"/>
      <c r="G39" s="177"/>
    </row>
    <row r="40" ht="22.5" customHeight="1">
      <c r="A40" s="197" t="s">
        <v>89</v>
      </c>
      <c r="B40" s="177"/>
      <c r="C40" s="192" t="s">
        <v>84</v>
      </c>
      <c r="D40" s="198" t="str">
        <f>'Faktur Masa (Print)'!$F$4</f>
        <v>Bpk. Kadir (Maintenance Velg)</v>
      </c>
      <c r="E40" s="177"/>
      <c r="F40" s="177"/>
      <c r="G40" s="177"/>
    </row>
    <row r="41" ht="28.5" customHeight="1">
      <c r="A41" s="197" t="s">
        <v>90</v>
      </c>
      <c r="B41" s="177"/>
      <c r="C41" s="192" t="s">
        <v>84</v>
      </c>
      <c r="D41" s="199" t="str">
        <f>terbilang('Faktur Masa (Print)'!G$30)</f>
        <v>  Satu Juta Delapan Ratus Sepuluh  Ribu </v>
      </c>
      <c r="E41" s="200"/>
      <c r="F41" s="200"/>
      <c r="G41" s="200"/>
    </row>
    <row r="42" ht="22.5" customHeight="1">
      <c r="A42" s="201" t="s">
        <v>91</v>
      </c>
      <c r="B42" s="177"/>
      <c r="C42" s="192" t="s">
        <v>84</v>
      </c>
      <c r="D42" s="202" t="str">
        <f>"Faktur Nomor "&amp; 'Faktur Masa (Print)'!$F$12</f>
        <v>Faktur Nomor 2260314</v>
      </c>
      <c r="E42" s="177"/>
      <c r="F42" s="177"/>
      <c r="G42" s="177"/>
    </row>
    <row r="43">
      <c r="A43" s="177"/>
      <c r="B43" s="177"/>
      <c r="C43" s="177"/>
      <c r="D43" s="177"/>
      <c r="E43" s="177"/>
      <c r="F43" s="177"/>
      <c r="G43" s="177"/>
    </row>
    <row r="44">
      <c r="A44" s="177"/>
      <c r="B44" s="177"/>
      <c r="C44" s="177"/>
      <c r="D44" s="177"/>
      <c r="E44" s="177"/>
      <c r="F44" s="177"/>
      <c r="G44" s="177"/>
    </row>
    <row r="45">
      <c r="A45" s="177"/>
      <c r="B45" s="177"/>
      <c r="C45" s="177"/>
      <c r="D45" s="177"/>
      <c r="E45" s="177"/>
      <c r="F45" s="203" t="str">
        <f>'Faktur Masa (Print)'!F32</f>
        <v>Sidoarjo, 17 April 2026</v>
      </c>
    </row>
    <row r="46">
      <c r="A46" s="177"/>
      <c r="B46" s="177"/>
      <c r="C46" s="177"/>
      <c r="D46" s="177"/>
      <c r="E46" s="177"/>
    </row>
    <row r="47">
      <c r="A47" s="177"/>
      <c r="B47" s="177"/>
      <c r="C47" s="177"/>
      <c r="D47" s="177"/>
      <c r="E47" s="177"/>
      <c r="F47" s="177"/>
      <c r="G47" s="177"/>
    </row>
    <row r="48">
      <c r="A48" s="177"/>
      <c r="B48" s="177"/>
      <c r="C48" s="177"/>
      <c r="D48" s="177"/>
      <c r="E48" s="177"/>
      <c r="F48" s="177"/>
      <c r="G48" s="177"/>
    </row>
    <row r="49">
      <c r="A49" s="204">
        <f>'Faktur Masa (Print)'!G$30</f>
        <v>1810000</v>
      </c>
      <c r="B49" s="205"/>
      <c r="C49" s="206"/>
      <c r="D49" s="177"/>
      <c r="E49" s="177"/>
      <c r="F49" s="177"/>
      <c r="G49" s="177"/>
    </row>
    <row r="50">
      <c r="A50" s="207"/>
      <c r="B50" s="208"/>
      <c r="C50" s="209"/>
      <c r="D50" s="177"/>
      <c r="E50" s="177"/>
      <c r="F50" s="203" t="str">
        <f>'Faktur Masa (Print)'!F37</f>
        <v>Wahyono</v>
      </c>
    </row>
    <row r="51">
      <c r="A51" s="177"/>
      <c r="B51" s="177"/>
      <c r="C51" s="177"/>
      <c r="D51" s="177"/>
      <c r="E51" s="177"/>
      <c r="F51" s="177"/>
      <c r="G51" s="177"/>
    </row>
    <row r="52">
      <c r="A52" s="177"/>
      <c r="B52" s="177"/>
      <c r="C52" s="177"/>
      <c r="D52" s="177"/>
      <c r="E52" s="177"/>
      <c r="F52" s="177"/>
      <c r="G52" s="177"/>
    </row>
    <row r="53">
      <c r="A53" s="177"/>
      <c r="B53" s="177"/>
      <c r="C53" s="177"/>
      <c r="D53" s="177"/>
      <c r="E53" s="177"/>
      <c r="F53" s="177"/>
      <c r="G53" s="177"/>
    </row>
    <row r="54">
      <c r="A54" s="177"/>
      <c r="B54" s="177"/>
      <c r="C54" s="177"/>
      <c r="D54" s="177"/>
      <c r="E54" s="177"/>
      <c r="F54" s="177"/>
      <c r="G54" s="177"/>
    </row>
    <row r="55">
      <c r="A55" s="177"/>
      <c r="B55" s="177"/>
      <c r="C55" s="177"/>
      <c r="D55" s="177"/>
      <c r="E55" s="177"/>
      <c r="F55" s="177"/>
      <c r="G55" s="177"/>
    </row>
    <row r="56">
      <c r="A56" s="177"/>
      <c r="B56" s="177"/>
      <c r="C56" s="177"/>
      <c r="D56" s="177"/>
      <c r="E56" s="177"/>
      <c r="F56" s="177"/>
      <c r="G56" s="177"/>
    </row>
    <row r="57">
      <c r="A57" s="177"/>
      <c r="B57" s="177"/>
      <c r="C57" s="177"/>
      <c r="D57" s="177"/>
      <c r="E57" s="177"/>
      <c r="F57" s="177"/>
      <c r="G57" s="177"/>
    </row>
    <row r="58">
      <c r="A58" s="177"/>
      <c r="B58" s="177"/>
      <c r="C58" s="177"/>
      <c r="D58" s="177"/>
      <c r="E58" s="177"/>
      <c r="F58" s="177"/>
      <c r="G58" s="177"/>
    </row>
    <row r="59">
      <c r="A59" s="177"/>
      <c r="B59" s="177"/>
      <c r="C59" s="177"/>
      <c r="D59" s="177"/>
      <c r="E59" s="177"/>
      <c r="F59" s="177"/>
      <c r="G59" s="177"/>
    </row>
    <row r="60">
      <c r="A60" s="177"/>
      <c r="B60" s="177"/>
      <c r="C60" s="177"/>
      <c r="D60" s="177"/>
      <c r="E60" s="177"/>
      <c r="F60" s="177"/>
      <c r="G60" s="177"/>
    </row>
    <row r="61">
      <c r="A61" s="177"/>
      <c r="B61" s="177"/>
      <c r="C61" s="177"/>
      <c r="D61" s="177"/>
      <c r="E61" s="177"/>
      <c r="F61" s="177"/>
      <c r="G61" s="177"/>
    </row>
    <row r="62">
      <c r="A62" s="177"/>
      <c r="B62" s="177"/>
      <c r="C62" s="177"/>
      <c r="D62" s="177"/>
      <c r="E62" s="177"/>
      <c r="F62" s="177"/>
      <c r="G62" s="177"/>
    </row>
    <row r="63">
      <c r="A63" s="177"/>
      <c r="B63" s="177"/>
      <c r="C63" s="177"/>
      <c r="D63" s="177"/>
      <c r="E63" s="177"/>
      <c r="F63" s="177"/>
      <c r="G63" s="177"/>
    </row>
    <row r="64">
      <c r="A64" s="177"/>
      <c r="B64" s="177"/>
      <c r="C64" s="177"/>
      <c r="D64" s="177"/>
      <c r="E64" s="177"/>
      <c r="F64" s="177"/>
      <c r="G64" s="177"/>
    </row>
    <row r="65">
      <c r="A65" s="177"/>
      <c r="B65" s="177"/>
      <c r="C65" s="177"/>
      <c r="D65" s="177"/>
      <c r="E65" s="177"/>
      <c r="F65" s="177"/>
      <c r="G65" s="177"/>
    </row>
    <row r="66">
      <c r="A66" s="177"/>
      <c r="B66" s="177"/>
      <c r="C66" s="177"/>
      <c r="D66" s="177"/>
      <c r="E66" s="177"/>
      <c r="F66" s="177"/>
      <c r="G66" s="177"/>
    </row>
    <row r="67">
      <c r="A67" s="177"/>
      <c r="B67" s="177"/>
      <c r="C67" s="177"/>
      <c r="D67" s="177"/>
      <c r="E67" s="177"/>
      <c r="F67" s="177"/>
      <c r="G67" s="177"/>
    </row>
    <row r="68">
      <c r="A68" s="177"/>
      <c r="B68" s="177"/>
      <c r="C68" s="177"/>
      <c r="D68" s="177"/>
      <c r="E68" s="177"/>
      <c r="F68" s="177"/>
      <c r="G68" s="177"/>
    </row>
    <row r="69">
      <c r="A69" s="177"/>
      <c r="B69" s="177"/>
      <c r="C69" s="177"/>
      <c r="D69" s="177"/>
      <c r="E69" s="177"/>
      <c r="F69" s="177"/>
      <c r="G69" s="177"/>
    </row>
    <row r="70">
      <c r="A70" s="177"/>
      <c r="B70" s="177"/>
      <c r="C70" s="177"/>
      <c r="D70" s="177"/>
      <c r="E70" s="177"/>
      <c r="F70" s="177"/>
      <c r="G70" s="177"/>
    </row>
    <row r="71">
      <c r="A71" s="177"/>
      <c r="B71" s="177"/>
      <c r="C71" s="177"/>
      <c r="D71" s="177"/>
      <c r="E71" s="177"/>
      <c r="F71" s="177"/>
      <c r="G71" s="177"/>
    </row>
    <row r="72">
      <c r="A72" s="177"/>
      <c r="B72" s="177"/>
      <c r="C72" s="177"/>
      <c r="D72" s="177"/>
      <c r="E72" s="177"/>
      <c r="F72" s="177"/>
      <c r="G72" s="177"/>
    </row>
    <row r="73">
      <c r="A73" s="177"/>
      <c r="B73" s="177"/>
      <c r="C73" s="177"/>
      <c r="D73" s="177"/>
      <c r="E73" s="177"/>
      <c r="F73" s="177"/>
      <c r="G73" s="177"/>
    </row>
    <row r="74">
      <c r="A74" s="177"/>
      <c r="B74" s="177"/>
      <c r="C74" s="177"/>
      <c r="D74" s="177"/>
      <c r="E74" s="177"/>
      <c r="F74" s="177"/>
      <c r="G74" s="177"/>
    </row>
    <row r="75">
      <c r="A75" s="177"/>
      <c r="B75" s="177"/>
      <c r="C75" s="177"/>
      <c r="D75" s="177"/>
      <c r="E75" s="177"/>
      <c r="F75" s="177"/>
      <c r="G75" s="177"/>
    </row>
    <row r="76">
      <c r="A76" s="177"/>
      <c r="B76" s="177"/>
      <c r="C76" s="177"/>
      <c r="D76" s="177"/>
      <c r="E76" s="177"/>
      <c r="F76" s="177"/>
      <c r="G76" s="177"/>
    </row>
    <row r="77">
      <c r="A77" s="177"/>
      <c r="B77" s="177"/>
      <c r="C77" s="177"/>
      <c r="D77" s="177"/>
      <c r="E77" s="177"/>
      <c r="F77" s="177"/>
      <c r="G77" s="177"/>
    </row>
    <row r="78">
      <c r="A78" s="177"/>
      <c r="B78" s="177"/>
      <c r="C78" s="177"/>
      <c r="D78" s="177"/>
      <c r="E78" s="177"/>
      <c r="F78" s="177"/>
      <c r="G78" s="177"/>
    </row>
    <row r="79">
      <c r="A79" s="177"/>
      <c r="B79" s="177"/>
      <c r="C79" s="177"/>
      <c r="D79" s="177"/>
      <c r="E79" s="177"/>
      <c r="F79" s="177"/>
      <c r="G79" s="177"/>
    </row>
    <row r="80">
      <c r="A80" s="177"/>
      <c r="B80" s="177"/>
      <c r="C80" s="177"/>
      <c r="D80" s="177"/>
      <c r="E80" s="177"/>
      <c r="F80" s="177"/>
      <c r="G80" s="177"/>
    </row>
    <row r="81">
      <c r="A81" s="177"/>
      <c r="B81" s="177"/>
      <c r="C81" s="177"/>
      <c r="D81" s="177"/>
      <c r="E81" s="177"/>
      <c r="F81" s="177"/>
      <c r="G81" s="177"/>
    </row>
    <row r="82">
      <c r="A82" s="177"/>
      <c r="B82" s="177"/>
      <c r="C82" s="177"/>
      <c r="D82" s="177"/>
      <c r="E82" s="177"/>
      <c r="F82" s="177"/>
      <c r="G82" s="177"/>
    </row>
    <row r="83">
      <c r="A83" s="177"/>
      <c r="B83" s="177"/>
      <c r="C83" s="177"/>
      <c r="D83" s="177"/>
      <c r="E83" s="177"/>
      <c r="F83" s="177"/>
      <c r="G83" s="177"/>
    </row>
    <row r="84">
      <c r="A84" s="177"/>
      <c r="B84" s="177"/>
      <c r="C84" s="177"/>
      <c r="D84" s="177"/>
      <c r="E84" s="177"/>
      <c r="F84" s="177"/>
      <c r="G84" s="177"/>
    </row>
    <row r="85">
      <c r="A85" s="177"/>
      <c r="B85" s="177"/>
      <c r="C85" s="177"/>
      <c r="D85" s="177"/>
      <c r="E85" s="177"/>
      <c r="F85" s="177"/>
      <c r="G85" s="177"/>
    </row>
    <row r="86">
      <c r="A86" s="177"/>
      <c r="B86" s="177"/>
      <c r="C86" s="177"/>
      <c r="D86" s="177"/>
      <c r="E86" s="177"/>
      <c r="F86" s="177"/>
      <c r="G86" s="177"/>
    </row>
    <row r="87">
      <c r="A87" s="177"/>
      <c r="B87" s="177"/>
      <c r="C87" s="177"/>
      <c r="D87" s="177"/>
      <c r="E87" s="177"/>
      <c r="F87" s="177"/>
      <c r="G87" s="177"/>
    </row>
    <row r="88">
      <c r="A88" s="177"/>
      <c r="B88" s="177"/>
      <c r="C88" s="177"/>
      <c r="D88" s="177"/>
      <c r="E88" s="177"/>
      <c r="F88" s="177"/>
      <c r="G88" s="177"/>
    </row>
    <row r="89">
      <c r="A89" s="177"/>
      <c r="B89" s="177"/>
      <c r="C89" s="177"/>
      <c r="D89" s="177"/>
      <c r="E89" s="177"/>
      <c r="F89" s="177"/>
      <c r="G89" s="177"/>
    </row>
    <row r="90">
      <c r="A90" s="177"/>
      <c r="B90" s="177"/>
      <c r="C90" s="177"/>
      <c r="D90" s="177"/>
      <c r="E90" s="177"/>
      <c r="F90" s="177"/>
      <c r="G90" s="177"/>
    </row>
    <row r="91">
      <c r="A91" s="177"/>
      <c r="B91" s="177"/>
      <c r="C91" s="177"/>
      <c r="D91" s="177"/>
      <c r="E91" s="177"/>
      <c r="F91" s="177"/>
      <c r="G91" s="177"/>
    </row>
    <row r="92">
      <c r="A92" s="177"/>
      <c r="B92" s="177"/>
      <c r="C92" s="177"/>
      <c r="D92" s="177"/>
      <c r="E92" s="177"/>
      <c r="F92" s="177"/>
      <c r="G92" s="177"/>
    </row>
    <row r="93">
      <c r="A93" s="177"/>
      <c r="B93" s="177"/>
      <c r="C93" s="177"/>
      <c r="D93" s="177"/>
      <c r="E93" s="177"/>
      <c r="F93" s="177"/>
      <c r="G93" s="177"/>
    </row>
    <row r="94">
      <c r="A94" s="177"/>
      <c r="B94" s="177"/>
      <c r="C94" s="177"/>
      <c r="D94" s="177"/>
      <c r="E94" s="177"/>
      <c r="F94" s="177"/>
      <c r="G94" s="177"/>
    </row>
    <row r="95">
      <c r="A95" s="177"/>
      <c r="B95" s="177"/>
      <c r="C95" s="177"/>
      <c r="D95" s="177"/>
      <c r="E95" s="177"/>
      <c r="F95" s="177"/>
      <c r="G95" s="177"/>
    </row>
    <row r="96">
      <c r="A96" s="177"/>
      <c r="B96" s="177"/>
      <c r="C96" s="177"/>
      <c r="D96" s="177"/>
      <c r="E96" s="177"/>
      <c r="F96" s="177"/>
      <c r="G96" s="177"/>
    </row>
    <row r="97">
      <c r="A97" s="177"/>
      <c r="B97" s="177"/>
      <c r="C97" s="177"/>
      <c r="D97" s="177"/>
      <c r="E97" s="177"/>
      <c r="F97" s="177"/>
      <c r="G97" s="177"/>
    </row>
    <row r="98">
      <c r="A98" s="177"/>
      <c r="B98" s="177"/>
      <c r="C98" s="177"/>
      <c r="D98" s="177"/>
      <c r="E98" s="177"/>
      <c r="F98" s="177"/>
      <c r="G98" s="177"/>
    </row>
    <row r="99">
      <c r="A99" s="177"/>
      <c r="B99" s="177"/>
      <c r="C99" s="177"/>
      <c r="D99" s="177"/>
      <c r="E99" s="177"/>
      <c r="F99" s="177"/>
      <c r="G99" s="177"/>
    </row>
    <row r="100">
      <c r="A100" s="177"/>
      <c r="B100" s="177"/>
      <c r="C100" s="177"/>
      <c r="D100" s="177"/>
      <c r="E100" s="177"/>
      <c r="F100" s="177"/>
      <c r="G100" s="177"/>
    </row>
    <row r="101">
      <c r="A101" s="177"/>
      <c r="B101" s="177"/>
      <c r="C101" s="177"/>
      <c r="D101" s="177"/>
      <c r="E101" s="177"/>
      <c r="F101" s="177"/>
      <c r="G101" s="177"/>
    </row>
    <row r="102">
      <c r="A102" s="177"/>
      <c r="B102" s="177"/>
      <c r="C102" s="177"/>
      <c r="D102" s="177"/>
      <c r="E102" s="177"/>
      <c r="F102" s="177"/>
      <c r="G102" s="177"/>
    </row>
    <row r="103">
      <c r="A103" s="177"/>
      <c r="B103" s="177"/>
      <c r="C103" s="177"/>
      <c r="D103" s="177"/>
      <c r="E103" s="177"/>
      <c r="F103" s="177"/>
      <c r="G103" s="177"/>
    </row>
    <row r="104">
      <c r="A104" s="177"/>
      <c r="B104" s="177"/>
      <c r="C104" s="177"/>
      <c r="D104" s="177"/>
      <c r="E104" s="177"/>
      <c r="F104" s="177"/>
      <c r="G104" s="177"/>
    </row>
    <row r="105">
      <c r="A105" s="177"/>
      <c r="B105" s="177"/>
      <c r="C105" s="177"/>
      <c r="D105" s="177"/>
      <c r="E105" s="177"/>
      <c r="F105" s="177"/>
      <c r="G105" s="177"/>
    </row>
    <row r="106">
      <c r="A106" s="177"/>
      <c r="B106" s="177"/>
      <c r="C106" s="177"/>
      <c r="D106" s="177"/>
      <c r="E106" s="177"/>
      <c r="F106" s="177"/>
      <c r="G106" s="177"/>
    </row>
    <row r="107">
      <c r="A107" s="177"/>
      <c r="B107" s="177"/>
      <c r="C107" s="177"/>
      <c r="D107" s="177"/>
      <c r="E107" s="177"/>
      <c r="F107" s="177"/>
      <c r="G107" s="177"/>
    </row>
    <row r="108">
      <c r="A108" s="177"/>
      <c r="B108" s="177"/>
      <c r="C108" s="177"/>
      <c r="D108" s="177"/>
      <c r="E108" s="177"/>
      <c r="F108" s="177"/>
      <c r="G108" s="177"/>
    </row>
    <row r="109">
      <c r="A109" s="177"/>
      <c r="B109" s="177"/>
      <c r="C109" s="177"/>
      <c r="D109" s="177"/>
      <c r="E109" s="177"/>
      <c r="F109" s="177"/>
      <c r="G109" s="177"/>
    </row>
    <row r="110">
      <c r="A110" s="177"/>
      <c r="B110" s="177"/>
      <c r="C110" s="177"/>
      <c r="D110" s="177"/>
      <c r="E110" s="177"/>
      <c r="F110" s="177"/>
      <c r="G110" s="177"/>
    </row>
    <row r="111">
      <c r="A111" s="177"/>
      <c r="B111" s="177"/>
      <c r="C111" s="177"/>
      <c r="D111" s="177"/>
      <c r="E111" s="177"/>
      <c r="F111" s="177"/>
      <c r="G111" s="177"/>
    </row>
    <row r="112">
      <c r="A112" s="177"/>
      <c r="B112" s="177"/>
      <c r="C112" s="177"/>
      <c r="D112" s="177"/>
      <c r="E112" s="177"/>
      <c r="F112" s="177"/>
      <c r="G112" s="177"/>
    </row>
    <row r="113">
      <c r="A113" s="177"/>
      <c r="B113" s="177"/>
      <c r="C113" s="177"/>
      <c r="D113" s="177"/>
      <c r="E113" s="177"/>
      <c r="F113" s="177"/>
      <c r="G113" s="177"/>
    </row>
    <row r="114">
      <c r="A114" s="177"/>
      <c r="B114" s="177"/>
      <c r="C114" s="177"/>
      <c r="D114" s="177"/>
      <c r="E114" s="177"/>
      <c r="F114" s="177"/>
      <c r="G114" s="177"/>
    </row>
    <row r="115">
      <c r="A115" s="177"/>
      <c r="B115" s="177"/>
      <c r="C115" s="177"/>
      <c r="D115" s="177"/>
      <c r="E115" s="177"/>
      <c r="F115" s="177"/>
      <c r="G115" s="177"/>
    </row>
    <row r="116">
      <c r="A116" s="177"/>
      <c r="B116" s="177"/>
      <c r="C116" s="177"/>
      <c r="D116" s="177"/>
      <c r="E116" s="177"/>
      <c r="F116" s="177"/>
      <c r="G116" s="177"/>
    </row>
    <row r="117">
      <c r="A117" s="177"/>
      <c r="B117" s="177"/>
      <c r="C117" s="177"/>
      <c r="D117" s="177"/>
      <c r="E117" s="177"/>
      <c r="F117" s="177"/>
      <c r="G117" s="177"/>
    </row>
    <row r="118">
      <c r="A118" s="177"/>
      <c r="B118" s="177"/>
      <c r="C118" s="177"/>
      <c r="D118" s="177"/>
      <c r="E118" s="177"/>
      <c r="F118" s="177"/>
      <c r="G118" s="177"/>
    </row>
    <row r="119">
      <c r="A119" s="177"/>
      <c r="B119" s="177"/>
      <c r="C119" s="177"/>
      <c r="D119" s="177"/>
      <c r="E119" s="177"/>
      <c r="F119" s="177"/>
      <c r="G119" s="177"/>
    </row>
    <row r="120">
      <c r="A120" s="177"/>
      <c r="B120" s="177"/>
      <c r="C120" s="177"/>
      <c r="D120" s="177"/>
      <c r="E120" s="177"/>
      <c r="F120" s="177"/>
      <c r="G120" s="177"/>
    </row>
    <row r="121">
      <c r="A121" s="177"/>
      <c r="B121" s="177"/>
      <c r="C121" s="177"/>
      <c r="D121" s="177"/>
      <c r="E121" s="177"/>
      <c r="F121" s="177"/>
      <c r="G121" s="177"/>
    </row>
    <row r="122">
      <c r="A122" s="177"/>
      <c r="B122" s="177"/>
      <c r="C122" s="177"/>
      <c r="D122" s="177"/>
      <c r="E122" s="177"/>
      <c r="F122" s="177"/>
      <c r="G122" s="177"/>
    </row>
    <row r="123">
      <c r="A123" s="177"/>
      <c r="B123" s="177"/>
      <c r="C123" s="177"/>
      <c r="D123" s="177"/>
      <c r="E123" s="177"/>
      <c r="F123" s="177"/>
      <c r="G123" s="177"/>
    </row>
    <row r="124">
      <c r="A124" s="177"/>
      <c r="B124" s="177"/>
      <c r="C124" s="177"/>
      <c r="D124" s="177"/>
      <c r="E124" s="177"/>
      <c r="F124" s="177"/>
      <c r="G124" s="177"/>
    </row>
    <row r="125">
      <c r="A125" s="177"/>
      <c r="B125" s="177"/>
      <c r="C125" s="177"/>
      <c r="D125" s="177"/>
      <c r="E125" s="177"/>
      <c r="F125" s="177"/>
      <c r="G125" s="177"/>
    </row>
    <row r="126">
      <c r="A126" s="177"/>
      <c r="B126" s="177"/>
      <c r="C126" s="177"/>
      <c r="D126" s="177"/>
      <c r="E126" s="177"/>
      <c r="F126" s="177"/>
      <c r="G126" s="177"/>
    </row>
    <row r="127">
      <c r="A127" s="177"/>
      <c r="B127" s="177"/>
      <c r="C127" s="177"/>
      <c r="D127" s="177"/>
      <c r="E127" s="177"/>
      <c r="F127" s="177"/>
      <c r="G127" s="177"/>
    </row>
    <row r="128">
      <c r="A128" s="177"/>
      <c r="B128" s="177"/>
      <c r="C128" s="177"/>
      <c r="D128" s="177"/>
      <c r="E128" s="177"/>
      <c r="F128" s="177"/>
      <c r="G128" s="177"/>
    </row>
    <row r="129">
      <c r="A129" s="177"/>
      <c r="B129" s="177"/>
      <c r="C129" s="177"/>
      <c r="D129" s="177"/>
      <c r="E129" s="177"/>
      <c r="F129" s="177"/>
      <c r="G129" s="177"/>
    </row>
    <row r="130">
      <c r="A130" s="177"/>
      <c r="B130" s="177"/>
      <c r="C130" s="177"/>
      <c r="D130" s="177"/>
      <c r="E130" s="177"/>
      <c r="F130" s="177"/>
      <c r="G130" s="177"/>
    </row>
    <row r="131">
      <c r="A131" s="177"/>
      <c r="B131" s="177"/>
      <c r="C131" s="177"/>
      <c r="D131" s="177"/>
      <c r="E131" s="177"/>
      <c r="F131" s="177"/>
      <c r="G131" s="177"/>
    </row>
    <row r="132">
      <c r="A132" s="177"/>
      <c r="B132" s="177"/>
      <c r="C132" s="177"/>
      <c r="D132" s="177"/>
      <c r="E132" s="177"/>
      <c r="F132" s="177"/>
      <c r="G132" s="177"/>
    </row>
    <row r="133">
      <c r="A133" s="177"/>
      <c r="B133" s="177"/>
      <c r="C133" s="177"/>
      <c r="D133" s="177"/>
      <c r="E133" s="177"/>
      <c r="F133" s="177"/>
      <c r="G133" s="177"/>
    </row>
    <row r="134">
      <c r="A134" s="177"/>
      <c r="B134" s="177"/>
      <c r="C134" s="177"/>
      <c r="D134" s="177"/>
      <c r="E134" s="177"/>
      <c r="F134" s="177"/>
      <c r="G134" s="177"/>
    </row>
    <row r="135">
      <c r="A135" s="177"/>
      <c r="B135" s="177"/>
      <c r="C135" s="177"/>
      <c r="D135" s="177"/>
      <c r="E135" s="177"/>
      <c r="F135" s="177"/>
      <c r="G135" s="177"/>
    </row>
    <row r="136">
      <c r="A136" s="177"/>
      <c r="B136" s="177"/>
      <c r="C136" s="177"/>
      <c r="D136" s="177"/>
      <c r="E136" s="177"/>
      <c r="F136" s="177"/>
      <c r="G136" s="177"/>
    </row>
    <row r="137">
      <c r="A137" s="177"/>
      <c r="B137" s="177"/>
      <c r="C137" s="177"/>
      <c r="D137" s="177"/>
      <c r="E137" s="177"/>
      <c r="F137" s="177"/>
      <c r="G137" s="177"/>
    </row>
    <row r="138">
      <c r="A138" s="177"/>
      <c r="B138" s="177"/>
      <c r="C138" s="177"/>
      <c r="D138" s="177"/>
      <c r="E138" s="177"/>
      <c r="F138" s="177"/>
      <c r="G138" s="177"/>
    </row>
    <row r="139">
      <c r="A139" s="177"/>
      <c r="B139" s="177"/>
      <c r="C139" s="177"/>
      <c r="D139" s="177"/>
      <c r="E139" s="177"/>
      <c r="F139" s="177"/>
      <c r="G139" s="177"/>
    </row>
    <row r="140">
      <c r="A140" s="177"/>
      <c r="B140" s="177"/>
      <c r="C140" s="177"/>
      <c r="D140" s="177"/>
      <c r="E140" s="177"/>
      <c r="F140" s="177"/>
      <c r="G140" s="177"/>
    </row>
    <row r="141">
      <c r="A141" s="177"/>
      <c r="B141" s="177"/>
      <c r="C141" s="177"/>
      <c r="D141" s="177"/>
      <c r="E141" s="177"/>
      <c r="F141" s="177"/>
      <c r="G141" s="177"/>
    </row>
    <row r="142">
      <c r="A142" s="177"/>
      <c r="B142" s="177"/>
      <c r="C142" s="177"/>
      <c r="D142" s="177"/>
      <c r="E142" s="177"/>
      <c r="F142" s="177"/>
      <c r="G142" s="177"/>
    </row>
    <row r="143">
      <c r="A143" s="177"/>
      <c r="B143" s="177"/>
      <c r="C143" s="177"/>
      <c r="D143" s="177"/>
      <c r="E143" s="177"/>
      <c r="F143" s="177"/>
      <c r="G143" s="177"/>
    </row>
    <row r="144">
      <c r="A144" s="177"/>
      <c r="B144" s="177"/>
      <c r="C144" s="177"/>
      <c r="D144" s="177"/>
      <c r="E144" s="177"/>
      <c r="F144" s="177"/>
      <c r="G144" s="177"/>
    </row>
    <row r="145">
      <c r="A145" s="177"/>
      <c r="B145" s="177"/>
      <c r="C145" s="177"/>
      <c r="D145" s="177"/>
      <c r="E145" s="177"/>
      <c r="F145" s="177"/>
      <c r="G145" s="177"/>
    </row>
    <row r="146">
      <c r="A146" s="177"/>
      <c r="B146" s="177"/>
      <c r="C146" s="177"/>
      <c r="D146" s="177"/>
      <c r="E146" s="177"/>
      <c r="F146" s="177"/>
      <c r="G146" s="177"/>
    </row>
    <row r="147">
      <c r="A147" s="177"/>
      <c r="B147" s="177"/>
      <c r="C147" s="177"/>
      <c r="D147" s="177"/>
      <c r="E147" s="177"/>
      <c r="F147" s="177"/>
      <c r="G147" s="177"/>
    </row>
    <row r="148">
      <c r="A148" s="177"/>
      <c r="B148" s="177"/>
      <c r="C148" s="177"/>
      <c r="D148" s="177"/>
      <c r="E148" s="177"/>
      <c r="F148" s="177"/>
      <c r="G148" s="177"/>
    </row>
    <row r="149">
      <c r="A149" s="177"/>
      <c r="B149" s="177"/>
      <c r="C149" s="177"/>
      <c r="D149" s="177"/>
      <c r="E149" s="177"/>
      <c r="F149" s="177"/>
      <c r="G149" s="177"/>
    </row>
    <row r="150">
      <c r="A150" s="177"/>
      <c r="B150" s="177"/>
      <c r="C150" s="177"/>
      <c r="D150" s="177"/>
      <c r="E150" s="177"/>
      <c r="F150" s="177"/>
      <c r="G150" s="177"/>
    </row>
    <row r="151">
      <c r="A151" s="177"/>
      <c r="B151" s="177"/>
      <c r="C151" s="177"/>
      <c r="D151" s="177"/>
      <c r="E151" s="177"/>
      <c r="F151" s="177"/>
      <c r="G151" s="177"/>
    </row>
    <row r="152">
      <c r="A152" s="177"/>
      <c r="B152" s="177"/>
      <c r="C152" s="177"/>
      <c r="D152" s="177"/>
      <c r="E152" s="177"/>
      <c r="F152" s="177"/>
      <c r="G152" s="177"/>
    </row>
    <row r="153">
      <c r="A153" s="177"/>
      <c r="B153" s="177"/>
      <c r="C153" s="177"/>
      <c r="D153" s="177"/>
      <c r="E153" s="177"/>
      <c r="F153" s="177"/>
      <c r="G153" s="177"/>
    </row>
    <row r="154">
      <c r="A154" s="177"/>
      <c r="B154" s="177"/>
      <c r="C154" s="177"/>
      <c r="D154" s="177"/>
      <c r="E154" s="177"/>
      <c r="F154" s="177"/>
      <c r="G154" s="177"/>
    </row>
    <row r="155">
      <c r="A155" s="177"/>
      <c r="B155" s="177"/>
      <c r="C155" s="177"/>
      <c r="D155" s="177"/>
      <c r="E155" s="177"/>
      <c r="F155" s="177"/>
      <c r="G155" s="177"/>
    </row>
    <row r="156">
      <c r="A156" s="177"/>
      <c r="B156" s="177"/>
      <c r="C156" s="177"/>
      <c r="D156" s="177"/>
      <c r="E156" s="177"/>
      <c r="F156" s="177"/>
      <c r="G156" s="177"/>
    </row>
    <row r="157">
      <c r="A157" s="177"/>
      <c r="B157" s="177"/>
      <c r="C157" s="177"/>
      <c r="D157" s="177"/>
      <c r="E157" s="177"/>
      <c r="F157" s="177"/>
      <c r="G157" s="177"/>
    </row>
    <row r="158">
      <c r="A158" s="177"/>
      <c r="B158" s="177"/>
      <c r="C158" s="177"/>
      <c r="D158" s="177"/>
      <c r="E158" s="177"/>
      <c r="F158" s="177"/>
      <c r="G158" s="177"/>
    </row>
    <row r="159">
      <c r="A159" s="177"/>
      <c r="B159" s="177"/>
      <c r="C159" s="177"/>
      <c r="D159" s="177"/>
      <c r="E159" s="177"/>
      <c r="F159" s="177"/>
      <c r="G159" s="177"/>
    </row>
    <row r="160">
      <c r="A160" s="177"/>
      <c r="B160" s="177"/>
      <c r="C160" s="177"/>
      <c r="D160" s="177"/>
      <c r="E160" s="177"/>
      <c r="F160" s="177"/>
      <c r="G160" s="177"/>
    </row>
    <row r="161">
      <c r="A161" s="177"/>
      <c r="B161" s="177"/>
      <c r="C161" s="177"/>
      <c r="D161" s="177"/>
      <c r="E161" s="177"/>
      <c r="F161" s="177"/>
      <c r="G161" s="177"/>
    </row>
    <row r="162">
      <c r="A162" s="177"/>
      <c r="B162" s="177"/>
      <c r="C162" s="177"/>
      <c r="D162" s="177"/>
      <c r="E162" s="177"/>
      <c r="F162" s="177"/>
      <c r="G162" s="177"/>
    </row>
    <row r="163">
      <c r="A163" s="177"/>
      <c r="B163" s="177"/>
      <c r="C163" s="177"/>
      <c r="D163" s="177"/>
      <c r="E163" s="177"/>
      <c r="F163" s="177"/>
      <c r="G163" s="177"/>
    </row>
    <row r="164">
      <c r="A164" s="177"/>
      <c r="B164" s="177"/>
      <c r="C164" s="177"/>
      <c r="D164" s="177"/>
      <c r="E164" s="177"/>
      <c r="F164" s="177"/>
      <c r="G164" s="177"/>
    </row>
    <row r="165">
      <c r="A165" s="177"/>
      <c r="B165" s="177"/>
      <c r="C165" s="177"/>
      <c r="D165" s="177"/>
      <c r="E165" s="177"/>
      <c r="F165" s="177"/>
      <c r="G165" s="177"/>
    </row>
    <row r="166">
      <c r="A166" s="177"/>
      <c r="B166" s="177"/>
      <c r="C166" s="177"/>
      <c r="D166" s="177"/>
      <c r="E166" s="177"/>
      <c r="F166" s="177"/>
      <c r="G166" s="177"/>
    </row>
    <row r="167">
      <c r="A167" s="177"/>
      <c r="B167" s="177"/>
      <c r="C167" s="177"/>
      <c r="D167" s="177"/>
      <c r="E167" s="177"/>
      <c r="F167" s="177"/>
      <c r="G167" s="177"/>
    </row>
    <row r="168">
      <c r="A168" s="177"/>
      <c r="B168" s="177"/>
      <c r="C168" s="177"/>
      <c r="D168" s="177"/>
      <c r="E168" s="177"/>
      <c r="F168" s="177"/>
      <c r="G168" s="177"/>
    </row>
    <row r="169">
      <c r="A169" s="177"/>
      <c r="B169" s="177"/>
      <c r="C169" s="177"/>
      <c r="D169" s="177"/>
      <c r="E169" s="177"/>
      <c r="F169" s="177"/>
      <c r="G169" s="177"/>
    </row>
    <row r="170">
      <c r="A170" s="177"/>
      <c r="B170" s="177"/>
      <c r="C170" s="177"/>
      <c r="D170" s="177"/>
      <c r="E170" s="177"/>
      <c r="F170" s="177"/>
      <c r="G170" s="177"/>
    </row>
    <row r="171">
      <c r="A171" s="177"/>
      <c r="B171" s="177"/>
      <c r="C171" s="177"/>
      <c r="D171" s="177"/>
      <c r="E171" s="177"/>
      <c r="F171" s="177"/>
      <c r="G171" s="177"/>
    </row>
    <row r="172">
      <c r="A172" s="177"/>
      <c r="B172" s="177"/>
      <c r="C172" s="177"/>
      <c r="D172" s="177"/>
      <c r="E172" s="177"/>
      <c r="F172" s="177"/>
      <c r="G172" s="177"/>
    </row>
    <row r="173">
      <c r="A173" s="177"/>
      <c r="B173" s="177"/>
      <c r="C173" s="177"/>
      <c r="D173" s="177"/>
      <c r="E173" s="177"/>
      <c r="F173" s="177"/>
      <c r="G173" s="177"/>
    </row>
    <row r="174">
      <c r="A174" s="177"/>
      <c r="B174" s="177"/>
      <c r="C174" s="177"/>
      <c r="D174" s="177"/>
      <c r="E174" s="177"/>
      <c r="F174" s="177"/>
      <c r="G174" s="177"/>
    </row>
    <row r="175">
      <c r="A175" s="177"/>
      <c r="B175" s="177"/>
      <c r="C175" s="177"/>
      <c r="D175" s="177"/>
      <c r="E175" s="177"/>
      <c r="F175" s="177"/>
      <c r="G175" s="177"/>
    </row>
    <row r="176">
      <c r="A176" s="177"/>
      <c r="B176" s="177"/>
      <c r="C176" s="177"/>
      <c r="D176" s="177"/>
      <c r="E176" s="177"/>
      <c r="F176" s="177"/>
      <c r="G176" s="177"/>
    </row>
    <row r="177">
      <c r="A177" s="177"/>
      <c r="B177" s="177"/>
      <c r="C177" s="177"/>
      <c r="D177" s="177"/>
      <c r="E177" s="177"/>
      <c r="F177" s="177"/>
      <c r="G177" s="177"/>
    </row>
    <row r="178">
      <c r="A178" s="177"/>
      <c r="B178" s="177"/>
      <c r="C178" s="177"/>
      <c r="D178" s="177"/>
      <c r="E178" s="177"/>
      <c r="F178" s="177"/>
      <c r="G178" s="177"/>
    </row>
    <row r="179">
      <c r="A179" s="177"/>
      <c r="B179" s="177"/>
      <c r="C179" s="177"/>
      <c r="D179" s="177"/>
      <c r="E179" s="177"/>
      <c r="F179" s="177"/>
      <c r="G179" s="177"/>
    </row>
    <row r="180">
      <c r="A180" s="177"/>
      <c r="B180" s="177"/>
      <c r="C180" s="177"/>
      <c r="D180" s="177"/>
      <c r="E180" s="177"/>
      <c r="F180" s="177"/>
      <c r="G180" s="177"/>
    </row>
    <row r="181">
      <c r="A181" s="177"/>
      <c r="B181" s="177"/>
      <c r="C181" s="177"/>
      <c r="D181" s="177"/>
      <c r="E181" s="177"/>
      <c r="F181" s="177"/>
      <c r="G181" s="177"/>
    </row>
    <row r="182">
      <c r="A182" s="177"/>
      <c r="B182" s="177"/>
      <c r="C182" s="177"/>
      <c r="D182" s="177"/>
      <c r="E182" s="177"/>
      <c r="F182" s="177"/>
      <c r="G182" s="177"/>
    </row>
    <row r="183">
      <c r="A183" s="177"/>
      <c r="B183" s="177"/>
      <c r="C183" s="177"/>
      <c r="D183" s="177"/>
      <c r="E183" s="177"/>
      <c r="F183" s="177"/>
      <c r="G183" s="177"/>
    </row>
    <row r="184">
      <c r="A184" s="177"/>
      <c r="B184" s="177"/>
      <c r="C184" s="177"/>
      <c r="D184" s="177"/>
      <c r="E184" s="177"/>
      <c r="F184" s="177"/>
      <c r="G184" s="177"/>
    </row>
    <row r="185">
      <c r="A185" s="177"/>
      <c r="B185" s="177"/>
      <c r="C185" s="177"/>
      <c r="D185" s="177"/>
      <c r="E185" s="177"/>
      <c r="F185" s="177"/>
      <c r="G185" s="177"/>
    </row>
    <row r="186">
      <c r="A186" s="177"/>
      <c r="B186" s="177"/>
      <c r="C186" s="177"/>
      <c r="D186" s="177"/>
      <c r="E186" s="177"/>
      <c r="F186" s="177"/>
      <c r="G186" s="177"/>
    </row>
    <row r="187">
      <c r="A187" s="177"/>
      <c r="B187" s="177"/>
      <c r="C187" s="177"/>
      <c r="D187" s="177"/>
      <c r="E187" s="177"/>
      <c r="F187" s="177"/>
      <c r="G187" s="177"/>
    </row>
    <row r="188">
      <c r="A188" s="177"/>
      <c r="B188" s="177"/>
      <c r="C188" s="177"/>
      <c r="D188" s="177"/>
      <c r="E188" s="177"/>
      <c r="F188" s="177"/>
      <c r="G188" s="177"/>
    </row>
    <row r="189">
      <c r="A189" s="177"/>
      <c r="B189" s="177"/>
      <c r="C189" s="177"/>
      <c r="D189" s="177"/>
      <c r="E189" s="177"/>
      <c r="F189" s="177"/>
      <c r="G189" s="177"/>
    </row>
    <row r="190">
      <c r="A190" s="177"/>
      <c r="B190" s="177"/>
      <c r="C190" s="177"/>
      <c r="D190" s="177"/>
      <c r="E190" s="177"/>
      <c r="F190" s="177"/>
      <c r="G190" s="177"/>
    </row>
    <row r="191">
      <c r="A191" s="177"/>
      <c r="B191" s="177"/>
      <c r="C191" s="177"/>
      <c r="D191" s="177"/>
      <c r="E191" s="177"/>
      <c r="F191" s="177"/>
      <c r="G191" s="177"/>
    </row>
    <row r="192">
      <c r="A192" s="177"/>
      <c r="B192" s="177"/>
      <c r="C192" s="177"/>
      <c r="D192" s="177"/>
      <c r="E192" s="177"/>
      <c r="F192" s="177"/>
      <c r="G192" s="177"/>
    </row>
    <row r="193">
      <c r="A193" s="177"/>
      <c r="B193" s="177"/>
      <c r="C193" s="177"/>
      <c r="D193" s="177"/>
      <c r="E193" s="177"/>
      <c r="F193" s="177"/>
      <c r="G193" s="177"/>
    </row>
    <row r="194">
      <c r="A194" s="177"/>
      <c r="B194" s="177"/>
      <c r="C194" s="177"/>
      <c r="D194" s="177"/>
      <c r="E194" s="177"/>
      <c r="F194" s="177"/>
      <c r="G194" s="177"/>
    </row>
    <row r="195">
      <c r="A195" s="177"/>
      <c r="B195" s="177"/>
      <c r="C195" s="177"/>
      <c r="D195" s="177"/>
      <c r="E195" s="177"/>
      <c r="F195" s="177"/>
      <c r="G195" s="177"/>
    </row>
    <row r="196">
      <c r="A196" s="177"/>
      <c r="B196" s="177"/>
      <c r="C196" s="177"/>
      <c r="D196" s="177"/>
      <c r="E196" s="177"/>
      <c r="F196" s="177"/>
      <c r="G196" s="177"/>
    </row>
    <row r="197">
      <c r="A197" s="177"/>
      <c r="B197" s="177"/>
      <c r="C197" s="177"/>
      <c r="D197" s="177"/>
      <c r="E197" s="177"/>
      <c r="F197" s="177"/>
      <c r="G197" s="177"/>
    </row>
    <row r="198">
      <c r="A198" s="177"/>
      <c r="B198" s="177"/>
      <c r="C198" s="177"/>
      <c r="D198" s="177"/>
      <c r="E198" s="177"/>
      <c r="F198" s="177"/>
      <c r="G198" s="177"/>
    </row>
    <row r="199">
      <c r="A199" s="177"/>
      <c r="B199" s="177"/>
      <c r="C199" s="177"/>
      <c r="D199" s="177"/>
      <c r="E199" s="177"/>
      <c r="F199" s="177"/>
      <c r="G199" s="177"/>
    </row>
    <row r="200">
      <c r="A200" s="177"/>
      <c r="B200" s="177"/>
      <c r="C200" s="177"/>
      <c r="D200" s="177"/>
      <c r="E200" s="177"/>
      <c r="F200" s="177"/>
      <c r="G200" s="177"/>
    </row>
    <row r="201">
      <c r="A201" s="177"/>
      <c r="B201" s="177"/>
      <c r="C201" s="177"/>
      <c r="D201" s="177"/>
      <c r="E201" s="177"/>
      <c r="F201" s="177"/>
      <c r="G201" s="177"/>
    </row>
    <row r="202">
      <c r="A202" s="177"/>
      <c r="B202" s="177"/>
      <c r="C202" s="177"/>
      <c r="D202" s="177"/>
      <c r="E202" s="177"/>
      <c r="F202" s="177"/>
      <c r="G202" s="177"/>
    </row>
    <row r="203">
      <c r="A203" s="177"/>
      <c r="B203" s="177"/>
      <c r="C203" s="177"/>
      <c r="D203" s="177"/>
      <c r="E203" s="177"/>
      <c r="F203" s="177"/>
      <c r="G203" s="177"/>
    </row>
    <row r="204">
      <c r="A204" s="177"/>
      <c r="B204" s="177"/>
      <c r="C204" s="177"/>
      <c r="D204" s="177"/>
      <c r="E204" s="177"/>
      <c r="F204" s="177"/>
      <c r="G204" s="177"/>
    </row>
    <row r="205">
      <c r="A205" s="177"/>
      <c r="B205" s="177"/>
      <c r="C205" s="177"/>
      <c r="D205" s="177"/>
      <c r="E205" s="177"/>
      <c r="F205" s="177"/>
      <c r="G205" s="177"/>
    </row>
    <row r="206">
      <c r="A206" s="177"/>
      <c r="B206" s="177"/>
      <c r="C206" s="177"/>
      <c r="D206" s="177"/>
      <c r="E206" s="177"/>
      <c r="F206" s="177"/>
      <c r="G206" s="177"/>
    </row>
    <row r="207">
      <c r="A207" s="177"/>
      <c r="B207" s="177"/>
      <c r="C207" s="177"/>
      <c r="D207" s="177"/>
      <c r="E207" s="177"/>
      <c r="F207" s="177"/>
      <c r="G207" s="177"/>
    </row>
    <row r="208">
      <c r="A208" s="177"/>
      <c r="B208" s="177"/>
      <c r="C208" s="177"/>
      <c r="D208" s="177"/>
      <c r="E208" s="177"/>
      <c r="F208" s="177"/>
      <c r="G208" s="177"/>
    </row>
    <row r="209">
      <c r="A209" s="177"/>
      <c r="B209" s="177"/>
      <c r="C209" s="177"/>
      <c r="D209" s="177"/>
      <c r="E209" s="177"/>
      <c r="F209" s="177"/>
      <c r="G209" s="177"/>
    </row>
    <row r="210">
      <c r="A210" s="177"/>
      <c r="B210" s="177"/>
      <c r="C210" s="177"/>
      <c r="D210" s="177"/>
      <c r="E210" s="177"/>
      <c r="F210" s="177"/>
      <c r="G210" s="177"/>
    </row>
    <row r="211">
      <c r="A211" s="177"/>
      <c r="B211" s="177"/>
      <c r="C211" s="177"/>
      <c r="D211" s="177"/>
      <c r="E211" s="177"/>
      <c r="F211" s="177"/>
      <c r="G211" s="177"/>
    </row>
    <row r="212">
      <c r="A212" s="177"/>
      <c r="B212" s="177"/>
      <c r="C212" s="177"/>
      <c r="D212" s="177"/>
      <c r="E212" s="177"/>
      <c r="F212" s="177"/>
      <c r="G212" s="177"/>
    </row>
    <row r="213">
      <c r="A213" s="177"/>
      <c r="B213" s="177"/>
      <c r="C213" s="177"/>
      <c r="D213" s="177"/>
      <c r="E213" s="177"/>
      <c r="F213" s="177"/>
      <c r="G213" s="177"/>
    </row>
    <row r="214">
      <c r="A214" s="177"/>
      <c r="B214" s="177"/>
      <c r="C214" s="177"/>
      <c r="D214" s="177"/>
      <c r="E214" s="177"/>
      <c r="F214" s="177"/>
      <c r="G214" s="177"/>
    </row>
    <row r="215">
      <c r="A215" s="177"/>
      <c r="B215" s="177"/>
      <c r="C215" s="177"/>
      <c r="D215" s="177"/>
      <c r="E215" s="177"/>
      <c r="F215" s="177"/>
      <c r="G215" s="177"/>
    </row>
    <row r="216">
      <c r="A216" s="177"/>
      <c r="B216" s="177"/>
      <c r="C216" s="177"/>
      <c r="D216" s="177"/>
      <c r="E216" s="177"/>
      <c r="F216" s="177"/>
      <c r="G216" s="177"/>
    </row>
    <row r="217">
      <c r="A217" s="177"/>
      <c r="B217" s="177"/>
      <c r="C217" s="177"/>
      <c r="D217" s="177"/>
      <c r="E217" s="177"/>
      <c r="F217" s="177"/>
      <c r="G217" s="177"/>
    </row>
    <row r="218">
      <c r="A218" s="177"/>
      <c r="B218" s="177"/>
      <c r="C218" s="177"/>
      <c r="D218" s="177"/>
      <c r="E218" s="177"/>
      <c r="F218" s="177"/>
      <c r="G218" s="177"/>
    </row>
    <row r="219">
      <c r="A219" s="177"/>
      <c r="B219" s="177"/>
      <c r="C219" s="177"/>
      <c r="D219" s="177"/>
      <c r="E219" s="177"/>
      <c r="F219" s="177"/>
      <c r="G219" s="177"/>
    </row>
    <row r="220">
      <c r="A220" s="177"/>
      <c r="B220" s="177"/>
      <c r="C220" s="177"/>
      <c r="D220" s="177"/>
      <c r="E220" s="177"/>
      <c r="F220" s="177"/>
      <c r="G220" s="177"/>
    </row>
    <row r="221">
      <c r="A221" s="177"/>
      <c r="B221" s="177"/>
      <c r="C221" s="177"/>
      <c r="D221" s="177"/>
      <c r="E221" s="177"/>
      <c r="F221" s="177"/>
      <c r="G221" s="177"/>
    </row>
    <row r="222">
      <c r="A222" s="177"/>
      <c r="B222" s="177"/>
      <c r="C222" s="177"/>
      <c r="D222" s="177"/>
      <c r="E222" s="177"/>
      <c r="F222" s="177"/>
      <c r="G222" s="177"/>
    </row>
    <row r="223">
      <c r="A223" s="177"/>
      <c r="B223" s="177"/>
      <c r="C223" s="177"/>
      <c r="D223" s="177"/>
      <c r="E223" s="177"/>
      <c r="F223" s="177"/>
      <c r="G223" s="177"/>
    </row>
    <row r="224">
      <c r="A224" s="177"/>
      <c r="B224" s="177"/>
      <c r="C224" s="177"/>
      <c r="D224" s="177"/>
      <c r="E224" s="177"/>
      <c r="F224" s="177"/>
      <c r="G224" s="177"/>
    </row>
    <row r="225">
      <c r="A225" s="177"/>
      <c r="B225" s="177"/>
      <c r="C225" s="177"/>
      <c r="D225" s="177"/>
      <c r="E225" s="177"/>
      <c r="F225" s="177"/>
      <c r="G225" s="177"/>
    </row>
    <row r="226">
      <c r="A226" s="177"/>
      <c r="B226" s="177"/>
      <c r="C226" s="177"/>
      <c r="D226" s="177"/>
      <c r="E226" s="177"/>
      <c r="F226" s="177"/>
      <c r="G226" s="177"/>
    </row>
    <row r="227">
      <c r="A227" s="177"/>
      <c r="B227" s="177"/>
      <c r="C227" s="177"/>
      <c r="D227" s="177"/>
      <c r="E227" s="177"/>
      <c r="F227" s="177"/>
      <c r="G227" s="177"/>
    </row>
    <row r="228">
      <c r="A228" s="177"/>
      <c r="B228" s="177"/>
      <c r="C228" s="177"/>
      <c r="D228" s="177"/>
      <c r="E228" s="177"/>
      <c r="F228" s="177"/>
      <c r="G228" s="177"/>
    </row>
    <row r="229">
      <c r="A229" s="177"/>
      <c r="B229" s="177"/>
      <c r="C229" s="177"/>
      <c r="D229" s="177"/>
      <c r="E229" s="177"/>
      <c r="F229" s="177"/>
      <c r="G229" s="177"/>
    </row>
    <row r="230">
      <c r="A230" s="177"/>
      <c r="B230" s="177"/>
      <c r="C230" s="177"/>
      <c r="D230" s="177"/>
      <c r="E230" s="177"/>
      <c r="F230" s="177"/>
      <c r="G230" s="177"/>
    </row>
    <row r="231">
      <c r="A231" s="177"/>
      <c r="B231" s="177"/>
      <c r="C231" s="177"/>
      <c r="D231" s="177"/>
      <c r="E231" s="177"/>
      <c r="F231" s="177"/>
      <c r="G231" s="177"/>
    </row>
    <row r="232">
      <c r="A232" s="177"/>
      <c r="B232" s="177"/>
      <c r="C232" s="177"/>
      <c r="D232" s="177"/>
      <c r="E232" s="177"/>
      <c r="F232" s="177"/>
      <c r="G232" s="177"/>
    </row>
    <row r="233">
      <c r="A233" s="177"/>
      <c r="B233" s="177"/>
      <c r="C233" s="177"/>
      <c r="D233" s="177"/>
      <c r="E233" s="177"/>
      <c r="F233" s="177"/>
      <c r="G233" s="177"/>
    </row>
    <row r="234">
      <c r="A234" s="177"/>
      <c r="B234" s="177"/>
      <c r="C234" s="177"/>
      <c r="D234" s="177"/>
      <c r="E234" s="177"/>
      <c r="F234" s="177"/>
      <c r="G234" s="177"/>
    </row>
    <row r="235">
      <c r="A235" s="177"/>
      <c r="B235" s="177"/>
      <c r="C235" s="177"/>
      <c r="D235" s="177"/>
      <c r="E235" s="177"/>
      <c r="F235" s="177"/>
      <c r="G235" s="177"/>
    </row>
    <row r="236">
      <c r="A236" s="177"/>
      <c r="B236" s="177"/>
      <c r="C236" s="177"/>
      <c r="D236" s="177"/>
      <c r="E236" s="177"/>
      <c r="F236" s="177"/>
      <c r="G236" s="177"/>
    </row>
    <row r="237">
      <c r="A237" s="177"/>
      <c r="B237" s="177"/>
      <c r="C237" s="177"/>
      <c r="D237" s="177"/>
      <c r="E237" s="177"/>
      <c r="F237" s="177"/>
      <c r="G237" s="177"/>
    </row>
    <row r="238">
      <c r="A238" s="177"/>
      <c r="B238" s="177"/>
      <c r="C238" s="177"/>
      <c r="D238" s="177"/>
      <c r="E238" s="177"/>
      <c r="F238" s="177"/>
      <c r="G238" s="177"/>
    </row>
    <row r="239">
      <c r="A239" s="177"/>
      <c r="B239" s="177"/>
      <c r="C239" s="177"/>
      <c r="D239" s="177"/>
      <c r="E239" s="177"/>
      <c r="F239" s="177"/>
      <c r="G239" s="177"/>
    </row>
    <row r="240">
      <c r="A240" s="177"/>
      <c r="B240" s="177"/>
      <c r="C240" s="177"/>
      <c r="D240" s="177"/>
      <c r="E240" s="177"/>
      <c r="F240" s="177"/>
      <c r="G240" s="177"/>
    </row>
    <row r="241">
      <c r="A241" s="177"/>
      <c r="B241" s="177"/>
      <c r="C241" s="177"/>
      <c r="D241" s="177"/>
      <c r="E241" s="177"/>
      <c r="F241" s="177"/>
      <c r="G241" s="177"/>
    </row>
    <row r="242">
      <c r="A242" s="177"/>
      <c r="B242" s="177"/>
      <c r="C242" s="177"/>
      <c r="D242" s="177"/>
      <c r="E242" s="177"/>
      <c r="F242" s="177"/>
      <c r="G242" s="177"/>
    </row>
    <row r="243">
      <c r="A243" s="177"/>
      <c r="B243" s="177"/>
      <c r="C243" s="177"/>
      <c r="D243" s="177"/>
      <c r="E243" s="177"/>
      <c r="F243" s="177"/>
      <c r="G243" s="177"/>
    </row>
    <row r="244">
      <c r="A244" s="177"/>
      <c r="B244" s="177"/>
      <c r="C244" s="177"/>
      <c r="D244" s="177"/>
      <c r="E244" s="177"/>
      <c r="F244" s="177"/>
      <c r="G244" s="177"/>
    </row>
    <row r="245">
      <c r="A245" s="177"/>
      <c r="B245" s="177"/>
      <c r="C245" s="177"/>
      <c r="D245" s="177"/>
      <c r="E245" s="177"/>
      <c r="F245" s="177"/>
      <c r="G245" s="177"/>
    </row>
    <row r="246">
      <c r="A246" s="177"/>
      <c r="B246" s="177"/>
      <c r="C246" s="177"/>
      <c r="D246" s="177"/>
      <c r="E246" s="177"/>
      <c r="F246" s="177"/>
      <c r="G246" s="177"/>
    </row>
    <row r="247">
      <c r="A247" s="177"/>
      <c r="B247" s="177"/>
      <c r="C247" s="177"/>
      <c r="D247" s="177"/>
      <c r="E247" s="177"/>
      <c r="F247" s="177"/>
      <c r="G247" s="177"/>
    </row>
    <row r="248">
      <c r="A248" s="177"/>
      <c r="B248" s="177"/>
      <c r="C248" s="177"/>
      <c r="D248" s="177"/>
      <c r="E248" s="177"/>
      <c r="F248" s="177"/>
      <c r="G248" s="177"/>
    </row>
    <row r="249">
      <c r="A249" s="177"/>
      <c r="B249" s="177"/>
      <c r="C249" s="177"/>
      <c r="D249" s="177"/>
      <c r="E249" s="177"/>
      <c r="F249" s="177"/>
      <c r="G249" s="177"/>
    </row>
    <row r="250">
      <c r="A250" s="177"/>
      <c r="B250" s="177"/>
      <c r="C250" s="177"/>
      <c r="D250" s="177"/>
      <c r="E250" s="177"/>
      <c r="F250" s="177"/>
      <c r="G250" s="177"/>
    </row>
    <row r="251">
      <c r="A251" s="177"/>
      <c r="B251" s="177"/>
      <c r="C251" s="177"/>
      <c r="D251" s="177"/>
      <c r="E251" s="177"/>
      <c r="F251" s="177"/>
      <c r="G251" s="177"/>
    </row>
    <row r="252">
      <c r="A252" s="177"/>
      <c r="B252" s="177"/>
      <c r="C252" s="177"/>
      <c r="D252" s="177"/>
      <c r="E252" s="177"/>
      <c r="F252" s="177"/>
      <c r="G252" s="177"/>
    </row>
    <row r="253">
      <c r="A253" s="177"/>
      <c r="B253" s="177"/>
      <c r="C253" s="177"/>
      <c r="D253" s="177"/>
      <c r="E253" s="177"/>
      <c r="F253" s="177"/>
      <c r="G253" s="177"/>
    </row>
    <row r="254">
      <c r="A254" s="177"/>
      <c r="B254" s="177"/>
      <c r="C254" s="177"/>
      <c r="D254" s="177"/>
      <c r="E254" s="177"/>
      <c r="F254" s="177"/>
      <c r="G254" s="177"/>
    </row>
    <row r="255">
      <c r="A255" s="177"/>
      <c r="B255" s="177"/>
      <c r="C255" s="177"/>
      <c r="D255" s="177"/>
      <c r="E255" s="177"/>
      <c r="F255" s="177"/>
      <c r="G255" s="177"/>
    </row>
    <row r="256">
      <c r="A256" s="177"/>
      <c r="B256" s="177"/>
      <c r="C256" s="177"/>
      <c r="D256" s="177"/>
      <c r="E256" s="177"/>
      <c r="F256" s="177"/>
      <c r="G256" s="177"/>
    </row>
    <row r="257">
      <c r="A257" s="177"/>
      <c r="B257" s="177"/>
      <c r="C257" s="177"/>
      <c r="D257" s="177"/>
      <c r="E257" s="177"/>
      <c r="F257" s="177"/>
      <c r="G257" s="177"/>
    </row>
    <row r="258">
      <c r="A258" s="177"/>
      <c r="B258" s="177"/>
      <c r="C258" s="177"/>
      <c r="D258" s="177"/>
      <c r="E258" s="177"/>
      <c r="F258" s="177"/>
      <c r="G258" s="177"/>
    </row>
    <row r="259">
      <c r="A259" s="177"/>
      <c r="B259" s="177"/>
      <c r="C259" s="177"/>
      <c r="D259" s="177"/>
      <c r="E259" s="177"/>
      <c r="F259" s="177"/>
      <c r="G259" s="177"/>
    </row>
    <row r="260">
      <c r="A260" s="177"/>
      <c r="B260" s="177"/>
      <c r="C260" s="177"/>
      <c r="D260" s="177"/>
      <c r="E260" s="177"/>
      <c r="F260" s="177"/>
      <c r="G260" s="177"/>
    </row>
    <row r="261">
      <c r="A261" s="177"/>
      <c r="B261" s="177"/>
      <c r="C261" s="177"/>
      <c r="D261" s="177"/>
      <c r="E261" s="177"/>
      <c r="F261" s="177"/>
      <c r="G261" s="177"/>
    </row>
    <row r="262">
      <c r="A262" s="177"/>
      <c r="B262" s="177"/>
      <c r="C262" s="177"/>
      <c r="D262" s="177"/>
      <c r="E262" s="177"/>
      <c r="F262" s="177"/>
      <c r="G262" s="177"/>
    </row>
    <row r="263">
      <c r="A263" s="177"/>
      <c r="B263" s="177"/>
      <c r="C263" s="177"/>
      <c r="D263" s="177"/>
      <c r="E263" s="177"/>
      <c r="F263" s="177"/>
      <c r="G263" s="177"/>
    </row>
    <row r="264">
      <c r="A264" s="177"/>
      <c r="B264" s="177"/>
      <c r="C264" s="177"/>
      <c r="D264" s="177"/>
      <c r="E264" s="177"/>
      <c r="F264" s="177"/>
      <c r="G264" s="177"/>
    </row>
    <row r="265">
      <c r="A265" s="177"/>
      <c r="B265" s="177"/>
      <c r="C265" s="177"/>
      <c r="D265" s="177"/>
      <c r="E265" s="177"/>
      <c r="F265" s="177"/>
      <c r="G265" s="177"/>
    </row>
    <row r="266">
      <c r="A266" s="177"/>
      <c r="B266" s="177"/>
      <c r="C266" s="177"/>
      <c r="D266" s="177"/>
      <c r="E266" s="177"/>
      <c r="F266" s="177"/>
      <c r="G266" s="177"/>
    </row>
    <row r="267">
      <c r="A267" s="177"/>
      <c r="B267" s="177"/>
      <c r="C267" s="177"/>
      <c r="D267" s="177"/>
      <c r="E267" s="177"/>
      <c r="F267" s="177"/>
      <c r="G267" s="177"/>
    </row>
    <row r="268">
      <c r="A268" s="177"/>
      <c r="B268" s="177"/>
      <c r="C268" s="177"/>
      <c r="D268" s="177"/>
      <c r="E268" s="177"/>
      <c r="F268" s="177"/>
      <c r="G268" s="177"/>
    </row>
    <row r="269">
      <c r="A269" s="177"/>
      <c r="B269" s="177"/>
      <c r="C269" s="177"/>
      <c r="D269" s="177"/>
      <c r="E269" s="177"/>
      <c r="F269" s="177"/>
      <c r="G269" s="177"/>
    </row>
    <row r="270">
      <c r="A270" s="177"/>
      <c r="B270" s="177"/>
      <c r="C270" s="177"/>
      <c r="D270" s="177"/>
      <c r="E270" s="177"/>
      <c r="F270" s="177"/>
      <c r="G270" s="177"/>
    </row>
    <row r="271">
      <c r="A271" s="177"/>
      <c r="B271" s="177"/>
      <c r="C271" s="177"/>
      <c r="D271" s="177"/>
      <c r="E271" s="177"/>
      <c r="F271" s="177"/>
      <c r="G271" s="177"/>
    </row>
    <row r="272">
      <c r="A272" s="177"/>
      <c r="B272" s="177"/>
      <c r="C272" s="177"/>
      <c r="D272" s="177"/>
      <c r="E272" s="177"/>
      <c r="F272" s="177"/>
      <c r="G272" s="177"/>
    </row>
    <row r="273">
      <c r="A273" s="177"/>
      <c r="B273" s="177"/>
      <c r="C273" s="177"/>
      <c r="D273" s="177"/>
      <c r="E273" s="177"/>
      <c r="F273" s="177"/>
      <c r="G273" s="177"/>
    </row>
    <row r="274">
      <c r="A274" s="177"/>
      <c r="B274" s="177"/>
      <c r="C274" s="177"/>
      <c r="D274" s="177"/>
      <c r="E274" s="177"/>
      <c r="F274" s="177"/>
      <c r="G274" s="177"/>
    </row>
    <row r="275">
      <c r="A275" s="177"/>
      <c r="B275" s="177"/>
      <c r="C275" s="177"/>
      <c r="D275" s="177"/>
      <c r="E275" s="177"/>
      <c r="F275" s="177"/>
      <c r="G275" s="177"/>
    </row>
    <row r="276">
      <c r="A276" s="177"/>
      <c r="B276" s="177"/>
      <c r="C276" s="177"/>
      <c r="D276" s="177"/>
      <c r="E276" s="177"/>
      <c r="F276" s="177"/>
      <c r="G276" s="177"/>
    </row>
    <row r="277">
      <c r="A277" s="177"/>
      <c r="B277" s="177"/>
      <c r="C277" s="177"/>
      <c r="D277" s="177"/>
      <c r="E277" s="177"/>
      <c r="F277" s="177"/>
      <c r="G277" s="177"/>
    </row>
    <row r="278">
      <c r="A278" s="177"/>
      <c r="B278" s="177"/>
      <c r="C278" s="177"/>
      <c r="D278" s="177"/>
      <c r="E278" s="177"/>
      <c r="F278" s="177"/>
      <c r="G278" s="177"/>
    </row>
    <row r="279">
      <c r="A279" s="177"/>
      <c r="B279" s="177"/>
      <c r="C279" s="177"/>
      <c r="D279" s="177"/>
      <c r="E279" s="177"/>
      <c r="F279" s="177"/>
      <c r="G279" s="177"/>
    </row>
    <row r="280">
      <c r="A280" s="177"/>
      <c r="B280" s="177"/>
      <c r="C280" s="177"/>
      <c r="D280" s="177"/>
      <c r="E280" s="177"/>
      <c r="F280" s="177"/>
      <c r="G280" s="177"/>
    </row>
    <row r="281">
      <c r="A281" s="177"/>
      <c r="B281" s="177"/>
      <c r="C281" s="177"/>
      <c r="D281" s="177"/>
      <c r="E281" s="177"/>
      <c r="F281" s="177"/>
      <c r="G281" s="177"/>
    </row>
    <row r="282">
      <c r="A282" s="177"/>
      <c r="B282" s="177"/>
      <c r="C282" s="177"/>
      <c r="D282" s="177"/>
      <c r="E282" s="177"/>
      <c r="F282" s="177"/>
      <c r="G282" s="177"/>
    </row>
    <row r="283">
      <c r="A283" s="177"/>
      <c r="B283" s="177"/>
      <c r="C283" s="177"/>
      <c r="D283" s="177"/>
      <c r="E283" s="177"/>
      <c r="F283" s="177"/>
      <c r="G283" s="177"/>
    </row>
    <row r="284">
      <c r="A284" s="177"/>
      <c r="B284" s="177"/>
      <c r="C284" s="177"/>
      <c r="D284" s="177"/>
      <c r="E284" s="177"/>
      <c r="F284" s="177"/>
      <c r="G284" s="177"/>
    </row>
    <row r="285">
      <c r="A285" s="177"/>
      <c r="B285" s="177"/>
      <c r="C285" s="177"/>
      <c r="D285" s="177"/>
      <c r="E285" s="177"/>
      <c r="F285" s="177"/>
      <c r="G285" s="177"/>
    </row>
    <row r="286">
      <c r="A286" s="177"/>
      <c r="B286" s="177"/>
      <c r="C286" s="177"/>
      <c r="D286" s="177"/>
      <c r="E286" s="177"/>
      <c r="F286" s="177"/>
      <c r="G286" s="177"/>
    </row>
    <row r="287">
      <c r="A287" s="177"/>
      <c r="B287" s="177"/>
      <c r="C287" s="177"/>
      <c r="D287" s="177"/>
      <c r="E287" s="177"/>
      <c r="F287" s="177"/>
      <c r="G287" s="177"/>
    </row>
    <row r="288">
      <c r="A288" s="177"/>
      <c r="B288" s="177"/>
      <c r="C288" s="177"/>
      <c r="D288" s="177"/>
      <c r="E288" s="177"/>
      <c r="F288" s="177"/>
      <c r="G288" s="177"/>
    </row>
    <row r="289">
      <c r="A289" s="177"/>
      <c r="B289" s="177"/>
      <c r="C289" s="177"/>
      <c r="D289" s="177"/>
      <c r="E289" s="177"/>
      <c r="F289" s="177"/>
      <c r="G289" s="177"/>
    </row>
    <row r="290">
      <c r="A290" s="177"/>
      <c r="B290" s="177"/>
      <c r="C290" s="177"/>
      <c r="D290" s="177"/>
      <c r="E290" s="177"/>
      <c r="F290" s="177"/>
      <c r="G290" s="177"/>
    </row>
    <row r="291">
      <c r="A291" s="177"/>
      <c r="B291" s="177"/>
      <c r="C291" s="177"/>
      <c r="D291" s="177"/>
      <c r="E291" s="177"/>
      <c r="F291" s="177"/>
      <c r="G291" s="177"/>
    </row>
    <row r="292">
      <c r="A292" s="177"/>
      <c r="B292" s="177"/>
      <c r="C292" s="177"/>
      <c r="D292" s="177"/>
      <c r="E292" s="177"/>
      <c r="F292" s="177"/>
      <c r="G292" s="177"/>
    </row>
    <row r="293">
      <c r="A293" s="177"/>
      <c r="B293" s="177"/>
      <c r="C293" s="177"/>
      <c r="D293" s="177"/>
      <c r="E293" s="177"/>
      <c r="F293" s="177"/>
      <c r="G293" s="177"/>
    </row>
    <row r="294">
      <c r="A294" s="177"/>
      <c r="B294" s="177"/>
      <c r="C294" s="177"/>
      <c r="D294" s="177"/>
      <c r="E294" s="177"/>
      <c r="F294" s="177"/>
      <c r="G294" s="177"/>
    </row>
    <row r="295">
      <c r="A295" s="177"/>
      <c r="B295" s="177"/>
      <c r="C295" s="177"/>
      <c r="D295" s="177"/>
      <c r="E295" s="177"/>
      <c r="F295" s="177"/>
      <c r="G295" s="177"/>
    </row>
    <row r="296">
      <c r="A296" s="177"/>
      <c r="B296" s="177"/>
      <c r="C296" s="177"/>
      <c r="D296" s="177"/>
      <c r="E296" s="177"/>
      <c r="F296" s="177"/>
      <c r="G296" s="177"/>
    </row>
    <row r="297">
      <c r="A297" s="177"/>
      <c r="B297" s="177"/>
      <c r="C297" s="177"/>
      <c r="D297" s="177"/>
      <c r="E297" s="177"/>
      <c r="F297" s="177"/>
      <c r="G297" s="177"/>
    </row>
    <row r="298">
      <c r="A298" s="177"/>
      <c r="B298" s="177"/>
      <c r="C298" s="177"/>
      <c r="D298" s="177"/>
      <c r="E298" s="177"/>
      <c r="F298" s="177"/>
      <c r="G298" s="177"/>
    </row>
    <row r="299">
      <c r="A299" s="177"/>
      <c r="B299" s="177"/>
      <c r="C299" s="177"/>
      <c r="D299" s="177"/>
      <c r="E299" s="177"/>
      <c r="F299" s="177"/>
      <c r="G299" s="177"/>
    </row>
    <row r="300">
      <c r="A300" s="177"/>
      <c r="B300" s="177"/>
      <c r="C300" s="177"/>
      <c r="D300" s="177"/>
      <c r="E300" s="177"/>
      <c r="F300" s="177"/>
      <c r="G300" s="177"/>
    </row>
    <row r="301">
      <c r="A301" s="177"/>
      <c r="B301" s="177"/>
      <c r="C301" s="177"/>
      <c r="D301" s="177"/>
      <c r="E301" s="177"/>
      <c r="F301" s="177"/>
      <c r="G301" s="177"/>
    </row>
    <row r="302">
      <c r="A302" s="177"/>
      <c r="B302" s="177"/>
      <c r="C302" s="177"/>
      <c r="D302" s="177"/>
      <c r="E302" s="177"/>
      <c r="F302" s="177"/>
      <c r="G302" s="177"/>
    </row>
    <row r="303">
      <c r="A303" s="177"/>
      <c r="B303" s="177"/>
      <c r="C303" s="177"/>
      <c r="D303" s="177"/>
      <c r="E303" s="177"/>
      <c r="F303" s="177"/>
      <c r="G303" s="177"/>
    </row>
    <row r="304">
      <c r="A304" s="177"/>
      <c r="B304" s="177"/>
      <c r="C304" s="177"/>
      <c r="D304" s="177"/>
      <c r="E304" s="177"/>
      <c r="F304" s="177"/>
      <c r="G304" s="177"/>
    </row>
    <row r="305">
      <c r="A305" s="177"/>
      <c r="B305" s="177"/>
      <c r="C305" s="177"/>
      <c r="D305" s="177"/>
      <c r="E305" s="177"/>
      <c r="F305" s="177"/>
      <c r="G305" s="177"/>
    </row>
    <row r="306">
      <c r="A306" s="177"/>
      <c r="B306" s="177"/>
      <c r="C306" s="177"/>
      <c r="D306" s="177"/>
      <c r="E306" s="177"/>
      <c r="F306" s="177"/>
      <c r="G306" s="177"/>
    </row>
    <row r="307">
      <c r="A307" s="177"/>
      <c r="B307" s="177"/>
      <c r="C307" s="177"/>
      <c r="D307" s="177"/>
      <c r="E307" s="177"/>
      <c r="F307" s="177"/>
      <c r="G307" s="177"/>
    </row>
    <row r="308">
      <c r="A308" s="177"/>
      <c r="B308" s="177"/>
      <c r="C308" s="177"/>
      <c r="D308" s="177"/>
      <c r="E308" s="177"/>
      <c r="F308" s="177"/>
      <c r="G308" s="177"/>
    </row>
    <row r="309">
      <c r="A309" s="177"/>
      <c r="B309" s="177"/>
      <c r="C309" s="177"/>
      <c r="D309" s="177"/>
      <c r="E309" s="177"/>
      <c r="F309" s="177"/>
      <c r="G309" s="177"/>
    </row>
    <row r="310">
      <c r="A310" s="177"/>
      <c r="B310" s="177"/>
      <c r="C310" s="177"/>
      <c r="D310" s="177"/>
      <c r="E310" s="177"/>
      <c r="F310" s="177"/>
      <c r="G310" s="177"/>
    </row>
    <row r="311">
      <c r="A311" s="177"/>
      <c r="B311" s="177"/>
      <c r="C311" s="177"/>
      <c r="D311" s="177"/>
      <c r="E311" s="177"/>
      <c r="F311" s="177"/>
      <c r="G311" s="177"/>
    </row>
    <row r="312">
      <c r="A312" s="177"/>
      <c r="B312" s="177"/>
      <c r="C312" s="177"/>
      <c r="D312" s="177"/>
      <c r="E312" s="177"/>
      <c r="F312" s="177"/>
      <c r="G312" s="177"/>
    </row>
    <row r="313">
      <c r="A313" s="177"/>
      <c r="B313" s="177"/>
      <c r="C313" s="177"/>
      <c r="D313" s="177"/>
      <c r="E313" s="177"/>
      <c r="F313" s="177"/>
      <c r="G313" s="177"/>
    </row>
    <row r="314">
      <c r="A314" s="177"/>
      <c r="B314" s="177"/>
      <c r="C314" s="177"/>
      <c r="D314" s="177"/>
      <c r="E314" s="177"/>
      <c r="F314" s="177"/>
      <c r="G314" s="177"/>
    </row>
    <row r="315">
      <c r="A315" s="177"/>
      <c r="B315" s="177"/>
      <c r="C315" s="177"/>
      <c r="D315" s="177"/>
      <c r="E315" s="177"/>
      <c r="F315" s="177"/>
      <c r="G315" s="177"/>
    </row>
    <row r="316">
      <c r="A316" s="177"/>
      <c r="B316" s="177"/>
      <c r="C316" s="177"/>
      <c r="D316" s="177"/>
      <c r="E316" s="177"/>
      <c r="F316" s="177"/>
      <c r="G316" s="177"/>
    </row>
    <row r="317">
      <c r="A317" s="177"/>
      <c r="B317" s="177"/>
      <c r="C317" s="177"/>
      <c r="D317" s="177"/>
      <c r="E317" s="177"/>
      <c r="F317" s="177"/>
      <c r="G317" s="177"/>
    </row>
    <row r="318">
      <c r="A318" s="177"/>
      <c r="B318" s="177"/>
      <c r="C318" s="177"/>
      <c r="D318" s="177"/>
      <c r="E318" s="177"/>
      <c r="F318" s="177"/>
      <c r="G318" s="177"/>
    </row>
    <row r="319">
      <c r="A319" s="177"/>
      <c r="B319" s="177"/>
      <c r="C319" s="177"/>
      <c r="D319" s="177"/>
      <c r="E319" s="177"/>
      <c r="F319" s="177"/>
      <c r="G319" s="177"/>
    </row>
    <row r="320">
      <c r="A320" s="177"/>
      <c r="B320" s="177"/>
      <c r="C320" s="177"/>
      <c r="D320" s="177"/>
      <c r="E320" s="177"/>
      <c r="F320" s="177"/>
      <c r="G320" s="177"/>
    </row>
    <row r="321">
      <c r="A321" s="177"/>
      <c r="B321" s="177"/>
      <c r="C321" s="177"/>
      <c r="D321" s="177"/>
      <c r="E321" s="177"/>
      <c r="F321" s="177"/>
      <c r="G321" s="177"/>
    </row>
    <row r="322">
      <c r="A322" s="177"/>
      <c r="B322" s="177"/>
      <c r="C322" s="177"/>
      <c r="D322" s="177"/>
      <c r="E322" s="177"/>
      <c r="F322" s="177"/>
      <c r="G322" s="177"/>
    </row>
    <row r="323">
      <c r="A323" s="177"/>
      <c r="B323" s="177"/>
      <c r="C323" s="177"/>
      <c r="D323" s="177"/>
      <c r="E323" s="177"/>
      <c r="F323" s="177"/>
      <c r="G323" s="177"/>
    </row>
    <row r="324">
      <c r="A324" s="177"/>
      <c r="B324" s="177"/>
      <c r="C324" s="177"/>
      <c r="D324" s="177"/>
      <c r="E324" s="177"/>
      <c r="F324" s="177"/>
      <c r="G324" s="177"/>
    </row>
    <row r="325">
      <c r="A325" s="177"/>
      <c r="B325" s="177"/>
      <c r="C325" s="177"/>
      <c r="D325" s="177"/>
      <c r="E325" s="177"/>
      <c r="F325" s="177"/>
      <c r="G325" s="177"/>
    </row>
    <row r="326">
      <c r="A326" s="177"/>
      <c r="B326" s="177"/>
      <c r="C326" s="177"/>
      <c r="D326" s="177"/>
      <c r="E326" s="177"/>
      <c r="F326" s="177"/>
      <c r="G326" s="177"/>
    </row>
    <row r="327">
      <c r="A327" s="177"/>
      <c r="B327" s="177"/>
      <c r="C327" s="177"/>
      <c r="D327" s="177"/>
      <c r="E327" s="177"/>
      <c r="F327" s="177"/>
      <c r="G327" s="177"/>
    </row>
    <row r="328">
      <c r="A328" s="177"/>
      <c r="B328" s="177"/>
      <c r="C328" s="177"/>
      <c r="D328" s="177"/>
      <c r="E328" s="177"/>
      <c r="F328" s="177"/>
      <c r="G328" s="177"/>
    </row>
    <row r="329">
      <c r="A329" s="177"/>
      <c r="B329" s="177"/>
      <c r="C329" s="177"/>
      <c r="D329" s="177"/>
      <c r="E329" s="177"/>
      <c r="F329" s="177"/>
      <c r="G329" s="177"/>
    </row>
    <row r="330">
      <c r="A330" s="177"/>
      <c r="B330" s="177"/>
      <c r="C330" s="177"/>
      <c r="D330" s="177"/>
      <c r="E330" s="177"/>
      <c r="F330" s="177"/>
      <c r="G330" s="177"/>
    </row>
    <row r="331">
      <c r="A331" s="177"/>
      <c r="B331" s="177"/>
      <c r="C331" s="177"/>
      <c r="D331" s="177"/>
      <c r="E331" s="177"/>
      <c r="F331" s="177"/>
      <c r="G331" s="177"/>
    </row>
    <row r="332">
      <c r="A332" s="177"/>
      <c r="B332" s="177"/>
      <c r="C332" s="177"/>
      <c r="D332" s="177"/>
      <c r="E332" s="177"/>
      <c r="F332" s="177"/>
      <c r="G332" s="177"/>
    </row>
    <row r="333">
      <c r="A333" s="177"/>
      <c r="B333" s="177"/>
      <c r="C333" s="177"/>
      <c r="D333" s="177"/>
      <c r="E333" s="177"/>
      <c r="F333" s="177"/>
      <c r="G333" s="177"/>
    </row>
    <row r="334">
      <c r="A334" s="177"/>
      <c r="B334" s="177"/>
      <c r="C334" s="177"/>
      <c r="D334" s="177"/>
      <c r="E334" s="177"/>
      <c r="F334" s="177"/>
      <c r="G334" s="177"/>
    </row>
    <row r="335">
      <c r="A335" s="177"/>
      <c r="B335" s="177"/>
      <c r="C335" s="177"/>
      <c r="D335" s="177"/>
      <c r="E335" s="177"/>
      <c r="F335" s="177"/>
      <c r="G335" s="177"/>
    </row>
    <row r="336">
      <c r="A336" s="177"/>
      <c r="B336" s="177"/>
      <c r="C336" s="177"/>
      <c r="D336" s="177"/>
      <c r="E336" s="177"/>
      <c r="F336" s="177"/>
      <c r="G336" s="177"/>
    </row>
    <row r="337">
      <c r="A337" s="177"/>
      <c r="B337" s="177"/>
      <c r="C337" s="177"/>
      <c r="D337" s="177"/>
      <c r="E337" s="177"/>
      <c r="F337" s="177"/>
      <c r="G337" s="177"/>
    </row>
    <row r="338">
      <c r="A338" s="177"/>
      <c r="B338" s="177"/>
      <c r="C338" s="177"/>
      <c r="D338" s="177"/>
      <c r="E338" s="177"/>
      <c r="F338" s="177"/>
      <c r="G338" s="177"/>
    </row>
    <row r="339">
      <c r="A339" s="177"/>
      <c r="B339" s="177"/>
      <c r="C339" s="177"/>
      <c r="D339" s="177"/>
      <c r="E339" s="177"/>
      <c r="F339" s="177"/>
      <c r="G339" s="177"/>
    </row>
    <row r="340">
      <c r="A340" s="177"/>
      <c r="B340" s="177"/>
      <c r="C340" s="177"/>
      <c r="D340" s="177"/>
      <c r="E340" s="177"/>
      <c r="F340" s="177"/>
      <c r="G340" s="177"/>
    </row>
    <row r="341">
      <c r="A341" s="177"/>
      <c r="B341" s="177"/>
      <c r="C341" s="177"/>
      <c r="D341" s="177"/>
      <c r="E341" s="177"/>
      <c r="F341" s="177"/>
      <c r="G341" s="177"/>
    </row>
    <row r="342">
      <c r="A342" s="177"/>
      <c r="B342" s="177"/>
      <c r="C342" s="177"/>
      <c r="D342" s="177"/>
      <c r="E342" s="177"/>
      <c r="F342" s="177"/>
      <c r="G342" s="177"/>
    </row>
    <row r="343">
      <c r="A343" s="177"/>
      <c r="B343" s="177"/>
      <c r="C343" s="177"/>
      <c r="D343" s="177"/>
      <c r="E343" s="177"/>
      <c r="F343" s="177"/>
      <c r="G343" s="177"/>
    </row>
    <row r="344">
      <c r="A344" s="177"/>
      <c r="B344" s="177"/>
      <c r="C344" s="177"/>
      <c r="D344" s="177"/>
      <c r="E344" s="177"/>
      <c r="F344" s="177"/>
      <c r="G344" s="177"/>
    </row>
    <row r="345">
      <c r="A345" s="177"/>
      <c r="B345" s="177"/>
      <c r="C345" s="177"/>
      <c r="D345" s="177"/>
      <c r="E345" s="177"/>
      <c r="F345" s="177"/>
      <c r="G345" s="177"/>
    </row>
    <row r="346">
      <c r="A346" s="177"/>
      <c r="B346" s="177"/>
      <c r="C346" s="177"/>
      <c r="D346" s="177"/>
      <c r="E346" s="177"/>
      <c r="F346" s="177"/>
      <c r="G346" s="177"/>
    </row>
    <row r="347">
      <c r="A347" s="177"/>
      <c r="B347" s="177"/>
      <c r="C347" s="177"/>
      <c r="D347" s="177"/>
      <c r="E347" s="177"/>
      <c r="F347" s="177"/>
      <c r="G347" s="177"/>
    </row>
    <row r="348">
      <c r="A348" s="177"/>
      <c r="B348" s="177"/>
      <c r="C348" s="177"/>
      <c r="D348" s="177"/>
      <c r="E348" s="177"/>
      <c r="F348" s="177"/>
      <c r="G348" s="177"/>
    </row>
    <row r="349">
      <c r="A349" s="177"/>
      <c r="B349" s="177"/>
      <c r="C349" s="177"/>
      <c r="D349" s="177"/>
      <c r="E349" s="177"/>
      <c r="F349" s="177"/>
      <c r="G349" s="177"/>
    </row>
    <row r="350">
      <c r="A350" s="177"/>
      <c r="B350" s="177"/>
      <c r="C350" s="177"/>
      <c r="D350" s="177"/>
      <c r="E350" s="177"/>
      <c r="F350" s="177"/>
      <c r="G350" s="177"/>
    </row>
    <row r="351">
      <c r="A351" s="177"/>
      <c r="B351" s="177"/>
      <c r="C351" s="177"/>
      <c r="D351" s="177"/>
      <c r="E351" s="177"/>
      <c r="F351" s="177"/>
      <c r="G351" s="177"/>
    </row>
    <row r="352">
      <c r="A352" s="177"/>
      <c r="B352" s="177"/>
      <c r="C352" s="177"/>
      <c r="D352" s="177"/>
      <c r="E352" s="177"/>
      <c r="F352" s="177"/>
      <c r="G352" s="177"/>
    </row>
    <row r="353">
      <c r="A353" s="177"/>
      <c r="B353" s="177"/>
      <c r="C353" s="177"/>
      <c r="D353" s="177"/>
      <c r="E353" s="177"/>
      <c r="F353" s="177"/>
      <c r="G353" s="177"/>
    </row>
    <row r="354">
      <c r="A354" s="177"/>
      <c r="B354" s="177"/>
      <c r="C354" s="177"/>
      <c r="D354" s="177"/>
      <c r="E354" s="177"/>
      <c r="F354" s="177"/>
      <c r="G354" s="177"/>
    </row>
    <row r="355">
      <c r="A355" s="177"/>
      <c r="B355" s="177"/>
      <c r="C355" s="177"/>
      <c r="D355" s="177"/>
      <c r="E355" s="177"/>
      <c r="F355" s="177"/>
      <c r="G355" s="177"/>
    </row>
    <row r="356">
      <c r="A356" s="177"/>
      <c r="B356" s="177"/>
      <c r="C356" s="177"/>
      <c r="D356" s="177"/>
      <c r="E356" s="177"/>
      <c r="F356" s="177"/>
      <c r="G356" s="177"/>
    </row>
    <row r="357">
      <c r="A357" s="177"/>
      <c r="B357" s="177"/>
      <c r="C357" s="177"/>
      <c r="D357" s="177"/>
      <c r="E357" s="177"/>
      <c r="F357" s="177"/>
      <c r="G357" s="177"/>
    </row>
    <row r="358">
      <c r="A358" s="177"/>
      <c r="B358" s="177"/>
      <c r="C358" s="177"/>
      <c r="D358" s="177"/>
      <c r="E358" s="177"/>
      <c r="F358" s="177"/>
      <c r="G358" s="177"/>
    </row>
    <row r="359">
      <c r="A359" s="177"/>
      <c r="B359" s="177"/>
      <c r="C359" s="177"/>
      <c r="D359" s="177"/>
      <c r="E359" s="177"/>
      <c r="F359" s="177"/>
      <c r="G359" s="177"/>
    </row>
    <row r="360">
      <c r="A360" s="177"/>
      <c r="B360" s="177"/>
      <c r="C360" s="177"/>
      <c r="D360" s="177"/>
      <c r="E360" s="177"/>
      <c r="F360" s="177"/>
      <c r="G360" s="177"/>
    </row>
    <row r="361">
      <c r="A361" s="177"/>
      <c r="B361" s="177"/>
      <c r="C361" s="177"/>
      <c r="D361" s="177"/>
      <c r="E361" s="177"/>
      <c r="F361" s="177"/>
      <c r="G361" s="177"/>
    </row>
    <row r="362">
      <c r="A362" s="177"/>
      <c r="B362" s="177"/>
      <c r="C362" s="177"/>
      <c r="D362" s="177"/>
      <c r="E362" s="177"/>
      <c r="F362" s="177"/>
      <c r="G362" s="177"/>
    </row>
    <row r="363">
      <c r="A363" s="177"/>
      <c r="B363" s="177"/>
      <c r="C363" s="177"/>
      <c r="D363" s="177"/>
      <c r="E363" s="177"/>
      <c r="F363" s="177"/>
      <c r="G363" s="177"/>
    </row>
    <row r="364">
      <c r="A364" s="177"/>
      <c r="B364" s="177"/>
      <c r="C364" s="177"/>
      <c r="D364" s="177"/>
      <c r="E364" s="177"/>
      <c r="F364" s="177"/>
      <c r="G364" s="177"/>
    </row>
    <row r="365">
      <c r="A365" s="177"/>
      <c r="B365" s="177"/>
      <c r="C365" s="177"/>
      <c r="D365" s="177"/>
      <c r="E365" s="177"/>
      <c r="F365" s="177"/>
      <c r="G365" s="177"/>
    </row>
    <row r="366">
      <c r="A366" s="177"/>
      <c r="B366" s="177"/>
      <c r="C366" s="177"/>
      <c r="D366" s="177"/>
      <c r="E366" s="177"/>
      <c r="F366" s="177"/>
      <c r="G366" s="177"/>
    </row>
    <row r="367">
      <c r="A367" s="177"/>
      <c r="B367" s="177"/>
      <c r="C367" s="177"/>
      <c r="D367" s="177"/>
      <c r="E367" s="177"/>
      <c r="F367" s="177"/>
      <c r="G367" s="177"/>
    </row>
    <row r="368">
      <c r="A368" s="177"/>
      <c r="B368" s="177"/>
      <c r="C368" s="177"/>
      <c r="D368" s="177"/>
      <c r="E368" s="177"/>
      <c r="F368" s="177"/>
      <c r="G368" s="177"/>
    </row>
    <row r="369">
      <c r="A369" s="177"/>
      <c r="B369" s="177"/>
      <c r="C369" s="177"/>
      <c r="D369" s="177"/>
      <c r="E369" s="177"/>
      <c r="F369" s="177"/>
      <c r="G369" s="177"/>
    </row>
    <row r="370">
      <c r="A370" s="177"/>
      <c r="B370" s="177"/>
      <c r="C370" s="177"/>
      <c r="D370" s="177"/>
      <c r="E370" s="177"/>
      <c r="F370" s="177"/>
      <c r="G370" s="177"/>
    </row>
    <row r="371">
      <c r="A371" s="177"/>
      <c r="B371" s="177"/>
      <c r="C371" s="177"/>
      <c r="D371" s="177"/>
      <c r="E371" s="177"/>
      <c r="F371" s="177"/>
      <c r="G371" s="177"/>
    </row>
    <row r="372">
      <c r="A372" s="177"/>
      <c r="B372" s="177"/>
      <c r="C372" s="177"/>
      <c r="D372" s="177"/>
      <c r="E372" s="177"/>
      <c r="F372" s="177"/>
      <c r="G372" s="177"/>
    </row>
    <row r="373">
      <c r="A373" s="177"/>
      <c r="B373" s="177"/>
      <c r="C373" s="177"/>
      <c r="D373" s="177"/>
      <c r="E373" s="177"/>
      <c r="F373" s="177"/>
      <c r="G373" s="177"/>
    </row>
    <row r="374">
      <c r="A374" s="177"/>
      <c r="B374" s="177"/>
      <c r="C374" s="177"/>
      <c r="D374" s="177"/>
      <c r="E374" s="177"/>
      <c r="F374" s="177"/>
      <c r="G374" s="177"/>
    </row>
    <row r="375">
      <c r="A375" s="177"/>
      <c r="B375" s="177"/>
      <c r="C375" s="177"/>
      <c r="D375" s="177"/>
      <c r="E375" s="177"/>
      <c r="F375" s="177"/>
      <c r="G375" s="177"/>
    </row>
    <row r="376">
      <c r="A376" s="177"/>
      <c r="B376" s="177"/>
      <c r="C376" s="177"/>
      <c r="D376" s="177"/>
      <c r="E376" s="177"/>
      <c r="F376" s="177"/>
      <c r="G376" s="177"/>
    </row>
    <row r="377">
      <c r="A377" s="177"/>
      <c r="B377" s="177"/>
      <c r="C377" s="177"/>
      <c r="D377" s="177"/>
      <c r="E377" s="177"/>
      <c r="F377" s="177"/>
      <c r="G377" s="177"/>
    </row>
    <row r="378">
      <c r="A378" s="177"/>
      <c r="B378" s="177"/>
      <c r="C378" s="177"/>
      <c r="D378" s="177"/>
      <c r="E378" s="177"/>
      <c r="F378" s="177"/>
      <c r="G378" s="177"/>
    </row>
    <row r="379">
      <c r="A379" s="177"/>
      <c r="B379" s="177"/>
      <c r="C379" s="177"/>
      <c r="D379" s="177"/>
      <c r="E379" s="177"/>
      <c r="F379" s="177"/>
      <c r="G379" s="177"/>
    </row>
    <row r="380">
      <c r="A380" s="177"/>
      <c r="B380" s="177"/>
      <c r="C380" s="177"/>
      <c r="D380" s="177"/>
      <c r="E380" s="177"/>
      <c r="F380" s="177"/>
      <c r="G380" s="177"/>
    </row>
    <row r="381">
      <c r="A381" s="177"/>
      <c r="B381" s="177"/>
      <c r="C381" s="177"/>
      <c r="D381" s="177"/>
      <c r="E381" s="177"/>
      <c r="F381" s="177"/>
      <c r="G381" s="177"/>
    </row>
    <row r="382">
      <c r="A382" s="177"/>
      <c r="B382" s="177"/>
      <c r="C382" s="177"/>
      <c r="D382" s="177"/>
      <c r="E382" s="177"/>
      <c r="F382" s="177"/>
      <c r="G382" s="177"/>
    </row>
    <row r="383">
      <c r="A383" s="177"/>
      <c r="B383" s="177"/>
      <c r="C383" s="177"/>
      <c r="D383" s="177"/>
      <c r="E383" s="177"/>
      <c r="F383" s="177"/>
      <c r="G383" s="177"/>
    </row>
    <row r="384">
      <c r="A384" s="177"/>
      <c r="B384" s="177"/>
      <c r="C384" s="177"/>
      <c r="D384" s="177"/>
      <c r="E384" s="177"/>
      <c r="F384" s="177"/>
      <c r="G384" s="177"/>
    </row>
    <row r="385">
      <c r="A385" s="177"/>
      <c r="B385" s="177"/>
      <c r="C385" s="177"/>
      <c r="D385" s="177"/>
      <c r="E385" s="177"/>
      <c r="F385" s="177"/>
      <c r="G385" s="177"/>
    </row>
    <row r="386">
      <c r="A386" s="177"/>
      <c r="B386" s="177"/>
      <c r="C386" s="177"/>
      <c r="D386" s="177"/>
      <c r="E386" s="177"/>
      <c r="F386" s="177"/>
      <c r="G386" s="177"/>
    </row>
    <row r="387">
      <c r="A387" s="177"/>
      <c r="B387" s="177"/>
      <c r="C387" s="177"/>
      <c r="D387" s="177"/>
      <c r="E387" s="177"/>
      <c r="F387" s="177"/>
      <c r="G387" s="177"/>
    </row>
    <row r="388">
      <c r="A388" s="177"/>
      <c r="B388" s="177"/>
      <c r="C388" s="177"/>
      <c r="D388" s="177"/>
      <c r="E388" s="177"/>
      <c r="F388" s="177"/>
      <c r="G388" s="177"/>
    </row>
    <row r="389">
      <c r="A389" s="177"/>
      <c r="B389" s="177"/>
      <c r="C389" s="177"/>
      <c r="D389" s="177"/>
      <c r="E389" s="177"/>
      <c r="F389" s="177"/>
      <c r="G389" s="177"/>
    </row>
    <row r="390">
      <c r="A390" s="177"/>
      <c r="B390" s="177"/>
      <c r="C390" s="177"/>
      <c r="D390" s="177"/>
      <c r="E390" s="177"/>
      <c r="F390" s="177"/>
      <c r="G390" s="177"/>
    </row>
    <row r="391">
      <c r="A391" s="177"/>
      <c r="B391" s="177"/>
      <c r="C391" s="177"/>
      <c r="D391" s="177"/>
      <c r="E391" s="177"/>
      <c r="F391" s="177"/>
      <c r="G391" s="177"/>
    </row>
    <row r="392">
      <c r="A392" s="177"/>
      <c r="B392" s="177"/>
      <c r="C392" s="177"/>
      <c r="D392" s="177"/>
      <c r="E392" s="177"/>
      <c r="F392" s="177"/>
      <c r="G392" s="177"/>
    </row>
    <row r="393">
      <c r="A393" s="177"/>
      <c r="B393" s="177"/>
      <c r="C393" s="177"/>
      <c r="D393" s="177"/>
      <c r="E393" s="177"/>
      <c r="F393" s="177"/>
      <c r="G393" s="177"/>
    </row>
    <row r="394">
      <c r="A394" s="177"/>
      <c r="B394" s="177"/>
      <c r="C394" s="177"/>
      <c r="D394" s="177"/>
      <c r="E394" s="177"/>
      <c r="F394" s="177"/>
      <c r="G394" s="177"/>
    </row>
    <row r="395">
      <c r="A395" s="177"/>
      <c r="B395" s="177"/>
      <c r="C395" s="177"/>
      <c r="D395" s="177"/>
      <c r="E395" s="177"/>
      <c r="F395" s="177"/>
      <c r="G395" s="177"/>
    </row>
    <row r="396">
      <c r="A396" s="177"/>
      <c r="B396" s="177"/>
      <c r="C396" s="177"/>
      <c r="D396" s="177"/>
      <c r="E396" s="177"/>
      <c r="F396" s="177"/>
      <c r="G396" s="177"/>
    </row>
    <row r="397">
      <c r="A397" s="177"/>
      <c r="B397" s="177"/>
      <c r="C397" s="177"/>
      <c r="D397" s="177"/>
      <c r="E397" s="177"/>
      <c r="F397" s="177"/>
      <c r="G397" s="177"/>
    </row>
    <row r="398">
      <c r="A398" s="177"/>
      <c r="B398" s="177"/>
      <c r="C398" s="177"/>
      <c r="D398" s="177"/>
      <c r="E398" s="177"/>
      <c r="F398" s="177"/>
      <c r="G398" s="177"/>
    </row>
    <row r="399">
      <c r="A399" s="177"/>
      <c r="B399" s="177"/>
      <c r="C399" s="177"/>
      <c r="D399" s="177"/>
      <c r="E399" s="177"/>
      <c r="F399" s="177"/>
      <c r="G399" s="177"/>
    </row>
    <row r="400">
      <c r="A400" s="177"/>
      <c r="B400" s="177"/>
      <c r="C400" s="177"/>
      <c r="D400" s="177"/>
      <c r="E400" s="177"/>
      <c r="F400" s="177"/>
      <c r="G400" s="177"/>
    </row>
    <row r="401">
      <c r="A401" s="177"/>
      <c r="B401" s="177"/>
      <c r="C401" s="177"/>
      <c r="D401" s="177"/>
      <c r="E401" s="177"/>
      <c r="F401" s="177"/>
      <c r="G401" s="177"/>
    </row>
    <row r="402">
      <c r="A402" s="177"/>
      <c r="B402" s="177"/>
      <c r="C402" s="177"/>
      <c r="D402" s="177"/>
      <c r="E402" s="177"/>
      <c r="F402" s="177"/>
      <c r="G402" s="177"/>
    </row>
    <row r="403">
      <c r="A403" s="177"/>
      <c r="B403" s="177"/>
      <c r="C403" s="177"/>
      <c r="D403" s="177"/>
      <c r="E403" s="177"/>
      <c r="F403" s="177"/>
      <c r="G403" s="177"/>
    </row>
    <row r="404">
      <c r="A404" s="177"/>
      <c r="B404" s="177"/>
      <c r="C404" s="177"/>
      <c r="D404" s="177"/>
      <c r="E404" s="177"/>
      <c r="F404" s="177"/>
      <c r="G404" s="177"/>
    </row>
    <row r="405">
      <c r="A405" s="177"/>
      <c r="B405" s="177"/>
      <c r="C405" s="177"/>
      <c r="D405" s="177"/>
      <c r="E405" s="177"/>
      <c r="F405" s="177"/>
      <c r="G405" s="177"/>
    </row>
    <row r="406">
      <c r="A406" s="177"/>
      <c r="B406" s="177"/>
      <c r="C406" s="177"/>
      <c r="D406" s="177"/>
      <c r="E406" s="177"/>
      <c r="F406" s="177"/>
      <c r="G406" s="177"/>
    </row>
    <row r="407">
      <c r="A407" s="177"/>
      <c r="B407" s="177"/>
      <c r="C407" s="177"/>
      <c r="D407" s="177"/>
      <c r="E407" s="177"/>
      <c r="F407" s="177"/>
      <c r="G407" s="177"/>
    </row>
    <row r="408">
      <c r="A408" s="177"/>
      <c r="B408" s="177"/>
      <c r="C408" s="177"/>
      <c r="D408" s="177"/>
      <c r="E408" s="177"/>
      <c r="F408" s="177"/>
      <c r="G408" s="177"/>
    </row>
    <row r="409">
      <c r="A409" s="177"/>
      <c r="B409" s="177"/>
      <c r="C409" s="177"/>
      <c r="D409" s="177"/>
      <c r="E409" s="177"/>
      <c r="F409" s="177"/>
      <c r="G409" s="177"/>
    </row>
    <row r="410">
      <c r="A410" s="177"/>
      <c r="B410" s="177"/>
      <c r="C410" s="177"/>
      <c r="D410" s="177"/>
      <c r="E410" s="177"/>
      <c r="F410" s="177"/>
      <c r="G410" s="177"/>
    </row>
    <row r="411">
      <c r="A411" s="177"/>
      <c r="B411" s="177"/>
      <c r="C411" s="177"/>
      <c r="D411" s="177"/>
      <c r="E411" s="177"/>
      <c r="F411" s="177"/>
      <c r="G411" s="177"/>
    </row>
    <row r="412">
      <c r="A412" s="177"/>
      <c r="B412" s="177"/>
      <c r="C412" s="177"/>
      <c r="D412" s="177"/>
      <c r="E412" s="177"/>
      <c r="F412" s="177"/>
      <c r="G412" s="177"/>
    </row>
    <row r="413">
      <c r="A413" s="177"/>
      <c r="B413" s="177"/>
      <c r="C413" s="177"/>
      <c r="D413" s="177"/>
      <c r="E413" s="177"/>
      <c r="F413" s="177"/>
      <c r="G413" s="177"/>
    </row>
    <row r="414">
      <c r="A414" s="177"/>
      <c r="B414" s="177"/>
      <c r="C414" s="177"/>
      <c r="D414" s="177"/>
      <c r="E414" s="177"/>
      <c r="F414" s="177"/>
      <c r="G414" s="177"/>
    </row>
    <row r="415">
      <c r="A415" s="177"/>
      <c r="B415" s="177"/>
      <c r="C415" s="177"/>
      <c r="D415" s="177"/>
      <c r="E415" s="177"/>
      <c r="F415" s="177"/>
      <c r="G415" s="177"/>
    </row>
    <row r="416">
      <c r="A416" s="177"/>
      <c r="B416" s="177"/>
      <c r="C416" s="177"/>
      <c r="D416" s="177"/>
      <c r="E416" s="177"/>
      <c r="F416" s="177"/>
      <c r="G416" s="177"/>
    </row>
    <row r="417">
      <c r="A417" s="177"/>
      <c r="B417" s="177"/>
      <c r="C417" s="177"/>
      <c r="D417" s="177"/>
      <c r="E417" s="177"/>
      <c r="F417" s="177"/>
      <c r="G417" s="177"/>
    </row>
    <row r="418">
      <c r="A418" s="177"/>
      <c r="B418" s="177"/>
      <c r="C418" s="177"/>
      <c r="D418" s="177"/>
      <c r="E418" s="177"/>
      <c r="F418" s="177"/>
      <c r="G418" s="177"/>
    </row>
    <row r="419">
      <c r="A419" s="177"/>
      <c r="B419" s="177"/>
      <c r="C419" s="177"/>
      <c r="D419" s="177"/>
      <c r="E419" s="177"/>
      <c r="F419" s="177"/>
      <c r="G419" s="177"/>
    </row>
    <row r="420">
      <c r="A420" s="177"/>
      <c r="B420" s="177"/>
      <c r="C420" s="177"/>
      <c r="D420" s="177"/>
      <c r="E420" s="177"/>
      <c r="F420" s="177"/>
      <c r="G420" s="177"/>
    </row>
    <row r="421">
      <c r="A421" s="177"/>
      <c r="B421" s="177"/>
      <c r="C421" s="177"/>
      <c r="D421" s="177"/>
      <c r="E421" s="177"/>
      <c r="F421" s="177"/>
      <c r="G421" s="177"/>
    </row>
    <row r="422">
      <c r="A422" s="177"/>
      <c r="B422" s="177"/>
      <c r="C422" s="177"/>
      <c r="D422" s="177"/>
      <c r="E422" s="177"/>
      <c r="F422" s="177"/>
      <c r="G422" s="177"/>
    </row>
    <row r="423">
      <c r="A423" s="177"/>
      <c r="B423" s="177"/>
      <c r="C423" s="177"/>
      <c r="D423" s="177"/>
      <c r="E423" s="177"/>
      <c r="F423" s="177"/>
      <c r="G423" s="177"/>
    </row>
    <row r="424">
      <c r="A424" s="177"/>
      <c r="B424" s="177"/>
      <c r="C424" s="177"/>
      <c r="D424" s="177"/>
      <c r="E424" s="177"/>
      <c r="F424" s="177"/>
      <c r="G424" s="177"/>
    </row>
    <row r="425">
      <c r="A425" s="177"/>
      <c r="B425" s="177"/>
      <c r="C425" s="177"/>
      <c r="D425" s="177"/>
      <c r="E425" s="177"/>
      <c r="F425" s="177"/>
      <c r="G425" s="177"/>
    </row>
    <row r="426">
      <c r="A426" s="177"/>
      <c r="B426" s="177"/>
      <c r="C426" s="177"/>
      <c r="D426" s="177"/>
      <c r="E426" s="177"/>
      <c r="F426" s="177"/>
      <c r="G426" s="177"/>
    </row>
    <row r="427">
      <c r="A427" s="177"/>
      <c r="B427" s="177"/>
      <c r="C427" s="177"/>
      <c r="D427" s="177"/>
      <c r="E427" s="177"/>
      <c r="F427" s="177"/>
      <c r="G427" s="177"/>
    </row>
    <row r="428">
      <c r="A428" s="177"/>
      <c r="B428" s="177"/>
      <c r="C428" s="177"/>
      <c r="D428" s="177"/>
      <c r="E428" s="177"/>
      <c r="F428" s="177"/>
      <c r="G428" s="177"/>
    </row>
    <row r="429">
      <c r="A429" s="177"/>
      <c r="B429" s="177"/>
      <c r="C429" s="177"/>
      <c r="D429" s="177"/>
      <c r="E429" s="177"/>
      <c r="F429" s="177"/>
      <c r="G429" s="177"/>
    </row>
    <row r="430">
      <c r="A430" s="177"/>
      <c r="B430" s="177"/>
      <c r="C430" s="177"/>
      <c r="D430" s="177"/>
      <c r="E430" s="177"/>
      <c r="F430" s="177"/>
      <c r="G430" s="177"/>
    </row>
    <row r="431">
      <c r="A431" s="177"/>
      <c r="B431" s="177"/>
      <c r="C431" s="177"/>
      <c r="D431" s="177"/>
      <c r="E431" s="177"/>
      <c r="F431" s="177"/>
      <c r="G431" s="177"/>
    </row>
    <row r="432">
      <c r="A432" s="177"/>
      <c r="B432" s="177"/>
      <c r="C432" s="177"/>
      <c r="D432" s="177"/>
      <c r="E432" s="177"/>
      <c r="F432" s="177"/>
      <c r="G432" s="177"/>
    </row>
    <row r="433">
      <c r="A433" s="177"/>
      <c r="B433" s="177"/>
      <c r="C433" s="177"/>
      <c r="D433" s="177"/>
      <c r="E433" s="177"/>
      <c r="F433" s="177"/>
      <c r="G433" s="177"/>
    </row>
    <row r="434">
      <c r="A434" s="177"/>
      <c r="B434" s="177"/>
      <c r="C434" s="177"/>
      <c r="D434" s="177"/>
      <c r="E434" s="177"/>
      <c r="F434" s="177"/>
      <c r="G434" s="177"/>
    </row>
    <row r="435">
      <c r="A435" s="177"/>
      <c r="B435" s="177"/>
      <c r="C435" s="177"/>
      <c r="D435" s="177"/>
      <c r="E435" s="177"/>
      <c r="F435" s="177"/>
      <c r="G435" s="177"/>
    </row>
    <row r="436">
      <c r="A436" s="177"/>
      <c r="B436" s="177"/>
      <c r="C436" s="177"/>
      <c r="D436" s="177"/>
      <c r="E436" s="177"/>
      <c r="F436" s="177"/>
      <c r="G436" s="177"/>
    </row>
    <row r="437">
      <c r="A437" s="177"/>
      <c r="B437" s="177"/>
      <c r="C437" s="177"/>
      <c r="D437" s="177"/>
      <c r="E437" s="177"/>
      <c r="F437" s="177"/>
      <c r="G437" s="177"/>
    </row>
    <row r="438">
      <c r="A438" s="177"/>
      <c r="B438" s="177"/>
      <c r="C438" s="177"/>
      <c r="D438" s="177"/>
      <c r="E438" s="177"/>
      <c r="F438" s="177"/>
      <c r="G438" s="177"/>
    </row>
    <row r="439">
      <c r="A439" s="177"/>
      <c r="B439" s="177"/>
      <c r="C439" s="177"/>
      <c r="D439" s="177"/>
      <c r="E439" s="177"/>
      <c r="F439" s="177"/>
      <c r="G439" s="177"/>
    </row>
    <row r="440">
      <c r="A440" s="177"/>
      <c r="B440" s="177"/>
      <c r="C440" s="177"/>
      <c r="D440" s="177"/>
      <c r="E440" s="177"/>
      <c r="F440" s="177"/>
      <c r="G440" s="177"/>
    </row>
    <row r="441">
      <c r="A441" s="177"/>
      <c r="B441" s="177"/>
      <c r="C441" s="177"/>
      <c r="D441" s="177"/>
      <c r="E441" s="177"/>
      <c r="F441" s="177"/>
      <c r="G441" s="177"/>
    </row>
    <row r="442">
      <c r="A442" s="177"/>
      <c r="B442" s="177"/>
      <c r="C442" s="177"/>
      <c r="D442" s="177"/>
      <c r="E442" s="177"/>
      <c r="F442" s="177"/>
      <c r="G442" s="177"/>
    </row>
    <row r="443">
      <c r="A443" s="177"/>
      <c r="B443" s="177"/>
      <c r="C443" s="177"/>
      <c r="D443" s="177"/>
      <c r="E443" s="177"/>
      <c r="F443" s="177"/>
      <c r="G443" s="177"/>
    </row>
    <row r="444">
      <c r="A444" s="177"/>
      <c r="B444" s="177"/>
      <c r="C444" s="177"/>
      <c r="D444" s="177"/>
      <c r="E444" s="177"/>
      <c r="F444" s="177"/>
      <c r="G444" s="177"/>
    </row>
    <row r="445">
      <c r="A445" s="177"/>
      <c r="B445" s="177"/>
      <c r="C445" s="177"/>
      <c r="D445" s="177"/>
      <c r="E445" s="177"/>
      <c r="F445" s="177"/>
      <c r="G445" s="177"/>
    </row>
    <row r="446">
      <c r="A446" s="177"/>
      <c r="B446" s="177"/>
      <c r="C446" s="177"/>
      <c r="D446" s="177"/>
      <c r="E446" s="177"/>
      <c r="F446" s="177"/>
      <c r="G446" s="177"/>
    </row>
    <row r="447">
      <c r="A447" s="177"/>
      <c r="B447" s="177"/>
      <c r="C447" s="177"/>
      <c r="D447" s="177"/>
      <c r="E447" s="177"/>
      <c r="F447" s="177"/>
      <c r="G447" s="177"/>
    </row>
    <row r="448">
      <c r="A448" s="177"/>
      <c r="B448" s="177"/>
      <c r="C448" s="177"/>
      <c r="D448" s="177"/>
      <c r="E448" s="177"/>
      <c r="F448" s="177"/>
      <c r="G448" s="177"/>
    </row>
    <row r="449">
      <c r="A449" s="177"/>
      <c r="B449" s="177"/>
      <c r="C449" s="177"/>
      <c r="D449" s="177"/>
      <c r="E449" s="177"/>
      <c r="F449" s="177"/>
      <c r="G449" s="177"/>
    </row>
    <row r="450">
      <c r="A450" s="177"/>
      <c r="B450" s="177"/>
      <c r="C450" s="177"/>
      <c r="D450" s="177"/>
      <c r="E450" s="177"/>
      <c r="F450" s="177"/>
      <c r="G450" s="177"/>
    </row>
    <row r="451">
      <c r="A451" s="177"/>
      <c r="B451" s="177"/>
      <c r="C451" s="177"/>
      <c r="D451" s="177"/>
      <c r="E451" s="177"/>
      <c r="F451" s="177"/>
      <c r="G451" s="177"/>
    </row>
    <row r="452">
      <c r="A452" s="177"/>
      <c r="B452" s="177"/>
      <c r="C452" s="177"/>
      <c r="D452" s="177"/>
      <c r="E452" s="177"/>
      <c r="F452" s="177"/>
      <c r="G452" s="177"/>
    </row>
    <row r="453">
      <c r="A453" s="177"/>
      <c r="B453" s="177"/>
      <c r="C453" s="177"/>
      <c r="D453" s="177"/>
      <c r="E453" s="177"/>
      <c r="F453" s="177"/>
      <c r="G453" s="177"/>
    </row>
    <row r="454">
      <c r="A454" s="177"/>
      <c r="B454" s="177"/>
      <c r="C454" s="177"/>
      <c r="D454" s="177"/>
      <c r="E454" s="177"/>
      <c r="F454" s="177"/>
      <c r="G454" s="177"/>
    </row>
    <row r="455">
      <c r="A455" s="177"/>
      <c r="B455" s="177"/>
      <c r="C455" s="177"/>
      <c r="D455" s="177"/>
      <c r="E455" s="177"/>
      <c r="F455" s="177"/>
      <c r="G455" s="177"/>
    </row>
    <row r="456">
      <c r="A456" s="177"/>
      <c r="B456" s="177"/>
      <c r="C456" s="177"/>
      <c r="D456" s="177"/>
      <c r="E456" s="177"/>
      <c r="F456" s="177"/>
      <c r="G456" s="177"/>
    </row>
    <row r="457">
      <c r="A457" s="177"/>
      <c r="B457" s="177"/>
      <c r="C457" s="177"/>
      <c r="D457" s="177"/>
      <c r="E457" s="177"/>
      <c r="F457" s="177"/>
      <c r="G457" s="177"/>
    </row>
    <row r="458">
      <c r="A458" s="177"/>
      <c r="B458" s="177"/>
      <c r="C458" s="177"/>
      <c r="D458" s="177"/>
      <c r="E458" s="177"/>
      <c r="F458" s="177"/>
      <c r="G458" s="177"/>
    </row>
    <row r="459">
      <c r="A459" s="177"/>
      <c r="B459" s="177"/>
      <c r="C459" s="177"/>
      <c r="D459" s="177"/>
      <c r="E459" s="177"/>
      <c r="F459" s="177"/>
      <c r="G459" s="177"/>
    </row>
    <row r="460">
      <c r="A460" s="177"/>
      <c r="B460" s="177"/>
      <c r="C460" s="177"/>
      <c r="D460" s="177"/>
      <c r="E460" s="177"/>
      <c r="F460" s="177"/>
      <c r="G460" s="177"/>
    </row>
    <row r="461">
      <c r="A461" s="177"/>
      <c r="B461" s="177"/>
      <c r="C461" s="177"/>
      <c r="D461" s="177"/>
      <c r="E461" s="177"/>
      <c r="F461" s="177"/>
      <c r="G461" s="177"/>
    </row>
    <row r="462">
      <c r="A462" s="177"/>
      <c r="B462" s="177"/>
      <c r="C462" s="177"/>
      <c r="D462" s="177"/>
      <c r="E462" s="177"/>
      <c r="F462" s="177"/>
      <c r="G462" s="177"/>
    </row>
    <row r="463">
      <c r="A463" s="177"/>
      <c r="B463" s="177"/>
      <c r="C463" s="177"/>
      <c r="D463" s="177"/>
      <c r="E463" s="177"/>
      <c r="F463" s="177"/>
      <c r="G463" s="177"/>
    </row>
    <row r="464">
      <c r="A464" s="177"/>
      <c r="B464" s="177"/>
      <c r="C464" s="177"/>
      <c r="D464" s="177"/>
      <c r="E464" s="177"/>
      <c r="F464" s="177"/>
      <c r="G464" s="177"/>
    </row>
    <row r="465">
      <c r="A465" s="177"/>
      <c r="B465" s="177"/>
      <c r="C465" s="177"/>
      <c r="D465" s="177"/>
      <c r="E465" s="177"/>
      <c r="F465" s="177"/>
      <c r="G465" s="177"/>
    </row>
    <row r="466">
      <c r="A466" s="177"/>
      <c r="B466" s="177"/>
      <c r="C466" s="177"/>
      <c r="D466" s="177"/>
      <c r="E466" s="177"/>
      <c r="F466" s="177"/>
      <c r="G466" s="177"/>
    </row>
    <row r="467">
      <c r="A467" s="177"/>
      <c r="B467" s="177"/>
      <c r="C467" s="177"/>
      <c r="D467" s="177"/>
      <c r="E467" s="177"/>
      <c r="F467" s="177"/>
      <c r="G467" s="177"/>
    </row>
    <row r="468">
      <c r="A468" s="177"/>
      <c r="B468" s="177"/>
      <c r="C468" s="177"/>
      <c r="D468" s="177"/>
      <c r="E468" s="177"/>
      <c r="F468" s="177"/>
      <c r="G468" s="177"/>
    </row>
    <row r="469">
      <c r="A469" s="177"/>
      <c r="B469" s="177"/>
      <c r="C469" s="177"/>
      <c r="D469" s="177"/>
      <c r="E469" s="177"/>
      <c r="F469" s="177"/>
      <c r="G469" s="177"/>
    </row>
    <row r="470">
      <c r="A470" s="177"/>
      <c r="B470" s="177"/>
      <c r="C470" s="177"/>
      <c r="D470" s="177"/>
      <c r="E470" s="177"/>
      <c r="F470" s="177"/>
      <c r="G470" s="177"/>
    </row>
    <row r="471">
      <c r="A471" s="177"/>
      <c r="B471" s="177"/>
      <c r="C471" s="177"/>
      <c r="D471" s="177"/>
      <c r="E471" s="177"/>
      <c r="F471" s="177"/>
      <c r="G471" s="177"/>
    </row>
    <row r="472">
      <c r="A472" s="177"/>
      <c r="B472" s="177"/>
      <c r="C472" s="177"/>
      <c r="D472" s="177"/>
      <c r="E472" s="177"/>
      <c r="F472" s="177"/>
      <c r="G472" s="177"/>
    </row>
    <row r="473">
      <c r="A473" s="177"/>
      <c r="B473" s="177"/>
      <c r="C473" s="177"/>
      <c r="D473" s="177"/>
      <c r="E473" s="177"/>
      <c r="F473" s="177"/>
      <c r="G473" s="177"/>
    </row>
    <row r="474">
      <c r="A474" s="177"/>
      <c r="B474" s="177"/>
      <c r="C474" s="177"/>
      <c r="D474" s="177"/>
      <c r="E474" s="177"/>
      <c r="F474" s="177"/>
      <c r="G474" s="177"/>
    </row>
    <row r="475">
      <c r="A475" s="177"/>
      <c r="B475" s="177"/>
      <c r="C475" s="177"/>
      <c r="D475" s="177"/>
      <c r="E475" s="177"/>
      <c r="F475" s="177"/>
      <c r="G475" s="177"/>
    </row>
    <row r="476">
      <c r="A476" s="177"/>
      <c r="B476" s="177"/>
      <c r="C476" s="177"/>
      <c r="D476" s="177"/>
      <c r="E476" s="177"/>
      <c r="F476" s="177"/>
      <c r="G476" s="177"/>
    </row>
    <row r="477">
      <c r="A477" s="177"/>
      <c r="B477" s="177"/>
      <c r="C477" s="177"/>
      <c r="D477" s="177"/>
      <c r="E477" s="177"/>
      <c r="F477" s="177"/>
      <c r="G477" s="177"/>
    </row>
    <row r="478">
      <c r="A478" s="177"/>
      <c r="B478" s="177"/>
      <c r="C478" s="177"/>
      <c r="D478" s="177"/>
      <c r="E478" s="177"/>
      <c r="F478" s="177"/>
      <c r="G478" s="177"/>
    </row>
    <row r="479">
      <c r="A479" s="177"/>
      <c r="B479" s="177"/>
      <c r="C479" s="177"/>
      <c r="D479" s="177"/>
      <c r="E479" s="177"/>
      <c r="F479" s="177"/>
      <c r="G479" s="177"/>
    </row>
    <row r="480">
      <c r="A480" s="177"/>
      <c r="B480" s="177"/>
      <c r="C480" s="177"/>
      <c r="D480" s="177"/>
      <c r="E480" s="177"/>
      <c r="F480" s="177"/>
      <c r="G480" s="177"/>
    </row>
    <row r="481">
      <c r="A481" s="177"/>
      <c r="B481" s="177"/>
      <c r="C481" s="177"/>
      <c r="D481" s="177"/>
      <c r="E481" s="177"/>
      <c r="F481" s="177"/>
      <c r="G481" s="177"/>
    </row>
    <row r="482">
      <c r="A482" s="177"/>
      <c r="B482" s="177"/>
      <c r="C482" s="177"/>
      <c r="D482" s="177"/>
      <c r="E482" s="177"/>
      <c r="F482" s="177"/>
      <c r="G482" s="177"/>
    </row>
    <row r="483">
      <c r="A483" s="177"/>
      <c r="B483" s="177"/>
      <c r="C483" s="177"/>
      <c r="D483" s="177"/>
      <c r="E483" s="177"/>
      <c r="F483" s="177"/>
      <c r="G483" s="177"/>
    </row>
    <row r="484">
      <c r="A484" s="177"/>
      <c r="B484" s="177"/>
      <c r="C484" s="177"/>
      <c r="D484" s="177"/>
      <c r="E484" s="177"/>
      <c r="F484" s="177"/>
      <c r="G484" s="177"/>
    </row>
    <row r="485">
      <c r="A485" s="177"/>
      <c r="B485" s="177"/>
      <c r="C485" s="177"/>
      <c r="D485" s="177"/>
      <c r="E485" s="177"/>
      <c r="F485" s="177"/>
      <c r="G485" s="177"/>
    </row>
    <row r="486">
      <c r="A486" s="177"/>
      <c r="B486" s="177"/>
      <c r="C486" s="177"/>
      <c r="D486" s="177"/>
      <c r="E486" s="177"/>
      <c r="F486" s="177"/>
      <c r="G486" s="177"/>
    </row>
    <row r="487">
      <c r="A487" s="177"/>
      <c r="B487" s="177"/>
      <c r="C487" s="177"/>
      <c r="D487" s="177"/>
      <c r="E487" s="177"/>
      <c r="F487" s="177"/>
      <c r="G487" s="177"/>
    </row>
    <row r="488">
      <c r="A488" s="177"/>
      <c r="B488" s="177"/>
      <c r="C488" s="177"/>
      <c r="D488" s="177"/>
      <c r="E488" s="177"/>
      <c r="F488" s="177"/>
      <c r="G488" s="177"/>
    </row>
    <row r="489">
      <c r="A489" s="177"/>
      <c r="B489" s="177"/>
      <c r="C489" s="177"/>
      <c r="D489" s="177"/>
      <c r="E489" s="177"/>
      <c r="F489" s="177"/>
      <c r="G489" s="177"/>
    </row>
    <row r="490">
      <c r="A490" s="177"/>
      <c r="B490" s="177"/>
      <c r="C490" s="177"/>
      <c r="D490" s="177"/>
      <c r="E490" s="177"/>
      <c r="F490" s="177"/>
      <c r="G490" s="177"/>
    </row>
    <row r="491">
      <c r="A491" s="177"/>
      <c r="B491" s="177"/>
      <c r="C491" s="177"/>
      <c r="D491" s="177"/>
      <c r="E491" s="177"/>
      <c r="F491" s="177"/>
      <c r="G491" s="177"/>
    </row>
    <row r="492">
      <c r="A492" s="177"/>
      <c r="B492" s="177"/>
      <c r="C492" s="177"/>
      <c r="D492" s="177"/>
      <c r="E492" s="177"/>
      <c r="F492" s="177"/>
      <c r="G492" s="177"/>
    </row>
    <row r="493">
      <c r="A493" s="177"/>
      <c r="B493" s="177"/>
      <c r="C493" s="177"/>
      <c r="D493" s="177"/>
      <c r="E493" s="177"/>
      <c r="F493" s="177"/>
      <c r="G493" s="177"/>
    </row>
    <row r="494">
      <c r="A494" s="177"/>
      <c r="B494" s="177"/>
      <c r="C494" s="177"/>
      <c r="D494" s="177"/>
      <c r="E494" s="177"/>
      <c r="F494" s="177"/>
      <c r="G494" s="177"/>
    </row>
    <row r="495">
      <c r="A495" s="177"/>
      <c r="B495" s="177"/>
      <c r="C495" s="177"/>
      <c r="D495" s="177"/>
      <c r="E495" s="177"/>
      <c r="F495" s="177"/>
      <c r="G495" s="177"/>
    </row>
    <row r="496">
      <c r="A496" s="177"/>
      <c r="B496" s="177"/>
      <c r="C496" s="177"/>
      <c r="D496" s="177"/>
      <c r="E496" s="177"/>
      <c r="F496" s="177"/>
      <c r="G496" s="177"/>
    </row>
    <row r="497">
      <c r="A497" s="177"/>
      <c r="B497" s="177"/>
      <c r="C497" s="177"/>
      <c r="D497" s="177"/>
      <c r="E497" s="177"/>
      <c r="F497" s="177"/>
      <c r="G497" s="177"/>
    </row>
    <row r="498">
      <c r="A498" s="177"/>
      <c r="B498" s="177"/>
      <c r="C498" s="177"/>
      <c r="D498" s="177"/>
      <c r="E498" s="177"/>
      <c r="F498" s="177"/>
      <c r="G498" s="177"/>
    </row>
    <row r="499">
      <c r="A499" s="177"/>
      <c r="B499" s="177"/>
      <c r="C499" s="177"/>
      <c r="D499" s="177"/>
      <c r="E499" s="177"/>
      <c r="F499" s="177"/>
      <c r="G499" s="177"/>
    </row>
    <row r="500">
      <c r="A500" s="177"/>
      <c r="B500" s="177"/>
      <c r="C500" s="177"/>
      <c r="D500" s="177"/>
      <c r="E500" s="177"/>
      <c r="F500" s="177"/>
      <c r="G500" s="177"/>
    </row>
    <row r="501">
      <c r="A501" s="177"/>
      <c r="B501" s="177"/>
      <c r="C501" s="177"/>
      <c r="D501" s="177"/>
      <c r="E501" s="177"/>
      <c r="F501" s="177"/>
      <c r="G501" s="177"/>
    </row>
    <row r="502">
      <c r="A502" s="177"/>
      <c r="B502" s="177"/>
      <c r="C502" s="177"/>
      <c r="D502" s="177"/>
      <c r="E502" s="177"/>
      <c r="F502" s="177"/>
      <c r="G502" s="177"/>
    </row>
    <row r="503">
      <c r="A503" s="177"/>
      <c r="B503" s="177"/>
      <c r="C503" s="177"/>
      <c r="D503" s="177"/>
      <c r="E503" s="177"/>
      <c r="F503" s="177"/>
      <c r="G503" s="177"/>
    </row>
    <row r="504">
      <c r="A504" s="177"/>
      <c r="B504" s="177"/>
      <c r="C504" s="177"/>
      <c r="D504" s="177"/>
      <c r="E504" s="177"/>
      <c r="F504" s="177"/>
      <c r="G504" s="177"/>
    </row>
    <row r="505">
      <c r="A505" s="177"/>
      <c r="B505" s="177"/>
      <c r="C505" s="177"/>
      <c r="D505" s="177"/>
      <c r="E505" s="177"/>
      <c r="F505" s="177"/>
      <c r="G505" s="177"/>
    </row>
    <row r="506">
      <c r="A506" s="177"/>
      <c r="B506" s="177"/>
      <c r="C506" s="177"/>
      <c r="D506" s="177"/>
      <c r="E506" s="177"/>
      <c r="F506" s="177"/>
      <c r="G506" s="177"/>
    </row>
    <row r="507">
      <c r="A507" s="177"/>
      <c r="B507" s="177"/>
      <c r="C507" s="177"/>
      <c r="D507" s="177"/>
      <c r="E507" s="177"/>
      <c r="F507" s="177"/>
      <c r="G507" s="177"/>
    </row>
    <row r="508">
      <c r="A508" s="177"/>
      <c r="B508" s="177"/>
      <c r="C508" s="177"/>
      <c r="D508" s="177"/>
      <c r="E508" s="177"/>
      <c r="F508" s="177"/>
      <c r="G508" s="177"/>
    </row>
    <row r="509">
      <c r="A509" s="177"/>
      <c r="B509" s="177"/>
      <c r="C509" s="177"/>
      <c r="D509" s="177"/>
      <c r="E509" s="177"/>
      <c r="F509" s="177"/>
      <c r="G509" s="177"/>
    </row>
    <row r="510">
      <c r="A510" s="177"/>
      <c r="B510" s="177"/>
      <c r="C510" s="177"/>
      <c r="D510" s="177"/>
      <c r="E510" s="177"/>
      <c r="F510" s="177"/>
      <c r="G510" s="177"/>
    </row>
    <row r="511">
      <c r="A511" s="177"/>
      <c r="B511" s="177"/>
      <c r="C511" s="177"/>
      <c r="D511" s="177"/>
      <c r="E511" s="177"/>
      <c r="F511" s="177"/>
      <c r="G511" s="177"/>
    </row>
    <row r="512">
      <c r="A512" s="177"/>
      <c r="B512" s="177"/>
      <c r="C512" s="177"/>
      <c r="D512" s="177"/>
      <c r="E512" s="177"/>
      <c r="F512" s="177"/>
      <c r="G512" s="177"/>
    </row>
    <row r="513">
      <c r="A513" s="177"/>
      <c r="B513" s="177"/>
      <c r="C513" s="177"/>
      <c r="D513" s="177"/>
      <c r="E513" s="177"/>
      <c r="F513" s="177"/>
      <c r="G513" s="177"/>
    </row>
    <row r="514">
      <c r="A514" s="177"/>
      <c r="B514" s="177"/>
      <c r="C514" s="177"/>
      <c r="D514" s="177"/>
      <c r="E514" s="177"/>
      <c r="F514" s="177"/>
      <c r="G514" s="177"/>
    </row>
    <row r="515">
      <c r="A515" s="177"/>
      <c r="B515" s="177"/>
      <c r="C515" s="177"/>
      <c r="D515" s="177"/>
      <c r="E515" s="177"/>
      <c r="F515" s="177"/>
      <c r="G515" s="177"/>
    </row>
    <row r="516">
      <c r="A516" s="177"/>
      <c r="B516" s="177"/>
      <c r="C516" s="177"/>
      <c r="D516" s="177"/>
      <c r="E516" s="177"/>
      <c r="F516" s="177"/>
      <c r="G516" s="177"/>
    </row>
    <row r="517">
      <c r="A517" s="177"/>
      <c r="B517" s="177"/>
      <c r="C517" s="177"/>
      <c r="D517" s="177"/>
      <c r="E517" s="177"/>
      <c r="F517" s="177"/>
      <c r="G517" s="177"/>
    </row>
    <row r="518">
      <c r="A518" s="177"/>
      <c r="B518" s="177"/>
      <c r="C518" s="177"/>
      <c r="D518" s="177"/>
      <c r="E518" s="177"/>
      <c r="F518" s="177"/>
      <c r="G518" s="177"/>
    </row>
    <row r="519">
      <c r="A519" s="177"/>
      <c r="B519" s="177"/>
      <c r="C519" s="177"/>
      <c r="D519" s="177"/>
      <c r="E519" s="177"/>
      <c r="F519" s="177"/>
      <c r="G519" s="177"/>
    </row>
    <row r="520">
      <c r="A520" s="177"/>
      <c r="B520" s="177"/>
      <c r="C520" s="177"/>
      <c r="D520" s="177"/>
      <c r="E520" s="177"/>
      <c r="F520" s="177"/>
      <c r="G520" s="177"/>
    </row>
    <row r="521">
      <c r="A521" s="177"/>
      <c r="B521" s="177"/>
      <c r="C521" s="177"/>
      <c r="D521" s="177"/>
      <c r="E521" s="177"/>
      <c r="F521" s="177"/>
      <c r="G521" s="177"/>
    </row>
    <row r="522">
      <c r="A522" s="177"/>
      <c r="B522" s="177"/>
      <c r="C522" s="177"/>
      <c r="D522" s="177"/>
      <c r="E522" s="177"/>
      <c r="F522" s="177"/>
      <c r="G522" s="177"/>
    </row>
    <row r="523">
      <c r="A523" s="177"/>
      <c r="B523" s="177"/>
      <c r="C523" s="177"/>
      <c r="D523" s="177"/>
      <c r="E523" s="177"/>
      <c r="F523" s="177"/>
      <c r="G523" s="177"/>
    </row>
    <row r="524">
      <c r="A524" s="177"/>
      <c r="B524" s="177"/>
      <c r="C524" s="177"/>
      <c r="D524" s="177"/>
      <c r="E524" s="177"/>
      <c r="F524" s="177"/>
      <c r="G524" s="177"/>
    </row>
    <row r="525">
      <c r="A525" s="177"/>
      <c r="B525" s="177"/>
      <c r="C525" s="177"/>
      <c r="D525" s="177"/>
      <c r="E525" s="177"/>
      <c r="F525" s="177"/>
      <c r="G525" s="177"/>
    </row>
    <row r="526">
      <c r="A526" s="177"/>
      <c r="B526" s="177"/>
      <c r="C526" s="177"/>
      <c r="D526" s="177"/>
      <c r="E526" s="177"/>
      <c r="F526" s="177"/>
      <c r="G526" s="177"/>
    </row>
    <row r="527">
      <c r="A527" s="177"/>
      <c r="B527" s="177"/>
      <c r="C527" s="177"/>
      <c r="D527" s="177"/>
      <c r="E527" s="177"/>
      <c r="F527" s="177"/>
      <c r="G527" s="177"/>
    </row>
    <row r="528">
      <c r="A528" s="177"/>
      <c r="B528" s="177"/>
      <c r="C528" s="177"/>
      <c r="D528" s="177"/>
      <c r="E528" s="177"/>
      <c r="F528" s="177"/>
      <c r="G528" s="177"/>
    </row>
    <row r="529">
      <c r="A529" s="177"/>
      <c r="B529" s="177"/>
      <c r="C529" s="177"/>
      <c r="D529" s="177"/>
      <c r="E529" s="177"/>
      <c r="F529" s="177"/>
      <c r="G529" s="177"/>
    </row>
    <row r="530">
      <c r="A530" s="177"/>
      <c r="B530" s="177"/>
      <c r="C530" s="177"/>
      <c r="D530" s="177"/>
      <c r="E530" s="177"/>
      <c r="F530" s="177"/>
      <c r="G530" s="177"/>
    </row>
    <row r="531">
      <c r="A531" s="177"/>
      <c r="B531" s="177"/>
      <c r="C531" s="177"/>
      <c r="D531" s="177"/>
      <c r="E531" s="177"/>
      <c r="F531" s="177"/>
      <c r="G531" s="177"/>
    </row>
    <row r="532">
      <c r="A532" s="177"/>
      <c r="B532" s="177"/>
      <c r="C532" s="177"/>
      <c r="D532" s="177"/>
      <c r="E532" s="177"/>
      <c r="F532" s="177"/>
      <c r="G532" s="177"/>
    </row>
    <row r="533">
      <c r="A533" s="177"/>
      <c r="B533" s="177"/>
      <c r="C533" s="177"/>
      <c r="D533" s="177"/>
      <c r="E533" s="177"/>
      <c r="F533" s="177"/>
      <c r="G533" s="177"/>
    </row>
    <row r="534">
      <c r="A534" s="177"/>
      <c r="B534" s="177"/>
      <c r="C534" s="177"/>
      <c r="D534" s="177"/>
      <c r="E534" s="177"/>
      <c r="F534" s="177"/>
      <c r="G534" s="177"/>
    </row>
    <row r="535">
      <c r="A535" s="177"/>
      <c r="B535" s="177"/>
      <c r="C535" s="177"/>
      <c r="D535" s="177"/>
      <c r="E535" s="177"/>
      <c r="F535" s="177"/>
      <c r="G535" s="177"/>
    </row>
    <row r="536">
      <c r="A536" s="177"/>
      <c r="B536" s="177"/>
      <c r="C536" s="177"/>
      <c r="D536" s="177"/>
      <c r="E536" s="177"/>
      <c r="F536" s="177"/>
      <c r="G536" s="177"/>
    </row>
    <row r="537">
      <c r="A537" s="177"/>
      <c r="B537" s="177"/>
      <c r="C537" s="177"/>
      <c r="D537" s="177"/>
      <c r="E537" s="177"/>
      <c r="F537" s="177"/>
      <c r="G537" s="177"/>
    </row>
    <row r="538">
      <c r="A538" s="177"/>
      <c r="B538" s="177"/>
      <c r="C538" s="177"/>
      <c r="D538" s="177"/>
      <c r="E538" s="177"/>
      <c r="F538" s="177"/>
      <c r="G538" s="177"/>
    </row>
    <row r="539">
      <c r="A539" s="177"/>
      <c r="B539" s="177"/>
      <c r="C539" s="177"/>
      <c r="D539" s="177"/>
      <c r="E539" s="177"/>
      <c r="F539" s="177"/>
      <c r="G539" s="177"/>
    </row>
    <row r="540">
      <c r="A540" s="177"/>
      <c r="B540" s="177"/>
      <c r="C540" s="177"/>
      <c r="D540" s="177"/>
      <c r="E540" s="177"/>
      <c r="F540" s="177"/>
      <c r="G540" s="177"/>
    </row>
    <row r="541">
      <c r="A541" s="177"/>
      <c r="B541" s="177"/>
      <c r="C541" s="177"/>
      <c r="D541" s="177"/>
      <c r="E541" s="177"/>
      <c r="F541" s="177"/>
      <c r="G541" s="177"/>
    </row>
    <row r="542">
      <c r="A542" s="177"/>
      <c r="B542" s="177"/>
      <c r="C542" s="177"/>
      <c r="D542" s="177"/>
      <c r="E542" s="177"/>
      <c r="F542" s="177"/>
      <c r="G542" s="177"/>
    </row>
    <row r="543">
      <c r="A543" s="177"/>
      <c r="B543" s="177"/>
      <c r="C543" s="177"/>
      <c r="D543" s="177"/>
      <c r="E543" s="177"/>
      <c r="F543" s="177"/>
      <c r="G543" s="177"/>
    </row>
    <row r="544">
      <c r="A544" s="177"/>
      <c r="B544" s="177"/>
      <c r="C544" s="177"/>
      <c r="D544" s="177"/>
      <c r="E544" s="177"/>
      <c r="F544" s="177"/>
      <c r="G544" s="177"/>
    </row>
    <row r="545">
      <c r="A545" s="177"/>
      <c r="B545" s="177"/>
      <c r="C545" s="177"/>
      <c r="D545" s="177"/>
      <c r="E545" s="177"/>
      <c r="F545" s="177"/>
      <c r="G545" s="177"/>
    </row>
    <row r="546">
      <c r="A546" s="177"/>
      <c r="B546" s="177"/>
      <c r="C546" s="177"/>
      <c r="D546" s="177"/>
      <c r="E546" s="177"/>
      <c r="F546" s="177"/>
      <c r="G546" s="177"/>
    </row>
    <row r="547">
      <c r="A547" s="177"/>
      <c r="B547" s="177"/>
      <c r="C547" s="177"/>
      <c r="D547" s="177"/>
      <c r="E547" s="177"/>
      <c r="F547" s="177"/>
      <c r="G547" s="177"/>
    </row>
    <row r="548">
      <c r="A548" s="177"/>
      <c r="B548" s="177"/>
      <c r="C548" s="177"/>
      <c r="D548" s="177"/>
      <c r="E548" s="177"/>
      <c r="F548" s="177"/>
      <c r="G548" s="177"/>
    </row>
    <row r="549">
      <c r="A549" s="177"/>
      <c r="B549" s="177"/>
      <c r="C549" s="177"/>
      <c r="D549" s="177"/>
      <c r="E549" s="177"/>
      <c r="F549" s="177"/>
      <c r="G549" s="177"/>
    </row>
    <row r="550">
      <c r="A550" s="177"/>
      <c r="B550" s="177"/>
      <c r="C550" s="177"/>
      <c r="D550" s="177"/>
      <c r="E550" s="177"/>
      <c r="F550" s="177"/>
      <c r="G550" s="177"/>
    </row>
    <row r="551">
      <c r="A551" s="177"/>
      <c r="B551" s="177"/>
      <c r="C551" s="177"/>
      <c r="D551" s="177"/>
      <c r="E551" s="177"/>
      <c r="F551" s="177"/>
      <c r="G551" s="177"/>
    </row>
    <row r="552">
      <c r="A552" s="177"/>
      <c r="B552" s="177"/>
      <c r="C552" s="177"/>
      <c r="D552" s="177"/>
      <c r="E552" s="177"/>
      <c r="F552" s="177"/>
      <c r="G552" s="177"/>
    </row>
    <row r="553">
      <c r="A553" s="177"/>
      <c r="B553" s="177"/>
      <c r="C553" s="177"/>
      <c r="D553" s="177"/>
      <c r="E553" s="177"/>
      <c r="F553" s="177"/>
      <c r="G553" s="177"/>
    </row>
    <row r="554">
      <c r="A554" s="177"/>
      <c r="B554" s="177"/>
      <c r="C554" s="177"/>
      <c r="D554" s="177"/>
      <c r="E554" s="177"/>
      <c r="F554" s="177"/>
      <c r="G554" s="177"/>
    </row>
    <row r="555">
      <c r="A555" s="177"/>
      <c r="B555" s="177"/>
      <c r="C555" s="177"/>
      <c r="D555" s="177"/>
      <c r="E555" s="177"/>
      <c r="F555" s="177"/>
      <c r="G555" s="177"/>
    </row>
    <row r="556">
      <c r="A556" s="177"/>
      <c r="B556" s="177"/>
      <c r="C556" s="177"/>
      <c r="D556" s="177"/>
      <c r="E556" s="177"/>
      <c r="F556" s="177"/>
      <c r="G556" s="177"/>
    </row>
    <row r="557">
      <c r="A557" s="177"/>
      <c r="B557" s="177"/>
      <c r="C557" s="177"/>
      <c r="D557" s="177"/>
      <c r="E557" s="177"/>
      <c r="F557" s="177"/>
      <c r="G557" s="177"/>
    </row>
    <row r="558">
      <c r="A558" s="177"/>
      <c r="B558" s="177"/>
      <c r="C558" s="177"/>
      <c r="D558" s="177"/>
      <c r="E558" s="177"/>
      <c r="F558" s="177"/>
      <c r="G558" s="177"/>
    </row>
    <row r="559">
      <c r="A559" s="177"/>
      <c r="B559" s="177"/>
      <c r="C559" s="177"/>
      <c r="D559" s="177"/>
      <c r="E559" s="177"/>
      <c r="F559" s="177"/>
      <c r="G559" s="177"/>
    </row>
    <row r="560">
      <c r="A560" s="177"/>
      <c r="B560" s="177"/>
      <c r="C560" s="177"/>
      <c r="D560" s="177"/>
      <c r="E560" s="177"/>
      <c r="F560" s="177"/>
      <c r="G560" s="177"/>
    </row>
    <row r="561">
      <c r="A561" s="177"/>
      <c r="B561" s="177"/>
      <c r="C561" s="177"/>
      <c r="D561" s="177"/>
      <c r="E561" s="177"/>
      <c r="F561" s="177"/>
      <c r="G561" s="177"/>
    </row>
    <row r="562">
      <c r="A562" s="177"/>
      <c r="B562" s="177"/>
      <c r="C562" s="177"/>
      <c r="D562" s="177"/>
      <c r="E562" s="177"/>
      <c r="F562" s="177"/>
      <c r="G562" s="177"/>
    </row>
    <row r="563">
      <c r="A563" s="177"/>
      <c r="B563" s="177"/>
      <c r="C563" s="177"/>
      <c r="D563" s="177"/>
      <c r="E563" s="177"/>
      <c r="F563" s="177"/>
      <c r="G563" s="177"/>
    </row>
    <row r="564">
      <c r="A564" s="177"/>
      <c r="B564" s="177"/>
      <c r="C564" s="177"/>
      <c r="D564" s="177"/>
      <c r="E564" s="177"/>
      <c r="F564" s="177"/>
      <c r="G564" s="177"/>
    </row>
    <row r="565">
      <c r="A565" s="177"/>
      <c r="B565" s="177"/>
      <c r="C565" s="177"/>
      <c r="D565" s="177"/>
      <c r="E565" s="177"/>
      <c r="F565" s="177"/>
      <c r="G565" s="177"/>
    </row>
    <row r="566">
      <c r="A566" s="177"/>
      <c r="B566" s="177"/>
      <c r="C566" s="177"/>
      <c r="D566" s="177"/>
      <c r="E566" s="177"/>
      <c r="F566" s="177"/>
      <c r="G566" s="177"/>
    </row>
    <row r="567">
      <c r="A567" s="177"/>
      <c r="B567" s="177"/>
      <c r="C567" s="177"/>
      <c r="D567" s="177"/>
      <c r="E567" s="177"/>
      <c r="F567" s="177"/>
      <c r="G567" s="177"/>
    </row>
    <row r="568">
      <c r="A568" s="177"/>
      <c r="B568" s="177"/>
      <c r="C568" s="177"/>
      <c r="D568" s="177"/>
      <c r="E568" s="177"/>
      <c r="F568" s="177"/>
      <c r="G568" s="177"/>
    </row>
    <row r="569">
      <c r="A569" s="177"/>
      <c r="B569" s="177"/>
      <c r="C569" s="177"/>
      <c r="D569" s="177"/>
      <c r="E569" s="177"/>
      <c r="F569" s="177"/>
      <c r="G569" s="177"/>
    </row>
    <row r="570">
      <c r="A570" s="177"/>
      <c r="B570" s="177"/>
      <c r="C570" s="177"/>
      <c r="D570" s="177"/>
      <c r="E570" s="177"/>
      <c r="F570" s="177"/>
      <c r="G570" s="177"/>
    </row>
    <row r="571">
      <c r="A571" s="177"/>
      <c r="B571" s="177"/>
      <c r="C571" s="177"/>
      <c r="D571" s="177"/>
      <c r="E571" s="177"/>
      <c r="F571" s="177"/>
      <c r="G571" s="177"/>
    </row>
    <row r="572">
      <c r="A572" s="177"/>
      <c r="B572" s="177"/>
      <c r="C572" s="177"/>
      <c r="D572" s="177"/>
      <c r="E572" s="177"/>
      <c r="F572" s="177"/>
      <c r="G572" s="177"/>
    </row>
    <row r="573">
      <c r="A573" s="177"/>
      <c r="B573" s="177"/>
      <c r="C573" s="177"/>
      <c r="D573" s="177"/>
      <c r="E573" s="177"/>
      <c r="F573" s="177"/>
      <c r="G573" s="177"/>
    </row>
    <row r="574">
      <c r="A574" s="177"/>
      <c r="B574" s="177"/>
      <c r="C574" s="177"/>
      <c r="D574" s="177"/>
      <c r="E574" s="177"/>
      <c r="F574" s="177"/>
      <c r="G574" s="177"/>
    </row>
    <row r="575">
      <c r="A575" s="177"/>
      <c r="B575" s="177"/>
      <c r="C575" s="177"/>
      <c r="D575" s="177"/>
      <c r="E575" s="177"/>
      <c r="F575" s="177"/>
      <c r="G575" s="177"/>
    </row>
    <row r="576">
      <c r="A576" s="177"/>
      <c r="B576" s="177"/>
      <c r="C576" s="177"/>
      <c r="D576" s="177"/>
      <c r="E576" s="177"/>
      <c r="F576" s="177"/>
      <c r="G576" s="177"/>
    </row>
    <row r="577">
      <c r="A577" s="177"/>
      <c r="B577" s="177"/>
      <c r="C577" s="177"/>
      <c r="D577" s="177"/>
      <c r="E577" s="177"/>
      <c r="F577" s="177"/>
      <c r="G577" s="177"/>
    </row>
    <row r="578">
      <c r="A578" s="177"/>
      <c r="B578" s="177"/>
      <c r="C578" s="177"/>
      <c r="D578" s="177"/>
      <c r="E578" s="177"/>
      <c r="F578" s="177"/>
      <c r="G578" s="177"/>
    </row>
    <row r="579">
      <c r="A579" s="177"/>
      <c r="B579" s="177"/>
      <c r="C579" s="177"/>
      <c r="D579" s="177"/>
      <c r="E579" s="177"/>
      <c r="F579" s="177"/>
      <c r="G579" s="177"/>
    </row>
    <row r="580">
      <c r="A580" s="177"/>
      <c r="B580" s="177"/>
      <c r="C580" s="177"/>
      <c r="D580" s="177"/>
      <c r="E580" s="177"/>
      <c r="F580" s="177"/>
      <c r="G580" s="177"/>
    </row>
    <row r="581">
      <c r="A581" s="177"/>
      <c r="B581" s="177"/>
      <c r="C581" s="177"/>
      <c r="D581" s="177"/>
      <c r="E581" s="177"/>
      <c r="F581" s="177"/>
      <c r="G581" s="177"/>
    </row>
    <row r="582">
      <c r="A582" s="177"/>
      <c r="B582" s="177"/>
      <c r="C582" s="177"/>
      <c r="D582" s="177"/>
      <c r="E582" s="177"/>
      <c r="F582" s="177"/>
      <c r="G582" s="177"/>
    </row>
    <row r="583">
      <c r="A583" s="177"/>
      <c r="B583" s="177"/>
      <c r="C583" s="177"/>
      <c r="D583" s="177"/>
      <c r="E583" s="177"/>
      <c r="F583" s="177"/>
      <c r="G583" s="177"/>
    </row>
    <row r="584">
      <c r="A584" s="177"/>
      <c r="B584" s="177"/>
      <c r="C584" s="177"/>
      <c r="D584" s="177"/>
      <c r="E584" s="177"/>
      <c r="F584" s="177"/>
      <c r="G584" s="177"/>
    </row>
    <row r="585">
      <c r="A585" s="177"/>
      <c r="B585" s="177"/>
      <c r="C585" s="177"/>
      <c r="D585" s="177"/>
      <c r="E585" s="177"/>
      <c r="F585" s="177"/>
      <c r="G585" s="177"/>
    </row>
    <row r="586">
      <c r="A586" s="177"/>
      <c r="B586" s="177"/>
      <c r="C586" s="177"/>
      <c r="D586" s="177"/>
      <c r="E586" s="177"/>
      <c r="F586" s="177"/>
      <c r="G586" s="177"/>
    </row>
    <row r="587">
      <c r="A587" s="177"/>
      <c r="B587" s="177"/>
      <c r="C587" s="177"/>
      <c r="D587" s="177"/>
      <c r="E587" s="177"/>
      <c r="F587" s="177"/>
      <c r="G587" s="177"/>
    </row>
    <row r="588">
      <c r="A588" s="177"/>
      <c r="B588" s="177"/>
      <c r="C588" s="177"/>
      <c r="D588" s="177"/>
      <c r="E588" s="177"/>
      <c r="F588" s="177"/>
      <c r="G588" s="177"/>
    </row>
    <row r="589">
      <c r="A589" s="177"/>
      <c r="B589" s="177"/>
      <c r="C589" s="177"/>
      <c r="D589" s="177"/>
      <c r="E589" s="177"/>
      <c r="F589" s="177"/>
      <c r="G589" s="177"/>
    </row>
    <row r="590">
      <c r="A590" s="177"/>
      <c r="B590" s="177"/>
      <c r="C590" s="177"/>
      <c r="D590" s="177"/>
      <c r="E590" s="177"/>
      <c r="F590" s="177"/>
      <c r="G590" s="177"/>
    </row>
    <row r="591">
      <c r="A591" s="177"/>
      <c r="B591" s="177"/>
      <c r="C591" s="177"/>
      <c r="D591" s="177"/>
      <c r="E591" s="177"/>
      <c r="F591" s="177"/>
      <c r="G591" s="177"/>
    </row>
    <row r="592">
      <c r="A592" s="177"/>
      <c r="B592" s="177"/>
      <c r="C592" s="177"/>
      <c r="D592" s="177"/>
      <c r="E592" s="177"/>
      <c r="F592" s="177"/>
      <c r="G592" s="177"/>
    </row>
    <row r="593">
      <c r="A593" s="177"/>
      <c r="B593" s="177"/>
      <c r="C593" s="177"/>
      <c r="D593" s="177"/>
      <c r="E593" s="177"/>
      <c r="F593" s="177"/>
      <c r="G593" s="177"/>
    </row>
    <row r="594">
      <c r="A594" s="177"/>
      <c r="B594" s="177"/>
      <c r="C594" s="177"/>
      <c r="D594" s="177"/>
      <c r="E594" s="177"/>
      <c r="F594" s="177"/>
      <c r="G594" s="177"/>
    </row>
    <row r="595">
      <c r="A595" s="177"/>
      <c r="B595" s="177"/>
      <c r="C595" s="177"/>
      <c r="D595" s="177"/>
      <c r="E595" s="177"/>
      <c r="F595" s="177"/>
      <c r="G595" s="177"/>
    </row>
    <row r="596">
      <c r="A596" s="177"/>
      <c r="B596" s="177"/>
      <c r="C596" s="177"/>
      <c r="D596" s="177"/>
      <c r="E596" s="177"/>
      <c r="F596" s="177"/>
      <c r="G596" s="177"/>
    </row>
    <row r="597">
      <c r="A597" s="177"/>
      <c r="B597" s="177"/>
      <c r="C597" s="177"/>
      <c r="D597" s="177"/>
      <c r="E597" s="177"/>
      <c r="F597" s="177"/>
      <c r="G597" s="177"/>
    </row>
    <row r="598">
      <c r="A598" s="177"/>
      <c r="B598" s="177"/>
      <c r="C598" s="177"/>
      <c r="D598" s="177"/>
      <c r="E598" s="177"/>
      <c r="F598" s="177"/>
      <c r="G598" s="177"/>
    </row>
    <row r="599">
      <c r="A599" s="177"/>
      <c r="B599" s="177"/>
      <c r="C599" s="177"/>
      <c r="D599" s="177"/>
      <c r="E599" s="177"/>
      <c r="F599" s="177"/>
      <c r="G599" s="177"/>
    </row>
    <row r="600">
      <c r="A600" s="177"/>
      <c r="B600" s="177"/>
      <c r="C600" s="177"/>
      <c r="D600" s="177"/>
      <c r="E600" s="177"/>
      <c r="F600" s="177"/>
      <c r="G600" s="177"/>
    </row>
    <row r="601">
      <c r="A601" s="177"/>
      <c r="B601" s="177"/>
      <c r="C601" s="177"/>
      <c r="D601" s="177"/>
      <c r="E601" s="177"/>
      <c r="F601" s="177"/>
      <c r="G601" s="177"/>
    </row>
    <row r="602">
      <c r="A602" s="177"/>
      <c r="B602" s="177"/>
      <c r="C602" s="177"/>
      <c r="D602" s="177"/>
      <c r="E602" s="177"/>
      <c r="F602" s="177"/>
      <c r="G602" s="177"/>
    </row>
    <row r="603">
      <c r="A603" s="177"/>
      <c r="B603" s="177"/>
      <c r="C603" s="177"/>
      <c r="D603" s="177"/>
      <c r="E603" s="177"/>
      <c r="F603" s="177"/>
      <c r="G603" s="177"/>
    </row>
    <row r="604">
      <c r="A604" s="177"/>
      <c r="B604" s="177"/>
      <c r="C604" s="177"/>
      <c r="D604" s="177"/>
      <c r="E604" s="177"/>
      <c r="F604" s="177"/>
      <c r="G604" s="177"/>
    </row>
    <row r="605">
      <c r="A605" s="177"/>
      <c r="B605" s="177"/>
      <c r="C605" s="177"/>
      <c r="D605" s="177"/>
      <c r="E605" s="177"/>
      <c r="F605" s="177"/>
      <c r="G605" s="177"/>
    </row>
    <row r="606">
      <c r="A606" s="177"/>
      <c r="B606" s="177"/>
      <c r="C606" s="177"/>
      <c r="D606" s="177"/>
      <c r="E606" s="177"/>
      <c r="F606" s="177"/>
      <c r="G606" s="177"/>
    </row>
    <row r="607">
      <c r="A607" s="177"/>
      <c r="B607" s="177"/>
      <c r="C607" s="177"/>
      <c r="D607" s="177"/>
      <c r="E607" s="177"/>
      <c r="F607" s="177"/>
      <c r="G607" s="177"/>
    </row>
    <row r="608">
      <c r="A608" s="177"/>
      <c r="B608" s="177"/>
      <c r="C608" s="177"/>
      <c r="D608" s="177"/>
      <c r="E608" s="177"/>
      <c r="F608" s="177"/>
      <c r="G608" s="177"/>
    </row>
    <row r="609">
      <c r="A609" s="177"/>
      <c r="B609" s="177"/>
      <c r="C609" s="177"/>
      <c r="D609" s="177"/>
      <c r="E609" s="177"/>
      <c r="F609" s="177"/>
      <c r="G609" s="177"/>
    </row>
    <row r="610">
      <c r="A610" s="177"/>
      <c r="B610" s="177"/>
      <c r="C610" s="177"/>
      <c r="D610" s="177"/>
      <c r="E610" s="177"/>
      <c r="F610" s="177"/>
      <c r="G610" s="177"/>
    </row>
    <row r="611">
      <c r="A611" s="177"/>
      <c r="B611" s="177"/>
      <c r="C611" s="177"/>
      <c r="D611" s="177"/>
      <c r="E611" s="177"/>
      <c r="F611" s="177"/>
      <c r="G611" s="177"/>
    </row>
    <row r="612">
      <c r="A612" s="177"/>
      <c r="B612" s="177"/>
      <c r="C612" s="177"/>
      <c r="D612" s="177"/>
      <c r="E612" s="177"/>
      <c r="F612" s="177"/>
      <c r="G612" s="177"/>
    </row>
    <row r="613">
      <c r="A613" s="177"/>
      <c r="B613" s="177"/>
      <c r="C613" s="177"/>
      <c r="D613" s="177"/>
      <c r="E613" s="177"/>
      <c r="F613" s="177"/>
      <c r="G613" s="177"/>
    </row>
    <row r="614">
      <c r="A614" s="177"/>
      <c r="B614" s="177"/>
      <c r="C614" s="177"/>
      <c r="D614" s="177"/>
      <c r="E614" s="177"/>
      <c r="F614" s="177"/>
      <c r="G614" s="177"/>
    </row>
    <row r="615">
      <c r="A615" s="177"/>
      <c r="B615" s="177"/>
      <c r="C615" s="177"/>
      <c r="D615" s="177"/>
      <c r="E615" s="177"/>
      <c r="F615" s="177"/>
      <c r="G615" s="177"/>
    </row>
    <row r="616">
      <c r="A616" s="177"/>
      <c r="B616" s="177"/>
      <c r="C616" s="177"/>
      <c r="D616" s="177"/>
      <c r="E616" s="177"/>
      <c r="F616" s="177"/>
      <c r="G616" s="177"/>
    </row>
    <row r="617">
      <c r="A617" s="177"/>
      <c r="B617" s="177"/>
      <c r="C617" s="177"/>
      <c r="D617" s="177"/>
      <c r="E617" s="177"/>
      <c r="F617" s="177"/>
      <c r="G617" s="177"/>
    </row>
    <row r="618">
      <c r="A618" s="177"/>
      <c r="B618" s="177"/>
      <c r="C618" s="177"/>
      <c r="D618" s="177"/>
      <c r="E618" s="177"/>
      <c r="F618" s="177"/>
      <c r="G618" s="177"/>
    </row>
    <row r="619">
      <c r="A619" s="177"/>
      <c r="B619" s="177"/>
      <c r="C619" s="177"/>
      <c r="D619" s="177"/>
      <c r="E619" s="177"/>
      <c r="F619" s="177"/>
      <c r="G619" s="177"/>
    </row>
    <row r="620">
      <c r="A620" s="177"/>
      <c r="B620" s="177"/>
      <c r="C620" s="177"/>
      <c r="D620" s="177"/>
      <c r="E620" s="177"/>
      <c r="F620" s="177"/>
      <c r="G620" s="177"/>
    </row>
    <row r="621">
      <c r="A621" s="177"/>
      <c r="B621" s="177"/>
      <c r="C621" s="177"/>
      <c r="D621" s="177"/>
      <c r="E621" s="177"/>
      <c r="F621" s="177"/>
      <c r="G621" s="177"/>
    </row>
    <row r="622">
      <c r="A622" s="177"/>
      <c r="B622" s="177"/>
      <c r="C622" s="177"/>
      <c r="D622" s="177"/>
      <c r="E622" s="177"/>
      <c r="F622" s="177"/>
      <c r="G622" s="177"/>
    </row>
    <row r="623">
      <c r="A623" s="177"/>
      <c r="B623" s="177"/>
      <c r="C623" s="177"/>
      <c r="D623" s="177"/>
      <c r="E623" s="177"/>
      <c r="F623" s="177"/>
      <c r="G623" s="177"/>
    </row>
    <row r="624">
      <c r="A624" s="177"/>
      <c r="B624" s="177"/>
      <c r="C624" s="177"/>
      <c r="D624" s="177"/>
      <c r="E624" s="177"/>
      <c r="F624" s="177"/>
      <c r="G624" s="177"/>
    </row>
    <row r="625">
      <c r="A625" s="177"/>
      <c r="B625" s="177"/>
      <c r="C625" s="177"/>
      <c r="D625" s="177"/>
      <c r="E625" s="177"/>
      <c r="F625" s="177"/>
      <c r="G625" s="177"/>
    </row>
    <row r="626">
      <c r="A626" s="177"/>
      <c r="B626" s="177"/>
      <c r="C626" s="177"/>
      <c r="D626" s="177"/>
      <c r="E626" s="177"/>
      <c r="F626" s="177"/>
      <c r="G626" s="177"/>
    </row>
    <row r="627">
      <c r="A627" s="177"/>
      <c r="B627" s="177"/>
      <c r="C627" s="177"/>
      <c r="D627" s="177"/>
      <c r="E627" s="177"/>
      <c r="F627" s="177"/>
      <c r="G627" s="177"/>
    </row>
    <row r="628">
      <c r="A628" s="177"/>
      <c r="B628" s="177"/>
      <c r="C628" s="177"/>
      <c r="D628" s="177"/>
      <c r="E628" s="177"/>
      <c r="F628" s="177"/>
      <c r="G628" s="177"/>
    </row>
    <row r="629">
      <c r="A629" s="177"/>
      <c r="B629" s="177"/>
      <c r="C629" s="177"/>
      <c r="D629" s="177"/>
      <c r="E629" s="177"/>
      <c r="F629" s="177"/>
      <c r="G629" s="177"/>
    </row>
    <row r="630">
      <c r="A630" s="177"/>
      <c r="B630" s="177"/>
      <c r="C630" s="177"/>
      <c r="D630" s="177"/>
      <c r="E630" s="177"/>
      <c r="F630" s="177"/>
      <c r="G630" s="177"/>
    </row>
    <row r="631">
      <c r="A631" s="177"/>
      <c r="B631" s="177"/>
      <c r="C631" s="177"/>
      <c r="D631" s="177"/>
      <c r="E631" s="177"/>
      <c r="F631" s="177"/>
      <c r="G631" s="177"/>
    </row>
    <row r="632">
      <c r="A632" s="177"/>
      <c r="B632" s="177"/>
      <c r="C632" s="177"/>
      <c r="D632" s="177"/>
      <c r="E632" s="177"/>
      <c r="F632" s="177"/>
      <c r="G632" s="177"/>
    </row>
    <row r="633">
      <c r="A633" s="177"/>
      <c r="B633" s="177"/>
      <c r="C633" s="177"/>
      <c r="D633" s="177"/>
      <c r="E633" s="177"/>
      <c r="F633" s="177"/>
      <c r="G633" s="177"/>
    </row>
    <row r="634">
      <c r="A634" s="177"/>
      <c r="B634" s="177"/>
      <c r="C634" s="177"/>
      <c r="D634" s="177"/>
      <c r="E634" s="177"/>
      <c r="F634" s="177"/>
      <c r="G634" s="177"/>
    </row>
    <row r="635">
      <c r="A635" s="177"/>
      <c r="B635" s="177"/>
      <c r="C635" s="177"/>
      <c r="D635" s="177"/>
      <c r="E635" s="177"/>
      <c r="F635" s="177"/>
      <c r="G635" s="177"/>
    </row>
    <row r="636">
      <c r="A636" s="177"/>
      <c r="B636" s="177"/>
      <c r="C636" s="177"/>
      <c r="D636" s="177"/>
      <c r="E636" s="177"/>
      <c r="F636" s="177"/>
      <c r="G636" s="177"/>
    </row>
    <row r="637">
      <c r="A637" s="177"/>
      <c r="B637" s="177"/>
      <c r="C637" s="177"/>
      <c r="D637" s="177"/>
      <c r="E637" s="177"/>
      <c r="F637" s="177"/>
      <c r="G637" s="177"/>
    </row>
    <row r="638">
      <c r="A638" s="177"/>
      <c r="B638" s="177"/>
      <c r="C638" s="177"/>
      <c r="D638" s="177"/>
      <c r="E638" s="177"/>
      <c r="F638" s="177"/>
      <c r="G638" s="177"/>
    </row>
    <row r="639">
      <c r="A639" s="177"/>
      <c r="B639" s="177"/>
      <c r="C639" s="177"/>
      <c r="D639" s="177"/>
      <c r="E639" s="177"/>
      <c r="F639" s="177"/>
      <c r="G639" s="177"/>
    </row>
    <row r="640">
      <c r="A640" s="177"/>
      <c r="B640" s="177"/>
      <c r="C640" s="177"/>
      <c r="D640" s="177"/>
      <c r="E640" s="177"/>
      <c r="F640" s="177"/>
      <c r="G640" s="177"/>
    </row>
    <row r="641">
      <c r="A641" s="177"/>
      <c r="B641" s="177"/>
      <c r="C641" s="177"/>
      <c r="D641" s="177"/>
      <c r="E641" s="177"/>
      <c r="F641" s="177"/>
      <c r="G641" s="177"/>
    </row>
    <row r="642">
      <c r="A642" s="177"/>
      <c r="B642" s="177"/>
      <c r="C642" s="177"/>
      <c r="D642" s="177"/>
      <c r="E642" s="177"/>
      <c r="F642" s="177"/>
      <c r="G642" s="177"/>
    </row>
    <row r="643">
      <c r="A643" s="177"/>
      <c r="B643" s="177"/>
      <c r="C643" s="177"/>
      <c r="D643" s="177"/>
      <c r="E643" s="177"/>
      <c r="F643" s="177"/>
      <c r="G643" s="177"/>
    </row>
    <row r="644">
      <c r="A644" s="177"/>
      <c r="B644" s="177"/>
      <c r="C644" s="177"/>
      <c r="D644" s="177"/>
      <c r="E644" s="177"/>
      <c r="F644" s="177"/>
      <c r="G644" s="177"/>
    </row>
    <row r="645">
      <c r="A645" s="177"/>
      <c r="B645" s="177"/>
      <c r="C645" s="177"/>
      <c r="D645" s="177"/>
      <c r="E645" s="177"/>
      <c r="F645" s="177"/>
      <c r="G645" s="177"/>
    </row>
    <row r="646">
      <c r="A646" s="177"/>
      <c r="B646" s="177"/>
      <c r="C646" s="177"/>
      <c r="D646" s="177"/>
      <c r="E646" s="177"/>
      <c r="F646" s="177"/>
      <c r="G646" s="177"/>
    </row>
    <row r="647">
      <c r="A647" s="177"/>
      <c r="B647" s="177"/>
      <c r="C647" s="177"/>
      <c r="D647" s="177"/>
      <c r="E647" s="177"/>
      <c r="F647" s="177"/>
      <c r="G647" s="177"/>
    </row>
    <row r="648">
      <c r="A648" s="177"/>
      <c r="B648" s="177"/>
      <c r="C648" s="177"/>
      <c r="D648" s="177"/>
      <c r="E648" s="177"/>
      <c r="F648" s="177"/>
      <c r="G648" s="177"/>
    </row>
    <row r="649">
      <c r="A649" s="177"/>
      <c r="B649" s="177"/>
      <c r="C649" s="177"/>
      <c r="D649" s="177"/>
      <c r="E649" s="177"/>
      <c r="F649" s="177"/>
      <c r="G649" s="177"/>
    </row>
    <row r="650">
      <c r="A650" s="177"/>
      <c r="B650" s="177"/>
      <c r="C650" s="177"/>
      <c r="D650" s="177"/>
      <c r="E650" s="177"/>
      <c r="F650" s="177"/>
      <c r="G650" s="177"/>
    </row>
    <row r="651">
      <c r="A651" s="177"/>
      <c r="B651" s="177"/>
      <c r="C651" s="177"/>
      <c r="D651" s="177"/>
      <c r="E651" s="177"/>
      <c r="F651" s="177"/>
      <c r="G651" s="177"/>
    </row>
    <row r="652">
      <c r="A652" s="177"/>
      <c r="B652" s="177"/>
      <c r="C652" s="177"/>
      <c r="D652" s="177"/>
      <c r="E652" s="177"/>
      <c r="F652" s="177"/>
      <c r="G652" s="177"/>
    </row>
    <row r="653">
      <c r="A653" s="177"/>
      <c r="B653" s="177"/>
      <c r="C653" s="177"/>
      <c r="D653" s="177"/>
      <c r="E653" s="177"/>
      <c r="F653" s="177"/>
      <c r="G653" s="177"/>
    </row>
    <row r="654">
      <c r="A654" s="177"/>
      <c r="B654" s="177"/>
      <c r="C654" s="177"/>
      <c r="D654" s="177"/>
      <c r="E654" s="177"/>
      <c r="F654" s="177"/>
      <c r="G654" s="177"/>
    </row>
    <row r="655">
      <c r="A655" s="177"/>
      <c r="B655" s="177"/>
      <c r="C655" s="177"/>
      <c r="D655" s="177"/>
      <c r="E655" s="177"/>
      <c r="F655" s="177"/>
      <c r="G655" s="177"/>
    </row>
    <row r="656">
      <c r="A656" s="177"/>
      <c r="B656" s="177"/>
      <c r="C656" s="177"/>
      <c r="D656" s="177"/>
      <c r="E656" s="177"/>
      <c r="F656" s="177"/>
      <c r="G656" s="177"/>
    </row>
    <row r="657">
      <c r="A657" s="177"/>
      <c r="B657" s="177"/>
      <c r="C657" s="177"/>
      <c r="D657" s="177"/>
      <c r="E657" s="177"/>
      <c r="F657" s="177"/>
      <c r="G657" s="177"/>
    </row>
    <row r="658">
      <c r="A658" s="177"/>
      <c r="B658" s="177"/>
      <c r="C658" s="177"/>
      <c r="D658" s="177"/>
      <c r="E658" s="177"/>
      <c r="F658" s="177"/>
      <c r="G658" s="177"/>
    </row>
    <row r="659">
      <c r="A659" s="177"/>
      <c r="B659" s="177"/>
      <c r="C659" s="177"/>
      <c r="D659" s="177"/>
      <c r="E659" s="177"/>
      <c r="F659" s="177"/>
      <c r="G659" s="177"/>
    </row>
    <row r="660">
      <c r="A660" s="177"/>
      <c r="B660" s="177"/>
      <c r="C660" s="177"/>
      <c r="D660" s="177"/>
      <c r="E660" s="177"/>
      <c r="F660" s="177"/>
      <c r="G660" s="177"/>
    </row>
    <row r="661">
      <c r="A661" s="177"/>
      <c r="B661" s="177"/>
      <c r="C661" s="177"/>
      <c r="D661" s="177"/>
      <c r="E661" s="177"/>
      <c r="F661" s="177"/>
      <c r="G661" s="177"/>
    </row>
    <row r="662">
      <c r="A662" s="177"/>
      <c r="B662" s="177"/>
      <c r="C662" s="177"/>
      <c r="D662" s="177"/>
      <c r="E662" s="177"/>
      <c r="F662" s="177"/>
      <c r="G662" s="177"/>
    </row>
    <row r="663">
      <c r="A663" s="177"/>
      <c r="B663" s="177"/>
      <c r="C663" s="177"/>
      <c r="D663" s="177"/>
      <c r="E663" s="177"/>
      <c r="F663" s="177"/>
      <c r="G663" s="177"/>
    </row>
    <row r="664">
      <c r="A664" s="177"/>
      <c r="B664" s="177"/>
      <c r="C664" s="177"/>
      <c r="D664" s="177"/>
      <c r="E664" s="177"/>
      <c r="F664" s="177"/>
      <c r="G664" s="177"/>
    </row>
    <row r="665">
      <c r="A665" s="177"/>
      <c r="B665" s="177"/>
      <c r="C665" s="177"/>
      <c r="D665" s="177"/>
      <c r="E665" s="177"/>
      <c r="F665" s="177"/>
      <c r="G665" s="177"/>
    </row>
    <row r="666">
      <c r="A666" s="177"/>
      <c r="B666" s="177"/>
      <c r="C666" s="177"/>
      <c r="D666" s="177"/>
      <c r="E666" s="177"/>
      <c r="F666" s="177"/>
      <c r="G666" s="177"/>
    </row>
    <row r="667">
      <c r="A667" s="177"/>
      <c r="B667" s="177"/>
      <c r="C667" s="177"/>
      <c r="D667" s="177"/>
      <c r="E667" s="177"/>
      <c r="F667" s="177"/>
      <c r="G667" s="177"/>
    </row>
    <row r="668">
      <c r="A668" s="177"/>
      <c r="B668" s="177"/>
      <c r="C668" s="177"/>
      <c r="D668" s="177"/>
      <c r="E668" s="177"/>
      <c r="F668" s="177"/>
      <c r="G668" s="177"/>
    </row>
    <row r="669">
      <c r="A669" s="177"/>
      <c r="B669" s="177"/>
      <c r="C669" s="177"/>
      <c r="D669" s="177"/>
      <c r="E669" s="177"/>
      <c r="F669" s="177"/>
      <c r="G669" s="177"/>
    </row>
    <row r="670">
      <c r="A670" s="177"/>
      <c r="B670" s="177"/>
      <c r="C670" s="177"/>
      <c r="D670" s="177"/>
      <c r="E670" s="177"/>
      <c r="F670" s="177"/>
      <c r="G670" s="177"/>
    </row>
    <row r="671">
      <c r="A671" s="177"/>
      <c r="B671" s="177"/>
      <c r="C671" s="177"/>
      <c r="D671" s="177"/>
      <c r="E671" s="177"/>
      <c r="F671" s="177"/>
      <c r="G671" s="177"/>
    </row>
    <row r="672">
      <c r="A672" s="177"/>
      <c r="B672" s="177"/>
      <c r="C672" s="177"/>
      <c r="D672" s="177"/>
      <c r="E672" s="177"/>
      <c r="F672" s="177"/>
      <c r="G672" s="177"/>
    </row>
    <row r="673">
      <c r="A673" s="177"/>
      <c r="B673" s="177"/>
      <c r="C673" s="177"/>
      <c r="D673" s="177"/>
      <c r="E673" s="177"/>
      <c r="F673" s="177"/>
      <c r="G673" s="177"/>
    </row>
    <row r="674">
      <c r="A674" s="177"/>
      <c r="B674" s="177"/>
      <c r="C674" s="177"/>
      <c r="D674" s="177"/>
      <c r="E674" s="177"/>
      <c r="F674" s="177"/>
      <c r="G674" s="177"/>
    </row>
    <row r="675">
      <c r="A675" s="177"/>
      <c r="B675" s="177"/>
      <c r="C675" s="177"/>
      <c r="D675" s="177"/>
      <c r="E675" s="177"/>
      <c r="F675" s="177"/>
      <c r="G675" s="177"/>
    </row>
    <row r="676">
      <c r="A676" s="177"/>
      <c r="B676" s="177"/>
      <c r="C676" s="177"/>
      <c r="D676" s="177"/>
      <c r="E676" s="177"/>
      <c r="F676" s="177"/>
      <c r="G676" s="177"/>
    </row>
    <row r="677">
      <c r="A677" s="177"/>
      <c r="B677" s="177"/>
      <c r="C677" s="177"/>
      <c r="D677" s="177"/>
      <c r="E677" s="177"/>
      <c r="F677" s="177"/>
      <c r="G677" s="177"/>
    </row>
    <row r="678">
      <c r="A678" s="177"/>
      <c r="B678" s="177"/>
      <c r="C678" s="177"/>
      <c r="D678" s="177"/>
      <c r="E678" s="177"/>
      <c r="F678" s="177"/>
      <c r="G678" s="177"/>
    </row>
    <row r="679">
      <c r="A679" s="177"/>
      <c r="B679" s="177"/>
      <c r="C679" s="177"/>
      <c r="D679" s="177"/>
      <c r="E679" s="177"/>
      <c r="F679" s="177"/>
      <c r="G679" s="177"/>
    </row>
    <row r="680">
      <c r="A680" s="177"/>
      <c r="B680" s="177"/>
      <c r="C680" s="177"/>
      <c r="D680" s="177"/>
      <c r="E680" s="177"/>
      <c r="F680" s="177"/>
      <c r="G680" s="177"/>
    </row>
    <row r="681">
      <c r="A681" s="177"/>
      <c r="B681" s="177"/>
      <c r="C681" s="177"/>
      <c r="D681" s="177"/>
      <c r="E681" s="177"/>
      <c r="F681" s="177"/>
      <c r="G681" s="177"/>
    </row>
    <row r="682">
      <c r="A682" s="177"/>
      <c r="B682" s="177"/>
      <c r="C682" s="177"/>
      <c r="D682" s="177"/>
      <c r="E682" s="177"/>
      <c r="F682" s="177"/>
      <c r="G682" s="177"/>
    </row>
    <row r="683">
      <c r="A683" s="177"/>
      <c r="B683" s="177"/>
      <c r="C683" s="177"/>
      <c r="D683" s="177"/>
      <c r="E683" s="177"/>
      <c r="F683" s="177"/>
      <c r="G683" s="177"/>
    </row>
    <row r="684">
      <c r="A684" s="177"/>
      <c r="B684" s="177"/>
      <c r="C684" s="177"/>
      <c r="D684" s="177"/>
      <c r="E684" s="177"/>
      <c r="F684" s="177"/>
      <c r="G684" s="177"/>
    </row>
    <row r="685">
      <c r="A685" s="177"/>
      <c r="B685" s="177"/>
      <c r="C685" s="177"/>
      <c r="D685" s="177"/>
      <c r="E685" s="177"/>
      <c r="F685" s="177"/>
      <c r="G685" s="177"/>
    </row>
    <row r="686">
      <c r="A686" s="177"/>
      <c r="B686" s="177"/>
      <c r="C686" s="177"/>
      <c r="D686" s="177"/>
      <c r="E686" s="177"/>
      <c r="F686" s="177"/>
      <c r="G686" s="177"/>
    </row>
    <row r="687">
      <c r="A687" s="177"/>
      <c r="B687" s="177"/>
      <c r="C687" s="177"/>
      <c r="D687" s="177"/>
      <c r="E687" s="177"/>
      <c r="F687" s="177"/>
      <c r="G687" s="177"/>
    </row>
    <row r="688">
      <c r="A688" s="177"/>
      <c r="B688" s="177"/>
      <c r="C688" s="177"/>
      <c r="D688" s="177"/>
      <c r="E688" s="177"/>
      <c r="F688" s="177"/>
      <c r="G688" s="177"/>
    </row>
    <row r="689">
      <c r="A689" s="177"/>
      <c r="B689" s="177"/>
      <c r="C689" s="177"/>
      <c r="D689" s="177"/>
      <c r="E689" s="177"/>
      <c r="F689" s="177"/>
      <c r="G689" s="177"/>
    </row>
    <row r="690">
      <c r="A690" s="177"/>
      <c r="B690" s="177"/>
      <c r="C690" s="177"/>
      <c r="D690" s="177"/>
      <c r="E690" s="177"/>
      <c r="F690" s="177"/>
      <c r="G690" s="177"/>
    </row>
    <row r="691">
      <c r="A691" s="177"/>
      <c r="B691" s="177"/>
      <c r="C691" s="177"/>
      <c r="D691" s="177"/>
      <c r="E691" s="177"/>
      <c r="F691" s="177"/>
      <c r="G691" s="177"/>
    </row>
    <row r="692">
      <c r="A692" s="177"/>
      <c r="B692" s="177"/>
      <c r="C692" s="177"/>
      <c r="D692" s="177"/>
      <c r="E692" s="177"/>
      <c r="F692" s="177"/>
      <c r="G692" s="177"/>
    </row>
    <row r="693">
      <c r="A693" s="177"/>
      <c r="B693" s="177"/>
      <c r="C693" s="177"/>
      <c r="D693" s="177"/>
      <c r="E693" s="177"/>
      <c r="F693" s="177"/>
      <c r="G693" s="177"/>
    </row>
    <row r="694">
      <c r="A694" s="177"/>
      <c r="B694" s="177"/>
      <c r="C694" s="177"/>
      <c r="D694" s="177"/>
      <c r="E694" s="177"/>
      <c r="F694" s="177"/>
      <c r="G694" s="177"/>
    </row>
    <row r="695">
      <c r="A695" s="177"/>
      <c r="B695" s="177"/>
      <c r="C695" s="177"/>
      <c r="D695" s="177"/>
      <c r="E695" s="177"/>
      <c r="F695" s="177"/>
      <c r="G695" s="177"/>
    </row>
    <row r="696">
      <c r="A696" s="177"/>
      <c r="B696" s="177"/>
      <c r="C696" s="177"/>
      <c r="D696" s="177"/>
      <c r="E696" s="177"/>
      <c r="F696" s="177"/>
      <c r="G696" s="177"/>
    </row>
    <row r="697">
      <c r="A697" s="177"/>
      <c r="B697" s="177"/>
      <c r="C697" s="177"/>
      <c r="D697" s="177"/>
      <c r="E697" s="177"/>
      <c r="F697" s="177"/>
      <c r="G697" s="177"/>
    </row>
    <row r="698">
      <c r="A698" s="177"/>
      <c r="B698" s="177"/>
      <c r="C698" s="177"/>
      <c r="D698" s="177"/>
      <c r="E698" s="177"/>
      <c r="F698" s="177"/>
      <c r="G698" s="177"/>
    </row>
    <row r="699">
      <c r="A699" s="177"/>
      <c r="B699" s="177"/>
      <c r="C699" s="177"/>
      <c r="D699" s="177"/>
      <c r="E699" s="177"/>
      <c r="F699" s="177"/>
      <c r="G699" s="177"/>
    </row>
    <row r="700">
      <c r="A700" s="177"/>
      <c r="B700" s="177"/>
      <c r="C700" s="177"/>
      <c r="D700" s="177"/>
      <c r="E700" s="177"/>
      <c r="F700" s="177"/>
      <c r="G700" s="177"/>
    </row>
    <row r="701">
      <c r="A701" s="177"/>
      <c r="B701" s="177"/>
      <c r="C701" s="177"/>
      <c r="D701" s="177"/>
      <c r="E701" s="177"/>
      <c r="F701" s="177"/>
      <c r="G701" s="177"/>
    </row>
    <row r="702">
      <c r="A702" s="177"/>
      <c r="B702" s="177"/>
      <c r="C702" s="177"/>
      <c r="D702" s="177"/>
      <c r="E702" s="177"/>
      <c r="F702" s="177"/>
      <c r="G702" s="177"/>
    </row>
    <row r="703">
      <c r="A703" s="177"/>
      <c r="B703" s="177"/>
      <c r="C703" s="177"/>
      <c r="D703" s="177"/>
      <c r="E703" s="177"/>
      <c r="F703" s="177"/>
      <c r="G703" s="177"/>
    </row>
    <row r="704">
      <c r="A704" s="177"/>
      <c r="B704" s="177"/>
      <c r="C704" s="177"/>
      <c r="D704" s="177"/>
      <c r="E704" s="177"/>
      <c r="F704" s="177"/>
      <c r="G704" s="177"/>
    </row>
    <row r="705">
      <c r="A705" s="177"/>
      <c r="B705" s="177"/>
      <c r="C705" s="177"/>
      <c r="D705" s="177"/>
      <c r="E705" s="177"/>
      <c r="F705" s="177"/>
      <c r="G705" s="177"/>
    </row>
    <row r="706">
      <c r="A706" s="177"/>
      <c r="B706" s="177"/>
      <c r="C706" s="177"/>
      <c r="D706" s="177"/>
      <c r="E706" s="177"/>
      <c r="F706" s="177"/>
      <c r="G706" s="177"/>
    </row>
    <row r="707">
      <c r="A707" s="177"/>
      <c r="B707" s="177"/>
      <c r="C707" s="177"/>
      <c r="D707" s="177"/>
      <c r="E707" s="177"/>
      <c r="F707" s="177"/>
      <c r="G707" s="177"/>
    </row>
    <row r="708">
      <c r="A708" s="177"/>
      <c r="B708" s="177"/>
      <c r="C708" s="177"/>
      <c r="D708" s="177"/>
      <c r="E708" s="177"/>
      <c r="F708" s="177"/>
      <c r="G708" s="177"/>
    </row>
    <row r="709">
      <c r="A709" s="177"/>
      <c r="B709" s="177"/>
      <c r="C709" s="177"/>
      <c r="D709" s="177"/>
      <c r="E709" s="177"/>
      <c r="F709" s="177"/>
      <c r="G709" s="177"/>
    </row>
    <row r="710">
      <c r="A710" s="177"/>
      <c r="B710" s="177"/>
      <c r="C710" s="177"/>
      <c r="D710" s="177"/>
      <c r="E710" s="177"/>
      <c r="F710" s="177"/>
      <c r="G710" s="177"/>
    </row>
    <row r="711">
      <c r="A711" s="177"/>
      <c r="B711" s="177"/>
      <c r="C711" s="177"/>
      <c r="D711" s="177"/>
      <c r="E711" s="177"/>
      <c r="F711" s="177"/>
      <c r="G711" s="177"/>
    </row>
    <row r="712">
      <c r="A712" s="177"/>
      <c r="B712" s="177"/>
      <c r="C712" s="177"/>
      <c r="D712" s="177"/>
      <c r="E712" s="177"/>
      <c r="F712" s="177"/>
      <c r="G712" s="177"/>
    </row>
    <row r="713">
      <c r="A713" s="177"/>
      <c r="B713" s="177"/>
      <c r="C713" s="177"/>
      <c r="D713" s="177"/>
      <c r="E713" s="177"/>
      <c r="F713" s="177"/>
      <c r="G713" s="177"/>
    </row>
    <row r="714">
      <c r="A714" s="177"/>
      <c r="B714" s="177"/>
      <c r="C714" s="177"/>
      <c r="D714" s="177"/>
      <c r="E714" s="177"/>
      <c r="F714" s="177"/>
      <c r="G714" s="177"/>
    </row>
    <row r="715">
      <c r="A715" s="177"/>
      <c r="B715" s="177"/>
      <c r="C715" s="177"/>
      <c r="D715" s="177"/>
      <c r="E715" s="177"/>
      <c r="F715" s="177"/>
      <c r="G715" s="177"/>
    </row>
    <row r="716">
      <c r="A716" s="177"/>
      <c r="B716" s="177"/>
      <c r="C716" s="177"/>
      <c r="D716" s="177"/>
      <c r="E716" s="177"/>
      <c r="F716" s="177"/>
      <c r="G716" s="177"/>
    </row>
    <row r="717">
      <c r="A717" s="177"/>
      <c r="B717" s="177"/>
      <c r="C717" s="177"/>
      <c r="D717" s="177"/>
      <c r="E717" s="177"/>
      <c r="F717" s="177"/>
      <c r="G717" s="177"/>
    </row>
    <row r="718">
      <c r="A718" s="177"/>
      <c r="B718" s="177"/>
      <c r="C718" s="177"/>
      <c r="D718" s="177"/>
      <c r="E718" s="177"/>
      <c r="F718" s="177"/>
      <c r="G718" s="177"/>
    </row>
    <row r="719">
      <c r="A719" s="177"/>
      <c r="B719" s="177"/>
      <c r="C719" s="177"/>
      <c r="D719" s="177"/>
      <c r="E719" s="177"/>
      <c r="F719" s="177"/>
      <c r="G719" s="177"/>
    </row>
    <row r="720">
      <c r="A720" s="177"/>
      <c r="B720" s="177"/>
      <c r="C720" s="177"/>
      <c r="D720" s="177"/>
      <c r="E720" s="177"/>
      <c r="F720" s="177"/>
      <c r="G720" s="177"/>
    </row>
    <row r="721">
      <c r="A721" s="177"/>
      <c r="B721" s="177"/>
      <c r="C721" s="177"/>
      <c r="D721" s="177"/>
      <c r="E721" s="177"/>
      <c r="F721" s="177"/>
      <c r="G721" s="177"/>
    </row>
    <row r="722">
      <c r="A722" s="177"/>
      <c r="B722" s="177"/>
      <c r="C722" s="177"/>
      <c r="D722" s="177"/>
      <c r="E722" s="177"/>
      <c r="F722" s="177"/>
      <c r="G722" s="177"/>
    </row>
    <row r="723">
      <c r="A723" s="177"/>
      <c r="B723" s="177"/>
      <c r="C723" s="177"/>
      <c r="D723" s="177"/>
      <c r="E723" s="177"/>
      <c r="F723" s="177"/>
      <c r="G723" s="177"/>
    </row>
    <row r="724">
      <c r="A724" s="177"/>
      <c r="B724" s="177"/>
      <c r="C724" s="177"/>
      <c r="D724" s="177"/>
      <c r="E724" s="177"/>
      <c r="F724" s="177"/>
      <c r="G724" s="177"/>
    </row>
    <row r="725">
      <c r="A725" s="177"/>
      <c r="B725" s="177"/>
      <c r="C725" s="177"/>
      <c r="D725" s="177"/>
      <c r="E725" s="177"/>
      <c r="F725" s="177"/>
      <c r="G725" s="177"/>
    </row>
    <row r="726">
      <c r="A726" s="177"/>
      <c r="B726" s="177"/>
      <c r="C726" s="177"/>
      <c r="D726" s="177"/>
      <c r="E726" s="177"/>
      <c r="F726" s="177"/>
      <c r="G726" s="177"/>
    </row>
    <row r="727">
      <c r="A727" s="177"/>
      <c r="B727" s="177"/>
      <c r="C727" s="177"/>
      <c r="D727" s="177"/>
      <c r="E727" s="177"/>
      <c r="F727" s="177"/>
      <c r="G727" s="177"/>
    </row>
    <row r="728">
      <c r="A728" s="177"/>
      <c r="B728" s="177"/>
      <c r="C728" s="177"/>
      <c r="D728" s="177"/>
      <c r="E728" s="177"/>
      <c r="F728" s="177"/>
      <c r="G728" s="177"/>
    </row>
    <row r="729">
      <c r="A729" s="177"/>
      <c r="B729" s="177"/>
      <c r="C729" s="177"/>
      <c r="D729" s="177"/>
      <c r="E729" s="177"/>
      <c r="F729" s="177"/>
      <c r="G729" s="177"/>
    </row>
    <row r="730">
      <c r="A730" s="177"/>
      <c r="B730" s="177"/>
      <c r="C730" s="177"/>
      <c r="D730" s="177"/>
      <c r="E730" s="177"/>
      <c r="F730" s="177"/>
      <c r="G730" s="177"/>
    </row>
    <row r="731">
      <c r="A731" s="177"/>
      <c r="B731" s="177"/>
      <c r="C731" s="177"/>
      <c r="D731" s="177"/>
      <c r="E731" s="177"/>
      <c r="F731" s="177"/>
      <c r="G731" s="177"/>
    </row>
    <row r="732">
      <c r="A732" s="177"/>
      <c r="B732" s="177"/>
      <c r="C732" s="177"/>
      <c r="D732" s="177"/>
      <c r="E732" s="177"/>
      <c r="F732" s="177"/>
      <c r="G732" s="177"/>
    </row>
    <row r="733">
      <c r="A733" s="177"/>
      <c r="B733" s="177"/>
      <c r="C733" s="177"/>
      <c r="D733" s="177"/>
      <c r="E733" s="177"/>
      <c r="F733" s="177"/>
      <c r="G733" s="177"/>
    </row>
    <row r="734">
      <c r="A734" s="177"/>
      <c r="B734" s="177"/>
      <c r="C734" s="177"/>
      <c r="D734" s="177"/>
      <c r="E734" s="177"/>
      <c r="F734" s="177"/>
      <c r="G734" s="177"/>
    </row>
    <row r="735">
      <c r="A735" s="177"/>
      <c r="B735" s="177"/>
      <c r="C735" s="177"/>
      <c r="D735" s="177"/>
      <c r="E735" s="177"/>
      <c r="F735" s="177"/>
      <c r="G735" s="177"/>
    </row>
    <row r="736">
      <c r="A736" s="177"/>
      <c r="B736" s="177"/>
      <c r="C736" s="177"/>
      <c r="D736" s="177"/>
      <c r="E736" s="177"/>
      <c r="F736" s="177"/>
      <c r="G736" s="177"/>
    </row>
    <row r="737">
      <c r="A737" s="177"/>
      <c r="B737" s="177"/>
      <c r="C737" s="177"/>
      <c r="D737" s="177"/>
      <c r="E737" s="177"/>
      <c r="F737" s="177"/>
      <c r="G737" s="177"/>
    </row>
    <row r="738">
      <c r="A738" s="177"/>
      <c r="B738" s="177"/>
      <c r="C738" s="177"/>
      <c r="D738" s="177"/>
      <c r="E738" s="177"/>
      <c r="F738" s="177"/>
      <c r="G738" s="177"/>
    </row>
    <row r="739">
      <c r="A739" s="177"/>
      <c r="B739" s="177"/>
      <c r="C739" s="177"/>
      <c r="D739" s="177"/>
      <c r="E739" s="177"/>
      <c r="F739" s="177"/>
      <c r="G739" s="177"/>
    </row>
    <row r="740">
      <c r="A740" s="177"/>
      <c r="B740" s="177"/>
      <c r="C740" s="177"/>
      <c r="D740" s="177"/>
      <c r="E740" s="177"/>
      <c r="F740" s="177"/>
      <c r="G740" s="177"/>
    </row>
    <row r="741">
      <c r="A741" s="177"/>
      <c r="B741" s="177"/>
      <c r="C741" s="177"/>
      <c r="D741" s="177"/>
      <c r="E741" s="177"/>
      <c r="F741" s="177"/>
      <c r="G741" s="177"/>
    </row>
    <row r="742">
      <c r="A742" s="177"/>
      <c r="B742" s="177"/>
      <c r="C742" s="177"/>
      <c r="D742" s="177"/>
      <c r="E742" s="177"/>
      <c r="F742" s="177"/>
      <c r="G742" s="177"/>
    </row>
    <row r="743">
      <c r="A743" s="177"/>
      <c r="B743" s="177"/>
      <c r="C743" s="177"/>
      <c r="D743" s="177"/>
      <c r="E743" s="177"/>
      <c r="F743" s="177"/>
      <c r="G743" s="177"/>
    </row>
    <row r="744">
      <c r="A744" s="177"/>
      <c r="B744" s="177"/>
      <c r="C744" s="177"/>
      <c r="D744" s="177"/>
      <c r="E744" s="177"/>
      <c r="F744" s="177"/>
      <c r="G744" s="177"/>
    </row>
    <row r="745">
      <c r="A745" s="177"/>
      <c r="B745" s="177"/>
      <c r="C745" s="177"/>
      <c r="D745" s="177"/>
      <c r="E745" s="177"/>
      <c r="F745" s="177"/>
      <c r="G745" s="177"/>
    </row>
    <row r="746">
      <c r="A746" s="177"/>
      <c r="B746" s="177"/>
      <c r="C746" s="177"/>
      <c r="D746" s="177"/>
      <c r="E746" s="177"/>
      <c r="F746" s="177"/>
      <c r="G746" s="177"/>
    </row>
    <row r="747">
      <c r="A747" s="177"/>
      <c r="B747" s="177"/>
      <c r="C747" s="177"/>
      <c r="D747" s="177"/>
      <c r="E747" s="177"/>
      <c r="F747" s="177"/>
      <c r="G747" s="177"/>
    </row>
    <row r="748">
      <c r="A748" s="177"/>
      <c r="B748" s="177"/>
      <c r="C748" s="177"/>
      <c r="D748" s="177"/>
      <c r="E748" s="177"/>
      <c r="F748" s="177"/>
      <c r="G748" s="177"/>
    </row>
    <row r="749">
      <c r="A749" s="177"/>
      <c r="B749" s="177"/>
      <c r="C749" s="177"/>
      <c r="D749" s="177"/>
      <c r="E749" s="177"/>
      <c r="F749" s="177"/>
      <c r="G749" s="177"/>
    </row>
    <row r="750">
      <c r="A750" s="177"/>
      <c r="B750" s="177"/>
      <c r="C750" s="177"/>
      <c r="D750" s="177"/>
      <c r="E750" s="177"/>
      <c r="F750" s="177"/>
      <c r="G750" s="177"/>
    </row>
    <row r="751">
      <c r="A751" s="177"/>
      <c r="B751" s="177"/>
      <c r="C751" s="177"/>
      <c r="D751" s="177"/>
      <c r="E751" s="177"/>
      <c r="F751" s="177"/>
      <c r="G751" s="177"/>
    </row>
    <row r="752">
      <c r="A752" s="177"/>
      <c r="B752" s="177"/>
      <c r="C752" s="177"/>
      <c r="D752" s="177"/>
      <c r="E752" s="177"/>
      <c r="F752" s="177"/>
      <c r="G752" s="177"/>
    </row>
    <row r="753">
      <c r="A753" s="177"/>
      <c r="B753" s="177"/>
      <c r="C753" s="177"/>
      <c r="D753" s="177"/>
      <c r="E753" s="177"/>
      <c r="F753" s="177"/>
      <c r="G753" s="177"/>
    </row>
    <row r="754">
      <c r="A754" s="177"/>
      <c r="B754" s="177"/>
      <c r="C754" s="177"/>
      <c r="D754" s="177"/>
      <c r="E754" s="177"/>
      <c r="F754" s="177"/>
      <c r="G754" s="177"/>
    </row>
    <row r="755">
      <c r="A755" s="177"/>
      <c r="B755" s="177"/>
      <c r="C755" s="177"/>
      <c r="D755" s="177"/>
      <c r="E755" s="177"/>
      <c r="F755" s="177"/>
      <c r="G755" s="177"/>
    </row>
    <row r="756">
      <c r="A756" s="177"/>
      <c r="B756" s="177"/>
      <c r="C756" s="177"/>
      <c r="D756" s="177"/>
      <c r="E756" s="177"/>
      <c r="F756" s="177"/>
      <c r="G756" s="177"/>
    </row>
    <row r="757">
      <c r="A757" s="177"/>
      <c r="B757" s="177"/>
      <c r="C757" s="177"/>
      <c r="D757" s="177"/>
      <c r="E757" s="177"/>
      <c r="F757" s="177"/>
      <c r="G757" s="177"/>
    </row>
    <row r="758">
      <c r="A758" s="177"/>
      <c r="B758" s="177"/>
      <c r="C758" s="177"/>
      <c r="D758" s="177"/>
      <c r="E758" s="177"/>
      <c r="F758" s="177"/>
      <c r="G758" s="177"/>
    </row>
    <row r="759">
      <c r="A759" s="177"/>
      <c r="B759" s="177"/>
      <c r="C759" s="177"/>
      <c r="D759" s="177"/>
      <c r="E759" s="177"/>
      <c r="F759" s="177"/>
      <c r="G759" s="177"/>
    </row>
    <row r="760">
      <c r="A760" s="177"/>
      <c r="B760" s="177"/>
      <c r="C760" s="177"/>
      <c r="D760" s="177"/>
      <c r="E760" s="177"/>
      <c r="F760" s="177"/>
      <c r="G760" s="177"/>
    </row>
    <row r="761">
      <c r="A761" s="177"/>
      <c r="B761" s="177"/>
      <c r="C761" s="177"/>
      <c r="D761" s="177"/>
      <c r="E761" s="177"/>
      <c r="F761" s="177"/>
      <c r="G761" s="177"/>
    </row>
    <row r="762">
      <c r="A762" s="177"/>
      <c r="B762" s="177"/>
      <c r="C762" s="177"/>
      <c r="D762" s="177"/>
      <c r="E762" s="177"/>
      <c r="F762" s="177"/>
      <c r="G762" s="177"/>
    </row>
    <row r="763">
      <c r="A763" s="177"/>
      <c r="B763" s="177"/>
      <c r="C763" s="177"/>
      <c r="D763" s="177"/>
      <c r="E763" s="177"/>
      <c r="F763" s="177"/>
      <c r="G763" s="177"/>
    </row>
    <row r="764">
      <c r="A764" s="177"/>
      <c r="B764" s="177"/>
      <c r="C764" s="177"/>
      <c r="D764" s="177"/>
      <c r="E764" s="177"/>
      <c r="F764" s="177"/>
      <c r="G764" s="177"/>
    </row>
    <row r="765">
      <c r="A765" s="177"/>
      <c r="B765" s="177"/>
      <c r="C765" s="177"/>
      <c r="D765" s="177"/>
      <c r="E765" s="177"/>
      <c r="F765" s="177"/>
      <c r="G765" s="177"/>
    </row>
    <row r="766">
      <c r="A766" s="177"/>
      <c r="B766" s="177"/>
      <c r="C766" s="177"/>
      <c r="D766" s="177"/>
      <c r="E766" s="177"/>
      <c r="F766" s="177"/>
      <c r="G766" s="177"/>
    </row>
    <row r="767">
      <c r="A767" s="177"/>
      <c r="B767" s="177"/>
      <c r="C767" s="177"/>
      <c r="D767" s="177"/>
      <c r="E767" s="177"/>
      <c r="F767" s="177"/>
      <c r="G767" s="177"/>
    </row>
    <row r="768">
      <c r="A768" s="177"/>
      <c r="B768" s="177"/>
      <c r="C768" s="177"/>
      <c r="D768" s="177"/>
      <c r="E768" s="177"/>
      <c r="F768" s="177"/>
      <c r="G768" s="177"/>
    </row>
    <row r="769">
      <c r="A769" s="177"/>
      <c r="B769" s="177"/>
      <c r="C769" s="177"/>
      <c r="D769" s="177"/>
      <c r="E769" s="177"/>
      <c r="F769" s="177"/>
      <c r="G769" s="177"/>
    </row>
    <row r="770">
      <c r="A770" s="177"/>
      <c r="B770" s="177"/>
      <c r="C770" s="177"/>
      <c r="D770" s="177"/>
      <c r="E770" s="177"/>
      <c r="F770" s="177"/>
      <c r="G770" s="177"/>
    </row>
    <row r="771">
      <c r="A771" s="177"/>
      <c r="B771" s="177"/>
      <c r="C771" s="177"/>
      <c r="D771" s="177"/>
      <c r="E771" s="177"/>
      <c r="F771" s="177"/>
      <c r="G771" s="177"/>
    </row>
    <row r="772">
      <c r="A772" s="177"/>
      <c r="B772" s="177"/>
      <c r="C772" s="177"/>
      <c r="D772" s="177"/>
      <c r="E772" s="177"/>
      <c r="F772" s="177"/>
      <c r="G772" s="177"/>
    </row>
    <row r="773">
      <c r="A773" s="177"/>
      <c r="B773" s="177"/>
      <c r="C773" s="177"/>
      <c r="D773" s="177"/>
      <c r="E773" s="177"/>
      <c r="F773" s="177"/>
      <c r="G773" s="177"/>
    </row>
    <row r="774">
      <c r="A774" s="177"/>
      <c r="B774" s="177"/>
      <c r="C774" s="177"/>
      <c r="D774" s="177"/>
      <c r="E774" s="177"/>
      <c r="F774" s="177"/>
      <c r="G774" s="177"/>
    </row>
    <row r="775">
      <c r="A775" s="177"/>
      <c r="B775" s="177"/>
      <c r="C775" s="177"/>
      <c r="D775" s="177"/>
      <c r="E775" s="177"/>
      <c r="F775" s="177"/>
      <c r="G775" s="177"/>
    </row>
    <row r="776">
      <c r="A776" s="177"/>
      <c r="B776" s="177"/>
      <c r="C776" s="177"/>
      <c r="D776" s="177"/>
      <c r="E776" s="177"/>
      <c r="F776" s="177"/>
      <c r="G776" s="177"/>
    </row>
    <row r="777">
      <c r="A777" s="177"/>
      <c r="B777" s="177"/>
      <c r="C777" s="177"/>
      <c r="D777" s="177"/>
      <c r="E777" s="177"/>
      <c r="F777" s="177"/>
      <c r="G777" s="177"/>
    </row>
    <row r="778">
      <c r="A778" s="177"/>
      <c r="B778" s="177"/>
      <c r="C778" s="177"/>
      <c r="D778" s="177"/>
      <c r="E778" s="177"/>
      <c r="F778" s="177"/>
      <c r="G778" s="177"/>
    </row>
    <row r="779">
      <c r="A779" s="177"/>
      <c r="B779" s="177"/>
      <c r="C779" s="177"/>
      <c r="D779" s="177"/>
      <c r="E779" s="177"/>
      <c r="F779" s="177"/>
      <c r="G779" s="177"/>
    </row>
    <row r="780">
      <c r="A780" s="177"/>
      <c r="B780" s="177"/>
      <c r="C780" s="177"/>
      <c r="D780" s="177"/>
      <c r="E780" s="177"/>
      <c r="F780" s="177"/>
      <c r="G780" s="177"/>
    </row>
    <row r="781">
      <c r="A781" s="177"/>
      <c r="B781" s="177"/>
      <c r="C781" s="177"/>
      <c r="D781" s="177"/>
      <c r="E781" s="177"/>
      <c r="F781" s="177"/>
      <c r="G781" s="177"/>
    </row>
    <row r="782">
      <c r="A782" s="177"/>
      <c r="B782" s="177"/>
      <c r="C782" s="177"/>
      <c r="D782" s="177"/>
      <c r="E782" s="177"/>
      <c r="F782" s="177"/>
      <c r="G782" s="177"/>
    </row>
    <row r="783">
      <c r="A783" s="177"/>
      <c r="B783" s="177"/>
      <c r="C783" s="177"/>
      <c r="D783" s="177"/>
      <c r="E783" s="177"/>
      <c r="F783" s="177"/>
      <c r="G783" s="177"/>
    </row>
    <row r="784">
      <c r="A784" s="177"/>
      <c r="B784" s="177"/>
      <c r="C784" s="177"/>
      <c r="D784" s="177"/>
      <c r="E784" s="177"/>
      <c r="F784" s="177"/>
      <c r="G784" s="177"/>
    </row>
    <row r="785">
      <c r="A785" s="177"/>
      <c r="B785" s="177"/>
      <c r="C785" s="177"/>
      <c r="D785" s="177"/>
      <c r="E785" s="177"/>
      <c r="F785" s="177"/>
      <c r="G785" s="177"/>
    </row>
    <row r="786">
      <c r="A786" s="177"/>
      <c r="B786" s="177"/>
      <c r="C786" s="177"/>
      <c r="D786" s="177"/>
      <c r="E786" s="177"/>
      <c r="F786" s="177"/>
      <c r="G786" s="177"/>
    </row>
    <row r="787">
      <c r="A787" s="177"/>
      <c r="B787" s="177"/>
      <c r="C787" s="177"/>
      <c r="D787" s="177"/>
      <c r="E787" s="177"/>
      <c r="F787" s="177"/>
      <c r="G787" s="177"/>
    </row>
    <row r="788">
      <c r="A788" s="177"/>
      <c r="B788" s="177"/>
      <c r="C788" s="177"/>
      <c r="D788" s="177"/>
      <c r="E788" s="177"/>
      <c r="F788" s="177"/>
      <c r="G788" s="177"/>
    </row>
    <row r="789">
      <c r="A789" s="177"/>
      <c r="B789" s="177"/>
      <c r="C789" s="177"/>
      <c r="D789" s="177"/>
      <c r="E789" s="177"/>
      <c r="F789" s="177"/>
      <c r="G789" s="177"/>
    </row>
    <row r="790">
      <c r="A790" s="177"/>
      <c r="B790" s="177"/>
      <c r="C790" s="177"/>
      <c r="D790" s="177"/>
      <c r="E790" s="177"/>
      <c r="F790" s="177"/>
      <c r="G790" s="177"/>
    </row>
    <row r="791">
      <c r="A791" s="177"/>
      <c r="B791" s="177"/>
      <c r="C791" s="177"/>
      <c r="D791" s="177"/>
      <c r="E791" s="177"/>
      <c r="F791" s="177"/>
      <c r="G791" s="177"/>
    </row>
    <row r="792">
      <c r="A792" s="177"/>
      <c r="B792" s="177"/>
      <c r="C792" s="177"/>
      <c r="D792" s="177"/>
      <c r="E792" s="177"/>
      <c r="F792" s="177"/>
      <c r="G792" s="177"/>
    </row>
    <row r="793">
      <c r="A793" s="177"/>
      <c r="B793" s="177"/>
      <c r="C793" s="177"/>
      <c r="D793" s="177"/>
      <c r="E793" s="177"/>
      <c r="F793" s="177"/>
      <c r="G793" s="177"/>
    </row>
    <row r="794">
      <c r="A794" s="177"/>
      <c r="B794" s="177"/>
      <c r="C794" s="177"/>
      <c r="D794" s="177"/>
      <c r="E794" s="177"/>
      <c r="F794" s="177"/>
      <c r="G794" s="177"/>
    </row>
    <row r="795">
      <c r="A795" s="177"/>
      <c r="B795" s="177"/>
      <c r="C795" s="177"/>
      <c r="D795" s="177"/>
      <c r="E795" s="177"/>
      <c r="F795" s="177"/>
      <c r="G795" s="177"/>
    </row>
    <row r="796">
      <c r="A796" s="177"/>
      <c r="B796" s="177"/>
      <c r="C796" s="177"/>
      <c r="D796" s="177"/>
      <c r="E796" s="177"/>
      <c r="F796" s="177"/>
      <c r="G796" s="177"/>
    </row>
    <row r="797">
      <c r="A797" s="177"/>
      <c r="B797" s="177"/>
      <c r="C797" s="177"/>
      <c r="D797" s="177"/>
      <c r="E797" s="177"/>
      <c r="F797" s="177"/>
      <c r="G797" s="177"/>
    </row>
    <row r="798">
      <c r="A798" s="177"/>
      <c r="B798" s="177"/>
      <c r="C798" s="177"/>
      <c r="D798" s="177"/>
      <c r="E798" s="177"/>
      <c r="F798" s="177"/>
      <c r="G798" s="177"/>
    </row>
    <row r="799">
      <c r="A799" s="177"/>
      <c r="B799" s="177"/>
      <c r="C799" s="177"/>
      <c r="D799" s="177"/>
      <c r="E799" s="177"/>
      <c r="F799" s="177"/>
      <c r="G799" s="177"/>
    </row>
    <row r="800">
      <c r="A800" s="177"/>
      <c r="B800" s="177"/>
      <c r="C800" s="177"/>
      <c r="D800" s="177"/>
      <c r="E800" s="177"/>
      <c r="F800" s="177"/>
      <c r="G800" s="177"/>
    </row>
    <row r="801">
      <c r="A801" s="177"/>
      <c r="B801" s="177"/>
      <c r="C801" s="177"/>
      <c r="D801" s="177"/>
      <c r="E801" s="177"/>
      <c r="F801" s="177"/>
      <c r="G801" s="177"/>
    </row>
    <row r="802">
      <c r="A802" s="177"/>
      <c r="B802" s="177"/>
      <c r="C802" s="177"/>
      <c r="D802" s="177"/>
      <c r="E802" s="177"/>
      <c r="F802" s="177"/>
      <c r="G802" s="177"/>
    </row>
    <row r="803">
      <c r="A803" s="177"/>
      <c r="B803" s="177"/>
      <c r="C803" s="177"/>
      <c r="D803" s="177"/>
      <c r="E803" s="177"/>
      <c r="F803" s="177"/>
      <c r="G803" s="177"/>
    </row>
    <row r="804">
      <c r="A804" s="177"/>
      <c r="B804" s="177"/>
      <c r="C804" s="177"/>
      <c r="D804" s="177"/>
      <c r="E804" s="177"/>
      <c r="F804" s="177"/>
      <c r="G804" s="177"/>
    </row>
    <row r="805">
      <c r="A805" s="177"/>
      <c r="B805" s="177"/>
      <c r="C805" s="177"/>
      <c r="D805" s="177"/>
      <c r="E805" s="177"/>
      <c r="F805" s="177"/>
      <c r="G805" s="177"/>
    </row>
    <row r="806">
      <c r="A806" s="177"/>
      <c r="B806" s="177"/>
      <c r="C806" s="177"/>
      <c r="D806" s="177"/>
      <c r="E806" s="177"/>
      <c r="F806" s="177"/>
      <c r="G806" s="177"/>
    </row>
    <row r="807">
      <c r="A807" s="177"/>
      <c r="B807" s="177"/>
      <c r="C807" s="177"/>
      <c r="D807" s="177"/>
      <c r="E807" s="177"/>
      <c r="F807" s="177"/>
      <c r="G807" s="177"/>
    </row>
    <row r="808">
      <c r="A808" s="177"/>
      <c r="B808" s="177"/>
      <c r="C808" s="177"/>
      <c r="D808" s="177"/>
      <c r="E808" s="177"/>
      <c r="F808" s="177"/>
      <c r="G808" s="177"/>
    </row>
    <row r="809">
      <c r="A809" s="177"/>
      <c r="B809" s="177"/>
      <c r="C809" s="177"/>
      <c r="D809" s="177"/>
      <c r="E809" s="177"/>
      <c r="F809" s="177"/>
      <c r="G809" s="177"/>
    </row>
    <row r="810">
      <c r="A810" s="177"/>
      <c r="B810" s="177"/>
      <c r="C810" s="177"/>
      <c r="D810" s="177"/>
      <c r="E810" s="177"/>
      <c r="F810" s="177"/>
      <c r="G810" s="177"/>
    </row>
    <row r="811">
      <c r="A811" s="177"/>
      <c r="B811" s="177"/>
      <c r="C811" s="177"/>
      <c r="D811" s="177"/>
      <c r="E811" s="177"/>
      <c r="F811" s="177"/>
      <c r="G811" s="177"/>
    </row>
    <row r="812">
      <c r="A812" s="177"/>
      <c r="B812" s="177"/>
      <c r="C812" s="177"/>
      <c r="D812" s="177"/>
      <c r="E812" s="177"/>
      <c r="F812" s="177"/>
      <c r="G812" s="177"/>
    </row>
    <row r="813">
      <c r="A813" s="177"/>
      <c r="B813" s="177"/>
      <c r="C813" s="177"/>
      <c r="D813" s="177"/>
      <c r="E813" s="177"/>
      <c r="F813" s="177"/>
      <c r="G813" s="177"/>
    </row>
    <row r="814">
      <c r="A814" s="177"/>
      <c r="B814" s="177"/>
      <c r="C814" s="177"/>
      <c r="D814" s="177"/>
      <c r="E814" s="177"/>
      <c r="F814" s="177"/>
      <c r="G814" s="177"/>
    </row>
    <row r="815">
      <c r="A815" s="177"/>
      <c r="B815" s="177"/>
      <c r="C815" s="177"/>
      <c r="D815" s="177"/>
      <c r="E815" s="177"/>
      <c r="F815" s="177"/>
      <c r="G815" s="177"/>
    </row>
    <row r="816">
      <c r="A816" s="177"/>
      <c r="B816" s="177"/>
      <c r="C816" s="177"/>
      <c r="D816" s="177"/>
      <c r="E816" s="177"/>
      <c r="F816" s="177"/>
      <c r="G816" s="177"/>
    </row>
    <row r="817">
      <c r="A817" s="177"/>
      <c r="B817" s="177"/>
      <c r="C817" s="177"/>
      <c r="D817" s="177"/>
      <c r="E817" s="177"/>
      <c r="F817" s="177"/>
      <c r="G817" s="177"/>
    </row>
    <row r="818">
      <c r="A818" s="177"/>
      <c r="B818" s="177"/>
      <c r="C818" s="177"/>
      <c r="D818" s="177"/>
      <c r="E818" s="177"/>
      <c r="F818" s="177"/>
      <c r="G818" s="177"/>
    </row>
    <row r="819">
      <c r="A819" s="177"/>
      <c r="B819" s="177"/>
      <c r="C819" s="177"/>
      <c r="D819" s="177"/>
      <c r="E819" s="177"/>
      <c r="F819" s="177"/>
      <c r="G819" s="177"/>
    </row>
    <row r="820">
      <c r="A820" s="177"/>
      <c r="B820" s="177"/>
      <c r="C820" s="177"/>
      <c r="D820" s="177"/>
      <c r="E820" s="177"/>
      <c r="F820" s="177"/>
      <c r="G820" s="177"/>
    </row>
    <row r="821">
      <c r="A821" s="177"/>
      <c r="B821" s="177"/>
      <c r="C821" s="177"/>
      <c r="D821" s="177"/>
      <c r="E821" s="177"/>
      <c r="F821" s="177"/>
      <c r="G821" s="177"/>
    </row>
    <row r="822">
      <c r="A822" s="177"/>
      <c r="B822" s="177"/>
      <c r="C822" s="177"/>
      <c r="D822" s="177"/>
      <c r="E822" s="177"/>
      <c r="F822" s="177"/>
      <c r="G822" s="177"/>
    </row>
    <row r="823">
      <c r="A823" s="177"/>
      <c r="B823" s="177"/>
      <c r="C823" s="177"/>
      <c r="D823" s="177"/>
      <c r="E823" s="177"/>
      <c r="F823" s="177"/>
      <c r="G823" s="177"/>
    </row>
    <row r="824">
      <c r="A824" s="177"/>
      <c r="B824" s="177"/>
      <c r="C824" s="177"/>
      <c r="D824" s="177"/>
      <c r="E824" s="177"/>
      <c r="F824" s="177"/>
      <c r="G824" s="177"/>
    </row>
    <row r="825">
      <c r="A825" s="177"/>
      <c r="B825" s="177"/>
      <c r="C825" s="177"/>
      <c r="D825" s="177"/>
      <c r="E825" s="177"/>
      <c r="F825" s="177"/>
      <c r="G825" s="177"/>
    </row>
    <row r="826">
      <c r="A826" s="177"/>
      <c r="B826" s="177"/>
      <c r="C826" s="177"/>
      <c r="D826" s="177"/>
      <c r="E826" s="177"/>
      <c r="F826" s="177"/>
      <c r="G826" s="177"/>
    </row>
    <row r="827">
      <c r="A827" s="177"/>
      <c r="B827" s="177"/>
      <c r="C827" s="177"/>
      <c r="D827" s="177"/>
      <c r="E827" s="177"/>
      <c r="F827" s="177"/>
      <c r="G827" s="177"/>
    </row>
    <row r="828">
      <c r="A828" s="177"/>
      <c r="B828" s="177"/>
      <c r="C828" s="177"/>
      <c r="D828" s="177"/>
      <c r="E828" s="177"/>
      <c r="F828" s="177"/>
      <c r="G828" s="177"/>
    </row>
    <row r="829">
      <c r="A829" s="177"/>
      <c r="B829" s="177"/>
      <c r="C829" s="177"/>
      <c r="D829" s="177"/>
      <c r="E829" s="177"/>
      <c r="F829" s="177"/>
      <c r="G829" s="177"/>
    </row>
    <row r="830">
      <c r="A830" s="177"/>
      <c r="B830" s="177"/>
      <c r="C830" s="177"/>
      <c r="D830" s="177"/>
      <c r="E830" s="177"/>
      <c r="F830" s="177"/>
      <c r="G830" s="177"/>
    </row>
    <row r="831">
      <c r="A831" s="177"/>
      <c r="B831" s="177"/>
      <c r="C831" s="177"/>
      <c r="D831" s="177"/>
      <c r="E831" s="177"/>
      <c r="F831" s="177"/>
      <c r="G831" s="177"/>
    </row>
    <row r="832">
      <c r="A832" s="177"/>
      <c r="B832" s="177"/>
      <c r="C832" s="177"/>
      <c r="D832" s="177"/>
      <c r="E832" s="177"/>
      <c r="F832" s="177"/>
      <c r="G832" s="177"/>
    </row>
    <row r="833">
      <c r="A833" s="177"/>
      <c r="B833" s="177"/>
      <c r="C833" s="177"/>
      <c r="D833" s="177"/>
      <c r="E833" s="177"/>
      <c r="F833" s="177"/>
      <c r="G833" s="177"/>
    </row>
    <row r="834">
      <c r="A834" s="177"/>
      <c r="B834" s="177"/>
      <c r="C834" s="177"/>
      <c r="D834" s="177"/>
      <c r="E834" s="177"/>
      <c r="F834" s="177"/>
      <c r="G834" s="177"/>
    </row>
    <row r="835">
      <c r="A835" s="177"/>
      <c r="B835" s="177"/>
      <c r="C835" s="177"/>
      <c r="D835" s="177"/>
      <c r="E835" s="177"/>
      <c r="F835" s="177"/>
      <c r="G835" s="177"/>
    </row>
    <row r="836">
      <c r="A836" s="177"/>
      <c r="B836" s="177"/>
      <c r="C836" s="177"/>
      <c r="D836" s="177"/>
      <c r="E836" s="177"/>
      <c r="F836" s="177"/>
      <c r="G836" s="177"/>
    </row>
    <row r="837">
      <c r="A837" s="177"/>
      <c r="B837" s="177"/>
      <c r="C837" s="177"/>
      <c r="D837" s="177"/>
      <c r="E837" s="177"/>
      <c r="F837" s="177"/>
      <c r="G837" s="177"/>
    </row>
    <row r="838">
      <c r="A838" s="177"/>
      <c r="B838" s="177"/>
      <c r="C838" s="177"/>
      <c r="D838" s="177"/>
      <c r="E838" s="177"/>
      <c r="F838" s="177"/>
      <c r="G838" s="177"/>
    </row>
    <row r="839">
      <c r="A839" s="177"/>
      <c r="B839" s="177"/>
      <c r="C839" s="177"/>
      <c r="D839" s="177"/>
      <c r="E839" s="177"/>
      <c r="F839" s="177"/>
      <c r="G839" s="177"/>
    </row>
    <row r="840">
      <c r="A840" s="177"/>
      <c r="B840" s="177"/>
      <c r="C840" s="177"/>
      <c r="D840" s="177"/>
      <c r="E840" s="177"/>
      <c r="F840" s="177"/>
      <c r="G840" s="177"/>
    </row>
    <row r="841">
      <c r="A841" s="177"/>
      <c r="B841" s="177"/>
      <c r="C841" s="177"/>
      <c r="D841" s="177"/>
      <c r="E841" s="177"/>
      <c r="F841" s="177"/>
      <c r="G841" s="177"/>
    </row>
    <row r="842">
      <c r="A842" s="177"/>
      <c r="B842" s="177"/>
      <c r="C842" s="177"/>
      <c r="D842" s="177"/>
      <c r="E842" s="177"/>
      <c r="F842" s="177"/>
      <c r="G842" s="177"/>
    </row>
    <row r="843">
      <c r="A843" s="177"/>
      <c r="B843" s="177"/>
      <c r="C843" s="177"/>
      <c r="D843" s="177"/>
      <c r="E843" s="177"/>
      <c r="F843" s="177"/>
      <c r="G843" s="177"/>
    </row>
    <row r="844">
      <c r="A844" s="177"/>
      <c r="B844" s="177"/>
      <c r="C844" s="177"/>
      <c r="D844" s="177"/>
      <c r="E844" s="177"/>
      <c r="F844" s="177"/>
      <c r="G844" s="177"/>
    </row>
    <row r="845">
      <c r="A845" s="177"/>
      <c r="B845" s="177"/>
      <c r="C845" s="177"/>
      <c r="D845" s="177"/>
      <c r="E845" s="177"/>
      <c r="F845" s="177"/>
      <c r="G845" s="177"/>
    </row>
    <row r="846">
      <c r="A846" s="177"/>
      <c r="B846" s="177"/>
      <c r="C846" s="177"/>
      <c r="D846" s="177"/>
      <c r="E846" s="177"/>
      <c r="F846" s="177"/>
      <c r="G846" s="177"/>
    </row>
    <row r="847">
      <c r="A847" s="177"/>
      <c r="B847" s="177"/>
      <c r="C847" s="177"/>
      <c r="D847" s="177"/>
      <c r="E847" s="177"/>
      <c r="F847" s="177"/>
      <c r="G847" s="177"/>
    </row>
    <row r="848">
      <c r="A848" s="177"/>
      <c r="B848" s="177"/>
      <c r="C848" s="177"/>
      <c r="D848" s="177"/>
      <c r="E848" s="177"/>
      <c r="F848" s="177"/>
      <c r="G848" s="177"/>
    </row>
    <row r="849">
      <c r="A849" s="177"/>
      <c r="B849" s="177"/>
      <c r="C849" s="177"/>
      <c r="D849" s="177"/>
      <c r="E849" s="177"/>
      <c r="F849" s="177"/>
      <c r="G849" s="177"/>
    </row>
    <row r="850">
      <c r="A850" s="177"/>
      <c r="B850" s="177"/>
      <c r="C850" s="177"/>
      <c r="D850" s="177"/>
      <c r="E850" s="177"/>
      <c r="F850" s="177"/>
      <c r="G850" s="177"/>
    </row>
    <row r="851">
      <c r="A851" s="177"/>
      <c r="B851" s="177"/>
      <c r="C851" s="177"/>
      <c r="D851" s="177"/>
      <c r="E851" s="177"/>
      <c r="F851" s="177"/>
      <c r="G851" s="177"/>
    </row>
    <row r="852">
      <c r="A852" s="177"/>
      <c r="B852" s="177"/>
      <c r="C852" s="177"/>
      <c r="D852" s="177"/>
      <c r="E852" s="177"/>
      <c r="F852" s="177"/>
      <c r="G852" s="177"/>
    </row>
    <row r="853">
      <c r="A853" s="177"/>
      <c r="B853" s="177"/>
      <c r="C853" s="177"/>
      <c r="D853" s="177"/>
      <c r="E853" s="177"/>
      <c r="F853" s="177"/>
      <c r="G853" s="177"/>
    </row>
    <row r="854">
      <c r="A854" s="177"/>
      <c r="B854" s="177"/>
      <c r="C854" s="177"/>
      <c r="D854" s="177"/>
      <c r="E854" s="177"/>
      <c r="F854" s="177"/>
      <c r="G854" s="177"/>
    </row>
    <row r="855">
      <c r="A855" s="177"/>
      <c r="B855" s="177"/>
      <c r="C855" s="177"/>
      <c r="D855" s="177"/>
      <c r="E855" s="177"/>
      <c r="F855" s="177"/>
      <c r="G855" s="177"/>
    </row>
    <row r="856">
      <c r="A856" s="177"/>
      <c r="B856" s="177"/>
      <c r="C856" s="177"/>
      <c r="D856" s="177"/>
      <c r="E856" s="177"/>
      <c r="F856" s="177"/>
      <c r="G856" s="177"/>
    </row>
    <row r="857">
      <c r="A857" s="177"/>
      <c r="B857" s="177"/>
      <c r="C857" s="177"/>
      <c r="D857" s="177"/>
      <c r="E857" s="177"/>
      <c r="F857" s="177"/>
      <c r="G857" s="177"/>
    </row>
    <row r="858">
      <c r="A858" s="177"/>
      <c r="B858" s="177"/>
      <c r="C858" s="177"/>
      <c r="D858" s="177"/>
      <c r="E858" s="177"/>
      <c r="F858" s="177"/>
      <c r="G858" s="177"/>
    </row>
    <row r="859">
      <c r="A859" s="177"/>
      <c r="B859" s="177"/>
      <c r="C859" s="177"/>
      <c r="D859" s="177"/>
      <c r="E859" s="177"/>
      <c r="F859" s="177"/>
      <c r="G859" s="177"/>
    </row>
    <row r="860">
      <c r="A860" s="177"/>
      <c r="B860" s="177"/>
      <c r="C860" s="177"/>
      <c r="D860" s="177"/>
      <c r="E860" s="177"/>
      <c r="F860" s="177"/>
      <c r="G860" s="177"/>
    </row>
    <row r="861">
      <c r="A861" s="177"/>
      <c r="B861" s="177"/>
      <c r="C861" s="177"/>
      <c r="D861" s="177"/>
      <c r="E861" s="177"/>
      <c r="F861" s="177"/>
      <c r="G861" s="177"/>
    </row>
    <row r="862">
      <c r="A862" s="177"/>
      <c r="B862" s="177"/>
      <c r="C862" s="177"/>
      <c r="D862" s="177"/>
      <c r="E862" s="177"/>
      <c r="F862" s="177"/>
      <c r="G862" s="177"/>
    </row>
    <row r="863">
      <c r="A863" s="177"/>
      <c r="B863" s="177"/>
      <c r="C863" s="177"/>
      <c r="D863" s="177"/>
      <c r="E863" s="177"/>
      <c r="F863" s="177"/>
      <c r="G863" s="177"/>
    </row>
    <row r="864">
      <c r="A864" s="177"/>
      <c r="B864" s="177"/>
      <c r="C864" s="177"/>
      <c r="D864" s="177"/>
      <c r="E864" s="177"/>
      <c r="F864" s="177"/>
      <c r="G864" s="177"/>
    </row>
    <row r="865">
      <c r="A865" s="177"/>
      <c r="B865" s="177"/>
      <c r="C865" s="177"/>
      <c r="D865" s="177"/>
      <c r="E865" s="177"/>
      <c r="F865" s="177"/>
      <c r="G865" s="177"/>
    </row>
    <row r="866">
      <c r="A866" s="177"/>
      <c r="B866" s="177"/>
      <c r="C866" s="177"/>
      <c r="D866" s="177"/>
      <c r="E866" s="177"/>
      <c r="F866" s="177"/>
      <c r="G866" s="177"/>
    </row>
    <row r="867">
      <c r="A867" s="177"/>
      <c r="B867" s="177"/>
      <c r="C867" s="177"/>
      <c r="D867" s="177"/>
      <c r="E867" s="177"/>
      <c r="F867" s="177"/>
      <c r="G867" s="177"/>
    </row>
    <row r="868">
      <c r="A868" s="177"/>
      <c r="B868" s="177"/>
      <c r="C868" s="177"/>
      <c r="D868" s="177"/>
      <c r="E868" s="177"/>
      <c r="F868" s="177"/>
      <c r="G868" s="177"/>
    </row>
    <row r="869">
      <c r="A869" s="177"/>
      <c r="B869" s="177"/>
      <c r="C869" s="177"/>
      <c r="D869" s="177"/>
      <c r="E869" s="177"/>
      <c r="F869" s="177"/>
      <c r="G869" s="177"/>
    </row>
    <row r="870">
      <c r="A870" s="177"/>
      <c r="B870" s="177"/>
      <c r="C870" s="177"/>
      <c r="D870" s="177"/>
      <c r="E870" s="177"/>
      <c r="F870" s="177"/>
      <c r="G870" s="177"/>
    </row>
    <row r="871">
      <c r="A871" s="177"/>
      <c r="B871" s="177"/>
      <c r="C871" s="177"/>
      <c r="D871" s="177"/>
      <c r="E871" s="177"/>
      <c r="F871" s="177"/>
      <c r="G871" s="177"/>
    </row>
    <row r="872">
      <c r="A872" s="177"/>
      <c r="B872" s="177"/>
      <c r="C872" s="177"/>
      <c r="D872" s="177"/>
      <c r="E872" s="177"/>
      <c r="F872" s="177"/>
      <c r="G872" s="177"/>
    </row>
    <row r="873">
      <c r="A873" s="177"/>
      <c r="B873" s="177"/>
      <c r="C873" s="177"/>
      <c r="D873" s="177"/>
      <c r="E873" s="177"/>
      <c r="F873" s="177"/>
      <c r="G873" s="177"/>
    </row>
    <row r="874">
      <c r="A874" s="177"/>
      <c r="B874" s="177"/>
      <c r="C874" s="177"/>
      <c r="D874" s="177"/>
      <c r="E874" s="177"/>
      <c r="F874" s="177"/>
      <c r="G874" s="177"/>
    </row>
    <row r="875">
      <c r="A875" s="177"/>
      <c r="B875" s="177"/>
      <c r="C875" s="177"/>
      <c r="D875" s="177"/>
      <c r="E875" s="177"/>
      <c r="F875" s="177"/>
      <c r="G875" s="177"/>
    </row>
    <row r="876">
      <c r="A876" s="177"/>
      <c r="B876" s="177"/>
      <c r="C876" s="177"/>
      <c r="D876" s="177"/>
      <c r="E876" s="177"/>
      <c r="F876" s="177"/>
      <c r="G876" s="177"/>
    </row>
    <row r="877">
      <c r="A877" s="177"/>
      <c r="B877" s="177"/>
      <c r="C877" s="177"/>
      <c r="D877" s="177"/>
      <c r="E877" s="177"/>
      <c r="F877" s="177"/>
      <c r="G877" s="177"/>
    </row>
    <row r="878">
      <c r="A878" s="177"/>
      <c r="B878" s="177"/>
      <c r="C878" s="177"/>
      <c r="D878" s="177"/>
      <c r="E878" s="177"/>
      <c r="F878" s="177"/>
      <c r="G878" s="177"/>
    </row>
    <row r="879">
      <c r="A879" s="177"/>
      <c r="B879" s="177"/>
      <c r="C879" s="177"/>
      <c r="D879" s="177"/>
      <c r="E879" s="177"/>
      <c r="F879" s="177"/>
      <c r="G879" s="177"/>
    </row>
    <row r="880">
      <c r="A880" s="177"/>
      <c r="B880" s="177"/>
      <c r="C880" s="177"/>
      <c r="D880" s="177"/>
      <c r="E880" s="177"/>
      <c r="F880" s="177"/>
      <c r="G880" s="177"/>
    </row>
    <row r="881">
      <c r="A881" s="177"/>
      <c r="B881" s="177"/>
      <c r="C881" s="177"/>
      <c r="D881" s="177"/>
      <c r="E881" s="177"/>
      <c r="F881" s="177"/>
      <c r="G881" s="177"/>
    </row>
    <row r="882">
      <c r="A882" s="177"/>
      <c r="B882" s="177"/>
      <c r="C882" s="177"/>
      <c r="D882" s="177"/>
      <c r="E882" s="177"/>
      <c r="F882" s="177"/>
      <c r="G882" s="177"/>
    </row>
    <row r="883">
      <c r="A883" s="177"/>
      <c r="B883" s="177"/>
      <c r="C883" s="177"/>
      <c r="D883" s="177"/>
      <c r="E883" s="177"/>
      <c r="F883" s="177"/>
      <c r="G883" s="177"/>
    </row>
    <row r="884">
      <c r="A884" s="177"/>
      <c r="B884" s="177"/>
      <c r="C884" s="177"/>
      <c r="D884" s="177"/>
      <c r="E884" s="177"/>
      <c r="F884" s="177"/>
      <c r="G884" s="177"/>
    </row>
    <row r="885">
      <c r="A885" s="177"/>
      <c r="B885" s="177"/>
      <c r="C885" s="177"/>
      <c r="D885" s="177"/>
      <c r="E885" s="177"/>
      <c r="F885" s="177"/>
      <c r="G885" s="177"/>
    </row>
    <row r="886">
      <c r="A886" s="177"/>
      <c r="B886" s="177"/>
      <c r="C886" s="177"/>
      <c r="D886" s="177"/>
      <c r="E886" s="177"/>
      <c r="F886" s="177"/>
      <c r="G886" s="177"/>
    </row>
    <row r="887">
      <c r="A887" s="177"/>
      <c r="B887" s="177"/>
      <c r="C887" s="177"/>
      <c r="D887" s="177"/>
      <c r="E887" s="177"/>
      <c r="F887" s="177"/>
      <c r="G887" s="177"/>
    </row>
    <row r="888">
      <c r="A888" s="177"/>
      <c r="B888" s="177"/>
      <c r="C888" s="177"/>
      <c r="D888" s="177"/>
      <c r="E888" s="177"/>
      <c r="F888" s="177"/>
      <c r="G888" s="177"/>
    </row>
    <row r="889">
      <c r="A889" s="177"/>
      <c r="B889" s="177"/>
      <c r="C889" s="177"/>
      <c r="D889" s="177"/>
      <c r="E889" s="177"/>
      <c r="F889" s="177"/>
      <c r="G889" s="177"/>
    </row>
    <row r="890">
      <c r="A890" s="177"/>
      <c r="B890" s="177"/>
      <c r="C890" s="177"/>
      <c r="D890" s="177"/>
      <c r="E890" s="177"/>
      <c r="F890" s="177"/>
      <c r="G890" s="177"/>
    </row>
    <row r="891">
      <c r="A891" s="177"/>
      <c r="B891" s="177"/>
      <c r="C891" s="177"/>
      <c r="D891" s="177"/>
      <c r="E891" s="177"/>
      <c r="F891" s="177"/>
      <c r="G891" s="177"/>
    </row>
    <row r="892">
      <c r="A892" s="177"/>
      <c r="B892" s="177"/>
      <c r="C892" s="177"/>
      <c r="D892" s="177"/>
      <c r="E892" s="177"/>
      <c r="F892" s="177"/>
      <c r="G892" s="177"/>
    </row>
    <row r="893">
      <c r="A893" s="177"/>
      <c r="B893" s="177"/>
      <c r="C893" s="177"/>
      <c r="D893" s="177"/>
      <c r="E893" s="177"/>
      <c r="F893" s="177"/>
      <c r="G893" s="177"/>
    </row>
    <row r="894">
      <c r="A894" s="177"/>
      <c r="B894" s="177"/>
      <c r="C894" s="177"/>
      <c r="D894" s="177"/>
      <c r="E894" s="177"/>
      <c r="F894" s="177"/>
      <c r="G894" s="177"/>
    </row>
    <row r="895">
      <c r="A895" s="177"/>
      <c r="B895" s="177"/>
      <c r="C895" s="177"/>
      <c r="D895" s="177"/>
      <c r="E895" s="177"/>
      <c r="F895" s="177"/>
      <c r="G895" s="177"/>
    </row>
    <row r="896">
      <c r="A896" s="177"/>
      <c r="B896" s="177"/>
      <c r="C896" s="177"/>
      <c r="D896" s="177"/>
      <c r="E896" s="177"/>
      <c r="F896" s="177"/>
      <c r="G896" s="177"/>
    </row>
    <row r="897">
      <c r="A897" s="177"/>
      <c r="B897" s="177"/>
      <c r="C897" s="177"/>
      <c r="D897" s="177"/>
      <c r="E897" s="177"/>
      <c r="F897" s="177"/>
      <c r="G897" s="177"/>
    </row>
    <row r="898">
      <c r="A898" s="177"/>
      <c r="B898" s="177"/>
      <c r="C898" s="177"/>
      <c r="D898" s="177"/>
      <c r="E898" s="177"/>
      <c r="F898" s="177"/>
      <c r="G898" s="177"/>
    </row>
    <row r="899">
      <c r="A899" s="177"/>
      <c r="B899" s="177"/>
      <c r="C899" s="177"/>
      <c r="D899" s="177"/>
      <c r="E899" s="177"/>
      <c r="F899" s="177"/>
      <c r="G899" s="177"/>
    </row>
    <row r="900">
      <c r="A900" s="177"/>
      <c r="B900" s="177"/>
      <c r="C900" s="177"/>
      <c r="D900" s="177"/>
      <c r="E900" s="177"/>
      <c r="F900" s="177"/>
      <c r="G900" s="177"/>
    </row>
    <row r="901">
      <c r="A901" s="177"/>
      <c r="B901" s="177"/>
      <c r="C901" s="177"/>
      <c r="D901" s="177"/>
      <c r="E901" s="177"/>
      <c r="F901" s="177"/>
      <c r="G901" s="177"/>
    </row>
    <row r="902">
      <c r="A902" s="177"/>
      <c r="B902" s="177"/>
      <c r="C902" s="177"/>
      <c r="D902" s="177"/>
      <c r="E902" s="177"/>
      <c r="F902" s="177"/>
      <c r="G902" s="177"/>
    </row>
    <row r="903">
      <c r="A903" s="177"/>
      <c r="B903" s="177"/>
      <c r="C903" s="177"/>
      <c r="D903" s="177"/>
      <c r="E903" s="177"/>
      <c r="F903" s="177"/>
      <c r="G903" s="177"/>
    </row>
    <row r="904">
      <c r="A904" s="177"/>
      <c r="B904" s="177"/>
      <c r="C904" s="177"/>
      <c r="D904" s="177"/>
      <c r="E904" s="177"/>
      <c r="F904" s="177"/>
      <c r="G904" s="177"/>
    </row>
    <row r="905">
      <c r="A905" s="177"/>
      <c r="B905" s="177"/>
      <c r="C905" s="177"/>
      <c r="D905" s="177"/>
      <c r="E905" s="177"/>
      <c r="F905" s="177"/>
      <c r="G905" s="177"/>
    </row>
    <row r="906">
      <c r="A906" s="177"/>
      <c r="B906" s="177"/>
      <c r="C906" s="177"/>
      <c r="D906" s="177"/>
      <c r="E906" s="177"/>
      <c r="F906" s="177"/>
      <c r="G906" s="177"/>
    </row>
    <row r="907">
      <c r="A907" s="177"/>
      <c r="B907" s="177"/>
      <c r="C907" s="177"/>
      <c r="D907" s="177"/>
      <c r="E907" s="177"/>
      <c r="F907" s="177"/>
      <c r="G907" s="177"/>
    </row>
    <row r="908">
      <c r="A908" s="177"/>
      <c r="B908" s="177"/>
      <c r="C908" s="177"/>
      <c r="D908" s="177"/>
      <c r="E908" s="177"/>
      <c r="F908" s="177"/>
      <c r="G908" s="177"/>
    </row>
    <row r="909">
      <c r="A909" s="177"/>
      <c r="B909" s="177"/>
      <c r="C909" s="177"/>
      <c r="D909" s="177"/>
      <c r="E909" s="177"/>
      <c r="F909" s="177"/>
      <c r="G909" s="177"/>
    </row>
    <row r="910">
      <c r="A910" s="177"/>
      <c r="B910" s="177"/>
      <c r="C910" s="177"/>
      <c r="D910" s="177"/>
      <c r="E910" s="177"/>
      <c r="F910" s="177"/>
      <c r="G910" s="177"/>
    </row>
    <row r="911">
      <c r="A911" s="177"/>
      <c r="B911" s="177"/>
      <c r="C911" s="177"/>
      <c r="D911" s="177"/>
      <c r="E911" s="177"/>
      <c r="F911" s="177"/>
      <c r="G911" s="177"/>
    </row>
    <row r="912">
      <c r="A912" s="177"/>
      <c r="B912" s="177"/>
      <c r="C912" s="177"/>
      <c r="D912" s="177"/>
      <c r="E912" s="177"/>
      <c r="F912" s="177"/>
      <c r="G912" s="177"/>
    </row>
    <row r="913">
      <c r="A913" s="177"/>
      <c r="B913" s="177"/>
      <c r="C913" s="177"/>
      <c r="D913" s="177"/>
      <c r="E913" s="177"/>
      <c r="F913" s="177"/>
      <c r="G913" s="177"/>
    </row>
    <row r="914">
      <c r="A914" s="177"/>
      <c r="B914" s="177"/>
      <c r="C914" s="177"/>
      <c r="D914" s="177"/>
      <c r="E914" s="177"/>
      <c r="F914" s="177"/>
      <c r="G914" s="177"/>
    </row>
    <row r="915">
      <c r="A915" s="177"/>
      <c r="B915" s="177"/>
      <c r="C915" s="177"/>
      <c r="D915" s="177"/>
      <c r="E915" s="177"/>
      <c r="F915" s="177"/>
      <c r="G915" s="177"/>
    </row>
    <row r="916">
      <c r="A916" s="177"/>
      <c r="B916" s="177"/>
      <c r="C916" s="177"/>
      <c r="D916" s="177"/>
      <c r="E916" s="177"/>
      <c r="F916" s="177"/>
      <c r="G916" s="177"/>
    </row>
    <row r="917">
      <c r="A917" s="177"/>
      <c r="B917" s="177"/>
      <c r="C917" s="177"/>
      <c r="D917" s="177"/>
      <c r="E917" s="177"/>
      <c r="F917" s="177"/>
      <c r="G917" s="177"/>
    </row>
    <row r="918">
      <c r="A918" s="177"/>
      <c r="B918" s="177"/>
      <c r="C918" s="177"/>
      <c r="D918" s="177"/>
      <c r="E918" s="177"/>
      <c r="F918" s="177"/>
      <c r="G918" s="177"/>
    </row>
    <row r="919">
      <c r="A919" s="177"/>
      <c r="B919" s="177"/>
      <c r="C919" s="177"/>
      <c r="D919" s="177"/>
      <c r="E919" s="177"/>
      <c r="F919" s="177"/>
      <c r="G919" s="177"/>
    </row>
    <row r="920">
      <c r="A920" s="177"/>
      <c r="B920" s="177"/>
      <c r="C920" s="177"/>
      <c r="D920" s="177"/>
      <c r="E920" s="177"/>
      <c r="F920" s="177"/>
      <c r="G920" s="177"/>
    </row>
    <row r="921">
      <c r="A921" s="177"/>
      <c r="B921" s="177"/>
      <c r="C921" s="177"/>
      <c r="D921" s="177"/>
      <c r="E921" s="177"/>
      <c r="F921" s="177"/>
      <c r="G921" s="177"/>
    </row>
    <row r="922">
      <c r="A922" s="177"/>
      <c r="B922" s="177"/>
      <c r="C922" s="177"/>
      <c r="D922" s="177"/>
      <c r="E922" s="177"/>
      <c r="F922" s="177"/>
      <c r="G922" s="177"/>
    </row>
    <row r="923">
      <c r="A923" s="177"/>
      <c r="B923" s="177"/>
      <c r="C923" s="177"/>
      <c r="D923" s="177"/>
      <c r="E923" s="177"/>
      <c r="F923" s="177"/>
      <c r="G923" s="177"/>
    </row>
    <row r="924">
      <c r="A924" s="177"/>
      <c r="B924" s="177"/>
      <c r="C924" s="177"/>
      <c r="D924" s="177"/>
      <c r="E924" s="177"/>
      <c r="F924" s="177"/>
      <c r="G924" s="177"/>
    </row>
    <row r="925">
      <c r="A925" s="177"/>
      <c r="B925" s="177"/>
      <c r="C925" s="177"/>
      <c r="D925" s="177"/>
      <c r="E925" s="177"/>
      <c r="F925" s="177"/>
      <c r="G925" s="177"/>
    </row>
    <row r="926">
      <c r="A926" s="177"/>
      <c r="B926" s="177"/>
      <c r="C926" s="177"/>
      <c r="D926" s="177"/>
      <c r="E926" s="177"/>
      <c r="F926" s="177"/>
      <c r="G926" s="177"/>
    </row>
    <row r="927">
      <c r="A927" s="177"/>
      <c r="B927" s="177"/>
      <c r="C927" s="177"/>
      <c r="D927" s="177"/>
      <c r="E927" s="177"/>
      <c r="F927" s="177"/>
      <c r="G927" s="177"/>
    </row>
    <row r="928">
      <c r="A928" s="177"/>
      <c r="B928" s="177"/>
      <c r="C928" s="177"/>
      <c r="D928" s="177"/>
      <c r="E928" s="177"/>
      <c r="F928" s="177"/>
      <c r="G928" s="177"/>
    </row>
    <row r="929">
      <c r="A929" s="177"/>
      <c r="B929" s="177"/>
      <c r="C929" s="177"/>
      <c r="D929" s="177"/>
      <c r="E929" s="177"/>
      <c r="F929" s="177"/>
      <c r="G929" s="177"/>
    </row>
    <row r="930">
      <c r="A930" s="177"/>
      <c r="B930" s="177"/>
      <c r="C930" s="177"/>
      <c r="D930" s="177"/>
      <c r="E930" s="177"/>
      <c r="F930" s="177"/>
      <c r="G930" s="177"/>
    </row>
    <row r="931">
      <c r="A931" s="177"/>
      <c r="B931" s="177"/>
      <c r="C931" s="177"/>
      <c r="D931" s="177"/>
      <c r="E931" s="177"/>
      <c r="F931" s="177"/>
      <c r="G931" s="177"/>
    </row>
    <row r="932">
      <c r="A932" s="177"/>
      <c r="B932" s="177"/>
      <c r="C932" s="177"/>
      <c r="D932" s="177"/>
      <c r="E932" s="177"/>
      <c r="F932" s="177"/>
      <c r="G932" s="177"/>
    </row>
    <row r="933">
      <c r="A933" s="177"/>
      <c r="B933" s="177"/>
      <c r="C933" s="177"/>
      <c r="D933" s="177"/>
      <c r="E933" s="177"/>
      <c r="F933" s="177"/>
      <c r="G933" s="177"/>
    </row>
    <row r="934">
      <c r="A934" s="177"/>
      <c r="B934" s="177"/>
      <c r="C934" s="177"/>
      <c r="D934" s="177"/>
      <c r="E934" s="177"/>
      <c r="F934" s="177"/>
      <c r="G934" s="177"/>
    </row>
    <row r="935">
      <c r="A935" s="177"/>
      <c r="B935" s="177"/>
      <c r="C935" s="177"/>
      <c r="D935" s="177"/>
      <c r="E935" s="177"/>
      <c r="F935" s="177"/>
      <c r="G935" s="177"/>
    </row>
    <row r="936">
      <c r="A936" s="177"/>
      <c r="B936" s="177"/>
      <c r="C936" s="177"/>
      <c r="D936" s="177"/>
      <c r="E936" s="177"/>
      <c r="F936" s="177"/>
      <c r="G936" s="177"/>
    </row>
    <row r="937">
      <c r="A937" s="177"/>
      <c r="B937" s="177"/>
      <c r="C937" s="177"/>
      <c r="D937" s="177"/>
      <c r="E937" s="177"/>
      <c r="F937" s="177"/>
      <c r="G937" s="177"/>
    </row>
    <row r="938">
      <c r="A938" s="177"/>
      <c r="B938" s="177"/>
      <c r="C938" s="177"/>
      <c r="D938" s="177"/>
      <c r="E938" s="177"/>
      <c r="F938" s="177"/>
      <c r="G938" s="177"/>
    </row>
    <row r="939">
      <c r="A939" s="177"/>
      <c r="B939" s="177"/>
      <c r="C939" s="177"/>
      <c r="D939" s="177"/>
      <c r="E939" s="177"/>
      <c r="F939" s="177"/>
      <c r="G939" s="177"/>
    </row>
    <row r="940">
      <c r="A940" s="177"/>
      <c r="B940" s="177"/>
      <c r="C940" s="177"/>
      <c r="D940" s="177"/>
      <c r="E940" s="177"/>
      <c r="F940" s="177"/>
      <c r="G940" s="177"/>
    </row>
    <row r="941">
      <c r="A941" s="177"/>
      <c r="B941" s="177"/>
      <c r="C941" s="177"/>
      <c r="D941" s="177"/>
      <c r="E941" s="177"/>
      <c r="F941" s="177"/>
      <c r="G941" s="177"/>
    </row>
    <row r="942">
      <c r="A942" s="177"/>
      <c r="B942" s="177"/>
      <c r="C942" s="177"/>
      <c r="D942" s="177"/>
      <c r="E942" s="177"/>
      <c r="F942" s="177"/>
      <c r="G942" s="177"/>
    </row>
    <row r="943">
      <c r="A943" s="177"/>
      <c r="B943" s="177"/>
      <c r="C943" s="177"/>
      <c r="D943" s="177"/>
      <c r="E943" s="177"/>
      <c r="F943" s="177"/>
      <c r="G943" s="177"/>
    </row>
    <row r="944">
      <c r="A944" s="177"/>
      <c r="B944" s="177"/>
      <c r="C944" s="177"/>
      <c r="D944" s="177"/>
      <c r="E944" s="177"/>
      <c r="F944" s="177"/>
      <c r="G944" s="177"/>
    </row>
    <row r="945">
      <c r="A945" s="177"/>
      <c r="B945" s="177"/>
      <c r="C945" s="177"/>
      <c r="D945" s="177"/>
      <c r="E945" s="177"/>
      <c r="F945" s="177"/>
      <c r="G945" s="177"/>
    </row>
    <row r="946">
      <c r="A946" s="177"/>
      <c r="B946" s="177"/>
      <c r="C946" s="177"/>
      <c r="D946" s="177"/>
      <c r="E946" s="177"/>
      <c r="F946" s="177"/>
      <c r="G946" s="177"/>
    </row>
    <row r="947">
      <c r="A947" s="177"/>
      <c r="B947" s="177"/>
      <c r="C947" s="177"/>
      <c r="D947" s="177"/>
      <c r="E947" s="177"/>
      <c r="F947" s="177"/>
      <c r="G947" s="177"/>
    </row>
    <row r="948">
      <c r="A948" s="177"/>
      <c r="B948" s="177"/>
      <c r="C948" s="177"/>
      <c r="D948" s="177"/>
      <c r="E948" s="177"/>
      <c r="F948" s="177"/>
      <c r="G948" s="177"/>
    </row>
    <row r="949">
      <c r="A949" s="177"/>
      <c r="B949" s="177"/>
      <c r="C949" s="177"/>
      <c r="D949" s="177"/>
      <c r="E949" s="177"/>
      <c r="F949" s="177"/>
      <c r="G949" s="177"/>
    </row>
    <row r="950">
      <c r="A950" s="177"/>
      <c r="B950" s="177"/>
      <c r="C950" s="177"/>
      <c r="D950" s="177"/>
      <c r="E950" s="177"/>
      <c r="F950" s="177"/>
      <c r="G950" s="177"/>
    </row>
    <row r="951">
      <c r="A951" s="177"/>
      <c r="B951" s="177"/>
      <c r="C951" s="177"/>
      <c r="D951" s="177"/>
      <c r="E951" s="177"/>
      <c r="F951" s="177"/>
      <c r="G951" s="177"/>
    </row>
    <row r="952">
      <c r="A952" s="177"/>
      <c r="B952" s="177"/>
      <c r="C952" s="177"/>
      <c r="D952" s="177"/>
      <c r="E952" s="177"/>
      <c r="F952" s="177"/>
      <c r="G952" s="177"/>
    </row>
    <row r="953">
      <c r="A953" s="177"/>
      <c r="B953" s="177"/>
      <c r="C953" s="177"/>
      <c r="D953" s="177"/>
      <c r="E953" s="177"/>
      <c r="F953" s="177"/>
      <c r="G953" s="177"/>
    </row>
    <row r="954">
      <c r="A954" s="177"/>
      <c r="B954" s="177"/>
      <c r="C954" s="177"/>
      <c r="D954" s="177"/>
      <c r="E954" s="177"/>
      <c r="F954" s="177"/>
      <c r="G954" s="177"/>
    </row>
    <row r="955">
      <c r="A955" s="177"/>
      <c r="B955" s="177"/>
      <c r="C955" s="177"/>
      <c r="D955" s="177"/>
      <c r="E955" s="177"/>
      <c r="F955" s="177"/>
      <c r="G955" s="177"/>
    </row>
    <row r="956">
      <c r="A956" s="177"/>
      <c r="B956" s="177"/>
      <c r="C956" s="177"/>
      <c r="D956" s="177"/>
      <c r="E956" s="177"/>
      <c r="F956" s="177"/>
      <c r="G956" s="177"/>
    </row>
    <row r="957">
      <c r="A957" s="177"/>
      <c r="B957" s="177"/>
      <c r="C957" s="177"/>
      <c r="D957" s="177"/>
      <c r="E957" s="177"/>
      <c r="F957" s="177"/>
      <c r="G957" s="177"/>
    </row>
    <row r="958">
      <c r="A958" s="177"/>
      <c r="B958" s="177"/>
      <c r="C958" s="177"/>
      <c r="D958" s="177"/>
      <c r="E958" s="177"/>
      <c r="F958" s="177"/>
      <c r="G958" s="177"/>
    </row>
    <row r="959">
      <c r="A959" s="177"/>
      <c r="B959" s="177"/>
      <c r="C959" s="177"/>
      <c r="D959" s="177"/>
      <c r="E959" s="177"/>
      <c r="F959" s="177"/>
      <c r="G959" s="177"/>
    </row>
    <row r="960">
      <c r="A960" s="177"/>
      <c r="B960" s="177"/>
      <c r="C960" s="177"/>
      <c r="D960" s="177"/>
      <c r="E960" s="177"/>
      <c r="F960" s="177"/>
      <c r="G960" s="177"/>
    </row>
    <row r="961">
      <c r="A961" s="177"/>
      <c r="B961" s="177"/>
      <c r="C961" s="177"/>
      <c r="D961" s="177"/>
      <c r="E961" s="177"/>
      <c r="F961" s="177"/>
      <c r="G961" s="177"/>
    </row>
    <row r="962">
      <c r="A962" s="177"/>
      <c r="B962" s="177"/>
      <c r="C962" s="177"/>
      <c r="D962" s="177"/>
      <c r="E962" s="177"/>
      <c r="F962" s="177"/>
      <c r="G962" s="177"/>
    </row>
    <row r="963">
      <c r="A963" s="177"/>
      <c r="B963" s="177"/>
      <c r="C963" s="177"/>
      <c r="D963" s="177"/>
      <c r="E963" s="177"/>
      <c r="F963" s="177"/>
      <c r="G963" s="177"/>
    </row>
    <row r="964">
      <c r="A964" s="177"/>
      <c r="B964" s="177"/>
      <c r="C964" s="177"/>
      <c r="D964" s="177"/>
      <c r="E964" s="177"/>
      <c r="F964" s="177"/>
      <c r="G964" s="177"/>
    </row>
    <row r="965">
      <c r="A965" s="177"/>
      <c r="B965" s="177"/>
      <c r="C965" s="177"/>
      <c r="D965" s="177"/>
      <c r="E965" s="177"/>
      <c r="F965" s="177"/>
      <c r="G965" s="177"/>
    </row>
    <row r="966">
      <c r="A966" s="177"/>
      <c r="B966" s="177"/>
      <c r="C966" s="177"/>
      <c r="D966" s="177"/>
      <c r="E966" s="177"/>
      <c r="F966" s="177"/>
      <c r="G966" s="177"/>
    </row>
    <row r="967">
      <c r="A967" s="177"/>
      <c r="B967" s="177"/>
      <c r="C967" s="177"/>
      <c r="D967" s="177"/>
      <c r="E967" s="177"/>
      <c r="F967" s="177"/>
      <c r="G967" s="177"/>
    </row>
    <row r="968">
      <c r="A968" s="177"/>
      <c r="B968" s="177"/>
      <c r="C968" s="177"/>
      <c r="D968" s="177"/>
      <c r="E968" s="177"/>
      <c r="F968" s="177"/>
      <c r="G968" s="177"/>
    </row>
    <row r="969">
      <c r="A969" s="177"/>
      <c r="B969" s="177"/>
      <c r="C969" s="177"/>
      <c r="D969" s="177"/>
      <c r="E969" s="177"/>
      <c r="F969" s="177"/>
      <c r="G969" s="177"/>
    </row>
    <row r="970">
      <c r="A970" s="177"/>
      <c r="B970" s="177"/>
      <c r="C970" s="177"/>
      <c r="D970" s="177"/>
      <c r="E970" s="177"/>
      <c r="F970" s="177"/>
      <c r="G970" s="177"/>
    </row>
    <row r="971">
      <c r="A971" s="177"/>
      <c r="B971" s="177"/>
      <c r="C971" s="177"/>
      <c r="D971" s="177"/>
      <c r="E971" s="177"/>
      <c r="F971" s="177"/>
      <c r="G971" s="177"/>
    </row>
    <row r="972">
      <c r="A972" s="177"/>
      <c r="B972" s="177"/>
      <c r="C972" s="177"/>
      <c r="D972" s="177"/>
      <c r="E972" s="177"/>
      <c r="F972" s="177"/>
      <c r="G972" s="177"/>
    </row>
    <row r="973">
      <c r="A973" s="177"/>
      <c r="B973" s="177"/>
      <c r="C973" s="177"/>
      <c r="D973" s="177"/>
      <c r="E973" s="177"/>
      <c r="F973" s="177"/>
      <c r="G973" s="177"/>
    </row>
    <row r="974">
      <c r="A974" s="177"/>
      <c r="B974" s="177"/>
      <c r="C974" s="177"/>
      <c r="D974" s="177"/>
      <c r="E974" s="177"/>
      <c r="F974" s="177"/>
      <c r="G974" s="177"/>
    </row>
    <row r="975">
      <c r="A975" s="177"/>
      <c r="B975" s="177"/>
      <c r="C975" s="177"/>
      <c r="D975" s="177"/>
      <c r="E975" s="177"/>
      <c r="F975" s="177"/>
      <c r="G975" s="177"/>
    </row>
    <row r="976">
      <c r="A976" s="177"/>
      <c r="B976" s="177"/>
      <c r="C976" s="177"/>
      <c r="D976" s="177"/>
      <c r="E976" s="177"/>
      <c r="F976" s="177"/>
      <c r="G976" s="177"/>
    </row>
    <row r="977">
      <c r="A977" s="177"/>
      <c r="B977" s="177"/>
      <c r="C977" s="177"/>
      <c r="D977" s="177"/>
      <c r="E977" s="177"/>
      <c r="F977" s="177"/>
      <c r="G977" s="177"/>
    </row>
    <row r="978">
      <c r="A978" s="177"/>
      <c r="B978" s="177"/>
      <c r="C978" s="177"/>
      <c r="D978" s="177"/>
      <c r="E978" s="177"/>
      <c r="F978" s="177"/>
      <c r="G978" s="177"/>
    </row>
    <row r="979">
      <c r="A979" s="177"/>
      <c r="B979" s="177"/>
      <c r="C979" s="177"/>
      <c r="D979" s="177"/>
      <c r="E979" s="177"/>
      <c r="F979" s="177"/>
      <c r="G979" s="177"/>
    </row>
    <row r="980">
      <c r="A980" s="177"/>
      <c r="B980" s="177"/>
      <c r="C980" s="177"/>
      <c r="D980" s="177"/>
      <c r="E980" s="177"/>
      <c r="F980" s="177"/>
      <c r="G980" s="177"/>
    </row>
    <row r="981">
      <c r="A981" s="177"/>
      <c r="B981" s="177"/>
      <c r="C981" s="177"/>
      <c r="D981" s="177"/>
      <c r="E981" s="177"/>
      <c r="F981" s="177"/>
      <c r="G981" s="177"/>
    </row>
    <row r="982">
      <c r="A982" s="177"/>
      <c r="B982" s="177"/>
      <c r="C982" s="177"/>
      <c r="D982" s="177"/>
      <c r="E982" s="177"/>
      <c r="F982" s="177"/>
      <c r="G982" s="177"/>
    </row>
    <row r="983">
      <c r="A983" s="177"/>
      <c r="B983" s="177"/>
      <c r="C983" s="177"/>
      <c r="D983" s="177"/>
      <c r="E983" s="177"/>
      <c r="F983" s="177"/>
      <c r="G983" s="177"/>
    </row>
    <row r="984">
      <c r="A984" s="177"/>
      <c r="B984" s="177"/>
      <c r="C984" s="177"/>
      <c r="D984" s="177"/>
      <c r="E984" s="177"/>
      <c r="F984" s="177"/>
      <c r="G984" s="177"/>
    </row>
    <row r="985">
      <c r="A985" s="177"/>
      <c r="B985" s="177"/>
      <c r="C985" s="177"/>
      <c r="D985" s="177"/>
      <c r="E985" s="177"/>
      <c r="F985" s="177"/>
      <c r="G985" s="177"/>
    </row>
    <row r="986">
      <c r="A986" s="177"/>
      <c r="B986" s="177"/>
      <c r="C986" s="177"/>
      <c r="D986" s="177"/>
      <c r="E986" s="177"/>
      <c r="F986" s="177"/>
      <c r="G986" s="177"/>
    </row>
    <row r="987">
      <c r="A987" s="177"/>
      <c r="B987" s="177"/>
      <c r="C987" s="177"/>
      <c r="D987" s="177"/>
      <c r="E987" s="177"/>
      <c r="F987" s="177"/>
      <c r="G987" s="177"/>
    </row>
    <row r="988">
      <c r="A988" s="177"/>
      <c r="B988" s="177"/>
      <c r="C988" s="177"/>
      <c r="D988" s="177"/>
      <c r="E988" s="177"/>
      <c r="F988" s="177"/>
      <c r="G988" s="177"/>
    </row>
    <row r="989">
      <c r="A989" s="177"/>
      <c r="B989" s="177"/>
      <c r="C989" s="177"/>
      <c r="D989" s="177"/>
      <c r="E989" s="177"/>
      <c r="F989" s="177"/>
      <c r="G989" s="177"/>
    </row>
    <row r="990">
      <c r="A990" s="177"/>
      <c r="B990" s="177"/>
      <c r="C990" s="177"/>
      <c r="D990" s="177"/>
      <c r="E990" s="177"/>
      <c r="F990" s="177"/>
      <c r="G990" s="177"/>
    </row>
    <row r="991">
      <c r="A991" s="177"/>
      <c r="B991" s="177"/>
      <c r="C991" s="177"/>
      <c r="D991" s="177"/>
      <c r="E991" s="177"/>
      <c r="F991" s="177"/>
      <c r="G991" s="177"/>
    </row>
    <row r="992">
      <c r="A992" s="177"/>
      <c r="B992" s="177"/>
      <c r="C992" s="177"/>
      <c r="D992" s="177"/>
      <c r="E992" s="177"/>
      <c r="F992" s="177"/>
      <c r="G992" s="177"/>
    </row>
    <row r="993">
      <c r="A993" s="177"/>
      <c r="B993" s="177"/>
      <c r="C993" s="177"/>
      <c r="D993" s="177"/>
      <c r="E993" s="177"/>
      <c r="F993" s="177"/>
      <c r="G993" s="177"/>
    </row>
    <row r="994">
      <c r="A994" s="177"/>
      <c r="B994" s="177"/>
      <c r="C994" s="177"/>
      <c r="D994" s="177"/>
      <c r="E994" s="177"/>
      <c r="F994" s="177"/>
      <c r="G994" s="177"/>
    </row>
    <row r="995">
      <c r="A995" s="177"/>
      <c r="B995" s="177"/>
      <c r="C995" s="177"/>
      <c r="D995" s="177"/>
      <c r="E995" s="177"/>
      <c r="F995" s="177"/>
      <c r="G995" s="177"/>
    </row>
    <row r="996">
      <c r="A996" s="177"/>
      <c r="B996" s="177"/>
      <c r="C996" s="177"/>
      <c r="D996" s="177"/>
      <c r="E996" s="177"/>
      <c r="F996" s="177"/>
      <c r="G996" s="177"/>
    </row>
    <row r="997">
      <c r="A997" s="177"/>
      <c r="B997" s="177"/>
      <c r="C997" s="177"/>
      <c r="D997" s="177"/>
      <c r="E997" s="177"/>
      <c r="F997" s="177"/>
      <c r="G997" s="177"/>
    </row>
    <row r="998">
      <c r="A998" s="177"/>
      <c r="B998" s="177"/>
      <c r="C998" s="177"/>
      <c r="D998" s="177"/>
      <c r="E998" s="177"/>
      <c r="F998" s="177"/>
      <c r="G998" s="177"/>
    </row>
    <row r="999">
      <c r="A999" s="177"/>
      <c r="B999" s="177"/>
      <c r="C999" s="177"/>
      <c r="D999" s="177"/>
      <c r="E999" s="177"/>
      <c r="F999" s="177"/>
      <c r="G999" s="177"/>
    </row>
    <row r="1000">
      <c r="A1000" s="177"/>
      <c r="B1000" s="177"/>
      <c r="C1000" s="177"/>
      <c r="D1000" s="177"/>
      <c r="E1000" s="177"/>
      <c r="F1000" s="177"/>
      <c r="G1000" s="177"/>
    </row>
    <row r="1001">
      <c r="A1001" s="177"/>
      <c r="B1001" s="177"/>
      <c r="C1001" s="177"/>
      <c r="D1001" s="177"/>
      <c r="E1001" s="177"/>
      <c r="F1001" s="177"/>
      <c r="G1001" s="177"/>
    </row>
  </sheetData>
  <mergeCells count="15">
    <mergeCell ref="A24:C24"/>
    <mergeCell ref="A30:D34"/>
    <mergeCell ref="F33:G36"/>
    <mergeCell ref="A35:D38"/>
    <mergeCell ref="D41:G41"/>
    <mergeCell ref="F45:G45"/>
    <mergeCell ref="A49:C50"/>
    <mergeCell ref="F50:G50"/>
    <mergeCell ref="A1:D5"/>
    <mergeCell ref="F4:G6"/>
    <mergeCell ref="A6:D9"/>
    <mergeCell ref="C17:E17"/>
    <mergeCell ref="A19:C19"/>
    <mergeCell ref="F19:G19"/>
    <mergeCell ref="F24:G24"/>
  </mergeCells>
  <printOptions horizontalCentered="1"/>
  <pageMargins bottom="0.39370078740157477" footer="0.0" header="0.0" left="0.5905511811023622" right="0.984251968503937" top="0.6496062992125984"/>
  <pageSetup orientation="portrait" pageOrder="overThenDown" paperHeight="11in" paperWidth="9.448818897637794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210" t="str">
        <f>IFERROR(__xludf.DUMMYFUNCTION("IMPORTRANGE(""https://docs.google.com/spreadsheets/d/1HW-yrSCd5GRX8NERW7XSFs49YsIB5WzHtomULUEkO2w/edit?usp=sharing"",""inventoryLog!A:O"")"),"inventoryId")</f>
        <v>inventoryId</v>
      </c>
      <c r="B1" s="210" t="str">
        <f>IFERROR(__xludf.DUMMYFUNCTION("""COMPUTED_VALUE"""),"docNumber")</f>
        <v>docNumber</v>
      </c>
      <c r="C1" s="211" t="str">
        <f>IFERROR(__xludf.DUMMYFUNCTION("""COMPUTED_VALUE"""),"datetime")</f>
        <v>datetime</v>
      </c>
      <c r="D1" s="211" t="str">
        <f>IFERROR(__xludf.DUMMYFUNCTION("""COMPUTED_VALUE"""),"customerId")</f>
        <v>customerId</v>
      </c>
      <c r="E1" s="211" t="str">
        <f>IFERROR(__xludf.DUMMYFUNCTION("""COMPUTED_VALUE"""),"customerName")</f>
        <v>customerName</v>
      </c>
      <c r="F1" s="211" t="str">
        <f>IFERROR(__xludf.DUMMYFUNCTION("""COMPUTED_VALUE"""),"itemId")</f>
        <v>itemId</v>
      </c>
      <c r="G1" s="211" t="str">
        <f>IFERROR(__xludf.DUMMYFUNCTION("""COMPUTED_VALUE"""),"itemName")</f>
        <v>itemName</v>
      </c>
      <c r="H1" s="211" t="str">
        <f>IFERROR(__xludf.DUMMYFUNCTION("""COMPUTED_VALUE"""),"mutation")</f>
        <v>mutation</v>
      </c>
      <c r="I1" s="211" t="str">
        <f>IFERROR(__xludf.DUMMYFUNCTION("""COMPUTED_VALUE"""),"mutationCode")</f>
        <v>mutationCode</v>
      </c>
      <c r="J1" s="211" t="str">
        <f>IFERROR(__xludf.DUMMYFUNCTION("""COMPUTED_VALUE"""),"qty")</f>
        <v>qty</v>
      </c>
      <c r="K1" s="210" t="str">
        <f>IFERROR(__xludf.DUMMYFUNCTION("""COMPUTED_VALUE"""),"itemNumber")</f>
        <v>itemNumber</v>
      </c>
      <c r="L1" s="211" t="str">
        <f>IFERROR(__xludf.DUMMYFUNCTION("""COMPUTED_VALUE"""),"price")</f>
        <v>price</v>
      </c>
      <c r="M1" s="211" t="str">
        <f>IFERROR(__xludf.DUMMYFUNCTION("""COMPUTED_VALUE"""),"description")</f>
        <v>description</v>
      </c>
      <c r="N1" s="211" t="str">
        <f>IFERROR(__xludf.DUMMYFUNCTION("""COMPUTED_VALUE"""),"adminNote")</f>
        <v>adminNote</v>
      </c>
      <c r="O1" s="211" t="str">
        <f>IFERROR(__xludf.DUMMYFUNCTION("""COMPUTED_VALUE"""),"isCorrection")</f>
        <v>isCorrection</v>
      </c>
      <c r="Q1" s="210" t="str">
        <f>IFERROR(__xludf.DUMMYFUNCTION("IMPORTRANGE(""https://docs.google.com/spreadsheets/d/1HW-yrSCd5GRX8NERW7XSFs49YsIB5WzHtomULUEkO2w/edit?usp=sharing"",""documentLog!A:h"")"),"inventoryId")</f>
        <v>inventoryId</v>
      </c>
      <c r="R1" s="210" t="str">
        <f>IFERROR(__xludf.DUMMYFUNCTION("""COMPUTED_VALUE"""),"docNumber")</f>
        <v>docNumber</v>
      </c>
      <c r="S1" s="211" t="str">
        <f>IFERROR(__xludf.DUMMYFUNCTION("""COMPUTED_VALUE"""),"customerId")</f>
        <v>customerId</v>
      </c>
      <c r="T1" s="211" t="str">
        <f>IFERROR(__xludf.DUMMYFUNCTION("""COMPUTED_VALUE"""),"customerName")</f>
        <v>customerName</v>
      </c>
      <c r="U1" s="211" t="str">
        <f>IFERROR(__xludf.DUMMYFUNCTION("""COMPUTED_VALUE"""),"datetime")</f>
        <v>datetime</v>
      </c>
      <c r="V1" s="211" t="str">
        <f>IFERROR(__xludf.DUMMYFUNCTION("""COMPUTED_VALUE"""),"address")</f>
        <v>address</v>
      </c>
      <c r="W1" s="211" t="str">
        <f>IFERROR(__xludf.DUMMYFUNCTION("""COMPUTED_VALUE"""),"mutation")</f>
        <v>mutation</v>
      </c>
      <c r="X1" s="211" t="str">
        <f>IFERROR(__xludf.DUMMYFUNCTION("""COMPUTED_VALUE"""),"customerSign")</f>
        <v>customerSign</v>
      </c>
      <c r="Z1" s="212" t="s">
        <v>92</v>
      </c>
      <c r="AA1" s="212" t="s">
        <v>93</v>
      </c>
      <c r="AB1" s="212"/>
      <c r="AC1" s="212" t="str">
        <f>IFERROR(__xludf.DUMMYFUNCTION("IMPORTRANGE(""https://docs.google.com/spreadsheets/d/1HW-yrSCd5GRX8NERW7XSFs49YsIB5WzHtomULUEkO2w/edit?usp=sharing"",""customerDetails!A:h"")"),"customerId")</f>
        <v>customerId</v>
      </c>
      <c r="AD1" s="212" t="str">
        <f>IFERROR(__xludf.DUMMYFUNCTION("""COMPUTED_VALUE"""),"customerName")</f>
        <v>customerName</v>
      </c>
      <c r="AE1" s="212" t="str">
        <f>IFERROR(__xludf.DUMMYFUNCTION("""COMPUTED_VALUE"""),"npwp")</f>
        <v>npwp</v>
      </c>
      <c r="AF1" s="212" t="str">
        <f>IFERROR(__xludf.DUMMYFUNCTION("""COMPUTED_VALUE"""),"ppn")</f>
        <v>ppn</v>
      </c>
      <c r="AG1" s="212" t="str">
        <f>IFERROR(__xludf.DUMMYFUNCTION("""COMPUTED_VALUE"""),"address")</f>
        <v>address</v>
      </c>
      <c r="AH1" s="212" t="str">
        <f>IFERROR(__xludf.DUMMYFUNCTION("""COMPUTED_VALUE"""),"termin")</f>
        <v>termin</v>
      </c>
      <c r="AI1" s="212" t="str">
        <f>IFERROR(__xludf.DUMMYFUNCTION("""COMPUTED_VALUE"""),"call")</f>
        <v>call</v>
      </c>
      <c r="AJ1" s="212" t="str">
        <f>IFERROR(__xludf.DUMMYFUNCTION("""COMPUTED_VALUE"""),"reportUpdates")</f>
        <v>reportUpdates</v>
      </c>
      <c r="AK1" s="212"/>
      <c r="AL1" s="212" t="str">
        <f>IFERROR(__xludf.DUMMYFUNCTION("QUERY(IMPORTRANGE(""https://docs.google.com/spreadsheets/d/1HW-yrSCd5GRX8NERW7XSFs49YsIB5WzHtomULUEkO2w/edit?usp=sharing"",""customInv!A:G""),""SELECT * ORDER BY Col5 DESC"",1)"),"concatDocNumber")</f>
        <v>concatDocNumber</v>
      </c>
      <c r="AM1" s="212" t="str">
        <f>IFERROR(__xludf.DUMMYFUNCTION("""COMPUTED_VALUE"""),"docNumber")</f>
        <v>docNumber</v>
      </c>
      <c r="AN1" s="212" t="str">
        <f>IFERROR(__xludf.DUMMYFUNCTION("""COMPUTED_VALUE"""),"customerId")</f>
        <v>customerId</v>
      </c>
      <c r="AO1" s="212" t="str">
        <f>IFERROR(__xludf.DUMMYFUNCTION("""COMPUTED_VALUE"""),"customerName")</f>
        <v>customerName</v>
      </c>
      <c r="AP1" s="212" t="str">
        <f>IFERROR(__xludf.DUMMYFUNCTION("""COMPUTED_VALUE"""),"datetime")</f>
        <v>datetime</v>
      </c>
      <c r="AQ1" s="212" t="str">
        <f>IFERROR(__xludf.DUMMYFUNCTION("""COMPUTED_VALUE"""),"docDate")</f>
        <v>docDate</v>
      </c>
      <c r="AR1" s="212" t="str">
        <f>IFERROR(__xludf.DUMMYFUNCTION("""COMPUTED_VALUE"""),"")</f>
        <v/>
      </c>
      <c r="AS1" s="212" t="str">
        <f>IFERROR(__xludf.DUMMYFUNCTION("IMPORTRANGE(""https://docs.google.com/spreadsheets/d/1HW-yrSCd5GRX8NERW7XSFs49YsIB5WzHtomULUEkO2w/edit?usp=sharing"",""customerDetails!A:h"")"),"customerId")</f>
        <v>customerId</v>
      </c>
      <c r="AT1" s="212" t="str">
        <f>IFERROR(__xludf.DUMMYFUNCTION("""COMPUTED_VALUE"""),"customerName")</f>
        <v>customerName</v>
      </c>
      <c r="AU1" s="212" t="str">
        <f>IFERROR(__xludf.DUMMYFUNCTION("""COMPUTED_VALUE"""),"npwp")</f>
        <v>npwp</v>
      </c>
      <c r="AV1" s="212" t="str">
        <f>IFERROR(__xludf.DUMMYFUNCTION("""COMPUTED_VALUE"""),"ppn")</f>
        <v>ppn</v>
      </c>
      <c r="AW1" s="212" t="str">
        <f>IFERROR(__xludf.DUMMYFUNCTION("""COMPUTED_VALUE"""),"address")</f>
        <v>address</v>
      </c>
      <c r="AX1" s="212" t="str">
        <f>IFERROR(__xludf.DUMMYFUNCTION("""COMPUTED_VALUE"""),"termin")</f>
        <v>termin</v>
      </c>
      <c r="AY1" s="212" t="str">
        <f>IFERROR(__xludf.DUMMYFUNCTION("""COMPUTED_VALUE"""),"call")</f>
        <v>call</v>
      </c>
      <c r="AZ1" s="212" t="str">
        <f>IFERROR(__xludf.DUMMYFUNCTION("""COMPUTED_VALUE"""),"reportUpdates")</f>
        <v>reportUpdates</v>
      </c>
      <c r="BA1" s="212"/>
      <c r="BB1" s="212" t="str">
        <f>IFERROR(__xludf.DUMMYFUNCTION("IMPORTRANGE(""https://docs.google.com/spreadsheets/d/1HW-yrSCd5GRX8NERW7XSFs49YsIB5WzHtomULUEkO2w/edit?usp=sharing"",""itemCategoryDetails!A:H"")"),"itemId")</f>
        <v>itemId</v>
      </c>
      <c r="BC1" s="212" t="str">
        <f>IFERROR(__xludf.DUMMYFUNCTION("""COMPUTED_VALUE"""),"itemName")</f>
        <v>itemName</v>
      </c>
      <c r="BD1" s="212" t="str">
        <f>IFERROR(__xludf.DUMMYFUNCTION("""COMPUTED_VALUE"""),"category")</f>
        <v>category</v>
      </c>
      <c r="BE1" s="212" t="str">
        <f>IFERROR(__xludf.DUMMYFUNCTION("""COMPUTED_VALUE"""),"tags")</f>
        <v>tags</v>
      </c>
      <c r="BF1" s="212" t="str">
        <f>IFERROR(__xludf.DUMMYFUNCTION("""COMPUTED_VALUE"""),"satuan")</f>
        <v>satuan</v>
      </c>
      <c r="BG1" s="212" t="str">
        <f>IFERROR(__xludf.DUMMYFUNCTION("""COMPUTED_VALUE"""),"description")</f>
        <v>description</v>
      </c>
      <c r="BH1" s="212" t="str">
        <f>IFERROR(__xludf.DUMMYFUNCTION("""COMPUTED_VALUE"""),"priviledge")</f>
        <v>priviledge</v>
      </c>
      <c r="BI1" s="212"/>
      <c r="BJ1" s="212"/>
    </row>
    <row r="2">
      <c r="A2" s="210" t="str">
        <f>IFERROR(__xludf.DUMMYFUNCTION("""COMPUTED_VALUE"""),"08240001")</f>
        <v>08240001</v>
      </c>
      <c r="B2" s="210" t="str">
        <f>IFERROR(__xludf.DUMMYFUNCTION("""COMPUTED_VALUE"""),"08240001")</f>
        <v>08240001</v>
      </c>
      <c r="C2" s="213">
        <f>IFERROR(__xludf.DUMMYFUNCTION("""COMPUTED_VALUE"""),45527.40744212963)</f>
        <v>45527.40744</v>
      </c>
      <c r="D2" s="211" t="str">
        <f>IFERROR(__xludf.DUMMYFUNCTION("""COMPUTED_VALUE"""),"a9fe1bea")</f>
        <v>a9fe1bea</v>
      </c>
      <c r="E2" s="211" t="str">
        <f>IFERROR(__xludf.DUMMYFUNCTION("""COMPUTED_VALUE"""),"H. Suheiri")</f>
        <v>H. Suheiri</v>
      </c>
      <c r="F2" s="211" t="str">
        <f>IFERROR(__xludf.DUMMYFUNCTION("""COMPUTED_VALUE"""),"8bdbe149")</f>
        <v>8bdbe149</v>
      </c>
      <c r="G2" s="211" t="str">
        <f>IFERROR(__xludf.DUMMYFUNCTION("""COMPUTED_VALUE"""),"Oksigen 6m3")</f>
        <v>Oksigen 6m3</v>
      </c>
      <c r="H2" s="214" t="str">
        <f>IFERROR(__xludf.DUMMYFUNCTION("""COMPUTED_VALUE"""),"OUT")</f>
        <v>OUT</v>
      </c>
      <c r="I2" s="214" t="str">
        <f>IFERROR(__xludf.DUMMYFUNCTION("""COMPUTED_VALUE"""),"NORMAL")</f>
        <v>NORMAL</v>
      </c>
      <c r="J2" s="211">
        <f>IFERROR(__xludf.DUMMYFUNCTION("""COMPUTED_VALUE"""),20.0)</f>
        <v>20</v>
      </c>
      <c r="K2" s="210" t="str">
        <f>IFERROR(__xludf.DUMMYFUNCTION("""COMPUTED_VALUE"""),"1105 1113 1124 1125 1144 1145 1136 1134 1143 1139 1137 1135 1141 1142 1140 1133 1132 1123 1118 1108")</f>
        <v>1105 1113 1124 1125 1144 1145 1136 1134 1143 1139 1137 1135 1141 1142 1140 1133 1132 1123 1118 1108</v>
      </c>
      <c r="L2" s="211">
        <f>IFERROR(__xludf.DUMMYFUNCTION("""COMPUTED_VALUE"""),50000.0)</f>
        <v>50000</v>
      </c>
      <c r="M2" s="211"/>
      <c r="N2" s="211"/>
      <c r="O2" s="211"/>
      <c r="Q2" s="210" t="str">
        <f>IFERROR(__xludf.DUMMYFUNCTION("""COMPUTED_VALUE"""),"08240001")</f>
        <v>08240001</v>
      </c>
      <c r="R2" s="210" t="str">
        <f>IFERROR(__xludf.DUMMYFUNCTION("""COMPUTED_VALUE"""),"08240001")</f>
        <v>08240001</v>
      </c>
      <c r="S2" s="211" t="str">
        <f>IFERROR(__xludf.DUMMYFUNCTION("""COMPUTED_VALUE"""),"a9fe1bea")</f>
        <v>a9fe1bea</v>
      </c>
      <c r="T2" s="211" t="str">
        <f>IFERROR(__xludf.DUMMYFUNCTION("""COMPUTED_VALUE"""),"H. Suheiri")</f>
        <v>H. Suheiri</v>
      </c>
      <c r="U2" s="215">
        <f>IFERROR(__xludf.DUMMYFUNCTION("""COMPUTED_VALUE"""),45527.407442129625)</f>
        <v>45527.40744</v>
      </c>
      <c r="V2"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2" s="211" t="str">
        <f>IFERROR(__xludf.DUMMYFUNCTION("""COMPUTED_VALUE"""),"OUT")</f>
        <v>OUT</v>
      </c>
      <c r="X2" s="211"/>
      <c r="Z2" s="211" t="str">
        <f>IFERROR(__xludf.DUMMYFUNCTION("QUERY($R$2:$W5004,""SELECT R WHERE W='OUT' ORDER BY U DESC"")"),"04261063117")</f>
        <v>04261063117</v>
      </c>
      <c r="AA2" s="211" t="str">
        <f>IFERROR(__xludf.DUMMYFUNCTION("QUERY($R$2:$W5004,""SELECT R WHERE W='OTHER' ORDER BY U DESC"")"),"4042612928")</f>
        <v>4042612928</v>
      </c>
      <c r="AC2" s="211" t="str">
        <f>IFERROR(__xludf.DUMMYFUNCTION("""COMPUTED_VALUE"""),"7b9d8eba")</f>
        <v>7b9d8eba</v>
      </c>
      <c r="AD2" s="211" t="str">
        <f>IFERROR(__xludf.DUMMYFUNCTION("""COMPUTED_VALUE"""),"PT PELANGI INDOKARYA")</f>
        <v>PT PELANGI INDOKARYA</v>
      </c>
      <c r="AE2" s="211" t="str">
        <f>IFERROR(__xludf.DUMMYFUNCTION("""COMPUTED_VALUE"""),"025249210606000")</f>
        <v>025249210606000</v>
      </c>
      <c r="AF2" s="216" t="b">
        <f>IFERROR(__xludf.DUMMYFUNCTION("""COMPUTED_VALUE"""),TRUE)</f>
        <v>1</v>
      </c>
      <c r="AG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AH2" s="217">
        <f>IFERROR(__xludf.DUMMYFUNCTION("""COMPUTED_VALUE"""),30.0)</f>
        <v>30</v>
      </c>
      <c r="AI2" s="211"/>
      <c r="AJ2" s="215">
        <f>IFERROR(__xludf.DUMMYFUNCTION("""COMPUTED_VALUE"""),45887.854166666664)</f>
        <v>45887.85417</v>
      </c>
      <c r="AL2" s="211" t="str">
        <f>IFERROR(__xludf.DUMMYFUNCTION("""COMPUTED_VALUE"""),"2260314")</f>
        <v>2260314</v>
      </c>
      <c r="AM2" s="211" t="str">
        <f>IFERROR(__xludf.DUMMYFUNCTION("""COMPUTED_VALUE"""),"0426502950")</f>
        <v>0426502950</v>
      </c>
      <c r="AN2" s="211" t="str">
        <f>IFERROR(__xludf.DUMMYFUNCTION("""COMPUTED_VALUE"""),"ec231cc9")</f>
        <v>ec231cc9</v>
      </c>
      <c r="AO2" s="211" t="str">
        <f>IFERROR(__xludf.DUMMYFUNCTION("""COMPUTED_VALUE"""),"Bpk. Kohir (Maintenance Velg)")</f>
        <v>Bpk. Kohir (Maintenance Velg)</v>
      </c>
      <c r="AP2" s="215">
        <f>IFERROR(__xludf.DUMMYFUNCTION("""COMPUTED_VALUE"""),46129.46581018518)</f>
        <v>46129.46581</v>
      </c>
      <c r="AQ2" s="218">
        <f>IFERROR(__xludf.DUMMYFUNCTION("""COMPUTED_VALUE"""),46113.0)</f>
        <v>46113</v>
      </c>
      <c r="AR2" s="211"/>
      <c r="AS2" s="211" t="str">
        <f>IFERROR(__xludf.DUMMYFUNCTION("""COMPUTED_VALUE"""),"7b9d8eba")</f>
        <v>7b9d8eba</v>
      </c>
      <c r="AT2" s="211" t="str">
        <f>IFERROR(__xludf.DUMMYFUNCTION("""COMPUTED_VALUE"""),"PT PELANGI INDOKARYA")</f>
        <v>PT PELANGI INDOKARYA</v>
      </c>
      <c r="AU2" s="211" t="str">
        <f>IFERROR(__xludf.DUMMYFUNCTION("""COMPUTED_VALUE"""),"025249210606000")</f>
        <v>025249210606000</v>
      </c>
      <c r="AV2" s="216" t="b">
        <f>IFERROR(__xludf.DUMMYFUNCTION("""COMPUTED_VALUE"""),TRUE)</f>
        <v>1</v>
      </c>
      <c r="AW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AX2" s="217">
        <f>IFERROR(__xludf.DUMMYFUNCTION("""COMPUTED_VALUE"""),30.0)</f>
        <v>30</v>
      </c>
      <c r="AY2" s="211"/>
      <c r="AZ2" s="215">
        <f>IFERROR(__xludf.DUMMYFUNCTION("""COMPUTED_VALUE"""),45887.854166666664)</f>
        <v>45887.85417</v>
      </c>
      <c r="BB2" s="211" t="str">
        <f>IFERROR(__xludf.DUMMYFUNCTION("""COMPUTED_VALUE"""),"3b9d6a30")</f>
        <v>3b9d6a30</v>
      </c>
      <c r="BC2" s="211" t="str">
        <f>IFERROR(__xludf.DUMMYFUNCTION("""COMPUTED_VALUE"""),"Acetyline")</f>
        <v>Acetyline</v>
      </c>
      <c r="BD2" s="211" t="str">
        <f>IFERROR(__xludf.DUMMYFUNCTION("""COMPUTED_VALUE"""),"RENT")</f>
        <v>RENT</v>
      </c>
      <c r="BE2" s="211" t="str">
        <f>IFERROR(__xludf.DUMMYFUNCTION("""COMPUTED_VALUE"""),"MP")</f>
        <v>MP</v>
      </c>
      <c r="BF2" s="211" t="str">
        <f>IFERROR(__xludf.DUMMYFUNCTION("""COMPUTED_VALUE"""),"Btl")</f>
        <v>Btl</v>
      </c>
      <c r="BG2" s="211"/>
      <c r="BH2" s="211" t="b">
        <f>IFERROR(__xludf.DUMMYFUNCTION("""COMPUTED_VALUE"""),TRUE)</f>
        <v>1</v>
      </c>
      <c r="BI2" s="211"/>
    </row>
    <row r="3">
      <c r="A3" s="210" t="str">
        <f>IFERROR(__xludf.DUMMYFUNCTION("""COMPUTED_VALUE"""),"08240002")</f>
        <v>08240002</v>
      </c>
      <c r="B3" s="210" t="str">
        <f>IFERROR(__xludf.DUMMYFUNCTION("""COMPUTED_VALUE"""),"08240002")</f>
        <v>08240002</v>
      </c>
      <c r="C3" s="213">
        <f>IFERROR(__xludf.DUMMYFUNCTION("""COMPUTED_VALUE"""),45527.43210648148)</f>
        <v>45527.43211</v>
      </c>
      <c r="D3" s="211" t="str">
        <f>IFERROR(__xludf.DUMMYFUNCTION("""COMPUTED_VALUE"""),"e968afef")</f>
        <v>e968afef</v>
      </c>
      <c r="E3" s="211" t="str">
        <f>IFERROR(__xludf.DUMMYFUNCTION("""COMPUTED_VALUE"""),"Bpk. Agus")</f>
        <v>Bpk. Agus</v>
      </c>
      <c r="F3" s="211" t="str">
        <f>IFERROR(__xludf.DUMMYFUNCTION("""COMPUTED_VALUE"""),"8bdbe149")</f>
        <v>8bdbe149</v>
      </c>
      <c r="G3" s="211" t="str">
        <f>IFERROR(__xludf.DUMMYFUNCTION("""COMPUTED_VALUE"""),"Oksigen 6m3")</f>
        <v>Oksigen 6m3</v>
      </c>
      <c r="H3" s="214" t="str">
        <f>IFERROR(__xludf.DUMMYFUNCTION("""COMPUTED_VALUE"""),"OUT")</f>
        <v>OUT</v>
      </c>
      <c r="I3" s="214" t="str">
        <f>IFERROR(__xludf.DUMMYFUNCTION("""COMPUTED_VALUE"""),"NORMAL")</f>
        <v>NORMAL</v>
      </c>
      <c r="J3" s="211">
        <f>IFERROR(__xludf.DUMMYFUNCTION("""COMPUTED_VALUE"""),10.0)</f>
        <v>10</v>
      </c>
      <c r="K3" s="210" t="str">
        <f>IFERROR(__xludf.DUMMYFUNCTION("""COMPUTED_VALUE"""),"1109 1102 1114 1111 1115 1110 1107 1106 1103 1104")</f>
        <v>1109 1102 1114 1111 1115 1110 1107 1106 1103 1104</v>
      </c>
      <c r="L3" s="211">
        <f>IFERROR(__xludf.DUMMYFUNCTION("""COMPUTED_VALUE"""),60000.0)</f>
        <v>60000</v>
      </c>
      <c r="M3" s="211"/>
      <c r="N3" s="211"/>
      <c r="O3" s="211"/>
      <c r="Q3" s="210" t="str">
        <f>IFERROR(__xludf.DUMMYFUNCTION("""COMPUTED_VALUE"""),"08240002")</f>
        <v>08240002</v>
      </c>
      <c r="R3" s="210" t="str">
        <f>IFERROR(__xludf.DUMMYFUNCTION("""COMPUTED_VALUE"""),"08240002")</f>
        <v>08240002</v>
      </c>
      <c r="S3" s="211" t="str">
        <f>IFERROR(__xludf.DUMMYFUNCTION("""COMPUTED_VALUE"""),"e968afef")</f>
        <v>e968afef</v>
      </c>
      <c r="T3" s="211" t="str">
        <f>IFERROR(__xludf.DUMMYFUNCTION("""COMPUTED_VALUE"""),"Bpk. Agus")</f>
        <v>Bpk. Agus</v>
      </c>
      <c r="U3" s="215">
        <f>IFERROR(__xludf.DUMMYFUNCTION("""COMPUTED_VALUE"""),45527.43210648149)</f>
        <v>45527.43211</v>
      </c>
      <c r="V3" s="211" t="str">
        <f>IFERROR(__xludf.DUMMYFUNCTION("""COMPUTED_VALUE"""),"Jl. Parengan 13, Semawut, Balongbendo, Kec. BalongBendo, Kabupaten Sidoarjo, Jawa Timur 61263")</f>
        <v>Jl. Parengan 13, Semawut, Balongbendo, Kec. BalongBendo, Kabupaten Sidoarjo, Jawa Timur 61263</v>
      </c>
      <c r="W3" s="211" t="str">
        <f>IFERROR(__xludf.DUMMYFUNCTION("""COMPUTED_VALUE"""),"OUT")</f>
        <v>OUT</v>
      </c>
      <c r="X3" s="211"/>
      <c r="Z3" s="211" t="str">
        <f>IFERROR(__xludf.DUMMYFUNCTION("""COMPUTED_VALUE"""),"0426533113")</f>
        <v>0426533113</v>
      </c>
      <c r="AA3" s="211" t="str">
        <f>IFERROR(__xludf.DUMMYFUNCTION("""COMPUTED_VALUE"""),"4032632926")</f>
        <v>4032632926</v>
      </c>
      <c r="AC3" s="211" t="str">
        <f>IFERROR(__xludf.DUMMYFUNCTION("""COMPUTED_VALUE"""),"f8335a53")</f>
        <v>f8335a53</v>
      </c>
      <c r="AD3" s="211" t="str">
        <f>IFERROR(__xludf.DUMMYFUNCTION("""COMPUTED_VALUE"""),"CV RAGAM JAYA ENGINEERING")</f>
        <v>CV RAGAM JAYA ENGINEERING</v>
      </c>
      <c r="AE3" s="211"/>
      <c r="AF3" s="216" t="b">
        <f>IFERROR(__xludf.DUMMYFUNCTION("""COMPUTED_VALUE"""),TRUE)</f>
        <v>1</v>
      </c>
      <c r="AG3" s="211" t="str">
        <f>IFERROR(__xludf.DUMMYFUNCTION("""COMPUTED_VALUE"""),"Jl. Balung wangon, Dadapkuning, Bulurejo, Kec. Benjeng, Kabupaten Gresik, Jawa Timur 61172")</f>
        <v>Jl. Balung wangon, Dadapkuning, Bulurejo, Kec. Benjeng, Kabupaten Gresik, Jawa Timur 61172</v>
      </c>
      <c r="AH3" s="217">
        <f>IFERROR(__xludf.DUMMYFUNCTION("""COMPUTED_VALUE"""),30.0)</f>
        <v>30</v>
      </c>
      <c r="AI3" s="211"/>
      <c r="AJ3" s="211"/>
      <c r="AL3" s="211" t="str">
        <f>IFERROR(__xludf.DUMMYFUNCTION("""COMPUTED_VALUE"""),"2260314")</f>
        <v>2260314</v>
      </c>
      <c r="AM3" s="211" t="str">
        <f>IFERROR(__xludf.DUMMYFUNCTION("""COMPUTED_VALUE"""),"0426513006")</f>
        <v>0426513006</v>
      </c>
      <c r="AN3" s="211" t="str">
        <f>IFERROR(__xludf.DUMMYFUNCTION("""COMPUTED_VALUE"""),"ec231cc9")</f>
        <v>ec231cc9</v>
      </c>
      <c r="AO3" s="211" t="str">
        <f>IFERROR(__xludf.DUMMYFUNCTION("""COMPUTED_VALUE"""),"Bpk. Kohir (Maintenance Velg)")</f>
        <v>Bpk. Kohir (Maintenance Velg)</v>
      </c>
      <c r="AP3" s="215">
        <f>IFERROR(__xludf.DUMMYFUNCTION("""COMPUTED_VALUE"""),46129.46581018518)</f>
        <v>46129.46581</v>
      </c>
      <c r="AQ3" s="218">
        <f>IFERROR(__xludf.DUMMYFUNCTION("""COMPUTED_VALUE"""),46119.0)</f>
        <v>46119</v>
      </c>
      <c r="AR3" s="211"/>
      <c r="AS3" s="211" t="str">
        <f>IFERROR(__xludf.DUMMYFUNCTION("""COMPUTED_VALUE"""),"f8335a53")</f>
        <v>f8335a53</v>
      </c>
      <c r="AT3" s="211" t="str">
        <f>IFERROR(__xludf.DUMMYFUNCTION("""COMPUTED_VALUE"""),"CV RAGAM JAYA ENGINEERING")</f>
        <v>CV RAGAM JAYA ENGINEERING</v>
      </c>
      <c r="AU3" s="211"/>
      <c r="AV3" s="216" t="b">
        <f>IFERROR(__xludf.DUMMYFUNCTION("""COMPUTED_VALUE"""),TRUE)</f>
        <v>1</v>
      </c>
      <c r="AW3" s="211" t="str">
        <f>IFERROR(__xludf.DUMMYFUNCTION("""COMPUTED_VALUE"""),"Jl. Balung wangon, Dadapkuning, Bulurejo, Kec. Benjeng, Kabupaten Gresik, Jawa Timur 61172")</f>
        <v>Jl. Balung wangon, Dadapkuning, Bulurejo, Kec. Benjeng, Kabupaten Gresik, Jawa Timur 61172</v>
      </c>
      <c r="AX3" s="217">
        <f>IFERROR(__xludf.DUMMYFUNCTION("""COMPUTED_VALUE"""),30.0)</f>
        <v>30</v>
      </c>
      <c r="AY3" s="211"/>
      <c r="AZ3" s="211"/>
      <c r="BB3" s="211" t="str">
        <f>IFERROR(__xludf.DUMMYFUNCTION("""COMPUTED_VALUE"""),"66af7c72")</f>
        <v>66af7c72</v>
      </c>
      <c r="BC3" s="211" t="str">
        <f>IFERROR(__xludf.DUMMYFUNCTION("""COMPUTED_VALUE"""),"Argon 6m3")</f>
        <v>Argon 6m3</v>
      </c>
      <c r="BD3" s="211" t="str">
        <f>IFERROR(__xludf.DUMMYFUNCTION("""COMPUTED_VALUE"""),"RENT")</f>
        <v>RENT</v>
      </c>
      <c r="BE3" s="211" t="str">
        <f>IFERROR(__xludf.DUMMYFUNCTION("""COMPUTED_VALUE"""),"MP")</f>
        <v>MP</v>
      </c>
      <c r="BF3" s="211" t="str">
        <f>IFERROR(__xludf.DUMMYFUNCTION("""COMPUTED_VALUE"""),"Btl")</f>
        <v>Btl</v>
      </c>
      <c r="BG3" s="211"/>
      <c r="BH3" s="211" t="b">
        <f>IFERROR(__xludf.DUMMYFUNCTION("""COMPUTED_VALUE"""),TRUE)</f>
        <v>1</v>
      </c>
      <c r="BI3" s="211"/>
    </row>
    <row r="4">
      <c r="A4" s="210" t="str">
        <f>IFERROR(__xludf.DUMMYFUNCTION("""COMPUTED_VALUE"""),"75bc467e")</f>
        <v>75bc467e</v>
      </c>
      <c r="B4" s="210" t="str">
        <f>IFERROR(__xludf.DUMMYFUNCTION("""COMPUTED_VALUE"""),"75bc467e")</f>
        <v>75bc467e</v>
      </c>
      <c r="C4" s="213">
        <f>IFERROR(__xludf.DUMMYFUNCTION("""COMPUTED_VALUE"""),45530.43541666667)</f>
        <v>45530.43542</v>
      </c>
      <c r="D4" s="211" t="str">
        <f>IFERROR(__xludf.DUMMYFUNCTION("""COMPUTED_VALUE"""),"a9fe1bea")</f>
        <v>a9fe1bea</v>
      </c>
      <c r="E4" s="211" t="str">
        <f>IFERROR(__xludf.DUMMYFUNCTION("""COMPUTED_VALUE"""),"H. Suheiri")</f>
        <v>H. Suheiri</v>
      </c>
      <c r="F4" s="211" t="str">
        <f>IFERROR(__xludf.DUMMYFUNCTION("""COMPUTED_VALUE"""),"8bdbe149")</f>
        <v>8bdbe149</v>
      </c>
      <c r="G4" s="211" t="str">
        <f>IFERROR(__xludf.DUMMYFUNCTION("""COMPUTED_VALUE"""),"Oksigen 6m3")</f>
        <v>Oksigen 6m3</v>
      </c>
      <c r="H4" s="214" t="str">
        <f>IFERROR(__xludf.DUMMYFUNCTION("""COMPUTED_VALUE"""),"IN")</f>
        <v>IN</v>
      </c>
      <c r="I4" s="214" t="str">
        <f>IFERROR(__xludf.DUMMYFUNCTION("""COMPUTED_VALUE"""),"EMPTY")</f>
        <v>EMPTY</v>
      </c>
      <c r="J4" s="211">
        <f>IFERROR(__xludf.DUMMYFUNCTION("""COMPUTED_VALUE"""),4.0)</f>
        <v>4</v>
      </c>
      <c r="K4" s="210" t="str">
        <f>IFERROR(__xludf.DUMMYFUNCTION("""COMPUTED_VALUE"""),"1139 1113 1105 1135")</f>
        <v>1139 1113 1105 1135</v>
      </c>
      <c r="L4" s="211"/>
      <c r="M4" s="211"/>
      <c r="N4" s="211"/>
      <c r="O4" s="211"/>
      <c r="Q4" s="210" t="str">
        <f>IFERROR(__xludf.DUMMYFUNCTION("""COMPUTED_VALUE"""),"75bc467e")</f>
        <v>75bc467e</v>
      </c>
      <c r="R4" s="210" t="str">
        <f>IFERROR(__xludf.DUMMYFUNCTION("""COMPUTED_VALUE"""),"75bc467e")</f>
        <v>75bc467e</v>
      </c>
      <c r="S4" s="211" t="str">
        <f>IFERROR(__xludf.DUMMYFUNCTION("""COMPUTED_VALUE"""),"a9fe1bea")</f>
        <v>a9fe1bea</v>
      </c>
      <c r="T4" s="211" t="str">
        <f>IFERROR(__xludf.DUMMYFUNCTION("""COMPUTED_VALUE"""),"H. Suheiri")</f>
        <v>H. Suheiri</v>
      </c>
      <c r="U4" s="215">
        <f>IFERROR(__xludf.DUMMYFUNCTION("""COMPUTED_VALUE"""),45530.43541666667)</f>
        <v>45530.43542</v>
      </c>
      <c r="V4"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4" s="211" t="str">
        <f>IFERROR(__xludf.DUMMYFUNCTION("""COMPUTED_VALUE"""),"IN")</f>
        <v>IN</v>
      </c>
      <c r="X4" s="211"/>
      <c r="Z4" s="211" t="str">
        <f>IFERROR(__xludf.DUMMYFUNCTION("""COMPUTED_VALUE"""),"04261053112")</f>
        <v>04261053112</v>
      </c>
      <c r="AA4" s="211" t="str">
        <f>IFERROR(__xludf.DUMMYFUNCTION("""COMPUTED_VALUE"""),"4032622925")</f>
        <v>4032622925</v>
      </c>
      <c r="AC4" s="211" t="str">
        <f>IFERROR(__xludf.DUMMYFUNCTION("""COMPUTED_VALUE"""),"e86baf3b")</f>
        <v>e86baf3b</v>
      </c>
      <c r="AD4" s="211" t="str">
        <f>IFERROR(__xludf.DUMMYFUNCTION("""COMPUTED_VALUE"""),"PT GEMILANG CIPTA WAWASAN")</f>
        <v>PT GEMILANG CIPTA WAWASAN</v>
      </c>
      <c r="AE4" s="211" t="str">
        <f>IFERROR(__xludf.DUMMYFUNCTION("""COMPUTED_VALUE"""),"019634344015000")</f>
        <v>019634344015000</v>
      </c>
      <c r="AF4" s="216" t="b">
        <f>IFERROR(__xludf.DUMMYFUNCTION("""COMPUTED_VALUE"""),TRUE)</f>
        <v>1</v>
      </c>
      <c r="AG4" s="211" t="str">
        <f>IFERROR(__xludf.DUMMYFUNCTION("""COMPUTED_VALUE"""),"JL TEBET RAYA, 2A, TEBET BARAT, TEBET, KOTA ADM, JAKARTA SELATAN, DKI JAKARTA")</f>
        <v>JL TEBET RAYA, 2A, TEBET BARAT, TEBET, KOTA ADM, JAKARTA SELATAN, DKI JAKARTA</v>
      </c>
      <c r="AH4" s="217">
        <f>IFERROR(__xludf.DUMMYFUNCTION("""COMPUTED_VALUE"""),30.0)</f>
        <v>30</v>
      </c>
      <c r="AI4" s="211"/>
      <c r="AJ4" s="215">
        <f>IFERROR(__xludf.DUMMYFUNCTION("""COMPUTED_VALUE"""),46081.60934027778)</f>
        <v>46081.60934</v>
      </c>
      <c r="AL4" s="211" t="str">
        <f>IFERROR(__xludf.DUMMYFUNCTION("""COMPUTED_VALUE"""),"2260314")</f>
        <v>2260314</v>
      </c>
      <c r="AM4" s="211" t="str">
        <f>IFERROR(__xludf.DUMMYFUNCTION("""COMPUTED_VALUE"""),"0426523078")</f>
        <v>0426523078</v>
      </c>
      <c r="AN4" s="211" t="str">
        <f>IFERROR(__xludf.DUMMYFUNCTION("""COMPUTED_VALUE"""),"ec231cc9")</f>
        <v>ec231cc9</v>
      </c>
      <c r="AO4" s="211" t="str">
        <f>IFERROR(__xludf.DUMMYFUNCTION("""COMPUTED_VALUE"""),"Bpk. Kohir (Maintenance Velg)")</f>
        <v>Bpk. Kohir (Maintenance Velg)</v>
      </c>
      <c r="AP4" s="215">
        <f>IFERROR(__xludf.DUMMYFUNCTION("""COMPUTED_VALUE"""),46129.46581018518)</f>
        <v>46129.46581</v>
      </c>
      <c r="AQ4" s="218">
        <f>IFERROR(__xludf.DUMMYFUNCTION("""COMPUTED_VALUE"""),46126.0)</f>
        <v>46126</v>
      </c>
      <c r="AR4" s="211"/>
      <c r="AS4" s="211" t="str">
        <f>IFERROR(__xludf.DUMMYFUNCTION("""COMPUTED_VALUE"""),"e86baf3b")</f>
        <v>e86baf3b</v>
      </c>
      <c r="AT4" s="211" t="str">
        <f>IFERROR(__xludf.DUMMYFUNCTION("""COMPUTED_VALUE"""),"PT GEMILANG CIPTA WAWASAN")</f>
        <v>PT GEMILANG CIPTA WAWASAN</v>
      </c>
      <c r="AU4" s="211" t="str">
        <f>IFERROR(__xludf.DUMMYFUNCTION("""COMPUTED_VALUE"""),"019634344015000")</f>
        <v>019634344015000</v>
      </c>
      <c r="AV4" s="216" t="b">
        <f>IFERROR(__xludf.DUMMYFUNCTION("""COMPUTED_VALUE"""),TRUE)</f>
        <v>1</v>
      </c>
      <c r="AW4" s="211" t="str">
        <f>IFERROR(__xludf.DUMMYFUNCTION("""COMPUTED_VALUE"""),"JL TEBET RAYA, 2A, TEBET BARAT, TEBET, KOTA ADM, JAKARTA SELATAN, DKI JAKARTA")</f>
        <v>JL TEBET RAYA, 2A, TEBET BARAT, TEBET, KOTA ADM, JAKARTA SELATAN, DKI JAKARTA</v>
      </c>
      <c r="AX4" s="217">
        <f>IFERROR(__xludf.DUMMYFUNCTION("""COMPUTED_VALUE"""),30.0)</f>
        <v>30</v>
      </c>
      <c r="AY4" s="211"/>
      <c r="AZ4" s="215">
        <f>IFERROR(__xludf.DUMMYFUNCTION("""COMPUTED_VALUE"""),46081.60934027778)</f>
        <v>46081.60934</v>
      </c>
      <c r="BB4" s="211" t="str">
        <f>IFERROR(__xludf.DUMMYFUNCTION("""COMPUTED_VALUE"""),"ce3b37d3")</f>
        <v>ce3b37d3</v>
      </c>
      <c r="BC4" s="211" t="str">
        <f>IFERROR(__xludf.DUMMYFUNCTION("""COMPUTED_VALUE"""),"Argon MR")</f>
        <v>Argon MR</v>
      </c>
      <c r="BD4" s="211" t="str">
        <f>IFERROR(__xludf.DUMMYFUNCTION("""COMPUTED_VALUE"""),"RENT")</f>
        <v>RENT</v>
      </c>
      <c r="BE4" s="211" t="str">
        <f>IFERROR(__xludf.DUMMYFUNCTION("""COMPUTED_VALUE"""),"MR")</f>
        <v>MR</v>
      </c>
      <c r="BF4" s="211" t="str">
        <f>IFERROR(__xludf.DUMMYFUNCTION("""COMPUTED_VALUE"""),"Btl")</f>
        <v>Btl</v>
      </c>
      <c r="BG4" s="211"/>
      <c r="BH4" s="211" t="b">
        <f>IFERROR(__xludf.DUMMYFUNCTION("""COMPUTED_VALUE"""),FALSE)</f>
        <v>0</v>
      </c>
      <c r="BI4" s="211"/>
    </row>
    <row r="5">
      <c r="A5" s="210" t="str">
        <f>IFERROR(__xludf.DUMMYFUNCTION("""COMPUTED_VALUE"""),"08240003")</f>
        <v>08240003</v>
      </c>
      <c r="B5" s="210" t="str">
        <f>IFERROR(__xludf.DUMMYFUNCTION("""COMPUTED_VALUE"""),"08240003")</f>
        <v>08240003</v>
      </c>
      <c r="C5" s="213">
        <f>IFERROR(__xludf.DUMMYFUNCTION("""COMPUTED_VALUE"""),45530.46597222222)</f>
        <v>45530.46597</v>
      </c>
      <c r="D5" s="211" t="str">
        <f>IFERROR(__xludf.DUMMYFUNCTION("""COMPUTED_VALUE"""),"e968afef")</f>
        <v>e968afef</v>
      </c>
      <c r="E5" s="211" t="str">
        <f>IFERROR(__xludf.DUMMYFUNCTION("""COMPUTED_VALUE"""),"Bpk. Agus")</f>
        <v>Bpk. Agus</v>
      </c>
      <c r="F5" s="211" t="str">
        <f>IFERROR(__xludf.DUMMYFUNCTION("""COMPUTED_VALUE"""),"be525f3b")</f>
        <v>be525f3b</v>
      </c>
      <c r="G5" s="211" t="str">
        <f>IFERROR(__xludf.DUMMYFUNCTION("""COMPUTED_VALUE"""),"LPG 12kg")</f>
        <v>LPG 12kg</v>
      </c>
      <c r="H5" s="214" t="str">
        <f>IFERROR(__xludf.DUMMYFUNCTION("""COMPUTED_VALUE"""),"OUT")</f>
        <v>OUT</v>
      </c>
      <c r="I5" s="214" t="str">
        <f>IFERROR(__xludf.DUMMYFUNCTION("""COMPUTED_VALUE"""),"NORMAL")</f>
        <v>NORMAL</v>
      </c>
      <c r="J5" s="211">
        <f>IFERROR(__xludf.DUMMYFUNCTION("""COMPUTED_VALUE"""),1.0)</f>
        <v>1</v>
      </c>
      <c r="K5" s="210" t="str">
        <f>IFERROR(__xludf.DUMMYFUNCTION("""COMPUTED_VALUE"""),"L1")</f>
        <v>L1</v>
      </c>
      <c r="L5" s="211">
        <f>IFERROR(__xludf.DUMMYFUNCTION("""COMPUTED_VALUE"""),210000.0)</f>
        <v>210000</v>
      </c>
      <c r="M5" s="211"/>
      <c r="N5" s="211"/>
      <c r="O5" s="211"/>
      <c r="Q5" s="210" t="str">
        <f>IFERROR(__xludf.DUMMYFUNCTION("""COMPUTED_VALUE"""),"08240003")</f>
        <v>08240003</v>
      </c>
      <c r="R5" s="210" t="str">
        <f>IFERROR(__xludf.DUMMYFUNCTION("""COMPUTED_VALUE"""),"08240003")</f>
        <v>08240003</v>
      </c>
      <c r="S5" s="211" t="str">
        <f>IFERROR(__xludf.DUMMYFUNCTION("""COMPUTED_VALUE"""),"e968afef")</f>
        <v>e968afef</v>
      </c>
      <c r="T5" s="211" t="str">
        <f>IFERROR(__xludf.DUMMYFUNCTION("""COMPUTED_VALUE"""),"Bpk. Agus")</f>
        <v>Bpk. Agus</v>
      </c>
      <c r="U5" s="215">
        <f>IFERROR(__xludf.DUMMYFUNCTION("""COMPUTED_VALUE"""),45530.46597222222)</f>
        <v>45530.46597</v>
      </c>
      <c r="V5" s="211" t="str">
        <f>IFERROR(__xludf.DUMMYFUNCTION("""COMPUTED_VALUE"""),"Jl. Parengan 13, Semawut, Balongbendo, Kec. BalongBendo, Kabupaten Sidoarjo, Jawa Timur 61263")</f>
        <v>Jl. Parengan 13, Semawut, Balongbendo, Kec. BalongBendo, Kabupaten Sidoarjo, Jawa Timur 61263</v>
      </c>
      <c r="W5" s="211" t="str">
        <f>IFERROR(__xludf.DUMMYFUNCTION("""COMPUTED_VALUE"""),"OUT")</f>
        <v>OUT</v>
      </c>
      <c r="X5" s="211"/>
      <c r="Z5" s="211" t="str">
        <f>IFERROR(__xludf.DUMMYFUNCTION("""COMPUTED_VALUE"""),"042623104")</f>
        <v>042623104</v>
      </c>
      <c r="AA5" s="211" t="str">
        <f>IFERROR(__xludf.DUMMYFUNCTION("""COMPUTED_VALUE"""),"4032612921")</f>
        <v>4032612921</v>
      </c>
      <c r="AC5" s="211" t="str">
        <f>IFERROR(__xludf.DUMMYFUNCTION("""COMPUTED_VALUE"""),"2d88931c")</f>
        <v>2d88931c</v>
      </c>
      <c r="AD5" s="211" t="str">
        <f>IFERROR(__xludf.DUMMYFUNCTION("""COMPUTED_VALUE"""),"PT Dunia Berkat Marga Mulya")</f>
        <v>PT Dunia Berkat Marga Mulya</v>
      </c>
      <c r="AE5" s="211" t="str">
        <f>IFERROR(__xludf.DUMMYFUNCTION("""COMPUTED_VALUE"""),"0763467586603000")</f>
        <v>0763467586603000</v>
      </c>
      <c r="AF5" s="216" t="b">
        <f>IFERROR(__xludf.DUMMYFUNCTION("""COMPUTED_VALUE"""),TRUE)</f>
        <v>1</v>
      </c>
      <c r="AG5" s="211" t="str">
        <f>IFERROR(__xludf.DUMMYFUNCTION("""COMPUTED_VALUE"""),"JL JABARAN, WATESARI, BALONGBENDO, SIDOARJO, JAWA TIMUR")</f>
        <v>JL JABARAN, WATESARI, BALONGBENDO, SIDOARJO, JAWA TIMUR</v>
      </c>
      <c r="AH5" s="217">
        <f>IFERROR(__xludf.DUMMYFUNCTION("""COMPUTED_VALUE"""),30.0)</f>
        <v>30</v>
      </c>
      <c r="AI5" s="211"/>
      <c r="AJ5" s="211"/>
      <c r="AL5" s="211" t="str">
        <f>IFERROR(__xludf.DUMMYFUNCTION("""COMPUTED_VALUE"""),"2260314")</f>
        <v>2260314</v>
      </c>
      <c r="AM5" s="211" t="str">
        <f>IFERROR(__xludf.DUMMYFUNCTION("""COMPUTED_VALUE"""),"0426533113")</f>
        <v>0426533113</v>
      </c>
      <c r="AN5" s="211" t="str">
        <f>IFERROR(__xludf.DUMMYFUNCTION("""COMPUTED_VALUE"""),"ec231cc9")</f>
        <v>ec231cc9</v>
      </c>
      <c r="AO5" s="211" t="str">
        <f>IFERROR(__xludf.DUMMYFUNCTION("""COMPUTED_VALUE"""),"Bpk. Kadir (Maintenance Velg)")</f>
        <v>Bpk. Kadir (Maintenance Velg)</v>
      </c>
      <c r="AP5" s="215">
        <f>IFERROR(__xludf.DUMMYFUNCTION("""COMPUTED_VALUE"""),46129.46581018518)</f>
        <v>46129.46581</v>
      </c>
      <c r="AQ5" s="218">
        <f>IFERROR(__xludf.DUMMYFUNCTION("""COMPUTED_VALUE"""),46129.0)</f>
        <v>46129</v>
      </c>
      <c r="AR5" s="211"/>
      <c r="AS5" s="211" t="str">
        <f>IFERROR(__xludf.DUMMYFUNCTION("""COMPUTED_VALUE"""),"2d88931c")</f>
        <v>2d88931c</v>
      </c>
      <c r="AT5" s="211" t="str">
        <f>IFERROR(__xludf.DUMMYFUNCTION("""COMPUTED_VALUE"""),"PT Dunia Berkat Marga Mulya")</f>
        <v>PT Dunia Berkat Marga Mulya</v>
      </c>
      <c r="AU5" s="211" t="str">
        <f>IFERROR(__xludf.DUMMYFUNCTION("""COMPUTED_VALUE"""),"0763467586603000")</f>
        <v>0763467586603000</v>
      </c>
      <c r="AV5" s="216" t="b">
        <f>IFERROR(__xludf.DUMMYFUNCTION("""COMPUTED_VALUE"""),TRUE)</f>
        <v>1</v>
      </c>
      <c r="AW5" s="211" t="str">
        <f>IFERROR(__xludf.DUMMYFUNCTION("""COMPUTED_VALUE"""),"JL JABARAN, WATESARI, BALONGBENDO, SIDOARJO, JAWA TIMUR")</f>
        <v>JL JABARAN, WATESARI, BALONGBENDO, SIDOARJO, JAWA TIMUR</v>
      </c>
      <c r="AX5" s="217">
        <f>IFERROR(__xludf.DUMMYFUNCTION("""COMPUTED_VALUE"""),30.0)</f>
        <v>30</v>
      </c>
      <c r="AY5" s="211"/>
      <c r="AZ5" s="211"/>
      <c r="BB5" s="211" t="str">
        <f>IFERROR(__xludf.DUMMYFUNCTION("""COMPUTED_VALUE"""),"ef306e54")</f>
        <v>ef306e54</v>
      </c>
      <c r="BC5" s="211" t="str">
        <f>IFERROR(__xludf.DUMMYFUNCTION("""COMPUTED_VALUE"""),"Karbondioksida")</f>
        <v>Karbondioksida</v>
      </c>
      <c r="BD5" s="211" t="str">
        <f>IFERROR(__xludf.DUMMYFUNCTION("""COMPUTED_VALUE"""),"RENT")</f>
        <v>RENT</v>
      </c>
      <c r="BE5" s="211" t="str">
        <f>IFERROR(__xludf.DUMMYFUNCTION("""COMPUTED_VALUE"""),"MP")</f>
        <v>MP</v>
      </c>
      <c r="BF5" s="211" t="str">
        <f>IFERROR(__xludf.DUMMYFUNCTION("""COMPUTED_VALUE"""),"Btl")</f>
        <v>Btl</v>
      </c>
      <c r="BG5" s="211"/>
      <c r="BH5" s="211" t="b">
        <f>IFERROR(__xludf.DUMMYFUNCTION("""COMPUTED_VALUE"""),TRUE)</f>
        <v>1</v>
      </c>
      <c r="BI5" s="211"/>
    </row>
    <row r="6">
      <c r="A6" s="210" t="str">
        <f>IFERROR(__xludf.DUMMYFUNCTION("""COMPUTED_VALUE"""),"08240003")</f>
        <v>08240003</v>
      </c>
      <c r="B6" s="210" t="str">
        <f>IFERROR(__xludf.DUMMYFUNCTION("""COMPUTED_VALUE"""),"08240003")</f>
        <v>08240003</v>
      </c>
      <c r="C6" s="213">
        <f>IFERROR(__xludf.DUMMYFUNCTION("""COMPUTED_VALUE"""),45530.507835648146)</f>
        <v>45530.50784</v>
      </c>
      <c r="D6" s="211" t="str">
        <f>IFERROR(__xludf.DUMMYFUNCTION("""COMPUTED_VALUE"""),"e968afef")</f>
        <v>e968afef</v>
      </c>
      <c r="E6" s="211" t="str">
        <f>IFERROR(__xludf.DUMMYFUNCTION("""COMPUTED_VALUE"""),"Bpk. Agus")</f>
        <v>Bpk. Agus</v>
      </c>
      <c r="F6" s="211" t="str">
        <f>IFERROR(__xludf.DUMMYFUNCTION("""COMPUTED_VALUE"""),"8bdbe149")</f>
        <v>8bdbe149</v>
      </c>
      <c r="G6" s="211" t="str">
        <f>IFERROR(__xludf.DUMMYFUNCTION("""COMPUTED_VALUE"""),"Oksigen 6m3")</f>
        <v>Oksigen 6m3</v>
      </c>
      <c r="H6" s="214" t="str">
        <f>IFERROR(__xludf.DUMMYFUNCTION("""COMPUTED_VALUE"""),"OUT")</f>
        <v>OUT</v>
      </c>
      <c r="I6" s="214" t="str">
        <f>IFERROR(__xludf.DUMMYFUNCTION("""COMPUTED_VALUE"""),"NORMAL")</f>
        <v>NORMAL</v>
      </c>
      <c r="J6" s="211">
        <f>IFERROR(__xludf.DUMMYFUNCTION("""COMPUTED_VALUE"""),10.0)</f>
        <v>10</v>
      </c>
      <c r="K6" s="210" t="str">
        <f>IFERROR(__xludf.DUMMYFUNCTION("""COMPUTED_VALUE"""),"1149 1147 1138 1148 1150 1146 1130 1129 1127 1101")</f>
        <v>1149 1147 1138 1148 1150 1146 1130 1129 1127 1101</v>
      </c>
      <c r="L6" s="211">
        <f>IFERROR(__xludf.DUMMYFUNCTION("""COMPUTED_VALUE"""),60000.0)</f>
        <v>60000</v>
      </c>
      <c r="M6" s="211"/>
      <c r="N6" s="211"/>
      <c r="O6" s="211"/>
      <c r="Q6" s="210" t="str">
        <f>IFERROR(__xludf.DUMMYFUNCTION("""COMPUTED_VALUE"""),"70277243")</f>
        <v>70277243</v>
      </c>
      <c r="R6" s="210" t="str">
        <f>IFERROR(__xludf.DUMMYFUNCTION("""COMPUTED_VALUE"""),"70277243")</f>
        <v>70277243</v>
      </c>
      <c r="S6" s="211" t="str">
        <f>IFERROR(__xludf.DUMMYFUNCTION("""COMPUTED_VALUE"""),"e968afef")</f>
        <v>e968afef</v>
      </c>
      <c r="T6" s="211" t="str">
        <f>IFERROR(__xludf.DUMMYFUNCTION("""COMPUTED_VALUE"""),"Bpk. Agus")</f>
        <v>Bpk. Agus</v>
      </c>
      <c r="U6" s="215">
        <f>IFERROR(__xludf.DUMMYFUNCTION("""COMPUTED_VALUE"""),45530.61184027778)</f>
        <v>45530.61184</v>
      </c>
      <c r="V6" s="211" t="str">
        <f>IFERROR(__xludf.DUMMYFUNCTION("""COMPUTED_VALUE"""),"Jl. Parengan 13, Semawut, Balongbendo, Kec. BalongBendo, Kabupaten Sidoarjo, Jawa Timur 61263")</f>
        <v>Jl. Parengan 13, Semawut, Balongbendo, Kec. BalongBendo, Kabupaten Sidoarjo, Jawa Timur 61263</v>
      </c>
      <c r="W6" s="211" t="str">
        <f>IFERROR(__xludf.DUMMYFUNCTION("""COMPUTED_VALUE"""),"IN")</f>
        <v>IN</v>
      </c>
      <c r="X6" s="211"/>
      <c r="Z6" s="211" t="str">
        <f>IFERROR(__xludf.DUMMYFUNCTION("""COMPUTED_VALUE"""),"0426153103")</f>
        <v>0426153103</v>
      </c>
      <c r="AA6" s="211" t="str">
        <f>IFERROR(__xludf.DUMMYFUNCTION("""COMPUTED_VALUE"""),"4032612903")</f>
        <v>4032612903</v>
      </c>
      <c r="AC6" s="211" t="str">
        <f>IFERROR(__xludf.DUMMYFUNCTION("""COMPUTED_VALUE"""),"a9fe1bea")</f>
        <v>a9fe1bea</v>
      </c>
      <c r="AD6" s="211" t="str">
        <f>IFERROR(__xludf.DUMMYFUNCTION("""COMPUTED_VALUE"""),"H. Suheiri")</f>
        <v>H. Suheiri</v>
      </c>
      <c r="AE6" s="211"/>
      <c r="AF6" s="216" t="b">
        <f>IFERROR(__xludf.DUMMYFUNCTION("""COMPUTED_VALUE"""),FALSE)</f>
        <v>0</v>
      </c>
      <c r="AG6"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AH6" s="217">
        <f>IFERROR(__xludf.DUMMYFUNCTION("""COMPUTED_VALUE"""),14.0)</f>
        <v>14</v>
      </c>
      <c r="AI6" s="211"/>
      <c r="AJ6" s="211"/>
      <c r="AL6" s="211" t="str">
        <f>IFERROR(__xludf.DUMMYFUNCTION("""COMPUTED_VALUE"""),"2260313")</f>
        <v>2260313</v>
      </c>
      <c r="AM6" s="211" t="str">
        <f>IFERROR(__xludf.DUMMYFUNCTION("""COMPUTED_VALUE"""),"0326132796")</f>
        <v>0326132796</v>
      </c>
      <c r="AN6" s="211" t="str">
        <f>IFERROR(__xludf.DUMMYFUNCTION("""COMPUTED_VALUE"""),"3b04351a")</f>
        <v>3b04351a</v>
      </c>
      <c r="AO6" s="211" t="str">
        <f>IFERROR(__xludf.DUMMYFUNCTION("""COMPUTED_VALUE"""),"CV Usaha Logam Jaya")</f>
        <v>CV Usaha Logam Jaya</v>
      </c>
      <c r="AP6" s="215">
        <f>IFERROR(__xludf.DUMMYFUNCTION("""COMPUTED_VALUE"""),46127.58358796296)</f>
        <v>46127.58359</v>
      </c>
      <c r="AQ6" s="218">
        <f>IFERROR(__xludf.DUMMYFUNCTION("""COMPUTED_VALUE"""),46090.0)</f>
        <v>46090</v>
      </c>
      <c r="AR6" s="211"/>
      <c r="AS6" s="211" t="str">
        <f>IFERROR(__xludf.DUMMYFUNCTION("""COMPUTED_VALUE"""),"a9fe1bea")</f>
        <v>a9fe1bea</v>
      </c>
      <c r="AT6" s="211" t="str">
        <f>IFERROR(__xludf.DUMMYFUNCTION("""COMPUTED_VALUE"""),"H. Suheiri")</f>
        <v>H. Suheiri</v>
      </c>
      <c r="AU6" s="211"/>
      <c r="AV6" s="216" t="b">
        <f>IFERROR(__xludf.DUMMYFUNCTION("""COMPUTED_VALUE"""),FALSE)</f>
        <v>0</v>
      </c>
      <c r="AW6"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AX6" s="217">
        <f>IFERROR(__xludf.DUMMYFUNCTION("""COMPUTED_VALUE"""),14.0)</f>
        <v>14</v>
      </c>
      <c r="AY6" s="211"/>
      <c r="AZ6" s="211"/>
      <c r="BB6" s="211" t="str">
        <f>IFERROR(__xludf.DUMMYFUNCTION("""COMPUTED_VALUE"""),"439cf836")</f>
        <v>439cf836</v>
      </c>
      <c r="BC6" s="211" t="str">
        <f>IFERROR(__xludf.DUMMYFUNCTION("""COMPUTED_VALUE"""),"Karbondioksida MR")</f>
        <v>Karbondioksida MR</v>
      </c>
      <c r="BD6" s="211" t="str">
        <f>IFERROR(__xludf.DUMMYFUNCTION("""COMPUTED_VALUE"""),"RENT")</f>
        <v>RENT</v>
      </c>
      <c r="BE6" s="211" t="str">
        <f>IFERROR(__xludf.DUMMYFUNCTION("""COMPUTED_VALUE"""),"MR")</f>
        <v>MR</v>
      </c>
      <c r="BF6" s="211" t="str">
        <f>IFERROR(__xludf.DUMMYFUNCTION("""COMPUTED_VALUE"""),"Btl")</f>
        <v>Btl</v>
      </c>
      <c r="BG6" s="211"/>
      <c r="BH6" s="211" t="b">
        <f>IFERROR(__xludf.DUMMYFUNCTION("""COMPUTED_VALUE"""),FALSE)</f>
        <v>0</v>
      </c>
      <c r="BI6" s="211"/>
    </row>
    <row r="7">
      <c r="A7" s="210" t="str">
        <f>IFERROR(__xludf.DUMMYFUNCTION("""COMPUTED_VALUE"""),"70277243")</f>
        <v>70277243</v>
      </c>
      <c r="B7" s="210" t="str">
        <f>IFERROR(__xludf.DUMMYFUNCTION("""COMPUTED_VALUE"""),"70277243")</f>
        <v>70277243</v>
      </c>
      <c r="C7" s="213">
        <f>IFERROR(__xludf.DUMMYFUNCTION("""COMPUTED_VALUE"""),45530.61184027778)</f>
        <v>45530.61184</v>
      </c>
      <c r="D7" s="211" t="str">
        <f>IFERROR(__xludf.DUMMYFUNCTION("""COMPUTED_VALUE"""),"e968afef")</f>
        <v>e968afef</v>
      </c>
      <c r="E7" s="211" t="str">
        <f>IFERROR(__xludf.DUMMYFUNCTION("""COMPUTED_VALUE"""),"Bpk. Agus")</f>
        <v>Bpk. Agus</v>
      </c>
      <c r="F7" s="211" t="str">
        <f>IFERROR(__xludf.DUMMYFUNCTION("""COMPUTED_VALUE"""),"8bdbe149")</f>
        <v>8bdbe149</v>
      </c>
      <c r="G7" s="211" t="str">
        <f>IFERROR(__xludf.DUMMYFUNCTION("""COMPUTED_VALUE"""),"Oksigen 6m3")</f>
        <v>Oksigen 6m3</v>
      </c>
      <c r="H7" s="214" t="str">
        <f>IFERROR(__xludf.DUMMYFUNCTION("""COMPUTED_VALUE"""),"IN")</f>
        <v>IN</v>
      </c>
      <c r="I7" s="214" t="str">
        <f>IFERROR(__xludf.DUMMYFUNCTION("""COMPUTED_VALUE"""),"EMPTY")</f>
        <v>EMPTY</v>
      </c>
      <c r="J7" s="211">
        <f>IFERROR(__xludf.DUMMYFUNCTION("""COMPUTED_VALUE"""),8.0)</f>
        <v>8</v>
      </c>
      <c r="K7" s="210" t="str">
        <f>IFERROR(__xludf.DUMMYFUNCTION("""COMPUTED_VALUE"""),"1103 1109 1107 1115 1106 1110 1104 1102")</f>
        <v>1103 1109 1107 1115 1106 1110 1104 1102</v>
      </c>
      <c r="L7" s="211"/>
      <c r="M7" s="211"/>
      <c r="N7" s="211"/>
      <c r="O7" s="211"/>
      <c r="Q7" s="210" t="str">
        <f>IFERROR(__xludf.DUMMYFUNCTION("""COMPUTED_VALUE"""),"08240004")</f>
        <v>08240004</v>
      </c>
      <c r="R7" s="210" t="str">
        <f>IFERROR(__xludf.DUMMYFUNCTION("""COMPUTED_VALUE"""),"08240004")</f>
        <v>08240004</v>
      </c>
      <c r="S7" s="211" t="str">
        <f>IFERROR(__xludf.DUMMYFUNCTION("""COMPUTED_VALUE"""),"f8335a53")</f>
        <v>f8335a53</v>
      </c>
      <c r="T7" s="211" t="str">
        <f>IFERROR(__xludf.DUMMYFUNCTION("""COMPUTED_VALUE"""),"CV RAGAM JAYA ENGINEERING")</f>
        <v>CV RAGAM JAYA ENGINEERING</v>
      </c>
      <c r="U7" s="215">
        <f>IFERROR(__xludf.DUMMYFUNCTION("""COMPUTED_VALUE"""),45532.53774305555)</f>
        <v>45532.53774</v>
      </c>
      <c r="V7" s="211" t="str">
        <f>IFERROR(__xludf.DUMMYFUNCTION("""COMPUTED_VALUE"""),"Jl. Balung wangon, Dadapkuning, Bulurejo, Kec. Benjeng, Kabupaten Gresik, Jawa Timur 61172")</f>
        <v>Jl. Balung wangon, Dadapkuning, Bulurejo, Kec. Benjeng, Kabupaten Gresik, Jawa Timur 61172</v>
      </c>
      <c r="W7" s="211" t="str">
        <f>IFERROR(__xludf.DUMMYFUNCTION("""COMPUTED_VALUE"""),"OUT")</f>
        <v>OUT</v>
      </c>
      <c r="X7" s="211"/>
      <c r="Z7" s="211" t="str">
        <f>IFERROR(__xludf.DUMMYFUNCTION("""COMPUTED_VALUE"""),"0426293102")</f>
        <v>0426293102</v>
      </c>
      <c r="AA7" s="211" t="str">
        <f>IFERROR(__xludf.DUMMYFUNCTION("""COMPUTED_VALUE"""),"4032612855")</f>
        <v>4032612855</v>
      </c>
      <c r="AC7" s="211" t="str">
        <f>IFERROR(__xludf.DUMMYFUNCTION("""COMPUTED_VALUE"""),"e968afef")</f>
        <v>e968afef</v>
      </c>
      <c r="AD7" s="211" t="str">
        <f>IFERROR(__xludf.DUMMYFUNCTION("""COMPUTED_VALUE"""),"Bpk. Agus")</f>
        <v>Bpk. Agus</v>
      </c>
      <c r="AE7" s="211"/>
      <c r="AF7" s="216" t="b">
        <f>IFERROR(__xludf.DUMMYFUNCTION("""COMPUTED_VALUE"""),FALSE)</f>
        <v>0</v>
      </c>
      <c r="AG7" s="211" t="str">
        <f>IFERROR(__xludf.DUMMYFUNCTION("""COMPUTED_VALUE"""),"Jl. Parengan 13, Semawut, Balongbendo, Kec. BalongBendo, Kabupaten Sidoarjo, Jawa Timur 61263")</f>
        <v>Jl. Parengan 13, Semawut, Balongbendo, Kec. BalongBendo, Kabupaten Sidoarjo, Jawa Timur 61263</v>
      </c>
      <c r="AH7" s="217">
        <f>IFERROR(__xludf.DUMMYFUNCTION("""COMPUTED_VALUE"""),14.0)</f>
        <v>14</v>
      </c>
      <c r="AI7" s="211"/>
      <c r="AJ7" s="211"/>
      <c r="AL7" s="211" t="str">
        <f>IFERROR(__xludf.DUMMYFUNCTION("""COMPUTED_VALUE"""),"2260311")</f>
        <v>2260311</v>
      </c>
      <c r="AM7" s="211" t="str">
        <f>IFERROR(__xludf.DUMMYFUNCTION("""COMPUTED_VALUE"""),"0326162923")</f>
        <v>0326162923</v>
      </c>
      <c r="AN7" s="211" t="str">
        <f>IFERROR(__xludf.DUMMYFUNCTION("""COMPUTED_VALUE"""),"ba97d58d")</f>
        <v>ba97d58d</v>
      </c>
      <c r="AO7" s="211" t="str">
        <f>IFERROR(__xludf.DUMMYFUNCTION("""COMPUTED_VALUE"""),"Bengkel Citra Mojosari")</f>
        <v>Bengkel Citra Mojosari</v>
      </c>
      <c r="AP7" s="215">
        <f>IFERROR(__xludf.DUMMYFUNCTION("""COMPUTED_VALUE"""),46123.585115740745)</f>
        <v>46123.58512</v>
      </c>
      <c r="AQ7" s="218">
        <f>IFERROR(__xludf.DUMMYFUNCTION("""COMPUTED_VALUE"""),46112.0)</f>
        <v>46112</v>
      </c>
      <c r="AR7" s="211"/>
      <c r="AS7" s="211" t="str">
        <f>IFERROR(__xludf.DUMMYFUNCTION("""COMPUTED_VALUE"""),"e968afef")</f>
        <v>e968afef</v>
      </c>
      <c r="AT7" s="211" t="str">
        <f>IFERROR(__xludf.DUMMYFUNCTION("""COMPUTED_VALUE"""),"Bpk. Agus")</f>
        <v>Bpk. Agus</v>
      </c>
      <c r="AU7" s="211"/>
      <c r="AV7" s="216" t="b">
        <f>IFERROR(__xludf.DUMMYFUNCTION("""COMPUTED_VALUE"""),FALSE)</f>
        <v>0</v>
      </c>
      <c r="AW7" s="211" t="str">
        <f>IFERROR(__xludf.DUMMYFUNCTION("""COMPUTED_VALUE"""),"Jl. Parengan 13, Semawut, Balongbendo, Kec. BalongBendo, Kabupaten Sidoarjo, Jawa Timur 61263")</f>
        <v>Jl. Parengan 13, Semawut, Balongbendo, Kec. BalongBendo, Kabupaten Sidoarjo, Jawa Timur 61263</v>
      </c>
      <c r="AX7" s="217">
        <f>IFERROR(__xludf.DUMMYFUNCTION("""COMPUTED_VALUE"""),14.0)</f>
        <v>14</v>
      </c>
      <c r="AY7" s="211"/>
      <c r="AZ7" s="211"/>
      <c r="BB7" s="211" t="str">
        <f>IFERROR(__xludf.DUMMYFUNCTION("""COMPUTED_VALUE"""),"be525f3b")</f>
        <v>be525f3b</v>
      </c>
      <c r="BC7" s="211" t="str">
        <f>IFERROR(__xludf.DUMMYFUNCTION("""COMPUTED_VALUE"""),"LPG 12kg")</f>
        <v>LPG 12kg</v>
      </c>
      <c r="BD7" s="211" t="str">
        <f>IFERROR(__xludf.DUMMYFUNCTION("""COMPUTED_VALUE"""),"RENT")</f>
        <v>RENT</v>
      </c>
      <c r="BE7" s="211" t="str">
        <f>IFERROR(__xludf.DUMMYFUNCTION("""COMPUTED_VALUE"""),"MP")</f>
        <v>MP</v>
      </c>
      <c r="BF7" s="211" t="str">
        <f>IFERROR(__xludf.DUMMYFUNCTION("""COMPUTED_VALUE"""),"Btl")</f>
        <v>Btl</v>
      </c>
      <c r="BG7" s="211"/>
      <c r="BH7" s="211" t="b">
        <f>IFERROR(__xludf.DUMMYFUNCTION("""COMPUTED_VALUE"""),FALSE)</f>
        <v>0</v>
      </c>
      <c r="BI7" s="211"/>
    </row>
    <row r="8">
      <c r="A8" s="210" t="str">
        <f>IFERROR(__xludf.DUMMYFUNCTION("""COMPUTED_VALUE"""),"08240004")</f>
        <v>08240004</v>
      </c>
      <c r="B8" s="210" t="str">
        <f>IFERROR(__xludf.DUMMYFUNCTION("""COMPUTED_VALUE"""),"08240004")</f>
        <v>08240004</v>
      </c>
      <c r="C8" s="213">
        <f>IFERROR(__xludf.DUMMYFUNCTION("""COMPUTED_VALUE"""),45532.53774305555)</f>
        <v>45532.53774</v>
      </c>
      <c r="D8" s="211" t="str">
        <f>IFERROR(__xludf.DUMMYFUNCTION("""COMPUTED_VALUE"""),"f8335a53")</f>
        <v>f8335a53</v>
      </c>
      <c r="E8" s="211" t="str">
        <f>IFERROR(__xludf.DUMMYFUNCTION("""COMPUTED_VALUE"""),"CV RAGAM JAYA ENGINEERING")</f>
        <v>CV RAGAM JAYA ENGINEERING</v>
      </c>
      <c r="F8" s="211" t="str">
        <f>IFERROR(__xludf.DUMMYFUNCTION("""COMPUTED_VALUE"""),"8bdbe149")</f>
        <v>8bdbe149</v>
      </c>
      <c r="G8" s="211" t="str">
        <f>IFERROR(__xludf.DUMMYFUNCTION("""COMPUTED_VALUE"""),"Oksigen 6m3")</f>
        <v>Oksigen 6m3</v>
      </c>
      <c r="H8" s="214" t="str">
        <f>IFERROR(__xludf.DUMMYFUNCTION("""COMPUTED_VALUE"""),"OUT")</f>
        <v>OUT</v>
      </c>
      <c r="I8" s="214" t="str">
        <f>IFERROR(__xludf.DUMMYFUNCTION("""COMPUTED_VALUE"""),"NORMAL")</f>
        <v>NORMAL</v>
      </c>
      <c r="J8" s="211">
        <f>IFERROR(__xludf.DUMMYFUNCTION("""COMPUTED_VALUE"""),20.0)</f>
        <v>20</v>
      </c>
      <c r="K8" s="210" t="str">
        <f>IFERROR(__xludf.DUMMYFUNCTION("""COMPUTED_VALUE"""),"1112 1117 1122 1120 1121 1119 1128 1126 1131 1116 1107 1115 1110 1102 1135 1105 1104 1113 1103 1106")</f>
        <v>1112 1117 1122 1120 1121 1119 1128 1126 1131 1116 1107 1115 1110 1102 1135 1105 1104 1113 1103 1106</v>
      </c>
      <c r="L8" s="211">
        <f>IFERROR(__xludf.DUMMYFUNCTION("""COMPUTED_VALUE"""),60000.0)</f>
        <v>60000</v>
      </c>
      <c r="M8" s="211"/>
      <c r="N8" s="211"/>
      <c r="O8" s="211"/>
      <c r="Q8" s="210" t="str">
        <f>IFERROR(__xludf.DUMMYFUNCTION("""COMPUTED_VALUE"""),"9a09a5f8")</f>
        <v>9a09a5f8</v>
      </c>
      <c r="R8" s="210" t="str">
        <f>IFERROR(__xludf.DUMMYFUNCTION("""COMPUTED_VALUE"""),"9a09a5f8")</f>
        <v>9a09a5f8</v>
      </c>
      <c r="S8" s="211" t="str">
        <f>IFERROR(__xludf.DUMMYFUNCTION("""COMPUTED_VALUE"""),"a9fe1bea")</f>
        <v>a9fe1bea</v>
      </c>
      <c r="T8" s="211" t="str">
        <f>IFERROR(__xludf.DUMMYFUNCTION("""COMPUTED_VALUE"""),"H. Suheiri")</f>
        <v>H. Suheiri</v>
      </c>
      <c r="U8" s="215">
        <f>IFERROR(__xludf.DUMMYFUNCTION("""COMPUTED_VALUE"""),45533.55625)</f>
        <v>45533.55625</v>
      </c>
      <c r="V8"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8" s="211" t="str">
        <f>IFERROR(__xludf.DUMMYFUNCTION("""COMPUTED_VALUE"""),"IN")</f>
        <v>IN</v>
      </c>
      <c r="X8" s="211"/>
      <c r="Z8" s="211" t="str">
        <f>IFERROR(__xludf.DUMMYFUNCTION("""COMPUTED_VALUE"""),"0426163101")</f>
        <v>0426163101</v>
      </c>
      <c r="AA8" s="211" t="str">
        <f>IFERROR(__xludf.DUMMYFUNCTION("""COMPUTED_VALUE"""),"4032612837")</f>
        <v>4032612837</v>
      </c>
      <c r="AC8" s="211" t="str">
        <f>IFERROR(__xludf.DUMMYFUNCTION("""COMPUTED_VALUE"""),"dc7f01b2")</f>
        <v>dc7f01b2</v>
      </c>
      <c r="AD8" s="211" t="str">
        <f>IFERROR(__xludf.DUMMYFUNCTION("""COMPUTED_VALUE"""),"Tiga Putra")</f>
        <v>Tiga Putra</v>
      </c>
      <c r="AE8" s="211"/>
      <c r="AF8" s="216" t="b">
        <f>IFERROR(__xludf.DUMMYFUNCTION("""COMPUTED_VALUE"""),TRUE)</f>
        <v>1</v>
      </c>
      <c r="AG8" s="211"/>
      <c r="AH8" s="217">
        <f>IFERROR(__xludf.DUMMYFUNCTION("""COMPUTED_VALUE"""),14.0)</f>
        <v>14</v>
      </c>
      <c r="AI8" s="211"/>
      <c r="AJ8" s="211"/>
      <c r="AL8" s="211" t="str">
        <f>IFERROR(__xludf.DUMMYFUNCTION("""COMPUTED_VALUE"""),"2260311")</f>
        <v>2260311</v>
      </c>
      <c r="AM8" s="211" t="str">
        <f>IFERROR(__xludf.DUMMYFUNCTION("""COMPUTED_VALUE"""),"0426172989")</f>
        <v>0426172989</v>
      </c>
      <c r="AN8" s="211" t="str">
        <f>IFERROR(__xludf.DUMMYFUNCTION("""COMPUTED_VALUE"""),"ba97d58d")</f>
        <v>ba97d58d</v>
      </c>
      <c r="AO8" s="211" t="str">
        <f>IFERROR(__xludf.DUMMYFUNCTION("""COMPUTED_VALUE"""),"Bengkel Citra Mojosari")</f>
        <v>Bengkel Citra Mojosari</v>
      </c>
      <c r="AP8" s="215">
        <f>IFERROR(__xludf.DUMMYFUNCTION("""COMPUTED_VALUE"""),46123.585115740745)</f>
        <v>46123.58512</v>
      </c>
      <c r="AQ8" s="218">
        <f>IFERROR(__xludf.DUMMYFUNCTION("""COMPUTED_VALUE"""),46118.0)</f>
        <v>46118</v>
      </c>
      <c r="AR8" s="211"/>
      <c r="AS8" s="211" t="str">
        <f>IFERROR(__xludf.DUMMYFUNCTION("""COMPUTED_VALUE"""),"dc7f01b2")</f>
        <v>dc7f01b2</v>
      </c>
      <c r="AT8" s="211" t="str">
        <f>IFERROR(__xludf.DUMMYFUNCTION("""COMPUTED_VALUE"""),"Tiga Putra")</f>
        <v>Tiga Putra</v>
      </c>
      <c r="AU8" s="211"/>
      <c r="AV8" s="216" t="b">
        <f>IFERROR(__xludf.DUMMYFUNCTION("""COMPUTED_VALUE"""),TRUE)</f>
        <v>1</v>
      </c>
      <c r="AW8" s="211"/>
      <c r="AX8" s="217">
        <f>IFERROR(__xludf.DUMMYFUNCTION("""COMPUTED_VALUE"""),14.0)</f>
        <v>14</v>
      </c>
      <c r="AY8" s="211"/>
      <c r="AZ8" s="211"/>
      <c r="BB8" s="211" t="str">
        <f>IFERROR(__xludf.DUMMYFUNCTION("""COMPUTED_VALUE"""),"b7a8fff1")</f>
        <v>b7a8fff1</v>
      </c>
      <c r="BC8" s="211" t="str">
        <f>IFERROR(__xludf.DUMMYFUNCTION("""COMPUTED_VALUE"""),"LPG 50kg")</f>
        <v>LPG 50kg</v>
      </c>
      <c r="BD8" s="211" t="str">
        <f>IFERROR(__xludf.DUMMYFUNCTION("""COMPUTED_VALUE"""),"RENT")</f>
        <v>RENT</v>
      </c>
      <c r="BE8" s="211" t="str">
        <f>IFERROR(__xludf.DUMMYFUNCTION("""COMPUTED_VALUE"""),"MP")</f>
        <v>MP</v>
      </c>
      <c r="BF8" s="211" t="str">
        <f>IFERROR(__xludf.DUMMYFUNCTION("""COMPUTED_VALUE"""),"Btl")</f>
        <v>Btl</v>
      </c>
      <c r="BG8" s="211"/>
      <c r="BH8" s="211" t="b">
        <f>IFERROR(__xludf.DUMMYFUNCTION("""COMPUTED_VALUE"""),FALSE)</f>
        <v>0</v>
      </c>
      <c r="BI8" s="211"/>
    </row>
    <row r="9">
      <c r="A9" s="210" t="str">
        <f>IFERROR(__xludf.DUMMYFUNCTION("""COMPUTED_VALUE"""),"9a09a5f8")</f>
        <v>9a09a5f8</v>
      </c>
      <c r="B9" s="210" t="str">
        <f>IFERROR(__xludf.DUMMYFUNCTION("""COMPUTED_VALUE"""),"9a09a5f8")</f>
        <v>9a09a5f8</v>
      </c>
      <c r="C9" s="213">
        <f>IFERROR(__xludf.DUMMYFUNCTION("""COMPUTED_VALUE"""),45533.55625)</f>
        <v>45533.55625</v>
      </c>
      <c r="D9" s="211" t="str">
        <f>IFERROR(__xludf.DUMMYFUNCTION("""COMPUTED_VALUE"""),"a9fe1bea")</f>
        <v>a9fe1bea</v>
      </c>
      <c r="E9" s="211" t="str">
        <f>IFERROR(__xludf.DUMMYFUNCTION("""COMPUTED_VALUE"""),"H. Suheiri")</f>
        <v>H. Suheiri</v>
      </c>
      <c r="F9" s="211" t="str">
        <f>IFERROR(__xludf.DUMMYFUNCTION("""COMPUTED_VALUE"""),"8bdbe149")</f>
        <v>8bdbe149</v>
      </c>
      <c r="G9" s="211" t="str">
        <f>IFERROR(__xludf.DUMMYFUNCTION("""COMPUTED_VALUE"""),"Oksigen 6m3")</f>
        <v>Oksigen 6m3</v>
      </c>
      <c r="H9" s="214" t="str">
        <f>IFERROR(__xludf.DUMMYFUNCTION("""COMPUTED_VALUE"""),"IN")</f>
        <v>IN</v>
      </c>
      <c r="I9" s="214" t="str">
        <f>IFERROR(__xludf.DUMMYFUNCTION("""COMPUTED_VALUE"""),"EMPTY")</f>
        <v>EMPTY</v>
      </c>
      <c r="J9" s="211">
        <f>IFERROR(__xludf.DUMMYFUNCTION("""COMPUTED_VALUE"""),7.0)</f>
        <v>7</v>
      </c>
      <c r="K9" s="210" t="str">
        <f>IFERROR(__xludf.DUMMYFUNCTION("""COMPUTED_VALUE"""),"1141 1142 1133 1134 1145 1136 1143")</f>
        <v>1141 1142 1133 1134 1145 1136 1143</v>
      </c>
      <c r="L9" s="211"/>
      <c r="M9" s="211"/>
      <c r="N9" s="211"/>
      <c r="O9" s="211"/>
      <c r="Q9" s="210" t="str">
        <f>IFERROR(__xludf.DUMMYFUNCTION("""COMPUTED_VALUE"""),"510c4110")</f>
        <v>510c4110</v>
      </c>
      <c r="R9" s="210" t="str">
        <f>IFERROR(__xludf.DUMMYFUNCTION("""COMPUTED_VALUE"""),"510c4110")</f>
        <v>510c4110</v>
      </c>
      <c r="S9" s="211" t="str">
        <f>IFERROR(__xludf.DUMMYFUNCTION("""COMPUTED_VALUE"""),"e968afef")</f>
        <v>e968afef</v>
      </c>
      <c r="T9" s="211" t="str">
        <f>IFERROR(__xludf.DUMMYFUNCTION("""COMPUTED_VALUE"""),"Bpk. Agus")</f>
        <v>Bpk. Agus</v>
      </c>
      <c r="U9" s="215">
        <f>IFERROR(__xludf.DUMMYFUNCTION("""COMPUTED_VALUE"""),45534.42708333333)</f>
        <v>45534.42708</v>
      </c>
      <c r="V9" s="211" t="str">
        <f>IFERROR(__xludf.DUMMYFUNCTION("""COMPUTED_VALUE"""),"Jl. Parengan 13, Semawut, Balongbendo, Kec. BalongBendo, Kabupaten Sidoarjo, Jawa Timur 61263")</f>
        <v>Jl. Parengan 13, Semawut, Balongbendo, Kec. BalongBendo, Kabupaten Sidoarjo, Jawa Timur 61263</v>
      </c>
      <c r="W9" s="211" t="str">
        <f>IFERROR(__xludf.DUMMYFUNCTION("""COMPUTED_VALUE"""),"IN")</f>
        <v>IN</v>
      </c>
      <c r="X9" s="211"/>
      <c r="Z9" s="211" t="str">
        <f>IFERROR(__xludf.DUMMYFUNCTION("""COMPUTED_VALUE"""),"0426443100")</f>
        <v>0426443100</v>
      </c>
      <c r="AA9" s="211" t="str">
        <f>IFERROR(__xludf.DUMMYFUNCTION("""COMPUTED_VALUE"""),"4032612766")</f>
        <v>4032612766</v>
      </c>
      <c r="AC9" s="211" t="str">
        <f>IFERROR(__xludf.DUMMYFUNCTION("""COMPUTED_VALUE"""),"cef243cf")</f>
        <v>cef243cf</v>
      </c>
      <c r="AD9" s="211" t="str">
        <f>IFERROR(__xludf.DUMMYFUNCTION("""COMPUTED_VALUE"""),"Bpk. Supri")</f>
        <v>Bpk. Supri</v>
      </c>
      <c r="AE9" s="211"/>
      <c r="AF9" s="216" t="b">
        <f>IFERROR(__xludf.DUMMYFUNCTION("""COMPUTED_VALUE"""),TRUE)</f>
        <v>1</v>
      </c>
      <c r="AG9" s="211"/>
      <c r="AH9" s="217">
        <f>IFERROR(__xludf.DUMMYFUNCTION("""COMPUTED_VALUE"""),14.0)</f>
        <v>14</v>
      </c>
      <c r="AI9" s="211"/>
      <c r="AJ9" s="211"/>
      <c r="AL9" s="211" t="str">
        <f>IFERROR(__xludf.DUMMYFUNCTION("""COMPUTED_VALUE"""),"2260309")</f>
        <v>2260309</v>
      </c>
      <c r="AM9" s="211" t="str">
        <f>IFERROR(__xludf.DUMMYFUNCTION("""COMPUTED_VALUE"""),"0426163036")</f>
        <v>0426163036</v>
      </c>
      <c r="AN9" s="211" t="str">
        <f>IFERROR(__xludf.DUMMYFUNCTION("""COMPUTED_VALUE"""),"03ff52db")</f>
        <v>03ff52db</v>
      </c>
      <c r="AO9" s="211" t="str">
        <f>IFERROR(__xludf.DUMMYFUNCTION("""COMPUTED_VALUE"""),"Aneka Teknik Logam")</f>
        <v>Aneka Teknik Logam</v>
      </c>
      <c r="AP9" s="215">
        <f>IFERROR(__xludf.DUMMYFUNCTION("""COMPUTED_VALUE"""),46123.537268518514)</f>
        <v>46123.53727</v>
      </c>
      <c r="AQ9" s="218">
        <f>IFERROR(__xludf.DUMMYFUNCTION("""COMPUTED_VALUE"""),46121.0)</f>
        <v>46121</v>
      </c>
      <c r="AR9" s="211"/>
      <c r="AS9" s="211" t="str">
        <f>IFERROR(__xludf.DUMMYFUNCTION("""COMPUTED_VALUE"""),"cef243cf")</f>
        <v>cef243cf</v>
      </c>
      <c r="AT9" s="211" t="str">
        <f>IFERROR(__xludf.DUMMYFUNCTION("""COMPUTED_VALUE"""),"Bpk. Supri")</f>
        <v>Bpk. Supri</v>
      </c>
      <c r="AU9" s="211"/>
      <c r="AV9" s="216" t="b">
        <f>IFERROR(__xludf.DUMMYFUNCTION("""COMPUTED_VALUE"""),TRUE)</f>
        <v>1</v>
      </c>
      <c r="AW9" s="211"/>
      <c r="AX9" s="217">
        <f>IFERROR(__xludf.DUMMYFUNCTION("""COMPUTED_VALUE"""),14.0)</f>
        <v>14</v>
      </c>
      <c r="AY9" s="211"/>
      <c r="AZ9" s="211"/>
      <c r="BB9" s="211" t="str">
        <f>IFERROR(__xludf.DUMMYFUNCTION("""COMPUTED_VALUE"""),"e8544a46")</f>
        <v>e8544a46</v>
      </c>
      <c r="BC9" s="211" t="str">
        <f>IFERROR(__xludf.DUMMYFUNCTION("""COMPUTED_VALUE"""),"Oksigen 1m3")</f>
        <v>Oksigen 1m3</v>
      </c>
      <c r="BD9" s="211" t="str">
        <f>IFERROR(__xludf.DUMMYFUNCTION("""COMPUTED_VALUE"""),"RENT")</f>
        <v>RENT</v>
      </c>
      <c r="BE9" s="211" t="str">
        <f>IFERROR(__xludf.DUMMYFUNCTION("""COMPUTED_VALUE"""),"MP")</f>
        <v>MP</v>
      </c>
      <c r="BF9" s="211" t="str">
        <f>IFERROR(__xludf.DUMMYFUNCTION("""COMPUTED_VALUE"""),"Btl")</f>
        <v>Btl</v>
      </c>
      <c r="BG9" s="211"/>
      <c r="BH9" s="211" t="b">
        <f>IFERROR(__xludf.DUMMYFUNCTION("""COMPUTED_VALUE"""),TRUE)</f>
        <v>1</v>
      </c>
      <c r="BI9" s="211"/>
    </row>
    <row r="10">
      <c r="A10" s="210" t="str">
        <f>IFERROR(__xludf.DUMMYFUNCTION("""COMPUTED_VALUE"""),"510c4110")</f>
        <v>510c4110</v>
      </c>
      <c r="B10" s="210" t="str">
        <f>IFERROR(__xludf.DUMMYFUNCTION("""COMPUTED_VALUE"""),"510c4110")</f>
        <v>510c4110</v>
      </c>
      <c r="C10" s="213">
        <f>IFERROR(__xludf.DUMMYFUNCTION("""COMPUTED_VALUE"""),45534.427083333336)</f>
        <v>45534.42708</v>
      </c>
      <c r="D10" s="211" t="str">
        <f>IFERROR(__xludf.DUMMYFUNCTION("""COMPUTED_VALUE"""),"e968afef")</f>
        <v>e968afef</v>
      </c>
      <c r="E10" s="211" t="str">
        <f>IFERROR(__xludf.DUMMYFUNCTION("""COMPUTED_VALUE"""),"Bpk. Agus")</f>
        <v>Bpk. Agus</v>
      </c>
      <c r="F10" s="211" t="str">
        <f>IFERROR(__xludf.DUMMYFUNCTION("""COMPUTED_VALUE"""),"8bdbe149")</f>
        <v>8bdbe149</v>
      </c>
      <c r="G10" s="211" t="str">
        <f>IFERROR(__xludf.DUMMYFUNCTION("""COMPUTED_VALUE"""),"Oksigen 6m3")</f>
        <v>Oksigen 6m3</v>
      </c>
      <c r="H10" s="214" t="str">
        <f>IFERROR(__xludf.DUMMYFUNCTION("""COMPUTED_VALUE"""),"IN")</f>
        <v>IN</v>
      </c>
      <c r="I10" s="214" t="str">
        <f>IFERROR(__xludf.DUMMYFUNCTION("""COMPUTED_VALUE"""),"EMPTY")</f>
        <v>EMPTY</v>
      </c>
      <c r="J10" s="211">
        <f>IFERROR(__xludf.DUMMYFUNCTION("""COMPUTED_VALUE"""),10.0)</f>
        <v>10</v>
      </c>
      <c r="K10" s="210" t="str">
        <f>IFERROR(__xludf.DUMMYFUNCTION("""COMPUTED_VALUE"""),"1136 1141 1133 1138 1149 1143 1145 1142 1134 1129")</f>
        <v>1136 1141 1133 1138 1149 1143 1145 1142 1134 1129</v>
      </c>
      <c r="L10" s="211"/>
      <c r="M10" s="211"/>
      <c r="N10" s="211"/>
      <c r="O10" s="211"/>
      <c r="Q10" s="210" t="str">
        <f>IFERROR(__xludf.DUMMYFUNCTION("""COMPUTED_VALUE"""),"08240007")</f>
        <v>08240007</v>
      </c>
      <c r="R10" s="210" t="str">
        <f>IFERROR(__xludf.DUMMYFUNCTION("""COMPUTED_VALUE"""),"08240007")</f>
        <v>08240007</v>
      </c>
      <c r="S10" s="211" t="str">
        <f>IFERROR(__xludf.DUMMYFUNCTION("""COMPUTED_VALUE"""),"cef243cf")</f>
        <v>cef243cf</v>
      </c>
      <c r="T10" s="211" t="str">
        <f>IFERROR(__xludf.DUMMYFUNCTION("""COMPUTED_VALUE"""),"Bpk. Supri")</f>
        <v>Bpk. Supri</v>
      </c>
      <c r="U10" s="215">
        <f>IFERROR(__xludf.DUMMYFUNCTION("""COMPUTED_VALUE"""),45535.41667824074)</f>
        <v>45535.41668</v>
      </c>
      <c r="V10" s="211"/>
      <c r="W10" s="211" t="str">
        <f>IFERROR(__xludf.DUMMYFUNCTION("""COMPUTED_VALUE"""),"OUT")</f>
        <v>OUT</v>
      </c>
      <c r="X10" s="211"/>
      <c r="Z10" s="211" t="str">
        <f>IFERROR(__xludf.DUMMYFUNCTION("""COMPUTED_VALUE"""),"0426133099")</f>
        <v>0426133099</v>
      </c>
      <c r="AA10" s="211" t="str">
        <f>IFERROR(__xludf.DUMMYFUNCTION("""COMPUTED_VALUE"""),"0326132765")</f>
        <v>0326132765</v>
      </c>
      <c r="AC10" s="211" t="str">
        <f>IFERROR(__xludf.DUMMYFUNCTION("""COMPUTED_VALUE"""),"f01dab70")</f>
        <v>f01dab70</v>
      </c>
      <c r="AD10" s="211" t="str">
        <f>IFERROR(__xludf.DUMMYFUNCTION("""COMPUTED_VALUE"""),"Bpk. Yudi")</f>
        <v>Bpk. Yudi</v>
      </c>
      <c r="AE10" s="211"/>
      <c r="AF10" s="216" t="b">
        <f>IFERROR(__xludf.DUMMYFUNCTION("""COMPUTED_VALUE"""),TRUE)</f>
        <v>1</v>
      </c>
      <c r="AG10" s="211" t="str">
        <f>IFERROR(__xludf.DUMMYFUNCTION("""COMPUTED_VALUE"""),"Bandilan, Simogirang, Kec. Prambon, Kabupaten Sidoarjo, Jawa Timur 61264")</f>
        <v>Bandilan, Simogirang, Kec. Prambon, Kabupaten Sidoarjo, Jawa Timur 61264</v>
      </c>
      <c r="AH10" s="217">
        <f>IFERROR(__xludf.DUMMYFUNCTION("""COMPUTED_VALUE"""),14.0)</f>
        <v>14</v>
      </c>
      <c r="AI10" s="211"/>
      <c r="AJ10" s="211"/>
      <c r="AL10" s="211" t="str">
        <f>IFERROR(__xludf.DUMMYFUNCTION("""COMPUTED_VALUE"""),"2260308")</f>
        <v>2260308</v>
      </c>
      <c r="AM10" s="211" t="str">
        <f>IFERROR(__xludf.DUMMYFUNCTION("""COMPUTED_VALUE"""),"0426153019")</f>
        <v>0426153019</v>
      </c>
      <c r="AN10" s="211" t="str">
        <f>IFERROR(__xludf.DUMMYFUNCTION("""COMPUTED_VALUE"""),"03ff52db")</f>
        <v>03ff52db</v>
      </c>
      <c r="AO10" s="211" t="str">
        <f>IFERROR(__xludf.DUMMYFUNCTION("""COMPUTED_VALUE"""),"Aneka Teknik Logam")</f>
        <v>Aneka Teknik Logam</v>
      </c>
      <c r="AP10" s="215">
        <f>IFERROR(__xludf.DUMMYFUNCTION("""COMPUTED_VALUE"""),46123.53722222222)</f>
        <v>46123.53722</v>
      </c>
      <c r="AQ10" s="218">
        <f>IFERROR(__xludf.DUMMYFUNCTION("""COMPUTED_VALUE"""),46120.0)</f>
        <v>46120</v>
      </c>
      <c r="AR10" s="211"/>
      <c r="AS10" s="211" t="str">
        <f>IFERROR(__xludf.DUMMYFUNCTION("""COMPUTED_VALUE"""),"f01dab70")</f>
        <v>f01dab70</v>
      </c>
      <c r="AT10" s="211" t="str">
        <f>IFERROR(__xludf.DUMMYFUNCTION("""COMPUTED_VALUE"""),"Bpk. Yudi")</f>
        <v>Bpk. Yudi</v>
      </c>
      <c r="AU10" s="211"/>
      <c r="AV10" s="216" t="b">
        <f>IFERROR(__xludf.DUMMYFUNCTION("""COMPUTED_VALUE"""),TRUE)</f>
        <v>1</v>
      </c>
      <c r="AW10" s="211" t="str">
        <f>IFERROR(__xludf.DUMMYFUNCTION("""COMPUTED_VALUE"""),"Bandilan, Simogirang, Kec. Prambon, Kabupaten Sidoarjo, Jawa Timur 61264")</f>
        <v>Bandilan, Simogirang, Kec. Prambon, Kabupaten Sidoarjo, Jawa Timur 61264</v>
      </c>
      <c r="AX10" s="217">
        <f>IFERROR(__xludf.DUMMYFUNCTION("""COMPUTED_VALUE"""),14.0)</f>
        <v>14</v>
      </c>
      <c r="AY10" s="211"/>
      <c r="AZ10" s="211"/>
      <c r="BB10" s="211" t="str">
        <f>IFERROR(__xludf.DUMMYFUNCTION("""COMPUTED_VALUE"""),"2690846b")</f>
        <v>2690846b</v>
      </c>
      <c r="BC10" s="211" t="str">
        <f>IFERROR(__xludf.DUMMYFUNCTION("""COMPUTED_VALUE"""),"Oksigen 1m3 MR")</f>
        <v>Oksigen 1m3 MR</v>
      </c>
      <c r="BD10" s="211" t="str">
        <f>IFERROR(__xludf.DUMMYFUNCTION("""COMPUTED_VALUE"""),"RENT")</f>
        <v>RENT</v>
      </c>
      <c r="BE10" s="211" t="str">
        <f>IFERROR(__xludf.DUMMYFUNCTION("""COMPUTED_VALUE"""),"MR")</f>
        <v>MR</v>
      </c>
      <c r="BF10" s="211" t="str">
        <f>IFERROR(__xludf.DUMMYFUNCTION("""COMPUTED_VALUE"""),"Btl")</f>
        <v>Btl</v>
      </c>
      <c r="BG10" s="211"/>
      <c r="BH10" s="211" t="b">
        <f>IFERROR(__xludf.DUMMYFUNCTION("""COMPUTED_VALUE"""),FALSE)</f>
        <v>0</v>
      </c>
      <c r="BI10" s="211"/>
    </row>
    <row r="11">
      <c r="A11" s="210" t="str">
        <f>IFERROR(__xludf.DUMMYFUNCTION("""COMPUTED_VALUE"""),"08240006")</f>
        <v>08240006</v>
      </c>
      <c r="B11" s="210" t="str">
        <f>IFERROR(__xludf.DUMMYFUNCTION("""COMPUTED_VALUE"""),"08240006")</f>
        <v>08240006</v>
      </c>
      <c r="C11" s="213">
        <f>IFERROR(__xludf.DUMMYFUNCTION("""COMPUTED_VALUE"""),45534.46622685185)</f>
        <v>45534.46623</v>
      </c>
      <c r="D11" s="211" t="str">
        <f>IFERROR(__xludf.DUMMYFUNCTION("""COMPUTED_VALUE"""),"e968afef")</f>
        <v>e968afef</v>
      </c>
      <c r="E11" s="211" t="str">
        <f>IFERROR(__xludf.DUMMYFUNCTION("""COMPUTED_VALUE"""),"Bpk. Agus")</f>
        <v>Bpk. Agus</v>
      </c>
      <c r="F11" s="211" t="str">
        <f>IFERROR(__xludf.DUMMYFUNCTION("""COMPUTED_VALUE"""),"8bdbe149")</f>
        <v>8bdbe149</v>
      </c>
      <c r="G11" s="211" t="str">
        <f>IFERROR(__xludf.DUMMYFUNCTION("""COMPUTED_VALUE"""),"Oksigen 6m3")</f>
        <v>Oksigen 6m3</v>
      </c>
      <c r="H11" s="214" t="str">
        <f>IFERROR(__xludf.DUMMYFUNCTION("""COMPUTED_VALUE"""),"OUT")</f>
        <v>OUT</v>
      </c>
      <c r="I11" s="214" t="str">
        <f>IFERROR(__xludf.DUMMYFUNCTION("""COMPUTED_VALUE"""),"NORMAL")</f>
        <v>NORMAL</v>
      </c>
      <c r="J11" s="211">
        <f>IFERROR(__xludf.DUMMYFUNCTION("""COMPUTED_VALUE"""),10.0)</f>
        <v>10</v>
      </c>
      <c r="K11" s="210" t="str">
        <f>IFERROR(__xludf.DUMMYFUNCTION("""COMPUTED_VALUE"""),"1143 1133 1141 1136 1145 1142 1134 1129 1149 1138")</f>
        <v>1143 1133 1141 1136 1145 1142 1134 1129 1149 1138</v>
      </c>
      <c r="L11" s="211">
        <f>IFERROR(__xludf.DUMMYFUNCTION("""COMPUTED_VALUE"""),60000.0)</f>
        <v>60000</v>
      </c>
      <c r="M11" s="211"/>
      <c r="N11" s="211"/>
      <c r="O11" s="211"/>
      <c r="Q11" s="210" t="str">
        <f>IFERROR(__xludf.DUMMYFUNCTION("""COMPUTED_VALUE"""),"d45c4466")</f>
        <v>d45c4466</v>
      </c>
      <c r="R11" s="210" t="str">
        <f>IFERROR(__xludf.DUMMYFUNCTION("""COMPUTED_VALUE"""),"d45c4466")</f>
        <v>d45c4466</v>
      </c>
      <c r="S11" s="211" t="str">
        <f>IFERROR(__xludf.DUMMYFUNCTION("""COMPUTED_VALUE"""),"a9fe1bea")</f>
        <v>a9fe1bea</v>
      </c>
      <c r="T11" s="211" t="str">
        <f>IFERROR(__xludf.DUMMYFUNCTION("""COMPUTED_VALUE"""),"H. Suheiri")</f>
        <v>H. Suheiri</v>
      </c>
      <c r="U11" s="215">
        <f>IFERROR(__xludf.DUMMYFUNCTION("""COMPUTED_VALUE"""),45537.46388888889)</f>
        <v>45537.46389</v>
      </c>
      <c r="V11"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11" s="211" t="str">
        <f>IFERROR(__xludf.DUMMYFUNCTION("""COMPUTED_VALUE"""),"IN")</f>
        <v>IN</v>
      </c>
      <c r="X11" s="211"/>
      <c r="Z11" s="211" t="str">
        <f>IFERROR(__xludf.DUMMYFUNCTION("""COMPUTED_VALUE"""),"042673090")</f>
        <v>042673090</v>
      </c>
      <c r="AA11" s="211" t="str">
        <f>IFERROR(__xludf.DUMMYFUNCTION("""COMPUTED_VALUE"""),"4022632301")</f>
        <v>4022632301</v>
      </c>
      <c r="AC11" s="211" t="str">
        <f>IFERROR(__xludf.DUMMYFUNCTION("""COMPUTED_VALUE"""),"8ec7a1d6")</f>
        <v>8ec7a1d6</v>
      </c>
      <c r="AD11" s="211" t="str">
        <f>IFERROR(__xludf.DUMMYFUNCTION("""COMPUTED_VALUE"""),"CV Bumi Anugerah Sentosa")</f>
        <v>CV Bumi Anugerah Sentosa</v>
      </c>
      <c r="AE11" s="211"/>
      <c r="AF11" s="216" t="b">
        <f>IFERROR(__xludf.DUMMYFUNCTION("""COMPUTED_VALUE"""),TRUE)</f>
        <v>1</v>
      </c>
      <c r="AG11" s="211" t="str">
        <f>IFERROR(__xludf.DUMMYFUNCTION("""COMPUTED_VALUE"""),"Sumber Kembar 007/008, Wonodadi, Kec. Kutorejo, Kabupaten Mojokerto, Jawa Timur, Indonesia")</f>
        <v>Sumber Kembar 007/008, Wonodadi, Kec. Kutorejo, Kabupaten Mojokerto, Jawa Timur, Indonesia</v>
      </c>
      <c r="AH11" s="211"/>
      <c r="AI11" s="211"/>
      <c r="AJ11" s="211"/>
      <c r="AL11" s="211" t="str">
        <f>IFERROR(__xludf.DUMMYFUNCTION("""COMPUTED_VALUE"""),"2260307")</f>
        <v>2260307</v>
      </c>
      <c r="AM11" s="211" t="str">
        <f>IFERROR(__xludf.DUMMYFUNCTION("""COMPUTED_VALUE"""),"0426142947")</f>
        <v>0426142947</v>
      </c>
      <c r="AN11" s="211" t="str">
        <f>IFERROR(__xludf.DUMMYFUNCTION("""COMPUTED_VALUE"""),"03ff52db")</f>
        <v>03ff52db</v>
      </c>
      <c r="AO11" s="211" t="str">
        <f>IFERROR(__xludf.DUMMYFUNCTION("""COMPUTED_VALUE"""),"Aneka Teknik Logam")</f>
        <v>Aneka Teknik Logam</v>
      </c>
      <c r="AP11" s="215">
        <f>IFERROR(__xludf.DUMMYFUNCTION("""COMPUTED_VALUE"""),46123.53716435185)</f>
        <v>46123.53716</v>
      </c>
      <c r="AQ11" s="218">
        <f>IFERROR(__xludf.DUMMYFUNCTION("""COMPUTED_VALUE"""),46113.0)</f>
        <v>46113</v>
      </c>
      <c r="AR11" s="211"/>
      <c r="AS11" s="211" t="str">
        <f>IFERROR(__xludf.DUMMYFUNCTION("""COMPUTED_VALUE"""),"8ec7a1d6")</f>
        <v>8ec7a1d6</v>
      </c>
      <c r="AT11" s="211" t="str">
        <f>IFERROR(__xludf.DUMMYFUNCTION("""COMPUTED_VALUE"""),"CV Bumi Anugerah Sentosa")</f>
        <v>CV Bumi Anugerah Sentosa</v>
      </c>
      <c r="AU11" s="211"/>
      <c r="AV11" s="216" t="b">
        <f>IFERROR(__xludf.DUMMYFUNCTION("""COMPUTED_VALUE"""),TRUE)</f>
        <v>1</v>
      </c>
      <c r="AW11" s="211" t="str">
        <f>IFERROR(__xludf.DUMMYFUNCTION("""COMPUTED_VALUE"""),"Sumber Kembar 007/008, Wonodadi, Kec. Kutorejo, Kabupaten Mojokerto, Jawa Timur, Indonesia")</f>
        <v>Sumber Kembar 007/008, Wonodadi, Kec. Kutorejo, Kabupaten Mojokerto, Jawa Timur, Indonesia</v>
      </c>
      <c r="AX11" s="211"/>
      <c r="AY11" s="211"/>
      <c r="AZ11" s="211"/>
      <c r="BB11" s="211" t="str">
        <f>IFERROR(__xludf.DUMMYFUNCTION("""COMPUTED_VALUE"""),"8bdbe149")</f>
        <v>8bdbe149</v>
      </c>
      <c r="BC11" s="211" t="str">
        <f>IFERROR(__xludf.DUMMYFUNCTION("""COMPUTED_VALUE"""),"Oksigen 6m3")</f>
        <v>Oksigen 6m3</v>
      </c>
      <c r="BD11" s="211" t="str">
        <f>IFERROR(__xludf.DUMMYFUNCTION("""COMPUTED_VALUE"""),"RENT")</f>
        <v>RENT</v>
      </c>
      <c r="BE11" s="211" t="str">
        <f>IFERROR(__xludf.DUMMYFUNCTION("""COMPUTED_VALUE"""),"MP")</f>
        <v>MP</v>
      </c>
      <c r="BF11" s="211" t="str">
        <f>IFERROR(__xludf.DUMMYFUNCTION("""COMPUTED_VALUE"""),"Btl")</f>
        <v>Btl</v>
      </c>
      <c r="BG11" s="211"/>
      <c r="BH11" s="211" t="b">
        <f>IFERROR(__xludf.DUMMYFUNCTION("""COMPUTED_VALUE"""),TRUE)</f>
        <v>1</v>
      </c>
      <c r="BI11" s="211"/>
    </row>
    <row r="12">
      <c r="A12" s="210" t="str">
        <f>IFERROR(__xludf.DUMMYFUNCTION("""COMPUTED_VALUE"""),"08240007")</f>
        <v>08240007</v>
      </c>
      <c r="B12" s="210" t="str">
        <f>IFERROR(__xludf.DUMMYFUNCTION("""COMPUTED_VALUE"""),"08240007")</f>
        <v>08240007</v>
      </c>
      <c r="C12" s="213">
        <f>IFERROR(__xludf.DUMMYFUNCTION("""COMPUTED_VALUE"""),45535.41667824074)</f>
        <v>45535.41668</v>
      </c>
      <c r="D12" s="211" t="str">
        <f>IFERROR(__xludf.DUMMYFUNCTION("""COMPUTED_VALUE"""),"cef243cf")</f>
        <v>cef243cf</v>
      </c>
      <c r="E12" s="211" t="str">
        <f>IFERROR(__xludf.DUMMYFUNCTION("""COMPUTED_VALUE"""),"Bpk. Supri")</f>
        <v>Bpk. Supri</v>
      </c>
      <c r="F12" s="211" t="str">
        <f>IFERROR(__xludf.DUMMYFUNCTION("""COMPUTED_VALUE"""),"8bdbe149")</f>
        <v>8bdbe149</v>
      </c>
      <c r="G12" s="211" t="str">
        <f>IFERROR(__xludf.DUMMYFUNCTION("""COMPUTED_VALUE"""),"Oksigen 6m3")</f>
        <v>Oksigen 6m3</v>
      </c>
      <c r="H12" s="214" t="str">
        <f>IFERROR(__xludf.DUMMYFUNCTION("""COMPUTED_VALUE"""),"OUT")</f>
        <v>OUT</v>
      </c>
      <c r="I12" s="214" t="str">
        <f>IFERROR(__xludf.DUMMYFUNCTION("""COMPUTED_VALUE"""),"NORMAL")</f>
        <v>NORMAL</v>
      </c>
      <c r="J12" s="211">
        <f>IFERROR(__xludf.DUMMYFUNCTION("""COMPUTED_VALUE"""),1.0)</f>
        <v>1</v>
      </c>
      <c r="K12" s="210" t="str">
        <f>IFERROR(__xludf.DUMMYFUNCTION("""COMPUTED_VALUE"""),"1109")</f>
        <v>1109</v>
      </c>
      <c r="L12" s="211" t="str">
        <f>IFERROR(__xludf.DUMMYFUNCTION("""COMPUTED_VALUE"""),"#N/A")</f>
        <v>#N/A</v>
      </c>
      <c r="M12" s="211"/>
      <c r="N12" s="211"/>
      <c r="O12" s="211"/>
      <c r="Q12" s="210" t="str">
        <f>IFERROR(__xludf.DUMMYFUNCTION("""COMPUTED_VALUE"""),"2fb3243c")</f>
        <v>2fb3243c</v>
      </c>
      <c r="R12" s="210" t="str">
        <f>IFERROR(__xludf.DUMMYFUNCTION("""COMPUTED_VALUE"""),"2fb3243c")</f>
        <v>2fb3243c</v>
      </c>
      <c r="S12" s="211" t="str">
        <f>IFERROR(__xludf.DUMMYFUNCTION("""COMPUTED_VALUE"""),"e968afef")</f>
        <v>e968afef</v>
      </c>
      <c r="T12" s="211" t="str">
        <f>IFERROR(__xludf.DUMMYFUNCTION("""COMPUTED_VALUE"""),"Bpk. Agus")</f>
        <v>Bpk. Agus</v>
      </c>
      <c r="U12" s="215">
        <f>IFERROR(__xludf.DUMMYFUNCTION("""COMPUTED_VALUE"""),45537.464583333334)</f>
        <v>45537.46458</v>
      </c>
      <c r="V12" s="211" t="str">
        <f>IFERROR(__xludf.DUMMYFUNCTION("""COMPUTED_VALUE"""),"Jl. Parengan 13, Semawut, Balongbendo, Kec. BalongBendo, Kabupaten Sidoarjo, Jawa Timur 61263")</f>
        <v>Jl. Parengan 13, Semawut, Balongbendo, Kec. BalongBendo, Kabupaten Sidoarjo, Jawa Timur 61263</v>
      </c>
      <c r="W12" s="211" t="str">
        <f>IFERROR(__xludf.DUMMYFUNCTION("""COMPUTED_VALUE"""),"IN")</f>
        <v>IN</v>
      </c>
      <c r="X12" s="211"/>
      <c r="Z12" s="211" t="str">
        <f>IFERROR(__xludf.DUMMYFUNCTION("""COMPUTED_VALUE"""),"042683089")</f>
        <v>042683089</v>
      </c>
      <c r="AA12" s="211" t="str">
        <f>IFERROR(__xludf.DUMMYFUNCTION("""COMPUTED_VALUE"""),"4012612285")</f>
        <v>4012612285</v>
      </c>
      <c r="AC12" s="211" t="str">
        <f>IFERROR(__xludf.DUMMYFUNCTION("""COMPUTED_VALUE"""),"17af2683")</f>
        <v>17af2683</v>
      </c>
      <c r="AD12" s="211" t="str">
        <f>IFERROR(__xludf.DUMMYFUNCTION("""COMPUTED_VALUE"""),"H. Fatoni")</f>
        <v>H. Fatoni</v>
      </c>
      <c r="AE12" s="211"/>
      <c r="AF12" s="216" t="b">
        <f>IFERROR(__xludf.DUMMYFUNCTION("""COMPUTED_VALUE"""),TRUE)</f>
        <v>1</v>
      </c>
      <c r="AG12" s="211" t="str">
        <f>IFERROR(__xludf.DUMMYFUNCTION("""COMPUTED_VALUE"""),"Watesari 015/003, Watesari, Balongbendo, Sidoarjo, Jawa Timur")</f>
        <v>Watesari 015/003, Watesari, Balongbendo, Sidoarjo, Jawa Timur</v>
      </c>
      <c r="AH12" s="217">
        <f>IFERROR(__xludf.DUMMYFUNCTION("""COMPUTED_VALUE"""),14.0)</f>
        <v>14</v>
      </c>
      <c r="AI12" s="211"/>
      <c r="AJ12" s="211"/>
      <c r="AL12" s="211" t="str">
        <f>IFERROR(__xludf.DUMMYFUNCTION("""COMPUTED_VALUE"""),"2260306")</f>
        <v>2260306</v>
      </c>
      <c r="AM12" s="211" t="str">
        <f>IFERROR(__xludf.DUMMYFUNCTION("""COMPUTED_VALUE"""),"0426792948")</f>
        <v>0426792948</v>
      </c>
      <c r="AN12" s="211" t="str">
        <f>IFERROR(__xludf.DUMMYFUNCTION("""COMPUTED_VALUE"""),"e86baf3b")</f>
        <v>e86baf3b</v>
      </c>
      <c r="AO12" s="211" t="str">
        <f>IFERROR(__xludf.DUMMYFUNCTION("""COMPUTED_VALUE"""),"PT GEMILANG CIPTA WAWASAN")</f>
        <v>PT GEMILANG CIPTA WAWASAN</v>
      </c>
      <c r="AP12" s="215">
        <f>IFERROR(__xludf.DUMMYFUNCTION("""COMPUTED_VALUE"""),46123.535729166666)</f>
        <v>46123.53573</v>
      </c>
      <c r="AQ12" s="218">
        <f>IFERROR(__xludf.DUMMYFUNCTION("""COMPUTED_VALUE"""),46113.0)</f>
        <v>46113</v>
      </c>
      <c r="AR12" s="211"/>
      <c r="AS12" s="211" t="str">
        <f>IFERROR(__xludf.DUMMYFUNCTION("""COMPUTED_VALUE"""),"17af2683")</f>
        <v>17af2683</v>
      </c>
      <c r="AT12" s="211" t="str">
        <f>IFERROR(__xludf.DUMMYFUNCTION("""COMPUTED_VALUE"""),"H. Fatoni")</f>
        <v>H. Fatoni</v>
      </c>
      <c r="AU12" s="211"/>
      <c r="AV12" s="216" t="b">
        <f>IFERROR(__xludf.DUMMYFUNCTION("""COMPUTED_VALUE"""),TRUE)</f>
        <v>1</v>
      </c>
      <c r="AW12" s="211" t="str">
        <f>IFERROR(__xludf.DUMMYFUNCTION("""COMPUTED_VALUE"""),"Watesari 015/003, Watesari, Balongbendo, Sidoarjo, Jawa Timur")</f>
        <v>Watesari 015/003, Watesari, Balongbendo, Sidoarjo, Jawa Timur</v>
      </c>
      <c r="AX12" s="217">
        <f>IFERROR(__xludf.DUMMYFUNCTION("""COMPUTED_VALUE"""),14.0)</f>
        <v>14</v>
      </c>
      <c r="AY12" s="211"/>
      <c r="AZ12" s="211"/>
      <c r="BB12" s="211" t="str">
        <f>IFERROR(__xludf.DUMMYFUNCTION("""COMPUTED_VALUE"""),"f6aab7a9")</f>
        <v>f6aab7a9</v>
      </c>
      <c r="BC12" s="211" t="str">
        <f>IFERROR(__xludf.DUMMYFUNCTION("""COMPUTED_VALUE"""),"Oksigen 6m3 MR")</f>
        <v>Oksigen 6m3 MR</v>
      </c>
      <c r="BD12" s="211" t="str">
        <f>IFERROR(__xludf.DUMMYFUNCTION("""COMPUTED_VALUE"""),"RENT")</f>
        <v>RENT</v>
      </c>
      <c r="BE12" s="211" t="str">
        <f>IFERROR(__xludf.DUMMYFUNCTION("""COMPUTED_VALUE"""),"MR")</f>
        <v>MR</v>
      </c>
      <c r="BF12" s="211" t="str">
        <f>IFERROR(__xludf.DUMMYFUNCTION("""COMPUTED_VALUE"""),"Btl")</f>
        <v>Btl</v>
      </c>
      <c r="BG12" s="211"/>
      <c r="BH12" s="211" t="b">
        <f>IFERROR(__xludf.DUMMYFUNCTION("""COMPUTED_VALUE"""),FALSE)</f>
        <v>0</v>
      </c>
      <c r="BI12" s="211"/>
    </row>
    <row r="13">
      <c r="A13" s="210" t="str">
        <f>IFERROR(__xludf.DUMMYFUNCTION("""COMPUTED_VALUE"""),"d45c4466")</f>
        <v>d45c4466</v>
      </c>
      <c r="B13" s="210" t="str">
        <f>IFERROR(__xludf.DUMMYFUNCTION("""COMPUTED_VALUE"""),"d45c4466")</f>
        <v>d45c4466</v>
      </c>
      <c r="C13" s="213">
        <f>IFERROR(__xludf.DUMMYFUNCTION("""COMPUTED_VALUE"""),45537.46388888889)</f>
        <v>45537.46389</v>
      </c>
      <c r="D13" s="211" t="str">
        <f>IFERROR(__xludf.DUMMYFUNCTION("""COMPUTED_VALUE"""),"a9fe1bea")</f>
        <v>a9fe1bea</v>
      </c>
      <c r="E13" s="211" t="str">
        <f>IFERROR(__xludf.DUMMYFUNCTION("""COMPUTED_VALUE"""),"H. Suheiri")</f>
        <v>H. Suheiri</v>
      </c>
      <c r="F13" s="211" t="str">
        <f>IFERROR(__xludf.DUMMYFUNCTION("""COMPUTED_VALUE"""),"8bdbe149")</f>
        <v>8bdbe149</v>
      </c>
      <c r="G13" s="211" t="str">
        <f>IFERROR(__xludf.DUMMYFUNCTION("""COMPUTED_VALUE"""),"Oksigen 6m3")</f>
        <v>Oksigen 6m3</v>
      </c>
      <c r="H13" s="214" t="str">
        <f>IFERROR(__xludf.DUMMYFUNCTION("""COMPUTED_VALUE"""),"IN")</f>
        <v>IN</v>
      </c>
      <c r="I13" s="214" t="str">
        <f>IFERROR(__xludf.DUMMYFUNCTION("""COMPUTED_VALUE"""),"EMPTY")</f>
        <v>EMPTY</v>
      </c>
      <c r="J13" s="211">
        <f>IFERROR(__xludf.DUMMYFUNCTION("""COMPUTED_VALUE"""),9.0)</f>
        <v>9</v>
      </c>
      <c r="K13" s="210" t="str">
        <f>IFERROR(__xludf.DUMMYFUNCTION("""COMPUTED_VALUE"""),"1132 1123 1144 1124 1125 1137 1118 1108 1140")</f>
        <v>1132 1123 1144 1124 1125 1137 1118 1108 1140</v>
      </c>
      <c r="L13" s="211"/>
      <c r="M13" s="211"/>
      <c r="N13" s="211"/>
      <c r="O13" s="211"/>
      <c r="Q13" s="210" t="str">
        <f>IFERROR(__xludf.DUMMYFUNCTION("""COMPUTED_VALUE"""),"09240008")</f>
        <v>09240008</v>
      </c>
      <c r="R13" s="210" t="str">
        <f>IFERROR(__xludf.DUMMYFUNCTION("""COMPUTED_VALUE"""),"09240008")</f>
        <v>09240008</v>
      </c>
      <c r="S13" s="211" t="str">
        <f>IFERROR(__xludf.DUMMYFUNCTION("""COMPUTED_VALUE"""),"dc7f01b2")</f>
        <v>dc7f01b2</v>
      </c>
      <c r="T13" s="211" t="str">
        <f>IFERROR(__xludf.DUMMYFUNCTION("""COMPUTED_VALUE"""),"Tiga Putra")</f>
        <v>Tiga Putra</v>
      </c>
      <c r="U13" s="215">
        <f>IFERROR(__xludf.DUMMYFUNCTION("""COMPUTED_VALUE"""),45537.55047453704)</f>
        <v>45537.55047</v>
      </c>
      <c r="V13" s="211"/>
      <c r="W13" s="211" t="str">
        <f>IFERROR(__xludf.DUMMYFUNCTION("""COMPUTED_VALUE"""),"OUT")</f>
        <v>OUT</v>
      </c>
      <c r="X13" s="211"/>
      <c r="Z13" s="211" t="str">
        <f>IFERROR(__xludf.DUMMYFUNCTION("""COMPUTED_VALUE"""),"04261043080")</f>
        <v>04261043080</v>
      </c>
      <c r="AA13" s="211" t="str">
        <f>IFERROR(__xludf.DUMMYFUNCTION("""COMPUTED_VALUE"""),"4012622220")</f>
        <v>4012622220</v>
      </c>
      <c r="AC13" s="211" t="str">
        <f>IFERROR(__xludf.DUMMYFUNCTION("""COMPUTED_VALUE"""),"8f5ebaea")</f>
        <v>8f5ebaea</v>
      </c>
      <c r="AD13" s="211" t="str">
        <f>IFERROR(__xludf.DUMMYFUNCTION("""COMPUTED_VALUE"""),"PT Hua Zong Mesindo")</f>
        <v>PT Hua Zong Mesindo</v>
      </c>
      <c r="AE13" s="211"/>
      <c r="AF13" s="216" t="b">
        <f>IFERROR(__xludf.DUMMYFUNCTION("""COMPUTED_VALUE"""),FALSE)</f>
        <v>0</v>
      </c>
      <c r="AG13" s="211" t="str">
        <f>IFERROR(__xludf.DUMMYFUNCTION("""COMPUTED_VALUE"""),"Jl. Bypass Krian, Sidotemo, Sidomulyo, Kec. Krian, Kabupaten Sidoarjo, Jawa Timur 61262")</f>
        <v>Jl. Bypass Krian, Sidotemo, Sidomulyo, Kec. Krian, Kabupaten Sidoarjo, Jawa Timur 61262</v>
      </c>
      <c r="AH13" s="217">
        <f>IFERROR(__xludf.DUMMYFUNCTION("""COMPUTED_VALUE"""),30.0)</f>
        <v>30</v>
      </c>
      <c r="AI13" s="211"/>
      <c r="AJ13" s="215">
        <f>IFERROR(__xludf.DUMMYFUNCTION("""COMPUTED_VALUE"""),46030.643900462965)</f>
        <v>46030.6439</v>
      </c>
      <c r="AL13" s="211" t="str">
        <f>IFERROR(__xludf.DUMMYFUNCTION("""COMPUTED_VALUE"""),"2260299")</f>
        <v>2260299</v>
      </c>
      <c r="AM13" s="211" t="str">
        <f>IFERROR(__xludf.DUMMYFUNCTION("""COMPUTED_VALUE"""),"0326342907")</f>
        <v>0326342907</v>
      </c>
      <c r="AN13" s="211" t="str">
        <f>IFERROR(__xludf.DUMMYFUNCTION("""COMPUTED_VALUE"""),"63fc688a")</f>
        <v>63fc688a</v>
      </c>
      <c r="AO13" s="211" t="str">
        <f>IFERROR(__xludf.DUMMYFUNCTION("""COMPUTED_VALUE"""),"CV Malik Nusantara")</f>
        <v>CV Malik Nusantara</v>
      </c>
      <c r="AP13" s="215">
        <f>IFERROR(__xludf.DUMMYFUNCTION("""COMPUTED_VALUE"""),46123.53361111111)</f>
        <v>46123.53361</v>
      </c>
      <c r="AQ13" s="218">
        <f>IFERROR(__xludf.DUMMYFUNCTION("""COMPUTED_VALUE"""),46109.0)</f>
        <v>46109</v>
      </c>
      <c r="AR13" s="211"/>
      <c r="AS13" s="211" t="str">
        <f>IFERROR(__xludf.DUMMYFUNCTION("""COMPUTED_VALUE"""),"8f5ebaea")</f>
        <v>8f5ebaea</v>
      </c>
      <c r="AT13" s="211" t="str">
        <f>IFERROR(__xludf.DUMMYFUNCTION("""COMPUTED_VALUE"""),"PT Hua Zong Mesindo")</f>
        <v>PT Hua Zong Mesindo</v>
      </c>
      <c r="AU13" s="211"/>
      <c r="AV13" s="216" t="b">
        <f>IFERROR(__xludf.DUMMYFUNCTION("""COMPUTED_VALUE"""),FALSE)</f>
        <v>0</v>
      </c>
      <c r="AW13" s="211" t="str">
        <f>IFERROR(__xludf.DUMMYFUNCTION("""COMPUTED_VALUE"""),"Jl. Bypass Krian, Sidotemo, Sidomulyo, Kec. Krian, Kabupaten Sidoarjo, Jawa Timur 61262")</f>
        <v>Jl. Bypass Krian, Sidotemo, Sidomulyo, Kec. Krian, Kabupaten Sidoarjo, Jawa Timur 61262</v>
      </c>
      <c r="AX13" s="217">
        <f>IFERROR(__xludf.DUMMYFUNCTION("""COMPUTED_VALUE"""),30.0)</f>
        <v>30</v>
      </c>
      <c r="AY13" s="211"/>
      <c r="AZ13" s="215">
        <f>IFERROR(__xludf.DUMMYFUNCTION("""COMPUTED_VALUE"""),46030.643900462965)</f>
        <v>46030.6439</v>
      </c>
      <c r="BB13" s="211" t="str">
        <f>IFERROR(__xludf.DUMMYFUNCTION("""COMPUTED_VALUE"""),"7d2764f1")</f>
        <v>7d2764f1</v>
      </c>
      <c r="BC13" s="211" t="str">
        <f>IFERROR(__xludf.DUMMYFUNCTION("""COMPUTED_VALUE"""),"Oksigen 7m3")</f>
        <v>Oksigen 7m3</v>
      </c>
      <c r="BD13" s="211" t="str">
        <f>IFERROR(__xludf.DUMMYFUNCTION("""COMPUTED_VALUE"""),"RENT")</f>
        <v>RENT</v>
      </c>
      <c r="BE13" s="211" t="str">
        <f>IFERROR(__xludf.DUMMYFUNCTION("""COMPUTED_VALUE"""),"MP")</f>
        <v>MP</v>
      </c>
      <c r="BF13" s="211" t="str">
        <f>IFERROR(__xludf.DUMMYFUNCTION("""COMPUTED_VALUE"""),"Btl")</f>
        <v>Btl</v>
      </c>
      <c r="BG13" s="211"/>
      <c r="BH13" s="211" t="b">
        <f>IFERROR(__xludf.DUMMYFUNCTION("""COMPUTED_VALUE"""),TRUE)</f>
        <v>1</v>
      </c>
      <c r="BI13" s="211"/>
    </row>
    <row r="14">
      <c r="A14" s="210" t="str">
        <f>IFERROR(__xludf.DUMMYFUNCTION("""COMPUTED_VALUE"""),"2fb3243c")</f>
        <v>2fb3243c</v>
      </c>
      <c r="B14" s="210" t="str">
        <f>IFERROR(__xludf.DUMMYFUNCTION("""COMPUTED_VALUE"""),"2fb3243c")</f>
        <v>2fb3243c</v>
      </c>
      <c r="C14" s="213">
        <f>IFERROR(__xludf.DUMMYFUNCTION("""COMPUTED_VALUE"""),45537.464583333334)</f>
        <v>45537.46458</v>
      </c>
      <c r="D14" s="211" t="str">
        <f>IFERROR(__xludf.DUMMYFUNCTION("""COMPUTED_VALUE"""),"e968afef")</f>
        <v>e968afef</v>
      </c>
      <c r="E14" s="211" t="str">
        <f>IFERROR(__xludf.DUMMYFUNCTION("""COMPUTED_VALUE"""),"Bpk. Agus")</f>
        <v>Bpk. Agus</v>
      </c>
      <c r="F14" s="211" t="str">
        <f>IFERROR(__xludf.DUMMYFUNCTION("""COMPUTED_VALUE"""),"8bdbe149")</f>
        <v>8bdbe149</v>
      </c>
      <c r="G14" s="211" t="str">
        <f>IFERROR(__xludf.DUMMYFUNCTION("""COMPUTED_VALUE"""),"Oksigen 6m3")</f>
        <v>Oksigen 6m3</v>
      </c>
      <c r="H14" s="214" t="str">
        <f>IFERROR(__xludf.DUMMYFUNCTION("""COMPUTED_VALUE"""),"IN")</f>
        <v>IN</v>
      </c>
      <c r="I14" s="214" t="str">
        <f>IFERROR(__xludf.DUMMYFUNCTION("""COMPUTED_VALUE"""),"EMPTY")</f>
        <v>EMPTY</v>
      </c>
      <c r="J14" s="211">
        <f>IFERROR(__xludf.DUMMYFUNCTION("""COMPUTED_VALUE"""),4.0)</f>
        <v>4</v>
      </c>
      <c r="K14" s="210" t="str">
        <f>IFERROR(__xludf.DUMMYFUNCTION("""COMPUTED_VALUE"""),"1111 1134 1145 1148")</f>
        <v>1111 1134 1145 1148</v>
      </c>
      <c r="L14" s="211"/>
      <c r="M14" s="211"/>
      <c r="N14" s="211"/>
      <c r="O14" s="211"/>
      <c r="Q14" s="211"/>
      <c r="R14" s="211"/>
      <c r="S14" s="211"/>
      <c r="T14" s="211"/>
      <c r="U14" s="211"/>
      <c r="V14" s="211"/>
      <c r="W14" s="211"/>
      <c r="X14" s="211"/>
      <c r="Z14" s="211" t="str">
        <f>IFERROR(__xludf.DUMMYFUNCTION("""COMPUTED_VALUE"""),"0426523078")</f>
        <v>0426523078</v>
      </c>
      <c r="AA14" s="211" t="str">
        <f>IFERROR(__xludf.DUMMYFUNCTION("""COMPUTED_VALUE"""),"4012611990")</f>
        <v>4012611990</v>
      </c>
      <c r="AC14" s="211" t="str">
        <f>IFERROR(__xludf.DUMMYFUNCTION("""COMPUTED_VALUE"""),"37175874")</f>
        <v>37175874</v>
      </c>
      <c r="AD14" s="211" t="str">
        <f>IFERROR(__xludf.DUMMYFUNCTION("""COMPUTED_VALUE"""),"PT TERAPAN NILAIOSILASI INDONESIA (TENO)")</f>
        <v>PT TERAPAN NILAIOSILASI INDONESIA (TENO)</v>
      </c>
      <c r="AE14" s="211" t="str">
        <f>IFERROR(__xludf.DUMMYFUNCTION("""COMPUTED_VALUE"""),"016730582631000")</f>
        <v>016730582631000</v>
      </c>
      <c r="AF14" s="216" t="b">
        <f>IFERROR(__xludf.DUMMYFUNCTION("""COMPUTED_VALUE"""),TRUE)</f>
        <v>1</v>
      </c>
      <c r="AG14" s="211" t="str">
        <f>IFERROR(__xludf.DUMMYFUNCTION("""COMPUTED_VALUE"""),"JL Raya Kertajaya Indah 153 / P116, Gebang Putih, Sukokilo, Kota Surabaya, Jawa Timur")</f>
        <v>JL Raya Kertajaya Indah 153 / P116, Gebang Putih, Sukokilo, Kota Surabaya, Jawa Timur</v>
      </c>
      <c r="AH14" s="217">
        <f>IFERROR(__xludf.DUMMYFUNCTION("""COMPUTED_VALUE"""),60.0)</f>
        <v>60</v>
      </c>
      <c r="AI14" s="211"/>
      <c r="AJ14" s="211"/>
      <c r="AL14" s="211" t="str">
        <f>IFERROR(__xludf.DUMMYFUNCTION("""COMPUTED_VALUE"""),"2260299")</f>
        <v>2260299</v>
      </c>
      <c r="AM14" s="211" t="str">
        <f>IFERROR(__xludf.DUMMYFUNCTION("""COMPUTED_VALUE"""),"0326352911")</f>
        <v>0326352911</v>
      </c>
      <c r="AN14" s="211" t="str">
        <f>IFERROR(__xludf.DUMMYFUNCTION("""COMPUTED_VALUE"""),"63fc688a")</f>
        <v>63fc688a</v>
      </c>
      <c r="AO14" s="211" t="str">
        <f>IFERROR(__xludf.DUMMYFUNCTION("""COMPUTED_VALUE"""),"CV Malik Nusantara")</f>
        <v>CV Malik Nusantara</v>
      </c>
      <c r="AP14" s="215">
        <f>IFERROR(__xludf.DUMMYFUNCTION("""COMPUTED_VALUE"""),46123.53361111111)</f>
        <v>46123.53361</v>
      </c>
      <c r="AQ14" s="218">
        <f>IFERROR(__xludf.DUMMYFUNCTION("""COMPUTED_VALUE"""),46111.0)</f>
        <v>46111</v>
      </c>
      <c r="AR14" s="211"/>
      <c r="AS14" s="211" t="str">
        <f>IFERROR(__xludf.DUMMYFUNCTION("""COMPUTED_VALUE"""),"37175874")</f>
        <v>37175874</v>
      </c>
      <c r="AT14" s="211" t="str">
        <f>IFERROR(__xludf.DUMMYFUNCTION("""COMPUTED_VALUE"""),"PT TERAPAN NILAIOSILASI INDONESIA (TENO)")</f>
        <v>PT TERAPAN NILAIOSILASI INDONESIA (TENO)</v>
      </c>
      <c r="AU14" s="211" t="str">
        <f>IFERROR(__xludf.DUMMYFUNCTION("""COMPUTED_VALUE"""),"016730582631000")</f>
        <v>016730582631000</v>
      </c>
      <c r="AV14" s="216" t="b">
        <f>IFERROR(__xludf.DUMMYFUNCTION("""COMPUTED_VALUE"""),TRUE)</f>
        <v>1</v>
      </c>
      <c r="AW14" s="211" t="str">
        <f>IFERROR(__xludf.DUMMYFUNCTION("""COMPUTED_VALUE"""),"JL Raya Kertajaya Indah 153 / P116, Gebang Putih, Sukokilo, Kota Surabaya, Jawa Timur")</f>
        <v>JL Raya Kertajaya Indah 153 / P116, Gebang Putih, Sukokilo, Kota Surabaya, Jawa Timur</v>
      </c>
      <c r="AX14" s="217">
        <f>IFERROR(__xludf.DUMMYFUNCTION("""COMPUTED_VALUE"""),60.0)</f>
        <v>60</v>
      </c>
      <c r="AY14" s="211"/>
      <c r="AZ14" s="211"/>
      <c r="BB14" s="211" t="str">
        <f>IFERROR(__xludf.DUMMYFUNCTION("""COMPUTED_VALUE"""),"9c33246d")</f>
        <v>9c33246d</v>
      </c>
      <c r="BC14" s="211" t="str">
        <f>IFERROR(__xludf.DUMMYFUNCTION("""COMPUTED_VALUE"""),"Tabung 6m3 + Ar")</f>
        <v>Tabung 6m3 + Ar</v>
      </c>
      <c r="BD14" s="211" t="str">
        <f>IFERROR(__xludf.DUMMYFUNCTION("""COMPUTED_VALUE"""),"SELL")</f>
        <v>SELL</v>
      </c>
      <c r="BE14" s="211" t="str">
        <f>IFERROR(__xludf.DUMMYFUNCTION("""COMPUTED_VALUE"""),"MR")</f>
        <v>MR</v>
      </c>
      <c r="BF14" s="211" t="str">
        <f>IFERROR(__xludf.DUMMYFUNCTION("""COMPUTED_VALUE"""),"Btl")</f>
        <v>Btl</v>
      </c>
      <c r="BG14" s="211"/>
      <c r="BH14" s="211" t="b">
        <f>IFERROR(__xludf.DUMMYFUNCTION("""COMPUTED_VALUE"""),FALSE)</f>
        <v>0</v>
      </c>
      <c r="BI14" s="211"/>
    </row>
    <row r="15">
      <c r="A15" s="210" t="str">
        <f>IFERROR(__xludf.DUMMYFUNCTION("""COMPUTED_VALUE"""),"09240008")</f>
        <v>09240008</v>
      </c>
      <c r="B15" s="210" t="str">
        <f>IFERROR(__xludf.DUMMYFUNCTION("""COMPUTED_VALUE"""),"09240008")</f>
        <v>09240008</v>
      </c>
      <c r="C15" s="213">
        <f>IFERROR(__xludf.DUMMYFUNCTION("""COMPUTED_VALUE"""),45537.550474537034)</f>
        <v>45537.55047</v>
      </c>
      <c r="D15" s="211" t="str">
        <f>IFERROR(__xludf.DUMMYFUNCTION("""COMPUTED_VALUE"""),"dc7f01b2")</f>
        <v>dc7f01b2</v>
      </c>
      <c r="E15" s="211" t="str">
        <f>IFERROR(__xludf.DUMMYFUNCTION("""COMPUTED_VALUE"""),"Tiga Putra")</f>
        <v>Tiga Putra</v>
      </c>
      <c r="F15" s="211" t="str">
        <f>IFERROR(__xludf.DUMMYFUNCTION("""COMPUTED_VALUE"""),"f6aab7a9")</f>
        <v>f6aab7a9</v>
      </c>
      <c r="G15" s="211" t="str">
        <f>IFERROR(__xludf.DUMMYFUNCTION("""COMPUTED_VALUE"""),"Oksigen 6m3 MR")</f>
        <v>Oksigen 6m3 MR</v>
      </c>
      <c r="H15" s="214" t="str">
        <f>IFERROR(__xludf.DUMMYFUNCTION("""COMPUTED_VALUE"""),"OUT")</f>
        <v>OUT</v>
      </c>
      <c r="I15" s="214" t="str">
        <f>IFERROR(__xludf.DUMMYFUNCTION("""COMPUTED_VALUE"""),"NORMAL")</f>
        <v>NORMAL</v>
      </c>
      <c r="J15" s="211">
        <f>IFERROR(__xludf.DUMMYFUNCTION("""COMPUTED_VALUE"""),1.0)</f>
        <v>1</v>
      </c>
      <c r="K15" s="211"/>
      <c r="L15" s="211" t="str">
        <f>IFERROR(__xludf.DUMMYFUNCTION("""COMPUTED_VALUE"""),"#N/A")</f>
        <v>#N/A</v>
      </c>
      <c r="M15" s="211"/>
      <c r="N15" s="211"/>
      <c r="O15" s="211"/>
      <c r="Q15" s="210" t="str">
        <f>IFERROR(__xludf.DUMMYFUNCTION("""COMPUTED_VALUE"""),"09240010")</f>
        <v>09240010</v>
      </c>
      <c r="R15" s="210" t="str">
        <f>IFERROR(__xludf.DUMMYFUNCTION("""COMPUTED_VALUE"""),"09240010")</f>
        <v>09240010</v>
      </c>
      <c r="S15" s="211" t="str">
        <f>IFERROR(__xludf.DUMMYFUNCTION("""COMPUTED_VALUE"""),"a9fe1bea")</f>
        <v>a9fe1bea</v>
      </c>
      <c r="T15" s="211" t="str">
        <f>IFERROR(__xludf.DUMMYFUNCTION("""COMPUTED_VALUE"""),"H. Suheiri")</f>
        <v>H. Suheiri</v>
      </c>
      <c r="U15" s="215">
        <f>IFERROR(__xludf.DUMMYFUNCTION("""COMPUTED_VALUE"""),45538.438043981485)</f>
        <v>45538.43804</v>
      </c>
      <c r="V15"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15" s="211" t="str">
        <f>IFERROR(__xludf.DUMMYFUNCTION("""COMPUTED_VALUE"""),"OUT")</f>
        <v>OUT</v>
      </c>
      <c r="X15" s="211"/>
      <c r="Z15" s="211" t="str">
        <f>IFERROR(__xludf.DUMMYFUNCTION("""COMPUTED_VALUE"""),"0426433077")</f>
        <v>0426433077</v>
      </c>
      <c r="AA15" s="211" t="str">
        <f>IFERROR(__xludf.DUMMYFUNCTION("""COMPUTED_VALUE"""),"4122511878")</f>
        <v>4122511878</v>
      </c>
      <c r="AC15" s="211" t="str">
        <f>IFERROR(__xludf.DUMMYFUNCTION("""COMPUTED_VALUE"""),"c2f5a4a7")</f>
        <v>c2f5a4a7</v>
      </c>
      <c r="AD15" s="211" t="str">
        <f>IFERROR(__xludf.DUMMYFUNCTION("""COMPUTED_VALUE"""),"UD Sumber Berlian")</f>
        <v>UD Sumber Berlian</v>
      </c>
      <c r="AE15" s="211"/>
      <c r="AF15" s="216" t="b">
        <f>IFERROR(__xludf.DUMMYFUNCTION("""COMPUTED_VALUE"""),FALSE)</f>
        <v>0</v>
      </c>
      <c r="AG15" s="211" t="str">
        <f>IFERROR(__xludf.DUMMYFUNCTION("""COMPUTED_VALUE"""),"Ciro Kulon, Bakungtemenggungan, Kec. BalongBendo, Kabupaten Sidoarjo, Jawa Timur 61263")</f>
        <v>Ciro Kulon, Bakungtemenggungan, Kec. BalongBendo, Kabupaten Sidoarjo, Jawa Timur 61263</v>
      </c>
      <c r="AH15" s="217">
        <f>IFERROR(__xludf.DUMMYFUNCTION("""COMPUTED_VALUE"""),14.0)</f>
        <v>14</v>
      </c>
      <c r="AI15" s="211"/>
      <c r="AJ15" s="211"/>
      <c r="AL15" s="211" t="str">
        <f>IFERROR(__xludf.DUMMYFUNCTION("""COMPUTED_VALUE"""),"2260299")</f>
        <v>2260299</v>
      </c>
      <c r="AM15" s="211" t="str">
        <f>IFERROR(__xludf.DUMMYFUNCTION("""COMPUTED_VALUE"""),"0326362927")</f>
        <v>0326362927</v>
      </c>
      <c r="AN15" s="211" t="str">
        <f>IFERROR(__xludf.DUMMYFUNCTION("""COMPUTED_VALUE"""),"63fc688a")</f>
        <v>63fc688a</v>
      </c>
      <c r="AO15" s="211" t="str">
        <f>IFERROR(__xludf.DUMMYFUNCTION("""COMPUTED_VALUE"""),"CV Malik Nusantara")</f>
        <v>CV Malik Nusantara</v>
      </c>
      <c r="AP15" s="215">
        <f>IFERROR(__xludf.DUMMYFUNCTION("""COMPUTED_VALUE"""),46123.53361111111)</f>
        <v>46123.53361</v>
      </c>
      <c r="AQ15" s="218">
        <f>IFERROR(__xludf.DUMMYFUNCTION("""COMPUTED_VALUE"""),46112.0)</f>
        <v>46112</v>
      </c>
      <c r="AR15" s="211"/>
      <c r="AS15" s="211" t="str">
        <f>IFERROR(__xludf.DUMMYFUNCTION("""COMPUTED_VALUE"""),"c2f5a4a7")</f>
        <v>c2f5a4a7</v>
      </c>
      <c r="AT15" s="211" t="str">
        <f>IFERROR(__xludf.DUMMYFUNCTION("""COMPUTED_VALUE"""),"UD Sumber Berlian")</f>
        <v>UD Sumber Berlian</v>
      </c>
      <c r="AU15" s="211"/>
      <c r="AV15" s="216" t="b">
        <f>IFERROR(__xludf.DUMMYFUNCTION("""COMPUTED_VALUE"""),FALSE)</f>
        <v>0</v>
      </c>
      <c r="AW15" s="211" t="str">
        <f>IFERROR(__xludf.DUMMYFUNCTION("""COMPUTED_VALUE"""),"Ciro Kulon, Bakungtemenggungan, Kec. BalongBendo, Kabupaten Sidoarjo, Jawa Timur 61263")</f>
        <v>Ciro Kulon, Bakungtemenggungan, Kec. BalongBendo, Kabupaten Sidoarjo, Jawa Timur 61263</v>
      </c>
      <c r="AX15" s="217">
        <f>IFERROR(__xludf.DUMMYFUNCTION("""COMPUTED_VALUE"""),14.0)</f>
        <v>14</v>
      </c>
      <c r="AY15" s="211"/>
      <c r="AZ15" s="211"/>
      <c r="BB15" s="211" t="str">
        <f>IFERROR(__xludf.DUMMYFUNCTION("""COMPUTED_VALUE"""),"63a8dbcf")</f>
        <v>63a8dbcf</v>
      </c>
      <c r="BC15" s="211" t="str">
        <f>IFERROR(__xludf.DUMMYFUNCTION("""COMPUTED_VALUE"""),"Tabung 6m3 + CO2")</f>
        <v>Tabung 6m3 + CO2</v>
      </c>
      <c r="BD15" s="211" t="str">
        <f>IFERROR(__xludf.DUMMYFUNCTION("""COMPUTED_VALUE"""),"SELL")</f>
        <v>SELL</v>
      </c>
      <c r="BE15" s="211" t="str">
        <f>IFERROR(__xludf.DUMMYFUNCTION("""COMPUTED_VALUE"""),"MR")</f>
        <v>MR</v>
      </c>
      <c r="BF15" s="211" t="str">
        <f>IFERROR(__xludf.DUMMYFUNCTION("""COMPUTED_VALUE"""),"Btl")</f>
        <v>Btl</v>
      </c>
      <c r="BG15" s="211"/>
      <c r="BH15" s="211" t="b">
        <f>IFERROR(__xludf.DUMMYFUNCTION("""COMPUTED_VALUE"""),FALSE)</f>
        <v>0</v>
      </c>
      <c r="BI15" s="211"/>
    </row>
    <row r="16">
      <c r="A16" s="210" t="str">
        <f>IFERROR(__xludf.DUMMYFUNCTION("""COMPUTED_VALUE"""),"c3051e6b")</f>
        <v>c3051e6b</v>
      </c>
      <c r="B16" s="210" t="str">
        <f>IFERROR(__xludf.DUMMYFUNCTION("""COMPUTED_VALUE"""),"c3051e6b")</f>
        <v>c3051e6b</v>
      </c>
      <c r="C16" s="213">
        <f>IFERROR(__xludf.DUMMYFUNCTION("""COMPUTED_VALUE"""),45537.550474537034)</f>
        <v>45537.55047</v>
      </c>
      <c r="D16" s="211" t="str">
        <f>IFERROR(__xludf.DUMMYFUNCTION("""COMPUTED_VALUE"""),"dc7f01b2")</f>
        <v>dc7f01b2</v>
      </c>
      <c r="E16" s="211" t="str">
        <f>IFERROR(__xludf.DUMMYFUNCTION("""COMPUTED_VALUE"""),"Tiga Putra")</f>
        <v>Tiga Putra</v>
      </c>
      <c r="F16" s="211" t="str">
        <f>IFERROR(__xludf.DUMMYFUNCTION("""COMPUTED_VALUE"""),"f6aab7a9")</f>
        <v>f6aab7a9</v>
      </c>
      <c r="G16" s="211" t="str">
        <f>IFERROR(__xludf.DUMMYFUNCTION("""COMPUTED_VALUE"""),"Oksigen 6m3 MR")</f>
        <v>Oksigen 6m3 MR</v>
      </c>
      <c r="H16" s="214" t="str">
        <f>IFERROR(__xludf.DUMMYFUNCTION("""COMPUTED_VALUE"""),"IN")</f>
        <v>IN</v>
      </c>
      <c r="I16" s="214" t="str">
        <f>IFERROR(__xludf.DUMMYFUNCTION("""COMPUTED_VALUE"""),"EMPTY")</f>
        <v>EMPTY</v>
      </c>
      <c r="J16" s="211">
        <f>IFERROR(__xludf.DUMMYFUNCTION("""COMPUTED_VALUE"""),1.0)</f>
        <v>1</v>
      </c>
      <c r="K16" s="211"/>
      <c r="L16" s="211"/>
      <c r="M16" s="211"/>
      <c r="N16" s="211"/>
      <c r="O16" s="211"/>
      <c r="Q16" s="210" t="str">
        <f>IFERROR(__xludf.DUMMYFUNCTION("""COMPUTED_VALUE"""),"2af3134d")</f>
        <v>2af3134d</v>
      </c>
      <c r="R16" s="210" t="str">
        <f>IFERROR(__xludf.DUMMYFUNCTION("""COMPUTED_VALUE"""),"2af3134d")</f>
        <v>2af3134d</v>
      </c>
      <c r="S16" s="211" t="str">
        <f>IFERROR(__xludf.DUMMYFUNCTION("""COMPUTED_VALUE"""),"f8335a53")</f>
        <v>f8335a53</v>
      </c>
      <c r="T16" s="211" t="str">
        <f>IFERROR(__xludf.DUMMYFUNCTION("""COMPUTED_VALUE"""),"CV RAGAM JAYA ENGINEERING")</f>
        <v>CV RAGAM JAYA ENGINEERING</v>
      </c>
      <c r="U16" s="215">
        <f>IFERROR(__xludf.DUMMYFUNCTION("""COMPUTED_VALUE"""),45544.36041666666)</f>
        <v>45544.36042</v>
      </c>
      <c r="V16" s="211" t="str">
        <f>IFERROR(__xludf.DUMMYFUNCTION("""COMPUTED_VALUE"""),"Jl. Balung wangon, Dadapkuning, Bulurejo, Kec. Benjeng, Kabupaten Gresik, Jawa Timur 61172")</f>
        <v>Jl. Balung wangon, Dadapkuning, Bulurejo, Kec. Benjeng, Kabupaten Gresik, Jawa Timur 61172</v>
      </c>
      <c r="W16" s="211" t="str">
        <f>IFERROR(__xludf.DUMMYFUNCTION("""COMPUTED_VALUE"""),"IN")</f>
        <v>IN</v>
      </c>
      <c r="X16" s="211"/>
      <c r="Z16" s="211" t="str">
        <f>IFERROR(__xludf.DUMMYFUNCTION("""COMPUTED_VALUE"""),"0426153076")</f>
        <v>0426153076</v>
      </c>
      <c r="AA16" s="211" t="str">
        <f>IFERROR(__xludf.DUMMYFUNCTION("""COMPUTED_VALUE"""),"4122511792")</f>
        <v>4122511792</v>
      </c>
      <c r="AC16" s="211" t="str">
        <f>IFERROR(__xludf.DUMMYFUNCTION("""COMPUTED_VALUE"""),"72d9a70c")</f>
        <v>72d9a70c</v>
      </c>
      <c r="AD16" s="211" t="str">
        <f>IFERROR(__xludf.DUMMYFUNCTION("""COMPUTED_VALUE"""),"PT Beton Prima Indonesia")</f>
        <v>PT Beton Prima Indonesia</v>
      </c>
      <c r="AE16" s="211" t="str">
        <f>IFERROR(__xludf.DUMMYFUNCTION("""COMPUTED_VALUE"""),"017929910606000")</f>
        <v>017929910606000</v>
      </c>
      <c r="AF16" s="216" t="b">
        <f>IFERROR(__xludf.DUMMYFUNCTION("""COMPUTED_VALUE"""),TRUE)</f>
        <v>1</v>
      </c>
      <c r="AG16" s="211" t="str">
        <f>IFERROR(__xludf.DUMMYFUNCTION("""COMPUTED_VALUE"""),"KH. Ahmad Dahlan KM.2 Ds. Sumberwono, Kec. Bangsal, Kab. Mojokerto 61381")</f>
        <v>KH. Ahmad Dahlan KM.2 Ds. Sumberwono, Kec. Bangsal, Kab. Mojokerto 61381</v>
      </c>
      <c r="AH16" s="217">
        <f>IFERROR(__xludf.DUMMYFUNCTION("""COMPUTED_VALUE"""),60.0)</f>
        <v>60</v>
      </c>
      <c r="AI16" s="211"/>
      <c r="AJ16" s="215">
        <f>IFERROR(__xludf.DUMMYFUNCTION("""COMPUTED_VALUE"""),45885.79336805556)</f>
        <v>45885.79337</v>
      </c>
      <c r="AL16" s="211" t="str">
        <f>IFERROR(__xludf.DUMMYFUNCTION("""COMPUTED_VALUE"""),"2260299")</f>
        <v>2260299</v>
      </c>
      <c r="AM16" s="211" t="str">
        <f>IFERROR(__xludf.DUMMYFUNCTION("""COMPUTED_VALUE"""),"0426372957")</f>
        <v>0426372957</v>
      </c>
      <c r="AN16" s="211" t="str">
        <f>IFERROR(__xludf.DUMMYFUNCTION("""COMPUTED_VALUE"""),"63fc688a")</f>
        <v>63fc688a</v>
      </c>
      <c r="AO16" s="211" t="str">
        <f>IFERROR(__xludf.DUMMYFUNCTION("""COMPUTED_VALUE"""),"CV Malik Nusantara")</f>
        <v>CV Malik Nusantara</v>
      </c>
      <c r="AP16" s="215">
        <f>IFERROR(__xludf.DUMMYFUNCTION("""COMPUTED_VALUE"""),46123.53361111111)</f>
        <v>46123.53361</v>
      </c>
      <c r="AQ16" s="218">
        <f>IFERROR(__xludf.DUMMYFUNCTION("""COMPUTED_VALUE"""),46114.0)</f>
        <v>46114</v>
      </c>
      <c r="AR16" s="211"/>
      <c r="AS16" s="211" t="str">
        <f>IFERROR(__xludf.DUMMYFUNCTION("""COMPUTED_VALUE"""),"72d9a70c")</f>
        <v>72d9a70c</v>
      </c>
      <c r="AT16" s="211" t="str">
        <f>IFERROR(__xludf.DUMMYFUNCTION("""COMPUTED_VALUE"""),"PT Beton Prima Indonesia")</f>
        <v>PT Beton Prima Indonesia</v>
      </c>
      <c r="AU16" s="211" t="str">
        <f>IFERROR(__xludf.DUMMYFUNCTION("""COMPUTED_VALUE"""),"017929910606000")</f>
        <v>017929910606000</v>
      </c>
      <c r="AV16" s="216" t="b">
        <f>IFERROR(__xludf.DUMMYFUNCTION("""COMPUTED_VALUE"""),TRUE)</f>
        <v>1</v>
      </c>
      <c r="AW16" s="211" t="str">
        <f>IFERROR(__xludf.DUMMYFUNCTION("""COMPUTED_VALUE"""),"KH. Ahmad Dahlan KM.2 Ds. Sumberwono, Kec. Bangsal, Kab. Mojokerto 61381")</f>
        <v>KH. Ahmad Dahlan KM.2 Ds. Sumberwono, Kec. Bangsal, Kab. Mojokerto 61381</v>
      </c>
      <c r="AX16" s="217">
        <f>IFERROR(__xludf.DUMMYFUNCTION("""COMPUTED_VALUE"""),60.0)</f>
        <v>60</v>
      </c>
      <c r="AY16" s="211"/>
      <c r="AZ16" s="215">
        <f>IFERROR(__xludf.DUMMYFUNCTION("""COMPUTED_VALUE"""),45885.79336805556)</f>
        <v>45885.79337</v>
      </c>
      <c r="BB16" s="211" t="str">
        <f>IFERROR(__xludf.DUMMYFUNCTION("""COMPUTED_VALUE"""),"f3208f5d")</f>
        <v>f3208f5d</v>
      </c>
      <c r="BC16" s="211" t="str">
        <f>IFERROR(__xludf.DUMMYFUNCTION("""COMPUTED_VALUE"""),"Tabung 6m3 + O2")</f>
        <v>Tabung 6m3 + O2</v>
      </c>
      <c r="BD16" s="211" t="str">
        <f>IFERROR(__xludf.DUMMYFUNCTION("""COMPUTED_VALUE"""),"SELL")</f>
        <v>SELL</v>
      </c>
      <c r="BE16" s="211" t="str">
        <f>IFERROR(__xludf.DUMMYFUNCTION("""COMPUTED_VALUE"""),"MR")</f>
        <v>MR</v>
      </c>
      <c r="BF16" s="211" t="str">
        <f>IFERROR(__xludf.DUMMYFUNCTION("""COMPUTED_VALUE"""),"Btl")</f>
        <v>Btl</v>
      </c>
      <c r="BG16" s="211"/>
      <c r="BH16" s="211" t="b">
        <f>IFERROR(__xludf.DUMMYFUNCTION("""COMPUTED_VALUE"""),FALSE)</f>
        <v>0</v>
      </c>
      <c r="BI16" s="211"/>
    </row>
    <row r="17">
      <c r="A17" s="211"/>
      <c r="B17" s="211"/>
      <c r="C17" s="211"/>
      <c r="D17" s="211"/>
      <c r="E17" s="211"/>
      <c r="F17" s="211"/>
      <c r="G17" s="211"/>
      <c r="H17" s="211"/>
      <c r="I17" s="211"/>
      <c r="J17" s="211"/>
      <c r="K17" s="211"/>
      <c r="L17" s="211"/>
      <c r="M17" s="211"/>
      <c r="N17" s="211"/>
      <c r="O17" s="211"/>
      <c r="Q17" s="210" t="str">
        <f>IFERROR(__xludf.DUMMYFUNCTION("""COMPUTED_VALUE"""),"b777759c")</f>
        <v>b777759c</v>
      </c>
      <c r="R17" s="210" t="str">
        <f>IFERROR(__xludf.DUMMYFUNCTION("""COMPUTED_VALUE"""),"b777759c")</f>
        <v>b777759c</v>
      </c>
      <c r="S17" s="211" t="str">
        <f>IFERROR(__xludf.DUMMYFUNCTION("""COMPUTED_VALUE"""),"a9fe1bea")</f>
        <v>a9fe1bea</v>
      </c>
      <c r="T17" s="211" t="str">
        <f>IFERROR(__xludf.DUMMYFUNCTION("""COMPUTED_VALUE"""),"H. Suheiri")</f>
        <v>H. Suheiri</v>
      </c>
      <c r="U17" s="215">
        <f>IFERROR(__xludf.DUMMYFUNCTION("""COMPUTED_VALUE"""),45544.36111111111)</f>
        <v>45544.36111</v>
      </c>
      <c r="V17"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17" s="211" t="str">
        <f>IFERROR(__xludf.DUMMYFUNCTION("""COMPUTED_VALUE"""),"IN")</f>
        <v>IN</v>
      </c>
      <c r="X17" s="211"/>
      <c r="Z17" s="211" t="str">
        <f>IFERROR(__xludf.DUMMYFUNCTION("""COMPUTED_VALUE"""),"042613075")</f>
        <v>042613075</v>
      </c>
      <c r="AA17" s="211" t="str">
        <f>IFERROR(__xludf.DUMMYFUNCTION("""COMPUTED_VALUE"""),"4112531663")</f>
        <v>4112531663</v>
      </c>
      <c r="AC17" s="211" t="str">
        <f>IFERROR(__xludf.DUMMYFUNCTION("""COMPUTED_VALUE"""),"4ec68cf6")</f>
        <v>4ec68cf6</v>
      </c>
      <c r="AD17" s="211" t="str">
        <f>IFERROR(__xludf.DUMMYFUNCTION("""COMPUTED_VALUE"""),"CV Sido Mukti Karya")</f>
        <v>CV Sido Mukti Karya</v>
      </c>
      <c r="AE17" s="211"/>
      <c r="AF17" s="216" t="b">
        <f>IFERROR(__xludf.DUMMYFUNCTION("""COMPUTED_VALUE"""),FALSE)</f>
        <v>0</v>
      </c>
      <c r="AG17" s="211" t="str">
        <f>IFERROR(__xludf.DUMMYFUNCTION("""COMPUTED_VALUE"""),"Pergudangan Center Point no A3, Kemangsen")</f>
        <v>Pergudangan Center Point no A3, Kemangsen</v>
      </c>
      <c r="AH17" s="217">
        <f>IFERROR(__xludf.DUMMYFUNCTION("""COMPUTED_VALUE"""),14.0)</f>
        <v>14</v>
      </c>
      <c r="AI17" s="211"/>
      <c r="AJ17" s="211"/>
      <c r="AL17" s="211" t="str">
        <f>IFERROR(__xludf.DUMMYFUNCTION("""COMPUTED_VALUE"""),"2260299")</f>
        <v>2260299</v>
      </c>
      <c r="AM17" s="211" t="str">
        <f>IFERROR(__xludf.DUMMYFUNCTION("""COMPUTED_VALUE"""),"0426382978")</f>
        <v>0426382978</v>
      </c>
      <c r="AN17" s="211" t="str">
        <f>IFERROR(__xludf.DUMMYFUNCTION("""COMPUTED_VALUE"""),"63fc688a")</f>
        <v>63fc688a</v>
      </c>
      <c r="AO17" s="211" t="str">
        <f>IFERROR(__xludf.DUMMYFUNCTION("""COMPUTED_VALUE"""),"CV Malik Nusantara")</f>
        <v>CV Malik Nusantara</v>
      </c>
      <c r="AP17" s="215">
        <f>IFERROR(__xludf.DUMMYFUNCTION("""COMPUTED_VALUE"""),46123.53361111111)</f>
        <v>46123.53361</v>
      </c>
      <c r="AQ17" s="218">
        <f>IFERROR(__xludf.DUMMYFUNCTION("""COMPUTED_VALUE"""),46116.0)</f>
        <v>46116</v>
      </c>
      <c r="AR17" s="211"/>
      <c r="AS17" s="211" t="str">
        <f>IFERROR(__xludf.DUMMYFUNCTION("""COMPUTED_VALUE"""),"4ec68cf6")</f>
        <v>4ec68cf6</v>
      </c>
      <c r="AT17" s="211" t="str">
        <f>IFERROR(__xludf.DUMMYFUNCTION("""COMPUTED_VALUE"""),"CV Sido Mukti Karya")</f>
        <v>CV Sido Mukti Karya</v>
      </c>
      <c r="AU17" s="211"/>
      <c r="AV17" s="216" t="b">
        <f>IFERROR(__xludf.DUMMYFUNCTION("""COMPUTED_VALUE"""),FALSE)</f>
        <v>0</v>
      </c>
      <c r="AW17" s="211" t="str">
        <f>IFERROR(__xludf.DUMMYFUNCTION("""COMPUTED_VALUE"""),"Pergudangan Center Point no A3, Kemangsen")</f>
        <v>Pergudangan Center Point no A3, Kemangsen</v>
      </c>
      <c r="AX17" s="217">
        <f>IFERROR(__xludf.DUMMYFUNCTION("""COMPUTED_VALUE"""),14.0)</f>
        <v>14</v>
      </c>
      <c r="AY17" s="211"/>
      <c r="AZ17" s="211"/>
      <c r="BB17" s="211" t="str">
        <f>IFERROR(__xludf.DUMMYFUNCTION("""COMPUTED_VALUE"""),"95289f0b")</f>
        <v>95289f0b</v>
      </c>
      <c r="BC17" s="211" t="str">
        <f>IFERROR(__xludf.DUMMYFUNCTION("""COMPUTED_VALUE"""),"Tabung 7m3 + Ar")</f>
        <v>Tabung 7m3 + Ar</v>
      </c>
      <c r="BD17" s="211" t="str">
        <f>IFERROR(__xludf.DUMMYFUNCTION("""COMPUTED_VALUE"""),"SELL")</f>
        <v>SELL</v>
      </c>
      <c r="BE17" s="211" t="str">
        <f>IFERROR(__xludf.DUMMYFUNCTION("""COMPUTED_VALUE"""),"MR")</f>
        <v>MR</v>
      </c>
      <c r="BF17" s="211" t="str">
        <f>IFERROR(__xludf.DUMMYFUNCTION("""COMPUTED_VALUE"""),"Btl")</f>
        <v>Btl</v>
      </c>
      <c r="BG17" s="211"/>
      <c r="BH17" s="211" t="b">
        <f>IFERROR(__xludf.DUMMYFUNCTION("""COMPUTED_VALUE"""),FALSE)</f>
        <v>0</v>
      </c>
      <c r="BI17" s="211"/>
    </row>
    <row r="18">
      <c r="A18" s="211"/>
      <c r="B18" s="211"/>
      <c r="C18" s="211"/>
      <c r="D18" s="211"/>
      <c r="E18" s="211"/>
      <c r="F18" s="211"/>
      <c r="G18" s="211"/>
      <c r="H18" s="211"/>
      <c r="I18" s="211"/>
      <c r="J18" s="211"/>
      <c r="K18" s="211"/>
      <c r="L18" s="211"/>
      <c r="M18" s="211"/>
      <c r="N18" s="211"/>
      <c r="O18" s="211"/>
      <c r="Q18" s="210" t="str">
        <f>IFERROR(__xludf.DUMMYFUNCTION("""COMPUTED_VALUE"""),"09240011")</f>
        <v>09240011</v>
      </c>
      <c r="R18" s="210" t="str">
        <f>IFERROR(__xludf.DUMMYFUNCTION("""COMPUTED_VALUE"""),"09240011")</f>
        <v>09240011</v>
      </c>
      <c r="S18" s="211" t="str">
        <f>IFERROR(__xludf.DUMMYFUNCTION("""COMPUTED_VALUE"""),"e86baf3b")</f>
        <v>e86baf3b</v>
      </c>
      <c r="T18" s="211" t="str">
        <f>IFERROR(__xludf.DUMMYFUNCTION("""COMPUTED_VALUE"""),"PT GEMILANG CIPTA WAWASAN")</f>
        <v>PT GEMILANG CIPTA WAWASAN</v>
      </c>
      <c r="U18" s="215">
        <f>IFERROR(__xludf.DUMMYFUNCTION("""COMPUTED_VALUE"""),45545.51719907408)</f>
        <v>45545.5172</v>
      </c>
      <c r="V18" s="211" t="str">
        <f>IFERROR(__xludf.DUMMYFUNCTION("""COMPUTED_VALUE"""),"JL TEBET RAYA, 2A, TEBET BARAT, TEBET, KOTA ADM, JAKARTA SELATAN, DKI JAKARTA")</f>
        <v>JL TEBET RAYA, 2A, TEBET BARAT, TEBET, KOTA ADM, JAKARTA SELATAN, DKI JAKARTA</v>
      </c>
      <c r="W18" s="211" t="str">
        <f>IFERROR(__xludf.DUMMYFUNCTION("""COMPUTED_VALUE"""),"OUT")</f>
        <v>OUT</v>
      </c>
      <c r="X18" s="211"/>
      <c r="Z18" s="211" t="str">
        <f>IFERROR(__xludf.DUMMYFUNCTION("""COMPUTED_VALUE"""),"042653074")</f>
        <v>042653074</v>
      </c>
      <c r="AA18" s="211" t="str">
        <f>IFERROR(__xludf.DUMMYFUNCTION("""COMPUTED_VALUE"""),"4112521546")</f>
        <v>4112521546</v>
      </c>
      <c r="AC18" s="211" t="str">
        <f>IFERROR(__xludf.DUMMYFUNCTION("""COMPUTED_VALUE"""),"4a01ccb6")</f>
        <v>4a01ccb6</v>
      </c>
      <c r="AD18" s="211" t="str">
        <f>IFERROR(__xludf.DUMMYFUNCTION("""COMPUTED_VALUE"""),"CV ANUGERAH PERSADA TEKNIK")</f>
        <v>CV ANUGERAH PERSADA TEKNIK</v>
      </c>
      <c r="AE18" s="211" t="str">
        <f>IFERROR(__xludf.DUMMYFUNCTION("""COMPUTED_VALUE"""),"024763260615000")</f>
        <v>024763260615000</v>
      </c>
      <c r="AF18" s="216" t="b">
        <f>IFERROR(__xludf.DUMMYFUNCTION("""COMPUTED_VALUE"""),TRUE)</f>
        <v>1</v>
      </c>
      <c r="AG18" s="211" t="str">
        <f>IFERROR(__xludf.DUMMYFUNCTION("""COMPUTED_VALUE"""),"JL. Raya Trosobo, Blok 3/14, Taman Sidoarjo Lingkungan Industri Kecil, Sepanjang, Jawa Timur, 61257")</f>
        <v>JL. Raya Trosobo, Blok 3/14, Taman Sidoarjo Lingkungan Industri Kecil, Sepanjang, Jawa Timur, 61257</v>
      </c>
      <c r="AH18" s="217">
        <f>IFERROR(__xludf.DUMMYFUNCTION("""COMPUTED_VALUE"""),30.0)</f>
        <v>30</v>
      </c>
      <c r="AI18" s="211"/>
      <c r="AJ18" s="211"/>
      <c r="AL18" s="211" t="str">
        <f>IFERROR(__xludf.DUMMYFUNCTION("""COMPUTED_VALUE"""),"2260299")</f>
        <v>2260299</v>
      </c>
      <c r="AM18" s="211" t="str">
        <f>IFERROR(__xludf.DUMMYFUNCTION("""COMPUTED_VALUE"""),"0426393021")</f>
        <v>0426393021</v>
      </c>
      <c r="AN18" s="211" t="str">
        <f>IFERROR(__xludf.DUMMYFUNCTION("""COMPUTED_VALUE"""),"63fc688a")</f>
        <v>63fc688a</v>
      </c>
      <c r="AO18" s="211" t="str">
        <f>IFERROR(__xludf.DUMMYFUNCTION("""COMPUTED_VALUE"""),"CV Malik Nusantara")</f>
        <v>CV Malik Nusantara</v>
      </c>
      <c r="AP18" s="215">
        <f>IFERROR(__xludf.DUMMYFUNCTION("""COMPUTED_VALUE"""),46123.53361111111)</f>
        <v>46123.53361</v>
      </c>
      <c r="AQ18" s="218">
        <f>IFERROR(__xludf.DUMMYFUNCTION("""COMPUTED_VALUE"""),46120.0)</f>
        <v>46120</v>
      </c>
      <c r="AR18" s="211"/>
      <c r="AS18" s="211" t="str">
        <f>IFERROR(__xludf.DUMMYFUNCTION("""COMPUTED_VALUE"""),"4a01ccb6")</f>
        <v>4a01ccb6</v>
      </c>
      <c r="AT18" s="211" t="str">
        <f>IFERROR(__xludf.DUMMYFUNCTION("""COMPUTED_VALUE"""),"CV ANUGERAH PERSADA TEKNIK")</f>
        <v>CV ANUGERAH PERSADA TEKNIK</v>
      </c>
      <c r="AU18" s="211" t="str">
        <f>IFERROR(__xludf.DUMMYFUNCTION("""COMPUTED_VALUE"""),"024763260615000")</f>
        <v>024763260615000</v>
      </c>
      <c r="AV18" s="216" t="b">
        <f>IFERROR(__xludf.DUMMYFUNCTION("""COMPUTED_VALUE"""),TRUE)</f>
        <v>1</v>
      </c>
      <c r="AW18" s="211" t="str">
        <f>IFERROR(__xludf.DUMMYFUNCTION("""COMPUTED_VALUE"""),"JL. Raya Trosobo, Blok 3/14, Taman Sidoarjo Lingkungan Industri Kecil, Sepanjang, Jawa Timur, 61257")</f>
        <v>JL. Raya Trosobo, Blok 3/14, Taman Sidoarjo Lingkungan Industri Kecil, Sepanjang, Jawa Timur, 61257</v>
      </c>
      <c r="AX18" s="217">
        <f>IFERROR(__xludf.DUMMYFUNCTION("""COMPUTED_VALUE"""),30.0)</f>
        <v>30</v>
      </c>
      <c r="AY18" s="211"/>
      <c r="AZ18" s="211"/>
      <c r="BB18" s="211" t="str">
        <f>IFERROR(__xludf.DUMMYFUNCTION("""COMPUTED_VALUE"""),"9cc683e5")</f>
        <v>9cc683e5</v>
      </c>
      <c r="BC18" s="211" t="str">
        <f>IFERROR(__xludf.DUMMYFUNCTION("""COMPUTED_VALUE"""),"Tabung 7m3 + CO2")</f>
        <v>Tabung 7m3 + CO2</v>
      </c>
      <c r="BD18" s="211" t="str">
        <f>IFERROR(__xludf.DUMMYFUNCTION("""COMPUTED_VALUE"""),"SELL")</f>
        <v>SELL</v>
      </c>
      <c r="BE18" s="211" t="str">
        <f>IFERROR(__xludf.DUMMYFUNCTION("""COMPUTED_VALUE"""),"MR")</f>
        <v>MR</v>
      </c>
      <c r="BF18" s="211" t="str">
        <f>IFERROR(__xludf.DUMMYFUNCTION("""COMPUTED_VALUE"""),"Btl")</f>
        <v>Btl</v>
      </c>
      <c r="BG18" s="211"/>
      <c r="BH18" s="211" t="b">
        <f>IFERROR(__xludf.DUMMYFUNCTION("""COMPUTED_VALUE"""),FALSE)</f>
        <v>0</v>
      </c>
      <c r="BI18" s="211"/>
    </row>
    <row r="19">
      <c r="A19" s="210" t="str">
        <f>IFERROR(__xludf.DUMMYFUNCTION("""COMPUTED_VALUE"""),"09240010")</f>
        <v>09240010</v>
      </c>
      <c r="B19" s="210" t="str">
        <f>IFERROR(__xludf.DUMMYFUNCTION("""COMPUTED_VALUE"""),"09240010")</f>
        <v>09240010</v>
      </c>
      <c r="C19" s="213">
        <f>IFERROR(__xludf.DUMMYFUNCTION("""COMPUTED_VALUE"""),45538.438043981485)</f>
        <v>45538.43804</v>
      </c>
      <c r="D19" s="211" t="str">
        <f>IFERROR(__xludf.DUMMYFUNCTION("""COMPUTED_VALUE"""),"a9fe1bea")</f>
        <v>a9fe1bea</v>
      </c>
      <c r="E19" s="211" t="str">
        <f>IFERROR(__xludf.DUMMYFUNCTION("""COMPUTED_VALUE"""),"H. Suheiri")</f>
        <v>H. Suheiri</v>
      </c>
      <c r="F19" s="211" t="str">
        <f>IFERROR(__xludf.DUMMYFUNCTION("""COMPUTED_VALUE"""),"8bdbe149")</f>
        <v>8bdbe149</v>
      </c>
      <c r="G19" s="211" t="str">
        <f>IFERROR(__xludf.DUMMYFUNCTION("""COMPUTED_VALUE"""),"Oksigen 6m3")</f>
        <v>Oksigen 6m3</v>
      </c>
      <c r="H19" s="214" t="str">
        <f>IFERROR(__xludf.DUMMYFUNCTION("""COMPUTED_VALUE"""),"OUT")</f>
        <v>OUT</v>
      </c>
      <c r="I19" s="214" t="str">
        <f>IFERROR(__xludf.DUMMYFUNCTION("""COMPUTED_VALUE"""),"NORMAL")</f>
        <v>NORMAL</v>
      </c>
      <c r="J19" s="211">
        <f>IFERROR(__xludf.DUMMYFUNCTION("""COMPUTED_VALUE"""),10.0)</f>
        <v>10</v>
      </c>
      <c r="K19" s="210" t="str">
        <f>IFERROR(__xludf.DUMMYFUNCTION("""COMPUTED_VALUE"""),"1125 1140 1137 1132 1111 1134 1108 1148 1118 1123")</f>
        <v>1125 1140 1137 1132 1111 1134 1108 1148 1118 1123</v>
      </c>
      <c r="L19" s="211">
        <f>IFERROR(__xludf.DUMMYFUNCTION("""COMPUTED_VALUE"""),50000.0)</f>
        <v>50000</v>
      </c>
      <c r="M19" s="211"/>
      <c r="N19" s="211"/>
      <c r="O19" s="211"/>
      <c r="Q19" s="210" t="str">
        <f>IFERROR(__xludf.DUMMYFUNCTION("""COMPUTED_VALUE"""),"09240012")</f>
        <v>09240012</v>
      </c>
      <c r="R19" s="210" t="str">
        <f>IFERROR(__xludf.DUMMYFUNCTION("""COMPUTED_VALUE"""),"09240012")</f>
        <v>09240012</v>
      </c>
      <c r="S19" s="211" t="str">
        <f>IFERROR(__xludf.DUMMYFUNCTION("""COMPUTED_VALUE"""),"2d88931c")</f>
        <v>2d88931c</v>
      </c>
      <c r="T19" s="211" t="str">
        <f>IFERROR(__xludf.DUMMYFUNCTION("""COMPUTED_VALUE"""),"PT Dunia Berkat Marga Mulya")</f>
        <v>PT Dunia Berkat Marga Mulya</v>
      </c>
      <c r="U19" s="215">
        <f>IFERROR(__xludf.DUMMYFUNCTION("""COMPUTED_VALUE"""),45547.406319444446)</f>
        <v>45547.40632</v>
      </c>
      <c r="V19" s="211" t="str">
        <f>IFERROR(__xludf.DUMMYFUNCTION("""COMPUTED_VALUE"""),"JL JABARAN, WATESARI, BALONGBENDO, SIDOARJO, JAWA TIMUR")</f>
        <v>JL JABARAN, WATESARI, BALONGBENDO, SIDOARJO, JAWA TIMUR</v>
      </c>
      <c r="W19" s="211" t="str">
        <f>IFERROR(__xludf.DUMMYFUNCTION("""COMPUTED_VALUE"""),"OUT")</f>
        <v>OUT</v>
      </c>
      <c r="X19" s="211"/>
      <c r="Z19" s="211" t="str">
        <f>IFERROR(__xludf.DUMMYFUNCTION("""COMPUTED_VALUE"""),"0426413073")</f>
        <v>0426413073</v>
      </c>
      <c r="AA19" s="211" t="str">
        <f>IFERROR(__xludf.DUMMYFUNCTION("""COMPUTED_VALUE"""),"4102541508")</f>
        <v>4102541508</v>
      </c>
      <c r="AC19" s="211" t="str">
        <f>IFERROR(__xludf.DUMMYFUNCTION("""COMPUTED_VALUE"""),"182fb0fe")</f>
        <v>182fb0fe</v>
      </c>
      <c r="AD19" s="211" t="str">
        <f>IFERROR(__xludf.DUMMYFUNCTION("""COMPUTED_VALUE"""),"PT Amtech")</f>
        <v>PT Amtech</v>
      </c>
      <c r="AE19" s="211" t="str">
        <f>IFERROR(__xludf.DUMMYFUNCTION("""COMPUTED_VALUE"""),"026382531603000")</f>
        <v>026382531603000</v>
      </c>
      <c r="AF19" s="216" t="b">
        <f>IFERROR(__xludf.DUMMYFUNCTION("""COMPUTED_VALUE"""),TRUE)</f>
        <v>1</v>
      </c>
      <c r="AG19"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AH19" s="217">
        <f>IFERROR(__xludf.DUMMYFUNCTION("""COMPUTED_VALUE"""),30.0)</f>
        <v>30</v>
      </c>
      <c r="AI19" s="211"/>
      <c r="AJ19" s="211"/>
      <c r="AL19" s="211" t="str">
        <f>IFERROR(__xludf.DUMMYFUNCTION("""COMPUTED_VALUE"""),"2260299")</f>
        <v>2260299</v>
      </c>
      <c r="AM19" s="211" t="str">
        <f>IFERROR(__xludf.DUMMYFUNCTION("""COMPUTED_VALUE"""),"0426403048")</f>
        <v>0426403048</v>
      </c>
      <c r="AN19" s="211" t="str">
        <f>IFERROR(__xludf.DUMMYFUNCTION("""COMPUTED_VALUE"""),"63fc688a")</f>
        <v>63fc688a</v>
      </c>
      <c r="AO19" s="211" t="str">
        <f>IFERROR(__xludf.DUMMYFUNCTION("""COMPUTED_VALUE"""),"CV Malik Nusantara")</f>
        <v>CV Malik Nusantara</v>
      </c>
      <c r="AP19" s="215">
        <f>IFERROR(__xludf.DUMMYFUNCTION("""COMPUTED_VALUE"""),46123.53361111111)</f>
        <v>46123.53361</v>
      </c>
      <c r="AQ19" s="218">
        <f>IFERROR(__xludf.DUMMYFUNCTION("""COMPUTED_VALUE"""),46123.0)</f>
        <v>46123</v>
      </c>
      <c r="AR19" s="211"/>
      <c r="AS19" s="211" t="str">
        <f>IFERROR(__xludf.DUMMYFUNCTION("""COMPUTED_VALUE"""),"182fb0fe")</f>
        <v>182fb0fe</v>
      </c>
      <c r="AT19" s="211" t="str">
        <f>IFERROR(__xludf.DUMMYFUNCTION("""COMPUTED_VALUE"""),"PT Amtech")</f>
        <v>PT Amtech</v>
      </c>
      <c r="AU19" s="211" t="str">
        <f>IFERROR(__xludf.DUMMYFUNCTION("""COMPUTED_VALUE"""),"026382531603000")</f>
        <v>026382531603000</v>
      </c>
      <c r="AV19" s="216" t="b">
        <f>IFERROR(__xludf.DUMMYFUNCTION("""COMPUTED_VALUE"""),TRUE)</f>
        <v>1</v>
      </c>
      <c r="AW19"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AX19" s="217">
        <f>IFERROR(__xludf.DUMMYFUNCTION("""COMPUTED_VALUE"""),30.0)</f>
        <v>30</v>
      </c>
      <c r="AY19" s="211"/>
      <c r="AZ19" s="211"/>
      <c r="BB19" s="211" t="str">
        <f>IFERROR(__xludf.DUMMYFUNCTION("""COMPUTED_VALUE"""),"9c403f38")</f>
        <v>9c403f38</v>
      </c>
      <c r="BC19" s="211" t="str">
        <f>IFERROR(__xludf.DUMMYFUNCTION("""COMPUTED_VALUE"""),"Tabung 7m3 + O2")</f>
        <v>Tabung 7m3 + O2</v>
      </c>
      <c r="BD19" s="211" t="str">
        <f>IFERROR(__xludf.DUMMYFUNCTION("""COMPUTED_VALUE"""),"SELL")</f>
        <v>SELL</v>
      </c>
      <c r="BE19" s="211" t="str">
        <f>IFERROR(__xludf.DUMMYFUNCTION("""COMPUTED_VALUE"""),"MR")</f>
        <v>MR</v>
      </c>
      <c r="BF19" s="211" t="str">
        <f>IFERROR(__xludf.DUMMYFUNCTION("""COMPUTED_VALUE"""),"Btl")</f>
        <v>Btl</v>
      </c>
      <c r="BG19" s="211"/>
      <c r="BH19" s="211" t="b">
        <f>IFERROR(__xludf.DUMMYFUNCTION("""COMPUTED_VALUE"""),FALSE)</f>
        <v>0</v>
      </c>
      <c r="BI19" s="211"/>
    </row>
    <row r="20">
      <c r="A20" s="210" t="str">
        <f>IFERROR(__xludf.DUMMYFUNCTION("""COMPUTED_VALUE"""),"2af3134d")</f>
        <v>2af3134d</v>
      </c>
      <c r="B20" s="210" t="str">
        <f>IFERROR(__xludf.DUMMYFUNCTION("""COMPUTED_VALUE"""),"2af3134d")</f>
        <v>2af3134d</v>
      </c>
      <c r="C20" s="213">
        <f>IFERROR(__xludf.DUMMYFUNCTION("""COMPUTED_VALUE"""),45544.36041666667)</f>
        <v>45544.36042</v>
      </c>
      <c r="D20" s="211" t="str">
        <f>IFERROR(__xludf.DUMMYFUNCTION("""COMPUTED_VALUE"""),"f8335a53")</f>
        <v>f8335a53</v>
      </c>
      <c r="E20" s="211" t="str">
        <f>IFERROR(__xludf.DUMMYFUNCTION("""COMPUTED_VALUE"""),"CV RAGAM JAYA ENGINEERING")</f>
        <v>CV RAGAM JAYA ENGINEERING</v>
      </c>
      <c r="F20" s="211" t="str">
        <f>IFERROR(__xludf.DUMMYFUNCTION("""COMPUTED_VALUE"""),"8bdbe149")</f>
        <v>8bdbe149</v>
      </c>
      <c r="G20" s="211" t="str">
        <f>IFERROR(__xludf.DUMMYFUNCTION("""COMPUTED_VALUE"""),"Oksigen 6m3")</f>
        <v>Oksigen 6m3</v>
      </c>
      <c r="H20" s="214" t="str">
        <f>IFERROR(__xludf.DUMMYFUNCTION("""COMPUTED_VALUE"""),"IN")</f>
        <v>IN</v>
      </c>
      <c r="I20" s="214" t="str">
        <f>IFERROR(__xludf.DUMMYFUNCTION("""COMPUTED_VALUE"""),"EMPTY")</f>
        <v>EMPTY</v>
      </c>
      <c r="J20" s="211">
        <f>IFERROR(__xludf.DUMMYFUNCTION("""COMPUTED_VALUE"""),2.0)</f>
        <v>2</v>
      </c>
      <c r="K20" s="210" t="str">
        <f>IFERROR(__xludf.DUMMYFUNCTION("""COMPUTED_VALUE"""),"1126 1112")</f>
        <v>1126 1112</v>
      </c>
      <c r="L20" s="211"/>
      <c r="M20" s="211"/>
      <c r="N20" s="211"/>
      <c r="O20" s="211"/>
      <c r="Q20" s="210" t="str">
        <f>IFERROR(__xludf.DUMMYFUNCTION("""COMPUTED_VALUE"""),"c61daa5f")</f>
        <v>c61daa5f</v>
      </c>
      <c r="R20" s="210" t="str">
        <f>IFERROR(__xludf.DUMMYFUNCTION("""COMPUTED_VALUE"""),"c61daa5f")</f>
        <v>c61daa5f</v>
      </c>
      <c r="S20" s="211" t="str">
        <f>IFERROR(__xludf.DUMMYFUNCTION("""COMPUTED_VALUE"""),"f8335a53")</f>
        <v>f8335a53</v>
      </c>
      <c r="T20" s="211" t="str">
        <f>IFERROR(__xludf.DUMMYFUNCTION("""COMPUTED_VALUE"""),"CV RAGAM JAYA ENGINEERING")</f>
        <v>CV RAGAM JAYA ENGINEERING</v>
      </c>
      <c r="U20" s="215">
        <f>IFERROR(__xludf.DUMMYFUNCTION("""COMPUTED_VALUE"""),45547.44578703704)</f>
        <v>45547.44579</v>
      </c>
      <c r="V20" s="211" t="str">
        <f>IFERROR(__xludf.DUMMYFUNCTION("""COMPUTED_VALUE"""),"Jl. Balung wangon, Dadapkuning, Bulurejo, Kec. Benjeng, Kabupaten Gresik, Jawa Timur 61172")</f>
        <v>Jl. Balung wangon, Dadapkuning, Bulurejo, Kec. Benjeng, Kabupaten Gresik, Jawa Timur 61172</v>
      </c>
      <c r="W20" s="211" t="str">
        <f>IFERROR(__xludf.DUMMYFUNCTION("""COMPUTED_VALUE"""),"IN")</f>
        <v>IN</v>
      </c>
      <c r="X20" s="211"/>
      <c r="Z20" s="211" t="str">
        <f>IFERROR(__xludf.DUMMYFUNCTION("""COMPUTED_VALUE"""),"042613072")</f>
        <v>042613072</v>
      </c>
      <c r="AA20" s="211" t="str">
        <f>IFERROR(__xludf.DUMMYFUNCTION("""COMPUTED_VALUE"""),"4102521497")</f>
        <v>4102521497</v>
      </c>
      <c r="AC20" s="211" t="str">
        <f>IFERROR(__xludf.DUMMYFUNCTION("""COMPUTED_VALUE"""),"3e1f004a")</f>
        <v>3e1f004a</v>
      </c>
      <c r="AD20" s="211" t="str">
        <f>IFERROR(__xludf.DUMMYFUNCTION("""COMPUTED_VALUE"""),"PT FKM")</f>
        <v>PT FKM</v>
      </c>
      <c r="AE20" s="211"/>
      <c r="AF20" s="216" t="b">
        <f>IFERROR(__xludf.DUMMYFUNCTION("""COMPUTED_VALUE"""),TRUE)</f>
        <v>1</v>
      </c>
      <c r="AG20" s="211" t="str">
        <f>IFERROR(__xludf.DUMMYFUNCTION("""COMPUTED_VALUE"""),"Jl. Raya By pass Juanda 89, Sedati Gede, Kec. Sedati, Kabupaten Sidoarjo, Jawa Timur 61253")</f>
        <v>Jl. Raya By pass Juanda 89, Sedati Gede, Kec. Sedati, Kabupaten Sidoarjo, Jawa Timur 61253</v>
      </c>
      <c r="AH20" s="217">
        <f>IFERROR(__xludf.DUMMYFUNCTION("""COMPUTED_VALUE"""),30.0)</f>
        <v>30</v>
      </c>
      <c r="AI20" s="211"/>
      <c r="AJ20" s="211"/>
      <c r="AL20" s="211" t="str">
        <f>IFERROR(__xludf.DUMMYFUNCTION("""COMPUTED_VALUE"""),"2260298")</f>
        <v>2260298</v>
      </c>
      <c r="AM20" s="211" t="str">
        <f>IFERROR(__xludf.DUMMYFUNCTION("""COMPUTED_VALUE"""),"042622977")</f>
        <v>042622977</v>
      </c>
      <c r="AN20" s="211" t="str">
        <f>IFERROR(__xludf.DUMMYFUNCTION("""COMPUTED_VALUE"""),"89d46c39")</f>
        <v>89d46c39</v>
      </c>
      <c r="AO20" s="211" t="str">
        <f>IFERROR(__xludf.DUMMYFUNCTION("""COMPUTED_VALUE"""),"PT Cakar Baja Persada")</f>
        <v>PT Cakar Baja Persada</v>
      </c>
      <c r="AP20" s="215">
        <f>IFERROR(__xludf.DUMMYFUNCTION("""COMPUTED_VALUE"""),46118.47246527778)</f>
        <v>46118.47247</v>
      </c>
      <c r="AQ20" s="218">
        <f>IFERROR(__xludf.DUMMYFUNCTION("""COMPUTED_VALUE"""),46116.0)</f>
        <v>46116</v>
      </c>
      <c r="AR20" s="211"/>
      <c r="AS20" s="211" t="str">
        <f>IFERROR(__xludf.DUMMYFUNCTION("""COMPUTED_VALUE"""),"3e1f004a")</f>
        <v>3e1f004a</v>
      </c>
      <c r="AT20" s="211" t="str">
        <f>IFERROR(__xludf.DUMMYFUNCTION("""COMPUTED_VALUE"""),"PT FKM")</f>
        <v>PT FKM</v>
      </c>
      <c r="AU20" s="211"/>
      <c r="AV20" s="216" t="b">
        <f>IFERROR(__xludf.DUMMYFUNCTION("""COMPUTED_VALUE"""),TRUE)</f>
        <v>1</v>
      </c>
      <c r="AW20" s="211" t="str">
        <f>IFERROR(__xludf.DUMMYFUNCTION("""COMPUTED_VALUE"""),"Jl. Raya By pass Juanda 89, Sedati Gede, Kec. Sedati, Kabupaten Sidoarjo, Jawa Timur 61253")</f>
        <v>Jl. Raya By pass Juanda 89, Sedati Gede, Kec. Sedati, Kabupaten Sidoarjo, Jawa Timur 61253</v>
      </c>
      <c r="AX20" s="217">
        <f>IFERROR(__xludf.DUMMYFUNCTION("""COMPUTED_VALUE"""),30.0)</f>
        <v>30</v>
      </c>
      <c r="AY20" s="211"/>
      <c r="AZ20" s="211"/>
      <c r="BB20" s="211" t="str">
        <f>IFERROR(__xludf.DUMMYFUNCTION("""COMPUTED_VALUE"""),"93c00077")</f>
        <v>93c00077</v>
      </c>
      <c r="BC20" s="211" t="str">
        <f>IFERROR(__xludf.DUMMYFUNCTION("""COMPUTED_VALUE"""),"Valve CO2")</f>
        <v>Valve CO2</v>
      </c>
      <c r="BD20" s="211" t="str">
        <f>IFERROR(__xludf.DUMMYFUNCTION("""COMPUTED_VALUE"""),"SELL")</f>
        <v>SELL</v>
      </c>
      <c r="BE20" s="211" t="str">
        <f>IFERROR(__xludf.DUMMYFUNCTION("""COMPUTED_VALUE"""),"MR")</f>
        <v>MR</v>
      </c>
      <c r="BF20" s="211" t="str">
        <f>IFERROR(__xludf.DUMMYFUNCTION("""COMPUTED_VALUE"""),"Pcs")</f>
        <v>Pcs</v>
      </c>
      <c r="BG20" s="211"/>
      <c r="BH20" s="211" t="b">
        <f>IFERROR(__xludf.DUMMYFUNCTION("""COMPUTED_VALUE"""),FALSE)</f>
        <v>0</v>
      </c>
      <c r="BI20" s="211"/>
    </row>
    <row r="21">
      <c r="A21" s="210" t="str">
        <f>IFERROR(__xludf.DUMMYFUNCTION("""COMPUTED_VALUE"""),"b777759c")</f>
        <v>b777759c</v>
      </c>
      <c r="B21" s="210" t="str">
        <f>IFERROR(__xludf.DUMMYFUNCTION("""COMPUTED_VALUE"""),"b777759c")</f>
        <v>b777759c</v>
      </c>
      <c r="C21" s="213">
        <f>IFERROR(__xludf.DUMMYFUNCTION("""COMPUTED_VALUE"""),45544.36111111111)</f>
        <v>45544.36111</v>
      </c>
      <c r="D21" s="211" t="str">
        <f>IFERROR(__xludf.DUMMYFUNCTION("""COMPUTED_VALUE"""),"a9fe1bea")</f>
        <v>a9fe1bea</v>
      </c>
      <c r="E21" s="211" t="str">
        <f>IFERROR(__xludf.DUMMYFUNCTION("""COMPUTED_VALUE"""),"H. Suheiri")</f>
        <v>H. Suheiri</v>
      </c>
      <c r="F21" s="211" t="str">
        <f>IFERROR(__xludf.DUMMYFUNCTION("""COMPUTED_VALUE"""),"8bdbe149")</f>
        <v>8bdbe149</v>
      </c>
      <c r="G21" s="211" t="str">
        <f>IFERROR(__xludf.DUMMYFUNCTION("""COMPUTED_VALUE"""),"Oksigen 6m3")</f>
        <v>Oksigen 6m3</v>
      </c>
      <c r="H21" s="214" t="str">
        <f>IFERROR(__xludf.DUMMYFUNCTION("""COMPUTED_VALUE"""),"IN")</f>
        <v>IN</v>
      </c>
      <c r="I21" s="214" t="str">
        <f>IFERROR(__xludf.DUMMYFUNCTION("""COMPUTED_VALUE"""),"EMPTY")</f>
        <v>EMPTY</v>
      </c>
      <c r="J21" s="211">
        <f>IFERROR(__xludf.DUMMYFUNCTION("""COMPUTED_VALUE"""),8.0)</f>
        <v>8</v>
      </c>
      <c r="K21" s="210" t="str">
        <f>IFERROR(__xludf.DUMMYFUNCTION("""COMPUTED_VALUE"""),"1111 1123 1134 1125 1108 1118 1148 1140")</f>
        <v>1111 1123 1134 1125 1108 1118 1148 1140</v>
      </c>
      <c r="L21" s="211"/>
      <c r="M21" s="211"/>
      <c r="N21" s="211"/>
      <c r="O21" s="211"/>
      <c r="Q21" s="210" t="str">
        <f>IFERROR(__xludf.DUMMYFUNCTION("""COMPUTED_VALUE"""),"09240014")</f>
        <v>09240014</v>
      </c>
      <c r="R21" s="210" t="str">
        <f>IFERROR(__xludf.DUMMYFUNCTION("""COMPUTED_VALUE"""),"09240014")</f>
        <v>09240014</v>
      </c>
      <c r="S21" s="211" t="str">
        <f>IFERROR(__xludf.DUMMYFUNCTION("""COMPUTED_VALUE"""),"f8335a53")</f>
        <v>f8335a53</v>
      </c>
      <c r="T21" s="211" t="str">
        <f>IFERROR(__xludf.DUMMYFUNCTION("""COMPUTED_VALUE"""),"CV RAGAM JAYA ENGINEERING")</f>
        <v>CV RAGAM JAYA ENGINEERING</v>
      </c>
      <c r="U21" s="215">
        <f>IFERROR(__xludf.DUMMYFUNCTION("""COMPUTED_VALUE"""),45548.444444444445)</f>
        <v>45548.44444</v>
      </c>
      <c r="V21" s="211" t="str">
        <f>IFERROR(__xludf.DUMMYFUNCTION("""COMPUTED_VALUE"""),"Jl. Balung wangon, Dadapkuning, Bulurejo, Kec. Benjeng, Kabupaten Gresik, Jawa Timur 61172")</f>
        <v>Jl. Balung wangon, Dadapkuning, Bulurejo, Kec. Benjeng, Kabupaten Gresik, Jawa Timur 61172</v>
      </c>
      <c r="W21" s="211" t="str">
        <f>IFERROR(__xludf.DUMMYFUNCTION("""COMPUTED_VALUE"""),"OUT")</f>
        <v>OUT</v>
      </c>
      <c r="X21" s="211"/>
      <c r="Z21" s="211" t="str">
        <f>IFERROR(__xludf.DUMMYFUNCTION("""COMPUTED_VALUE"""),"0426183070")</f>
        <v>0426183070</v>
      </c>
      <c r="AA21" s="211" t="str">
        <f>IFERROR(__xludf.DUMMYFUNCTION("""COMPUTED_VALUE"""),"4102531467")</f>
        <v>4102531467</v>
      </c>
      <c r="AC21" s="211" t="str">
        <f>IFERROR(__xludf.DUMMYFUNCTION("""COMPUTED_VALUE"""),"dc4a076e")</f>
        <v>dc4a076e</v>
      </c>
      <c r="AD21" s="211" t="str">
        <f>IFERROR(__xludf.DUMMYFUNCTION("""COMPUTED_VALUE"""),"Bpk. Rudi")</f>
        <v>Bpk. Rudi</v>
      </c>
      <c r="AE21" s="211"/>
      <c r="AF21" s="216" t="b">
        <f>IFERROR(__xludf.DUMMYFUNCTION("""COMPUTED_VALUE"""),FALSE)</f>
        <v>0</v>
      </c>
      <c r="AG21" s="211" t="str">
        <f>IFERROR(__xludf.DUMMYFUNCTION("""COMPUTED_VALUE"""),"Krajan I, Wringinanom, Kec. Wringinanom, Kabupaten Gresik, Jawa Timur 61176")</f>
        <v>Krajan I, Wringinanom, Kec. Wringinanom, Kabupaten Gresik, Jawa Timur 61176</v>
      </c>
      <c r="AH21" s="217">
        <f>IFERROR(__xludf.DUMMYFUNCTION("""COMPUTED_VALUE"""),30.0)</f>
        <v>30</v>
      </c>
      <c r="AI21" s="211"/>
      <c r="AJ21" s="211"/>
      <c r="AL21" s="211" t="str">
        <f>IFERROR(__xludf.DUMMYFUNCTION("""COMPUTED_VALUE"""),"2260295")</f>
        <v>2260295</v>
      </c>
      <c r="AM21" s="211" t="str">
        <f>IFERROR(__xludf.DUMMYFUNCTION("""COMPUTED_VALUE"""),"022622456")</f>
        <v>022622456</v>
      </c>
      <c r="AN21" s="211" t="str">
        <f>IFERROR(__xludf.DUMMYFUNCTION("""COMPUTED_VALUE"""),"057b6b99")</f>
        <v>057b6b99</v>
      </c>
      <c r="AO21" s="211" t="str">
        <f>IFERROR(__xludf.DUMMYFUNCTION("""COMPUTED_VALUE"""),"PT Anuta Utama Transport")</f>
        <v>PT Anuta Utama Transport</v>
      </c>
      <c r="AP21" s="215">
        <f>IFERROR(__xludf.DUMMYFUNCTION("""COMPUTED_VALUE"""),46112.551030092596)</f>
        <v>46112.55103</v>
      </c>
      <c r="AQ21" s="218">
        <f>IFERROR(__xludf.DUMMYFUNCTION("""COMPUTED_VALUE"""),46057.0)</f>
        <v>46057</v>
      </c>
      <c r="AR21" s="211"/>
      <c r="AS21" s="211" t="str">
        <f>IFERROR(__xludf.DUMMYFUNCTION("""COMPUTED_VALUE"""),"dc4a076e")</f>
        <v>dc4a076e</v>
      </c>
      <c r="AT21" s="211" t="str">
        <f>IFERROR(__xludf.DUMMYFUNCTION("""COMPUTED_VALUE"""),"Bpk. Rudi")</f>
        <v>Bpk. Rudi</v>
      </c>
      <c r="AU21" s="211"/>
      <c r="AV21" s="216" t="b">
        <f>IFERROR(__xludf.DUMMYFUNCTION("""COMPUTED_VALUE"""),FALSE)</f>
        <v>0</v>
      </c>
      <c r="AW21" s="211" t="str">
        <f>IFERROR(__xludf.DUMMYFUNCTION("""COMPUTED_VALUE"""),"Krajan I, Wringinanom, Kec. Wringinanom, Kabupaten Gresik, Jawa Timur 61176")</f>
        <v>Krajan I, Wringinanom, Kec. Wringinanom, Kabupaten Gresik, Jawa Timur 61176</v>
      </c>
      <c r="AX21" s="217">
        <f>IFERROR(__xludf.DUMMYFUNCTION("""COMPUTED_VALUE"""),30.0)</f>
        <v>30</v>
      </c>
      <c r="AY21" s="211"/>
      <c r="AZ21" s="211"/>
      <c r="BB21" s="211" t="str">
        <f>IFERROR(__xludf.DUMMYFUNCTION("""COMPUTED_VALUE"""),"0e3fc7f3")</f>
        <v>0e3fc7f3</v>
      </c>
      <c r="BC21" s="211" t="str">
        <f>IFERROR(__xludf.DUMMYFUNCTION("""COMPUTED_VALUE"""),"Acetylene MR")</f>
        <v>Acetylene MR</v>
      </c>
      <c r="BD21" s="211" t="str">
        <f>IFERROR(__xludf.DUMMYFUNCTION("""COMPUTED_VALUE"""),"RENT")</f>
        <v>RENT</v>
      </c>
      <c r="BE21" s="211" t="str">
        <f>IFERROR(__xludf.DUMMYFUNCTION("""COMPUTED_VALUE"""),"MR")</f>
        <v>MR</v>
      </c>
      <c r="BF21" s="211" t="str">
        <f>IFERROR(__xludf.DUMMYFUNCTION("""COMPUTED_VALUE"""),"Btl")</f>
        <v>Btl</v>
      </c>
      <c r="BG21" s="211"/>
      <c r="BH21" s="211" t="b">
        <f>IFERROR(__xludf.DUMMYFUNCTION("""COMPUTED_VALUE"""),FALSE)</f>
        <v>0</v>
      </c>
      <c r="BI21" s="211"/>
    </row>
    <row r="22">
      <c r="A22" s="210" t="str">
        <f>IFERROR(__xludf.DUMMYFUNCTION("""COMPUTED_VALUE"""),"09240011")</f>
        <v>09240011</v>
      </c>
      <c r="B22" s="210" t="str">
        <f>IFERROR(__xludf.DUMMYFUNCTION("""COMPUTED_VALUE"""),"09240011")</f>
        <v>09240011</v>
      </c>
      <c r="C22" s="213">
        <f>IFERROR(__xludf.DUMMYFUNCTION("""COMPUTED_VALUE"""),45545.51719907407)</f>
        <v>45545.5172</v>
      </c>
      <c r="D22" s="211" t="str">
        <f>IFERROR(__xludf.DUMMYFUNCTION("""COMPUTED_VALUE"""),"e86baf3b")</f>
        <v>e86baf3b</v>
      </c>
      <c r="E22" s="211" t="str">
        <f>IFERROR(__xludf.DUMMYFUNCTION("""COMPUTED_VALUE"""),"PT GEMILANG CIPTA WAWASAN")</f>
        <v>PT GEMILANG CIPTA WAWASAN</v>
      </c>
      <c r="F22" s="211" t="str">
        <f>IFERROR(__xludf.DUMMYFUNCTION("""COMPUTED_VALUE"""),"8bdbe149")</f>
        <v>8bdbe149</v>
      </c>
      <c r="G22" s="211" t="str">
        <f>IFERROR(__xludf.DUMMYFUNCTION("""COMPUTED_VALUE"""),"Oksigen 6m3")</f>
        <v>Oksigen 6m3</v>
      </c>
      <c r="H22" s="214" t="str">
        <f>IFERROR(__xludf.DUMMYFUNCTION("""COMPUTED_VALUE"""),"OUT")</f>
        <v>OUT</v>
      </c>
      <c r="I22" s="214" t="str">
        <f>IFERROR(__xludf.DUMMYFUNCTION("""COMPUTED_VALUE"""),"NORMAL")</f>
        <v>NORMAL</v>
      </c>
      <c r="J22" s="211">
        <f>IFERROR(__xludf.DUMMYFUNCTION("""COMPUTED_VALUE"""),15.0)</f>
        <v>15</v>
      </c>
      <c r="K22" s="210" t="str">
        <f>IFERROR(__xludf.DUMMYFUNCTION("""COMPUTED_VALUE"""),"1134 1118 1112 1145 1127 1130 1144 1108 1140 1148 1111 1125 1126 1124 1139")</f>
        <v>1134 1118 1112 1145 1127 1130 1144 1108 1140 1148 1111 1125 1126 1124 1139</v>
      </c>
      <c r="L22" s="211">
        <f>IFERROR(__xludf.DUMMYFUNCTION("""COMPUTED_VALUE"""),60000.0)</f>
        <v>60000</v>
      </c>
      <c r="M22" s="211"/>
      <c r="N22" s="211"/>
      <c r="O22" s="211"/>
      <c r="Q22" s="210" t="str">
        <f>IFERROR(__xludf.DUMMYFUNCTION("""COMPUTED_VALUE"""),"09240015")</f>
        <v>09240015</v>
      </c>
      <c r="R22" s="210" t="str">
        <f>IFERROR(__xludf.DUMMYFUNCTION("""COMPUTED_VALUE"""),"09240015")</f>
        <v>09240015</v>
      </c>
      <c r="S22" s="211" t="str">
        <f>IFERROR(__xludf.DUMMYFUNCTION("""COMPUTED_VALUE"""),"7b9d8eba")</f>
        <v>7b9d8eba</v>
      </c>
      <c r="T22" s="211" t="str">
        <f>IFERROR(__xludf.DUMMYFUNCTION("""COMPUTED_VALUE"""),"PT PELANGI INDOKARYA")</f>
        <v>PT PELANGI INDOKARYA</v>
      </c>
      <c r="U22" s="215">
        <f>IFERROR(__xludf.DUMMYFUNCTION("""COMPUTED_VALUE"""),45548.4487037037)</f>
        <v>45548.4487</v>
      </c>
      <c r="V2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2" s="211" t="str">
        <f>IFERROR(__xludf.DUMMYFUNCTION("""COMPUTED_VALUE"""),"OUT")</f>
        <v>OUT</v>
      </c>
      <c r="X22" s="211"/>
      <c r="Z22" s="211" t="str">
        <f>IFERROR(__xludf.DUMMYFUNCTION("""COMPUTED_VALUE"""),"042643069")</f>
        <v>042643069</v>
      </c>
      <c r="AA22" s="211" t="str">
        <f>IFERROR(__xludf.DUMMYFUNCTION("""COMPUTED_VALUE"""),"4102511419")</f>
        <v>4102511419</v>
      </c>
      <c r="AC22" s="211" t="str">
        <f>IFERROR(__xludf.DUMMYFUNCTION("""COMPUTED_VALUE"""),"2a67569a")</f>
        <v>2a67569a</v>
      </c>
      <c r="AD22" s="211" t="str">
        <f>IFERROR(__xludf.DUMMYFUNCTION("""COMPUTED_VALUE"""),"PT REKAYASA CAHAYA CEMERLANG")</f>
        <v>PT REKAYASA CAHAYA CEMERLANG</v>
      </c>
      <c r="AE22" s="211" t="str">
        <f>IFERROR(__xludf.DUMMYFUNCTION("""COMPUTED_VALUE"""),"663188902643000")</f>
        <v>663188902643000</v>
      </c>
      <c r="AF22" s="216" t="b">
        <f>IFERROR(__xludf.DUMMYFUNCTION("""COMPUTED_VALUE"""),TRUE)</f>
        <v>1</v>
      </c>
      <c r="AG22" s="211" t="str">
        <f>IFERROR(__xludf.DUMMYFUNCTION("""COMPUTED_VALUE"""),"Pergudangan Tritan Taman Blok C No. 39 Jemundo, Taman, Kab. Sidoarjo, Jawa Timur 61257")</f>
        <v>Pergudangan Tritan Taman Blok C No. 39 Jemundo, Taman, Kab. Sidoarjo, Jawa Timur 61257</v>
      </c>
      <c r="AH22" s="217">
        <f>IFERROR(__xludf.DUMMYFUNCTION("""COMPUTED_VALUE"""),14.0)</f>
        <v>14</v>
      </c>
      <c r="AI22" s="211"/>
      <c r="AJ22" s="211"/>
      <c r="AL22" s="211" t="str">
        <f>IFERROR(__xludf.DUMMYFUNCTION("""COMPUTED_VALUE"""),"2260295")</f>
        <v>2260295</v>
      </c>
      <c r="AM22" s="211" t="str">
        <f>IFERROR(__xludf.DUMMYFUNCTION("""COMPUTED_VALUE"""),"022632576")</f>
        <v>022632576</v>
      </c>
      <c r="AN22" s="211" t="str">
        <f>IFERROR(__xludf.DUMMYFUNCTION("""COMPUTED_VALUE"""),"057b6b99")</f>
        <v>057b6b99</v>
      </c>
      <c r="AO22" s="211" t="str">
        <f>IFERROR(__xludf.DUMMYFUNCTION("""COMPUTED_VALUE"""),"PT Anuta Utama Transport")</f>
        <v>PT Anuta Utama Transport</v>
      </c>
      <c r="AP22" s="215">
        <f>IFERROR(__xludf.DUMMYFUNCTION("""COMPUTED_VALUE"""),46112.551030092596)</f>
        <v>46112.55103</v>
      </c>
      <c r="AQ22" s="218">
        <f>IFERROR(__xludf.DUMMYFUNCTION("""COMPUTED_VALUE"""),46069.0)</f>
        <v>46069</v>
      </c>
      <c r="AR22" s="211"/>
      <c r="AS22" s="211" t="str">
        <f>IFERROR(__xludf.DUMMYFUNCTION("""COMPUTED_VALUE"""),"2a67569a")</f>
        <v>2a67569a</v>
      </c>
      <c r="AT22" s="211" t="str">
        <f>IFERROR(__xludf.DUMMYFUNCTION("""COMPUTED_VALUE"""),"PT REKAYASA CAHAYA CEMERLANG")</f>
        <v>PT REKAYASA CAHAYA CEMERLANG</v>
      </c>
      <c r="AU22" s="211" t="str">
        <f>IFERROR(__xludf.DUMMYFUNCTION("""COMPUTED_VALUE"""),"663188902643000")</f>
        <v>663188902643000</v>
      </c>
      <c r="AV22" s="216" t="b">
        <f>IFERROR(__xludf.DUMMYFUNCTION("""COMPUTED_VALUE"""),TRUE)</f>
        <v>1</v>
      </c>
      <c r="AW22" s="211" t="str">
        <f>IFERROR(__xludf.DUMMYFUNCTION("""COMPUTED_VALUE"""),"Pergudangan Tritan Taman Blok C No. 39 Jemundo, Taman, Kab. Sidoarjo, Jawa Timur 61257")</f>
        <v>Pergudangan Tritan Taman Blok C No. 39 Jemundo, Taman, Kab. Sidoarjo, Jawa Timur 61257</v>
      </c>
      <c r="AX22" s="217">
        <f>IFERROR(__xludf.DUMMYFUNCTION("""COMPUTED_VALUE"""),14.0)</f>
        <v>14</v>
      </c>
      <c r="AY22" s="211"/>
      <c r="AZ22" s="211"/>
      <c r="BB22" s="211" t="str">
        <f>IFERROR(__xludf.DUMMYFUNCTION("""COMPUTED_VALUE"""),"f13ba52f")</f>
        <v>f13ba52f</v>
      </c>
      <c r="BC22" s="211" t="str">
        <f>IFERROR(__xludf.DUMMYFUNCTION("""COMPUTED_VALUE"""),"Ongkos Kirim (Non PPN)")</f>
        <v>Ongkos Kirim (Non PPN)</v>
      </c>
      <c r="BD22" s="211" t="str">
        <f>IFERROR(__xludf.DUMMYFUNCTION("""COMPUTED_VALUE"""),"SERV")</f>
        <v>SERV</v>
      </c>
      <c r="BE22" s="211"/>
      <c r="BF22" s="211" t="str">
        <f>IFERROR(__xludf.DUMMYFUNCTION("""COMPUTED_VALUE"""),"Jasa")</f>
        <v>Jasa</v>
      </c>
      <c r="BG22" s="211"/>
      <c r="BH22" s="211" t="b">
        <f>IFERROR(__xludf.DUMMYFUNCTION("""COMPUTED_VALUE"""),FALSE)</f>
        <v>0</v>
      </c>
      <c r="BI22" s="211"/>
    </row>
    <row r="23">
      <c r="A23" s="210" t="str">
        <f>IFERROR(__xludf.DUMMYFUNCTION("""COMPUTED_VALUE"""),"09240011")</f>
        <v>09240011</v>
      </c>
      <c r="B23" s="210" t="str">
        <f>IFERROR(__xludf.DUMMYFUNCTION("""COMPUTED_VALUE"""),"09240011")</f>
        <v>09240011</v>
      </c>
      <c r="C23" s="213">
        <f>IFERROR(__xludf.DUMMYFUNCTION("""COMPUTED_VALUE"""),45545.519733796296)</f>
        <v>45545.51973</v>
      </c>
      <c r="D23" s="211" t="str">
        <f>IFERROR(__xludf.DUMMYFUNCTION("""COMPUTED_VALUE"""),"e86baf3b")</f>
        <v>e86baf3b</v>
      </c>
      <c r="E23" s="211" t="str">
        <f>IFERROR(__xludf.DUMMYFUNCTION("""COMPUTED_VALUE"""),"PT GEMILANG CIPTA WAWASAN")</f>
        <v>PT GEMILANG CIPTA WAWASAN</v>
      </c>
      <c r="F23" s="211" t="str">
        <f>IFERROR(__xludf.DUMMYFUNCTION("""COMPUTED_VALUE"""),"be525f3b")</f>
        <v>be525f3b</v>
      </c>
      <c r="G23" s="211" t="str">
        <f>IFERROR(__xludf.DUMMYFUNCTION("""COMPUTED_VALUE"""),"LPG 12kg")</f>
        <v>LPG 12kg</v>
      </c>
      <c r="H23" s="214" t="str">
        <f>IFERROR(__xludf.DUMMYFUNCTION("""COMPUTED_VALUE"""),"OUT")</f>
        <v>OUT</v>
      </c>
      <c r="I23" s="214" t="str">
        <f>IFERROR(__xludf.DUMMYFUNCTION("""COMPUTED_VALUE"""),"NORMAL")</f>
        <v>NORMAL</v>
      </c>
      <c r="J23" s="211">
        <f>IFERROR(__xludf.DUMMYFUNCTION("""COMPUTED_VALUE"""),5.0)</f>
        <v>5</v>
      </c>
      <c r="K23" s="210" t="str">
        <f>IFERROR(__xludf.DUMMYFUNCTION("""COMPUTED_VALUE"""),"L28 L25 L26 L27 L24")</f>
        <v>L28 L25 L26 L27 L24</v>
      </c>
      <c r="L23" s="211">
        <f>IFERROR(__xludf.DUMMYFUNCTION("""COMPUTED_VALUE"""),210000.0)</f>
        <v>210000</v>
      </c>
      <c r="M23" s="211"/>
      <c r="N23" s="211"/>
      <c r="O23" s="211"/>
      <c r="Q23" s="210" t="str">
        <f>IFERROR(__xludf.DUMMYFUNCTION("""COMPUTED_VALUE"""),"8a27a267")</f>
        <v>8a27a267</v>
      </c>
      <c r="R23" s="210" t="str">
        <f>IFERROR(__xludf.DUMMYFUNCTION("""COMPUTED_VALUE"""),"8a27a267")</f>
        <v>8a27a267</v>
      </c>
      <c r="S23" s="211" t="str">
        <f>IFERROR(__xludf.DUMMYFUNCTION("""COMPUTED_VALUE"""),"f8335a53")</f>
        <v>f8335a53</v>
      </c>
      <c r="T23" s="211" t="str">
        <f>IFERROR(__xludf.DUMMYFUNCTION("""COMPUTED_VALUE"""),"CV RAGAM JAYA ENGINEERING")</f>
        <v>CV RAGAM JAYA ENGINEERING</v>
      </c>
      <c r="U23" s="215">
        <f>IFERROR(__xludf.DUMMYFUNCTION("""COMPUTED_VALUE"""),45549.46349537037)</f>
        <v>45549.4635</v>
      </c>
      <c r="V23" s="211" t="str">
        <f>IFERROR(__xludf.DUMMYFUNCTION("""COMPUTED_VALUE"""),"Jl. Balung wangon, Dadapkuning, Bulurejo, Kec. Benjeng, Kabupaten Gresik, Jawa Timur 61172")</f>
        <v>Jl. Balung wangon, Dadapkuning, Bulurejo, Kec. Benjeng, Kabupaten Gresik, Jawa Timur 61172</v>
      </c>
      <c r="W23" s="211" t="str">
        <f>IFERROR(__xludf.DUMMYFUNCTION("""COMPUTED_VALUE"""),"IN")</f>
        <v>IN</v>
      </c>
      <c r="X23" s="211"/>
      <c r="Z23" s="211" t="str">
        <f>IFERROR(__xludf.DUMMYFUNCTION("""COMPUTED_VALUE"""),"042653062")</f>
        <v>042653062</v>
      </c>
      <c r="AA23" s="211" t="str">
        <f>IFERROR(__xludf.DUMMYFUNCTION("""COMPUTED_VALUE"""),"4102511347")</f>
        <v>4102511347</v>
      </c>
      <c r="AC23" s="211" t="str">
        <f>IFERROR(__xludf.DUMMYFUNCTION("""COMPUTED_VALUE"""),"103f3ae7")</f>
        <v>103f3ae7</v>
      </c>
      <c r="AD23" s="211" t="str">
        <f>IFERROR(__xludf.DUMMYFUNCTION("""COMPUTED_VALUE"""),"PT ARYANA CAKASANA")</f>
        <v>PT ARYANA CAKASANA</v>
      </c>
      <c r="AE23" s="211" t="str">
        <f>IFERROR(__xludf.DUMMYFUNCTION("""COMPUTED_VALUE"""),"0015325533609000")</f>
        <v>0015325533609000</v>
      </c>
      <c r="AF23" s="216" t="b">
        <f>IFERROR(__xludf.DUMMYFUNCTION("""COMPUTED_VALUE"""),TRUE)</f>
        <v>1</v>
      </c>
      <c r="AG23" s="211" t="str">
        <f>IFERROR(__xludf.DUMMYFUNCTION("""COMPUTED_VALUE"""),"Jl Raya Tarik No. 45, Wonokupang, Bakalan, Balongbendo")</f>
        <v>Jl Raya Tarik No. 45, Wonokupang, Bakalan, Balongbendo</v>
      </c>
      <c r="AH23" s="217">
        <f>IFERROR(__xludf.DUMMYFUNCTION("""COMPUTED_VALUE"""),60.0)</f>
        <v>60</v>
      </c>
      <c r="AI23" s="211"/>
      <c r="AJ23" s="211"/>
      <c r="AL23" s="211" t="str">
        <f>IFERROR(__xludf.DUMMYFUNCTION("""COMPUTED_VALUE"""),"2260295")</f>
        <v>2260295</v>
      </c>
      <c r="AM23" s="211" t="str">
        <f>IFERROR(__xludf.DUMMYFUNCTION("""COMPUTED_VALUE"""),"032642730")</f>
        <v>032642730</v>
      </c>
      <c r="AN23" s="211" t="str">
        <f>IFERROR(__xludf.DUMMYFUNCTION("""COMPUTED_VALUE"""),"057b6b99")</f>
        <v>057b6b99</v>
      </c>
      <c r="AO23" s="211" t="str">
        <f>IFERROR(__xludf.DUMMYFUNCTION("""COMPUTED_VALUE"""),"PT Anuta Utama Transport")</f>
        <v>PT Anuta Utama Transport</v>
      </c>
      <c r="AP23" s="215">
        <f>IFERROR(__xludf.DUMMYFUNCTION("""COMPUTED_VALUE"""),46112.551030092596)</f>
        <v>46112.55103</v>
      </c>
      <c r="AQ23" s="218">
        <f>IFERROR(__xludf.DUMMYFUNCTION("""COMPUTED_VALUE"""),46085.0)</f>
        <v>46085</v>
      </c>
      <c r="AR23" s="211"/>
      <c r="AS23" s="211" t="str">
        <f>IFERROR(__xludf.DUMMYFUNCTION("""COMPUTED_VALUE"""),"103f3ae7")</f>
        <v>103f3ae7</v>
      </c>
      <c r="AT23" s="211" t="str">
        <f>IFERROR(__xludf.DUMMYFUNCTION("""COMPUTED_VALUE"""),"PT ARYANA CAKASANA")</f>
        <v>PT ARYANA CAKASANA</v>
      </c>
      <c r="AU23" s="211" t="str">
        <f>IFERROR(__xludf.DUMMYFUNCTION("""COMPUTED_VALUE"""),"0015325533609000")</f>
        <v>0015325533609000</v>
      </c>
      <c r="AV23" s="216" t="b">
        <f>IFERROR(__xludf.DUMMYFUNCTION("""COMPUTED_VALUE"""),TRUE)</f>
        <v>1</v>
      </c>
      <c r="AW23" s="211" t="str">
        <f>IFERROR(__xludf.DUMMYFUNCTION("""COMPUTED_VALUE"""),"Jl Raya Tarik No. 45, Wonokupang, Bakalan, Balongbendo")</f>
        <v>Jl Raya Tarik No. 45, Wonokupang, Bakalan, Balongbendo</v>
      </c>
      <c r="AX23" s="217">
        <f>IFERROR(__xludf.DUMMYFUNCTION("""COMPUTED_VALUE"""),60.0)</f>
        <v>60</v>
      </c>
      <c r="AY23" s="211"/>
      <c r="AZ23" s="211"/>
      <c r="BB23" s="211" t="str">
        <f>IFERROR(__xludf.DUMMYFUNCTION("""COMPUTED_VALUE"""),"adc2bd7c")</f>
        <v>adc2bd7c</v>
      </c>
      <c r="BC23" s="211" t="str">
        <f>IFERROR(__xludf.DUMMYFUNCTION("""COMPUTED_VALUE"""),"LPG 12kg (Tbg + Isi)")</f>
        <v>LPG 12kg (Tbg + Isi)</v>
      </c>
      <c r="BD23" s="211" t="str">
        <f>IFERROR(__xludf.DUMMYFUNCTION("""COMPUTED_VALUE"""),"SELL")</f>
        <v>SELL</v>
      </c>
      <c r="BE23" s="211"/>
      <c r="BF23" s="211" t="str">
        <f>IFERROR(__xludf.DUMMYFUNCTION("""COMPUTED_VALUE"""),"Btl")</f>
        <v>Btl</v>
      </c>
      <c r="BG23" s="211"/>
      <c r="BH23" s="211" t="b">
        <f>IFERROR(__xludf.DUMMYFUNCTION("""COMPUTED_VALUE"""),FALSE)</f>
        <v>0</v>
      </c>
      <c r="BI23" s="211"/>
    </row>
    <row r="24">
      <c r="A24" s="210" t="str">
        <f>IFERROR(__xludf.DUMMYFUNCTION("""COMPUTED_VALUE"""),"09240012")</f>
        <v>09240012</v>
      </c>
      <c r="B24" s="210" t="str">
        <f>IFERROR(__xludf.DUMMYFUNCTION("""COMPUTED_VALUE"""),"09240012")</f>
        <v>09240012</v>
      </c>
      <c r="C24" s="213">
        <f>IFERROR(__xludf.DUMMYFUNCTION("""COMPUTED_VALUE"""),45547.406319444446)</f>
        <v>45547.40632</v>
      </c>
      <c r="D24" s="211" t="str">
        <f>IFERROR(__xludf.DUMMYFUNCTION("""COMPUTED_VALUE"""),"2d88931c")</f>
        <v>2d88931c</v>
      </c>
      <c r="E24" s="211" t="str">
        <f>IFERROR(__xludf.DUMMYFUNCTION("""COMPUTED_VALUE"""),"PT Dunia Berkat Marga Mulya")</f>
        <v>PT Dunia Berkat Marga Mulya</v>
      </c>
      <c r="F24" s="211" t="str">
        <f>IFERROR(__xludf.DUMMYFUNCTION("""COMPUTED_VALUE"""),"8bdbe149")</f>
        <v>8bdbe149</v>
      </c>
      <c r="G24" s="211" t="str">
        <f>IFERROR(__xludf.DUMMYFUNCTION("""COMPUTED_VALUE"""),"Oksigen 6m3")</f>
        <v>Oksigen 6m3</v>
      </c>
      <c r="H24" s="214" t="str">
        <f>IFERROR(__xludf.DUMMYFUNCTION("""COMPUTED_VALUE"""),"OUT")</f>
        <v>OUT</v>
      </c>
      <c r="I24" s="214" t="str">
        <f>IFERROR(__xludf.DUMMYFUNCTION("""COMPUTED_VALUE"""),"NORMAL")</f>
        <v>NORMAL</v>
      </c>
      <c r="J24" s="211">
        <f>IFERROR(__xludf.DUMMYFUNCTION("""COMPUTED_VALUE"""),5.0)</f>
        <v>5</v>
      </c>
      <c r="K24" s="210" t="str">
        <f>IFERROR(__xludf.DUMMYFUNCTION("""COMPUTED_VALUE"""),"1123 1114 1147 1150 1101")</f>
        <v>1123 1114 1147 1150 1101</v>
      </c>
      <c r="L24" s="211">
        <f>IFERROR(__xludf.DUMMYFUNCTION("""COMPUTED_VALUE"""),60000.0)</f>
        <v>60000</v>
      </c>
      <c r="M24" s="211"/>
      <c r="N24" s="211"/>
      <c r="O24" s="211"/>
      <c r="Q24" s="210" t="str">
        <f>IFERROR(__xludf.DUMMYFUNCTION("""COMPUTED_VALUE"""),"09240017")</f>
        <v>09240017</v>
      </c>
      <c r="R24" s="210" t="str">
        <f>IFERROR(__xludf.DUMMYFUNCTION("""COMPUTED_VALUE"""),"09240017")</f>
        <v>09240017</v>
      </c>
      <c r="S24" s="211" t="str">
        <f>IFERROR(__xludf.DUMMYFUNCTION("""COMPUTED_VALUE"""),"7b9d8eba")</f>
        <v>7b9d8eba</v>
      </c>
      <c r="T24" s="211" t="str">
        <f>IFERROR(__xludf.DUMMYFUNCTION("""COMPUTED_VALUE"""),"PT PELANGI INDOKARYA")</f>
        <v>PT PELANGI INDOKARYA</v>
      </c>
      <c r="U24" s="215">
        <f>IFERROR(__xludf.DUMMYFUNCTION("""COMPUTED_VALUE"""),45552.52795138889)</f>
        <v>45552.52795</v>
      </c>
      <c r="V2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4" s="211" t="str">
        <f>IFERROR(__xludf.DUMMYFUNCTION("""COMPUTED_VALUE"""),"OUT")</f>
        <v>OUT</v>
      </c>
      <c r="X24" s="211"/>
      <c r="Z24" s="211" t="str">
        <f>IFERROR(__xludf.DUMMYFUNCTION("""COMPUTED_VALUE"""),"042623061")</f>
        <v>042623061</v>
      </c>
      <c r="AA24" s="211" t="str">
        <f>IFERROR(__xludf.DUMMYFUNCTION("""COMPUTED_VALUE"""),"4092521303")</f>
        <v>4092521303</v>
      </c>
      <c r="AC24" s="211" t="str">
        <f>IFERROR(__xludf.DUMMYFUNCTION("""COMPUTED_VALUE"""),"9419f673")</f>
        <v>9419f673</v>
      </c>
      <c r="AD24" s="211" t="str">
        <f>IFERROR(__xludf.DUMMYFUNCTION("""COMPUTED_VALUE"""),"PT LONG XING LOGAM INDONESIA")</f>
        <v>PT LONG XING LOGAM INDONESIA</v>
      </c>
      <c r="AE24" s="211"/>
      <c r="AF24" s="216" t="b">
        <f>IFERROR(__xludf.DUMMYFUNCTION("""COMPUTED_VALUE"""),FALSE)</f>
        <v>0</v>
      </c>
      <c r="AG24" s="211" t="str">
        <f>IFERROR(__xludf.DUMMYFUNCTION("""COMPUTED_VALUE"""),"Jl. Raya Wringinanom, Tanggungan, Lebaniwaras, Kec. Wringinanom, Kabupaten Gresik, Jawa Timur 61176")</f>
        <v>Jl. Raya Wringinanom, Tanggungan, Lebaniwaras, Kec. Wringinanom, Kabupaten Gresik, Jawa Timur 61176</v>
      </c>
      <c r="AH24" s="211"/>
      <c r="AI24" s="211"/>
      <c r="AJ24" s="211"/>
      <c r="AL24" s="211" t="str">
        <f>IFERROR(__xludf.DUMMYFUNCTION("""COMPUTED_VALUE"""),"2260293")</f>
        <v>2260293</v>
      </c>
      <c r="AM24" s="211" t="str">
        <f>IFERROR(__xludf.DUMMYFUNCTION("""COMPUTED_VALUE"""),"0326272913")</f>
        <v>0326272913</v>
      </c>
      <c r="AN24" s="211" t="str">
        <f>IFERROR(__xludf.DUMMYFUNCTION("""COMPUTED_VALUE"""),"7b9d8eba")</f>
        <v>7b9d8eba</v>
      </c>
      <c r="AO24" s="211" t="str">
        <f>IFERROR(__xludf.DUMMYFUNCTION("""COMPUTED_VALUE"""),"PT PELANGI INDOKARYA")</f>
        <v>PT PELANGI INDOKARYA</v>
      </c>
      <c r="AP24" s="215">
        <f>IFERROR(__xludf.DUMMYFUNCTION("""COMPUTED_VALUE"""),46112.5372337963)</f>
        <v>46112.53723</v>
      </c>
      <c r="AQ24" s="218">
        <f>IFERROR(__xludf.DUMMYFUNCTION("""COMPUTED_VALUE"""),46111.0)</f>
        <v>46111</v>
      </c>
      <c r="AR24" s="211"/>
      <c r="AS24" s="211" t="str">
        <f>IFERROR(__xludf.DUMMYFUNCTION("""COMPUTED_VALUE"""),"9419f673")</f>
        <v>9419f673</v>
      </c>
      <c r="AT24" s="211" t="str">
        <f>IFERROR(__xludf.DUMMYFUNCTION("""COMPUTED_VALUE"""),"PT LONG XING LOGAM INDONESIA")</f>
        <v>PT LONG XING LOGAM INDONESIA</v>
      </c>
      <c r="AU24" s="211"/>
      <c r="AV24" s="216" t="b">
        <f>IFERROR(__xludf.DUMMYFUNCTION("""COMPUTED_VALUE"""),FALSE)</f>
        <v>0</v>
      </c>
      <c r="AW24" s="211" t="str">
        <f>IFERROR(__xludf.DUMMYFUNCTION("""COMPUTED_VALUE"""),"Jl. Raya Wringinanom, Tanggungan, Lebaniwaras, Kec. Wringinanom, Kabupaten Gresik, Jawa Timur 61176")</f>
        <v>Jl. Raya Wringinanom, Tanggungan, Lebaniwaras, Kec. Wringinanom, Kabupaten Gresik, Jawa Timur 61176</v>
      </c>
      <c r="AX24" s="211"/>
      <c r="AY24" s="211"/>
      <c r="AZ24" s="211"/>
      <c r="BB24" s="211" t="str">
        <f>IFERROR(__xludf.DUMMYFUNCTION("""COMPUTED_VALUE"""),"f218d855")</f>
        <v>f218d855</v>
      </c>
      <c r="BC24" s="211" t="str">
        <f>IFERROR(__xludf.DUMMYFUNCTION("""COMPUTED_VALUE"""),"YR-78 Arg Welding Regulator")</f>
        <v>YR-78 Arg Welding Regulator</v>
      </c>
      <c r="BD24" s="211" t="str">
        <f>IFERROR(__xludf.DUMMYFUNCTION("""COMPUTED_VALUE"""),"SELL")</f>
        <v>SELL</v>
      </c>
      <c r="BE24" s="211"/>
      <c r="BF24" s="211" t="str">
        <f>IFERROR(__xludf.DUMMYFUNCTION("""COMPUTED_VALUE"""),"Pcs")</f>
        <v>Pcs</v>
      </c>
      <c r="BG24" s="211"/>
      <c r="BH24" s="211" t="b">
        <f>IFERROR(__xludf.DUMMYFUNCTION("""COMPUTED_VALUE"""),FALSE)</f>
        <v>0</v>
      </c>
      <c r="BI24" s="211"/>
    </row>
    <row r="25">
      <c r="A25" s="210" t="str">
        <f>IFERROR(__xludf.DUMMYFUNCTION("""COMPUTED_VALUE"""),"c61daa5f")</f>
        <v>c61daa5f</v>
      </c>
      <c r="B25" s="210" t="str">
        <f>IFERROR(__xludf.DUMMYFUNCTION("""COMPUTED_VALUE"""),"c61daa5f")</f>
        <v>c61daa5f</v>
      </c>
      <c r="C25" s="213">
        <f>IFERROR(__xludf.DUMMYFUNCTION("""COMPUTED_VALUE"""),45547.44578703704)</f>
        <v>45547.44579</v>
      </c>
      <c r="D25" s="211" t="str">
        <f>IFERROR(__xludf.DUMMYFUNCTION("""COMPUTED_VALUE"""),"f8335a53")</f>
        <v>f8335a53</v>
      </c>
      <c r="E25" s="211" t="str">
        <f>IFERROR(__xludf.DUMMYFUNCTION("""COMPUTED_VALUE"""),"CV RAGAM JAYA ENGINEERING")</f>
        <v>CV RAGAM JAYA ENGINEERING</v>
      </c>
      <c r="F25" s="211" t="str">
        <f>IFERROR(__xludf.DUMMYFUNCTION("""COMPUTED_VALUE"""),"8bdbe149")</f>
        <v>8bdbe149</v>
      </c>
      <c r="G25" s="211" t="str">
        <f>IFERROR(__xludf.DUMMYFUNCTION("""COMPUTED_VALUE"""),"Oksigen 6m3")</f>
        <v>Oksigen 6m3</v>
      </c>
      <c r="H25" s="214" t="str">
        <f>IFERROR(__xludf.DUMMYFUNCTION("""COMPUTED_VALUE"""),"IN")</f>
        <v>IN</v>
      </c>
      <c r="I25" s="214" t="str">
        <f>IFERROR(__xludf.DUMMYFUNCTION("""COMPUTED_VALUE"""),"EMPTY")</f>
        <v>EMPTY</v>
      </c>
      <c r="J25" s="211">
        <f>IFERROR(__xludf.DUMMYFUNCTION("""COMPUTED_VALUE"""),3.0)</f>
        <v>3</v>
      </c>
      <c r="K25" s="210" t="str">
        <f>IFERROR(__xludf.DUMMYFUNCTION("""COMPUTED_VALUE"""),"1131 1104 1135")</f>
        <v>1131 1104 1135</v>
      </c>
      <c r="L25" s="211"/>
      <c r="M25" s="211"/>
      <c r="N25" s="211"/>
      <c r="O25" s="211"/>
      <c r="Q25" s="210" t="str">
        <f>IFERROR(__xludf.DUMMYFUNCTION("""COMPUTED_VALUE"""),"09240018")</f>
        <v>09240018</v>
      </c>
      <c r="R25" s="210" t="str">
        <f>IFERROR(__xludf.DUMMYFUNCTION("""COMPUTED_VALUE"""),"09240018")</f>
        <v>09240018</v>
      </c>
      <c r="S25" s="211" t="str">
        <f>IFERROR(__xludf.DUMMYFUNCTION("""COMPUTED_VALUE"""),"e86baf3b")</f>
        <v>e86baf3b</v>
      </c>
      <c r="T25" s="211" t="str">
        <f>IFERROR(__xludf.DUMMYFUNCTION("""COMPUTED_VALUE"""),"PT GEMILANG CIPTA WAWASAN")</f>
        <v>PT GEMILANG CIPTA WAWASAN</v>
      </c>
      <c r="U25" s="215">
        <f>IFERROR(__xludf.DUMMYFUNCTION("""COMPUTED_VALUE"""),45553.436377314814)</f>
        <v>45553.43638</v>
      </c>
      <c r="V25" s="211" t="str">
        <f>IFERROR(__xludf.DUMMYFUNCTION("""COMPUTED_VALUE"""),"JL TEBET RAYA, 2A, TEBET BARAT, TEBET, KOTA ADM, JAKARTA SELATAN, DKI JAKARTA")</f>
        <v>JL TEBET RAYA, 2A, TEBET BARAT, TEBET, KOTA ADM, JAKARTA SELATAN, DKI JAKARTA</v>
      </c>
      <c r="W25" s="211" t="str">
        <f>IFERROR(__xludf.DUMMYFUNCTION("""COMPUTED_VALUE"""),"OUT")</f>
        <v>OUT</v>
      </c>
      <c r="X25" s="211"/>
      <c r="Z25" s="211" t="str">
        <f>IFERROR(__xludf.DUMMYFUNCTION("""COMPUTED_VALUE"""),"042663060")</f>
        <v>042663060</v>
      </c>
      <c r="AA25" s="211" t="str">
        <f>IFERROR(__xludf.DUMMYFUNCTION("""COMPUTED_VALUE"""),"4092521302")</f>
        <v>4092521302</v>
      </c>
      <c r="AC25" s="211" t="str">
        <f>IFERROR(__xludf.DUMMYFUNCTION("""COMPUTED_VALUE"""),"8ea74d81")</f>
        <v>8ea74d81</v>
      </c>
      <c r="AD25" s="211" t="str">
        <f>IFERROR(__xludf.DUMMYFUNCTION("""COMPUTED_VALUE"""),"Bengkel Adi Putra")</f>
        <v>Bengkel Adi Putra</v>
      </c>
      <c r="AE25" s="211"/>
      <c r="AF25" s="216" t="b">
        <f>IFERROR(__xludf.DUMMYFUNCTION("""COMPUTED_VALUE"""),FALSE)</f>
        <v>0</v>
      </c>
      <c r="AG25" s="211" t="str">
        <f>IFERROR(__xludf.DUMMYFUNCTION("""COMPUTED_VALUE"""),"Bypass Balongbendo")</f>
        <v>Bypass Balongbendo</v>
      </c>
      <c r="AH25" s="217">
        <f>IFERROR(__xludf.DUMMYFUNCTION("""COMPUTED_VALUE"""),14.0)</f>
        <v>14</v>
      </c>
      <c r="AI25" s="211"/>
      <c r="AJ25" s="211"/>
      <c r="AL25" s="211" t="str">
        <f>IFERROR(__xludf.DUMMYFUNCTION("""COMPUTED_VALUE"""),"2260293")</f>
        <v>2260293</v>
      </c>
      <c r="AM25" s="211" t="str">
        <f>IFERROR(__xludf.DUMMYFUNCTION("""COMPUTED_VALUE"""),"0226262702")</f>
        <v>0226262702</v>
      </c>
      <c r="AN25" s="211" t="str">
        <f>IFERROR(__xludf.DUMMYFUNCTION("""COMPUTED_VALUE"""),"7b9d8eba")</f>
        <v>7b9d8eba</v>
      </c>
      <c r="AO25" s="211" t="str">
        <f>IFERROR(__xludf.DUMMYFUNCTION("""COMPUTED_VALUE"""),"PT PELANGI INDOKARYA")</f>
        <v>PT PELANGI INDOKARYA</v>
      </c>
      <c r="AP25" s="215">
        <f>IFERROR(__xludf.DUMMYFUNCTION("""COMPUTED_VALUE"""),46112.5372337963)</f>
        <v>46112.53723</v>
      </c>
      <c r="AQ25" s="218">
        <f>IFERROR(__xludf.DUMMYFUNCTION("""COMPUTED_VALUE"""),46081.0)</f>
        <v>46081</v>
      </c>
      <c r="AR25" s="211"/>
      <c r="AS25" s="211" t="str">
        <f>IFERROR(__xludf.DUMMYFUNCTION("""COMPUTED_VALUE"""),"8ea74d81")</f>
        <v>8ea74d81</v>
      </c>
      <c r="AT25" s="211" t="str">
        <f>IFERROR(__xludf.DUMMYFUNCTION("""COMPUTED_VALUE"""),"Bengkel Adi Putra")</f>
        <v>Bengkel Adi Putra</v>
      </c>
      <c r="AU25" s="211"/>
      <c r="AV25" s="216" t="b">
        <f>IFERROR(__xludf.DUMMYFUNCTION("""COMPUTED_VALUE"""),FALSE)</f>
        <v>0</v>
      </c>
      <c r="AW25" s="211" t="str">
        <f>IFERROR(__xludf.DUMMYFUNCTION("""COMPUTED_VALUE"""),"Bypass Balongbendo")</f>
        <v>Bypass Balongbendo</v>
      </c>
      <c r="AX25" s="217">
        <f>IFERROR(__xludf.DUMMYFUNCTION("""COMPUTED_VALUE"""),14.0)</f>
        <v>14</v>
      </c>
      <c r="AY25" s="211"/>
      <c r="AZ25" s="211"/>
      <c r="BB25" s="211" t="str">
        <f>IFERROR(__xludf.DUMMYFUNCTION("""COMPUTED_VALUE"""),"2e2560f8")</f>
        <v>2e2560f8</v>
      </c>
      <c r="BC25" s="211" t="str">
        <f>IFERROR(__xludf.DUMMYFUNCTION("""COMPUTED_VALUE"""),"Bonit Valve")</f>
        <v>Bonit Valve</v>
      </c>
      <c r="BD25" s="211" t="str">
        <f>IFERROR(__xludf.DUMMYFUNCTION("""COMPUTED_VALUE"""),"SELL")</f>
        <v>SELL</v>
      </c>
      <c r="BE25" s="211"/>
      <c r="BF25" s="211" t="str">
        <f>IFERROR(__xludf.DUMMYFUNCTION("""COMPUTED_VALUE"""),"Pcs")</f>
        <v>Pcs</v>
      </c>
      <c r="BG25" s="211" t="str">
        <f>IFERROR(__xludf.DUMMYFUNCTION("""COMPUTED_VALUE"""),"Bonit")</f>
        <v>Bonit</v>
      </c>
      <c r="BH25" s="211" t="b">
        <f>IFERROR(__xludf.DUMMYFUNCTION("""COMPUTED_VALUE"""),FALSE)</f>
        <v>0</v>
      </c>
      <c r="BI25" s="211"/>
    </row>
    <row r="26">
      <c r="A26" s="210" t="str">
        <f>IFERROR(__xludf.DUMMYFUNCTION("""COMPUTED_VALUE"""),"09240014")</f>
        <v>09240014</v>
      </c>
      <c r="B26" s="210" t="str">
        <f>IFERROR(__xludf.DUMMYFUNCTION("""COMPUTED_VALUE"""),"09240014")</f>
        <v>09240014</v>
      </c>
      <c r="C26" s="213">
        <f>IFERROR(__xludf.DUMMYFUNCTION("""COMPUTED_VALUE"""),45548.444444444445)</f>
        <v>45548.44444</v>
      </c>
      <c r="D26" s="211" t="str">
        <f>IFERROR(__xludf.DUMMYFUNCTION("""COMPUTED_VALUE"""),"f8335a53")</f>
        <v>f8335a53</v>
      </c>
      <c r="E26" s="211" t="str">
        <f>IFERROR(__xludf.DUMMYFUNCTION("""COMPUTED_VALUE"""),"CV RAGAM JAYA ENGINEERING")</f>
        <v>CV RAGAM JAYA ENGINEERING</v>
      </c>
      <c r="F26" s="211" t="str">
        <f>IFERROR(__xludf.DUMMYFUNCTION("""COMPUTED_VALUE"""),"be525f3b")</f>
        <v>be525f3b</v>
      </c>
      <c r="G26" s="211" t="str">
        <f>IFERROR(__xludf.DUMMYFUNCTION("""COMPUTED_VALUE"""),"LPG 12kg")</f>
        <v>LPG 12kg</v>
      </c>
      <c r="H26" s="214" t="str">
        <f>IFERROR(__xludf.DUMMYFUNCTION("""COMPUTED_VALUE"""),"OUT")</f>
        <v>OUT</v>
      </c>
      <c r="I26" s="214" t="str">
        <f>IFERROR(__xludf.DUMMYFUNCTION("""COMPUTED_VALUE"""),"NORMAL")</f>
        <v>NORMAL</v>
      </c>
      <c r="J26" s="211">
        <f>IFERROR(__xludf.DUMMYFUNCTION("""COMPUTED_VALUE"""),3.0)</f>
        <v>3</v>
      </c>
      <c r="K26" s="211"/>
      <c r="L26" s="211">
        <f>IFERROR(__xludf.DUMMYFUNCTION("""COMPUTED_VALUE"""),225000.0)</f>
        <v>225000</v>
      </c>
      <c r="M26" s="211"/>
      <c r="N26" s="211"/>
      <c r="O26" s="211"/>
      <c r="Q26" s="210" t="str">
        <f>IFERROR(__xludf.DUMMYFUNCTION("""COMPUTED_VALUE"""),"bd6a36bd")</f>
        <v>bd6a36bd</v>
      </c>
      <c r="R26" s="210" t="str">
        <f>IFERROR(__xludf.DUMMYFUNCTION("""COMPUTED_VALUE"""),"bd6a36bd")</f>
        <v>bd6a36bd</v>
      </c>
      <c r="S26" s="211" t="str">
        <f>IFERROR(__xludf.DUMMYFUNCTION("""COMPUTED_VALUE"""),"7b9d8eba")</f>
        <v>7b9d8eba</v>
      </c>
      <c r="T26" s="211" t="str">
        <f>IFERROR(__xludf.DUMMYFUNCTION("""COMPUTED_VALUE"""),"PT PELANGI INDOKARYA")</f>
        <v>PT PELANGI INDOKARYA</v>
      </c>
      <c r="U26" s="215">
        <f>IFERROR(__xludf.DUMMYFUNCTION("""COMPUTED_VALUE"""),45553.504004629634)</f>
        <v>45553.504</v>
      </c>
      <c r="V2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6" s="211" t="str">
        <f>IFERROR(__xludf.DUMMYFUNCTION("""COMPUTED_VALUE"""),"IN")</f>
        <v>IN</v>
      </c>
      <c r="X26" s="211"/>
      <c r="Z26" s="211" t="str">
        <f>IFERROR(__xludf.DUMMYFUNCTION("""COMPUTED_VALUE"""),"0426153059")</f>
        <v>0426153059</v>
      </c>
      <c r="AA26" s="211" t="str">
        <f>IFERROR(__xludf.DUMMYFUNCTION("""COMPUTED_VALUE"""),"4092521203")</f>
        <v>4092521203</v>
      </c>
      <c r="AC26" s="211" t="str">
        <f>IFERROR(__xludf.DUMMYFUNCTION("""COMPUTED_VALUE"""),"ec630cd9")</f>
        <v>ec630cd9</v>
      </c>
      <c r="AD26" s="211" t="str">
        <f>IFERROR(__xludf.DUMMYFUNCTION("""COMPUTED_VALUE"""),"PT Dingsheng Metal Indonesia")</f>
        <v>PT Dingsheng Metal Indonesia</v>
      </c>
      <c r="AE26" s="211"/>
      <c r="AF26" s="216" t="b">
        <f>IFERROR(__xludf.DUMMYFUNCTION("""COMPUTED_VALUE"""),FALSE)</f>
        <v>0</v>
      </c>
      <c r="AG26" s="211" t="str">
        <f>IFERROR(__xludf.DUMMYFUNCTION("""COMPUTED_VALUE"""),"Kangkungan, Lengkong, Kec. Mojoanyar, Kabupaten Mojokerto, Jawa Timur")</f>
        <v>Kangkungan, Lengkong, Kec. Mojoanyar, Kabupaten Mojokerto, Jawa Timur</v>
      </c>
      <c r="AH26" s="217">
        <f>IFERROR(__xludf.DUMMYFUNCTION("""COMPUTED_VALUE"""),14.0)</f>
        <v>14</v>
      </c>
      <c r="AI26" s="211"/>
      <c r="AJ26" s="211"/>
      <c r="AL26" s="211" t="str">
        <f>IFERROR(__xludf.DUMMYFUNCTION("""COMPUTED_VALUE"""),"2260292")</f>
        <v>2260292</v>
      </c>
      <c r="AM26" s="211" t="str">
        <f>IFERROR(__xludf.DUMMYFUNCTION("""COMPUTED_VALUE"""),"0326122850")</f>
        <v>0326122850</v>
      </c>
      <c r="AN26" s="211" t="str">
        <f>IFERROR(__xludf.DUMMYFUNCTION("""COMPUTED_VALUE"""),"1c4d5e93")</f>
        <v>1c4d5e93</v>
      </c>
      <c r="AO26" s="211" t="str">
        <f>IFERROR(__xludf.DUMMYFUNCTION("""COMPUTED_VALUE"""),"Karoseri Cipta Mitra Sukses")</f>
        <v>Karoseri Cipta Mitra Sukses</v>
      </c>
      <c r="AP26" s="215">
        <f>IFERROR(__xludf.DUMMYFUNCTION("""COMPUTED_VALUE"""),46107.540243055555)</f>
        <v>46107.54024</v>
      </c>
      <c r="AQ26" s="218">
        <f>IFERROR(__xludf.DUMMYFUNCTION("""COMPUTED_VALUE"""),46094.0)</f>
        <v>46094</v>
      </c>
      <c r="AR26" s="211"/>
      <c r="AS26" s="211" t="str">
        <f>IFERROR(__xludf.DUMMYFUNCTION("""COMPUTED_VALUE"""),"ec630cd9")</f>
        <v>ec630cd9</v>
      </c>
      <c r="AT26" s="211" t="str">
        <f>IFERROR(__xludf.DUMMYFUNCTION("""COMPUTED_VALUE"""),"PT Dingsheng Metal Indonesia")</f>
        <v>PT Dingsheng Metal Indonesia</v>
      </c>
      <c r="AU26" s="211"/>
      <c r="AV26" s="216" t="b">
        <f>IFERROR(__xludf.DUMMYFUNCTION("""COMPUTED_VALUE"""),FALSE)</f>
        <v>0</v>
      </c>
      <c r="AW26" s="211" t="str">
        <f>IFERROR(__xludf.DUMMYFUNCTION("""COMPUTED_VALUE"""),"Kangkungan, Lengkong, Kec. Mojoanyar, Kabupaten Mojokerto, Jawa Timur")</f>
        <v>Kangkungan, Lengkong, Kec. Mojoanyar, Kabupaten Mojokerto, Jawa Timur</v>
      </c>
      <c r="AX26" s="217">
        <f>IFERROR(__xludf.DUMMYFUNCTION("""COMPUTED_VALUE"""),14.0)</f>
        <v>14</v>
      </c>
      <c r="AY26" s="211"/>
      <c r="AZ26" s="211"/>
      <c r="BB26" s="211" t="str">
        <f>IFERROR(__xludf.DUMMYFUNCTION("""COMPUTED_VALUE"""),"fbe0ee2c")</f>
        <v>fbe0ee2c</v>
      </c>
      <c r="BC26" s="211" t="str">
        <f>IFERROR(__xludf.DUMMYFUNCTION("""COMPUTED_VALUE"""),"Valve O2")</f>
        <v>Valve O2</v>
      </c>
      <c r="BD26" s="211" t="str">
        <f>IFERROR(__xludf.DUMMYFUNCTION("""COMPUTED_VALUE"""),"SELL")</f>
        <v>SELL</v>
      </c>
      <c r="BE26" s="211"/>
      <c r="BF26" s="211" t="str">
        <f>IFERROR(__xludf.DUMMYFUNCTION("""COMPUTED_VALUE"""),"Pcs")</f>
        <v>Pcs</v>
      </c>
      <c r="BG26" s="211"/>
      <c r="BH26" s="211" t="b">
        <f>IFERROR(__xludf.DUMMYFUNCTION("""COMPUTED_VALUE"""),FALSE)</f>
        <v>0</v>
      </c>
      <c r="BI26" s="211"/>
    </row>
    <row r="27">
      <c r="A27" s="210" t="str">
        <f>IFERROR(__xludf.DUMMYFUNCTION("""COMPUTED_VALUE"""),"09240014")</f>
        <v>09240014</v>
      </c>
      <c r="B27" s="210" t="str">
        <f>IFERROR(__xludf.DUMMYFUNCTION("""COMPUTED_VALUE"""),"09240014")</f>
        <v>09240014</v>
      </c>
      <c r="C27" s="213">
        <f>IFERROR(__xludf.DUMMYFUNCTION("""COMPUTED_VALUE"""),45548.44824074074)</f>
        <v>45548.44824</v>
      </c>
      <c r="D27" s="211" t="str">
        <f>IFERROR(__xludf.DUMMYFUNCTION("""COMPUTED_VALUE"""),"f8335a53")</f>
        <v>f8335a53</v>
      </c>
      <c r="E27" s="211" t="str">
        <f>IFERROR(__xludf.DUMMYFUNCTION("""COMPUTED_VALUE"""),"CV RAGAM JAYA ENGINEERING")</f>
        <v>CV RAGAM JAYA ENGINEERING</v>
      </c>
      <c r="F27" s="211" t="str">
        <f>IFERROR(__xludf.DUMMYFUNCTION("""COMPUTED_VALUE"""),"ef306e54")</f>
        <v>ef306e54</v>
      </c>
      <c r="G27" s="211" t="str">
        <f>IFERROR(__xludf.DUMMYFUNCTION("""COMPUTED_VALUE"""),"Karbondioksida")</f>
        <v>Karbondioksida</v>
      </c>
      <c r="H27" s="214" t="str">
        <f>IFERROR(__xludf.DUMMYFUNCTION("""COMPUTED_VALUE"""),"OUT")</f>
        <v>OUT</v>
      </c>
      <c r="I27" s="214" t="str">
        <f>IFERROR(__xludf.DUMMYFUNCTION("""COMPUTED_VALUE"""),"NORMAL")</f>
        <v>NORMAL</v>
      </c>
      <c r="J27" s="211">
        <f>IFERROR(__xludf.DUMMYFUNCTION("""COMPUTED_VALUE"""),5.0)</f>
        <v>5</v>
      </c>
      <c r="K27" s="210" t="str">
        <f>IFERROR(__xludf.DUMMYFUNCTION("""COMPUTED_VALUE"""),"6797 6689 6669 6683 6834")</f>
        <v>6797 6689 6669 6683 6834</v>
      </c>
      <c r="L27" s="211">
        <f>IFERROR(__xludf.DUMMYFUNCTION("""COMPUTED_VALUE"""),160000.0)</f>
        <v>160000</v>
      </c>
      <c r="M27" s="211"/>
      <c r="N27" s="211"/>
      <c r="O27" s="211"/>
      <c r="Q27" s="210" t="str">
        <f>IFERROR(__xludf.DUMMYFUNCTION("""COMPUTED_VALUE"""),"ea7e14cc")</f>
        <v>ea7e14cc</v>
      </c>
      <c r="R27" s="210" t="str">
        <f>IFERROR(__xludf.DUMMYFUNCTION("""COMPUTED_VALUE"""),"ea7e14cc")</f>
        <v>ea7e14cc</v>
      </c>
      <c r="S27" s="211" t="str">
        <f>IFERROR(__xludf.DUMMYFUNCTION("""COMPUTED_VALUE"""),"e968afef")</f>
        <v>e968afef</v>
      </c>
      <c r="T27" s="211" t="str">
        <f>IFERROR(__xludf.DUMMYFUNCTION("""COMPUTED_VALUE"""),"Bpk. Agus")</f>
        <v>Bpk. Agus</v>
      </c>
      <c r="U27" s="215">
        <f>IFERROR(__xludf.DUMMYFUNCTION("""COMPUTED_VALUE"""),45553.615115740744)</f>
        <v>45553.61512</v>
      </c>
      <c r="V27" s="211" t="str">
        <f>IFERROR(__xludf.DUMMYFUNCTION("""COMPUTED_VALUE"""),"Jl. Parengan 13, Semawut, Balongbendo, Kec. BalongBendo, Kabupaten Sidoarjo, Jawa Timur 61263")</f>
        <v>Jl. Parengan 13, Semawut, Balongbendo, Kec. BalongBendo, Kabupaten Sidoarjo, Jawa Timur 61263</v>
      </c>
      <c r="W27" s="211" t="str">
        <f>IFERROR(__xludf.DUMMYFUNCTION("""COMPUTED_VALUE"""),"IN")</f>
        <v>IN</v>
      </c>
      <c r="X27" s="211"/>
      <c r="Z27" s="211" t="str">
        <f>IFERROR(__xludf.DUMMYFUNCTION("""COMPUTED_VALUE"""),"0426123058")</f>
        <v>0426123058</v>
      </c>
      <c r="AA27" s="211" t="str">
        <f>IFERROR(__xludf.DUMMYFUNCTION("""COMPUTED_VALUE"""),"4092521157")</f>
        <v>4092521157</v>
      </c>
      <c r="AC27" s="211" t="str">
        <f>IFERROR(__xludf.DUMMYFUNCTION("""COMPUTED_VALUE"""),"4bef3bbf")</f>
        <v>4bef3bbf</v>
      </c>
      <c r="AD27" s="211" t="str">
        <f>IFERROR(__xludf.DUMMYFUNCTION("""COMPUTED_VALUE"""),"PT Dingsheng Metal Indonesia (Ngoro)")</f>
        <v>PT Dingsheng Metal Indonesia (Ngoro)</v>
      </c>
      <c r="AE27" s="211"/>
      <c r="AF27" s="216" t="b">
        <f>IFERROR(__xludf.DUMMYFUNCTION("""COMPUTED_VALUE"""),TRUE)</f>
        <v>1</v>
      </c>
      <c r="AG27" s="211" t="str">
        <f>IFERROR(__xludf.DUMMYFUNCTION("""COMPUTED_VALUE"""),"Kri Kilan, Watesnegoro, Kec. Ngoro, Kabupaten Mojokerto, Jawa Timur 61385")</f>
        <v>Kri Kilan, Watesnegoro, Kec. Ngoro, Kabupaten Mojokerto, Jawa Timur 61385</v>
      </c>
      <c r="AH27" s="217">
        <f>IFERROR(__xludf.DUMMYFUNCTION("""COMPUTED_VALUE"""),30.0)</f>
        <v>30</v>
      </c>
      <c r="AI27" s="211"/>
      <c r="AJ27" s="211"/>
      <c r="AL27" s="211" t="str">
        <f>IFERROR(__xludf.DUMMYFUNCTION("""COMPUTED_VALUE"""),"2260281")</f>
        <v>2260281</v>
      </c>
      <c r="AM27" s="211" t="str">
        <f>IFERROR(__xludf.DUMMYFUNCTION("""COMPUTED_VALUE"""),"0226232664")</f>
        <v>0226232664</v>
      </c>
      <c r="AN27" s="211" t="str">
        <f>IFERROR(__xludf.DUMMYFUNCTION("""COMPUTED_VALUE"""),"63fc688a")</f>
        <v>63fc688a</v>
      </c>
      <c r="AO27" s="211" t="str">
        <f>IFERROR(__xludf.DUMMYFUNCTION("""COMPUTED_VALUE"""),"CV Malik Nusantara")</f>
        <v>CV Malik Nusantara</v>
      </c>
      <c r="AP27" s="215">
        <f>IFERROR(__xludf.DUMMYFUNCTION("""COMPUTED_VALUE"""),46107.5321875)</f>
        <v>46107.53219</v>
      </c>
      <c r="AQ27" s="218">
        <f>IFERROR(__xludf.DUMMYFUNCTION("""COMPUTED_VALUE"""),46078.0)</f>
        <v>46078</v>
      </c>
      <c r="AR27" s="211"/>
      <c r="AS27" s="211" t="str">
        <f>IFERROR(__xludf.DUMMYFUNCTION("""COMPUTED_VALUE"""),"4bef3bbf")</f>
        <v>4bef3bbf</v>
      </c>
      <c r="AT27" s="211" t="str">
        <f>IFERROR(__xludf.DUMMYFUNCTION("""COMPUTED_VALUE"""),"PT Dingsheng Metal Indonesia (Ngoro)")</f>
        <v>PT Dingsheng Metal Indonesia (Ngoro)</v>
      </c>
      <c r="AU27" s="211"/>
      <c r="AV27" s="216" t="b">
        <f>IFERROR(__xludf.DUMMYFUNCTION("""COMPUTED_VALUE"""),TRUE)</f>
        <v>1</v>
      </c>
      <c r="AW27" s="211" t="str">
        <f>IFERROR(__xludf.DUMMYFUNCTION("""COMPUTED_VALUE"""),"Kri Kilan, Watesnegoro, Kec. Ngoro, Kabupaten Mojokerto, Jawa Timur 61385")</f>
        <v>Kri Kilan, Watesnegoro, Kec. Ngoro, Kabupaten Mojokerto, Jawa Timur 61385</v>
      </c>
      <c r="AX27" s="217">
        <f>IFERROR(__xludf.DUMMYFUNCTION("""COMPUTED_VALUE"""),30.0)</f>
        <v>30</v>
      </c>
      <c r="AY27" s="211"/>
      <c r="AZ27" s="211"/>
      <c r="BB27" s="211" t="str">
        <f>IFERROR(__xludf.DUMMYFUNCTION("""COMPUTED_VALUE"""),"efa42bb1")</f>
        <v>efa42bb1</v>
      </c>
      <c r="BC27" s="211" t="str">
        <f>IFERROR(__xludf.DUMMYFUNCTION("""COMPUTED_VALUE"""),"Headwheel Valve")</f>
        <v>Headwheel Valve</v>
      </c>
      <c r="BD27" s="211" t="str">
        <f>IFERROR(__xludf.DUMMYFUNCTION("""COMPUTED_VALUE"""),"SELL")</f>
        <v>SELL</v>
      </c>
      <c r="BE27" s="211"/>
      <c r="BF27" s="211" t="str">
        <f>IFERROR(__xludf.DUMMYFUNCTION("""COMPUTED_VALUE"""),"Pcs")</f>
        <v>Pcs</v>
      </c>
      <c r="BG27" s="211"/>
      <c r="BH27" s="211" t="b">
        <f>IFERROR(__xludf.DUMMYFUNCTION("""COMPUTED_VALUE"""),FALSE)</f>
        <v>0</v>
      </c>
      <c r="BI27" s="211"/>
    </row>
    <row r="28">
      <c r="A28" s="210" t="str">
        <f>IFERROR(__xludf.DUMMYFUNCTION("""COMPUTED_VALUE"""),"09240015")</f>
        <v>09240015</v>
      </c>
      <c r="B28" s="210" t="str">
        <f>IFERROR(__xludf.DUMMYFUNCTION("""COMPUTED_VALUE"""),"09240015")</f>
        <v>09240015</v>
      </c>
      <c r="C28" s="213">
        <f>IFERROR(__xludf.DUMMYFUNCTION("""COMPUTED_VALUE"""),45548.4487037037)</f>
        <v>45548.4487</v>
      </c>
      <c r="D28" s="211" t="str">
        <f>IFERROR(__xludf.DUMMYFUNCTION("""COMPUTED_VALUE"""),"7b9d8eba")</f>
        <v>7b9d8eba</v>
      </c>
      <c r="E28" s="211" t="str">
        <f>IFERROR(__xludf.DUMMYFUNCTION("""COMPUTED_VALUE"""),"PT PELANGI INDOKARYA")</f>
        <v>PT PELANGI INDOKARYA</v>
      </c>
      <c r="F28" s="211" t="str">
        <f>IFERROR(__xludf.DUMMYFUNCTION("""COMPUTED_VALUE"""),"8bdbe149")</f>
        <v>8bdbe149</v>
      </c>
      <c r="G28" s="211" t="str">
        <f>IFERROR(__xludf.DUMMYFUNCTION("""COMPUTED_VALUE"""),"Oksigen 6m3")</f>
        <v>Oksigen 6m3</v>
      </c>
      <c r="H28" s="214" t="str">
        <f>IFERROR(__xludf.DUMMYFUNCTION("""COMPUTED_VALUE"""),"OUT")</f>
        <v>OUT</v>
      </c>
      <c r="I28" s="214" t="str">
        <f>IFERROR(__xludf.DUMMYFUNCTION("""COMPUTED_VALUE"""),"NORMAL")</f>
        <v>NORMAL</v>
      </c>
      <c r="J28" s="211">
        <f>IFERROR(__xludf.DUMMYFUNCTION("""COMPUTED_VALUE"""),5.0)</f>
        <v>5</v>
      </c>
      <c r="K28" s="210" t="str">
        <f>IFERROR(__xludf.DUMMYFUNCTION("""COMPUTED_VALUE"""),"1151 1152 1153 1154 1155")</f>
        <v>1151 1152 1153 1154 1155</v>
      </c>
      <c r="L28" s="211">
        <f>IFERROR(__xludf.DUMMYFUNCTION("""COMPUTED_VALUE"""),60000.0)</f>
        <v>60000</v>
      </c>
      <c r="M28" s="211"/>
      <c r="N28" s="211"/>
      <c r="O28" s="211"/>
      <c r="Q28" s="210" t="str">
        <f>IFERROR(__xludf.DUMMYFUNCTION("""COMPUTED_VALUE"""),"5c00e27f")</f>
        <v>5c00e27f</v>
      </c>
      <c r="R28" s="210" t="str">
        <f>IFERROR(__xludf.DUMMYFUNCTION("""COMPUTED_VALUE"""),"5c00e27f")</f>
        <v>5c00e27f</v>
      </c>
      <c r="S28" s="211" t="str">
        <f>IFERROR(__xludf.DUMMYFUNCTION("""COMPUTED_VALUE"""),"e86baf3b")</f>
        <v>e86baf3b</v>
      </c>
      <c r="T28" s="211" t="str">
        <f>IFERROR(__xludf.DUMMYFUNCTION("""COMPUTED_VALUE"""),"PT GEMILANG CIPTA WAWASAN")</f>
        <v>PT GEMILANG CIPTA WAWASAN</v>
      </c>
      <c r="U28" s="215">
        <f>IFERROR(__xludf.DUMMYFUNCTION("""COMPUTED_VALUE"""),45553.61709490741)</f>
        <v>45553.61709</v>
      </c>
      <c r="V28" s="211" t="str">
        <f>IFERROR(__xludf.DUMMYFUNCTION("""COMPUTED_VALUE"""),"JL TEBET RAYA, 2A, TEBET BARAT, TEBET, KOTA ADM, JAKARTA SELATAN, DKI JAKARTA")</f>
        <v>JL TEBET RAYA, 2A, TEBET BARAT, TEBET, KOTA ADM, JAKARTA SELATAN, DKI JAKARTA</v>
      </c>
      <c r="W28" s="211" t="str">
        <f>IFERROR(__xludf.DUMMYFUNCTION("""COMPUTED_VALUE"""),"IN")</f>
        <v>IN</v>
      </c>
      <c r="X28" s="211"/>
      <c r="Z28" s="211" t="str">
        <f>IFERROR(__xludf.DUMMYFUNCTION("""COMPUTED_VALUE"""),"04261033050")</f>
        <v>04261033050</v>
      </c>
      <c r="AA28" s="211" t="str">
        <f>IFERROR(__xludf.DUMMYFUNCTION("""COMPUTED_VALUE"""),"4082511108")</f>
        <v>4082511108</v>
      </c>
      <c r="AC28" s="211" t="str">
        <f>IFERROR(__xludf.DUMMYFUNCTION("""COMPUTED_VALUE"""),"3fec37df")</f>
        <v>3fec37df</v>
      </c>
      <c r="AD28" s="211" t="str">
        <f>IFERROR(__xludf.DUMMYFUNCTION("""COMPUTED_VALUE"""),"PT Jatim Abadi Perkasa Steel")</f>
        <v>PT Jatim Abadi Perkasa Steel</v>
      </c>
      <c r="AE28" s="211"/>
      <c r="AF28" s="216" t="b">
        <f>IFERROR(__xludf.DUMMYFUNCTION("""COMPUTED_VALUE"""),TRUE)</f>
        <v>1</v>
      </c>
      <c r="AG28" s="211" t="str">
        <f>IFERROR(__xludf.DUMMYFUNCTION("""COMPUTED_VALUE"""),"Dsn. Bulak Sempuh, Jatirejo, Kab. Mojokerto, Jawa Timur")</f>
        <v>Dsn. Bulak Sempuh, Jatirejo, Kab. Mojokerto, Jawa Timur</v>
      </c>
      <c r="AH28" s="217">
        <f>IFERROR(__xludf.DUMMYFUNCTION("""COMPUTED_VALUE"""),7.0)</f>
        <v>7</v>
      </c>
      <c r="AI28" s="211"/>
      <c r="AJ28" s="211"/>
      <c r="AL28" s="211" t="str">
        <f>IFERROR(__xludf.DUMMYFUNCTION("""COMPUTED_VALUE"""),"2260281")</f>
        <v>2260281</v>
      </c>
      <c r="AM28" s="211" t="str">
        <f>IFERROR(__xludf.DUMMYFUNCTION("""COMPUTED_VALUE"""),"0326242720")</f>
        <v>0326242720</v>
      </c>
      <c r="AN28" s="211" t="str">
        <f>IFERROR(__xludf.DUMMYFUNCTION("""COMPUTED_VALUE"""),"63fc688a")</f>
        <v>63fc688a</v>
      </c>
      <c r="AO28" s="211" t="str">
        <f>IFERROR(__xludf.DUMMYFUNCTION("""COMPUTED_VALUE"""),"CV Malik Nusantara")</f>
        <v>CV Malik Nusantara</v>
      </c>
      <c r="AP28" s="215">
        <f>IFERROR(__xludf.DUMMYFUNCTION("""COMPUTED_VALUE"""),46107.5321875)</f>
        <v>46107.53219</v>
      </c>
      <c r="AQ28" s="218">
        <f>IFERROR(__xludf.DUMMYFUNCTION("""COMPUTED_VALUE"""),46084.0)</f>
        <v>46084</v>
      </c>
      <c r="AR28" s="211"/>
      <c r="AS28" s="211" t="str">
        <f>IFERROR(__xludf.DUMMYFUNCTION("""COMPUTED_VALUE"""),"3fec37df")</f>
        <v>3fec37df</v>
      </c>
      <c r="AT28" s="211" t="str">
        <f>IFERROR(__xludf.DUMMYFUNCTION("""COMPUTED_VALUE"""),"PT Jatim Abadi Perkasa Steel")</f>
        <v>PT Jatim Abadi Perkasa Steel</v>
      </c>
      <c r="AU28" s="211"/>
      <c r="AV28" s="216" t="b">
        <f>IFERROR(__xludf.DUMMYFUNCTION("""COMPUTED_VALUE"""),TRUE)</f>
        <v>1</v>
      </c>
      <c r="AW28" s="211" t="str">
        <f>IFERROR(__xludf.DUMMYFUNCTION("""COMPUTED_VALUE"""),"Dsn. Bulak Sempuh, Jatirejo, Kab. Mojokerto, Jawa Timur")</f>
        <v>Dsn. Bulak Sempuh, Jatirejo, Kab. Mojokerto, Jawa Timur</v>
      </c>
      <c r="AX28" s="217">
        <f>IFERROR(__xludf.DUMMYFUNCTION("""COMPUTED_VALUE"""),7.0)</f>
        <v>7</v>
      </c>
      <c r="AY28" s="211"/>
      <c r="AZ28" s="211"/>
      <c r="BB28" s="211" t="str">
        <f>IFERROR(__xludf.DUMMYFUNCTION("""COMPUTED_VALUE"""),"06f37aa7")</f>
        <v>06f37aa7</v>
      </c>
      <c r="BC28" s="211" t="str">
        <f>IFERROR(__xludf.DUMMYFUNCTION("""COMPUTED_VALUE"""),"Maintenance Serv")</f>
        <v>Maintenance Serv</v>
      </c>
      <c r="BD28" s="211" t="str">
        <f>IFERROR(__xludf.DUMMYFUNCTION("""COMPUTED_VALUE"""),"SERV")</f>
        <v>SERV</v>
      </c>
      <c r="BE28" s="211"/>
      <c r="BF28" s="211" t="str">
        <f>IFERROR(__xludf.DUMMYFUNCTION("""COMPUTED_VALUE"""),"Jasa")</f>
        <v>Jasa</v>
      </c>
      <c r="BG28" s="211"/>
      <c r="BH28" s="211" t="b">
        <f>IFERROR(__xludf.DUMMYFUNCTION("""COMPUTED_VALUE"""),FALSE)</f>
        <v>0</v>
      </c>
      <c r="BI28" s="211"/>
    </row>
    <row r="29">
      <c r="A29" s="210" t="str">
        <f>IFERROR(__xludf.DUMMYFUNCTION("""COMPUTED_VALUE"""),"8a27a267")</f>
        <v>8a27a267</v>
      </c>
      <c r="B29" s="210" t="str">
        <f>IFERROR(__xludf.DUMMYFUNCTION("""COMPUTED_VALUE"""),"8a27a267")</f>
        <v>8a27a267</v>
      </c>
      <c r="C29" s="213">
        <f>IFERROR(__xludf.DUMMYFUNCTION("""COMPUTED_VALUE"""),45549.46349537037)</f>
        <v>45549.4635</v>
      </c>
      <c r="D29" s="211" t="str">
        <f>IFERROR(__xludf.DUMMYFUNCTION("""COMPUTED_VALUE"""),"f8335a53")</f>
        <v>f8335a53</v>
      </c>
      <c r="E29" s="211" t="str">
        <f>IFERROR(__xludf.DUMMYFUNCTION("""COMPUTED_VALUE"""),"CV RAGAM JAYA ENGINEERING")</f>
        <v>CV RAGAM JAYA ENGINEERING</v>
      </c>
      <c r="F29" s="211" t="str">
        <f>IFERROR(__xludf.DUMMYFUNCTION("""COMPUTED_VALUE"""),"8bdbe149")</f>
        <v>8bdbe149</v>
      </c>
      <c r="G29" s="211" t="str">
        <f>IFERROR(__xludf.DUMMYFUNCTION("""COMPUTED_VALUE"""),"Oksigen 6m3")</f>
        <v>Oksigen 6m3</v>
      </c>
      <c r="H29" s="214" t="str">
        <f>IFERROR(__xludf.DUMMYFUNCTION("""COMPUTED_VALUE"""),"IN")</f>
        <v>IN</v>
      </c>
      <c r="I29" s="214" t="str">
        <f>IFERROR(__xludf.DUMMYFUNCTION("""COMPUTED_VALUE"""),"EMPTY")</f>
        <v>EMPTY</v>
      </c>
      <c r="J29" s="211">
        <f>IFERROR(__xludf.DUMMYFUNCTION("""COMPUTED_VALUE"""),2.0)</f>
        <v>2</v>
      </c>
      <c r="K29" s="210" t="str">
        <f>IFERROR(__xludf.DUMMYFUNCTION("""COMPUTED_VALUE"""),"1119 1105")</f>
        <v>1119 1105</v>
      </c>
      <c r="L29" s="211"/>
      <c r="M29" s="211"/>
      <c r="N29" s="211"/>
      <c r="O29" s="211"/>
      <c r="Q29" s="210" t="str">
        <f>IFERROR(__xludf.DUMMYFUNCTION("""COMPUTED_VALUE"""),"c740ede3")</f>
        <v>c740ede3</v>
      </c>
      <c r="R29" s="210" t="str">
        <f>IFERROR(__xludf.DUMMYFUNCTION("""COMPUTED_VALUE"""),"c740ede3")</f>
        <v>c740ede3</v>
      </c>
      <c r="S29" s="211" t="str">
        <f>IFERROR(__xludf.DUMMYFUNCTION("""COMPUTED_VALUE"""),"7b9d8eba")</f>
        <v>7b9d8eba</v>
      </c>
      <c r="T29" s="211" t="str">
        <f>IFERROR(__xludf.DUMMYFUNCTION("""COMPUTED_VALUE"""),"PT PELANGI INDOKARYA")</f>
        <v>PT PELANGI INDOKARYA</v>
      </c>
      <c r="U29" s="215">
        <f>IFERROR(__xludf.DUMMYFUNCTION("""COMPUTED_VALUE"""),45554.46490740741)</f>
        <v>45554.46491</v>
      </c>
      <c r="V29"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9" s="211" t="str">
        <f>IFERROR(__xludf.DUMMYFUNCTION("""COMPUTED_VALUE"""),"IN")</f>
        <v>IN</v>
      </c>
      <c r="X29" s="211"/>
      <c r="Z29" s="211" t="str">
        <f>IFERROR(__xludf.DUMMYFUNCTION("""COMPUTED_VALUE"""),"0426283049")</f>
        <v>0426283049</v>
      </c>
      <c r="AA29" s="211" t="str">
        <f>IFERROR(__xludf.DUMMYFUNCTION("""COMPUTED_VALUE"""),"4082521054")</f>
        <v>4082521054</v>
      </c>
      <c r="AC29" s="211" t="str">
        <f>IFERROR(__xludf.DUMMYFUNCTION("""COMPUTED_VALUE"""),"556931a6")</f>
        <v>556931a6</v>
      </c>
      <c r="AD29" s="211" t="str">
        <f>IFERROR(__xludf.DUMMYFUNCTION("""COMPUTED_VALUE"""),"Bpk. Agus (Trowulan)")</f>
        <v>Bpk. Agus (Trowulan)</v>
      </c>
      <c r="AE29" s="211"/>
      <c r="AF29" s="216" t="b">
        <f>IFERROR(__xludf.DUMMYFUNCTION("""COMPUTED_VALUE"""),FALSE)</f>
        <v>0</v>
      </c>
      <c r="AG29" s="211" t="str">
        <f>IFERROR(__xludf.DUMMYFUNCTION("""COMPUTED_VALUE"""),"Temborong, Domas, Kec. Trowulan, Kabupaten Mojokerto, Jawa Timur")</f>
        <v>Temborong, Domas, Kec. Trowulan, Kabupaten Mojokerto, Jawa Timur</v>
      </c>
      <c r="AH29" s="217">
        <f>IFERROR(__xludf.DUMMYFUNCTION("""COMPUTED_VALUE"""),30.0)</f>
        <v>30</v>
      </c>
      <c r="AI29" s="211"/>
      <c r="AJ29" s="211"/>
      <c r="AL29" s="211" t="str">
        <f>IFERROR(__xludf.DUMMYFUNCTION("""COMPUTED_VALUE"""),"2260281")</f>
        <v>2260281</v>
      </c>
      <c r="AM29" s="211" t="str">
        <f>IFERROR(__xludf.DUMMYFUNCTION("""COMPUTED_VALUE"""),"0326252736")</f>
        <v>0326252736</v>
      </c>
      <c r="AN29" s="211" t="str">
        <f>IFERROR(__xludf.DUMMYFUNCTION("""COMPUTED_VALUE"""),"63fc688a")</f>
        <v>63fc688a</v>
      </c>
      <c r="AO29" s="211" t="str">
        <f>IFERROR(__xludf.DUMMYFUNCTION("""COMPUTED_VALUE"""),"CV Malik Nusantara")</f>
        <v>CV Malik Nusantara</v>
      </c>
      <c r="AP29" s="215">
        <f>IFERROR(__xludf.DUMMYFUNCTION("""COMPUTED_VALUE"""),46107.5321875)</f>
        <v>46107.53219</v>
      </c>
      <c r="AQ29" s="218">
        <f>IFERROR(__xludf.DUMMYFUNCTION("""COMPUTED_VALUE"""),46085.0)</f>
        <v>46085</v>
      </c>
      <c r="AR29" s="211"/>
      <c r="AS29" s="211" t="str">
        <f>IFERROR(__xludf.DUMMYFUNCTION("""COMPUTED_VALUE"""),"556931a6")</f>
        <v>556931a6</v>
      </c>
      <c r="AT29" s="211" t="str">
        <f>IFERROR(__xludf.DUMMYFUNCTION("""COMPUTED_VALUE"""),"Bpk. Agus (Trowulan)")</f>
        <v>Bpk. Agus (Trowulan)</v>
      </c>
      <c r="AU29" s="211"/>
      <c r="AV29" s="216" t="b">
        <f>IFERROR(__xludf.DUMMYFUNCTION("""COMPUTED_VALUE"""),FALSE)</f>
        <v>0</v>
      </c>
      <c r="AW29" s="211" t="str">
        <f>IFERROR(__xludf.DUMMYFUNCTION("""COMPUTED_VALUE"""),"Temborong, Domas, Kec. Trowulan, Kabupaten Mojokerto, Jawa Timur")</f>
        <v>Temborong, Domas, Kec. Trowulan, Kabupaten Mojokerto, Jawa Timur</v>
      </c>
      <c r="AX29" s="217">
        <f>IFERROR(__xludf.DUMMYFUNCTION("""COMPUTED_VALUE"""),30.0)</f>
        <v>30</v>
      </c>
      <c r="AY29" s="211"/>
      <c r="AZ29" s="211"/>
      <c r="BB29" s="211" t="str">
        <f>IFERROR(__xludf.DUMMYFUNCTION("""COMPUTED_VALUE"""),"374a168f")</f>
        <v>374a168f</v>
      </c>
      <c r="BC29" s="211" t="str">
        <f>IFERROR(__xludf.DUMMYFUNCTION("""COMPUTED_VALUE"""),"Pen (SOK)")</f>
        <v>Pen (SOK)</v>
      </c>
      <c r="BD29" s="211" t="str">
        <f>IFERROR(__xludf.DUMMYFUNCTION("""COMPUTED_VALUE"""),"SELL")</f>
        <v>SELL</v>
      </c>
      <c r="BE29" s="211"/>
      <c r="BF29" s="211" t="str">
        <f>IFERROR(__xludf.DUMMYFUNCTION("""COMPUTED_VALUE"""),"Pcs")</f>
        <v>Pcs</v>
      </c>
      <c r="BG29" s="211"/>
      <c r="BH29" s="211" t="b">
        <f>IFERROR(__xludf.DUMMYFUNCTION("""COMPUTED_VALUE"""),FALSE)</f>
        <v>0</v>
      </c>
      <c r="BI29" s="211"/>
    </row>
    <row r="30">
      <c r="A30" s="210" t="str">
        <f>IFERROR(__xludf.DUMMYFUNCTION("""COMPUTED_VALUE"""),"09240017")</f>
        <v>09240017</v>
      </c>
      <c r="B30" s="210" t="str">
        <f>IFERROR(__xludf.DUMMYFUNCTION("""COMPUTED_VALUE"""),"09240017")</f>
        <v>09240017</v>
      </c>
      <c r="C30" s="213">
        <f>IFERROR(__xludf.DUMMYFUNCTION("""COMPUTED_VALUE"""),45552.52795138889)</f>
        <v>45552.52795</v>
      </c>
      <c r="D30" s="211" t="str">
        <f>IFERROR(__xludf.DUMMYFUNCTION("""COMPUTED_VALUE"""),"7b9d8eba")</f>
        <v>7b9d8eba</v>
      </c>
      <c r="E30" s="211" t="str">
        <f>IFERROR(__xludf.DUMMYFUNCTION("""COMPUTED_VALUE"""),"PT PELANGI INDOKARYA")</f>
        <v>PT PELANGI INDOKARYA</v>
      </c>
      <c r="F30" s="211" t="str">
        <f>IFERROR(__xludf.DUMMYFUNCTION("""COMPUTED_VALUE"""),"8bdbe149")</f>
        <v>8bdbe149</v>
      </c>
      <c r="G30" s="211" t="str">
        <f>IFERROR(__xludf.DUMMYFUNCTION("""COMPUTED_VALUE"""),"Oksigen 6m3")</f>
        <v>Oksigen 6m3</v>
      </c>
      <c r="H30" s="214" t="str">
        <f>IFERROR(__xludf.DUMMYFUNCTION("""COMPUTED_VALUE"""),"OUT")</f>
        <v>OUT</v>
      </c>
      <c r="I30" s="214" t="str">
        <f>IFERROR(__xludf.DUMMYFUNCTION("""COMPUTED_VALUE"""),"NORMAL")</f>
        <v>NORMAL</v>
      </c>
      <c r="J30" s="211">
        <f>IFERROR(__xludf.DUMMYFUNCTION("""COMPUTED_VALUE"""),15.0)</f>
        <v>15</v>
      </c>
      <c r="K30" s="210" t="str">
        <f>IFERROR(__xludf.DUMMYFUNCTION("""COMPUTED_VALUE"""),"1163 1168 1156 1158 1160 1159 1157 1166 1174 1175 1165 1164 1172 1161 1171")</f>
        <v>1163 1168 1156 1158 1160 1159 1157 1166 1174 1175 1165 1164 1172 1161 1171</v>
      </c>
      <c r="L30" s="211">
        <f>IFERROR(__xludf.DUMMYFUNCTION("""COMPUTED_VALUE"""),60000.0)</f>
        <v>60000</v>
      </c>
      <c r="M30" s="211"/>
      <c r="N30" s="211"/>
      <c r="O30" s="211"/>
      <c r="Q30" s="210" t="str">
        <f>IFERROR(__xludf.DUMMYFUNCTION("""COMPUTED_VALUE"""),"230bac34")</f>
        <v>230bac34</v>
      </c>
      <c r="R30" s="210" t="str">
        <f>IFERROR(__xludf.DUMMYFUNCTION("""COMPUTED_VALUE"""),"230bac34")</f>
        <v>230bac34</v>
      </c>
      <c r="S30" s="211" t="str">
        <f>IFERROR(__xludf.DUMMYFUNCTION("""COMPUTED_VALUE"""),"f8335a53")</f>
        <v>f8335a53</v>
      </c>
      <c r="T30" s="211" t="str">
        <f>IFERROR(__xludf.DUMMYFUNCTION("""COMPUTED_VALUE"""),"CV RAGAM JAYA ENGINEERING")</f>
        <v>CV RAGAM JAYA ENGINEERING</v>
      </c>
      <c r="U30" s="215">
        <f>IFERROR(__xludf.DUMMYFUNCTION("""COMPUTED_VALUE"""),45554.46564814815)</f>
        <v>45554.46565</v>
      </c>
      <c r="V30" s="211" t="str">
        <f>IFERROR(__xludf.DUMMYFUNCTION("""COMPUTED_VALUE"""),"Jl. Balung wangon, Dadapkuning, Bulurejo, Kec. Benjeng, Kabupaten Gresik, Jawa Timur 61172")</f>
        <v>Jl. Balung wangon, Dadapkuning, Bulurejo, Kec. Benjeng, Kabupaten Gresik, Jawa Timur 61172</v>
      </c>
      <c r="W30" s="211" t="str">
        <f>IFERROR(__xludf.DUMMYFUNCTION("""COMPUTED_VALUE"""),"IN")</f>
        <v>IN</v>
      </c>
      <c r="X30" s="211"/>
      <c r="Z30" s="211" t="str">
        <f>IFERROR(__xludf.DUMMYFUNCTION("""COMPUTED_VALUE"""),"0426403048")</f>
        <v>0426403048</v>
      </c>
      <c r="AA30" s="211" t="str">
        <f>IFERROR(__xludf.DUMMYFUNCTION("""COMPUTED_VALUE"""),"407250019")</f>
        <v>407250019</v>
      </c>
      <c r="AC30" s="211" t="str">
        <f>IFERROR(__xludf.DUMMYFUNCTION("""COMPUTED_VALUE"""),"69d002bb")</f>
        <v>69d002bb</v>
      </c>
      <c r="AD30" s="211" t="str">
        <f>IFERROR(__xludf.DUMMYFUNCTION("""COMPUTED_VALUE"""),"Bengkel Putra Sanjaya (Bpk. Amin)")</f>
        <v>Bengkel Putra Sanjaya (Bpk. Amin)</v>
      </c>
      <c r="AE30" s="211"/>
      <c r="AF30" s="216" t="b">
        <f>IFERROR(__xludf.DUMMYFUNCTION("""COMPUTED_VALUE"""),FALSE)</f>
        <v>0</v>
      </c>
      <c r="AG30" s="211" t="str">
        <f>IFERROR(__xludf.DUMMYFUNCTION("""COMPUTED_VALUE"""),"Sidomukti, Kraton, Kec. Krian, Kabupaten Sidoarjo, Jawa Timur 61262")</f>
        <v>Sidomukti, Kraton, Kec. Krian, Kabupaten Sidoarjo, Jawa Timur 61262</v>
      </c>
      <c r="AH30" s="217">
        <f>IFERROR(__xludf.DUMMYFUNCTION("""COMPUTED_VALUE"""),14.0)</f>
        <v>14</v>
      </c>
      <c r="AI30" s="211"/>
      <c r="AJ30" s="211"/>
      <c r="AL30" s="211" t="str">
        <f>IFERROR(__xludf.DUMMYFUNCTION("""COMPUTED_VALUE"""),"2260281")</f>
        <v>2260281</v>
      </c>
      <c r="AM30" s="211" t="str">
        <f>IFERROR(__xludf.DUMMYFUNCTION("""COMPUTED_VALUE"""),"0326262756")</f>
        <v>0326262756</v>
      </c>
      <c r="AN30" s="211" t="str">
        <f>IFERROR(__xludf.DUMMYFUNCTION("""COMPUTED_VALUE"""),"63fc688a")</f>
        <v>63fc688a</v>
      </c>
      <c r="AO30" s="211" t="str">
        <f>IFERROR(__xludf.DUMMYFUNCTION("""COMPUTED_VALUE"""),"CV Malik Nusantara")</f>
        <v>CV Malik Nusantara</v>
      </c>
      <c r="AP30" s="215">
        <f>IFERROR(__xludf.DUMMYFUNCTION("""COMPUTED_VALUE"""),46107.5321875)</f>
        <v>46107.53219</v>
      </c>
      <c r="AQ30" s="218">
        <f>IFERROR(__xludf.DUMMYFUNCTION("""COMPUTED_VALUE"""),46086.0)</f>
        <v>46086</v>
      </c>
      <c r="AR30" s="211"/>
      <c r="AS30" s="211" t="str">
        <f>IFERROR(__xludf.DUMMYFUNCTION("""COMPUTED_VALUE"""),"69d002bb")</f>
        <v>69d002bb</v>
      </c>
      <c r="AT30" s="211" t="str">
        <f>IFERROR(__xludf.DUMMYFUNCTION("""COMPUTED_VALUE"""),"Bengkel Putra Sanjaya (Bpk. Amin)")</f>
        <v>Bengkel Putra Sanjaya (Bpk. Amin)</v>
      </c>
      <c r="AU30" s="211"/>
      <c r="AV30" s="216" t="b">
        <f>IFERROR(__xludf.DUMMYFUNCTION("""COMPUTED_VALUE"""),FALSE)</f>
        <v>0</v>
      </c>
      <c r="AW30" s="211" t="str">
        <f>IFERROR(__xludf.DUMMYFUNCTION("""COMPUTED_VALUE"""),"Sidomukti, Kraton, Kec. Krian, Kabupaten Sidoarjo, Jawa Timur 61262")</f>
        <v>Sidomukti, Kraton, Kec. Krian, Kabupaten Sidoarjo, Jawa Timur 61262</v>
      </c>
      <c r="AX30" s="217">
        <f>IFERROR(__xludf.DUMMYFUNCTION("""COMPUTED_VALUE"""),14.0)</f>
        <v>14</v>
      </c>
      <c r="AY30" s="211"/>
      <c r="AZ30" s="211"/>
      <c r="BB30" s="211" t="str">
        <f>IFERROR(__xludf.DUMMYFUNCTION("""COMPUTED_VALUE"""),"a50ce892")</f>
        <v>a50ce892</v>
      </c>
      <c r="BC30" s="211" t="str">
        <f>IFERROR(__xludf.DUMMYFUNCTION("""COMPUTED_VALUE"""),"Nitrogen 6m3")</f>
        <v>Nitrogen 6m3</v>
      </c>
      <c r="BD30" s="211" t="str">
        <f>IFERROR(__xludf.DUMMYFUNCTION("""COMPUTED_VALUE"""),"RENT")</f>
        <v>RENT</v>
      </c>
      <c r="BE30" s="211" t="str">
        <f>IFERROR(__xludf.DUMMYFUNCTION("""COMPUTED_VALUE"""),"MP")</f>
        <v>MP</v>
      </c>
      <c r="BF30" s="211" t="str">
        <f>IFERROR(__xludf.DUMMYFUNCTION("""COMPUTED_VALUE"""),"Btl")</f>
        <v>Btl</v>
      </c>
      <c r="BG30" s="211"/>
      <c r="BH30" s="211" t="b">
        <f>IFERROR(__xludf.DUMMYFUNCTION("""COMPUTED_VALUE"""),TRUE)</f>
        <v>1</v>
      </c>
      <c r="BI30" s="211"/>
    </row>
    <row r="31">
      <c r="A31" s="210" t="str">
        <f>IFERROR(__xludf.DUMMYFUNCTION("""COMPUTED_VALUE"""),"09240018")</f>
        <v>09240018</v>
      </c>
      <c r="B31" s="210" t="str">
        <f>IFERROR(__xludf.DUMMYFUNCTION("""COMPUTED_VALUE"""),"09240018")</f>
        <v>09240018</v>
      </c>
      <c r="C31" s="213">
        <f>IFERROR(__xludf.DUMMYFUNCTION("""COMPUTED_VALUE"""),45553.436377314814)</f>
        <v>45553.43638</v>
      </c>
      <c r="D31" s="211" t="str">
        <f>IFERROR(__xludf.DUMMYFUNCTION("""COMPUTED_VALUE"""),"e86baf3b")</f>
        <v>e86baf3b</v>
      </c>
      <c r="E31" s="211" t="str">
        <f>IFERROR(__xludf.DUMMYFUNCTION("""COMPUTED_VALUE"""),"PT GEMILANG CIPTA WAWASAN")</f>
        <v>PT GEMILANG CIPTA WAWASAN</v>
      </c>
      <c r="F31" s="211" t="str">
        <f>IFERROR(__xludf.DUMMYFUNCTION("""COMPUTED_VALUE"""),"66af7c72")</f>
        <v>66af7c72</v>
      </c>
      <c r="G31" s="211" t="str">
        <f>IFERROR(__xludf.DUMMYFUNCTION("""COMPUTED_VALUE"""),"Argon 6m3")</f>
        <v>Argon 6m3</v>
      </c>
      <c r="H31" s="214" t="str">
        <f>IFERROR(__xludf.DUMMYFUNCTION("""COMPUTED_VALUE"""),"OUT")</f>
        <v>OUT</v>
      </c>
      <c r="I31" s="214" t="str">
        <f>IFERROR(__xludf.DUMMYFUNCTION("""COMPUTED_VALUE"""),"NORMAL")</f>
        <v>NORMAL</v>
      </c>
      <c r="J31" s="211">
        <f>IFERROR(__xludf.DUMMYFUNCTION("""COMPUTED_VALUE"""),5.0)</f>
        <v>5</v>
      </c>
      <c r="K31" s="210" t="str">
        <f>IFERROR(__xludf.DUMMYFUNCTION("""COMPUTED_VALUE"""),"8009 8091 8119 8094 8051")</f>
        <v>8009 8091 8119 8094 8051</v>
      </c>
      <c r="L31" s="211">
        <f>IFERROR(__xludf.DUMMYFUNCTION("""COMPUTED_VALUE"""),196000.0)</f>
        <v>196000</v>
      </c>
      <c r="M31" s="211"/>
      <c r="N31" s="211"/>
      <c r="O31" s="211"/>
      <c r="Q31" s="210" t="str">
        <f>IFERROR(__xludf.DUMMYFUNCTION("""COMPUTED_VALUE"""),"09240021")</f>
        <v>09240021</v>
      </c>
      <c r="R31" s="210" t="str">
        <f>IFERROR(__xludf.DUMMYFUNCTION("""COMPUTED_VALUE"""),"09240021")</f>
        <v>09240021</v>
      </c>
      <c r="S31" s="211" t="str">
        <f>IFERROR(__xludf.DUMMYFUNCTION("""COMPUTED_VALUE"""),"e86baf3b")</f>
        <v>e86baf3b</v>
      </c>
      <c r="T31" s="211" t="str">
        <f>IFERROR(__xludf.DUMMYFUNCTION("""COMPUTED_VALUE"""),"PT GEMILANG CIPTA WAWASAN")</f>
        <v>PT GEMILANG CIPTA WAWASAN</v>
      </c>
      <c r="U31" s="215">
        <f>IFERROR(__xludf.DUMMYFUNCTION("""COMPUTED_VALUE"""),45554.52619212963)</f>
        <v>45554.52619</v>
      </c>
      <c r="V31" s="211" t="str">
        <f>IFERROR(__xludf.DUMMYFUNCTION("""COMPUTED_VALUE"""),"JL TEBET RAYA, 2A, TEBET BARAT, TEBET, KOTA ADM, JAKARTA SELATAN, DKI JAKARTA")</f>
        <v>JL TEBET RAYA, 2A, TEBET BARAT, TEBET, KOTA ADM, JAKARTA SELATAN, DKI JAKARTA</v>
      </c>
      <c r="W31" s="211" t="str">
        <f>IFERROR(__xludf.DUMMYFUNCTION("""COMPUTED_VALUE"""),"OUT")</f>
        <v>OUT</v>
      </c>
      <c r="X31" s="211"/>
      <c r="Z31" s="211" t="str">
        <f>IFERROR(__xludf.DUMMYFUNCTION("""COMPUTED_VALUE"""),"04261023046")</f>
        <v>04261023046</v>
      </c>
      <c r="AA31" s="211" t="str">
        <f>IFERROR(__xludf.DUMMYFUNCTION("""COMPUTED_VALUE"""),"407250018")</f>
        <v>407250018</v>
      </c>
      <c r="AC31" s="211" t="str">
        <f>IFERROR(__xludf.DUMMYFUNCTION("""COMPUTED_VALUE"""),"5449a0b8")</f>
        <v>5449a0b8</v>
      </c>
      <c r="AD31" s="211" t="str">
        <f>IFERROR(__xludf.DUMMYFUNCTION("""COMPUTED_VALUE"""),"Bpk. Supar")</f>
        <v>Bpk. Supar</v>
      </c>
      <c r="AE31" s="211"/>
      <c r="AF31" s="216" t="b">
        <f>IFERROR(__xludf.DUMMYFUNCTION("""COMPUTED_VALUE"""),FALSE)</f>
        <v>0</v>
      </c>
      <c r="AG31" s="211" t="str">
        <f>IFERROR(__xludf.DUMMYFUNCTION("""COMPUTED_VALUE"""),"Ciro Kulon, Bakungtemenggungan, Kec. BalongBendo, Kabupaten Sidoarjo, Jawa Timur")</f>
        <v>Ciro Kulon, Bakungtemenggungan, Kec. BalongBendo, Kabupaten Sidoarjo, Jawa Timur</v>
      </c>
      <c r="AH31" s="217">
        <f>IFERROR(__xludf.DUMMYFUNCTION("""COMPUTED_VALUE"""),14.0)</f>
        <v>14</v>
      </c>
      <c r="AI31" s="211"/>
      <c r="AJ31" s="211"/>
      <c r="AL31" s="211" t="str">
        <f>IFERROR(__xludf.DUMMYFUNCTION("""COMPUTED_VALUE"""),"2260281")</f>
        <v>2260281</v>
      </c>
      <c r="AM31" s="211" t="str">
        <f>IFERROR(__xludf.DUMMYFUNCTION("""COMPUTED_VALUE"""),"0326272767")</f>
        <v>0326272767</v>
      </c>
      <c r="AN31" s="211" t="str">
        <f>IFERROR(__xludf.DUMMYFUNCTION("""COMPUTED_VALUE"""),"63fc688a")</f>
        <v>63fc688a</v>
      </c>
      <c r="AO31" s="211" t="str">
        <f>IFERROR(__xludf.DUMMYFUNCTION("""COMPUTED_VALUE"""),"CV Malik Nusantara")</f>
        <v>CV Malik Nusantara</v>
      </c>
      <c r="AP31" s="215">
        <f>IFERROR(__xludf.DUMMYFUNCTION("""COMPUTED_VALUE"""),46107.5321875)</f>
        <v>46107.53219</v>
      </c>
      <c r="AQ31" s="218">
        <f>IFERROR(__xludf.DUMMYFUNCTION("""COMPUTED_VALUE"""),46087.0)</f>
        <v>46087</v>
      </c>
      <c r="AR31" s="211"/>
      <c r="AS31" s="211" t="str">
        <f>IFERROR(__xludf.DUMMYFUNCTION("""COMPUTED_VALUE"""),"5449a0b8")</f>
        <v>5449a0b8</v>
      </c>
      <c r="AT31" s="211" t="str">
        <f>IFERROR(__xludf.DUMMYFUNCTION("""COMPUTED_VALUE"""),"Bpk. Supar")</f>
        <v>Bpk. Supar</v>
      </c>
      <c r="AU31" s="211"/>
      <c r="AV31" s="216" t="b">
        <f>IFERROR(__xludf.DUMMYFUNCTION("""COMPUTED_VALUE"""),FALSE)</f>
        <v>0</v>
      </c>
      <c r="AW31" s="211" t="str">
        <f>IFERROR(__xludf.DUMMYFUNCTION("""COMPUTED_VALUE"""),"Ciro Kulon, Bakungtemenggungan, Kec. BalongBendo, Kabupaten Sidoarjo, Jawa Timur")</f>
        <v>Ciro Kulon, Bakungtemenggungan, Kec. BalongBendo, Kabupaten Sidoarjo, Jawa Timur</v>
      </c>
      <c r="AX31" s="217">
        <f>IFERROR(__xludf.DUMMYFUNCTION("""COMPUTED_VALUE"""),14.0)</f>
        <v>14</v>
      </c>
      <c r="AY31" s="211"/>
      <c r="AZ31" s="211"/>
      <c r="BB31" s="211" t="str">
        <f>IFERROR(__xludf.DUMMYFUNCTION("""COMPUTED_VALUE"""),"c636ad1a")</f>
        <v>c636ad1a</v>
      </c>
      <c r="BC31" s="211" t="str">
        <f>IFERROR(__xludf.DUMMYFUNCTION("""COMPUTED_VALUE"""),"Tabung Oksigen 1m3 + Isi")</f>
        <v>Tabung Oksigen 1m3 + Isi</v>
      </c>
      <c r="BD31" s="211" t="str">
        <f>IFERROR(__xludf.DUMMYFUNCTION("""COMPUTED_VALUE"""),"SELL")</f>
        <v>SELL</v>
      </c>
      <c r="BE31" s="211"/>
      <c r="BF31" s="211" t="str">
        <f>IFERROR(__xludf.DUMMYFUNCTION("""COMPUTED_VALUE"""),"Btl")</f>
        <v>Btl</v>
      </c>
      <c r="BG31" s="211"/>
      <c r="BH31" s="211" t="b">
        <f>IFERROR(__xludf.DUMMYFUNCTION("""COMPUTED_VALUE"""),FALSE)</f>
        <v>0</v>
      </c>
      <c r="BI31" s="211"/>
    </row>
    <row r="32">
      <c r="A32" s="210" t="str">
        <f>IFERROR(__xludf.DUMMYFUNCTION("""COMPUTED_VALUE"""),"09240018")</f>
        <v>09240018</v>
      </c>
      <c r="B32" s="210" t="str">
        <f>IFERROR(__xludf.DUMMYFUNCTION("""COMPUTED_VALUE"""),"09240018")</f>
        <v>09240018</v>
      </c>
      <c r="C32" s="213">
        <f>IFERROR(__xludf.DUMMYFUNCTION("""COMPUTED_VALUE"""),45553.43665509259)</f>
        <v>45553.43666</v>
      </c>
      <c r="D32" s="211" t="str">
        <f>IFERROR(__xludf.DUMMYFUNCTION("""COMPUTED_VALUE"""),"e86baf3b")</f>
        <v>e86baf3b</v>
      </c>
      <c r="E32" s="211" t="str">
        <f>IFERROR(__xludf.DUMMYFUNCTION("""COMPUTED_VALUE"""),"PT GEMILANG CIPTA WAWASAN")</f>
        <v>PT GEMILANG CIPTA WAWASAN</v>
      </c>
      <c r="F32" s="211" t="str">
        <f>IFERROR(__xludf.DUMMYFUNCTION("""COMPUTED_VALUE"""),"8bdbe149")</f>
        <v>8bdbe149</v>
      </c>
      <c r="G32" s="211" t="str">
        <f>IFERROR(__xludf.DUMMYFUNCTION("""COMPUTED_VALUE"""),"Oksigen 6m3")</f>
        <v>Oksigen 6m3</v>
      </c>
      <c r="H32" s="214" t="str">
        <f>IFERROR(__xludf.DUMMYFUNCTION("""COMPUTED_VALUE"""),"OUT")</f>
        <v>OUT</v>
      </c>
      <c r="I32" s="214" t="str">
        <f>IFERROR(__xludf.DUMMYFUNCTION("""COMPUTED_VALUE"""),"NORMAL")</f>
        <v>NORMAL</v>
      </c>
      <c r="J32" s="211">
        <f>IFERROR(__xludf.DUMMYFUNCTION("""COMPUTED_VALUE"""),5.0)</f>
        <v>5</v>
      </c>
      <c r="K32" s="210" t="str">
        <f>IFERROR(__xludf.DUMMYFUNCTION("""COMPUTED_VALUE"""),"1170 1173 1162 1167 1169")</f>
        <v>1170 1173 1162 1167 1169</v>
      </c>
      <c r="L32" s="211">
        <f>IFERROR(__xludf.DUMMYFUNCTION("""COMPUTED_VALUE"""),60000.0)</f>
        <v>60000</v>
      </c>
      <c r="M32" s="211"/>
      <c r="N32" s="211"/>
      <c r="O32" s="211"/>
      <c r="Q32" s="210" t="str">
        <f>IFERROR(__xludf.DUMMYFUNCTION("""COMPUTED_VALUE"""),"c45a321d")</f>
        <v>c45a321d</v>
      </c>
      <c r="R32" s="210" t="str">
        <f>IFERROR(__xludf.DUMMYFUNCTION("""COMPUTED_VALUE"""),"c45a321d")</f>
        <v>c45a321d</v>
      </c>
      <c r="S32" s="211" t="str">
        <f>IFERROR(__xludf.DUMMYFUNCTION("""COMPUTED_VALUE"""),"e86baf3b")</f>
        <v>e86baf3b</v>
      </c>
      <c r="T32" s="211" t="str">
        <f>IFERROR(__xludf.DUMMYFUNCTION("""COMPUTED_VALUE"""),"PT GEMILANG CIPTA WAWASAN")</f>
        <v>PT GEMILANG CIPTA WAWASAN</v>
      </c>
      <c r="U32" s="215">
        <f>IFERROR(__xludf.DUMMYFUNCTION("""COMPUTED_VALUE"""),45554.551527777774)</f>
        <v>45554.55153</v>
      </c>
      <c r="V32" s="211" t="str">
        <f>IFERROR(__xludf.DUMMYFUNCTION("""COMPUTED_VALUE"""),"JL TEBET RAYA, 2A, TEBET BARAT, TEBET, KOTA ADM, JAKARTA SELATAN, DKI JAKARTA")</f>
        <v>JL TEBET RAYA, 2A, TEBET BARAT, TEBET, KOTA ADM, JAKARTA SELATAN, DKI JAKARTA</v>
      </c>
      <c r="W32" s="211" t="str">
        <f>IFERROR(__xludf.DUMMYFUNCTION("""COMPUTED_VALUE"""),"IN")</f>
        <v>IN</v>
      </c>
      <c r="X32" s="211"/>
      <c r="Z32" s="211" t="str">
        <f>IFERROR(__xludf.DUMMYFUNCTION("""COMPUTED_VALUE"""),"0426203045")</f>
        <v>0426203045</v>
      </c>
      <c r="AA32" s="211" t="str">
        <f>IFERROR(__xludf.DUMMYFUNCTION("""COMPUTED_VALUE"""),"406250017")</f>
        <v>406250017</v>
      </c>
      <c r="AC32" s="211" t="str">
        <f>IFERROR(__xludf.DUMMYFUNCTION("""COMPUTED_VALUE"""),"01158be1")</f>
        <v>01158be1</v>
      </c>
      <c r="AD32" s="211" t="str">
        <f>IFERROR(__xludf.DUMMYFUNCTION("""COMPUTED_VALUE"""),"GYF")</f>
        <v>GYF</v>
      </c>
      <c r="AE32" s="211"/>
      <c r="AF32" s="216" t="b">
        <f>IFERROR(__xludf.DUMMYFUNCTION("""COMPUTED_VALUE"""),FALSE)</f>
        <v>0</v>
      </c>
      <c r="AG32" s="211" t="str">
        <f>IFERROR(__xludf.DUMMYFUNCTION("""COMPUTED_VALUE"""),"Kangkungan, Lengkong, Kec. Mojoanyar, Kabupaten Mojokerto, Jawa Timur")</f>
        <v>Kangkungan, Lengkong, Kec. Mojoanyar, Kabupaten Mojokerto, Jawa Timur</v>
      </c>
      <c r="AH32" s="217">
        <f>IFERROR(__xludf.DUMMYFUNCTION("""COMPUTED_VALUE"""),14.0)</f>
        <v>14</v>
      </c>
      <c r="AI32" s="211"/>
      <c r="AJ32" s="215">
        <f>IFERROR(__xludf.DUMMYFUNCTION("""COMPUTED_VALUE"""),46029.52123842593)</f>
        <v>46029.52124</v>
      </c>
      <c r="AL32" s="211" t="str">
        <f>IFERROR(__xludf.DUMMYFUNCTION("""COMPUTED_VALUE"""),"2260281")</f>
        <v>2260281</v>
      </c>
      <c r="AM32" s="211" t="str">
        <f>IFERROR(__xludf.DUMMYFUNCTION("""COMPUTED_VALUE"""),"0326282789")</f>
        <v>0326282789</v>
      </c>
      <c r="AN32" s="211" t="str">
        <f>IFERROR(__xludf.DUMMYFUNCTION("""COMPUTED_VALUE"""),"63fc688a")</f>
        <v>63fc688a</v>
      </c>
      <c r="AO32" s="211" t="str">
        <f>IFERROR(__xludf.DUMMYFUNCTION("""COMPUTED_VALUE"""),"CV Malik Nusantara")</f>
        <v>CV Malik Nusantara</v>
      </c>
      <c r="AP32" s="215">
        <f>IFERROR(__xludf.DUMMYFUNCTION("""COMPUTED_VALUE"""),46107.5321875)</f>
        <v>46107.53219</v>
      </c>
      <c r="AQ32" s="218">
        <f>IFERROR(__xludf.DUMMYFUNCTION("""COMPUTED_VALUE"""),46088.0)</f>
        <v>46088</v>
      </c>
      <c r="AR32" s="211"/>
      <c r="AS32" s="211" t="str">
        <f>IFERROR(__xludf.DUMMYFUNCTION("""COMPUTED_VALUE"""),"01158be1")</f>
        <v>01158be1</v>
      </c>
      <c r="AT32" s="211" t="str">
        <f>IFERROR(__xludf.DUMMYFUNCTION("""COMPUTED_VALUE"""),"GYF")</f>
        <v>GYF</v>
      </c>
      <c r="AU32" s="211"/>
      <c r="AV32" s="216" t="b">
        <f>IFERROR(__xludf.DUMMYFUNCTION("""COMPUTED_VALUE"""),FALSE)</f>
        <v>0</v>
      </c>
      <c r="AW32" s="211" t="str">
        <f>IFERROR(__xludf.DUMMYFUNCTION("""COMPUTED_VALUE"""),"Kangkungan, Lengkong, Kec. Mojoanyar, Kabupaten Mojokerto, Jawa Timur")</f>
        <v>Kangkungan, Lengkong, Kec. Mojoanyar, Kabupaten Mojokerto, Jawa Timur</v>
      </c>
      <c r="AX32" s="217">
        <f>IFERROR(__xludf.DUMMYFUNCTION("""COMPUTED_VALUE"""),14.0)</f>
        <v>14</v>
      </c>
      <c r="AY32" s="211"/>
      <c r="AZ32" s="215">
        <f>IFERROR(__xludf.DUMMYFUNCTION("""COMPUTED_VALUE"""),46029.52123842593)</f>
        <v>46029.52124</v>
      </c>
      <c r="BB32" s="211" t="str">
        <f>IFERROR(__xludf.DUMMYFUNCTION("""COMPUTED_VALUE"""),"88f0a0e9")</f>
        <v>88f0a0e9</v>
      </c>
      <c r="BC32" s="211" t="str">
        <f>IFERROR(__xludf.DUMMYFUNCTION("""COMPUTED_VALUE"""),"Karbondioksida 1m3 MR")</f>
        <v>Karbondioksida 1m3 MR</v>
      </c>
      <c r="BD32" s="211" t="str">
        <f>IFERROR(__xludf.DUMMYFUNCTION("""COMPUTED_VALUE"""),"RENT")</f>
        <v>RENT</v>
      </c>
      <c r="BE32" s="211" t="str">
        <f>IFERROR(__xludf.DUMMYFUNCTION("""COMPUTED_VALUE"""),"MR")</f>
        <v>MR</v>
      </c>
      <c r="BF32" s="211" t="str">
        <f>IFERROR(__xludf.DUMMYFUNCTION("""COMPUTED_VALUE"""),"Btl")</f>
        <v>Btl</v>
      </c>
      <c r="BG32" s="211"/>
      <c r="BH32" s="211" t="b">
        <f>IFERROR(__xludf.DUMMYFUNCTION("""COMPUTED_VALUE"""),FALSE)</f>
        <v>0</v>
      </c>
      <c r="BI32" s="211"/>
    </row>
    <row r="33">
      <c r="A33" s="210" t="str">
        <f>IFERROR(__xludf.DUMMYFUNCTION("""COMPUTED_VALUE"""),"bd6a36bd")</f>
        <v>bd6a36bd</v>
      </c>
      <c r="B33" s="210" t="str">
        <f>IFERROR(__xludf.DUMMYFUNCTION("""COMPUTED_VALUE"""),"bd6a36bd")</f>
        <v>bd6a36bd</v>
      </c>
      <c r="C33" s="213">
        <f>IFERROR(__xludf.DUMMYFUNCTION("""COMPUTED_VALUE"""),45553.50400462963)</f>
        <v>45553.504</v>
      </c>
      <c r="D33" s="211" t="str">
        <f>IFERROR(__xludf.DUMMYFUNCTION("""COMPUTED_VALUE"""),"7b9d8eba")</f>
        <v>7b9d8eba</v>
      </c>
      <c r="E33" s="211" t="str">
        <f>IFERROR(__xludf.DUMMYFUNCTION("""COMPUTED_VALUE"""),"PT PELANGI INDOKARYA")</f>
        <v>PT PELANGI INDOKARYA</v>
      </c>
      <c r="F33" s="211" t="str">
        <f>IFERROR(__xludf.DUMMYFUNCTION("""COMPUTED_VALUE"""),"8bdbe149")</f>
        <v>8bdbe149</v>
      </c>
      <c r="G33" s="211" t="str">
        <f>IFERROR(__xludf.DUMMYFUNCTION("""COMPUTED_VALUE"""),"Oksigen 6m3")</f>
        <v>Oksigen 6m3</v>
      </c>
      <c r="H33" s="214" t="str">
        <f>IFERROR(__xludf.DUMMYFUNCTION("""COMPUTED_VALUE"""),"IN")</f>
        <v>IN</v>
      </c>
      <c r="I33" s="214" t="str">
        <f>IFERROR(__xludf.DUMMYFUNCTION("""COMPUTED_VALUE"""),"EMPTY")</f>
        <v>EMPTY</v>
      </c>
      <c r="J33" s="211">
        <f>IFERROR(__xludf.DUMMYFUNCTION("""COMPUTED_VALUE"""),4.0)</f>
        <v>4</v>
      </c>
      <c r="K33" s="210" t="str">
        <f>IFERROR(__xludf.DUMMYFUNCTION("""COMPUTED_VALUE"""),"1151 1152 1154 1155")</f>
        <v>1151 1152 1154 1155</v>
      </c>
      <c r="L33" s="211"/>
      <c r="M33" s="211"/>
      <c r="N33" s="211"/>
      <c r="O33" s="211"/>
      <c r="Q33" s="210" t="str">
        <f>IFERROR(__xludf.DUMMYFUNCTION("""COMPUTED_VALUE"""),"ac450d5c")</f>
        <v>ac450d5c</v>
      </c>
      <c r="R33" s="210" t="str">
        <f>IFERROR(__xludf.DUMMYFUNCTION("""COMPUTED_VALUE"""),"ac450d5c")</f>
        <v>ac450d5c</v>
      </c>
      <c r="S33" s="211" t="str">
        <f>IFERROR(__xludf.DUMMYFUNCTION("""COMPUTED_VALUE"""),"7b9d8eba")</f>
        <v>7b9d8eba</v>
      </c>
      <c r="T33" s="211" t="str">
        <f>IFERROR(__xludf.DUMMYFUNCTION("""COMPUTED_VALUE"""),"PT PELANGI INDOKARYA")</f>
        <v>PT PELANGI INDOKARYA</v>
      </c>
      <c r="U33" s="215">
        <f>IFERROR(__xludf.DUMMYFUNCTION("""COMPUTED_VALUE"""),45556.459699074076)</f>
        <v>45556.4597</v>
      </c>
      <c r="V3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33" s="211" t="str">
        <f>IFERROR(__xludf.DUMMYFUNCTION("""COMPUTED_VALUE"""),"IN")</f>
        <v>IN</v>
      </c>
      <c r="X33" s="211"/>
      <c r="Z33" s="211" t="str">
        <f>IFERROR(__xludf.DUMMYFUNCTION("""COMPUTED_VALUE"""),"04261013043")</f>
        <v>04261013043</v>
      </c>
      <c r="AA33" s="211" t="str">
        <f>IFERROR(__xludf.DUMMYFUNCTION("""COMPUTED_VALUE"""),"405250016")</f>
        <v>405250016</v>
      </c>
      <c r="AC33" s="211" t="str">
        <f>IFERROR(__xludf.DUMMYFUNCTION("""COMPUTED_VALUE"""),"785e0e07")</f>
        <v>785e0e07</v>
      </c>
      <c r="AD33" s="211" t="str">
        <f>IFERROR(__xludf.DUMMYFUNCTION("""COMPUTED_VALUE"""),"Bpk. Sukirno (Bejo)")</f>
        <v>Bpk. Sukirno (Bejo)</v>
      </c>
      <c r="AE33" s="211"/>
      <c r="AF33" s="216" t="b">
        <f>IFERROR(__xludf.DUMMYFUNCTION("""COMPUTED_VALUE"""),FALSE)</f>
        <v>0</v>
      </c>
      <c r="AG33" s="211" t="str">
        <f>IFERROR(__xludf.DUMMYFUNCTION("""COMPUTED_VALUE"""),"Krajan I, Wringinanom, Kec. Wringinanom, Kabupaten Gresik, Jawa Timur 61176")</f>
        <v>Krajan I, Wringinanom, Kec. Wringinanom, Kabupaten Gresik, Jawa Timur 61176</v>
      </c>
      <c r="AH33" s="217">
        <f>IFERROR(__xludf.DUMMYFUNCTION("""COMPUTED_VALUE"""),30.0)</f>
        <v>30</v>
      </c>
      <c r="AI33" s="211"/>
      <c r="AJ33" s="211"/>
      <c r="AL33" s="211" t="str">
        <f>IFERROR(__xludf.DUMMYFUNCTION("""COMPUTED_VALUE"""),"2260281")</f>
        <v>2260281</v>
      </c>
      <c r="AM33" s="211" t="str">
        <f>IFERROR(__xludf.DUMMYFUNCTION("""COMPUTED_VALUE"""),"0326292805")</f>
        <v>0326292805</v>
      </c>
      <c r="AN33" s="211" t="str">
        <f>IFERROR(__xludf.DUMMYFUNCTION("""COMPUTED_VALUE"""),"63fc688a")</f>
        <v>63fc688a</v>
      </c>
      <c r="AO33" s="211" t="str">
        <f>IFERROR(__xludf.DUMMYFUNCTION("""COMPUTED_VALUE"""),"CV Malik Nusantara")</f>
        <v>CV Malik Nusantara</v>
      </c>
      <c r="AP33" s="215">
        <f>IFERROR(__xludf.DUMMYFUNCTION("""COMPUTED_VALUE"""),46107.5321875)</f>
        <v>46107.53219</v>
      </c>
      <c r="AQ33" s="218">
        <f>IFERROR(__xludf.DUMMYFUNCTION("""COMPUTED_VALUE"""),46091.0)</f>
        <v>46091</v>
      </c>
      <c r="AR33" s="211"/>
      <c r="AS33" s="211" t="str">
        <f>IFERROR(__xludf.DUMMYFUNCTION("""COMPUTED_VALUE"""),"785e0e07")</f>
        <v>785e0e07</v>
      </c>
      <c r="AT33" s="211" t="str">
        <f>IFERROR(__xludf.DUMMYFUNCTION("""COMPUTED_VALUE"""),"Bpk. Sukirno (Bejo)")</f>
        <v>Bpk. Sukirno (Bejo)</v>
      </c>
      <c r="AU33" s="211"/>
      <c r="AV33" s="216" t="b">
        <f>IFERROR(__xludf.DUMMYFUNCTION("""COMPUTED_VALUE"""),FALSE)</f>
        <v>0</v>
      </c>
      <c r="AW33" s="211" t="str">
        <f>IFERROR(__xludf.DUMMYFUNCTION("""COMPUTED_VALUE"""),"Krajan I, Wringinanom, Kec. Wringinanom, Kabupaten Gresik, Jawa Timur 61176")</f>
        <v>Krajan I, Wringinanom, Kec. Wringinanom, Kabupaten Gresik, Jawa Timur 61176</v>
      </c>
      <c r="AX33" s="217">
        <f>IFERROR(__xludf.DUMMYFUNCTION("""COMPUTED_VALUE"""),30.0)</f>
        <v>30</v>
      </c>
      <c r="AY33" s="211"/>
      <c r="AZ33" s="211"/>
      <c r="BB33" s="211" t="str">
        <f>IFERROR(__xludf.DUMMYFUNCTION("""COMPUTED_VALUE"""),"89f17b5f")</f>
        <v>89f17b5f</v>
      </c>
      <c r="BC33" s="211" t="str">
        <f>IFERROR(__xludf.DUMMYFUNCTION("""COMPUTED_VALUE"""),"Karbondioksida 2,5m3 MR")</f>
        <v>Karbondioksida 2,5m3 MR</v>
      </c>
      <c r="BD33" s="211" t="str">
        <f>IFERROR(__xludf.DUMMYFUNCTION("""COMPUTED_VALUE"""),"RENT")</f>
        <v>RENT</v>
      </c>
      <c r="BE33" s="211" t="str">
        <f>IFERROR(__xludf.DUMMYFUNCTION("""COMPUTED_VALUE"""),"MR")</f>
        <v>MR</v>
      </c>
      <c r="BF33" s="211" t="str">
        <f>IFERROR(__xludf.DUMMYFUNCTION("""COMPUTED_VALUE"""),"Btl")</f>
        <v>Btl</v>
      </c>
      <c r="BG33" s="211"/>
      <c r="BH33" s="211" t="b">
        <f>IFERROR(__xludf.DUMMYFUNCTION("""COMPUTED_VALUE"""),FALSE)</f>
        <v>0</v>
      </c>
      <c r="BI33" s="211"/>
    </row>
    <row r="34">
      <c r="A34" s="210" t="str">
        <f>IFERROR(__xludf.DUMMYFUNCTION("""COMPUTED_VALUE"""),"ea7e14cc")</f>
        <v>ea7e14cc</v>
      </c>
      <c r="B34" s="210" t="str">
        <f>IFERROR(__xludf.DUMMYFUNCTION("""COMPUTED_VALUE"""),"ea7e14cc")</f>
        <v>ea7e14cc</v>
      </c>
      <c r="C34" s="213">
        <f>IFERROR(__xludf.DUMMYFUNCTION("""COMPUTED_VALUE"""),45553.615115740744)</f>
        <v>45553.61512</v>
      </c>
      <c r="D34" s="211" t="str">
        <f>IFERROR(__xludf.DUMMYFUNCTION("""COMPUTED_VALUE"""),"e968afef")</f>
        <v>e968afef</v>
      </c>
      <c r="E34" s="211" t="str">
        <f>IFERROR(__xludf.DUMMYFUNCTION("""COMPUTED_VALUE"""),"Bpk. Agus")</f>
        <v>Bpk. Agus</v>
      </c>
      <c r="F34" s="211" t="str">
        <f>IFERROR(__xludf.DUMMYFUNCTION("""COMPUTED_VALUE"""),"8bdbe149")</f>
        <v>8bdbe149</v>
      </c>
      <c r="G34" s="211" t="str">
        <f>IFERROR(__xludf.DUMMYFUNCTION("""COMPUTED_VALUE"""),"Oksigen 6m3")</f>
        <v>Oksigen 6m3</v>
      </c>
      <c r="H34" s="214" t="str">
        <f>IFERROR(__xludf.DUMMYFUNCTION("""COMPUTED_VALUE"""),"IN")</f>
        <v>IN</v>
      </c>
      <c r="I34" s="214" t="str">
        <f>IFERROR(__xludf.DUMMYFUNCTION("""COMPUTED_VALUE"""),"EMPTY")</f>
        <v>EMPTY</v>
      </c>
      <c r="J34" s="211">
        <f>IFERROR(__xludf.DUMMYFUNCTION("""COMPUTED_VALUE"""),5.0)</f>
        <v>5</v>
      </c>
      <c r="K34" s="210" t="str">
        <f>IFERROR(__xludf.DUMMYFUNCTION("""COMPUTED_VALUE"""),"1133 1143 1141 1129 1149")</f>
        <v>1133 1143 1141 1129 1149</v>
      </c>
      <c r="L34" s="211"/>
      <c r="M34" s="211"/>
      <c r="N34" s="211"/>
      <c r="O34" s="211"/>
      <c r="Q34" s="210" t="str">
        <f>IFERROR(__xludf.DUMMYFUNCTION("""COMPUTED_VALUE"""),"5fe56758")</f>
        <v>5fe56758</v>
      </c>
      <c r="R34" s="210" t="str">
        <f>IFERROR(__xludf.DUMMYFUNCTION("""COMPUTED_VALUE"""),"5fe56758")</f>
        <v>5fe56758</v>
      </c>
      <c r="S34" s="211" t="str">
        <f>IFERROR(__xludf.DUMMYFUNCTION("""COMPUTED_VALUE"""),"a9fe1bea")</f>
        <v>a9fe1bea</v>
      </c>
      <c r="T34" s="211" t="str">
        <f>IFERROR(__xludf.DUMMYFUNCTION("""COMPUTED_VALUE"""),"H. Suheiri")</f>
        <v>H. Suheiri</v>
      </c>
      <c r="U34" s="215">
        <f>IFERROR(__xludf.DUMMYFUNCTION("""COMPUTED_VALUE"""),45556.460185185184)</f>
        <v>45556.46019</v>
      </c>
      <c r="V34"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4" s="211" t="str">
        <f>IFERROR(__xludf.DUMMYFUNCTION("""COMPUTED_VALUE"""),"IN")</f>
        <v>IN</v>
      </c>
      <c r="X34" s="211"/>
      <c r="Z34" s="211" t="str">
        <f>IFERROR(__xludf.DUMMYFUNCTION("""COMPUTED_VALUE"""),"0426143039")</f>
        <v>0426143039</v>
      </c>
      <c r="AA34" s="211" t="str">
        <f>IFERROR(__xludf.DUMMYFUNCTION("""COMPUTED_VALUE"""),"404250015")</f>
        <v>404250015</v>
      </c>
      <c r="AC34" s="211" t="str">
        <f>IFERROR(__xludf.DUMMYFUNCTION("""COMPUTED_VALUE"""),"6b737895")</f>
        <v>6b737895</v>
      </c>
      <c r="AD34" s="211" t="str">
        <f>IFERROR(__xludf.DUMMYFUNCTION("""COMPUTED_VALUE"""),"Ibu Yanti")</f>
        <v>Ibu Yanti</v>
      </c>
      <c r="AE34" s="211"/>
      <c r="AF34" s="216" t="b">
        <f>IFERROR(__xludf.DUMMYFUNCTION("""COMPUTED_VALUE"""),FALSE)</f>
        <v>0</v>
      </c>
      <c r="AG34" s="211" t="str">
        <f>IFERROR(__xludf.DUMMYFUNCTION("""COMPUTED_VALUE"""),"Klutuk, Kramat Jegu, Kec. Taman, Kabupaten Sidoarjo, Jawa Timur 61257")</f>
        <v>Klutuk, Kramat Jegu, Kec. Taman, Kabupaten Sidoarjo, Jawa Timur 61257</v>
      </c>
      <c r="AH34" s="217">
        <f>IFERROR(__xludf.DUMMYFUNCTION("""COMPUTED_VALUE"""),14.0)</f>
        <v>14</v>
      </c>
      <c r="AI34" s="211"/>
      <c r="AJ34" s="211"/>
      <c r="AL34" s="211" t="str">
        <f>IFERROR(__xludf.DUMMYFUNCTION("""COMPUTED_VALUE"""),"2260281")</f>
        <v>2260281</v>
      </c>
      <c r="AM34" s="211" t="str">
        <f>IFERROR(__xludf.DUMMYFUNCTION("""COMPUTED_VALUE"""),"0326302835")</f>
        <v>0326302835</v>
      </c>
      <c r="AN34" s="211" t="str">
        <f>IFERROR(__xludf.DUMMYFUNCTION("""COMPUTED_VALUE"""),"63fc688a")</f>
        <v>63fc688a</v>
      </c>
      <c r="AO34" s="211" t="str">
        <f>IFERROR(__xludf.DUMMYFUNCTION("""COMPUTED_VALUE"""),"CV Malik Nusantara")</f>
        <v>CV Malik Nusantara</v>
      </c>
      <c r="AP34" s="215">
        <f>IFERROR(__xludf.DUMMYFUNCTION("""COMPUTED_VALUE"""),46107.5321875)</f>
        <v>46107.53219</v>
      </c>
      <c r="AQ34" s="218">
        <f>IFERROR(__xludf.DUMMYFUNCTION("""COMPUTED_VALUE"""),46093.0)</f>
        <v>46093</v>
      </c>
      <c r="AR34" s="211"/>
      <c r="AS34" s="211" t="str">
        <f>IFERROR(__xludf.DUMMYFUNCTION("""COMPUTED_VALUE"""),"6b737895")</f>
        <v>6b737895</v>
      </c>
      <c r="AT34" s="211" t="str">
        <f>IFERROR(__xludf.DUMMYFUNCTION("""COMPUTED_VALUE"""),"Ibu Yanti")</f>
        <v>Ibu Yanti</v>
      </c>
      <c r="AU34" s="211"/>
      <c r="AV34" s="216" t="b">
        <f>IFERROR(__xludf.DUMMYFUNCTION("""COMPUTED_VALUE"""),FALSE)</f>
        <v>0</v>
      </c>
      <c r="AW34" s="211" t="str">
        <f>IFERROR(__xludf.DUMMYFUNCTION("""COMPUTED_VALUE"""),"Klutuk, Kramat Jegu, Kec. Taman, Kabupaten Sidoarjo, Jawa Timur 61257")</f>
        <v>Klutuk, Kramat Jegu, Kec. Taman, Kabupaten Sidoarjo, Jawa Timur 61257</v>
      </c>
      <c r="AX34" s="217">
        <f>IFERROR(__xludf.DUMMYFUNCTION("""COMPUTED_VALUE"""),14.0)</f>
        <v>14</v>
      </c>
      <c r="AY34" s="211"/>
      <c r="AZ34" s="211"/>
      <c r="BB34" s="211"/>
      <c r="BC34" s="211"/>
      <c r="BD34" s="211"/>
      <c r="BE34" s="211"/>
      <c r="BF34" s="211"/>
      <c r="BG34" s="211"/>
      <c r="BH34" s="211"/>
      <c r="BI34" s="211"/>
    </row>
    <row r="35">
      <c r="A35" s="210" t="str">
        <f>IFERROR(__xludf.DUMMYFUNCTION("""COMPUTED_VALUE"""),"ea7e14cc")</f>
        <v>ea7e14cc</v>
      </c>
      <c r="B35" s="210" t="str">
        <f>IFERROR(__xludf.DUMMYFUNCTION("""COMPUTED_VALUE"""),"ea7e14cc")</f>
        <v>ea7e14cc</v>
      </c>
      <c r="C35" s="213">
        <f>IFERROR(__xludf.DUMMYFUNCTION("""COMPUTED_VALUE"""),45553.61667824074)</f>
        <v>45553.61668</v>
      </c>
      <c r="D35" s="211" t="str">
        <f>IFERROR(__xludf.DUMMYFUNCTION("""COMPUTED_VALUE"""),"e968afef")</f>
        <v>e968afef</v>
      </c>
      <c r="E35" s="211" t="str">
        <f>IFERROR(__xludf.DUMMYFUNCTION("""COMPUTED_VALUE"""),"Bpk. Agus")</f>
        <v>Bpk. Agus</v>
      </c>
      <c r="F35" s="211" t="str">
        <f>IFERROR(__xludf.DUMMYFUNCTION("""COMPUTED_VALUE"""),"be525f3b")</f>
        <v>be525f3b</v>
      </c>
      <c r="G35" s="211" t="str">
        <f>IFERROR(__xludf.DUMMYFUNCTION("""COMPUTED_VALUE"""),"LPG 12kg")</f>
        <v>LPG 12kg</v>
      </c>
      <c r="H35" s="214" t="str">
        <f>IFERROR(__xludf.DUMMYFUNCTION("""COMPUTED_VALUE"""),"IN")</f>
        <v>IN</v>
      </c>
      <c r="I35" s="214" t="str">
        <f>IFERROR(__xludf.DUMMYFUNCTION("""COMPUTED_VALUE"""),"EMPTY")</f>
        <v>EMPTY</v>
      </c>
      <c r="J35" s="211">
        <f>IFERROR(__xludf.DUMMYFUNCTION("""COMPUTED_VALUE"""),1.0)</f>
        <v>1</v>
      </c>
      <c r="K35" s="210" t="str">
        <f>IFERROR(__xludf.DUMMYFUNCTION("""COMPUTED_VALUE"""),"L1")</f>
        <v>L1</v>
      </c>
      <c r="L35" s="211"/>
      <c r="M35" s="211"/>
      <c r="N35" s="211"/>
      <c r="O35" s="211"/>
      <c r="Q35" s="210" t="str">
        <f>IFERROR(__xludf.DUMMYFUNCTION("""COMPUTED_VALUE"""),"3e8da047")</f>
        <v>3e8da047</v>
      </c>
      <c r="R35" s="210" t="str">
        <f>IFERROR(__xludf.DUMMYFUNCTION("""COMPUTED_VALUE"""),"3e8da047")</f>
        <v>3e8da047</v>
      </c>
      <c r="S35" s="211" t="str">
        <f>IFERROR(__xludf.DUMMYFUNCTION("""COMPUTED_VALUE"""),"cef243cf")</f>
        <v>cef243cf</v>
      </c>
      <c r="T35" s="211" t="str">
        <f>IFERROR(__xludf.DUMMYFUNCTION("""COMPUTED_VALUE"""),"Bpk. Supri")</f>
        <v>Bpk. Supri</v>
      </c>
      <c r="U35" s="215">
        <f>IFERROR(__xludf.DUMMYFUNCTION("""COMPUTED_VALUE"""),45558.63652777778)</f>
        <v>45558.63653</v>
      </c>
      <c r="V35" s="211"/>
      <c r="W35" s="211" t="str">
        <f>IFERROR(__xludf.DUMMYFUNCTION("""COMPUTED_VALUE"""),"IN")</f>
        <v>IN</v>
      </c>
      <c r="X35" s="211"/>
      <c r="Z35" s="211" t="str">
        <f>IFERROR(__xludf.DUMMYFUNCTION("""COMPUTED_VALUE"""),"0426243038")</f>
        <v>0426243038</v>
      </c>
      <c r="AA35" s="211" t="str">
        <f>IFERROR(__xludf.DUMMYFUNCTION("""COMPUTED_VALUE"""),"403250014")</f>
        <v>403250014</v>
      </c>
      <c r="AC35" s="211" t="str">
        <f>IFERROR(__xludf.DUMMYFUNCTION("""COMPUTED_VALUE"""),"06d600f6")</f>
        <v>06d600f6</v>
      </c>
      <c r="AD35" s="211" t="str">
        <f>IFERROR(__xludf.DUMMYFUNCTION("""COMPUTED_VALUE"""),"Ibu Ida")</f>
        <v>Ibu Ida</v>
      </c>
      <c r="AE35" s="211"/>
      <c r="AF35" s="216" t="b">
        <f>IFERROR(__xludf.DUMMYFUNCTION("""COMPUTED_VALUE"""),FALSE)</f>
        <v>0</v>
      </c>
      <c r="AG35" s="211" t="str">
        <f>IFERROR(__xludf.DUMMYFUNCTION("""COMPUTED_VALUE"""),"Wonoayu rt 1 rw 4, Kec wonoayu, Kab. Sidoarjo")</f>
        <v>Wonoayu rt 1 rw 4, Kec wonoayu, Kab. Sidoarjo</v>
      </c>
      <c r="AH35" s="217">
        <f>IFERROR(__xludf.DUMMYFUNCTION("""COMPUTED_VALUE"""),14.0)</f>
        <v>14</v>
      </c>
      <c r="AI35" s="211"/>
      <c r="AJ35" s="211"/>
      <c r="AL35" s="211" t="str">
        <f>IFERROR(__xludf.DUMMYFUNCTION("""COMPUTED_VALUE"""),"2260281")</f>
        <v>2260281</v>
      </c>
      <c r="AM35" s="211" t="str">
        <f>IFERROR(__xludf.DUMMYFUNCTION("""COMPUTED_VALUE"""),"0326312856")</f>
        <v>0326312856</v>
      </c>
      <c r="AN35" s="211" t="str">
        <f>IFERROR(__xludf.DUMMYFUNCTION("""COMPUTED_VALUE"""),"63fc688a")</f>
        <v>63fc688a</v>
      </c>
      <c r="AO35" s="211" t="str">
        <f>IFERROR(__xludf.DUMMYFUNCTION("""COMPUTED_VALUE"""),"CV Malik Nusantara")</f>
        <v>CV Malik Nusantara</v>
      </c>
      <c r="AP35" s="215">
        <f>IFERROR(__xludf.DUMMYFUNCTION("""COMPUTED_VALUE"""),46107.5321875)</f>
        <v>46107.53219</v>
      </c>
      <c r="AQ35" s="218">
        <f>IFERROR(__xludf.DUMMYFUNCTION("""COMPUTED_VALUE"""),46095.0)</f>
        <v>46095</v>
      </c>
      <c r="AR35" s="211"/>
      <c r="AS35" s="211" t="str">
        <f>IFERROR(__xludf.DUMMYFUNCTION("""COMPUTED_VALUE"""),"06d600f6")</f>
        <v>06d600f6</v>
      </c>
      <c r="AT35" s="211" t="str">
        <f>IFERROR(__xludf.DUMMYFUNCTION("""COMPUTED_VALUE"""),"Ibu Ida")</f>
        <v>Ibu Ida</v>
      </c>
      <c r="AU35" s="211"/>
      <c r="AV35" s="216" t="b">
        <f>IFERROR(__xludf.DUMMYFUNCTION("""COMPUTED_VALUE"""),FALSE)</f>
        <v>0</v>
      </c>
      <c r="AW35" s="211" t="str">
        <f>IFERROR(__xludf.DUMMYFUNCTION("""COMPUTED_VALUE"""),"Wonoayu rt 1 rw 4, Kec wonoayu, Kab. Sidoarjo")</f>
        <v>Wonoayu rt 1 rw 4, Kec wonoayu, Kab. Sidoarjo</v>
      </c>
      <c r="AX35" s="217">
        <f>IFERROR(__xludf.DUMMYFUNCTION("""COMPUTED_VALUE"""),14.0)</f>
        <v>14</v>
      </c>
      <c r="AY35" s="211"/>
      <c r="AZ35" s="211"/>
      <c r="BB35" s="211"/>
      <c r="BC35" s="211"/>
      <c r="BD35" s="211"/>
      <c r="BE35" s="211"/>
      <c r="BF35" s="211"/>
      <c r="BG35" s="211"/>
      <c r="BH35" s="211"/>
      <c r="BI35" s="211"/>
    </row>
    <row r="36">
      <c r="A36" s="210" t="str">
        <f>IFERROR(__xludf.DUMMYFUNCTION("""COMPUTED_VALUE"""),"5c00e27f")</f>
        <v>5c00e27f</v>
      </c>
      <c r="B36" s="210" t="str">
        <f>IFERROR(__xludf.DUMMYFUNCTION("""COMPUTED_VALUE"""),"5c00e27f")</f>
        <v>5c00e27f</v>
      </c>
      <c r="C36" s="213">
        <f>IFERROR(__xludf.DUMMYFUNCTION("""COMPUTED_VALUE"""),45553.61709490741)</f>
        <v>45553.61709</v>
      </c>
      <c r="D36" s="211" t="str">
        <f>IFERROR(__xludf.DUMMYFUNCTION("""COMPUTED_VALUE"""),"e86baf3b")</f>
        <v>e86baf3b</v>
      </c>
      <c r="E36" s="211" t="str">
        <f>IFERROR(__xludf.DUMMYFUNCTION("""COMPUTED_VALUE"""),"PT GEMILANG CIPTA WAWASAN")</f>
        <v>PT GEMILANG CIPTA WAWASAN</v>
      </c>
      <c r="F36" s="211" t="str">
        <f>IFERROR(__xludf.DUMMYFUNCTION("""COMPUTED_VALUE"""),"be525f3b")</f>
        <v>be525f3b</v>
      </c>
      <c r="G36" s="211" t="str">
        <f>IFERROR(__xludf.DUMMYFUNCTION("""COMPUTED_VALUE"""),"LPG 12kg")</f>
        <v>LPG 12kg</v>
      </c>
      <c r="H36" s="214" t="str">
        <f>IFERROR(__xludf.DUMMYFUNCTION("""COMPUTED_VALUE"""),"IN")</f>
        <v>IN</v>
      </c>
      <c r="I36" s="214" t="str">
        <f>IFERROR(__xludf.DUMMYFUNCTION("""COMPUTED_VALUE"""),"EMPTY")</f>
        <v>EMPTY</v>
      </c>
      <c r="J36" s="211">
        <f>IFERROR(__xludf.DUMMYFUNCTION("""COMPUTED_VALUE"""),5.0)</f>
        <v>5</v>
      </c>
      <c r="K36" s="210" t="str">
        <f>IFERROR(__xludf.DUMMYFUNCTION("""COMPUTED_VALUE"""),"L28 L25 L26 L27 L24")</f>
        <v>L28 L25 L26 L27 L24</v>
      </c>
      <c r="L36" s="211"/>
      <c r="M36" s="211"/>
      <c r="N36" s="211"/>
      <c r="O36" s="211"/>
      <c r="Q36" s="210" t="str">
        <f>IFERROR(__xludf.DUMMYFUNCTION("""COMPUTED_VALUE"""),"09240022")</f>
        <v>09240022</v>
      </c>
      <c r="R36" s="210" t="str">
        <f>IFERROR(__xludf.DUMMYFUNCTION("""COMPUTED_VALUE"""),"09240022")</f>
        <v>09240022</v>
      </c>
      <c r="S36" s="211" t="str">
        <f>IFERROR(__xludf.DUMMYFUNCTION("""COMPUTED_VALUE"""),"7b9d8eba")</f>
        <v>7b9d8eba</v>
      </c>
      <c r="T36" s="211" t="str">
        <f>IFERROR(__xludf.DUMMYFUNCTION("""COMPUTED_VALUE"""),"PT PELANGI INDOKARYA")</f>
        <v>PT PELANGI INDOKARYA</v>
      </c>
      <c r="U36" s="215">
        <f>IFERROR(__xludf.DUMMYFUNCTION("""COMPUTED_VALUE"""),45559.40938657407)</f>
        <v>45559.40939</v>
      </c>
      <c r="V3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36" s="211" t="str">
        <f>IFERROR(__xludf.DUMMYFUNCTION("""COMPUTED_VALUE"""),"OUT")</f>
        <v>OUT</v>
      </c>
      <c r="X36" s="211"/>
      <c r="Z36" s="211" t="str">
        <f>IFERROR(__xludf.DUMMYFUNCTION("""COMPUTED_VALUE"""),"0426243037")</f>
        <v>0426243037</v>
      </c>
      <c r="AA36" s="211" t="str">
        <f>IFERROR(__xludf.DUMMYFUNCTION("""COMPUTED_VALUE"""),"403250013")</f>
        <v>403250013</v>
      </c>
      <c r="AC36" s="211" t="str">
        <f>IFERROR(__xludf.DUMMYFUNCTION("""COMPUTED_VALUE"""),"7e28b0bb")</f>
        <v>7e28b0bb</v>
      </c>
      <c r="AD36" s="211" t="str">
        <f>IFERROR(__xludf.DUMMYFUNCTION("""COMPUTED_VALUE"""),"PT Surya Langit Biru")</f>
        <v>PT Surya Langit Biru</v>
      </c>
      <c r="AE36" s="211"/>
      <c r="AF36" s="216" t="b">
        <f>IFERROR(__xludf.DUMMYFUNCTION("""COMPUTED_VALUE"""),TRUE)</f>
        <v>1</v>
      </c>
      <c r="AG36" s="211" t="str">
        <f>IFERROR(__xludf.DUMMYFUNCTION("""COMPUTED_VALUE"""),"Mlirip  Krian, Singkalan, Kec. BalongBendo, Kabupaten Sidoarjo, Jawa Timur 61263")</f>
        <v>Mlirip  Krian, Singkalan, Kec. BalongBendo, Kabupaten Sidoarjo, Jawa Timur 61263</v>
      </c>
      <c r="AH36" s="217">
        <f>IFERROR(__xludf.DUMMYFUNCTION("""COMPUTED_VALUE"""),30.0)</f>
        <v>30</v>
      </c>
      <c r="AI36" s="211"/>
      <c r="AJ36" s="211"/>
      <c r="AL36" s="211" t="str">
        <f>IFERROR(__xludf.DUMMYFUNCTION("""COMPUTED_VALUE"""),"2260281")</f>
        <v>2260281</v>
      </c>
      <c r="AM36" s="211" t="str">
        <f>IFERROR(__xludf.DUMMYFUNCTION("""COMPUTED_VALUE"""),"0326322863")</f>
        <v>0326322863</v>
      </c>
      <c r="AN36" s="211" t="str">
        <f>IFERROR(__xludf.DUMMYFUNCTION("""COMPUTED_VALUE"""),"63fc688a")</f>
        <v>63fc688a</v>
      </c>
      <c r="AO36" s="211" t="str">
        <f>IFERROR(__xludf.DUMMYFUNCTION("""COMPUTED_VALUE"""),"CV Malik Nusantara")</f>
        <v>CV Malik Nusantara</v>
      </c>
      <c r="AP36" s="215">
        <f>IFERROR(__xludf.DUMMYFUNCTION("""COMPUTED_VALUE"""),46107.5321875)</f>
        <v>46107.53219</v>
      </c>
      <c r="AQ36" s="218">
        <f>IFERROR(__xludf.DUMMYFUNCTION("""COMPUTED_VALUE"""),46095.0)</f>
        <v>46095</v>
      </c>
      <c r="AR36" s="211"/>
      <c r="AS36" s="211" t="str">
        <f>IFERROR(__xludf.DUMMYFUNCTION("""COMPUTED_VALUE"""),"7e28b0bb")</f>
        <v>7e28b0bb</v>
      </c>
      <c r="AT36" s="211" t="str">
        <f>IFERROR(__xludf.DUMMYFUNCTION("""COMPUTED_VALUE"""),"PT Surya Langit Biru")</f>
        <v>PT Surya Langit Biru</v>
      </c>
      <c r="AU36" s="211"/>
      <c r="AV36" s="216" t="b">
        <f>IFERROR(__xludf.DUMMYFUNCTION("""COMPUTED_VALUE"""),TRUE)</f>
        <v>1</v>
      </c>
      <c r="AW36" s="211" t="str">
        <f>IFERROR(__xludf.DUMMYFUNCTION("""COMPUTED_VALUE"""),"Mlirip  Krian, Singkalan, Kec. BalongBendo, Kabupaten Sidoarjo, Jawa Timur 61263")</f>
        <v>Mlirip  Krian, Singkalan, Kec. BalongBendo, Kabupaten Sidoarjo, Jawa Timur 61263</v>
      </c>
      <c r="AX36" s="217">
        <f>IFERROR(__xludf.DUMMYFUNCTION("""COMPUTED_VALUE"""),30.0)</f>
        <v>30</v>
      </c>
      <c r="AY36" s="211"/>
      <c r="AZ36" s="211"/>
      <c r="BB36" s="211"/>
      <c r="BC36" s="211"/>
      <c r="BD36" s="211"/>
      <c r="BE36" s="211"/>
      <c r="BF36" s="211"/>
      <c r="BG36" s="211"/>
      <c r="BH36" s="211"/>
      <c r="BI36" s="211"/>
    </row>
    <row r="37">
      <c r="A37" s="210" t="str">
        <f>IFERROR(__xludf.DUMMYFUNCTION("""COMPUTED_VALUE"""),"c740ede3")</f>
        <v>c740ede3</v>
      </c>
      <c r="B37" s="210" t="str">
        <f>IFERROR(__xludf.DUMMYFUNCTION("""COMPUTED_VALUE"""),"c740ede3")</f>
        <v>c740ede3</v>
      </c>
      <c r="C37" s="213">
        <f>IFERROR(__xludf.DUMMYFUNCTION("""COMPUTED_VALUE"""),45554.464907407404)</f>
        <v>45554.46491</v>
      </c>
      <c r="D37" s="211" t="str">
        <f>IFERROR(__xludf.DUMMYFUNCTION("""COMPUTED_VALUE"""),"7b9d8eba")</f>
        <v>7b9d8eba</v>
      </c>
      <c r="E37" s="211" t="str">
        <f>IFERROR(__xludf.DUMMYFUNCTION("""COMPUTED_VALUE"""),"PT PELANGI INDOKARYA")</f>
        <v>PT PELANGI INDOKARYA</v>
      </c>
      <c r="F37" s="211" t="str">
        <f>IFERROR(__xludf.DUMMYFUNCTION("""COMPUTED_VALUE"""),"8bdbe149")</f>
        <v>8bdbe149</v>
      </c>
      <c r="G37" s="211" t="str">
        <f>IFERROR(__xludf.DUMMYFUNCTION("""COMPUTED_VALUE"""),"Oksigen 6m3")</f>
        <v>Oksigen 6m3</v>
      </c>
      <c r="H37" s="214" t="str">
        <f>IFERROR(__xludf.DUMMYFUNCTION("""COMPUTED_VALUE"""),"IN")</f>
        <v>IN</v>
      </c>
      <c r="I37" s="214" t="str">
        <f>IFERROR(__xludf.DUMMYFUNCTION("""COMPUTED_VALUE"""),"EMPTY")</f>
        <v>EMPTY</v>
      </c>
      <c r="J37" s="211">
        <f>IFERROR(__xludf.DUMMYFUNCTION("""COMPUTED_VALUE"""),2.0)</f>
        <v>2</v>
      </c>
      <c r="K37" s="210" t="str">
        <f>IFERROR(__xludf.DUMMYFUNCTION("""COMPUTED_VALUE"""),"1153 1168")</f>
        <v>1153 1168</v>
      </c>
      <c r="L37" s="211"/>
      <c r="M37" s="211"/>
      <c r="N37" s="211"/>
      <c r="O37" s="211"/>
      <c r="Q37" s="210" t="str">
        <f>IFERROR(__xludf.DUMMYFUNCTION("""COMPUTED_VALUE"""),"21fc7f4d")</f>
        <v>21fc7f4d</v>
      </c>
      <c r="R37" s="210" t="str">
        <f>IFERROR(__xludf.DUMMYFUNCTION("""COMPUTED_VALUE"""),"21fc7f4d")</f>
        <v>21fc7f4d</v>
      </c>
      <c r="S37" s="211" t="str">
        <f>IFERROR(__xludf.DUMMYFUNCTION("""COMPUTED_VALUE"""),"f8335a53")</f>
        <v>f8335a53</v>
      </c>
      <c r="T37" s="211" t="str">
        <f>IFERROR(__xludf.DUMMYFUNCTION("""COMPUTED_VALUE"""),"CV RAGAM JAYA ENGINEERING")</f>
        <v>CV RAGAM JAYA ENGINEERING</v>
      </c>
      <c r="U37" s="215">
        <f>IFERROR(__xludf.DUMMYFUNCTION("""COMPUTED_VALUE"""),45560.41107638889)</f>
        <v>45560.41108</v>
      </c>
      <c r="V37" s="211" t="str">
        <f>IFERROR(__xludf.DUMMYFUNCTION("""COMPUTED_VALUE"""),"Jl. Balung wangon, Dadapkuning, Bulurejo, Kec. Benjeng, Kabupaten Gresik, Jawa Timur 61172")</f>
        <v>Jl. Balung wangon, Dadapkuning, Bulurejo, Kec. Benjeng, Kabupaten Gresik, Jawa Timur 61172</v>
      </c>
      <c r="W37" s="211" t="str">
        <f>IFERROR(__xludf.DUMMYFUNCTION("""COMPUTED_VALUE"""),"IN")</f>
        <v>IN</v>
      </c>
      <c r="X37" s="211"/>
      <c r="Z37" s="211" t="str">
        <f>IFERROR(__xludf.DUMMYFUNCTION("""COMPUTED_VALUE"""),"0426163036")</f>
        <v>0426163036</v>
      </c>
      <c r="AA37" s="211" t="str">
        <f>IFERROR(__xludf.DUMMYFUNCTION("""COMPUTED_VALUE"""),"403250012")</f>
        <v>403250012</v>
      </c>
      <c r="AC37" s="211" t="str">
        <f>IFERROR(__xludf.DUMMYFUNCTION("""COMPUTED_VALUE"""),"64b0c06f")</f>
        <v>64b0c06f</v>
      </c>
      <c r="AD37" s="211" t="str">
        <f>IFERROR(__xludf.DUMMYFUNCTION("""COMPUTED_VALUE"""),"Saiful Fuad")</f>
        <v>Saiful Fuad</v>
      </c>
      <c r="AE37" s="211"/>
      <c r="AF37" s="216" t="b">
        <f>IFERROR(__xludf.DUMMYFUNCTION("""COMPUTED_VALUE"""),FALSE)</f>
        <v>0</v>
      </c>
      <c r="AG37" s="211"/>
      <c r="AH37" s="211"/>
      <c r="AI37" s="211"/>
      <c r="AJ37" s="211"/>
      <c r="AL37" s="211" t="str">
        <f>IFERROR(__xludf.DUMMYFUNCTION("""COMPUTED_VALUE"""),"2260281")</f>
        <v>2260281</v>
      </c>
      <c r="AM37" s="211" t="str">
        <f>IFERROR(__xludf.DUMMYFUNCTION("""COMPUTED_VALUE"""),"0326332876")</f>
        <v>0326332876</v>
      </c>
      <c r="AN37" s="211" t="str">
        <f>IFERROR(__xludf.DUMMYFUNCTION("""COMPUTED_VALUE"""),"63fc688a")</f>
        <v>63fc688a</v>
      </c>
      <c r="AO37" s="211" t="str">
        <f>IFERROR(__xludf.DUMMYFUNCTION("""COMPUTED_VALUE"""),"CV Malik Nusantara")</f>
        <v>CV Malik Nusantara</v>
      </c>
      <c r="AP37" s="215">
        <f>IFERROR(__xludf.DUMMYFUNCTION("""COMPUTED_VALUE"""),46107.5321875)</f>
        <v>46107.53219</v>
      </c>
      <c r="AQ37" s="218">
        <f>IFERROR(__xludf.DUMMYFUNCTION("""COMPUTED_VALUE"""),46098.0)</f>
        <v>46098</v>
      </c>
      <c r="AR37" s="211"/>
      <c r="AS37" s="211" t="str">
        <f>IFERROR(__xludf.DUMMYFUNCTION("""COMPUTED_VALUE"""),"64b0c06f")</f>
        <v>64b0c06f</v>
      </c>
      <c r="AT37" s="211" t="str">
        <f>IFERROR(__xludf.DUMMYFUNCTION("""COMPUTED_VALUE"""),"Saiful Fuad")</f>
        <v>Saiful Fuad</v>
      </c>
      <c r="AU37" s="211"/>
      <c r="AV37" s="216" t="b">
        <f>IFERROR(__xludf.DUMMYFUNCTION("""COMPUTED_VALUE"""),FALSE)</f>
        <v>0</v>
      </c>
      <c r="AW37" s="211"/>
      <c r="AX37" s="211"/>
      <c r="AY37" s="211"/>
      <c r="AZ37" s="211"/>
      <c r="BB37" s="211"/>
      <c r="BC37" s="211"/>
      <c r="BD37" s="211"/>
      <c r="BE37" s="211"/>
      <c r="BF37" s="211"/>
      <c r="BG37" s="211"/>
      <c r="BH37" s="211"/>
      <c r="BI37" s="211"/>
    </row>
    <row r="38">
      <c r="A38" s="210" t="str">
        <f>IFERROR(__xludf.DUMMYFUNCTION("""COMPUTED_VALUE"""),"230bac34")</f>
        <v>230bac34</v>
      </c>
      <c r="B38" s="210" t="str">
        <f>IFERROR(__xludf.DUMMYFUNCTION("""COMPUTED_VALUE"""),"230bac34")</f>
        <v>230bac34</v>
      </c>
      <c r="C38" s="213">
        <f>IFERROR(__xludf.DUMMYFUNCTION("""COMPUTED_VALUE"""),45554.46564814815)</f>
        <v>45554.46565</v>
      </c>
      <c r="D38" s="211" t="str">
        <f>IFERROR(__xludf.DUMMYFUNCTION("""COMPUTED_VALUE"""),"f8335a53")</f>
        <v>f8335a53</v>
      </c>
      <c r="E38" s="211" t="str">
        <f>IFERROR(__xludf.DUMMYFUNCTION("""COMPUTED_VALUE"""),"CV RAGAM JAYA ENGINEERING")</f>
        <v>CV RAGAM JAYA ENGINEERING</v>
      </c>
      <c r="F38" s="211" t="str">
        <f>IFERROR(__xludf.DUMMYFUNCTION("""COMPUTED_VALUE"""),"8bdbe149")</f>
        <v>8bdbe149</v>
      </c>
      <c r="G38" s="211" t="str">
        <f>IFERROR(__xludf.DUMMYFUNCTION("""COMPUTED_VALUE"""),"Oksigen 6m3")</f>
        <v>Oksigen 6m3</v>
      </c>
      <c r="H38" s="214" t="str">
        <f>IFERROR(__xludf.DUMMYFUNCTION("""COMPUTED_VALUE"""),"IN")</f>
        <v>IN</v>
      </c>
      <c r="I38" s="214" t="str">
        <f>IFERROR(__xludf.DUMMYFUNCTION("""COMPUTED_VALUE"""),"EMPTY")</f>
        <v>EMPTY</v>
      </c>
      <c r="J38" s="211">
        <f>IFERROR(__xludf.DUMMYFUNCTION("""COMPUTED_VALUE"""),1.0)</f>
        <v>1</v>
      </c>
      <c r="K38" s="210" t="str">
        <f>IFERROR(__xludf.DUMMYFUNCTION("""COMPUTED_VALUE"""),"1128")</f>
        <v>1128</v>
      </c>
      <c r="L38" s="211"/>
      <c r="M38" s="211"/>
      <c r="N38" s="211"/>
      <c r="O38" s="211"/>
      <c r="Q38" s="210" t="str">
        <f>IFERROR(__xludf.DUMMYFUNCTION("""COMPUTED_VALUE"""),"a6e7928f")</f>
        <v>a6e7928f</v>
      </c>
      <c r="R38" s="210" t="str">
        <f>IFERROR(__xludf.DUMMYFUNCTION("""COMPUTED_VALUE"""),"a6e7928f")</f>
        <v>a6e7928f</v>
      </c>
      <c r="S38" s="211" t="str">
        <f>IFERROR(__xludf.DUMMYFUNCTION("""COMPUTED_VALUE"""),"7b9d8eba")</f>
        <v>7b9d8eba</v>
      </c>
      <c r="T38" s="211" t="str">
        <f>IFERROR(__xludf.DUMMYFUNCTION("""COMPUTED_VALUE"""),"PT PELANGI INDOKARYA")</f>
        <v>PT PELANGI INDOKARYA</v>
      </c>
      <c r="U38" s="215">
        <f>IFERROR(__xludf.DUMMYFUNCTION("""COMPUTED_VALUE"""),45560.412824074076)</f>
        <v>45560.41282</v>
      </c>
      <c r="V3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38" s="211" t="str">
        <f>IFERROR(__xludf.DUMMYFUNCTION("""COMPUTED_VALUE"""),"IN")</f>
        <v>IN</v>
      </c>
      <c r="X38" s="211"/>
      <c r="Z38" s="211" t="str">
        <f>IFERROR(__xludf.DUMMYFUNCTION("""COMPUTED_VALUE"""),"0426293026")</f>
        <v>0426293026</v>
      </c>
      <c r="AA38" s="211" t="str">
        <f>IFERROR(__xludf.DUMMYFUNCTION("""COMPUTED_VALUE"""),"403250010")</f>
        <v>403250010</v>
      </c>
      <c r="AC38" s="211" t="str">
        <f>IFERROR(__xludf.DUMMYFUNCTION("""COMPUTED_VALUE"""),"ce83e171")</f>
        <v>ce83e171</v>
      </c>
      <c r="AD38" s="211" t="str">
        <f>IFERROR(__xludf.DUMMYFUNCTION("""COMPUTED_VALUE"""),"Bpk. Sulaiman")</f>
        <v>Bpk. Sulaiman</v>
      </c>
      <c r="AE38" s="211"/>
      <c r="AF38" s="216" t="b">
        <f>IFERROR(__xludf.DUMMYFUNCTION("""COMPUTED_VALUE"""),FALSE)</f>
        <v>0</v>
      </c>
      <c r="AG38" s="211" t="str">
        <f>IFERROR(__xludf.DUMMYFUNCTION("""COMPUTED_VALUE"""),"Jl. Raya Kramat Temenggung No.43, Kramat, Kramat Temenggung, Kec. Tarik, Kabupaten Sidoarjo, Jawa Timur 61265")</f>
        <v>Jl. Raya Kramat Temenggung No.43, Kramat, Kramat Temenggung, Kec. Tarik, Kabupaten Sidoarjo, Jawa Timur 61265</v>
      </c>
      <c r="AH38" s="217">
        <f>IFERROR(__xludf.DUMMYFUNCTION("""COMPUTED_VALUE"""),30.0)</f>
        <v>30</v>
      </c>
      <c r="AI38" s="211"/>
      <c r="AJ38" s="211"/>
      <c r="AL38" s="211" t="str">
        <f>IFERROR(__xludf.DUMMYFUNCTION("""COMPUTED_VALUE"""),"2260277")</f>
        <v>2260277</v>
      </c>
      <c r="AM38" s="211" t="str">
        <f>IFERROR(__xludf.DUMMYFUNCTION("""COMPUTED_VALUE"""),"122561941")</f>
        <v>122561941</v>
      </c>
      <c r="AN38" s="211" t="str">
        <f>IFERROR(__xludf.DUMMYFUNCTION("""COMPUTED_VALUE"""),"9e66ced9")</f>
        <v>9e66ced9</v>
      </c>
      <c r="AO38" s="211" t="str">
        <f>IFERROR(__xludf.DUMMYFUNCTION("""COMPUTED_VALUE"""),"Bapak Angga")</f>
        <v>Bapak Angga</v>
      </c>
      <c r="AP38" s="215">
        <f>IFERROR(__xludf.DUMMYFUNCTION("""COMPUTED_VALUE"""),46095.591736111106)</f>
        <v>46095.59174</v>
      </c>
      <c r="AQ38" s="218">
        <f>IFERROR(__xludf.DUMMYFUNCTION("""COMPUTED_VALUE"""),46001.0)</f>
        <v>46001</v>
      </c>
      <c r="AR38" s="211"/>
      <c r="AS38" s="211" t="str">
        <f>IFERROR(__xludf.DUMMYFUNCTION("""COMPUTED_VALUE"""),"ce83e171")</f>
        <v>ce83e171</v>
      </c>
      <c r="AT38" s="211" t="str">
        <f>IFERROR(__xludf.DUMMYFUNCTION("""COMPUTED_VALUE"""),"Bpk. Sulaiman")</f>
        <v>Bpk. Sulaiman</v>
      </c>
      <c r="AU38" s="211"/>
      <c r="AV38" s="216" t="b">
        <f>IFERROR(__xludf.DUMMYFUNCTION("""COMPUTED_VALUE"""),FALSE)</f>
        <v>0</v>
      </c>
      <c r="AW38" s="211" t="str">
        <f>IFERROR(__xludf.DUMMYFUNCTION("""COMPUTED_VALUE"""),"Jl. Raya Kramat Temenggung No.43, Kramat, Kramat Temenggung, Kec. Tarik, Kabupaten Sidoarjo, Jawa Timur 61265")</f>
        <v>Jl. Raya Kramat Temenggung No.43, Kramat, Kramat Temenggung, Kec. Tarik, Kabupaten Sidoarjo, Jawa Timur 61265</v>
      </c>
      <c r="AX38" s="217">
        <f>IFERROR(__xludf.DUMMYFUNCTION("""COMPUTED_VALUE"""),30.0)</f>
        <v>30</v>
      </c>
      <c r="AY38" s="211"/>
      <c r="AZ38" s="211"/>
      <c r="BB38" s="211"/>
      <c r="BC38" s="211"/>
      <c r="BD38" s="211"/>
      <c r="BE38" s="211"/>
      <c r="BF38" s="211"/>
      <c r="BG38" s="211"/>
      <c r="BH38" s="211"/>
      <c r="BI38" s="211"/>
    </row>
    <row r="39">
      <c r="A39" s="210" t="str">
        <f>IFERROR(__xludf.DUMMYFUNCTION("""COMPUTED_VALUE"""),"09240019")</f>
        <v>09240019</v>
      </c>
      <c r="B39" s="210" t="str">
        <f>IFERROR(__xludf.DUMMYFUNCTION("""COMPUTED_VALUE"""),"09240019")</f>
        <v>09240019</v>
      </c>
      <c r="C39" s="213">
        <f>IFERROR(__xludf.DUMMYFUNCTION("""COMPUTED_VALUE"""),45554.503796296296)</f>
        <v>45554.5038</v>
      </c>
      <c r="D39" s="211" t="str">
        <f>IFERROR(__xludf.DUMMYFUNCTION("""COMPUTED_VALUE"""),"f8335a53")</f>
        <v>f8335a53</v>
      </c>
      <c r="E39" s="211" t="str">
        <f>IFERROR(__xludf.DUMMYFUNCTION("""COMPUTED_VALUE"""),"CV RAGAM JAYA ENGINEERING")</f>
        <v>CV RAGAM JAYA ENGINEERING</v>
      </c>
      <c r="F39" s="211" t="str">
        <f>IFERROR(__xludf.DUMMYFUNCTION("""COMPUTED_VALUE"""),"8bdbe149")</f>
        <v>8bdbe149</v>
      </c>
      <c r="G39" s="211" t="str">
        <f>IFERROR(__xludf.DUMMYFUNCTION("""COMPUTED_VALUE"""),"Oksigen 6m3")</f>
        <v>Oksigen 6m3</v>
      </c>
      <c r="H39" s="214" t="str">
        <f>IFERROR(__xludf.DUMMYFUNCTION("""COMPUTED_VALUE"""),"OUT")</f>
        <v>OUT</v>
      </c>
      <c r="I39" s="214" t="str">
        <f>IFERROR(__xludf.DUMMYFUNCTION("""COMPUTED_VALUE"""),"NORMAL")</f>
        <v>NORMAL</v>
      </c>
      <c r="J39" s="211">
        <f>IFERROR(__xludf.DUMMYFUNCTION("""COMPUTED_VALUE"""),5.0)</f>
        <v>5</v>
      </c>
      <c r="K39" s="210" t="str">
        <f>IFERROR(__xludf.DUMMYFUNCTION("""COMPUTED_VALUE"""),"1105 1135 1119 1104 1131")</f>
        <v>1105 1135 1119 1104 1131</v>
      </c>
      <c r="L39" s="211">
        <f>IFERROR(__xludf.DUMMYFUNCTION("""COMPUTED_VALUE"""),60000.0)</f>
        <v>60000</v>
      </c>
      <c r="M39" s="211"/>
      <c r="N39" s="211"/>
      <c r="O39" s="211"/>
      <c r="Q39" s="210" t="str">
        <f>IFERROR(__xludf.DUMMYFUNCTION("""COMPUTED_VALUE"""),"09240024")</f>
        <v>09240024</v>
      </c>
      <c r="R39" s="210" t="str">
        <f>IFERROR(__xludf.DUMMYFUNCTION("""COMPUTED_VALUE"""),"09240024")</f>
        <v>09240024</v>
      </c>
      <c r="S39" s="211" t="str">
        <f>IFERROR(__xludf.DUMMYFUNCTION("""COMPUTED_VALUE"""),"f01dab70")</f>
        <v>f01dab70</v>
      </c>
      <c r="T39" s="211" t="str">
        <f>IFERROR(__xludf.DUMMYFUNCTION("""COMPUTED_VALUE"""),"Bpk. Yudi")</f>
        <v>Bpk. Yudi</v>
      </c>
      <c r="U39" s="215">
        <f>IFERROR(__xludf.DUMMYFUNCTION("""COMPUTED_VALUE"""),45561.35150462963)</f>
        <v>45561.3515</v>
      </c>
      <c r="V39" s="211" t="str">
        <f>IFERROR(__xludf.DUMMYFUNCTION("""COMPUTED_VALUE"""),"Bandilan, Simogirang, Kec. Prambon, Kabupaten Sidoarjo, Jawa Timur 61264")</f>
        <v>Bandilan, Simogirang, Kec. Prambon, Kabupaten Sidoarjo, Jawa Timur 61264</v>
      </c>
      <c r="W39" s="211" t="str">
        <f>IFERROR(__xludf.DUMMYFUNCTION("""COMPUTED_VALUE"""),"OUT")</f>
        <v>OUT</v>
      </c>
      <c r="X39" s="211"/>
      <c r="Z39" s="211" t="str">
        <f>IFERROR(__xludf.DUMMYFUNCTION("""COMPUTED_VALUE"""),"0426143023")</f>
        <v>0426143023</v>
      </c>
      <c r="AA39" s="211" t="str">
        <f>IFERROR(__xludf.DUMMYFUNCTION("""COMPUTED_VALUE"""),"403250011")</f>
        <v>403250011</v>
      </c>
      <c r="AC39" s="211" t="str">
        <f>IFERROR(__xludf.DUMMYFUNCTION("""COMPUTED_VALUE"""),"ed2cc96a")</f>
        <v>ed2cc96a</v>
      </c>
      <c r="AD39" s="211" t="str">
        <f>IFERROR(__xludf.DUMMYFUNCTION("""COMPUTED_VALUE"""),"Bengkel Dian Jaya")</f>
        <v>Bengkel Dian Jaya</v>
      </c>
      <c r="AE39" s="211"/>
      <c r="AF39" s="216" t="b">
        <f>IFERROR(__xludf.DUMMYFUNCTION("""COMPUTED_VALUE"""),FALSE)</f>
        <v>0</v>
      </c>
      <c r="AG39" s="211" t="str">
        <f>IFERROR(__xludf.DUMMYFUNCTION("""COMPUTED_VALUE"""),"Gg. 2, Kejagan, Kec. Trowulan, Kabupaten Mojokerto, Jawa Timur 61362")</f>
        <v>Gg. 2, Kejagan, Kec. Trowulan, Kabupaten Mojokerto, Jawa Timur 61362</v>
      </c>
      <c r="AH39" s="217">
        <f>IFERROR(__xludf.DUMMYFUNCTION("""COMPUTED_VALUE"""),7.0)</f>
        <v>7</v>
      </c>
      <c r="AI39" s="211"/>
      <c r="AJ39" s="211"/>
      <c r="AL39" s="211" t="str">
        <f>IFERROR(__xludf.DUMMYFUNCTION("""COMPUTED_VALUE"""),"2260277")</f>
        <v>2260277</v>
      </c>
      <c r="AM39" s="211" t="str">
        <f>IFERROR(__xludf.DUMMYFUNCTION("""COMPUTED_VALUE"""),"032672728")</f>
        <v>032672728</v>
      </c>
      <c r="AN39" s="211" t="str">
        <f>IFERROR(__xludf.DUMMYFUNCTION("""COMPUTED_VALUE"""),"9e66ced9")</f>
        <v>9e66ced9</v>
      </c>
      <c r="AO39" s="211" t="str">
        <f>IFERROR(__xludf.DUMMYFUNCTION("""COMPUTED_VALUE"""),"Bapak Angga")</f>
        <v>Bapak Angga</v>
      </c>
      <c r="AP39" s="215">
        <f>IFERROR(__xludf.DUMMYFUNCTION("""COMPUTED_VALUE"""),46095.591736111106)</f>
        <v>46095.59174</v>
      </c>
      <c r="AQ39" s="218">
        <f>IFERROR(__xludf.DUMMYFUNCTION("""COMPUTED_VALUE"""),46084.0)</f>
        <v>46084</v>
      </c>
      <c r="AR39" s="211"/>
      <c r="AS39" s="211" t="str">
        <f>IFERROR(__xludf.DUMMYFUNCTION("""COMPUTED_VALUE"""),"ed2cc96a")</f>
        <v>ed2cc96a</v>
      </c>
      <c r="AT39" s="211" t="str">
        <f>IFERROR(__xludf.DUMMYFUNCTION("""COMPUTED_VALUE"""),"Bengkel Dian Jaya")</f>
        <v>Bengkel Dian Jaya</v>
      </c>
      <c r="AU39" s="211"/>
      <c r="AV39" s="216" t="b">
        <f>IFERROR(__xludf.DUMMYFUNCTION("""COMPUTED_VALUE"""),FALSE)</f>
        <v>0</v>
      </c>
      <c r="AW39" s="211" t="str">
        <f>IFERROR(__xludf.DUMMYFUNCTION("""COMPUTED_VALUE"""),"Gg. 2, Kejagan, Kec. Trowulan, Kabupaten Mojokerto, Jawa Timur 61362")</f>
        <v>Gg. 2, Kejagan, Kec. Trowulan, Kabupaten Mojokerto, Jawa Timur 61362</v>
      </c>
      <c r="AX39" s="217">
        <f>IFERROR(__xludf.DUMMYFUNCTION("""COMPUTED_VALUE"""),7.0)</f>
        <v>7</v>
      </c>
      <c r="AY39" s="211"/>
      <c r="AZ39" s="211"/>
      <c r="BB39" s="211"/>
      <c r="BC39" s="211"/>
      <c r="BD39" s="211"/>
      <c r="BE39" s="211"/>
      <c r="BF39" s="211"/>
      <c r="BG39" s="211"/>
      <c r="BH39" s="211"/>
      <c r="BI39" s="211"/>
    </row>
    <row r="40">
      <c r="A40" s="210" t="str">
        <f>IFERROR(__xludf.DUMMYFUNCTION("""COMPUTED_VALUE"""),"09240021")</f>
        <v>09240021</v>
      </c>
      <c r="B40" s="210" t="str">
        <f>IFERROR(__xludf.DUMMYFUNCTION("""COMPUTED_VALUE"""),"09240021")</f>
        <v>09240021</v>
      </c>
      <c r="C40" s="213">
        <f>IFERROR(__xludf.DUMMYFUNCTION("""COMPUTED_VALUE"""),45554.526192129626)</f>
        <v>45554.52619</v>
      </c>
      <c r="D40" s="211" t="str">
        <f>IFERROR(__xludf.DUMMYFUNCTION("""COMPUTED_VALUE"""),"e86baf3b")</f>
        <v>e86baf3b</v>
      </c>
      <c r="E40" s="211" t="str">
        <f>IFERROR(__xludf.DUMMYFUNCTION("""COMPUTED_VALUE"""),"PT GEMILANG CIPTA WAWASAN")</f>
        <v>PT GEMILANG CIPTA WAWASAN</v>
      </c>
      <c r="F40" s="211" t="str">
        <f>IFERROR(__xludf.DUMMYFUNCTION("""COMPUTED_VALUE"""),"8bdbe149")</f>
        <v>8bdbe149</v>
      </c>
      <c r="G40" s="211" t="str">
        <f>IFERROR(__xludf.DUMMYFUNCTION("""COMPUTED_VALUE"""),"Oksigen 6m3")</f>
        <v>Oksigen 6m3</v>
      </c>
      <c r="H40" s="214" t="str">
        <f>IFERROR(__xludf.DUMMYFUNCTION("""COMPUTED_VALUE"""),"OUT")</f>
        <v>OUT</v>
      </c>
      <c r="I40" s="214" t="str">
        <f>IFERROR(__xludf.DUMMYFUNCTION("""COMPUTED_VALUE"""),"NORMAL")</f>
        <v>NORMAL</v>
      </c>
      <c r="J40" s="211">
        <f>IFERROR(__xludf.DUMMYFUNCTION("""COMPUTED_VALUE"""),5.0)</f>
        <v>5</v>
      </c>
      <c r="K40" s="210" t="str">
        <f>IFERROR(__xludf.DUMMYFUNCTION("""COMPUTED_VALUE"""),"1178 1168 1177 1179 1176")</f>
        <v>1178 1168 1177 1179 1176</v>
      </c>
      <c r="L40" s="211">
        <f>IFERROR(__xludf.DUMMYFUNCTION("""COMPUTED_VALUE"""),60000.0)</f>
        <v>60000</v>
      </c>
      <c r="M40" s="211"/>
      <c r="N40" s="211"/>
      <c r="O40" s="211"/>
      <c r="Q40" s="210" t="str">
        <f>IFERROR(__xludf.DUMMYFUNCTION("""COMPUTED_VALUE"""),"09240025")</f>
        <v>09240025</v>
      </c>
      <c r="R40" s="210" t="str">
        <f>IFERROR(__xludf.DUMMYFUNCTION("""COMPUTED_VALUE"""),"09240025")</f>
        <v>09240025</v>
      </c>
      <c r="S40" s="211" t="str">
        <f>IFERROR(__xludf.DUMMYFUNCTION("""COMPUTED_VALUE"""),"2d88931c")</f>
        <v>2d88931c</v>
      </c>
      <c r="T40" s="211" t="str">
        <f>IFERROR(__xludf.DUMMYFUNCTION("""COMPUTED_VALUE"""),"PT Dunia Berkat Marga Mulya")</f>
        <v>PT Dunia Berkat Marga Mulya</v>
      </c>
      <c r="U40" s="215">
        <f>IFERROR(__xludf.DUMMYFUNCTION("""COMPUTED_VALUE"""),45561.44055555556)</f>
        <v>45561.44056</v>
      </c>
      <c r="V40" s="211" t="str">
        <f>IFERROR(__xludf.DUMMYFUNCTION("""COMPUTED_VALUE"""),"JL JABARAN, WATESARI, BALONGBENDO, SIDOARJO, JAWA TIMUR")</f>
        <v>JL JABARAN, WATESARI, BALONGBENDO, SIDOARJO, JAWA TIMUR</v>
      </c>
      <c r="W40" s="211" t="str">
        <f>IFERROR(__xludf.DUMMYFUNCTION("""COMPUTED_VALUE"""),"OUT")</f>
        <v>OUT</v>
      </c>
      <c r="X40" s="211"/>
      <c r="Z40" s="211" t="str">
        <f>IFERROR(__xludf.DUMMYFUNCTION("""COMPUTED_VALUE"""),"0426133022")</f>
        <v>0426133022</v>
      </c>
      <c r="AA40" s="211" t="str">
        <f>IFERROR(__xludf.DUMMYFUNCTION("""COMPUTED_VALUE"""),"402250009")</f>
        <v>402250009</v>
      </c>
      <c r="AC40" s="211" t="str">
        <f>IFERROR(__xludf.DUMMYFUNCTION("""COMPUTED_VALUE"""),"ac52e1fa")</f>
        <v>ac52e1fa</v>
      </c>
      <c r="AD40" s="211" t="str">
        <f>IFERROR(__xludf.DUMMYFUNCTION("""COMPUTED_VALUE"""),"Abah Mad")</f>
        <v>Abah Mad</v>
      </c>
      <c r="AE40" s="211"/>
      <c r="AF40" s="216" t="b">
        <f>IFERROR(__xludf.DUMMYFUNCTION("""COMPUTED_VALUE"""),FALSE)</f>
        <v>0</v>
      </c>
      <c r="AG40" s="211" t="str">
        <f>IFERROR(__xludf.DUMMYFUNCTION("""COMPUTED_VALUE"""),"Jl. Raya Surabaya  Madiun, Sidotemo, Sidomulyo, Kec. Krian, Kabupaten Sidoarjo, Jawa Timur 61262")</f>
        <v>Jl. Raya Surabaya  Madiun, Sidotemo, Sidomulyo, Kec. Krian, Kabupaten Sidoarjo, Jawa Timur 61262</v>
      </c>
      <c r="AH40" s="217">
        <f>IFERROR(__xludf.DUMMYFUNCTION("""COMPUTED_VALUE"""),14.0)</f>
        <v>14</v>
      </c>
      <c r="AI40" s="211"/>
      <c r="AJ40" s="211"/>
      <c r="AL40" s="211" t="str">
        <f>IFERROR(__xludf.DUMMYFUNCTION("""COMPUTED_VALUE"""),"2260277")</f>
        <v>2260277</v>
      </c>
      <c r="AM40" s="211" t="str">
        <f>IFERROR(__xludf.DUMMYFUNCTION("""COMPUTED_VALUE"""),"032682735")</f>
        <v>032682735</v>
      </c>
      <c r="AN40" s="211" t="str">
        <f>IFERROR(__xludf.DUMMYFUNCTION("""COMPUTED_VALUE"""),"9e66ced9")</f>
        <v>9e66ced9</v>
      </c>
      <c r="AO40" s="211" t="str">
        <f>IFERROR(__xludf.DUMMYFUNCTION("""COMPUTED_VALUE"""),"Bapak Angga")</f>
        <v>Bapak Angga</v>
      </c>
      <c r="AP40" s="215">
        <f>IFERROR(__xludf.DUMMYFUNCTION("""COMPUTED_VALUE"""),46095.591736111106)</f>
        <v>46095.59174</v>
      </c>
      <c r="AQ40" s="218">
        <f>IFERROR(__xludf.DUMMYFUNCTION("""COMPUTED_VALUE"""),46085.0)</f>
        <v>46085</v>
      </c>
      <c r="AR40" s="211"/>
      <c r="AS40" s="211" t="str">
        <f>IFERROR(__xludf.DUMMYFUNCTION("""COMPUTED_VALUE"""),"ac52e1fa")</f>
        <v>ac52e1fa</v>
      </c>
      <c r="AT40" s="211" t="str">
        <f>IFERROR(__xludf.DUMMYFUNCTION("""COMPUTED_VALUE"""),"Abah Mad")</f>
        <v>Abah Mad</v>
      </c>
      <c r="AU40" s="211"/>
      <c r="AV40" s="216" t="b">
        <f>IFERROR(__xludf.DUMMYFUNCTION("""COMPUTED_VALUE"""),FALSE)</f>
        <v>0</v>
      </c>
      <c r="AW40" s="211" t="str">
        <f>IFERROR(__xludf.DUMMYFUNCTION("""COMPUTED_VALUE"""),"Jl. Raya Surabaya  Madiun, Sidotemo, Sidomulyo, Kec. Krian, Kabupaten Sidoarjo, Jawa Timur 61262")</f>
        <v>Jl. Raya Surabaya  Madiun, Sidotemo, Sidomulyo, Kec. Krian, Kabupaten Sidoarjo, Jawa Timur 61262</v>
      </c>
      <c r="AX40" s="217">
        <f>IFERROR(__xludf.DUMMYFUNCTION("""COMPUTED_VALUE"""),14.0)</f>
        <v>14</v>
      </c>
      <c r="AY40" s="211"/>
      <c r="AZ40" s="211"/>
      <c r="BB40" s="211"/>
      <c r="BC40" s="211"/>
      <c r="BD40" s="211"/>
      <c r="BE40" s="211"/>
      <c r="BF40" s="211"/>
      <c r="BG40" s="211"/>
      <c r="BH40" s="211"/>
      <c r="BI40" s="211"/>
    </row>
    <row r="41">
      <c r="A41" s="210" t="str">
        <f>IFERROR(__xludf.DUMMYFUNCTION("""COMPUTED_VALUE"""),"09240021")</f>
        <v>09240021</v>
      </c>
      <c r="B41" s="210" t="str">
        <f>IFERROR(__xludf.DUMMYFUNCTION("""COMPUTED_VALUE"""),"09240021")</f>
        <v>09240021</v>
      </c>
      <c r="C41" s="213">
        <f>IFERROR(__xludf.DUMMYFUNCTION("""COMPUTED_VALUE"""),45554.52780092593)</f>
        <v>45554.5278</v>
      </c>
      <c r="D41" s="211" t="str">
        <f>IFERROR(__xludf.DUMMYFUNCTION("""COMPUTED_VALUE"""),"e86baf3b")</f>
        <v>e86baf3b</v>
      </c>
      <c r="E41" s="211" t="str">
        <f>IFERROR(__xludf.DUMMYFUNCTION("""COMPUTED_VALUE"""),"PT GEMILANG CIPTA WAWASAN")</f>
        <v>PT GEMILANG CIPTA WAWASAN</v>
      </c>
      <c r="F41" s="211" t="str">
        <f>IFERROR(__xludf.DUMMYFUNCTION("""COMPUTED_VALUE"""),"be525f3b")</f>
        <v>be525f3b</v>
      </c>
      <c r="G41" s="211" t="str">
        <f>IFERROR(__xludf.DUMMYFUNCTION("""COMPUTED_VALUE"""),"LPG 12kg")</f>
        <v>LPG 12kg</v>
      </c>
      <c r="H41" s="214" t="str">
        <f>IFERROR(__xludf.DUMMYFUNCTION("""COMPUTED_VALUE"""),"OUT")</f>
        <v>OUT</v>
      </c>
      <c r="I41" s="214" t="str">
        <f>IFERROR(__xludf.DUMMYFUNCTION("""COMPUTED_VALUE"""),"NORMAL")</f>
        <v>NORMAL</v>
      </c>
      <c r="J41" s="211">
        <f>IFERROR(__xludf.DUMMYFUNCTION("""COMPUTED_VALUE"""),10.0)</f>
        <v>10</v>
      </c>
      <c r="K41" s="211"/>
      <c r="L41" s="211">
        <f>IFERROR(__xludf.DUMMYFUNCTION("""COMPUTED_VALUE"""),210000.0)</f>
        <v>210000</v>
      </c>
      <c r="M41" s="211"/>
      <c r="N41" s="211"/>
      <c r="O41" s="211"/>
      <c r="Q41" s="210" t="str">
        <f>IFERROR(__xludf.DUMMYFUNCTION("""COMPUTED_VALUE"""),"09240026")</f>
        <v>09240026</v>
      </c>
      <c r="R41" s="210" t="str">
        <f>IFERROR(__xludf.DUMMYFUNCTION("""COMPUTED_VALUE"""),"09240026")</f>
        <v>09240026</v>
      </c>
      <c r="S41" s="211" t="str">
        <f>IFERROR(__xludf.DUMMYFUNCTION("""COMPUTED_VALUE"""),"7b9d8eba")</f>
        <v>7b9d8eba</v>
      </c>
      <c r="T41" s="211" t="str">
        <f>IFERROR(__xludf.DUMMYFUNCTION("""COMPUTED_VALUE"""),"PT PELANGI INDOKARYA")</f>
        <v>PT PELANGI INDOKARYA</v>
      </c>
      <c r="U41" s="215">
        <f>IFERROR(__xludf.DUMMYFUNCTION("""COMPUTED_VALUE"""),45561.63428240741)</f>
        <v>45561.63428</v>
      </c>
      <c r="V4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1" s="211" t="str">
        <f>IFERROR(__xludf.DUMMYFUNCTION("""COMPUTED_VALUE"""),"OUT")</f>
        <v>OUT</v>
      </c>
      <c r="X41" s="211"/>
      <c r="Z41" s="211" t="str">
        <f>IFERROR(__xludf.DUMMYFUNCTION("""COMPUTED_VALUE"""),"0426393021")</f>
        <v>0426393021</v>
      </c>
      <c r="AA41" s="211" t="str">
        <f>IFERROR(__xludf.DUMMYFUNCTION("""COMPUTED_VALUE"""),"402250008")</f>
        <v>402250008</v>
      </c>
      <c r="AC41" s="211" t="str">
        <f>IFERROR(__xludf.DUMMYFUNCTION("""COMPUTED_VALUE"""),"71909be0")</f>
        <v>71909be0</v>
      </c>
      <c r="AD41" s="211" t="str">
        <f>IFERROR(__xludf.DUMMYFUNCTION("""COMPUTED_VALUE"""),"Bpk. Pendik")</f>
        <v>Bpk. Pendik</v>
      </c>
      <c r="AE41" s="211"/>
      <c r="AF41" s="216" t="b">
        <f>IFERROR(__xludf.DUMMYFUNCTION("""COMPUTED_VALUE"""),FALSE)</f>
        <v>0</v>
      </c>
      <c r="AG41" s="211"/>
      <c r="AH41" s="211"/>
      <c r="AI41" s="211"/>
      <c r="AJ41" s="211"/>
      <c r="AL41" s="211" t="str">
        <f>IFERROR(__xludf.DUMMYFUNCTION("""COMPUTED_VALUE"""),"2260277")</f>
        <v>2260277</v>
      </c>
      <c r="AM41" s="211" t="str">
        <f>IFERROR(__xludf.DUMMYFUNCTION("""COMPUTED_VALUE"""),"0326102765")</f>
        <v>0326102765</v>
      </c>
      <c r="AN41" s="211" t="str">
        <f>IFERROR(__xludf.DUMMYFUNCTION("""COMPUTED_VALUE"""),"9e66ced9")</f>
        <v>9e66ced9</v>
      </c>
      <c r="AO41" s="211" t="str">
        <f>IFERROR(__xludf.DUMMYFUNCTION("""COMPUTED_VALUE"""),"Bapak Angga")</f>
        <v>Bapak Angga</v>
      </c>
      <c r="AP41" s="215">
        <f>IFERROR(__xludf.DUMMYFUNCTION("""COMPUTED_VALUE"""),46095.591736111106)</f>
        <v>46095.59174</v>
      </c>
      <c r="AQ41" s="218">
        <f>IFERROR(__xludf.DUMMYFUNCTION("""COMPUTED_VALUE"""),46087.0)</f>
        <v>46087</v>
      </c>
      <c r="AR41" s="211"/>
      <c r="AS41" s="211" t="str">
        <f>IFERROR(__xludf.DUMMYFUNCTION("""COMPUTED_VALUE"""),"71909be0")</f>
        <v>71909be0</v>
      </c>
      <c r="AT41" s="211" t="str">
        <f>IFERROR(__xludf.DUMMYFUNCTION("""COMPUTED_VALUE"""),"Bpk. Pendik")</f>
        <v>Bpk. Pendik</v>
      </c>
      <c r="AU41" s="211"/>
      <c r="AV41" s="216" t="b">
        <f>IFERROR(__xludf.DUMMYFUNCTION("""COMPUTED_VALUE"""),FALSE)</f>
        <v>0</v>
      </c>
      <c r="AW41" s="211"/>
      <c r="AX41" s="211"/>
      <c r="AY41" s="211"/>
      <c r="AZ41" s="211"/>
      <c r="BB41" s="211"/>
      <c r="BC41" s="211"/>
      <c r="BD41" s="211"/>
      <c r="BE41" s="211"/>
      <c r="BF41" s="211"/>
      <c r="BG41" s="211"/>
      <c r="BH41" s="211"/>
      <c r="BI41" s="211"/>
    </row>
    <row r="42">
      <c r="A42" s="210" t="str">
        <f>IFERROR(__xludf.DUMMYFUNCTION("""COMPUTED_VALUE"""),"c45a321d")</f>
        <v>c45a321d</v>
      </c>
      <c r="B42" s="210" t="str">
        <f>IFERROR(__xludf.DUMMYFUNCTION("""COMPUTED_VALUE"""),"c45a321d")</f>
        <v>c45a321d</v>
      </c>
      <c r="C42" s="213">
        <f>IFERROR(__xludf.DUMMYFUNCTION("""COMPUTED_VALUE"""),45554.55152777778)</f>
        <v>45554.55153</v>
      </c>
      <c r="D42" s="211" t="str">
        <f>IFERROR(__xludf.DUMMYFUNCTION("""COMPUTED_VALUE"""),"e86baf3b")</f>
        <v>e86baf3b</v>
      </c>
      <c r="E42" s="211" t="str">
        <f>IFERROR(__xludf.DUMMYFUNCTION("""COMPUTED_VALUE"""),"PT GEMILANG CIPTA WAWASAN")</f>
        <v>PT GEMILANG CIPTA WAWASAN</v>
      </c>
      <c r="F42" s="211" t="str">
        <f>IFERROR(__xludf.DUMMYFUNCTION("""COMPUTED_VALUE"""),"be525f3b")</f>
        <v>be525f3b</v>
      </c>
      <c r="G42" s="211" t="str">
        <f>IFERROR(__xludf.DUMMYFUNCTION("""COMPUTED_VALUE"""),"LPG 12kg")</f>
        <v>LPG 12kg</v>
      </c>
      <c r="H42" s="214" t="str">
        <f>IFERROR(__xludf.DUMMYFUNCTION("""COMPUTED_VALUE"""),"IN")</f>
        <v>IN</v>
      </c>
      <c r="I42" s="214" t="str">
        <f>IFERROR(__xludf.DUMMYFUNCTION("""COMPUTED_VALUE"""),"EMPTY")</f>
        <v>EMPTY</v>
      </c>
      <c r="J42" s="211">
        <f>IFERROR(__xludf.DUMMYFUNCTION("""COMPUTED_VALUE"""),3.0)</f>
        <v>3</v>
      </c>
      <c r="K42" s="211"/>
      <c r="L42" s="211"/>
      <c r="M42" s="211"/>
      <c r="N42" s="211"/>
      <c r="O42" s="211"/>
      <c r="Q42" s="210" t="str">
        <f>IFERROR(__xludf.DUMMYFUNCTION("""COMPUTED_VALUE"""),"5f37adc5")</f>
        <v>5f37adc5</v>
      </c>
      <c r="R42" s="210" t="str">
        <f>IFERROR(__xludf.DUMMYFUNCTION("""COMPUTED_VALUE"""),"5f37adc5")</f>
        <v>5f37adc5</v>
      </c>
      <c r="S42" s="211" t="str">
        <f>IFERROR(__xludf.DUMMYFUNCTION("""COMPUTED_VALUE"""),"2d88931c")</f>
        <v>2d88931c</v>
      </c>
      <c r="T42" s="211" t="str">
        <f>IFERROR(__xludf.DUMMYFUNCTION("""COMPUTED_VALUE"""),"PT Dunia Berkat Marga Mulya")</f>
        <v>PT Dunia Berkat Marga Mulya</v>
      </c>
      <c r="U42" s="215">
        <f>IFERROR(__xludf.DUMMYFUNCTION("""COMPUTED_VALUE"""),45561.6609837963)</f>
        <v>45561.66098</v>
      </c>
      <c r="V42" s="211" t="str">
        <f>IFERROR(__xludf.DUMMYFUNCTION("""COMPUTED_VALUE"""),"JL JABARAN, WATESARI, BALONGBENDO, SIDOARJO, JAWA TIMUR")</f>
        <v>JL JABARAN, WATESARI, BALONGBENDO, SIDOARJO, JAWA TIMUR</v>
      </c>
      <c r="W42" s="211" t="str">
        <f>IFERROR(__xludf.DUMMYFUNCTION("""COMPUTED_VALUE"""),"IN")</f>
        <v>IN</v>
      </c>
      <c r="X42" s="211"/>
      <c r="Z42" s="211" t="str">
        <f>IFERROR(__xludf.DUMMYFUNCTION("""COMPUTED_VALUE"""),"0426283020")</f>
        <v>0426283020</v>
      </c>
      <c r="AA42" s="211" t="str">
        <f>IFERROR(__xludf.DUMMYFUNCTION("""COMPUTED_VALUE"""),"401250007")</f>
        <v>401250007</v>
      </c>
      <c r="AC42" s="211" t="str">
        <f>IFERROR(__xludf.DUMMYFUNCTION("""COMPUTED_VALUE"""),"16a0dbd1")</f>
        <v>16a0dbd1</v>
      </c>
      <c r="AD42" s="211" t="str">
        <f>IFERROR(__xludf.DUMMYFUNCTION("""COMPUTED_VALUE"""),"Bpk. Haryono")</f>
        <v>Bpk. Haryono</v>
      </c>
      <c r="AE42" s="211"/>
      <c r="AF42" s="216" t="b">
        <f>IFERROR(__xludf.DUMMYFUNCTION("""COMPUTED_VALUE"""),FALSE)</f>
        <v>0</v>
      </c>
      <c r="AG42" s="211"/>
      <c r="AH42" s="217">
        <f>IFERROR(__xludf.DUMMYFUNCTION("""COMPUTED_VALUE"""),30.0)</f>
        <v>30</v>
      </c>
      <c r="AI42" s="211"/>
      <c r="AJ42" s="211"/>
      <c r="AL42" s="211" t="str">
        <f>IFERROR(__xludf.DUMMYFUNCTION("""COMPUTED_VALUE"""),"2260273")</f>
        <v>2260273</v>
      </c>
      <c r="AM42" s="211" t="str">
        <f>IFERROR(__xludf.DUMMYFUNCTION("""COMPUTED_VALUE"""),"0126152404")</f>
        <v>0126152404</v>
      </c>
      <c r="AN42" s="211" t="str">
        <f>IFERROR(__xludf.DUMMYFUNCTION("""COMPUTED_VALUE"""),"eec2e801")</f>
        <v>eec2e801</v>
      </c>
      <c r="AO42" s="211" t="str">
        <f>IFERROR(__xludf.DUMMYFUNCTION("""COMPUTED_VALUE"""),"Mitra Wood Sejahtera")</f>
        <v>Mitra Wood Sejahtera</v>
      </c>
      <c r="AP42" s="215">
        <f>IFERROR(__xludf.DUMMYFUNCTION("""COMPUTED_VALUE"""),46095.582233796296)</f>
        <v>46095.58223</v>
      </c>
      <c r="AQ42" s="218">
        <f>IFERROR(__xludf.DUMMYFUNCTION("""COMPUTED_VALUE"""),46052.0)</f>
        <v>46052</v>
      </c>
      <c r="AR42" s="211"/>
      <c r="AS42" s="211" t="str">
        <f>IFERROR(__xludf.DUMMYFUNCTION("""COMPUTED_VALUE"""),"16a0dbd1")</f>
        <v>16a0dbd1</v>
      </c>
      <c r="AT42" s="211" t="str">
        <f>IFERROR(__xludf.DUMMYFUNCTION("""COMPUTED_VALUE"""),"Bpk. Haryono")</f>
        <v>Bpk. Haryono</v>
      </c>
      <c r="AU42" s="211"/>
      <c r="AV42" s="216" t="b">
        <f>IFERROR(__xludf.DUMMYFUNCTION("""COMPUTED_VALUE"""),FALSE)</f>
        <v>0</v>
      </c>
      <c r="AW42" s="211"/>
      <c r="AX42" s="217">
        <f>IFERROR(__xludf.DUMMYFUNCTION("""COMPUTED_VALUE"""),30.0)</f>
        <v>30</v>
      </c>
      <c r="AY42" s="211"/>
      <c r="AZ42" s="211"/>
      <c r="BB42" s="211"/>
      <c r="BC42" s="211"/>
      <c r="BD42" s="211"/>
      <c r="BE42" s="211"/>
      <c r="BF42" s="211"/>
      <c r="BG42" s="211"/>
      <c r="BH42" s="211"/>
      <c r="BI42" s="211"/>
    </row>
    <row r="43">
      <c r="A43" s="210" t="str">
        <f>IFERROR(__xludf.DUMMYFUNCTION("""COMPUTED_VALUE"""),"ac450d5c")</f>
        <v>ac450d5c</v>
      </c>
      <c r="B43" s="210" t="str">
        <f>IFERROR(__xludf.DUMMYFUNCTION("""COMPUTED_VALUE"""),"ac450d5c")</f>
        <v>ac450d5c</v>
      </c>
      <c r="C43" s="213">
        <f>IFERROR(__xludf.DUMMYFUNCTION("""COMPUTED_VALUE"""),45556.459699074076)</f>
        <v>45556.4597</v>
      </c>
      <c r="D43" s="211" t="str">
        <f>IFERROR(__xludf.DUMMYFUNCTION("""COMPUTED_VALUE"""),"7b9d8eba")</f>
        <v>7b9d8eba</v>
      </c>
      <c r="E43" s="211" t="str">
        <f>IFERROR(__xludf.DUMMYFUNCTION("""COMPUTED_VALUE"""),"PT PELANGI INDOKARYA")</f>
        <v>PT PELANGI INDOKARYA</v>
      </c>
      <c r="F43" s="211" t="str">
        <f>IFERROR(__xludf.DUMMYFUNCTION("""COMPUTED_VALUE"""),"8bdbe149")</f>
        <v>8bdbe149</v>
      </c>
      <c r="G43" s="211" t="str">
        <f>IFERROR(__xludf.DUMMYFUNCTION("""COMPUTED_VALUE"""),"Oksigen 6m3")</f>
        <v>Oksigen 6m3</v>
      </c>
      <c r="H43" s="214" t="str">
        <f>IFERROR(__xludf.DUMMYFUNCTION("""COMPUTED_VALUE"""),"IN")</f>
        <v>IN</v>
      </c>
      <c r="I43" s="214" t="str">
        <f>IFERROR(__xludf.DUMMYFUNCTION("""COMPUTED_VALUE"""),"EMPTY")</f>
        <v>EMPTY</v>
      </c>
      <c r="J43" s="211">
        <f>IFERROR(__xludf.DUMMYFUNCTION("""COMPUTED_VALUE"""),3.0)</f>
        <v>3</v>
      </c>
      <c r="K43" s="210" t="str">
        <f>IFERROR(__xludf.DUMMYFUNCTION("""COMPUTED_VALUE"""),"1166 1174 1172")</f>
        <v>1166 1174 1172</v>
      </c>
      <c r="L43" s="211"/>
      <c r="M43" s="211"/>
      <c r="N43" s="211"/>
      <c r="O43" s="211"/>
      <c r="Q43" s="210" t="str">
        <f>IFERROR(__xludf.DUMMYFUNCTION("""COMPUTED_VALUE"""),"db49df1e")</f>
        <v>db49df1e</v>
      </c>
      <c r="R43" s="210" t="str">
        <f>IFERROR(__xludf.DUMMYFUNCTION("""COMPUTED_VALUE"""),"db49df1e")</f>
        <v>db49df1e</v>
      </c>
      <c r="S43" s="211" t="str">
        <f>IFERROR(__xludf.DUMMYFUNCTION("""COMPUTED_VALUE"""),"7b9d8eba")</f>
        <v>7b9d8eba</v>
      </c>
      <c r="T43" s="211" t="str">
        <f>IFERROR(__xludf.DUMMYFUNCTION("""COMPUTED_VALUE"""),"PT PELANGI INDOKARYA")</f>
        <v>PT PELANGI INDOKARYA</v>
      </c>
      <c r="U43" s="215">
        <f>IFERROR(__xludf.DUMMYFUNCTION("""COMPUTED_VALUE"""),45561.66145833333)</f>
        <v>45561.66146</v>
      </c>
      <c r="V4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3" s="211" t="str">
        <f>IFERROR(__xludf.DUMMYFUNCTION("""COMPUTED_VALUE"""),"IN")</f>
        <v>IN</v>
      </c>
      <c r="X43" s="211"/>
      <c r="Z43" s="211" t="str">
        <f>IFERROR(__xludf.DUMMYFUNCTION("""COMPUTED_VALUE"""),"0426153019")</f>
        <v>0426153019</v>
      </c>
      <c r="AA43" s="211" t="str">
        <f>IFERROR(__xludf.DUMMYFUNCTION("""COMPUTED_VALUE"""),"412240006")</f>
        <v>412240006</v>
      </c>
      <c r="AC43" s="211" t="str">
        <f>IFERROR(__xludf.DUMMYFUNCTION("""COMPUTED_VALUE"""),"df6bdc5d")</f>
        <v>df6bdc5d</v>
      </c>
      <c r="AD43" s="211" t="str">
        <f>IFERROR(__xludf.DUMMYFUNCTION("""COMPUTED_VALUE"""),"Bpk. Maruf")</f>
        <v>Bpk. Maruf</v>
      </c>
      <c r="AE43" s="211"/>
      <c r="AF43" s="216" t="b">
        <f>IFERROR(__xludf.DUMMYFUNCTION("""COMPUTED_VALUE"""),FALSE)</f>
        <v>0</v>
      </c>
      <c r="AG43" s="211" t="str">
        <f>IFERROR(__xludf.DUMMYFUNCTION("""COMPUTED_VALUE"""),"CC6P+83G, Padangasri, Kec. Jatirejo, Kabupaten Mojokerto, Jawa Timur 61373")</f>
        <v>CC6P+83G, Padangasri, Kec. Jatirejo, Kabupaten Mojokerto, Jawa Timur 61373</v>
      </c>
      <c r="AH43" s="217">
        <f>IFERROR(__xludf.DUMMYFUNCTION("""COMPUTED_VALUE"""),15.0)</f>
        <v>15</v>
      </c>
      <c r="AI43" s="211"/>
      <c r="AJ43" s="211"/>
      <c r="AL43" s="211" t="str">
        <f>IFERROR(__xludf.DUMMYFUNCTION("""COMPUTED_VALUE"""),"2260273")</f>
        <v>2260273</v>
      </c>
      <c r="AM43" s="211" t="str">
        <f>IFERROR(__xludf.DUMMYFUNCTION("""COMPUTED_VALUE"""),"0226162691")</f>
        <v>0226162691</v>
      </c>
      <c r="AN43" s="211" t="str">
        <f>IFERROR(__xludf.DUMMYFUNCTION("""COMPUTED_VALUE"""),"eec2e801")</f>
        <v>eec2e801</v>
      </c>
      <c r="AO43" s="211" t="str">
        <f>IFERROR(__xludf.DUMMYFUNCTION("""COMPUTED_VALUE"""),"Mitra Wood Sejahtera")</f>
        <v>Mitra Wood Sejahtera</v>
      </c>
      <c r="AP43" s="215">
        <f>IFERROR(__xludf.DUMMYFUNCTION("""COMPUTED_VALUE"""),46095.582233796296)</f>
        <v>46095.58223</v>
      </c>
      <c r="AQ43" s="218">
        <f>IFERROR(__xludf.DUMMYFUNCTION("""COMPUTED_VALUE"""),46080.0)</f>
        <v>46080</v>
      </c>
      <c r="AR43" s="211"/>
      <c r="AS43" s="211" t="str">
        <f>IFERROR(__xludf.DUMMYFUNCTION("""COMPUTED_VALUE"""),"df6bdc5d")</f>
        <v>df6bdc5d</v>
      </c>
      <c r="AT43" s="211" t="str">
        <f>IFERROR(__xludf.DUMMYFUNCTION("""COMPUTED_VALUE"""),"Bpk. Maruf")</f>
        <v>Bpk. Maruf</v>
      </c>
      <c r="AU43" s="211"/>
      <c r="AV43" s="216" t="b">
        <f>IFERROR(__xludf.DUMMYFUNCTION("""COMPUTED_VALUE"""),FALSE)</f>
        <v>0</v>
      </c>
      <c r="AW43" s="211" t="str">
        <f>IFERROR(__xludf.DUMMYFUNCTION("""COMPUTED_VALUE"""),"CC6P+83G, Padangasri, Kec. Jatirejo, Kabupaten Mojokerto, Jawa Timur 61373")</f>
        <v>CC6P+83G, Padangasri, Kec. Jatirejo, Kabupaten Mojokerto, Jawa Timur 61373</v>
      </c>
      <c r="AX43" s="217">
        <f>IFERROR(__xludf.DUMMYFUNCTION("""COMPUTED_VALUE"""),15.0)</f>
        <v>15</v>
      </c>
      <c r="AY43" s="211"/>
      <c r="AZ43" s="211"/>
      <c r="BB43" s="211"/>
      <c r="BC43" s="211"/>
      <c r="BD43" s="211"/>
      <c r="BE43" s="211"/>
      <c r="BF43" s="211"/>
      <c r="BG43" s="211"/>
      <c r="BH43" s="211"/>
      <c r="BI43" s="211"/>
    </row>
    <row r="44">
      <c r="A44" s="210" t="str">
        <f>IFERROR(__xludf.DUMMYFUNCTION("""COMPUTED_VALUE"""),"5fe56758")</f>
        <v>5fe56758</v>
      </c>
      <c r="B44" s="210" t="str">
        <f>IFERROR(__xludf.DUMMYFUNCTION("""COMPUTED_VALUE"""),"5fe56758")</f>
        <v>5fe56758</v>
      </c>
      <c r="C44" s="213">
        <f>IFERROR(__xludf.DUMMYFUNCTION("""COMPUTED_VALUE"""),45556.460185185184)</f>
        <v>45556.46019</v>
      </c>
      <c r="D44" s="211" t="str">
        <f>IFERROR(__xludf.DUMMYFUNCTION("""COMPUTED_VALUE"""),"a9fe1bea")</f>
        <v>a9fe1bea</v>
      </c>
      <c r="E44" s="211" t="str">
        <f>IFERROR(__xludf.DUMMYFUNCTION("""COMPUTED_VALUE"""),"H. Suheiri")</f>
        <v>H. Suheiri</v>
      </c>
      <c r="F44" s="211" t="str">
        <f>IFERROR(__xludf.DUMMYFUNCTION("""COMPUTED_VALUE"""),"8bdbe149")</f>
        <v>8bdbe149</v>
      </c>
      <c r="G44" s="211" t="str">
        <f>IFERROR(__xludf.DUMMYFUNCTION("""COMPUTED_VALUE"""),"Oksigen 6m3")</f>
        <v>Oksigen 6m3</v>
      </c>
      <c r="H44" s="214" t="str">
        <f>IFERROR(__xludf.DUMMYFUNCTION("""COMPUTED_VALUE"""),"IN")</f>
        <v>IN</v>
      </c>
      <c r="I44" s="214" t="str">
        <f>IFERROR(__xludf.DUMMYFUNCTION("""COMPUTED_VALUE"""),"EMPTY")</f>
        <v>EMPTY</v>
      </c>
      <c r="J44" s="211">
        <f>IFERROR(__xludf.DUMMYFUNCTION("""COMPUTED_VALUE"""),2.0)</f>
        <v>2</v>
      </c>
      <c r="K44" s="210" t="str">
        <f>IFERROR(__xludf.DUMMYFUNCTION("""COMPUTED_VALUE"""),"1137 1132")</f>
        <v>1137 1132</v>
      </c>
      <c r="L44" s="211"/>
      <c r="M44" s="211"/>
      <c r="N44" s="211"/>
      <c r="O44" s="211"/>
      <c r="Q44" s="210" t="str">
        <f>IFERROR(__xludf.DUMMYFUNCTION("""COMPUTED_VALUE"""),"09240027")</f>
        <v>09240027</v>
      </c>
      <c r="R44" s="210" t="str">
        <f>IFERROR(__xludf.DUMMYFUNCTION("""COMPUTED_VALUE"""),"09240027")</f>
        <v>09240027</v>
      </c>
      <c r="S44" s="211" t="str">
        <f>IFERROR(__xludf.DUMMYFUNCTION("""COMPUTED_VALUE"""),"f8335a53")</f>
        <v>f8335a53</v>
      </c>
      <c r="T44" s="211" t="str">
        <f>IFERROR(__xludf.DUMMYFUNCTION("""COMPUTED_VALUE"""),"CV RAGAM JAYA ENGINEERING")</f>
        <v>CV RAGAM JAYA ENGINEERING</v>
      </c>
      <c r="U44" s="215">
        <f>IFERROR(__xludf.DUMMYFUNCTION("""COMPUTED_VALUE"""),45562.64703703704)</f>
        <v>45562.64704</v>
      </c>
      <c r="V44" s="211" t="str">
        <f>IFERROR(__xludf.DUMMYFUNCTION("""COMPUTED_VALUE"""),"Jl. Balung wangon, Dadapkuning, Bulurejo, Kec. Benjeng, Kabupaten Gresik, Jawa Timur 61172")</f>
        <v>Jl. Balung wangon, Dadapkuning, Bulurejo, Kec. Benjeng, Kabupaten Gresik, Jawa Timur 61172</v>
      </c>
      <c r="W44" s="211" t="str">
        <f>IFERROR(__xludf.DUMMYFUNCTION("""COMPUTED_VALUE"""),"OUT")</f>
        <v>OUT</v>
      </c>
      <c r="X44" s="211"/>
      <c r="Z44" s="211" t="str">
        <f>IFERROR(__xludf.DUMMYFUNCTION("""COMPUTED_VALUE"""),"042653018")</f>
        <v>042653018</v>
      </c>
      <c r="AA44" s="211" t="str">
        <f>IFERROR(__xludf.DUMMYFUNCTION("""COMPUTED_VALUE"""),"411240004")</f>
        <v>411240004</v>
      </c>
      <c r="AC44" s="211" t="str">
        <f>IFERROR(__xludf.DUMMYFUNCTION("""COMPUTED_VALUE"""),"e76bc39c")</f>
        <v>e76bc39c</v>
      </c>
      <c r="AD44" s="211" t="str">
        <f>IFERROR(__xludf.DUMMYFUNCTION("""COMPUTED_VALUE"""),"Bpk. Irul")</f>
        <v>Bpk. Irul</v>
      </c>
      <c r="AE44" s="211"/>
      <c r="AF44" s="216" t="b">
        <f>IFERROR(__xludf.DUMMYFUNCTION("""COMPUTED_VALUE"""),FALSE)</f>
        <v>0</v>
      </c>
      <c r="AG44" s="211" t="str">
        <f>IFERROR(__xludf.DUMMYFUNCTION("""COMPUTED_VALUE"""),"Jl. Mayjen Bambang Yuwono, Ciro Kulon, Bakungtemenggungan, Kec. BalongBendo, Kabupaten Sidoarjo, Jawa Timur 61263")</f>
        <v>Jl. Mayjen Bambang Yuwono, Ciro Kulon, Bakungtemenggungan, Kec. BalongBendo, Kabupaten Sidoarjo, Jawa Timur 61263</v>
      </c>
      <c r="AH44" s="217">
        <f>IFERROR(__xludf.DUMMYFUNCTION("""COMPUTED_VALUE"""),14.0)</f>
        <v>14</v>
      </c>
      <c r="AI44" s="211"/>
      <c r="AJ44" s="211"/>
      <c r="AL44" s="211" t="str">
        <f>IFERROR(__xludf.DUMMYFUNCTION("""COMPUTED_VALUE"""),"2260273")</f>
        <v>2260273</v>
      </c>
      <c r="AM44" s="211" t="str">
        <f>IFERROR(__xludf.DUMMYFUNCTION("""COMPUTED_VALUE"""),"0326172712")</f>
        <v>0326172712</v>
      </c>
      <c r="AN44" s="211" t="str">
        <f>IFERROR(__xludf.DUMMYFUNCTION("""COMPUTED_VALUE"""),"eec2e801")</f>
        <v>eec2e801</v>
      </c>
      <c r="AO44" s="211" t="str">
        <f>IFERROR(__xludf.DUMMYFUNCTION("""COMPUTED_VALUE"""),"Mitra Wood Sejahtera")</f>
        <v>Mitra Wood Sejahtera</v>
      </c>
      <c r="AP44" s="215">
        <f>IFERROR(__xludf.DUMMYFUNCTION("""COMPUTED_VALUE"""),46095.582233796296)</f>
        <v>46095.58223</v>
      </c>
      <c r="AQ44" s="218">
        <f>IFERROR(__xludf.DUMMYFUNCTION("""COMPUTED_VALUE"""),46083.0)</f>
        <v>46083</v>
      </c>
      <c r="AR44" s="211"/>
      <c r="AS44" s="211" t="str">
        <f>IFERROR(__xludf.DUMMYFUNCTION("""COMPUTED_VALUE"""),"e76bc39c")</f>
        <v>e76bc39c</v>
      </c>
      <c r="AT44" s="211" t="str">
        <f>IFERROR(__xludf.DUMMYFUNCTION("""COMPUTED_VALUE"""),"Bpk. Irul")</f>
        <v>Bpk. Irul</v>
      </c>
      <c r="AU44" s="211"/>
      <c r="AV44" s="216" t="b">
        <f>IFERROR(__xludf.DUMMYFUNCTION("""COMPUTED_VALUE"""),FALSE)</f>
        <v>0</v>
      </c>
      <c r="AW44" s="211" t="str">
        <f>IFERROR(__xludf.DUMMYFUNCTION("""COMPUTED_VALUE"""),"Jl. Mayjen Bambang Yuwono, Ciro Kulon, Bakungtemenggungan, Kec. BalongBendo, Kabupaten Sidoarjo, Jawa Timur 61263")</f>
        <v>Jl. Mayjen Bambang Yuwono, Ciro Kulon, Bakungtemenggungan, Kec. BalongBendo, Kabupaten Sidoarjo, Jawa Timur 61263</v>
      </c>
      <c r="AX44" s="217">
        <f>IFERROR(__xludf.DUMMYFUNCTION("""COMPUTED_VALUE"""),14.0)</f>
        <v>14</v>
      </c>
      <c r="AY44" s="211"/>
      <c r="AZ44" s="211"/>
      <c r="BB44" s="211"/>
      <c r="BC44" s="211"/>
      <c r="BD44" s="211"/>
      <c r="BE44" s="211"/>
      <c r="BF44" s="211"/>
      <c r="BG44" s="211"/>
      <c r="BH44" s="211"/>
      <c r="BI44" s="211"/>
    </row>
    <row r="45">
      <c r="A45" s="210" t="str">
        <f>IFERROR(__xludf.DUMMYFUNCTION("""COMPUTED_VALUE"""),"3e8da047")</f>
        <v>3e8da047</v>
      </c>
      <c r="B45" s="210" t="str">
        <f>IFERROR(__xludf.DUMMYFUNCTION("""COMPUTED_VALUE"""),"3e8da047")</f>
        <v>3e8da047</v>
      </c>
      <c r="C45" s="213">
        <f>IFERROR(__xludf.DUMMYFUNCTION("""COMPUTED_VALUE"""),45558.63652777778)</f>
        <v>45558.63653</v>
      </c>
      <c r="D45" s="211" t="str">
        <f>IFERROR(__xludf.DUMMYFUNCTION("""COMPUTED_VALUE"""),"cef243cf")</f>
        <v>cef243cf</v>
      </c>
      <c r="E45" s="211" t="str">
        <f>IFERROR(__xludf.DUMMYFUNCTION("""COMPUTED_VALUE"""),"Bpk. Supri")</f>
        <v>Bpk. Supri</v>
      </c>
      <c r="F45" s="211" t="str">
        <f>IFERROR(__xludf.DUMMYFUNCTION("""COMPUTED_VALUE"""),"8bdbe149")</f>
        <v>8bdbe149</v>
      </c>
      <c r="G45" s="211" t="str">
        <f>IFERROR(__xludf.DUMMYFUNCTION("""COMPUTED_VALUE"""),"Oksigen 6m3")</f>
        <v>Oksigen 6m3</v>
      </c>
      <c r="H45" s="214" t="str">
        <f>IFERROR(__xludf.DUMMYFUNCTION("""COMPUTED_VALUE"""),"IN")</f>
        <v>IN</v>
      </c>
      <c r="I45" s="214" t="str">
        <f>IFERROR(__xludf.DUMMYFUNCTION("""COMPUTED_VALUE"""),"EMPTY")</f>
        <v>EMPTY</v>
      </c>
      <c r="J45" s="211">
        <f>IFERROR(__xludf.DUMMYFUNCTION("""COMPUTED_VALUE"""),1.0)</f>
        <v>1</v>
      </c>
      <c r="K45" s="210" t="str">
        <f>IFERROR(__xludf.DUMMYFUNCTION("""COMPUTED_VALUE"""),"1109")</f>
        <v>1109</v>
      </c>
      <c r="L45" s="211"/>
      <c r="M45" s="211"/>
      <c r="N45" s="211"/>
      <c r="O45" s="211"/>
      <c r="Q45" s="210" t="str">
        <f>IFERROR(__xludf.DUMMYFUNCTION("""COMPUTED_VALUE"""),"2e7ccd53")</f>
        <v>2e7ccd53</v>
      </c>
      <c r="R45" s="210" t="str">
        <f>IFERROR(__xludf.DUMMYFUNCTION("""COMPUTED_VALUE"""),"2e7ccd53")</f>
        <v>2e7ccd53</v>
      </c>
      <c r="S45" s="211" t="str">
        <f>IFERROR(__xludf.DUMMYFUNCTION("""COMPUTED_VALUE"""),"f8335a53")</f>
        <v>f8335a53</v>
      </c>
      <c r="T45" s="211" t="str">
        <f>IFERROR(__xludf.DUMMYFUNCTION("""COMPUTED_VALUE"""),"CV RAGAM JAYA ENGINEERING")</f>
        <v>CV RAGAM JAYA ENGINEERING</v>
      </c>
      <c r="U45" s="215">
        <f>IFERROR(__xludf.DUMMYFUNCTION("""COMPUTED_VALUE"""),45562.716840277775)</f>
        <v>45562.71684</v>
      </c>
      <c r="V45" s="211" t="str">
        <f>IFERROR(__xludf.DUMMYFUNCTION("""COMPUTED_VALUE"""),"Jl. Balung wangon, Dadapkuning, Bulurejo, Kec. Benjeng, Kabupaten Gresik, Jawa Timur 61172")</f>
        <v>Jl. Balung wangon, Dadapkuning, Bulurejo, Kec. Benjeng, Kabupaten Gresik, Jawa Timur 61172</v>
      </c>
      <c r="W45" s="211" t="str">
        <f>IFERROR(__xludf.DUMMYFUNCTION("""COMPUTED_VALUE"""),"IN")</f>
        <v>IN</v>
      </c>
      <c r="X45" s="211"/>
      <c r="Z45" s="211" t="str">
        <f>IFERROR(__xludf.DUMMYFUNCTION("""COMPUTED_VALUE"""),"04261003017")</f>
        <v>04261003017</v>
      </c>
      <c r="AA45" s="211" t="str">
        <f>IFERROR(__xludf.DUMMYFUNCTION("""COMPUTED_VALUE"""),"411240003")</f>
        <v>411240003</v>
      </c>
      <c r="AC45" s="211" t="str">
        <f>IFERROR(__xludf.DUMMYFUNCTION("""COMPUTED_VALUE"""),"d78b2eaf")</f>
        <v>d78b2eaf</v>
      </c>
      <c r="AD45" s="211" t="str">
        <f>IFERROR(__xludf.DUMMYFUNCTION("""COMPUTED_VALUE"""),"PT Sinar Indogreen Kencana")</f>
        <v>PT Sinar Indogreen Kencana</v>
      </c>
      <c r="AE45" s="211"/>
      <c r="AF45" s="216" t="b">
        <f>IFERROR(__xludf.DUMMYFUNCTION("""COMPUTED_VALUE"""),TRUE)</f>
        <v>1</v>
      </c>
      <c r="AG45" s="211" t="str">
        <f>IFERROR(__xludf.DUMMYFUNCTION("""COMPUTED_VALUE"""),"Jl. Raya Ponokawan 8b RT/001 RW/002, Ponokawan, Krian, Sidoarjo")</f>
        <v>Jl. Raya Ponokawan 8b RT/001 RW/002, Ponokawan, Krian, Sidoarjo</v>
      </c>
      <c r="AH45" s="217">
        <f>IFERROR(__xludf.DUMMYFUNCTION("""COMPUTED_VALUE"""),7.0)</f>
        <v>7</v>
      </c>
      <c r="AI45" s="211"/>
      <c r="AJ45" s="211"/>
      <c r="AL45" s="211" t="str">
        <f>IFERROR(__xludf.DUMMYFUNCTION("""COMPUTED_VALUE"""),"2260273")</f>
        <v>2260273</v>
      </c>
      <c r="AM45" s="211" t="str">
        <f>IFERROR(__xludf.DUMMYFUNCTION("""COMPUTED_VALUE"""),"0326182813")</f>
        <v>0326182813</v>
      </c>
      <c r="AN45" s="211" t="str">
        <f>IFERROR(__xludf.DUMMYFUNCTION("""COMPUTED_VALUE"""),"eec2e801")</f>
        <v>eec2e801</v>
      </c>
      <c r="AO45" s="211" t="str">
        <f>IFERROR(__xludf.DUMMYFUNCTION("""COMPUTED_VALUE"""),"Mitra Wood Sejahtera")</f>
        <v>Mitra Wood Sejahtera</v>
      </c>
      <c r="AP45" s="215">
        <f>IFERROR(__xludf.DUMMYFUNCTION("""COMPUTED_VALUE"""),46095.582233796296)</f>
        <v>46095.58223</v>
      </c>
      <c r="AQ45" s="218">
        <f>IFERROR(__xludf.DUMMYFUNCTION("""COMPUTED_VALUE"""),46092.0)</f>
        <v>46092</v>
      </c>
      <c r="AR45" s="211"/>
      <c r="AS45" s="211" t="str">
        <f>IFERROR(__xludf.DUMMYFUNCTION("""COMPUTED_VALUE"""),"d78b2eaf")</f>
        <v>d78b2eaf</v>
      </c>
      <c r="AT45" s="211" t="str">
        <f>IFERROR(__xludf.DUMMYFUNCTION("""COMPUTED_VALUE"""),"PT Sinar Indogreen Kencana")</f>
        <v>PT Sinar Indogreen Kencana</v>
      </c>
      <c r="AU45" s="211"/>
      <c r="AV45" s="216" t="b">
        <f>IFERROR(__xludf.DUMMYFUNCTION("""COMPUTED_VALUE"""),TRUE)</f>
        <v>1</v>
      </c>
      <c r="AW45" s="211" t="str">
        <f>IFERROR(__xludf.DUMMYFUNCTION("""COMPUTED_VALUE"""),"Jl. Raya Ponokawan 8b RT/001 RW/002, Ponokawan, Krian, Sidoarjo")</f>
        <v>Jl. Raya Ponokawan 8b RT/001 RW/002, Ponokawan, Krian, Sidoarjo</v>
      </c>
      <c r="AX45" s="217">
        <f>IFERROR(__xludf.DUMMYFUNCTION("""COMPUTED_VALUE"""),7.0)</f>
        <v>7</v>
      </c>
      <c r="AY45" s="211"/>
      <c r="AZ45" s="211"/>
      <c r="BB45" s="211"/>
      <c r="BC45" s="211"/>
      <c r="BD45" s="211"/>
      <c r="BE45" s="211"/>
      <c r="BF45" s="211"/>
      <c r="BG45" s="211"/>
      <c r="BH45" s="211"/>
      <c r="BI45" s="211"/>
    </row>
    <row r="46">
      <c r="A46" s="210" t="str">
        <f>IFERROR(__xludf.DUMMYFUNCTION("""COMPUTED_VALUE"""),"09240022")</f>
        <v>09240022</v>
      </c>
      <c r="B46" s="210" t="str">
        <f>IFERROR(__xludf.DUMMYFUNCTION("""COMPUTED_VALUE"""),"09240022")</f>
        <v>09240022</v>
      </c>
      <c r="C46" s="213">
        <f>IFERROR(__xludf.DUMMYFUNCTION("""COMPUTED_VALUE"""),45559.40938657407)</f>
        <v>45559.40939</v>
      </c>
      <c r="D46" s="211" t="str">
        <f>IFERROR(__xludf.DUMMYFUNCTION("""COMPUTED_VALUE"""),"7b9d8eba")</f>
        <v>7b9d8eba</v>
      </c>
      <c r="E46" s="211" t="str">
        <f>IFERROR(__xludf.DUMMYFUNCTION("""COMPUTED_VALUE"""),"PT PELANGI INDOKARYA")</f>
        <v>PT PELANGI INDOKARYA</v>
      </c>
      <c r="F46" s="211" t="str">
        <f>IFERROR(__xludf.DUMMYFUNCTION("""COMPUTED_VALUE"""),"8bdbe149")</f>
        <v>8bdbe149</v>
      </c>
      <c r="G46" s="211" t="str">
        <f>IFERROR(__xludf.DUMMYFUNCTION("""COMPUTED_VALUE"""),"Oksigen 6m3")</f>
        <v>Oksigen 6m3</v>
      </c>
      <c r="H46" s="214" t="str">
        <f>IFERROR(__xludf.DUMMYFUNCTION("""COMPUTED_VALUE"""),"OUT")</f>
        <v>OUT</v>
      </c>
      <c r="I46" s="214" t="str">
        <f>IFERROR(__xludf.DUMMYFUNCTION("""COMPUTED_VALUE"""),"NORMAL")</f>
        <v>NORMAL</v>
      </c>
      <c r="J46" s="211">
        <f>IFERROR(__xludf.DUMMYFUNCTION("""COMPUTED_VALUE"""),10.0)</f>
        <v>10</v>
      </c>
      <c r="K46" s="210" t="str">
        <f>IFERROR(__xludf.DUMMYFUNCTION("""COMPUTED_VALUE"""),"1128 1149 1146 1180 1137 1166 1109 1132 1172 1174")</f>
        <v>1128 1149 1146 1180 1137 1166 1109 1132 1172 1174</v>
      </c>
      <c r="L46" s="211">
        <f>IFERROR(__xludf.DUMMYFUNCTION("""COMPUTED_VALUE"""),60000.0)</f>
        <v>60000</v>
      </c>
      <c r="M46" s="211"/>
      <c r="N46" s="211"/>
      <c r="O46" s="211"/>
      <c r="Q46" s="210" t="str">
        <f>IFERROR(__xludf.DUMMYFUNCTION("""COMPUTED_VALUE"""),"09240028")</f>
        <v>09240028</v>
      </c>
      <c r="R46" s="210" t="str">
        <f>IFERROR(__xludf.DUMMYFUNCTION("""COMPUTED_VALUE"""),"09240028")</f>
        <v>09240028</v>
      </c>
      <c r="S46" s="211" t="str">
        <f>IFERROR(__xludf.DUMMYFUNCTION("""COMPUTED_VALUE"""),"7b9d8eba")</f>
        <v>7b9d8eba</v>
      </c>
      <c r="T46" s="211" t="str">
        <f>IFERROR(__xludf.DUMMYFUNCTION("""COMPUTED_VALUE"""),"PT PELANGI INDOKARYA")</f>
        <v>PT PELANGI INDOKARYA</v>
      </c>
      <c r="U46" s="215">
        <f>IFERROR(__xludf.DUMMYFUNCTION("""COMPUTED_VALUE"""),45563.34622685185)</f>
        <v>45563.34623</v>
      </c>
      <c r="V4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6" s="211" t="str">
        <f>IFERROR(__xludf.DUMMYFUNCTION("""COMPUTED_VALUE"""),"OUT")</f>
        <v>OUT</v>
      </c>
      <c r="X46" s="211"/>
      <c r="Z46" s="211" t="str">
        <f>IFERROR(__xludf.DUMMYFUNCTION("""COMPUTED_VALUE"""),"0426133008")</f>
        <v>0426133008</v>
      </c>
      <c r="AA46" s="211" t="str">
        <f>IFERROR(__xludf.DUMMYFUNCTION("""COMPUTED_VALUE"""),"411240002")</f>
        <v>411240002</v>
      </c>
      <c r="AC46" s="211" t="str">
        <f>IFERROR(__xludf.DUMMYFUNCTION("""COMPUTED_VALUE"""),"b2b5f2c5")</f>
        <v>b2b5f2c5</v>
      </c>
      <c r="AD46" s="211" t="str">
        <f>IFERROR(__xludf.DUMMYFUNCTION("""COMPUTED_VALUE"""),"Bengkel Las Bpk. Ari")</f>
        <v>Bengkel Las Bpk. Ari</v>
      </c>
      <c r="AE46" s="211"/>
      <c r="AF46" s="216" t="b">
        <f>IFERROR(__xludf.DUMMYFUNCTION("""COMPUTED_VALUE"""),FALSE)</f>
        <v>0</v>
      </c>
      <c r="AG46" s="211" t="str">
        <f>IFERROR(__xludf.DUMMYFUNCTION("""COMPUTED_VALUE"""),"Sumber Kembar, Wonodadi, Kec. Kutorejo, Kabupaten Mojokerto, Jawa Timur")</f>
        <v>Sumber Kembar, Wonodadi, Kec. Kutorejo, Kabupaten Mojokerto, Jawa Timur</v>
      </c>
      <c r="AH46" s="217">
        <f>IFERROR(__xludf.DUMMYFUNCTION("""COMPUTED_VALUE"""),14.0)</f>
        <v>14</v>
      </c>
      <c r="AI46" s="211"/>
      <c r="AJ46" s="215">
        <f>IFERROR(__xludf.DUMMYFUNCTION("""COMPUTED_VALUE"""),46029.62641203704)</f>
        <v>46029.62641</v>
      </c>
      <c r="AL46" s="211" t="str">
        <f>IFERROR(__xludf.DUMMYFUNCTION("""COMPUTED_VALUE"""),"2260266")</f>
        <v>2260266</v>
      </c>
      <c r="AM46" s="211" t="str">
        <f>IFERROR(__xludf.DUMMYFUNCTION("""COMPUTED_VALUE"""),"022682447")</f>
        <v>022682447</v>
      </c>
      <c r="AN46" s="211" t="str">
        <f>IFERROR(__xludf.DUMMYFUNCTION("""COMPUTED_VALUE"""),"03ff52db")</f>
        <v>03ff52db</v>
      </c>
      <c r="AO46" s="211" t="str">
        <f>IFERROR(__xludf.DUMMYFUNCTION("""COMPUTED_VALUE"""),"Aneka Teknik Logam")</f>
        <v>Aneka Teknik Logam</v>
      </c>
      <c r="AP46" s="215">
        <f>IFERROR(__xludf.DUMMYFUNCTION("""COMPUTED_VALUE"""),46095.577106481476)</f>
        <v>46095.57711</v>
      </c>
      <c r="AQ46" s="218">
        <f>IFERROR(__xludf.DUMMYFUNCTION("""COMPUTED_VALUE"""),46056.0)</f>
        <v>46056</v>
      </c>
      <c r="AR46" s="211"/>
      <c r="AS46" s="211" t="str">
        <f>IFERROR(__xludf.DUMMYFUNCTION("""COMPUTED_VALUE"""),"b2b5f2c5")</f>
        <v>b2b5f2c5</v>
      </c>
      <c r="AT46" s="211" t="str">
        <f>IFERROR(__xludf.DUMMYFUNCTION("""COMPUTED_VALUE"""),"Bengkel Las Bpk. Ari")</f>
        <v>Bengkel Las Bpk. Ari</v>
      </c>
      <c r="AU46" s="211"/>
      <c r="AV46" s="216" t="b">
        <f>IFERROR(__xludf.DUMMYFUNCTION("""COMPUTED_VALUE"""),FALSE)</f>
        <v>0</v>
      </c>
      <c r="AW46" s="211" t="str">
        <f>IFERROR(__xludf.DUMMYFUNCTION("""COMPUTED_VALUE"""),"Sumber Kembar, Wonodadi, Kec. Kutorejo, Kabupaten Mojokerto, Jawa Timur")</f>
        <v>Sumber Kembar, Wonodadi, Kec. Kutorejo, Kabupaten Mojokerto, Jawa Timur</v>
      </c>
      <c r="AX46" s="217">
        <f>IFERROR(__xludf.DUMMYFUNCTION("""COMPUTED_VALUE"""),14.0)</f>
        <v>14</v>
      </c>
      <c r="AY46" s="211"/>
      <c r="AZ46" s="215">
        <f>IFERROR(__xludf.DUMMYFUNCTION("""COMPUTED_VALUE"""),46029.62641203704)</f>
        <v>46029.62641</v>
      </c>
      <c r="BB46" s="211"/>
      <c r="BC46" s="211"/>
      <c r="BD46" s="211"/>
      <c r="BE46" s="211"/>
      <c r="BF46" s="211"/>
      <c r="BG46" s="211"/>
      <c r="BH46" s="211"/>
      <c r="BI46" s="211"/>
    </row>
    <row r="47">
      <c r="A47" s="210" t="str">
        <f>IFERROR(__xludf.DUMMYFUNCTION("""COMPUTED_VALUE"""),"21fc7f4d")</f>
        <v>21fc7f4d</v>
      </c>
      <c r="B47" s="210" t="str">
        <f>IFERROR(__xludf.DUMMYFUNCTION("""COMPUTED_VALUE"""),"21fc7f4d")</f>
        <v>21fc7f4d</v>
      </c>
      <c r="C47" s="213">
        <f>IFERROR(__xludf.DUMMYFUNCTION("""COMPUTED_VALUE"""),45560.41107638889)</f>
        <v>45560.41108</v>
      </c>
      <c r="D47" s="211" t="str">
        <f>IFERROR(__xludf.DUMMYFUNCTION("""COMPUTED_VALUE"""),"f8335a53")</f>
        <v>f8335a53</v>
      </c>
      <c r="E47" s="211" t="str">
        <f>IFERROR(__xludf.DUMMYFUNCTION("""COMPUTED_VALUE"""),"CV RAGAM JAYA ENGINEERING")</f>
        <v>CV RAGAM JAYA ENGINEERING</v>
      </c>
      <c r="F47" s="211" t="str">
        <f>IFERROR(__xludf.DUMMYFUNCTION("""COMPUTED_VALUE"""),"8bdbe149")</f>
        <v>8bdbe149</v>
      </c>
      <c r="G47" s="211" t="str">
        <f>IFERROR(__xludf.DUMMYFUNCTION("""COMPUTED_VALUE"""),"Oksigen 6m3")</f>
        <v>Oksigen 6m3</v>
      </c>
      <c r="H47" s="214" t="str">
        <f>IFERROR(__xludf.DUMMYFUNCTION("""COMPUTED_VALUE"""),"IN")</f>
        <v>IN</v>
      </c>
      <c r="I47" s="214" t="str">
        <f>IFERROR(__xludf.DUMMYFUNCTION("""COMPUTED_VALUE"""),"EMPTY")</f>
        <v>EMPTY</v>
      </c>
      <c r="J47" s="211">
        <f>IFERROR(__xludf.DUMMYFUNCTION("""COMPUTED_VALUE"""),3.0)</f>
        <v>3</v>
      </c>
      <c r="K47" s="210" t="str">
        <f>IFERROR(__xludf.DUMMYFUNCTION("""COMPUTED_VALUE"""),"1121 1122 1115")</f>
        <v>1121 1122 1115</v>
      </c>
      <c r="L47" s="211"/>
      <c r="M47" s="211"/>
      <c r="N47" s="211"/>
      <c r="O47" s="211"/>
      <c r="Q47" s="210" t="str">
        <f>IFERROR(__xludf.DUMMYFUNCTION("""COMPUTED_VALUE"""),"1a143a63")</f>
        <v>1a143a63</v>
      </c>
      <c r="R47" s="210" t="str">
        <f>IFERROR(__xludf.DUMMYFUNCTION("""COMPUTED_VALUE"""),"1a143a63")</f>
        <v>1a143a63</v>
      </c>
      <c r="S47" s="211" t="str">
        <f>IFERROR(__xludf.DUMMYFUNCTION("""COMPUTED_VALUE"""),"7b9d8eba")</f>
        <v>7b9d8eba</v>
      </c>
      <c r="T47" s="211" t="str">
        <f>IFERROR(__xludf.DUMMYFUNCTION("""COMPUTED_VALUE"""),"PT PELANGI INDOKARYA")</f>
        <v>PT PELANGI INDOKARYA</v>
      </c>
      <c r="U47" s="215">
        <f>IFERROR(__xludf.DUMMYFUNCTION("""COMPUTED_VALUE"""),45563.37761574074)</f>
        <v>45563.37762</v>
      </c>
      <c r="V4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7" s="211" t="str">
        <f>IFERROR(__xludf.DUMMYFUNCTION("""COMPUTED_VALUE"""),"IN")</f>
        <v>IN</v>
      </c>
      <c r="X47" s="211"/>
      <c r="Z47" s="211" t="str">
        <f>IFERROR(__xludf.DUMMYFUNCTION("""COMPUTED_VALUE"""),"0426473007")</f>
        <v>0426473007</v>
      </c>
      <c r="AA47" s="211" t="str">
        <f>IFERROR(__xludf.DUMMYFUNCTION("""COMPUTED_VALUE"""),"410240001")</f>
        <v>410240001</v>
      </c>
      <c r="AC47" s="211" t="str">
        <f>IFERROR(__xludf.DUMMYFUNCTION("""COMPUTED_VALUE"""),"609d620d")</f>
        <v>609d620d</v>
      </c>
      <c r="AD47" s="211" t="str">
        <f>IFERROR(__xludf.DUMMYFUNCTION("""COMPUTED_VALUE"""),"PT Pandu Mulia Bersama")</f>
        <v>PT Pandu Mulia Bersama</v>
      </c>
      <c r="AE47" s="211"/>
      <c r="AF47" s="216" t="b">
        <f>IFERROR(__xludf.DUMMYFUNCTION("""COMPUTED_VALUE"""),TRUE)</f>
        <v>1</v>
      </c>
      <c r="AG47" s="211" t="str">
        <f>IFERROR(__xludf.DUMMYFUNCTION("""COMPUTED_VALUE"""),"Jl. Songgat RT 12 RW 05, Kec. Tarik, Sidoarjo, Jawa Timur")</f>
        <v>Jl. Songgat RT 12 RW 05, Kec. Tarik, Sidoarjo, Jawa Timur</v>
      </c>
      <c r="AH47" s="217">
        <f>IFERROR(__xludf.DUMMYFUNCTION("""COMPUTED_VALUE"""),30.0)</f>
        <v>30</v>
      </c>
      <c r="AI47" s="211"/>
      <c r="AJ47" s="211"/>
      <c r="AL47" s="211" t="str">
        <f>IFERROR(__xludf.DUMMYFUNCTION("""COMPUTED_VALUE"""),"2260266")</f>
        <v>2260266</v>
      </c>
      <c r="AM47" s="211" t="str">
        <f>IFERROR(__xludf.DUMMYFUNCTION("""COMPUTED_VALUE"""),"022692485")</f>
        <v>022692485</v>
      </c>
      <c r="AN47" s="211" t="str">
        <f>IFERROR(__xludf.DUMMYFUNCTION("""COMPUTED_VALUE"""),"03ff52db")</f>
        <v>03ff52db</v>
      </c>
      <c r="AO47" s="211" t="str">
        <f>IFERROR(__xludf.DUMMYFUNCTION("""COMPUTED_VALUE"""),"Aneka Teknik Logam")</f>
        <v>Aneka Teknik Logam</v>
      </c>
      <c r="AP47" s="215">
        <f>IFERROR(__xludf.DUMMYFUNCTION("""COMPUTED_VALUE"""),46095.577106481476)</f>
        <v>46095.57711</v>
      </c>
      <c r="AQ47" s="218">
        <f>IFERROR(__xludf.DUMMYFUNCTION("""COMPUTED_VALUE"""),46060.0)</f>
        <v>46060</v>
      </c>
      <c r="AR47" s="211"/>
      <c r="AS47" s="211" t="str">
        <f>IFERROR(__xludf.DUMMYFUNCTION("""COMPUTED_VALUE"""),"609d620d")</f>
        <v>609d620d</v>
      </c>
      <c r="AT47" s="211" t="str">
        <f>IFERROR(__xludf.DUMMYFUNCTION("""COMPUTED_VALUE"""),"PT Pandu Mulia Bersama")</f>
        <v>PT Pandu Mulia Bersama</v>
      </c>
      <c r="AU47" s="211"/>
      <c r="AV47" s="216" t="b">
        <f>IFERROR(__xludf.DUMMYFUNCTION("""COMPUTED_VALUE"""),TRUE)</f>
        <v>1</v>
      </c>
      <c r="AW47" s="211" t="str">
        <f>IFERROR(__xludf.DUMMYFUNCTION("""COMPUTED_VALUE"""),"Jl. Songgat RT 12 RW 05, Kec. Tarik, Sidoarjo, Jawa Timur")</f>
        <v>Jl. Songgat RT 12 RW 05, Kec. Tarik, Sidoarjo, Jawa Timur</v>
      </c>
      <c r="AX47" s="217">
        <f>IFERROR(__xludf.DUMMYFUNCTION("""COMPUTED_VALUE"""),30.0)</f>
        <v>30</v>
      </c>
      <c r="AY47" s="211"/>
      <c r="AZ47" s="211"/>
      <c r="BB47" s="211"/>
      <c r="BC47" s="211"/>
      <c r="BD47" s="211"/>
      <c r="BE47" s="211"/>
      <c r="BF47" s="211"/>
      <c r="BG47" s="211"/>
      <c r="BH47" s="211"/>
      <c r="BI47" s="211"/>
    </row>
    <row r="48">
      <c r="A48" s="210" t="str">
        <f>IFERROR(__xludf.DUMMYFUNCTION("""COMPUTED_VALUE"""),"a6e7928f")</f>
        <v>a6e7928f</v>
      </c>
      <c r="B48" s="210" t="str">
        <f>IFERROR(__xludf.DUMMYFUNCTION("""COMPUTED_VALUE"""),"a6e7928f")</f>
        <v>a6e7928f</v>
      </c>
      <c r="C48" s="213">
        <f>IFERROR(__xludf.DUMMYFUNCTION("""COMPUTED_VALUE"""),45560.412824074076)</f>
        <v>45560.41282</v>
      </c>
      <c r="D48" s="211" t="str">
        <f>IFERROR(__xludf.DUMMYFUNCTION("""COMPUTED_VALUE"""),"7b9d8eba")</f>
        <v>7b9d8eba</v>
      </c>
      <c r="E48" s="211" t="str">
        <f>IFERROR(__xludf.DUMMYFUNCTION("""COMPUTED_VALUE"""),"PT PELANGI INDOKARYA")</f>
        <v>PT PELANGI INDOKARYA</v>
      </c>
      <c r="F48" s="211" t="str">
        <f>IFERROR(__xludf.DUMMYFUNCTION("""COMPUTED_VALUE"""),"8bdbe149")</f>
        <v>8bdbe149</v>
      </c>
      <c r="G48" s="211" t="str">
        <f>IFERROR(__xludf.DUMMYFUNCTION("""COMPUTED_VALUE"""),"Oksigen 6m3")</f>
        <v>Oksigen 6m3</v>
      </c>
      <c r="H48" s="214" t="str">
        <f>IFERROR(__xludf.DUMMYFUNCTION("""COMPUTED_VALUE"""),"IN")</f>
        <v>IN</v>
      </c>
      <c r="I48" s="214" t="str">
        <f>IFERROR(__xludf.DUMMYFUNCTION("""COMPUTED_VALUE"""),"EMPTY")</f>
        <v>EMPTY</v>
      </c>
      <c r="J48" s="211">
        <f>IFERROR(__xludf.DUMMYFUNCTION("""COMPUTED_VALUE"""),7.0)</f>
        <v>7</v>
      </c>
      <c r="K48" s="210" t="str">
        <f>IFERROR(__xludf.DUMMYFUNCTION("""COMPUTED_VALUE"""),"1161 1165 1156 1157 1158 1159 1160")</f>
        <v>1161 1165 1156 1157 1158 1159 1160</v>
      </c>
      <c r="L48" s="211"/>
      <c r="M48" s="211"/>
      <c r="N48" s="211"/>
      <c r="O48" s="211"/>
      <c r="Q48" s="210" t="str">
        <f>IFERROR(__xludf.DUMMYFUNCTION("""COMPUTED_VALUE"""),"09240030")</f>
        <v>09240030</v>
      </c>
      <c r="R48" s="210" t="str">
        <f>IFERROR(__xludf.DUMMYFUNCTION("""COMPUTED_VALUE"""),"09240030")</f>
        <v>09240030</v>
      </c>
      <c r="S48" s="211" t="str">
        <f>IFERROR(__xludf.DUMMYFUNCTION("""COMPUTED_VALUE"""),"7b9d8eba")</f>
        <v>7b9d8eba</v>
      </c>
      <c r="T48" s="211" t="str">
        <f>IFERROR(__xludf.DUMMYFUNCTION("""COMPUTED_VALUE"""),"PT PELANGI INDOKARYA")</f>
        <v>PT PELANGI INDOKARYA</v>
      </c>
      <c r="U48" s="215">
        <f>IFERROR(__xludf.DUMMYFUNCTION("""COMPUTED_VALUE"""),45564.4)</f>
        <v>45564.4</v>
      </c>
      <c r="V4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8" s="211" t="str">
        <f>IFERROR(__xludf.DUMMYFUNCTION("""COMPUTED_VALUE"""),"OUT")</f>
        <v>OUT</v>
      </c>
      <c r="X48" s="211"/>
      <c r="Z48" s="211" t="str">
        <f>IFERROR(__xludf.DUMMYFUNCTION("""COMPUTED_VALUE"""),"0426513006")</f>
        <v>0426513006</v>
      </c>
      <c r="AA48" s="211" t="str">
        <f>IFERROR(__xludf.DUMMYFUNCTION("""COMPUTED_VALUE"""),"410240000")</f>
        <v>410240000</v>
      </c>
      <c r="AC48" s="211" t="str">
        <f>IFERROR(__xludf.DUMMYFUNCTION("""COMPUTED_VALUE"""),"ed4307f6")</f>
        <v>ed4307f6</v>
      </c>
      <c r="AD48" s="211" t="str">
        <f>IFERROR(__xludf.DUMMYFUNCTION("""COMPUTED_VALUE"""),"Bpk. Andi (Jetis)")</f>
        <v>Bpk. Andi (Jetis)</v>
      </c>
      <c r="AE48" s="211"/>
      <c r="AF48" s="216" t="b">
        <f>IFERROR(__xludf.DUMMYFUNCTION("""COMPUTED_VALUE"""),FALSE)</f>
        <v>0</v>
      </c>
      <c r="AG48" s="211" t="str">
        <f>IFERROR(__xludf.DUMMYFUNCTION("""COMPUTED_VALUE"""),"HFH9+P7 Pelabuhan Kidul, Jetis, Kec. Jetis, Kabupaten Mojokerto, Jawa Timur, Indonesia")</f>
        <v>HFH9+P7 Pelabuhan Kidul, Jetis, Kec. Jetis, Kabupaten Mojokerto, Jawa Timur, Indonesia</v>
      </c>
      <c r="AH48" s="217">
        <f>IFERROR(__xludf.DUMMYFUNCTION("""COMPUTED_VALUE"""),14.0)</f>
        <v>14</v>
      </c>
      <c r="AI48" s="211"/>
      <c r="AJ48" s="211"/>
      <c r="AL48" s="211" t="str">
        <f>IFERROR(__xludf.DUMMYFUNCTION("""COMPUTED_VALUE"""),"2260266")</f>
        <v>2260266</v>
      </c>
      <c r="AM48" s="211" t="str">
        <f>IFERROR(__xludf.DUMMYFUNCTION("""COMPUTED_VALUE"""),"0226102527")</f>
        <v>0226102527</v>
      </c>
      <c r="AN48" s="211" t="str">
        <f>IFERROR(__xludf.DUMMYFUNCTION("""COMPUTED_VALUE"""),"03ff52db")</f>
        <v>03ff52db</v>
      </c>
      <c r="AO48" s="211" t="str">
        <f>IFERROR(__xludf.DUMMYFUNCTION("""COMPUTED_VALUE"""),"Aneka Teknik Logam")</f>
        <v>Aneka Teknik Logam</v>
      </c>
      <c r="AP48" s="215">
        <f>IFERROR(__xludf.DUMMYFUNCTION("""COMPUTED_VALUE"""),46095.577106481476)</f>
        <v>46095.57711</v>
      </c>
      <c r="AQ48" s="218">
        <f>IFERROR(__xludf.DUMMYFUNCTION("""COMPUTED_VALUE"""),46064.0)</f>
        <v>46064</v>
      </c>
      <c r="AR48" s="211"/>
      <c r="AS48" s="211" t="str">
        <f>IFERROR(__xludf.DUMMYFUNCTION("""COMPUTED_VALUE"""),"ed4307f6")</f>
        <v>ed4307f6</v>
      </c>
      <c r="AT48" s="211" t="str">
        <f>IFERROR(__xludf.DUMMYFUNCTION("""COMPUTED_VALUE"""),"Bpk. Andi (Jetis)")</f>
        <v>Bpk. Andi (Jetis)</v>
      </c>
      <c r="AU48" s="211"/>
      <c r="AV48" s="216" t="b">
        <f>IFERROR(__xludf.DUMMYFUNCTION("""COMPUTED_VALUE"""),FALSE)</f>
        <v>0</v>
      </c>
      <c r="AW48" s="211" t="str">
        <f>IFERROR(__xludf.DUMMYFUNCTION("""COMPUTED_VALUE"""),"HFH9+P7 Pelabuhan Kidul, Jetis, Kec. Jetis, Kabupaten Mojokerto, Jawa Timur, Indonesia")</f>
        <v>HFH9+P7 Pelabuhan Kidul, Jetis, Kec. Jetis, Kabupaten Mojokerto, Jawa Timur, Indonesia</v>
      </c>
      <c r="AX48" s="217">
        <f>IFERROR(__xludf.DUMMYFUNCTION("""COMPUTED_VALUE"""),14.0)</f>
        <v>14</v>
      </c>
      <c r="AY48" s="211"/>
      <c r="AZ48" s="211"/>
      <c r="BB48" s="211"/>
      <c r="BC48" s="211"/>
      <c r="BD48" s="211"/>
      <c r="BE48" s="211"/>
      <c r="BF48" s="211"/>
      <c r="BG48" s="211"/>
      <c r="BH48" s="211"/>
      <c r="BI48" s="211"/>
    </row>
    <row r="49">
      <c r="A49" s="210" t="str">
        <f>IFERROR(__xludf.DUMMYFUNCTION("""COMPUTED_VALUE"""),"09240024")</f>
        <v>09240024</v>
      </c>
      <c r="B49" s="210" t="str">
        <f>IFERROR(__xludf.DUMMYFUNCTION("""COMPUTED_VALUE"""),"09240024")</f>
        <v>09240024</v>
      </c>
      <c r="C49" s="213">
        <f>IFERROR(__xludf.DUMMYFUNCTION("""COMPUTED_VALUE"""),45561.35150462963)</f>
        <v>45561.3515</v>
      </c>
      <c r="D49" s="211" t="str">
        <f>IFERROR(__xludf.DUMMYFUNCTION("""COMPUTED_VALUE"""),"f01dab70")</f>
        <v>f01dab70</v>
      </c>
      <c r="E49" s="211" t="str">
        <f>IFERROR(__xludf.DUMMYFUNCTION("""COMPUTED_VALUE"""),"Bpk. Yudi")</f>
        <v>Bpk. Yudi</v>
      </c>
      <c r="F49" s="211" t="str">
        <f>IFERROR(__xludf.DUMMYFUNCTION("""COMPUTED_VALUE"""),"66af7c72")</f>
        <v>66af7c72</v>
      </c>
      <c r="G49" s="211" t="str">
        <f>IFERROR(__xludf.DUMMYFUNCTION("""COMPUTED_VALUE"""),"Argon 6m3")</f>
        <v>Argon 6m3</v>
      </c>
      <c r="H49" s="214" t="str">
        <f>IFERROR(__xludf.DUMMYFUNCTION("""COMPUTED_VALUE"""),"OUT")</f>
        <v>OUT</v>
      </c>
      <c r="I49" s="214" t="str">
        <f>IFERROR(__xludf.DUMMYFUNCTION("""COMPUTED_VALUE"""),"NORMAL")</f>
        <v>NORMAL</v>
      </c>
      <c r="J49" s="211">
        <f>IFERROR(__xludf.DUMMYFUNCTION("""COMPUTED_VALUE"""),2.0)</f>
        <v>2</v>
      </c>
      <c r="K49" s="210" t="str">
        <f>IFERROR(__xludf.DUMMYFUNCTION("""COMPUTED_VALUE"""),"8076 87")</f>
        <v>8076 87</v>
      </c>
      <c r="L49" s="211">
        <f>IFERROR(__xludf.DUMMYFUNCTION("""COMPUTED_VALUE"""),270000.0)</f>
        <v>270000</v>
      </c>
      <c r="M49" s="211"/>
      <c r="N49" s="211"/>
      <c r="O49" s="211"/>
      <c r="Q49" s="210" t="str">
        <f>IFERROR(__xludf.DUMMYFUNCTION("""COMPUTED_VALUE"""),"038ba28f")</f>
        <v>038ba28f</v>
      </c>
      <c r="R49" s="210" t="str">
        <f>IFERROR(__xludf.DUMMYFUNCTION("""COMPUTED_VALUE"""),"038ba28f")</f>
        <v>038ba28f</v>
      </c>
      <c r="S49" s="211" t="str">
        <f>IFERROR(__xludf.DUMMYFUNCTION("""COMPUTED_VALUE"""),"7b9d8eba")</f>
        <v>7b9d8eba</v>
      </c>
      <c r="T49" s="211" t="str">
        <f>IFERROR(__xludf.DUMMYFUNCTION("""COMPUTED_VALUE"""),"PT PELANGI INDOKARYA")</f>
        <v>PT PELANGI INDOKARYA</v>
      </c>
      <c r="U49" s="215">
        <f>IFERROR(__xludf.DUMMYFUNCTION("""COMPUTED_VALUE"""),45564.40069444444)</f>
        <v>45564.40069</v>
      </c>
      <c r="V49"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9" s="211" t="str">
        <f>IFERROR(__xludf.DUMMYFUNCTION("""COMPUTED_VALUE"""),"IN")</f>
        <v>IN</v>
      </c>
      <c r="X49" s="211"/>
      <c r="Z49" s="211" t="str">
        <f>IFERROR(__xludf.DUMMYFUNCTION("""COMPUTED_VALUE"""),"0426143005")</f>
        <v>0426143005</v>
      </c>
      <c r="AC49" s="211" t="str">
        <f>IFERROR(__xludf.DUMMYFUNCTION("""COMPUTED_VALUE"""),"0411d86e")</f>
        <v>0411d86e</v>
      </c>
      <c r="AD49" s="211" t="str">
        <f>IFERROR(__xludf.DUMMYFUNCTION("""COMPUTED_VALUE"""),"Bpk. Subiantoro (Parengan)")</f>
        <v>Bpk. Subiantoro (Parengan)</v>
      </c>
      <c r="AE49" s="211"/>
      <c r="AF49" s="216" t="b">
        <f>IFERROR(__xludf.DUMMYFUNCTION("""COMPUTED_VALUE"""),FALSE)</f>
        <v>0</v>
      </c>
      <c r="AG49" s="211" t="str">
        <f>IFERROR(__xludf.DUMMYFUNCTION("""COMPUTED_VALUE"""),"Jl. Kraton, Sidomukti, Kraton, Kec. Krian, Kabupaten Sidoarjo, Jawa Timur 61262")</f>
        <v>Jl. Kraton, Sidomukti, Kraton, Kec. Krian, Kabupaten Sidoarjo, Jawa Timur 61262</v>
      </c>
      <c r="AH49" s="217">
        <f>IFERROR(__xludf.DUMMYFUNCTION("""COMPUTED_VALUE"""),14.0)</f>
        <v>14</v>
      </c>
      <c r="AI49" s="211"/>
      <c r="AJ49" s="211"/>
      <c r="AL49" s="211" t="str">
        <f>IFERROR(__xludf.DUMMYFUNCTION("""COMPUTED_VALUE"""),"2260266")</f>
        <v>2260266</v>
      </c>
      <c r="AM49" s="211" t="str">
        <f>IFERROR(__xludf.DUMMYFUNCTION("""COMPUTED_VALUE"""),"0226112605")</f>
        <v>0226112605</v>
      </c>
      <c r="AN49" s="211" t="str">
        <f>IFERROR(__xludf.DUMMYFUNCTION("""COMPUTED_VALUE"""),"03ff52db")</f>
        <v>03ff52db</v>
      </c>
      <c r="AO49" s="211" t="str">
        <f>IFERROR(__xludf.DUMMYFUNCTION("""COMPUTED_VALUE"""),"Aneka Teknik Logam")</f>
        <v>Aneka Teknik Logam</v>
      </c>
      <c r="AP49" s="215">
        <f>IFERROR(__xludf.DUMMYFUNCTION("""COMPUTED_VALUE"""),46095.577106481476)</f>
        <v>46095.57711</v>
      </c>
      <c r="AQ49" s="218">
        <f>IFERROR(__xludf.DUMMYFUNCTION("""COMPUTED_VALUE"""),46072.0)</f>
        <v>46072</v>
      </c>
      <c r="AR49" s="211"/>
      <c r="AS49" s="211" t="str">
        <f>IFERROR(__xludf.DUMMYFUNCTION("""COMPUTED_VALUE"""),"0411d86e")</f>
        <v>0411d86e</v>
      </c>
      <c r="AT49" s="211" t="str">
        <f>IFERROR(__xludf.DUMMYFUNCTION("""COMPUTED_VALUE"""),"Bpk. Subiantoro (Parengan)")</f>
        <v>Bpk. Subiantoro (Parengan)</v>
      </c>
      <c r="AU49" s="211"/>
      <c r="AV49" s="216" t="b">
        <f>IFERROR(__xludf.DUMMYFUNCTION("""COMPUTED_VALUE"""),FALSE)</f>
        <v>0</v>
      </c>
      <c r="AW49" s="211" t="str">
        <f>IFERROR(__xludf.DUMMYFUNCTION("""COMPUTED_VALUE"""),"Jl. Kraton, Sidomukti, Kraton, Kec. Krian, Kabupaten Sidoarjo, Jawa Timur 61262")</f>
        <v>Jl. Kraton, Sidomukti, Kraton, Kec. Krian, Kabupaten Sidoarjo, Jawa Timur 61262</v>
      </c>
      <c r="AX49" s="217">
        <f>IFERROR(__xludf.DUMMYFUNCTION("""COMPUTED_VALUE"""),14.0)</f>
        <v>14</v>
      </c>
      <c r="AY49" s="211"/>
      <c r="AZ49" s="211"/>
      <c r="BB49" s="211"/>
      <c r="BC49" s="211"/>
      <c r="BD49" s="211"/>
      <c r="BE49" s="211"/>
      <c r="BF49" s="211"/>
      <c r="BG49" s="211"/>
      <c r="BH49" s="211"/>
      <c r="BI49" s="211"/>
    </row>
    <row r="50">
      <c r="A50" s="210" t="str">
        <f>IFERROR(__xludf.DUMMYFUNCTION("""COMPUTED_VALUE"""),"09240025")</f>
        <v>09240025</v>
      </c>
      <c r="B50" s="210" t="str">
        <f>IFERROR(__xludf.DUMMYFUNCTION("""COMPUTED_VALUE"""),"09240025")</f>
        <v>09240025</v>
      </c>
      <c r="C50" s="213">
        <f>IFERROR(__xludf.DUMMYFUNCTION("""COMPUTED_VALUE"""),45561.44055555556)</f>
        <v>45561.44056</v>
      </c>
      <c r="D50" s="211" t="str">
        <f>IFERROR(__xludf.DUMMYFUNCTION("""COMPUTED_VALUE"""),"2d88931c")</f>
        <v>2d88931c</v>
      </c>
      <c r="E50" s="211" t="str">
        <f>IFERROR(__xludf.DUMMYFUNCTION("""COMPUTED_VALUE"""),"PT Dunia Berkat Marga Mulya")</f>
        <v>PT Dunia Berkat Marga Mulya</v>
      </c>
      <c r="F50" s="211" t="str">
        <f>IFERROR(__xludf.DUMMYFUNCTION("""COMPUTED_VALUE"""),"8bdbe149")</f>
        <v>8bdbe149</v>
      </c>
      <c r="G50" s="211" t="str">
        <f>IFERROR(__xludf.DUMMYFUNCTION("""COMPUTED_VALUE"""),"Oksigen 6m3")</f>
        <v>Oksigen 6m3</v>
      </c>
      <c r="H50" s="214" t="str">
        <f>IFERROR(__xludf.DUMMYFUNCTION("""COMPUTED_VALUE"""),"OUT")</f>
        <v>OUT</v>
      </c>
      <c r="I50" s="214" t="str">
        <f>IFERROR(__xludf.DUMMYFUNCTION("""COMPUTED_VALUE"""),"NORMAL")</f>
        <v>NORMAL</v>
      </c>
      <c r="J50" s="211">
        <f>IFERROR(__xludf.DUMMYFUNCTION("""COMPUTED_VALUE"""),2.0)</f>
        <v>2</v>
      </c>
      <c r="K50" s="210" t="str">
        <f>IFERROR(__xludf.DUMMYFUNCTION("""COMPUTED_VALUE"""),"1157 1159")</f>
        <v>1157 1159</v>
      </c>
      <c r="L50" s="211">
        <f>IFERROR(__xludf.DUMMYFUNCTION("""COMPUTED_VALUE"""),60000.0)</f>
        <v>60000</v>
      </c>
      <c r="M50" s="211"/>
      <c r="N50" s="211"/>
      <c r="O50" s="211"/>
      <c r="Q50" s="210" t="str">
        <f>IFERROR(__xludf.DUMMYFUNCTION("""COMPUTED_VALUE"""),"e62a1fad")</f>
        <v>e62a1fad</v>
      </c>
      <c r="R50" s="210" t="str">
        <f>IFERROR(__xludf.DUMMYFUNCTION("""COMPUTED_VALUE"""),"e62a1fad")</f>
        <v>e62a1fad</v>
      </c>
      <c r="S50" s="211" t="str">
        <f>IFERROR(__xludf.DUMMYFUNCTION("""COMPUTED_VALUE"""),"7b9d8eba")</f>
        <v>7b9d8eba</v>
      </c>
      <c r="T50" s="211" t="str">
        <f>IFERROR(__xludf.DUMMYFUNCTION("""COMPUTED_VALUE"""),"PT PELANGI INDOKARYA")</f>
        <v>PT PELANGI INDOKARYA</v>
      </c>
      <c r="U50" s="215">
        <f>IFERROR(__xludf.DUMMYFUNCTION("""COMPUTED_VALUE"""),45565.46666666667)</f>
        <v>45565.46667</v>
      </c>
      <c r="V5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50" s="211" t="str">
        <f>IFERROR(__xludf.DUMMYFUNCTION("""COMPUTED_VALUE"""),"IN")</f>
        <v>IN</v>
      </c>
      <c r="X50" s="211"/>
      <c r="Z50" s="211" t="str">
        <f>IFERROR(__xludf.DUMMYFUNCTION("""COMPUTED_VALUE"""),"042633004")</f>
        <v>042633004</v>
      </c>
      <c r="AC50" s="211" t="str">
        <f>IFERROR(__xludf.DUMMYFUNCTION("""COMPUTED_VALUE"""),"17a8e612")</f>
        <v>17a8e612</v>
      </c>
      <c r="AD50" s="211" t="str">
        <f>IFERROR(__xludf.DUMMYFUNCTION("""COMPUTED_VALUE"""),"Flashtech Machinery")</f>
        <v>Flashtech Machinery</v>
      </c>
      <c r="AE50" s="211"/>
      <c r="AF50" s="216" t="b">
        <f>IFERROR(__xludf.DUMMYFUNCTION("""COMPUTED_VALUE"""),FALSE)</f>
        <v>0</v>
      </c>
      <c r="AG50" s="211" t="str">
        <f>IFERROR(__xludf.DUMMYFUNCTION("""COMPUTED_VALUE"""),"Pergudangan Point Center blok A no.4, Kemangsen")</f>
        <v>Pergudangan Point Center blok A no.4, Kemangsen</v>
      </c>
      <c r="AH50" s="217">
        <f>IFERROR(__xludf.DUMMYFUNCTION("""COMPUTED_VALUE"""),14.0)</f>
        <v>14</v>
      </c>
      <c r="AI50" s="211"/>
      <c r="AJ50" s="211"/>
      <c r="AL50" s="211" t="str">
        <f>IFERROR(__xludf.DUMMYFUNCTION("""COMPUTED_VALUE"""),"2260266")</f>
        <v>2260266</v>
      </c>
      <c r="AM50" s="211" t="str">
        <f>IFERROR(__xludf.DUMMYFUNCTION("""COMPUTED_VALUE"""),"0226122642")</f>
        <v>0226122642</v>
      </c>
      <c r="AN50" s="211" t="str">
        <f>IFERROR(__xludf.DUMMYFUNCTION("""COMPUTED_VALUE"""),"03ff52db")</f>
        <v>03ff52db</v>
      </c>
      <c r="AO50" s="211" t="str">
        <f>IFERROR(__xludf.DUMMYFUNCTION("""COMPUTED_VALUE"""),"Aneka Teknik Logam")</f>
        <v>Aneka Teknik Logam</v>
      </c>
      <c r="AP50" s="215">
        <f>IFERROR(__xludf.DUMMYFUNCTION("""COMPUTED_VALUE"""),46095.577106481476)</f>
        <v>46095.57711</v>
      </c>
      <c r="AQ50" s="218">
        <f>IFERROR(__xludf.DUMMYFUNCTION("""COMPUTED_VALUE"""),46076.0)</f>
        <v>46076</v>
      </c>
      <c r="AR50" s="211"/>
      <c r="AS50" s="211" t="str">
        <f>IFERROR(__xludf.DUMMYFUNCTION("""COMPUTED_VALUE"""),"17a8e612")</f>
        <v>17a8e612</v>
      </c>
      <c r="AT50" s="211" t="str">
        <f>IFERROR(__xludf.DUMMYFUNCTION("""COMPUTED_VALUE"""),"Flashtech Machinery")</f>
        <v>Flashtech Machinery</v>
      </c>
      <c r="AU50" s="211"/>
      <c r="AV50" s="216" t="b">
        <f>IFERROR(__xludf.DUMMYFUNCTION("""COMPUTED_VALUE"""),FALSE)</f>
        <v>0</v>
      </c>
      <c r="AW50" s="211" t="str">
        <f>IFERROR(__xludf.DUMMYFUNCTION("""COMPUTED_VALUE"""),"Pergudangan Point Center blok A no.4, Kemangsen")</f>
        <v>Pergudangan Point Center blok A no.4, Kemangsen</v>
      </c>
      <c r="AX50" s="217">
        <f>IFERROR(__xludf.DUMMYFUNCTION("""COMPUTED_VALUE"""),14.0)</f>
        <v>14</v>
      </c>
      <c r="AY50" s="211"/>
      <c r="AZ50" s="211"/>
      <c r="BB50" s="211"/>
      <c r="BC50" s="211"/>
      <c r="BD50" s="211"/>
      <c r="BE50" s="211"/>
      <c r="BF50" s="211"/>
      <c r="BG50" s="211"/>
      <c r="BH50" s="211"/>
      <c r="BI50" s="211"/>
    </row>
    <row r="51">
      <c r="A51" s="210" t="str">
        <f>IFERROR(__xludf.DUMMYFUNCTION("""COMPUTED_VALUE"""),"09240026")</f>
        <v>09240026</v>
      </c>
      <c r="B51" s="210" t="str">
        <f>IFERROR(__xludf.DUMMYFUNCTION("""COMPUTED_VALUE"""),"09240026")</f>
        <v>09240026</v>
      </c>
      <c r="C51" s="213">
        <f>IFERROR(__xludf.DUMMYFUNCTION("""COMPUTED_VALUE"""),45561.63428240741)</f>
        <v>45561.63428</v>
      </c>
      <c r="D51" s="211" t="str">
        <f>IFERROR(__xludf.DUMMYFUNCTION("""COMPUTED_VALUE"""),"7b9d8eba")</f>
        <v>7b9d8eba</v>
      </c>
      <c r="E51" s="211" t="str">
        <f>IFERROR(__xludf.DUMMYFUNCTION("""COMPUTED_VALUE"""),"PT PELANGI INDOKARYA")</f>
        <v>PT PELANGI INDOKARYA</v>
      </c>
      <c r="F51" s="211" t="str">
        <f>IFERROR(__xludf.DUMMYFUNCTION("""COMPUTED_VALUE"""),"8bdbe149")</f>
        <v>8bdbe149</v>
      </c>
      <c r="G51" s="211" t="str">
        <f>IFERROR(__xludf.DUMMYFUNCTION("""COMPUTED_VALUE"""),"Oksigen 6m3")</f>
        <v>Oksigen 6m3</v>
      </c>
      <c r="H51" s="214" t="str">
        <f>IFERROR(__xludf.DUMMYFUNCTION("""COMPUTED_VALUE"""),"OUT")</f>
        <v>OUT</v>
      </c>
      <c r="I51" s="214" t="str">
        <f>IFERROR(__xludf.DUMMYFUNCTION("""COMPUTED_VALUE"""),"NORMAL")</f>
        <v>NORMAL</v>
      </c>
      <c r="J51" s="211">
        <f>IFERROR(__xludf.DUMMYFUNCTION("""COMPUTED_VALUE"""),10.0)</f>
        <v>10</v>
      </c>
      <c r="K51" s="210" t="str">
        <f>IFERROR(__xludf.DUMMYFUNCTION("""COMPUTED_VALUE"""),"1163 1146 1166 1137 1128 1149 1123 1147 1171 1164")</f>
        <v>1163 1146 1166 1137 1128 1149 1123 1147 1171 1164</v>
      </c>
      <c r="L51" s="211">
        <f>IFERROR(__xludf.DUMMYFUNCTION("""COMPUTED_VALUE"""),60000.0)</f>
        <v>60000</v>
      </c>
      <c r="M51" s="211"/>
      <c r="N51" s="211"/>
      <c r="O51" s="211"/>
      <c r="Q51" s="211"/>
      <c r="R51" s="211"/>
      <c r="S51" s="211"/>
      <c r="T51" s="211"/>
      <c r="U51" s="211"/>
      <c r="V51" s="211"/>
      <c r="W51" s="211"/>
      <c r="X51" s="211"/>
      <c r="Z51" s="211" t="str">
        <f>IFERROR(__xludf.DUMMYFUNCTION("""COMPUTED_VALUE"""),"0426992999")</f>
        <v>0426992999</v>
      </c>
      <c r="AC51" s="211" t="str">
        <f>IFERROR(__xludf.DUMMYFUNCTION("""COMPUTED_VALUE"""),"5f23ba17")</f>
        <v>5f23ba17</v>
      </c>
      <c r="AD51" s="211" t="str">
        <f>IFERROR(__xludf.DUMMYFUNCTION("""COMPUTED_VALUE"""),"Bpk. Joko (Gresik)")</f>
        <v>Bpk. Joko (Gresik)</v>
      </c>
      <c r="AE51" s="211"/>
      <c r="AF51" s="216" t="b">
        <f>IFERROR(__xludf.DUMMYFUNCTION("""COMPUTED_VALUE"""),FALSE)</f>
        <v>0</v>
      </c>
      <c r="AG51" s="211" t="str">
        <f>IFERROR(__xludf.DUMMYFUNCTION("""COMPUTED_VALUE"""),"Tanggungan, Lebaniwaras, Kec. Wringinanom, Kabupaten Gresik, Jawa Timur")</f>
        <v>Tanggungan, Lebaniwaras, Kec. Wringinanom, Kabupaten Gresik, Jawa Timur</v>
      </c>
      <c r="AH51" s="217">
        <f>IFERROR(__xludf.DUMMYFUNCTION("""COMPUTED_VALUE"""),14.0)</f>
        <v>14</v>
      </c>
      <c r="AI51" s="211"/>
      <c r="AJ51" s="211"/>
      <c r="AL51" s="211" t="str">
        <f>IFERROR(__xludf.DUMMYFUNCTION("""COMPUTED_VALUE"""),"2260266")</f>
        <v>2260266</v>
      </c>
      <c r="AM51" s="211" t="str">
        <f>IFERROR(__xludf.DUMMYFUNCTION("""COMPUTED_VALUE"""),"0226132653")</f>
        <v>0226132653</v>
      </c>
      <c r="AN51" s="211" t="str">
        <f>IFERROR(__xludf.DUMMYFUNCTION("""COMPUTED_VALUE"""),"03ff52db")</f>
        <v>03ff52db</v>
      </c>
      <c r="AO51" s="211" t="str">
        <f>IFERROR(__xludf.DUMMYFUNCTION("""COMPUTED_VALUE"""),"Aneka Teknik Logam")</f>
        <v>Aneka Teknik Logam</v>
      </c>
      <c r="AP51" s="215">
        <f>IFERROR(__xludf.DUMMYFUNCTION("""COMPUTED_VALUE"""),46095.577106481476)</f>
        <v>46095.57711</v>
      </c>
      <c r="AQ51" s="218">
        <f>IFERROR(__xludf.DUMMYFUNCTION("""COMPUTED_VALUE"""),46077.0)</f>
        <v>46077</v>
      </c>
      <c r="AR51" s="211"/>
      <c r="AS51" s="211" t="str">
        <f>IFERROR(__xludf.DUMMYFUNCTION("""COMPUTED_VALUE"""),"5f23ba17")</f>
        <v>5f23ba17</v>
      </c>
      <c r="AT51" s="211" t="str">
        <f>IFERROR(__xludf.DUMMYFUNCTION("""COMPUTED_VALUE"""),"Bpk. Joko (Gresik)")</f>
        <v>Bpk. Joko (Gresik)</v>
      </c>
      <c r="AU51" s="211"/>
      <c r="AV51" s="216" t="b">
        <f>IFERROR(__xludf.DUMMYFUNCTION("""COMPUTED_VALUE"""),FALSE)</f>
        <v>0</v>
      </c>
      <c r="AW51" s="211" t="str">
        <f>IFERROR(__xludf.DUMMYFUNCTION("""COMPUTED_VALUE"""),"Tanggungan, Lebaniwaras, Kec. Wringinanom, Kabupaten Gresik, Jawa Timur")</f>
        <v>Tanggungan, Lebaniwaras, Kec. Wringinanom, Kabupaten Gresik, Jawa Timur</v>
      </c>
      <c r="AX51" s="217">
        <f>IFERROR(__xludf.DUMMYFUNCTION("""COMPUTED_VALUE"""),14.0)</f>
        <v>14</v>
      </c>
      <c r="AY51" s="211"/>
      <c r="AZ51" s="211"/>
      <c r="BB51" s="211"/>
      <c r="BC51" s="211"/>
      <c r="BD51" s="211"/>
      <c r="BE51" s="211"/>
      <c r="BF51" s="211"/>
      <c r="BG51" s="211"/>
      <c r="BH51" s="211"/>
      <c r="BI51" s="211"/>
    </row>
    <row r="52">
      <c r="A52" s="210" t="str">
        <f>IFERROR(__xludf.DUMMYFUNCTION("""COMPUTED_VALUE"""),"5f37adc5")</f>
        <v>5f37adc5</v>
      </c>
      <c r="B52" s="210" t="str">
        <f>IFERROR(__xludf.DUMMYFUNCTION("""COMPUTED_VALUE"""),"5f37adc5")</f>
        <v>5f37adc5</v>
      </c>
      <c r="C52" s="213">
        <f>IFERROR(__xludf.DUMMYFUNCTION("""COMPUTED_VALUE"""),45561.6609837963)</f>
        <v>45561.66098</v>
      </c>
      <c r="D52" s="211" t="str">
        <f>IFERROR(__xludf.DUMMYFUNCTION("""COMPUTED_VALUE"""),"2d88931c")</f>
        <v>2d88931c</v>
      </c>
      <c r="E52" s="211" t="str">
        <f>IFERROR(__xludf.DUMMYFUNCTION("""COMPUTED_VALUE"""),"PT Dunia Berkat Marga Mulya")</f>
        <v>PT Dunia Berkat Marga Mulya</v>
      </c>
      <c r="F52" s="211" t="str">
        <f>IFERROR(__xludf.DUMMYFUNCTION("""COMPUTED_VALUE"""),"8bdbe149")</f>
        <v>8bdbe149</v>
      </c>
      <c r="G52" s="211" t="str">
        <f>IFERROR(__xludf.DUMMYFUNCTION("""COMPUTED_VALUE"""),"Oksigen 6m3")</f>
        <v>Oksigen 6m3</v>
      </c>
      <c r="H52" s="214" t="str">
        <f>IFERROR(__xludf.DUMMYFUNCTION("""COMPUTED_VALUE"""),"IN")</f>
        <v>IN</v>
      </c>
      <c r="I52" s="214" t="str">
        <f>IFERROR(__xludf.DUMMYFUNCTION("""COMPUTED_VALUE"""),"EMPTY")</f>
        <v>EMPTY</v>
      </c>
      <c r="J52" s="211">
        <f>IFERROR(__xludf.DUMMYFUNCTION("""COMPUTED_VALUE"""),2.0)</f>
        <v>2</v>
      </c>
      <c r="K52" s="210" t="str">
        <f>IFERROR(__xludf.DUMMYFUNCTION("""COMPUTED_VALUE"""),"1123 1147")</f>
        <v>1123 1147</v>
      </c>
      <c r="L52" s="211"/>
      <c r="M52" s="211"/>
      <c r="N52" s="211"/>
      <c r="O52" s="211"/>
      <c r="Q52" s="210" t="str">
        <f>IFERROR(__xludf.DUMMYFUNCTION("""COMPUTED_VALUE"""),"6cf61922")</f>
        <v>6cf61922</v>
      </c>
      <c r="R52" s="210" t="str">
        <f>IFERROR(__xludf.DUMMYFUNCTION("""COMPUTED_VALUE"""),"6cf61922")</f>
        <v>6cf61922</v>
      </c>
      <c r="S52" s="211" t="str">
        <f>IFERROR(__xludf.DUMMYFUNCTION("""COMPUTED_VALUE"""),"e86baf3b")</f>
        <v>e86baf3b</v>
      </c>
      <c r="T52" s="211" t="str">
        <f>IFERROR(__xludf.DUMMYFUNCTION("""COMPUTED_VALUE"""),"PT GEMILANG CIPTA WAWASAN")</f>
        <v>PT GEMILANG CIPTA WAWASAN</v>
      </c>
      <c r="U52" s="215">
        <f>IFERROR(__xludf.DUMMYFUNCTION("""COMPUTED_VALUE"""),45565.65256944444)</f>
        <v>45565.65257</v>
      </c>
      <c r="V52" s="211" t="str">
        <f>IFERROR(__xludf.DUMMYFUNCTION("""COMPUTED_VALUE"""),"JL TEBET RAYA, 2A, TEBET BARAT, TEBET, KOTA ADM, JAKARTA SELATAN, DKI JAKARTA")</f>
        <v>JL TEBET RAYA, 2A, TEBET BARAT, TEBET, KOTA ADM, JAKARTA SELATAN, DKI JAKARTA</v>
      </c>
      <c r="W52" s="211" t="str">
        <f>IFERROR(__xludf.DUMMYFUNCTION("""COMPUTED_VALUE"""),"IN")</f>
        <v>IN</v>
      </c>
      <c r="X52" s="211"/>
      <c r="Z52" s="211" t="str">
        <f>IFERROR(__xludf.DUMMYFUNCTION("""COMPUTED_VALUE"""),"0426112993")</f>
        <v>0426112993</v>
      </c>
      <c r="AC52" s="211" t="str">
        <f>IFERROR(__xludf.DUMMYFUNCTION("""COMPUTED_VALUE"""),"dcdf8b31")</f>
        <v>dcdf8b31</v>
      </c>
      <c r="AD52" s="211" t="str">
        <f>IFERROR(__xludf.DUMMYFUNCTION("""COMPUTED_VALUE"""),"Bpk. Samsul (Jetis)")</f>
        <v>Bpk. Samsul (Jetis)</v>
      </c>
      <c r="AE52" s="211"/>
      <c r="AF52" s="216" t="b">
        <f>IFERROR(__xludf.DUMMYFUNCTION("""COMPUTED_VALUE"""),FALSE)</f>
        <v>0</v>
      </c>
      <c r="AG52" s="211" t="str">
        <f>IFERROR(__xludf.DUMMYFUNCTION("""COMPUTED_VALUE"""),"HFWF+9FG, Sido Wangi, Paringan, Kec. Jetis, Kabupaten Mojokerto, Jawa Timur")</f>
        <v>HFWF+9FG, Sido Wangi, Paringan, Kec. Jetis, Kabupaten Mojokerto, Jawa Timur</v>
      </c>
      <c r="AH52" s="211"/>
      <c r="AI52" s="211"/>
      <c r="AJ52" s="211"/>
      <c r="AL52" s="211" t="str">
        <f>IFERROR(__xludf.DUMMYFUNCTION("""COMPUTED_VALUE"""),"2260264")</f>
        <v>2260264</v>
      </c>
      <c r="AM52" s="211" t="str">
        <f>IFERROR(__xludf.DUMMYFUNCTION("""COMPUTED_VALUE"""),"0326212782")</f>
        <v>0326212782</v>
      </c>
      <c r="AN52" s="211" t="str">
        <f>IFERROR(__xludf.DUMMYFUNCTION("""COMPUTED_VALUE"""),"b218b89b")</f>
        <v>b218b89b</v>
      </c>
      <c r="AO52" s="211" t="str">
        <f>IFERROR(__xludf.DUMMYFUNCTION("""COMPUTED_VALUE"""),"PT Harapan Sentosa")</f>
        <v>PT Harapan Sentosa</v>
      </c>
      <c r="AP52" s="215">
        <f>IFERROR(__xludf.DUMMYFUNCTION("""COMPUTED_VALUE"""),46095.47760416666)</f>
        <v>46095.4776</v>
      </c>
      <c r="AQ52" s="218">
        <f>IFERROR(__xludf.DUMMYFUNCTION("""COMPUTED_VALUE"""),46088.0)</f>
        <v>46088</v>
      </c>
      <c r="AR52" s="211"/>
      <c r="AS52" s="211" t="str">
        <f>IFERROR(__xludf.DUMMYFUNCTION("""COMPUTED_VALUE"""),"dcdf8b31")</f>
        <v>dcdf8b31</v>
      </c>
      <c r="AT52" s="211" t="str">
        <f>IFERROR(__xludf.DUMMYFUNCTION("""COMPUTED_VALUE"""),"Bpk. Samsul (Jetis)")</f>
        <v>Bpk. Samsul (Jetis)</v>
      </c>
      <c r="AU52" s="211"/>
      <c r="AV52" s="216" t="b">
        <f>IFERROR(__xludf.DUMMYFUNCTION("""COMPUTED_VALUE"""),FALSE)</f>
        <v>0</v>
      </c>
      <c r="AW52" s="211" t="str">
        <f>IFERROR(__xludf.DUMMYFUNCTION("""COMPUTED_VALUE"""),"HFWF+9FG, Sido Wangi, Paringan, Kec. Jetis, Kabupaten Mojokerto, Jawa Timur")</f>
        <v>HFWF+9FG, Sido Wangi, Paringan, Kec. Jetis, Kabupaten Mojokerto, Jawa Timur</v>
      </c>
      <c r="AX52" s="211"/>
      <c r="AY52" s="211"/>
      <c r="AZ52" s="211"/>
      <c r="BB52" s="211"/>
      <c r="BC52" s="211"/>
      <c r="BD52" s="211"/>
      <c r="BE52" s="211"/>
      <c r="BF52" s="211"/>
      <c r="BG52" s="211"/>
      <c r="BH52" s="211"/>
      <c r="BI52" s="211"/>
    </row>
    <row r="53">
      <c r="A53" s="210" t="str">
        <f>IFERROR(__xludf.DUMMYFUNCTION("""COMPUTED_VALUE"""),"db49df1e")</f>
        <v>db49df1e</v>
      </c>
      <c r="B53" s="210" t="str">
        <f>IFERROR(__xludf.DUMMYFUNCTION("""COMPUTED_VALUE"""),"db49df1e")</f>
        <v>db49df1e</v>
      </c>
      <c r="C53" s="213">
        <f>IFERROR(__xludf.DUMMYFUNCTION("""COMPUTED_VALUE"""),45561.661458333336)</f>
        <v>45561.66146</v>
      </c>
      <c r="D53" s="211" t="str">
        <f>IFERROR(__xludf.DUMMYFUNCTION("""COMPUTED_VALUE"""),"7b9d8eba")</f>
        <v>7b9d8eba</v>
      </c>
      <c r="E53" s="211" t="str">
        <f>IFERROR(__xludf.DUMMYFUNCTION("""COMPUTED_VALUE"""),"PT PELANGI INDOKARYA")</f>
        <v>PT PELANGI INDOKARYA</v>
      </c>
      <c r="F53" s="211" t="str">
        <f>IFERROR(__xludf.DUMMYFUNCTION("""COMPUTED_VALUE"""),"8bdbe149")</f>
        <v>8bdbe149</v>
      </c>
      <c r="G53" s="211" t="str">
        <f>IFERROR(__xludf.DUMMYFUNCTION("""COMPUTED_VALUE"""),"Oksigen 6m3")</f>
        <v>Oksigen 6m3</v>
      </c>
      <c r="H53" s="214" t="str">
        <f>IFERROR(__xludf.DUMMYFUNCTION("""COMPUTED_VALUE"""),"IN")</f>
        <v>IN</v>
      </c>
      <c r="I53" s="214" t="str">
        <f>IFERROR(__xludf.DUMMYFUNCTION("""COMPUTED_VALUE"""),"EMPTY")</f>
        <v>EMPTY</v>
      </c>
      <c r="J53" s="211">
        <f>IFERROR(__xludf.DUMMYFUNCTION("""COMPUTED_VALUE"""),8.0)</f>
        <v>8</v>
      </c>
      <c r="K53" s="210" t="str">
        <f>IFERROR(__xludf.DUMMYFUNCTION("""COMPUTED_VALUE"""),"1171 1163 1146 1166 1137 1128 1149 1164")</f>
        <v>1171 1163 1146 1166 1137 1128 1149 1164</v>
      </c>
      <c r="L53" s="211"/>
      <c r="M53" s="211"/>
      <c r="N53" s="211"/>
      <c r="O53" s="211"/>
      <c r="Q53" s="210" t="str">
        <f>IFERROR(__xludf.DUMMYFUNCTION("""COMPUTED_VALUE"""),"09240032")</f>
        <v>09240032</v>
      </c>
      <c r="R53" s="210" t="str">
        <f>IFERROR(__xludf.DUMMYFUNCTION("""COMPUTED_VALUE"""),"09240032")</f>
        <v>09240032</v>
      </c>
      <c r="S53" s="211" t="str">
        <f>IFERROR(__xludf.DUMMYFUNCTION("""COMPUTED_VALUE"""),"17af2683")</f>
        <v>17af2683</v>
      </c>
      <c r="T53" s="211" t="str">
        <f>IFERROR(__xludf.DUMMYFUNCTION("""COMPUTED_VALUE"""),"H. Fatoni")</f>
        <v>H. Fatoni</v>
      </c>
      <c r="U53" s="215">
        <f>IFERROR(__xludf.DUMMYFUNCTION("""COMPUTED_VALUE"""),45565.65922453704)</f>
        <v>45565.65922</v>
      </c>
      <c r="V53" s="211" t="str">
        <f>IFERROR(__xludf.DUMMYFUNCTION("""COMPUTED_VALUE"""),"Watesari 015/003, Watesari, Balongbendo, Sidoarjo, Jawa Timur")</f>
        <v>Watesari 015/003, Watesari, Balongbendo, Sidoarjo, Jawa Timur</v>
      </c>
      <c r="W53" s="211" t="str">
        <f>IFERROR(__xludf.DUMMYFUNCTION("""COMPUTED_VALUE"""),"OUT")</f>
        <v>OUT</v>
      </c>
      <c r="X53" s="211"/>
      <c r="Z53" s="211" t="str">
        <f>IFERROR(__xludf.DUMMYFUNCTION("""COMPUTED_VALUE"""),"042682988")</f>
        <v>042682988</v>
      </c>
      <c r="AC53" s="211" t="str">
        <f>IFERROR(__xludf.DUMMYFUNCTION("""COMPUTED_VALUE"""),"1bf27092")</f>
        <v>1bf27092</v>
      </c>
      <c r="AD53" s="211" t="str">
        <f>IFERROR(__xludf.DUMMYFUNCTION("""COMPUTED_VALUE"""),"Bpk. Ari Budiarto")</f>
        <v>Bpk. Ari Budiarto</v>
      </c>
      <c r="AE53" s="211"/>
      <c r="AF53" s="216" t="b">
        <f>IFERROR(__xludf.DUMMYFUNCTION("""COMPUTED_VALUE"""),FALSE)</f>
        <v>0</v>
      </c>
      <c r="AG53" s="211" t="str">
        <f>IFERROR(__xludf.DUMMYFUNCTION("""COMPUTED_VALUE"""),"Jl. Raya Balongbendo 232, Bakalan, Bakalan Wringinpitu, Kec. BalongBendo, Kabupaten Sidoarjo, Jawa Timur 61263")</f>
        <v>Jl. Raya Balongbendo 232, Bakalan, Bakalan Wringinpitu, Kec. BalongBendo, Kabupaten Sidoarjo, Jawa Timur 61263</v>
      </c>
      <c r="AH53" s="217">
        <f>IFERROR(__xludf.DUMMYFUNCTION("""COMPUTED_VALUE"""),30.0)</f>
        <v>30</v>
      </c>
      <c r="AI53" s="211"/>
      <c r="AJ53" s="211"/>
      <c r="AL53" s="211" t="str">
        <f>IFERROR(__xludf.DUMMYFUNCTION("""COMPUTED_VALUE"""),"2260264")</f>
        <v>2260264</v>
      </c>
      <c r="AM53" s="211" t="str">
        <f>IFERROR(__xludf.DUMMYFUNCTION("""COMPUTED_VALUE"""),"0326222824")</f>
        <v>0326222824</v>
      </c>
      <c r="AN53" s="211" t="str">
        <f>IFERROR(__xludf.DUMMYFUNCTION("""COMPUTED_VALUE"""),"b218b89b")</f>
        <v>b218b89b</v>
      </c>
      <c r="AO53" s="211" t="str">
        <f>IFERROR(__xludf.DUMMYFUNCTION("""COMPUTED_VALUE"""),"PT Harapan Sentosa")</f>
        <v>PT Harapan Sentosa</v>
      </c>
      <c r="AP53" s="215">
        <f>IFERROR(__xludf.DUMMYFUNCTION("""COMPUTED_VALUE"""),46095.47760416666)</f>
        <v>46095.4776</v>
      </c>
      <c r="AQ53" s="218">
        <f>IFERROR(__xludf.DUMMYFUNCTION("""COMPUTED_VALUE"""),46092.0)</f>
        <v>46092</v>
      </c>
      <c r="AR53" s="211"/>
      <c r="AS53" s="211" t="str">
        <f>IFERROR(__xludf.DUMMYFUNCTION("""COMPUTED_VALUE"""),"1bf27092")</f>
        <v>1bf27092</v>
      </c>
      <c r="AT53" s="211" t="str">
        <f>IFERROR(__xludf.DUMMYFUNCTION("""COMPUTED_VALUE"""),"Bpk. Ari Budiarto")</f>
        <v>Bpk. Ari Budiarto</v>
      </c>
      <c r="AU53" s="211"/>
      <c r="AV53" s="216" t="b">
        <f>IFERROR(__xludf.DUMMYFUNCTION("""COMPUTED_VALUE"""),FALSE)</f>
        <v>0</v>
      </c>
      <c r="AW53" s="211" t="str">
        <f>IFERROR(__xludf.DUMMYFUNCTION("""COMPUTED_VALUE"""),"Jl. Raya Balongbendo 232, Bakalan, Bakalan Wringinpitu, Kec. BalongBendo, Kabupaten Sidoarjo, Jawa Timur 61263")</f>
        <v>Jl. Raya Balongbendo 232, Bakalan, Bakalan Wringinpitu, Kec. BalongBendo, Kabupaten Sidoarjo, Jawa Timur 61263</v>
      </c>
      <c r="AX53" s="217">
        <f>IFERROR(__xludf.DUMMYFUNCTION("""COMPUTED_VALUE"""),30.0)</f>
        <v>30</v>
      </c>
      <c r="AY53" s="211"/>
      <c r="AZ53" s="211"/>
      <c r="BB53" s="211"/>
      <c r="BC53" s="211"/>
      <c r="BD53" s="211"/>
      <c r="BE53" s="211"/>
      <c r="BF53" s="211"/>
      <c r="BG53" s="211"/>
      <c r="BH53" s="211"/>
      <c r="BI53" s="211"/>
    </row>
    <row r="54">
      <c r="A54" s="210" t="str">
        <f>IFERROR(__xludf.DUMMYFUNCTION("""COMPUTED_VALUE"""),"09240027")</f>
        <v>09240027</v>
      </c>
      <c r="B54" s="210" t="str">
        <f>IFERROR(__xludf.DUMMYFUNCTION("""COMPUTED_VALUE"""),"09240027")</f>
        <v>09240027</v>
      </c>
      <c r="C54" s="213">
        <f>IFERROR(__xludf.DUMMYFUNCTION("""COMPUTED_VALUE"""),45562.64703703704)</f>
        <v>45562.64704</v>
      </c>
      <c r="D54" s="211" t="str">
        <f>IFERROR(__xludf.DUMMYFUNCTION("""COMPUTED_VALUE"""),"f8335a53")</f>
        <v>f8335a53</v>
      </c>
      <c r="E54" s="211" t="str">
        <f>IFERROR(__xludf.DUMMYFUNCTION("""COMPUTED_VALUE"""),"CV RAGAM JAYA ENGINEERING")</f>
        <v>CV RAGAM JAYA ENGINEERING</v>
      </c>
      <c r="F54" s="211" t="str">
        <f>IFERROR(__xludf.DUMMYFUNCTION("""COMPUTED_VALUE"""),"ef306e54")</f>
        <v>ef306e54</v>
      </c>
      <c r="G54" s="211" t="str">
        <f>IFERROR(__xludf.DUMMYFUNCTION("""COMPUTED_VALUE"""),"Karbondioksida")</f>
        <v>Karbondioksida</v>
      </c>
      <c r="H54" s="214" t="str">
        <f>IFERROR(__xludf.DUMMYFUNCTION("""COMPUTED_VALUE"""),"OUT")</f>
        <v>OUT</v>
      </c>
      <c r="I54" s="214" t="str">
        <f>IFERROR(__xludf.DUMMYFUNCTION("""COMPUTED_VALUE"""),"NORMAL")</f>
        <v>NORMAL</v>
      </c>
      <c r="J54" s="211">
        <f>IFERROR(__xludf.DUMMYFUNCTION("""COMPUTED_VALUE"""),5.0)</f>
        <v>5</v>
      </c>
      <c r="K54" s="210" t="str">
        <f>IFERROR(__xludf.DUMMYFUNCTION("""COMPUTED_VALUE"""),"6641 6856 6691 6609 6836")</f>
        <v>6641 6856 6691 6609 6836</v>
      </c>
      <c r="L54" s="211">
        <f>IFERROR(__xludf.DUMMYFUNCTION("""COMPUTED_VALUE"""),160000.0)</f>
        <v>160000</v>
      </c>
      <c r="M54" s="211"/>
      <c r="N54" s="211"/>
      <c r="O54" s="211"/>
      <c r="Q54" s="210" t="str">
        <f>IFERROR(__xludf.DUMMYFUNCTION("""COMPUTED_VALUE"""),"10240033")</f>
        <v>10240033</v>
      </c>
      <c r="R54" s="210" t="str">
        <f>IFERROR(__xludf.DUMMYFUNCTION("""COMPUTED_VALUE"""),"10240033")</f>
        <v>10240033</v>
      </c>
      <c r="S54" s="211" t="str">
        <f>IFERROR(__xludf.DUMMYFUNCTION("""COMPUTED_VALUE"""),"7b9d8eba")</f>
        <v>7b9d8eba</v>
      </c>
      <c r="T54" s="211" t="str">
        <f>IFERROR(__xludf.DUMMYFUNCTION("""COMPUTED_VALUE"""),"PT PELANGI INDOKARYA")</f>
        <v>PT PELANGI INDOKARYA</v>
      </c>
      <c r="U54" s="215">
        <f>IFERROR(__xludf.DUMMYFUNCTION("""COMPUTED_VALUE"""),45567.40436342593)</f>
        <v>45567.40436</v>
      </c>
      <c r="V5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54" s="211" t="str">
        <f>IFERROR(__xludf.DUMMYFUNCTION("""COMPUTED_VALUE"""),"OUT")</f>
        <v>OUT</v>
      </c>
      <c r="X54" s="211"/>
      <c r="Z54" s="211" t="str">
        <f>IFERROR(__xludf.DUMMYFUNCTION("""COMPUTED_VALUE"""),"0426282991")</f>
        <v>0426282991</v>
      </c>
      <c r="AC54" s="211" t="str">
        <f>IFERROR(__xludf.DUMMYFUNCTION("""COMPUTED_VALUE"""),"3bcd7fe6")</f>
        <v>3bcd7fe6</v>
      </c>
      <c r="AD54" s="211" t="str">
        <f>IFERROR(__xludf.DUMMYFUNCTION("""COMPUTED_VALUE"""),"Bpk. Alvin (LB Group)")</f>
        <v>Bpk. Alvin (LB Group)</v>
      </c>
      <c r="AE54" s="211"/>
      <c r="AF54" s="216" t="b">
        <f>IFERROR(__xludf.DUMMYFUNCTION("""COMPUTED_VALUE"""),FALSE)</f>
        <v>0</v>
      </c>
      <c r="AG54" s="211" t="str">
        <f>IFERROR(__xludf.DUMMYFUNCTION("""COMPUTED_VALUE"""),"MFF9+XHC, Jalan, Tambakrejo, Temuireng, Kec. Dawar Blandong, Kabupaten Mojokerto, Jawa Timur 61354")</f>
        <v>MFF9+XHC, Jalan, Tambakrejo, Temuireng, Kec. Dawar Blandong, Kabupaten Mojokerto, Jawa Timur 61354</v>
      </c>
      <c r="AH54" s="217">
        <f>IFERROR(__xludf.DUMMYFUNCTION("""COMPUTED_VALUE"""),30.0)</f>
        <v>30</v>
      </c>
      <c r="AI54" s="211"/>
      <c r="AJ54" s="211"/>
      <c r="AL54" s="211" t="str">
        <f>IFERROR(__xludf.DUMMYFUNCTION("""COMPUTED_VALUE"""),"2260262")</f>
        <v>2260262</v>
      </c>
      <c r="AM54" s="211" t="str">
        <f>IFERROR(__xludf.DUMMYFUNCTION("""COMPUTED_VALUE"""),"022662492")</f>
        <v>022662492</v>
      </c>
      <c r="AN54" s="211" t="str">
        <f>IFERROR(__xludf.DUMMYFUNCTION("""COMPUTED_VALUE"""),"ca4876e2")</f>
        <v>ca4876e2</v>
      </c>
      <c r="AO54" s="211" t="str">
        <f>IFERROR(__xludf.DUMMYFUNCTION("""COMPUTED_VALUE"""),"Bengkel Mustika Mojosari")</f>
        <v>Bengkel Mustika Mojosari</v>
      </c>
      <c r="AP54" s="215">
        <f>IFERROR(__xludf.DUMMYFUNCTION("""COMPUTED_VALUE"""),46094.61355324074)</f>
        <v>46094.61355</v>
      </c>
      <c r="AQ54" s="218">
        <f>IFERROR(__xludf.DUMMYFUNCTION("""COMPUTED_VALUE"""),46062.0)</f>
        <v>46062</v>
      </c>
      <c r="AR54" s="211"/>
      <c r="AS54" s="211" t="str">
        <f>IFERROR(__xludf.DUMMYFUNCTION("""COMPUTED_VALUE"""),"3bcd7fe6")</f>
        <v>3bcd7fe6</v>
      </c>
      <c r="AT54" s="211" t="str">
        <f>IFERROR(__xludf.DUMMYFUNCTION("""COMPUTED_VALUE"""),"Bpk. Alvin (LB Group)")</f>
        <v>Bpk. Alvin (LB Group)</v>
      </c>
      <c r="AU54" s="211"/>
      <c r="AV54" s="216" t="b">
        <f>IFERROR(__xludf.DUMMYFUNCTION("""COMPUTED_VALUE"""),FALSE)</f>
        <v>0</v>
      </c>
      <c r="AW54" s="211" t="str">
        <f>IFERROR(__xludf.DUMMYFUNCTION("""COMPUTED_VALUE"""),"MFF9+XHC, Jalan, Tambakrejo, Temuireng, Kec. Dawar Blandong, Kabupaten Mojokerto, Jawa Timur 61354")</f>
        <v>MFF9+XHC, Jalan, Tambakrejo, Temuireng, Kec. Dawar Blandong, Kabupaten Mojokerto, Jawa Timur 61354</v>
      </c>
      <c r="AX54" s="217">
        <f>IFERROR(__xludf.DUMMYFUNCTION("""COMPUTED_VALUE"""),30.0)</f>
        <v>30</v>
      </c>
      <c r="AY54" s="211"/>
      <c r="AZ54" s="211"/>
      <c r="BB54" s="211"/>
      <c r="BC54" s="211"/>
      <c r="BD54" s="211"/>
      <c r="BE54" s="211"/>
      <c r="BF54" s="211"/>
      <c r="BG54" s="211"/>
      <c r="BH54" s="211"/>
      <c r="BI54" s="211"/>
    </row>
    <row r="55">
      <c r="A55" s="210" t="str">
        <f>IFERROR(__xludf.DUMMYFUNCTION("""COMPUTED_VALUE"""),"09240027")</f>
        <v>09240027</v>
      </c>
      <c r="B55" s="210" t="str">
        <f>IFERROR(__xludf.DUMMYFUNCTION("""COMPUTED_VALUE"""),"09240027")</f>
        <v>09240027</v>
      </c>
      <c r="C55" s="213">
        <f>IFERROR(__xludf.DUMMYFUNCTION("""COMPUTED_VALUE"""),45562.64784722222)</f>
        <v>45562.64785</v>
      </c>
      <c r="D55" s="211" t="str">
        <f>IFERROR(__xludf.DUMMYFUNCTION("""COMPUTED_VALUE"""),"f8335a53")</f>
        <v>f8335a53</v>
      </c>
      <c r="E55" s="211" t="str">
        <f>IFERROR(__xludf.DUMMYFUNCTION("""COMPUTED_VALUE"""),"CV RAGAM JAYA ENGINEERING")</f>
        <v>CV RAGAM JAYA ENGINEERING</v>
      </c>
      <c r="F55" s="211" t="str">
        <f>IFERROR(__xludf.DUMMYFUNCTION("""COMPUTED_VALUE"""),"8bdbe149")</f>
        <v>8bdbe149</v>
      </c>
      <c r="G55" s="211" t="str">
        <f>IFERROR(__xludf.DUMMYFUNCTION("""COMPUTED_VALUE"""),"Oksigen 6m3")</f>
        <v>Oksigen 6m3</v>
      </c>
      <c r="H55" s="214" t="str">
        <f>IFERROR(__xludf.DUMMYFUNCTION("""COMPUTED_VALUE"""),"OUT")</f>
        <v>OUT</v>
      </c>
      <c r="I55" s="214" t="str">
        <f>IFERROR(__xludf.DUMMYFUNCTION("""COMPUTED_VALUE"""),"NORMAL")</f>
        <v>NORMAL</v>
      </c>
      <c r="J55" s="211">
        <f>IFERROR(__xludf.DUMMYFUNCTION("""COMPUTED_VALUE"""),5.0)</f>
        <v>5</v>
      </c>
      <c r="K55" s="210" t="str">
        <f>IFERROR(__xludf.DUMMYFUNCTION("""COMPUTED_VALUE"""),"1161 1158 1156 1141 1115")</f>
        <v>1161 1158 1156 1141 1115</v>
      </c>
      <c r="L55" s="211">
        <f>IFERROR(__xludf.DUMMYFUNCTION("""COMPUTED_VALUE"""),60000.0)</f>
        <v>60000</v>
      </c>
      <c r="M55" s="211"/>
      <c r="N55" s="211"/>
      <c r="O55" s="211"/>
      <c r="Q55" s="210" t="str">
        <f>IFERROR(__xludf.DUMMYFUNCTION("""COMPUTED_VALUE"""),"43ac06c0")</f>
        <v>43ac06c0</v>
      </c>
      <c r="R55" s="210" t="str">
        <f>IFERROR(__xludf.DUMMYFUNCTION("""COMPUTED_VALUE"""),"43ac06c0")</f>
        <v>43ac06c0</v>
      </c>
      <c r="S55" s="211" t="str">
        <f>IFERROR(__xludf.DUMMYFUNCTION("""COMPUTED_VALUE"""),"f8335a53")</f>
        <v>f8335a53</v>
      </c>
      <c r="T55" s="211" t="str">
        <f>IFERROR(__xludf.DUMMYFUNCTION("""COMPUTED_VALUE"""),"CV RAGAM JAYA ENGINEERING")</f>
        <v>CV RAGAM JAYA ENGINEERING</v>
      </c>
      <c r="U55" s="215">
        <f>IFERROR(__xludf.DUMMYFUNCTION("""COMPUTED_VALUE"""),45567.41725694445)</f>
        <v>45567.41726</v>
      </c>
      <c r="V55" s="211" t="str">
        <f>IFERROR(__xludf.DUMMYFUNCTION("""COMPUTED_VALUE"""),"Jl. Balung wangon, Dadapkuning, Bulurejo, Kec. Benjeng, Kabupaten Gresik, Jawa Timur 61172")</f>
        <v>Jl. Balung wangon, Dadapkuning, Bulurejo, Kec. Benjeng, Kabupaten Gresik, Jawa Timur 61172</v>
      </c>
      <c r="W55" s="211" t="str">
        <f>IFERROR(__xludf.DUMMYFUNCTION("""COMPUTED_VALUE"""),"IN")</f>
        <v>IN</v>
      </c>
      <c r="X55" s="211"/>
      <c r="Z55" s="211" t="str">
        <f>IFERROR(__xludf.DUMMYFUNCTION("""COMPUTED_VALUE"""),"042612990")</f>
        <v>042612990</v>
      </c>
      <c r="AC55" s="211" t="str">
        <f>IFERROR(__xludf.DUMMYFUNCTION("""COMPUTED_VALUE"""),"ec231cc9")</f>
        <v>ec231cc9</v>
      </c>
      <c r="AD55" s="211" t="str">
        <f>IFERROR(__xludf.DUMMYFUNCTION("""COMPUTED_VALUE"""),"Bpk. Kadir (Maintenance Velg)")</f>
        <v>Bpk. Kadir (Maintenance Velg)</v>
      </c>
      <c r="AE55" s="211"/>
      <c r="AF55" s="216" t="b">
        <f>IFERROR(__xludf.DUMMYFUNCTION("""COMPUTED_VALUE"""),FALSE)</f>
        <v>0</v>
      </c>
      <c r="AG55" s="211" t="str">
        <f>IFERROR(__xludf.DUMMYFUNCTION("""COMPUTED_VALUE"""),"Jl. Lkr. Bypass Krian Timur, Sidogolong, Watugolong, Kec. Krian, Kabupaten Sidoarjo, Jawa Timur 61262")</f>
        <v>Jl. Lkr. Bypass Krian Timur, Sidogolong, Watugolong, Kec. Krian, Kabupaten Sidoarjo, Jawa Timur 61262</v>
      </c>
      <c r="AH55" s="217">
        <f>IFERROR(__xludf.DUMMYFUNCTION("""COMPUTED_VALUE"""),14.0)</f>
        <v>14</v>
      </c>
      <c r="AI55" s="211"/>
      <c r="AJ55" s="211"/>
      <c r="AL55" s="211" t="str">
        <f>IFERROR(__xludf.DUMMYFUNCTION("""COMPUTED_VALUE"""),"2260262")</f>
        <v>2260262</v>
      </c>
      <c r="AM55" s="211" t="str">
        <f>IFERROR(__xludf.DUMMYFUNCTION("""COMPUTED_VALUE"""),"022672674")</f>
        <v>022672674</v>
      </c>
      <c r="AN55" s="211" t="str">
        <f>IFERROR(__xludf.DUMMYFUNCTION("""COMPUTED_VALUE"""),"ca4876e2")</f>
        <v>ca4876e2</v>
      </c>
      <c r="AO55" s="211" t="str">
        <f>IFERROR(__xludf.DUMMYFUNCTION("""COMPUTED_VALUE"""),"Bengkel Mustika Mojosari")</f>
        <v>Bengkel Mustika Mojosari</v>
      </c>
      <c r="AP55" s="215">
        <f>IFERROR(__xludf.DUMMYFUNCTION("""COMPUTED_VALUE"""),46094.61355324074)</f>
        <v>46094.61355</v>
      </c>
      <c r="AQ55" s="218">
        <f>IFERROR(__xludf.DUMMYFUNCTION("""COMPUTED_VALUE"""),46079.0)</f>
        <v>46079</v>
      </c>
      <c r="AR55" s="211"/>
      <c r="AS55" s="211" t="str">
        <f>IFERROR(__xludf.DUMMYFUNCTION("""COMPUTED_VALUE"""),"ec231cc9")</f>
        <v>ec231cc9</v>
      </c>
      <c r="AT55" s="211" t="str">
        <f>IFERROR(__xludf.DUMMYFUNCTION("""COMPUTED_VALUE"""),"Bpk. Kadir (Maintenance Velg)")</f>
        <v>Bpk. Kadir (Maintenance Velg)</v>
      </c>
      <c r="AU55" s="211"/>
      <c r="AV55" s="216" t="b">
        <f>IFERROR(__xludf.DUMMYFUNCTION("""COMPUTED_VALUE"""),FALSE)</f>
        <v>0</v>
      </c>
      <c r="AW55" s="211" t="str">
        <f>IFERROR(__xludf.DUMMYFUNCTION("""COMPUTED_VALUE"""),"Jl. Lkr. Bypass Krian Timur, Sidogolong, Watugolong, Kec. Krian, Kabupaten Sidoarjo, Jawa Timur 61262")</f>
        <v>Jl. Lkr. Bypass Krian Timur, Sidogolong, Watugolong, Kec. Krian, Kabupaten Sidoarjo, Jawa Timur 61262</v>
      </c>
      <c r="AX55" s="217">
        <f>IFERROR(__xludf.DUMMYFUNCTION("""COMPUTED_VALUE"""),14.0)</f>
        <v>14</v>
      </c>
      <c r="AY55" s="211"/>
      <c r="AZ55" s="211"/>
      <c r="BB55" s="211"/>
      <c r="BC55" s="211"/>
      <c r="BD55" s="211"/>
      <c r="BE55" s="211"/>
      <c r="BF55" s="211"/>
      <c r="BG55" s="211"/>
      <c r="BH55" s="211"/>
      <c r="BI55" s="211"/>
    </row>
    <row r="56">
      <c r="A56" s="210" t="str">
        <f>IFERROR(__xludf.DUMMYFUNCTION("""COMPUTED_VALUE"""),"2e7ccd53")</f>
        <v>2e7ccd53</v>
      </c>
      <c r="B56" s="210" t="str">
        <f>IFERROR(__xludf.DUMMYFUNCTION("""COMPUTED_VALUE"""),"2e7ccd53")</f>
        <v>2e7ccd53</v>
      </c>
      <c r="C56" s="213">
        <f>IFERROR(__xludf.DUMMYFUNCTION("""COMPUTED_VALUE"""),45562.716840277775)</f>
        <v>45562.71684</v>
      </c>
      <c r="D56" s="211" t="str">
        <f>IFERROR(__xludf.DUMMYFUNCTION("""COMPUTED_VALUE"""),"f8335a53")</f>
        <v>f8335a53</v>
      </c>
      <c r="E56" s="211" t="str">
        <f>IFERROR(__xludf.DUMMYFUNCTION("""COMPUTED_VALUE"""),"CV RAGAM JAYA ENGINEERING")</f>
        <v>CV RAGAM JAYA ENGINEERING</v>
      </c>
      <c r="F56" s="211" t="str">
        <f>IFERROR(__xludf.DUMMYFUNCTION("""COMPUTED_VALUE"""),"ef306e54")</f>
        <v>ef306e54</v>
      </c>
      <c r="G56" s="211" t="str">
        <f>IFERROR(__xludf.DUMMYFUNCTION("""COMPUTED_VALUE"""),"Karbondioksida")</f>
        <v>Karbondioksida</v>
      </c>
      <c r="H56" s="214" t="str">
        <f>IFERROR(__xludf.DUMMYFUNCTION("""COMPUTED_VALUE"""),"IN")</f>
        <v>IN</v>
      </c>
      <c r="I56" s="214" t="str">
        <f>IFERROR(__xludf.DUMMYFUNCTION("""COMPUTED_VALUE"""),"EMPTY")</f>
        <v>EMPTY</v>
      </c>
      <c r="J56" s="211">
        <f>IFERROR(__xludf.DUMMYFUNCTION("""COMPUTED_VALUE"""),3.0)</f>
        <v>3</v>
      </c>
      <c r="K56" s="210" t="str">
        <f>IFERROR(__xludf.DUMMYFUNCTION("""COMPUTED_VALUE"""),"6689 6797 6834")</f>
        <v>6689 6797 6834</v>
      </c>
      <c r="L56" s="211"/>
      <c r="M56" s="211"/>
      <c r="N56" s="211"/>
      <c r="O56" s="211"/>
      <c r="Q56" s="210" t="str">
        <f>IFERROR(__xludf.DUMMYFUNCTION("""COMPUTED_VALUE"""),"59fcc0f1")</f>
        <v>59fcc0f1</v>
      </c>
      <c r="R56" s="210" t="str">
        <f>IFERROR(__xludf.DUMMYFUNCTION("""COMPUTED_VALUE"""),"59fcc0f1")</f>
        <v>59fcc0f1</v>
      </c>
      <c r="S56" s="211" t="str">
        <f>IFERROR(__xludf.DUMMYFUNCTION("""COMPUTED_VALUE"""),"7b9d8eba")</f>
        <v>7b9d8eba</v>
      </c>
      <c r="T56" s="211" t="str">
        <f>IFERROR(__xludf.DUMMYFUNCTION("""COMPUTED_VALUE"""),"PT PELANGI INDOKARYA")</f>
        <v>PT PELANGI INDOKARYA</v>
      </c>
      <c r="U56" s="215">
        <f>IFERROR(__xludf.DUMMYFUNCTION("""COMPUTED_VALUE"""),45567.44915509259)</f>
        <v>45567.44916</v>
      </c>
      <c r="V5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56" s="211" t="str">
        <f>IFERROR(__xludf.DUMMYFUNCTION("""COMPUTED_VALUE"""),"IN")</f>
        <v>IN</v>
      </c>
      <c r="X56" s="211"/>
      <c r="Z56" s="211" t="str">
        <f>IFERROR(__xludf.DUMMYFUNCTION("""COMPUTED_VALUE"""),"0426172989")</f>
        <v>0426172989</v>
      </c>
      <c r="AC56" s="211" t="str">
        <f>IFERROR(__xludf.DUMMYFUNCTION("""COMPUTED_VALUE"""),"4edfe755")</f>
        <v>4edfe755</v>
      </c>
      <c r="AD56" s="211" t="str">
        <f>IFERROR(__xludf.DUMMYFUNCTION("""COMPUTED_VALUE"""),"Bpk. Ibnu")</f>
        <v>Bpk. Ibnu</v>
      </c>
      <c r="AE56" s="211"/>
      <c r="AF56" s="216" t="b">
        <f>IFERROR(__xludf.DUMMYFUNCTION("""COMPUTED_VALUE"""),FALSE)</f>
        <v>0</v>
      </c>
      <c r="AG56" s="211" t="str">
        <f>IFERROR(__xludf.DUMMYFUNCTION("""COMPUTED_VALUE"""),"HGQF+482 Wonokupang, Sidoarjo, Jawa Timur")</f>
        <v>HGQF+482 Wonokupang, Sidoarjo, Jawa Timur</v>
      </c>
      <c r="AH56" s="217">
        <f>IFERROR(__xludf.DUMMYFUNCTION("""COMPUTED_VALUE"""),14.0)</f>
        <v>14</v>
      </c>
      <c r="AI56" s="211"/>
      <c r="AJ56" s="211"/>
      <c r="AL56" s="211" t="str">
        <f>IFERROR(__xludf.DUMMYFUNCTION("""COMPUTED_VALUE"""),"2260256")</f>
        <v>2260256</v>
      </c>
      <c r="AM56" s="211" t="str">
        <f>IFERROR(__xludf.DUMMYFUNCTION("""COMPUTED_VALUE"""),"0126102408")</f>
        <v>0126102408</v>
      </c>
      <c r="AN56" s="211" t="str">
        <f>IFERROR(__xludf.DUMMYFUNCTION("""COMPUTED_VALUE"""),"ba97d58d")</f>
        <v>ba97d58d</v>
      </c>
      <c r="AO56" s="211" t="str">
        <f>IFERROR(__xludf.DUMMYFUNCTION("""COMPUTED_VALUE"""),"Bengkel Citra Mojosari")</f>
        <v>Bengkel Citra Mojosari</v>
      </c>
      <c r="AP56" s="215">
        <f>IFERROR(__xludf.DUMMYFUNCTION("""COMPUTED_VALUE"""),46094.61344907407)</f>
        <v>46094.61345</v>
      </c>
      <c r="AQ56" s="218">
        <f>IFERROR(__xludf.DUMMYFUNCTION("""COMPUTED_VALUE"""),46052.0)</f>
        <v>46052</v>
      </c>
      <c r="AR56" s="211"/>
      <c r="AS56" s="211" t="str">
        <f>IFERROR(__xludf.DUMMYFUNCTION("""COMPUTED_VALUE"""),"4edfe755")</f>
        <v>4edfe755</v>
      </c>
      <c r="AT56" s="211" t="str">
        <f>IFERROR(__xludf.DUMMYFUNCTION("""COMPUTED_VALUE"""),"Bpk. Ibnu")</f>
        <v>Bpk. Ibnu</v>
      </c>
      <c r="AU56" s="211"/>
      <c r="AV56" s="216" t="b">
        <f>IFERROR(__xludf.DUMMYFUNCTION("""COMPUTED_VALUE"""),FALSE)</f>
        <v>0</v>
      </c>
      <c r="AW56" s="211" t="str">
        <f>IFERROR(__xludf.DUMMYFUNCTION("""COMPUTED_VALUE"""),"HGQF+482 Wonokupang, Sidoarjo, Jawa Timur")</f>
        <v>HGQF+482 Wonokupang, Sidoarjo, Jawa Timur</v>
      </c>
      <c r="AX56" s="217">
        <f>IFERROR(__xludf.DUMMYFUNCTION("""COMPUTED_VALUE"""),14.0)</f>
        <v>14</v>
      </c>
      <c r="AY56" s="211"/>
      <c r="AZ56" s="211"/>
      <c r="BB56" s="211"/>
      <c r="BC56" s="211"/>
      <c r="BD56" s="211"/>
      <c r="BE56" s="211"/>
      <c r="BF56" s="211"/>
      <c r="BG56" s="211"/>
      <c r="BH56" s="211"/>
      <c r="BI56" s="211"/>
    </row>
    <row r="57">
      <c r="A57" s="210" t="str">
        <f>IFERROR(__xludf.DUMMYFUNCTION("""COMPUTED_VALUE"""),"2e7ccd53")</f>
        <v>2e7ccd53</v>
      </c>
      <c r="B57" s="210" t="str">
        <f>IFERROR(__xludf.DUMMYFUNCTION("""COMPUTED_VALUE"""),"2e7ccd53")</f>
        <v>2e7ccd53</v>
      </c>
      <c r="C57" s="213">
        <f>IFERROR(__xludf.DUMMYFUNCTION("""COMPUTED_VALUE"""),45562.71774305555)</f>
        <v>45562.71774</v>
      </c>
      <c r="D57" s="211" t="str">
        <f>IFERROR(__xludf.DUMMYFUNCTION("""COMPUTED_VALUE"""),"f8335a53")</f>
        <v>f8335a53</v>
      </c>
      <c r="E57" s="211" t="str">
        <f>IFERROR(__xludf.DUMMYFUNCTION("""COMPUTED_VALUE"""),"CV RAGAM JAYA ENGINEERING")</f>
        <v>CV RAGAM JAYA ENGINEERING</v>
      </c>
      <c r="F57" s="211" t="str">
        <f>IFERROR(__xludf.DUMMYFUNCTION("""COMPUTED_VALUE"""),"8bdbe149")</f>
        <v>8bdbe149</v>
      </c>
      <c r="G57" s="211" t="str">
        <f>IFERROR(__xludf.DUMMYFUNCTION("""COMPUTED_VALUE"""),"Oksigen 6m3")</f>
        <v>Oksigen 6m3</v>
      </c>
      <c r="H57" s="214" t="str">
        <f>IFERROR(__xludf.DUMMYFUNCTION("""COMPUTED_VALUE"""),"IN")</f>
        <v>IN</v>
      </c>
      <c r="I57" s="214" t="str">
        <f>IFERROR(__xludf.DUMMYFUNCTION("""COMPUTED_VALUE"""),"EMPTY")</f>
        <v>EMPTY</v>
      </c>
      <c r="J57" s="211">
        <f>IFERROR(__xludf.DUMMYFUNCTION("""COMPUTED_VALUE"""),1.0)</f>
        <v>1</v>
      </c>
      <c r="K57" s="210" t="str">
        <f>IFERROR(__xludf.DUMMYFUNCTION("""COMPUTED_VALUE"""),"1119")</f>
        <v>1119</v>
      </c>
      <c r="L57" s="211"/>
      <c r="M57" s="211"/>
      <c r="N57" s="211"/>
      <c r="O57" s="211"/>
      <c r="Q57" s="210" t="str">
        <f>IFERROR(__xludf.DUMMYFUNCTION("""COMPUTED_VALUE"""),"10240034")</f>
        <v>10240034</v>
      </c>
      <c r="R57" s="210" t="str">
        <f>IFERROR(__xludf.DUMMYFUNCTION("""COMPUTED_VALUE"""),"10240034")</f>
        <v>10240034</v>
      </c>
      <c r="S57" s="211" t="str">
        <f>IFERROR(__xludf.DUMMYFUNCTION("""COMPUTED_VALUE"""),"e86baf3b")</f>
        <v>e86baf3b</v>
      </c>
      <c r="T57" s="211" t="str">
        <f>IFERROR(__xludf.DUMMYFUNCTION("""COMPUTED_VALUE"""),"PT GEMILANG CIPTA WAWASAN")</f>
        <v>PT GEMILANG CIPTA WAWASAN</v>
      </c>
      <c r="U57" s="215">
        <f>IFERROR(__xludf.DUMMYFUNCTION("""COMPUTED_VALUE"""),45567.451215277775)</f>
        <v>45567.45122</v>
      </c>
      <c r="V57" s="211" t="str">
        <f>IFERROR(__xludf.DUMMYFUNCTION("""COMPUTED_VALUE"""),"JL TEBET RAYA, 2A, TEBET BARAT, TEBET, KOTA ADM, JAKARTA SELATAN, DKI JAKARTA")</f>
        <v>JL TEBET RAYA, 2A, TEBET BARAT, TEBET, KOTA ADM, JAKARTA SELATAN, DKI JAKARTA</v>
      </c>
      <c r="W57" s="211" t="str">
        <f>IFERROR(__xludf.DUMMYFUNCTION("""COMPUTED_VALUE"""),"OUT")</f>
        <v>OUT</v>
      </c>
      <c r="X57" s="211"/>
      <c r="Z57" s="211" t="str">
        <f>IFERROR(__xludf.DUMMYFUNCTION("""COMPUTED_VALUE"""),"0426202988")</f>
        <v>0426202988</v>
      </c>
      <c r="AC57" s="211" t="str">
        <f>IFERROR(__xludf.DUMMYFUNCTION("""COMPUTED_VALUE"""),"45d814b4")</f>
        <v>45d814b4</v>
      </c>
      <c r="AD57" s="211" t="str">
        <f>IFERROR(__xludf.DUMMYFUNCTION("""COMPUTED_VALUE"""),"Bpk. Joko (Ponokawan)")</f>
        <v>Bpk. Joko (Ponokawan)</v>
      </c>
      <c r="AE57" s="211"/>
      <c r="AF57" s="216" t="b">
        <f>IFERROR(__xludf.DUMMYFUNCTION("""COMPUTED_VALUE"""),FALSE)</f>
        <v>0</v>
      </c>
      <c r="AG57" s="211" t="str">
        <f>IFERROR(__xludf.DUMMYFUNCTION("""COMPUTED_VALUE"""),"Ponokawan, Krian")</f>
        <v>Ponokawan, Krian</v>
      </c>
      <c r="AH57" s="217">
        <f>IFERROR(__xludf.DUMMYFUNCTION("""COMPUTED_VALUE"""),14.0)</f>
        <v>14</v>
      </c>
      <c r="AI57" s="211"/>
      <c r="AJ57" s="211"/>
      <c r="AL57" s="211" t="str">
        <f>IFERROR(__xludf.DUMMYFUNCTION("""COMPUTED_VALUE"""),"2260256")</f>
        <v>2260256</v>
      </c>
      <c r="AM57" s="211" t="str">
        <f>IFERROR(__xludf.DUMMYFUNCTION("""COMPUTED_VALUE"""),"0226112550")</f>
        <v>0226112550</v>
      </c>
      <c r="AN57" s="211" t="str">
        <f>IFERROR(__xludf.DUMMYFUNCTION("""COMPUTED_VALUE"""),"ba97d58d")</f>
        <v>ba97d58d</v>
      </c>
      <c r="AO57" s="211" t="str">
        <f>IFERROR(__xludf.DUMMYFUNCTION("""COMPUTED_VALUE"""),"Bengkel Citra Mojosari")</f>
        <v>Bengkel Citra Mojosari</v>
      </c>
      <c r="AP57" s="215">
        <f>IFERROR(__xludf.DUMMYFUNCTION("""COMPUTED_VALUE"""),46094.61344907407)</f>
        <v>46094.61345</v>
      </c>
      <c r="AQ57" s="218">
        <f>IFERROR(__xludf.DUMMYFUNCTION("""COMPUTED_VALUE"""),46066.0)</f>
        <v>46066</v>
      </c>
      <c r="AR57" s="211"/>
      <c r="AS57" s="211" t="str">
        <f>IFERROR(__xludf.DUMMYFUNCTION("""COMPUTED_VALUE"""),"45d814b4")</f>
        <v>45d814b4</v>
      </c>
      <c r="AT57" s="211" t="str">
        <f>IFERROR(__xludf.DUMMYFUNCTION("""COMPUTED_VALUE"""),"Bpk. Joko (Ponokawan)")</f>
        <v>Bpk. Joko (Ponokawan)</v>
      </c>
      <c r="AU57" s="211"/>
      <c r="AV57" s="216" t="b">
        <f>IFERROR(__xludf.DUMMYFUNCTION("""COMPUTED_VALUE"""),FALSE)</f>
        <v>0</v>
      </c>
      <c r="AW57" s="211" t="str">
        <f>IFERROR(__xludf.DUMMYFUNCTION("""COMPUTED_VALUE"""),"Ponokawan, Krian")</f>
        <v>Ponokawan, Krian</v>
      </c>
      <c r="AX57" s="217">
        <f>IFERROR(__xludf.DUMMYFUNCTION("""COMPUTED_VALUE"""),14.0)</f>
        <v>14</v>
      </c>
      <c r="AY57" s="211"/>
      <c r="AZ57" s="211"/>
      <c r="BB57" s="211"/>
      <c r="BC57" s="211"/>
      <c r="BD57" s="211"/>
      <c r="BE57" s="211"/>
      <c r="BF57" s="211"/>
      <c r="BG57" s="211"/>
      <c r="BH57" s="211"/>
      <c r="BI57" s="211"/>
    </row>
    <row r="58">
      <c r="A58" s="210" t="str">
        <f>IFERROR(__xludf.DUMMYFUNCTION("""COMPUTED_VALUE"""),"09240028")</f>
        <v>09240028</v>
      </c>
      <c r="B58" s="210" t="str">
        <f>IFERROR(__xludf.DUMMYFUNCTION("""COMPUTED_VALUE"""),"09240028")</f>
        <v>09240028</v>
      </c>
      <c r="C58" s="213">
        <f>IFERROR(__xludf.DUMMYFUNCTION("""COMPUTED_VALUE"""),45563.34622685185)</f>
        <v>45563.34623</v>
      </c>
      <c r="D58" s="211" t="str">
        <f>IFERROR(__xludf.DUMMYFUNCTION("""COMPUTED_VALUE"""),"7b9d8eba")</f>
        <v>7b9d8eba</v>
      </c>
      <c r="E58" s="211" t="str">
        <f>IFERROR(__xludf.DUMMYFUNCTION("""COMPUTED_VALUE"""),"PT PELANGI INDOKARYA")</f>
        <v>PT PELANGI INDOKARYA</v>
      </c>
      <c r="F58" s="211" t="str">
        <f>IFERROR(__xludf.DUMMYFUNCTION("""COMPUTED_VALUE"""),"b7a8fff1")</f>
        <v>b7a8fff1</v>
      </c>
      <c r="G58" s="211" t="str">
        <f>IFERROR(__xludf.DUMMYFUNCTION("""COMPUTED_VALUE"""),"LPG 50kg")</f>
        <v>LPG 50kg</v>
      </c>
      <c r="H58" s="214" t="str">
        <f>IFERROR(__xludf.DUMMYFUNCTION("""COMPUTED_VALUE"""),"OUT")</f>
        <v>OUT</v>
      </c>
      <c r="I58" s="214" t="str">
        <f>IFERROR(__xludf.DUMMYFUNCTION("""COMPUTED_VALUE"""),"NORMAL")</f>
        <v>NORMAL</v>
      </c>
      <c r="J58" s="211">
        <f>IFERROR(__xludf.DUMMYFUNCTION("""COMPUTED_VALUE"""),1.0)</f>
        <v>1</v>
      </c>
      <c r="K58" s="211"/>
      <c r="L58" s="211">
        <f>IFERROR(__xludf.DUMMYFUNCTION("""COMPUTED_VALUE"""),1400000.0)</f>
        <v>1400000</v>
      </c>
      <c r="M58" s="211"/>
      <c r="N58" s="211"/>
      <c r="O58" s="211"/>
      <c r="Q58" s="210" t="str">
        <f>IFERROR(__xludf.DUMMYFUNCTION("""COMPUTED_VALUE"""),"10240035")</f>
        <v>10240035</v>
      </c>
      <c r="R58" s="210" t="str">
        <f>IFERROR(__xludf.DUMMYFUNCTION("""COMPUTED_VALUE"""),"10240035")</f>
        <v>10240035</v>
      </c>
      <c r="S58" s="211" t="str">
        <f>IFERROR(__xludf.DUMMYFUNCTION("""COMPUTED_VALUE"""),"2d88931c")</f>
        <v>2d88931c</v>
      </c>
      <c r="T58" s="211" t="str">
        <f>IFERROR(__xludf.DUMMYFUNCTION("""COMPUTED_VALUE"""),"PT Dunia Berkat Marga Mulya")</f>
        <v>PT Dunia Berkat Marga Mulya</v>
      </c>
      <c r="U58" s="215">
        <f>IFERROR(__xludf.DUMMYFUNCTION("""COMPUTED_VALUE"""),45567.489178240736)</f>
        <v>45567.48918</v>
      </c>
      <c r="V58" s="211" t="str">
        <f>IFERROR(__xludf.DUMMYFUNCTION("""COMPUTED_VALUE"""),"JL JABARAN, WATESARI, BALONGBENDO, SIDOARJO, JAWA TIMUR")</f>
        <v>JL JABARAN, WATESARI, BALONGBENDO, SIDOARJO, JAWA TIMUR</v>
      </c>
      <c r="W58" s="211" t="str">
        <f>IFERROR(__xludf.DUMMYFUNCTION("""COMPUTED_VALUE"""),"OUT")</f>
        <v>OUT</v>
      </c>
      <c r="X58" s="211"/>
      <c r="Z58" s="211" t="str">
        <f>IFERROR(__xludf.DUMMYFUNCTION("""COMPUTED_VALUE"""),"042672984")</f>
        <v>042672984</v>
      </c>
      <c r="AC58" s="211" t="str">
        <f>IFERROR(__xludf.DUMMYFUNCTION("""COMPUTED_VALUE"""),"b218b89b")</f>
        <v>b218b89b</v>
      </c>
      <c r="AD58" s="211" t="str">
        <f>IFERROR(__xludf.DUMMYFUNCTION("""COMPUTED_VALUE"""),"PT Harapan Sentosa")</f>
        <v>PT Harapan Sentosa</v>
      </c>
      <c r="AE58" s="211"/>
      <c r="AF58" s="216" t="b">
        <f>IFERROR(__xludf.DUMMYFUNCTION("""COMPUTED_VALUE"""),FALSE)</f>
        <v>0</v>
      </c>
      <c r="AG58" s="211" t="str">
        <f>IFERROR(__xludf.DUMMYFUNCTION("""COMPUTED_VALUE"""),"Seketi, Jl. Purboyo II Selatan, RT.02/RW.02, Seketi, Kec. BalongBendo, Kabupaten Sidoarjo, Jawa Timur 61263")</f>
        <v>Seketi, Jl. Purboyo II Selatan, RT.02/RW.02, Seketi, Kec. BalongBendo, Kabupaten Sidoarjo, Jawa Timur 61263</v>
      </c>
      <c r="AH58" s="211"/>
      <c r="AI58" s="211"/>
      <c r="AJ58" s="211"/>
      <c r="AL58" s="211" t="str">
        <f>IFERROR(__xludf.DUMMYFUNCTION("""COMPUTED_VALUE"""),"2260256")</f>
        <v>2260256</v>
      </c>
      <c r="AM58" s="211" t="str">
        <f>IFERROR(__xludf.DUMMYFUNCTION("""COMPUTED_VALUE"""),"0226122641")</f>
        <v>0226122641</v>
      </c>
      <c r="AN58" s="211" t="str">
        <f>IFERROR(__xludf.DUMMYFUNCTION("""COMPUTED_VALUE"""),"ba97d58d")</f>
        <v>ba97d58d</v>
      </c>
      <c r="AO58" s="211" t="str">
        <f>IFERROR(__xludf.DUMMYFUNCTION("""COMPUTED_VALUE"""),"Bengkel Citra Mojosari")</f>
        <v>Bengkel Citra Mojosari</v>
      </c>
      <c r="AP58" s="215">
        <f>IFERROR(__xludf.DUMMYFUNCTION("""COMPUTED_VALUE"""),46094.61344907407)</f>
        <v>46094.61345</v>
      </c>
      <c r="AQ58" s="218">
        <f>IFERROR(__xludf.DUMMYFUNCTION("""COMPUTED_VALUE"""),46076.0)</f>
        <v>46076</v>
      </c>
      <c r="AR58" s="211"/>
      <c r="AS58" s="211" t="str">
        <f>IFERROR(__xludf.DUMMYFUNCTION("""COMPUTED_VALUE"""),"b218b89b")</f>
        <v>b218b89b</v>
      </c>
      <c r="AT58" s="211" t="str">
        <f>IFERROR(__xludf.DUMMYFUNCTION("""COMPUTED_VALUE"""),"PT Harapan Sentosa")</f>
        <v>PT Harapan Sentosa</v>
      </c>
      <c r="AU58" s="211"/>
      <c r="AV58" s="216" t="b">
        <f>IFERROR(__xludf.DUMMYFUNCTION("""COMPUTED_VALUE"""),FALSE)</f>
        <v>0</v>
      </c>
      <c r="AW58" s="211" t="str">
        <f>IFERROR(__xludf.DUMMYFUNCTION("""COMPUTED_VALUE"""),"Seketi, Jl. Purboyo II Selatan, RT.02/RW.02, Seketi, Kec. BalongBendo, Kabupaten Sidoarjo, Jawa Timur 61263")</f>
        <v>Seketi, Jl. Purboyo II Selatan, RT.02/RW.02, Seketi, Kec. BalongBendo, Kabupaten Sidoarjo, Jawa Timur 61263</v>
      </c>
      <c r="AX58" s="211"/>
      <c r="AY58" s="211"/>
      <c r="AZ58" s="211"/>
      <c r="BB58" s="211"/>
      <c r="BC58" s="211"/>
      <c r="BD58" s="211"/>
      <c r="BE58" s="211"/>
      <c r="BF58" s="211"/>
      <c r="BG58" s="211"/>
      <c r="BH58" s="211"/>
      <c r="BI58" s="211"/>
    </row>
    <row r="59">
      <c r="A59" s="210" t="str">
        <f>IFERROR(__xludf.DUMMYFUNCTION("""COMPUTED_VALUE"""),"1a143a63")</f>
        <v>1a143a63</v>
      </c>
      <c r="B59" s="210" t="str">
        <f>IFERROR(__xludf.DUMMYFUNCTION("""COMPUTED_VALUE"""),"1a143a63")</f>
        <v>1a143a63</v>
      </c>
      <c r="C59" s="213">
        <f>IFERROR(__xludf.DUMMYFUNCTION("""COMPUTED_VALUE"""),45563.37761574074)</f>
        <v>45563.37762</v>
      </c>
      <c r="D59" s="211" t="str">
        <f>IFERROR(__xludf.DUMMYFUNCTION("""COMPUTED_VALUE"""),"7b9d8eba")</f>
        <v>7b9d8eba</v>
      </c>
      <c r="E59" s="211" t="str">
        <f>IFERROR(__xludf.DUMMYFUNCTION("""COMPUTED_VALUE"""),"PT PELANGI INDOKARYA")</f>
        <v>PT PELANGI INDOKARYA</v>
      </c>
      <c r="F59" s="211" t="str">
        <f>IFERROR(__xludf.DUMMYFUNCTION("""COMPUTED_VALUE"""),"8bdbe149")</f>
        <v>8bdbe149</v>
      </c>
      <c r="G59" s="211" t="str">
        <f>IFERROR(__xludf.DUMMYFUNCTION("""COMPUTED_VALUE"""),"Oksigen 6m3")</f>
        <v>Oksigen 6m3</v>
      </c>
      <c r="H59" s="214" t="str">
        <f>IFERROR(__xludf.DUMMYFUNCTION("""COMPUTED_VALUE"""),"IN")</f>
        <v>IN</v>
      </c>
      <c r="I59" s="214" t="str">
        <f>IFERROR(__xludf.DUMMYFUNCTION("""COMPUTED_VALUE"""),"EMPTY")</f>
        <v>EMPTY</v>
      </c>
      <c r="J59" s="211">
        <f>IFERROR(__xludf.DUMMYFUNCTION("""COMPUTED_VALUE"""),6.0)</f>
        <v>6</v>
      </c>
      <c r="K59" s="210" t="str">
        <f>IFERROR(__xludf.DUMMYFUNCTION("""COMPUTED_VALUE"""),"1109 1175 1163 1172 1132 1171")</f>
        <v>1109 1175 1163 1172 1132 1171</v>
      </c>
      <c r="L59" s="211"/>
      <c r="M59" s="211"/>
      <c r="N59" s="211"/>
      <c r="O59" s="211"/>
      <c r="Q59" s="210" t="str">
        <f>IFERROR(__xludf.DUMMYFUNCTION("""COMPUTED_VALUE"""),"30b1728c")</f>
        <v>30b1728c</v>
      </c>
      <c r="R59" s="210" t="str">
        <f>IFERROR(__xludf.DUMMYFUNCTION("""COMPUTED_VALUE"""),"30b1728c")</f>
        <v>30b1728c</v>
      </c>
      <c r="S59" s="211" t="str">
        <f>IFERROR(__xludf.DUMMYFUNCTION("""COMPUTED_VALUE"""),"2d88931c")</f>
        <v>2d88931c</v>
      </c>
      <c r="T59" s="211" t="str">
        <f>IFERROR(__xludf.DUMMYFUNCTION("""COMPUTED_VALUE"""),"PT Dunia Berkat Marga Mulya")</f>
        <v>PT Dunia Berkat Marga Mulya</v>
      </c>
      <c r="U59" s="215">
        <f>IFERROR(__xludf.DUMMYFUNCTION("""COMPUTED_VALUE"""),45567.58142361111)</f>
        <v>45567.58142</v>
      </c>
      <c r="V59" s="211" t="str">
        <f>IFERROR(__xludf.DUMMYFUNCTION("""COMPUTED_VALUE"""),"JL JABARAN, WATESARI, BALONGBENDO, SIDOARJO, JAWA TIMUR")</f>
        <v>JL JABARAN, WATESARI, BALONGBENDO, SIDOARJO, JAWA TIMUR</v>
      </c>
      <c r="W59" s="211" t="str">
        <f>IFERROR(__xludf.DUMMYFUNCTION("""COMPUTED_VALUE"""),"IN")</f>
        <v>IN</v>
      </c>
      <c r="X59" s="211"/>
      <c r="Z59" s="211" t="str">
        <f>IFERROR(__xludf.DUMMYFUNCTION("""COMPUTED_VALUE"""),"0426192983")</f>
        <v>0426192983</v>
      </c>
      <c r="AC59" s="211" t="str">
        <f>IFERROR(__xludf.DUMMYFUNCTION("""COMPUTED_VALUE"""),"9e31e9f4")</f>
        <v>9e31e9f4</v>
      </c>
      <c r="AD59" s="211" t="str">
        <f>IFERROR(__xludf.DUMMYFUNCTION("""COMPUTED_VALUE"""),"Bpk. Eko Iswantoro")</f>
        <v>Bpk. Eko Iswantoro</v>
      </c>
      <c r="AE59" s="211"/>
      <c r="AF59" s="216" t="b">
        <f>IFERROR(__xludf.DUMMYFUNCTION("""COMPUTED_VALUE"""),FALSE)</f>
        <v>0</v>
      </c>
      <c r="AG59" s="211" t="str">
        <f>IFERROR(__xludf.DUMMYFUNCTION("""COMPUTED_VALUE"""),"HHWW+8J Kemasan, Kec. Krian, Kabupaten Sidoarjo, Jawa Timur, Indonesia")</f>
        <v>HHWW+8J Kemasan, Kec. Krian, Kabupaten Sidoarjo, Jawa Timur, Indonesia</v>
      </c>
      <c r="AH59" s="217">
        <f>IFERROR(__xludf.DUMMYFUNCTION("""COMPUTED_VALUE"""),7.0)</f>
        <v>7</v>
      </c>
      <c r="AI59" s="211"/>
      <c r="AJ59" s="211"/>
      <c r="AL59" s="211" t="str">
        <f>IFERROR(__xludf.DUMMYFUNCTION("""COMPUTED_VALUE"""),"2260256")</f>
        <v>2260256</v>
      </c>
      <c r="AM59" s="211" t="str">
        <f>IFERROR(__xludf.DUMMYFUNCTION("""COMPUTED_VALUE"""),"0226132693")</f>
        <v>0226132693</v>
      </c>
      <c r="AN59" s="211" t="str">
        <f>IFERROR(__xludf.DUMMYFUNCTION("""COMPUTED_VALUE"""),"ba97d58d")</f>
        <v>ba97d58d</v>
      </c>
      <c r="AO59" s="211" t="str">
        <f>IFERROR(__xludf.DUMMYFUNCTION("""COMPUTED_VALUE"""),"Bengkel Citra Mojosari")</f>
        <v>Bengkel Citra Mojosari</v>
      </c>
      <c r="AP59" s="215">
        <f>IFERROR(__xludf.DUMMYFUNCTION("""COMPUTED_VALUE"""),46094.61344907407)</f>
        <v>46094.61345</v>
      </c>
      <c r="AQ59" s="218">
        <f>IFERROR(__xludf.DUMMYFUNCTION("""COMPUTED_VALUE"""),46080.0)</f>
        <v>46080</v>
      </c>
      <c r="AR59" s="211"/>
      <c r="AS59" s="211" t="str">
        <f>IFERROR(__xludf.DUMMYFUNCTION("""COMPUTED_VALUE"""),"9e31e9f4")</f>
        <v>9e31e9f4</v>
      </c>
      <c r="AT59" s="211" t="str">
        <f>IFERROR(__xludf.DUMMYFUNCTION("""COMPUTED_VALUE"""),"Bpk. Eko Iswantoro")</f>
        <v>Bpk. Eko Iswantoro</v>
      </c>
      <c r="AU59" s="211"/>
      <c r="AV59" s="216" t="b">
        <f>IFERROR(__xludf.DUMMYFUNCTION("""COMPUTED_VALUE"""),FALSE)</f>
        <v>0</v>
      </c>
      <c r="AW59" s="211" t="str">
        <f>IFERROR(__xludf.DUMMYFUNCTION("""COMPUTED_VALUE"""),"HHWW+8J Kemasan, Kec. Krian, Kabupaten Sidoarjo, Jawa Timur, Indonesia")</f>
        <v>HHWW+8J Kemasan, Kec. Krian, Kabupaten Sidoarjo, Jawa Timur, Indonesia</v>
      </c>
      <c r="AX59" s="217">
        <f>IFERROR(__xludf.DUMMYFUNCTION("""COMPUTED_VALUE"""),7.0)</f>
        <v>7</v>
      </c>
      <c r="AY59" s="211"/>
      <c r="AZ59" s="211"/>
      <c r="BB59" s="211"/>
      <c r="BC59" s="211"/>
      <c r="BD59" s="211"/>
      <c r="BE59" s="211"/>
      <c r="BF59" s="211"/>
      <c r="BG59" s="211"/>
      <c r="BH59" s="211"/>
      <c r="BI59" s="211"/>
    </row>
    <row r="60">
      <c r="A60" s="210" t="str">
        <f>IFERROR(__xludf.DUMMYFUNCTION("""COMPUTED_VALUE"""),"09240030")</f>
        <v>09240030</v>
      </c>
      <c r="B60" s="210" t="str">
        <f>IFERROR(__xludf.DUMMYFUNCTION("""COMPUTED_VALUE"""),"09240030")</f>
        <v>09240030</v>
      </c>
      <c r="C60" s="213">
        <f>IFERROR(__xludf.DUMMYFUNCTION("""COMPUTED_VALUE"""),45564.4)</f>
        <v>45564.4</v>
      </c>
      <c r="D60" s="211" t="str">
        <f>IFERROR(__xludf.DUMMYFUNCTION("""COMPUTED_VALUE"""),"7b9d8eba")</f>
        <v>7b9d8eba</v>
      </c>
      <c r="E60" s="211" t="str">
        <f>IFERROR(__xludf.DUMMYFUNCTION("""COMPUTED_VALUE"""),"PT PELANGI INDOKARYA")</f>
        <v>PT PELANGI INDOKARYA</v>
      </c>
      <c r="F60" s="211" t="str">
        <f>IFERROR(__xludf.DUMMYFUNCTION("""COMPUTED_VALUE"""),"8bdbe149")</f>
        <v>8bdbe149</v>
      </c>
      <c r="G60" s="211" t="str">
        <f>IFERROR(__xludf.DUMMYFUNCTION("""COMPUTED_VALUE"""),"Oksigen 6m3")</f>
        <v>Oksigen 6m3</v>
      </c>
      <c r="H60" s="214" t="str">
        <f>IFERROR(__xludf.DUMMYFUNCTION("""COMPUTED_VALUE"""),"OUT")</f>
        <v>OUT</v>
      </c>
      <c r="I60" s="214" t="str">
        <f>IFERROR(__xludf.DUMMYFUNCTION("""COMPUTED_VALUE"""),"NORMAL")</f>
        <v>NORMAL</v>
      </c>
      <c r="J60" s="211">
        <f>IFERROR(__xludf.DUMMYFUNCTION("""COMPUTED_VALUE"""),7.0)</f>
        <v>7</v>
      </c>
      <c r="K60" s="210" t="str">
        <f>IFERROR(__xludf.DUMMYFUNCTION("""COMPUTED_VALUE"""),"1165 1122 1129 1143 1133 1160 1121")</f>
        <v>1165 1122 1129 1143 1133 1160 1121</v>
      </c>
      <c r="L60" s="211">
        <f>IFERROR(__xludf.DUMMYFUNCTION("""COMPUTED_VALUE"""),60000.0)</f>
        <v>60000</v>
      </c>
      <c r="M60" s="211"/>
      <c r="N60" s="211"/>
      <c r="O60" s="211"/>
      <c r="Q60" s="210" t="str">
        <f>IFERROR(__xludf.DUMMYFUNCTION("""COMPUTED_VALUE"""),"936ad183")</f>
        <v>936ad183</v>
      </c>
      <c r="R60" s="210" t="str">
        <f>IFERROR(__xludf.DUMMYFUNCTION("""COMPUTED_VALUE"""),"936ad183")</f>
        <v>936ad183</v>
      </c>
      <c r="S60" s="211" t="str">
        <f>IFERROR(__xludf.DUMMYFUNCTION("""COMPUTED_VALUE"""),"7b9d8eba")</f>
        <v>7b9d8eba</v>
      </c>
      <c r="T60" s="211" t="str">
        <f>IFERROR(__xludf.DUMMYFUNCTION("""COMPUTED_VALUE"""),"PT PELANGI INDOKARYA")</f>
        <v>PT PELANGI INDOKARYA</v>
      </c>
      <c r="U60" s="215">
        <f>IFERROR(__xludf.DUMMYFUNCTION("""COMPUTED_VALUE"""),45570.41184027778)</f>
        <v>45570.41184</v>
      </c>
      <c r="V6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60" s="211" t="str">
        <f>IFERROR(__xludf.DUMMYFUNCTION("""COMPUTED_VALUE"""),"IN")</f>
        <v>IN</v>
      </c>
      <c r="X60" s="211"/>
      <c r="Z60" s="211" t="str">
        <f>IFERROR(__xludf.DUMMYFUNCTION("""COMPUTED_VALUE"""),"0426382978")</f>
        <v>0426382978</v>
      </c>
      <c r="AC60" s="211" t="str">
        <f>IFERROR(__xludf.DUMMYFUNCTION("""COMPUTED_VALUE"""),"196b24da")</f>
        <v>196b24da</v>
      </c>
      <c r="AD60" s="211" t="str">
        <f>IFERROR(__xludf.DUMMYFUNCTION("""COMPUTED_VALUE"""),"PT Samudra Cipta Enjineering")</f>
        <v>PT Samudra Cipta Enjineering</v>
      </c>
      <c r="AE60" s="211"/>
      <c r="AF60" s="216" t="b">
        <f>IFERROR(__xludf.DUMMYFUNCTION("""COMPUTED_VALUE"""),FALSE)</f>
        <v>0</v>
      </c>
      <c r="AG60" s="211" t="str">
        <f>IFERROR(__xludf.DUMMYFUNCTION("""COMPUTED_VALUE"""),"Pergudangan Center Point Blok C4   Ds. Kemangsen  Balongbendo")</f>
        <v>Pergudangan Center Point Blok C4   Ds. Kemangsen  Balongbendo</v>
      </c>
      <c r="AH60" s="217">
        <f>IFERROR(__xludf.DUMMYFUNCTION("""COMPUTED_VALUE"""),45.0)</f>
        <v>45</v>
      </c>
      <c r="AI60" s="211"/>
      <c r="AJ60" s="211"/>
      <c r="AL60" s="211" t="str">
        <f>IFERROR(__xludf.DUMMYFUNCTION("""COMPUTED_VALUE"""),"2260256")</f>
        <v>2260256</v>
      </c>
      <c r="AM60" s="211" t="str">
        <f>IFERROR(__xludf.DUMMYFUNCTION("""COMPUTED_VALUE"""),"0326142812")</f>
        <v>0326142812</v>
      </c>
      <c r="AN60" s="211" t="str">
        <f>IFERROR(__xludf.DUMMYFUNCTION("""COMPUTED_VALUE"""),"ba97d58d")</f>
        <v>ba97d58d</v>
      </c>
      <c r="AO60" s="211" t="str">
        <f>IFERROR(__xludf.DUMMYFUNCTION("""COMPUTED_VALUE"""),"Bengkel Citra Mojosari")</f>
        <v>Bengkel Citra Mojosari</v>
      </c>
      <c r="AP60" s="215">
        <f>IFERROR(__xludf.DUMMYFUNCTION("""COMPUTED_VALUE"""),46094.61344907407)</f>
        <v>46094.61345</v>
      </c>
      <c r="AQ60" s="218">
        <f>IFERROR(__xludf.DUMMYFUNCTION("""COMPUTED_VALUE"""),46091.0)</f>
        <v>46091</v>
      </c>
      <c r="AR60" s="211"/>
      <c r="AS60" s="211" t="str">
        <f>IFERROR(__xludf.DUMMYFUNCTION("""COMPUTED_VALUE"""),"196b24da")</f>
        <v>196b24da</v>
      </c>
      <c r="AT60" s="211" t="str">
        <f>IFERROR(__xludf.DUMMYFUNCTION("""COMPUTED_VALUE"""),"PT Samudra Cipta Enjineering")</f>
        <v>PT Samudra Cipta Enjineering</v>
      </c>
      <c r="AU60" s="211"/>
      <c r="AV60" s="216" t="b">
        <f>IFERROR(__xludf.DUMMYFUNCTION("""COMPUTED_VALUE"""),FALSE)</f>
        <v>0</v>
      </c>
      <c r="AW60" s="211" t="str">
        <f>IFERROR(__xludf.DUMMYFUNCTION("""COMPUTED_VALUE"""),"Pergudangan Center Point Blok C4   Ds. Kemangsen  Balongbendo")</f>
        <v>Pergudangan Center Point Blok C4   Ds. Kemangsen  Balongbendo</v>
      </c>
      <c r="AX60" s="217">
        <f>IFERROR(__xludf.DUMMYFUNCTION("""COMPUTED_VALUE"""),45.0)</f>
        <v>45</v>
      </c>
      <c r="AY60" s="211"/>
      <c r="AZ60" s="211"/>
      <c r="BB60" s="211"/>
      <c r="BC60" s="211"/>
      <c r="BD60" s="211"/>
      <c r="BE60" s="211"/>
      <c r="BF60" s="211"/>
      <c r="BG60" s="211"/>
      <c r="BH60" s="211"/>
      <c r="BI60" s="211"/>
    </row>
    <row r="61">
      <c r="A61" s="210" t="str">
        <f>IFERROR(__xludf.DUMMYFUNCTION("""COMPUTED_VALUE"""),"038ba28f")</f>
        <v>038ba28f</v>
      </c>
      <c r="B61" s="210" t="str">
        <f>IFERROR(__xludf.DUMMYFUNCTION("""COMPUTED_VALUE"""),"038ba28f")</f>
        <v>038ba28f</v>
      </c>
      <c r="C61" s="213">
        <f>IFERROR(__xludf.DUMMYFUNCTION("""COMPUTED_VALUE"""),45564.40069444444)</f>
        <v>45564.40069</v>
      </c>
      <c r="D61" s="211" t="str">
        <f>IFERROR(__xludf.DUMMYFUNCTION("""COMPUTED_VALUE"""),"7b9d8eba")</f>
        <v>7b9d8eba</v>
      </c>
      <c r="E61" s="211" t="str">
        <f>IFERROR(__xludf.DUMMYFUNCTION("""COMPUTED_VALUE"""),"PT PELANGI INDOKARYA")</f>
        <v>PT PELANGI INDOKARYA</v>
      </c>
      <c r="F61" s="211" t="str">
        <f>IFERROR(__xludf.DUMMYFUNCTION("""COMPUTED_VALUE"""),"8bdbe149")</f>
        <v>8bdbe149</v>
      </c>
      <c r="G61" s="211" t="str">
        <f>IFERROR(__xludf.DUMMYFUNCTION("""COMPUTED_VALUE"""),"Oksigen 6m3")</f>
        <v>Oksigen 6m3</v>
      </c>
      <c r="H61" s="214" t="str">
        <f>IFERROR(__xludf.DUMMYFUNCTION("""COMPUTED_VALUE"""),"IN")</f>
        <v>IN</v>
      </c>
      <c r="I61" s="214" t="str">
        <f>IFERROR(__xludf.DUMMYFUNCTION("""COMPUTED_VALUE"""),"EMPTY")</f>
        <v>EMPTY</v>
      </c>
      <c r="J61" s="211">
        <f>IFERROR(__xludf.DUMMYFUNCTION("""COMPUTED_VALUE"""),7.0)</f>
        <v>7</v>
      </c>
      <c r="K61" s="210" t="str">
        <f>IFERROR(__xludf.DUMMYFUNCTION("""COMPUTED_VALUE"""),"1180 1128 1164 1149 1146 1147 1123")</f>
        <v>1180 1128 1164 1149 1146 1147 1123</v>
      </c>
      <c r="L61" s="211"/>
      <c r="M61" s="211"/>
      <c r="N61" s="211"/>
      <c r="O61" s="211"/>
      <c r="Q61" s="210" t="str">
        <f>IFERROR(__xludf.DUMMYFUNCTION("""COMPUTED_VALUE"""),"7bbfe6fb")</f>
        <v>7bbfe6fb</v>
      </c>
      <c r="R61" s="210" t="str">
        <f>IFERROR(__xludf.DUMMYFUNCTION("""COMPUTED_VALUE"""),"7bbfe6fb")</f>
        <v>7bbfe6fb</v>
      </c>
      <c r="S61" s="211" t="str">
        <f>IFERROR(__xludf.DUMMYFUNCTION("""COMPUTED_VALUE"""),"f8335a53")</f>
        <v>f8335a53</v>
      </c>
      <c r="T61" s="211" t="str">
        <f>IFERROR(__xludf.DUMMYFUNCTION("""COMPUTED_VALUE"""),"CV RAGAM JAYA ENGINEERING")</f>
        <v>CV RAGAM JAYA ENGINEERING</v>
      </c>
      <c r="U61" s="215">
        <f>IFERROR(__xludf.DUMMYFUNCTION("""COMPUTED_VALUE"""),45570.41278935185)</f>
        <v>45570.41279</v>
      </c>
      <c r="V61" s="211" t="str">
        <f>IFERROR(__xludf.DUMMYFUNCTION("""COMPUTED_VALUE"""),"Jl. Balung wangon, Dadapkuning, Bulurejo, Kec. Benjeng, Kabupaten Gresik, Jawa Timur 61172")</f>
        <v>Jl. Balung wangon, Dadapkuning, Bulurejo, Kec. Benjeng, Kabupaten Gresik, Jawa Timur 61172</v>
      </c>
      <c r="W61" s="211" t="str">
        <f>IFERROR(__xludf.DUMMYFUNCTION("""COMPUTED_VALUE"""),"IN")</f>
        <v>IN</v>
      </c>
      <c r="X61" s="211"/>
      <c r="Z61" s="211" t="str">
        <f>IFERROR(__xludf.DUMMYFUNCTION("""COMPUTED_VALUE"""),"042622977")</f>
        <v>042622977</v>
      </c>
      <c r="AC61" s="211" t="str">
        <f>IFERROR(__xludf.DUMMYFUNCTION("""COMPUTED_VALUE"""),"eec2e801")</f>
        <v>eec2e801</v>
      </c>
      <c r="AD61" s="211" t="str">
        <f>IFERROR(__xludf.DUMMYFUNCTION("""COMPUTED_VALUE"""),"Mitra Wood Sejahtera")</f>
        <v>Mitra Wood Sejahtera</v>
      </c>
      <c r="AE61" s="211"/>
      <c r="AF61" s="216" t="b">
        <f>IFERROR(__xludf.DUMMYFUNCTION("""COMPUTED_VALUE"""),FALSE)</f>
        <v>0</v>
      </c>
      <c r="AG61" s="211" t="str">
        <f>IFERROR(__xludf.DUMMYFUNCTION("""COMPUTED_VALUE"""),"Jl.cungkling, Jl. Tanggungan, Nanom Kidul, Lebaniwaras, Kec. Wringinanom, Kabupaten Gresik, Jawa Timur 61176")</f>
        <v>Jl.cungkling, Jl. Tanggungan, Nanom Kidul, Lebaniwaras, Kec. Wringinanom, Kabupaten Gresik, Jawa Timur 61176</v>
      </c>
      <c r="AH61" s="217">
        <f>IFERROR(__xludf.DUMMYFUNCTION("""COMPUTED_VALUE"""),30.0)</f>
        <v>30</v>
      </c>
      <c r="AI61" s="211"/>
      <c r="AJ61" s="211"/>
      <c r="AL61" s="211" t="str">
        <f>IFERROR(__xludf.DUMMYFUNCTION("""COMPUTED_VALUE"""),"2260256")</f>
        <v>2260256</v>
      </c>
      <c r="AM61" s="211" t="str">
        <f>IFERROR(__xludf.DUMMYFUNCTION("""COMPUTED_VALUE"""),"0326152854")</f>
        <v>0326152854</v>
      </c>
      <c r="AN61" s="211" t="str">
        <f>IFERROR(__xludf.DUMMYFUNCTION("""COMPUTED_VALUE"""),"ba97d58d")</f>
        <v>ba97d58d</v>
      </c>
      <c r="AO61" s="211" t="str">
        <f>IFERROR(__xludf.DUMMYFUNCTION("""COMPUTED_VALUE"""),"Bengkel Citra Mojosari")</f>
        <v>Bengkel Citra Mojosari</v>
      </c>
      <c r="AP61" s="215">
        <f>IFERROR(__xludf.DUMMYFUNCTION("""COMPUTED_VALUE"""),46094.61344907407)</f>
        <v>46094.61345</v>
      </c>
      <c r="AQ61" s="218">
        <f>IFERROR(__xludf.DUMMYFUNCTION("""COMPUTED_VALUE"""),46094.0)</f>
        <v>46094</v>
      </c>
      <c r="AR61" s="211"/>
      <c r="AS61" s="211" t="str">
        <f>IFERROR(__xludf.DUMMYFUNCTION("""COMPUTED_VALUE"""),"eec2e801")</f>
        <v>eec2e801</v>
      </c>
      <c r="AT61" s="211" t="str">
        <f>IFERROR(__xludf.DUMMYFUNCTION("""COMPUTED_VALUE"""),"Mitra Wood Sejahtera")</f>
        <v>Mitra Wood Sejahtera</v>
      </c>
      <c r="AU61" s="211"/>
      <c r="AV61" s="216" t="b">
        <f>IFERROR(__xludf.DUMMYFUNCTION("""COMPUTED_VALUE"""),FALSE)</f>
        <v>0</v>
      </c>
      <c r="AW61" s="211" t="str">
        <f>IFERROR(__xludf.DUMMYFUNCTION("""COMPUTED_VALUE"""),"Jl.cungkling, Jl. Tanggungan, Nanom Kidul, Lebaniwaras, Kec. Wringinanom, Kabupaten Gresik, Jawa Timur 61176")</f>
        <v>Jl.cungkling, Jl. Tanggungan, Nanom Kidul, Lebaniwaras, Kec. Wringinanom, Kabupaten Gresik, Jawa Timur 61176</v>
      </c>
      <c r="AX61" s="217">
        <f>IFERROR(__xludf.DUMMYFUNCTION("""COMPUTED_VALUE"""),30.0)</f>
        <v>30</v>
      </c>
      <c r="AY61" s="211"/>
      <c r="AZ61" s="211"/>
      <c r="BB61" s="211"/>
      <c r="BC61" s="211"/>
      <c r="BD61" s="211"/>
      <c r="BE61" s="211"/>
      <c r="BF61" s="211"/>
      <c r="BG61" s="211"/>
      <c r="BH61" s="211"/>
      <c r="BI61" s="211"/>
    </row>
    <row r="62">
      <c r="A62" s="210" t="str">
        <f>IFERROR(__xludf.DUMMYFUNCTION("""COMPUTED_VALUE"""),"e62a1fad")</f>
        <v>e62a1fad</v>
      </c>
      <c r="B62" s="210" t="str">
        <f>IFERROR(__xludf.DUMMYFUNCTION("""COMPUTED_VALUE"""),"e62a1fad")</f>
        <v>e62a1fad</v>
      </c>
      <c r="C62" s="213">
        <f>IFERROR(__xludf.DUMMYFUNCTION("""COMPUTED_VALUE"""),45565.46666666667)</f>
        <v>45565.46667</v>
      </c>
      <c r="D62" s="211" t="str">
        <f>IFERROR(__xludf.DUMMYFUNCTION("""COMPUTED_VALUE"""),"7b9d8eba")</f>
        <v>7b9d8eba</v>
      </c>
      <c r="E62" s="211" t="str">
        <f>IFERROR(__xludf.DUMMYFUNCTION("""COMPUTED_VALUE"""),"PT PELANGI INDOKARYA")</f>
        <v>PT PELANGI INDOKARYA</v>
      </c>
      <c r="F62" s="211" t="str">
        <f>IFERROR(__xludf.DUMMYFUNCTION("""COMPUTED_VALUE"""),"b7a8fff1")</f>
        <v>b7a8fff1</v>
      </c>
      <c r="G62" s="211" t="str">
        <f>IFERROR(__xludf.DUMMYFUNCTION("""COMPUTED_VALUE"""),"LPG 50kg")</f>
        <v>LPG 50kg</v>
      </c>
      <c r="H62" s="214" t="str">
        <f>IFERROR(__xludf.DUMMYFUNCTION("""COMPUTED_VALUE"""),"IN")</f>
        <v>IN</v>
      </c>
      <c r="I62" s="214" t="str">
        <f>IFERROR(__xludf.DUMMYFUNCTION("""COMPUTED_VALUE"""),"EMPTY")</f>
        <v>EMPTY</v>
      </c>
      <c r="J62" s="211">
        <f>IFERROR(__xludf.DUMMYFUNCTION("""COMPUTED_VALUE"""),1.0)</f>
        <v>1</v>
      </c>
      <c r="K62" s="211"/>
      <c r="L62" s="211"/>
      <c r="M62" s="211"/>
      <c r="N62" s="211"/>
      <c r="O62" s="211"/>
      <c r="Q62" s="210" t="str">
        <f>IFERROR(__xludf.DUMMYFUNCTION("""COMPUTED_VALUE"""),"10240036")</f>
        <v>10240036</v>
      </c>
      <c r="R62" s="210" t="str">
        <f>IFERROR(__xludf.DUMMYFUNCTION("""COMPUTED_VALUE"""),"10240036")</f>
        <v>10240036</v>
      </c>
      <c r="S62" s="211" t="str">
        <f>IFERROR(__xludf.DUMMYFUNCTION("""COMPUTED_VALUE"""),"e86baf3b")</f>
        <v>e86baf3b</v>
      </c>
      <c r="T62" s="211" t="str">
        <f>IFERROR(__xludf.DUMMYFUNCTION("""COMPUTED_VALUE"""),"PT GEMILANG CIPTA WAWASAN")</f>
        <v>PT GEMILANG CIPTA WAWASAN</v>
      </c>
      <c r="U62" s="215">
        <f>IFERROR(__xludf.DUMMYFUNCTION("""COMPUTED_VALUE"""),45573.42645833333)</f>
        <v>45573.42646</v>
      </c>
      <c r="V62" s="211" t="str">
        <f>IFERROR(__xludf.DUMMYFUNCTION("""COMPUTED_VALUE"""),"JL TEBET RAYA, 2A, TEBET BARAT, TEBET, KOTA ADM, JAKARTA SELATAN, DKI JAKARTA")</f>
        <v>JL TEBET RAYA, 2A, TEBET BARAT, TEBET, KOTA ADM, JAKARTA SELATAN, DKI JAKARTA</v>
      </c>
      <c r="W62" s="211" t="str">
        <f>IFERROR(__xludf.DUMMYFUNCTION("""COMPUTED_VALUE"""),"OUT")</f>
        <v>OUT</v>
      </c>
      <c r="X62" s="211"/>
      <c r="Z62" s="211" t="str">
        <f>IFERROR(__xludf.DUMMYFUNCTION("""COMPUTED_VALUE"""),"0426982976")</f>
        <v>0426982976</v>
      </c>
      <c r="AC62" s="211" t="str">
        <f>IFERROR(__xludf.DUMMYFUNCTION("""COMPUTED_VALUE"""),"a343b84d")</f>
        <v>a343b84d</v>
      </c>
      <c r="AD62" s="211" t="str">
        <f>IFERROR(__xludf.DUMMYFUNCTION("""COMPUTED_VALUE"""),"PT Utama Alim Sejahtera")</f>
        <v>PT Utama Alim Sejahtera</v>
      </c>
      <c r="AE62" s="211" t="str">
        <f>IFERROR(__xludf.DUMMYFUNCTION("""COMPUTED_VALUE"""),"914038245603000")</f>
        <v>914038245603000</v>
      </c>
      <c r="AF62" s="211" t="b">
        <f>IFERROR(__xludf.DUMMYFUNCTION("""COMPUTED_VALUE"""),TRUE)</f>
        <v>1</v>
      </c>
      <c r="AG62" s="211" t="str">
        <f>IFERROR(__xludf.DUMMYFUNCTION("""COMPUTED_VALUE"""),"JL. PURBOYO, SEKETI, BALONGBENDO, KAB.SIDOARJO, JAWA TIMUR, 61263")</f>
        <v>JL. PURBOYO, SEKETI, BALONGBENDO, KAB.SIDOARJO, JAWA TIMUR, 61263</v>
      </c>
      <c r="AH62" s="217">
        <f>IFERROR(__xludf.DUMMYFUNCTION("""COMPUTED_VALUE"""),30.0)</f>
        <v>30</v>
      </c>
      <c r="AI62" s="211"/>
      <c r="AJ62" s="211"/>
      <c r="AL62" s="211" t="str">
        <f>IFERROR(__xludf.DUMMYFUNCTION("""COMPUTED_VALUE"""),"2260255")</f>
        <v>2260255</v>
      </c>
      <c r="AM62" s="211" t="str">
        <f>IFERROR(__xludf.DUMMYFUNCTION("""COMPUTED_VALUE"""),"032692801")</f>
        <v>032692801</v>
      </c>
      <c r="AN62" s="211" t="str">
        <f>IFERROR(__xludf.DUMMYFUNCTION("""COMPUTED_VALUE"""),"9e5d8274")</f>
        <v>9e5d8274</v>
      </c>
      <c r="AO62" s="211" t="str">
        <f>IFERROR(__xludf.DUMMYFUNCTION("""COMPUTED_VALUE"""),"Bpk. Erry ( Lik Trosobo )")</f>
        <v>Bpk. Erry ( Lik Trosobo )</v>
      </c>
      <c r="AP62" s="215">
        <f>IFERROR(__xludf.DUMMYFUNCTION("""COMPUTED_VALUE"""),46092.48364583333)</f>
        <v>46092.48365</v>
      </c>
      <c r="AQ62" s="218">
        <f>IFERROR(__xludf.DUMMYFUNCTION("""COMPUTED_VALUE"""),46090.0)</f>
        <v>46090</v>
      </c>
      <c r="AR62" s="211"/>
      <c r="AS62" s="211" t="str">
        <f>IFERROR(__xludf.DUMMYFUNCTION("""COMPUTED_VALUE"""),"a343b84d")</f>
        <v>a343b84d</v>
      </c>
      <c r="AT62" s="211" t="str">
        <f>IFERROR(__xludf.DUMMYFUNCTION("""COMPUTED_VALUE"""),"PT Utama Alim Sejahtera")</f>
        <v>PT Utama Alim Sejahtera</v>
      </c>
      <c r="AU62" s="211" t="str">
        <f>IFERROR(__xludf.DUMMYFUNCTION("""COMPUTED_VALUE"""),"914038245603000")</f>
        <v>914038245603000</v>
      </c>
      <c r="AV62" s="211" t="b">
        <f>IFERROR(__xludf.DUMMYFUNCTION("""COMPUTED_VALUE"""),TRUE)</f>
        <v>1</v>
      </c>
      <c r="AW62" s="211" t="str">
        <f>IFERROR(__xludf.DUMMYFUNCTION("""COMPUTED_VALUE"""),"JL. PURBOYO, SEKETI, BALONGBENDO, KAB.SIDOARJO, JAWA TIMUR, 61263")</f>
        <v>JL. PURBOYO, SEKETI, BALONGBENDO, KAB.SIDOARJO, JAWA TIMUR, 61263</v>
      </c>
      <c r="AX62" s="217">
        <f>IFERROR(__xludf.DUMMYFUNCTION("""COMPUTED_VALUE"""),30.0)</f>
        <v>30</v>
      </c>
      <c r="AY62" s="211"/>
      <c r="AZ62" s="211"/>
      <c r="BB62" s="211"/>
      <c r="BC62" s="211"/>
      <c r="BD62" s="211"/>
      <c r="BE62" s="211"/>
      <c r="BF62" s="211"/>
      <c r="BG62" s="211"/>
      <c r="BH62" s="211"/>
      <c r="BI62" s="211"/>
    </row>
    <row r="63">
      <c r="A63" s="211"/>
      <c r="B63" s="211"/>
      <c r="C63" s="211"/>
      <c r="D63" s="211"/>
      <c r="E63" s="211"/>
      <c r="F63" s="211"/>
      <c r="G63" s="211"/>
      <c r="H63" s="211"/>
      <c r="I63" s="211"/>
      <c r="J63" s="211"/>
      <c r="K63" s="211"/>
      <c r="L63" s="211"/>
      <c r="M63" s="211"/>
      <c r="N63" s="211"/>
      <c r="O63" s="211"/>
      <c r="Q63" s="210" t="str">
        <f>IFERROR(__xludf.DUMMYFUNCTION("""COMPUTED_VALUE"""),"f6698f2d")</f>
        <v>f6698f2d</v>
      </c>
      <c r="R63" s="210" t="str">
        <f>IFERROR(__xludf.DUMMYFUNCTION("""COMPUTED_VALUE"""),"f6698f2d")</f>
        <v>f6698f2d</v>
      </c>
      <c r="S63" s="211" t="str">
        <f>IFERROR(__xludf.DUMMYFUNCTION("""COMPUTED_VALUE"""),"e86baf3b")</f>
        <v>e86baf3b</v>
      </c>
      <c r="T63" s="211" t="str">
        <f>IFERROR(__xludf.DUMMYFUNCTION("""COMPUTED_VALUE"""),"PT GEMILANG CIPTA WAWASAN")</f>
        <v>PT GEMILANG CIPTA WAWASAN</v>
      </c>
      <c r="U63" s="215">
        <f>IFERROR(__xludf.DUMMYFUNCTION("""COMPUTED_VALUE"""),45573.50780092593)</f>
        <v>45573.5078</v>
      </c>
      <c r="V63" s="211" t="str">
        <f>IFERROR(__xludf.DUMMYFUNCTION("""COMPUTED_VALUE"""),"JL TEBET RAYA, 2A, TEBET BARAT, TEBET, KOTA ADM, JAKARTA SELATAN, DKI JAKARTA")</f>
        <v>JL TEBET RAYA, 2A, TEBET BARAT, TEBET, KOTA ADM, JAKARTA SELATAN, DKI JAKARTA</v>
      </c>
      <c r="W63" s="211" t="str">
        <f>IFERROR(__xludf.DUMMYFUNCTION("""COMPUTED_VALUE"""),"IN")</f>
        <v>IN</v>
      </c>
      <c r="X63" s="211"/>
      <c r="Z63" s="211" t="str">
        <f>IFERROR(__xludf.DUMMYFUNCTION("""COMPUTED_VALUE"""),"0426272974")</f>
        <v>0426272974</v>
      </c>
      <c r="AC63" s="211" t="str">
        <f>IFERROR(__xludf.DUMMYFUNCTION("""COMPUTED_VALUE"""),"5e174cd0")</f>
        <v>5e174cd0</v>
      </c>
      <c r="AD63" s="211" t="str">
        <f>IFERROR(__xludf.DUMMYFUNCTION("""COMPUTED_VALUE"""),"Maherdi")</f>
        <v>Maherdi</v>
      </c>
      <c r="AE63" s="211"/>
      <c r="AF63" s="211" t="b">
        <f>IFERROR(__xludf.DUMMYFUNCTION("""COMPUTED_VALUE"""),FALSE)</f>
        <v>0</v>
      </c>
      <c r="AG63" s="211" t="str">
        <f>IFERROR(__xludf.DUMMYFUNCTION("""COMPUTED_VALUE"""),"Tarik")</f>
        <v>Tarik</v>
      </c>
      <c r="AH63" s="211"/>
      <c r="AI63" s="211"/>
      <c r="AJ63" s="211"/>
      <c r="AL63" s="211" t="str">
        <f>IFERROR(__xludf.DUMMYFUNCTION("""COMPUTED_VALUE"""),"2260253")</f>
        <v>2260253</v>
      </c>
      <c r="AM63" s="211" t="str">
        <f>IFERROR(__xludf.DUMMYFUNCTION("""COMPUTED_VALUE"""),"022652450")</f>
        <v>022652450</v>
      </c>
      <c r="AN63" s="211" t="str">
        <f>IFERROR(__xludf.DUMMYFUNCTION("""COMPUTED_VALUE"""),"9e5d8274")</f>
        <v>9e5d8274</v>
      </c>
      <c r="AO63" s="211" t="str">
        <f>IFERROR(__xludf.DUMMYFUNCTION("""COMPUTED_VALUE"""),"Bpk. Erry ( Lik Trosobo )")</f>
        <v>Bpk. Erry ( Lik Trosobo )</v>
      </c>
      <c r="AP63" s="215">
        <f>IFERROR(__xludf.DUMMYFUNCTION("""COMPUTED_VALUE"""),46092.483356481476)</f>
        <v>46092.48336</v>
      </c>
      <c r="AQ63" s="218">
        <f>IFERROR(__xludf.DUMMYFUNCTION("""COMPUTED_VALUE"""),46057.0)</f>
        <v>46057</v>
      </c>
      <c r="AR63" s="211"/>
      <c r="AS63" s="211" t="str">
        <f>IFERROR(__xludf.DUMMYFUNCTION("""COMPUTED_VALUE"""),"5e174cd0")</f>
        <v>5e174cd0</v>
      </c>
      <c r="AT63" s="211" t="str">
        <f>IFERROR(__xludf.DUMMYFUNCTION("""COMPUTED_VALUE"""),"Maherdi")</f>
        <v>Maherdi</v>
      </c>
      <c r="AU63" s="211"/>
      <c r="AV63" s="211" t="b">
        <f>IFERROR(__xludf.DUMMYFUNCTION("""COMPUTED_VALUE"""),FALSE)</f>
        <v>0</v>
      </c>
      <c r="AW63" s="211" t="str">
        <f>IFERROR(__xludf.DUMMYFUNCTION("""COMPUTED_VALUE"""),"Tarik")</f>
        <v>Tarik</v>
      </c>
      <c r="AX63" s="211"/>
      <c r="AY63" s="211"/>
      <c r="AZ63" s="211"/>
      <c r="BB63" s="211"/>
      <c r="BC63" s="211"/>
      <c r="BD63" s="211"/>
      <c r="BE63" s="211"/>
      <c r="BF63" s="211"/>
      <c r="BG63" s="211"/>
      <c r="BH63" s="211"/>
      <c r="BI63" s="211"/>
    </row>
    <row r="64">
      <c r="A64" s="210" t="str">
        <f>IFERROR(__xludf.DUMMYFUNCTION("""COMPUTED_VALUE"""),"09240031")</f>
        <v>09240031</v>
      </c>
      <c r="B64" s="210" t="str">
        <f>IFERROR(__xludf.DUMMYFUNCTION("""COMPUTED_VALUE"""),"09240031")</f>
        <v>09240031</v>
      </c>
      <c r="C64" s="213">
        <f>IFERROR(__xludf.DUMMYFUNCTION("""COMPUTED_VALUE"""),45565.53693287037)</f>
        <v>45565.53693</v>
      </c>
      <c r="D64" s="211" t="str">
        <f>IFERROR(__xludf.DUMMYFUNCTION("""COMPUTED_VALUE"""),"7b9d8eba")</f>
        <v>7b9d8eba</v>
      </c>
      <c r="E64" s="211" t="str">
        <f>IFERROR(__xludf.DUMMYFUNCTION("""COMPUTED_VALUE"""),"PT PELANGI INDOKARYA")</f>
        <v>PT PELANGI INDOKARYA</v>
      </c>
      <c r="F64" s="211" t="str">
        <f>IFERROR(__xludf.DUMMYFUNCTION("""COMPUTED_VALUE"""),"8bdbe149")</f>
        <v>8bdbe149</v>
      </c>
      <c r="G64" s="211" t="str">
        <f>IFERROR(__xludf.DUMMYFUNCTION("""COMPUTED_VALUE"""),"Oksigen 6m3")</f>
        <v>Oksigen 6m3</v>
      </c>
      <c r="H64" s="214" t="str">
        <f>IFERROR(__xludf.DUMMYFUNCTION("""COMPUTED_VALUE"""),"OUT")</f>
        <v>OUT</v>
      </c>
      <c r="I64" s="214" t="str">
        <f>IFERROR(__xludf.DUMMYFUNCTION("""COMPUTED_VALUE"""),"NORMAL")</f>
        <v>NORMAL</v>
      </c>
      <c r="J64" s="211">
        <f>IFERROR(__xludf.DUMMYFUNCTION("""COMPUTED_VALUE"""),13.0)</f>
        <v>13</v>
      </c>
      <c r="K64" s="210" t="str">
        <f>IFERROR(__xludf.DUMMYFUNCTION("""COMPUTED_VALUE"""),"1151 1152 1153 1154 1155 1181 1182 1183 1184 1185 1186 1187 1188")</f>
        <v>1151 1152 1153 1154 1155 1181 1182 1183 1184 1185 1186 1187 1188</v>
      </c>
      <c r="L64" s="211">
        <f>IFERROR(__xludf.DUMMYFUNCTION("""COMPUTED_VALUE"""),60000.0)</f>
        <v>60000</v>
      </c>
      <c r="M64" s="211"/>
      <c r="N64" s="211"/>
      <c r="O64" s="211"/>
      <c r="Q64" s="210" t="str">
        <f>IFERROR(__xludf.DUMMYFUNCTION("""COMPUTED_VALUE"""),"10240037")</f>
        <v>10240037</v>
      </c>
      <c r="R64" s="210" t="str">
        <f>IFERROR(__xludf.DUMMYFUNCTION("""COMPUTED_VALUE"""),"10240037")</f>
        <v>10240037</v>
      </c>
      <c r="S64" s="211" t="str">
        <f>IFERROR(__xludf.DUMMYFUNCTION("""COMPUTED_VALUE"""),"f8335a53")</f>
        <v>f8335a53</v>
      </c>
      <c r="T64" s="211" t="str">
        <f>IFERROR(__xludf.DUMMYFUNCTION("""COMPUTED_VALUE"""),"CV RAGAM JAYA ENGINEERING")</f>
        <v>CV RAGAM JAYA ENGINEERING</v>
      </c>
      <c r="U64" s="215">
        <f>IFERROR(__xludf.DUMMYFUNCTION("""COMPUTED_VALUE"""),45574.52248842592)</f>
        <v>45574.52249</v>
      </c>
      <c r="V64" s="211" t="str">
        <f>IFERROR(__xludf.DUMMYFUNCTION("""COMPUTED_VALUE"""),"Jl. Balung wangon, Dadapkuning, Bulurejo, Kec. Benjeng, Kabupaten Gresik, Jawa Timur 61172")</f>
        <v>Jl. Balung wangon, Dadapkuning, Bulurejo, Kec. Benjeng, Kabupaten Gresik, Jawa Timur 61172</v>
      </c>
      <c r="W64" s="211" t="str">
        <f>IFERROR(__xludf.DUMMYFUNCTION("""COMPUTED_VALUE"""),"OUT")</f>
        <v>OUT</v>
      </c>
      <c r="X64" s="211"/>
      <c r="Z64" s="211" t="str">
        <f>IFERROR(__xludf.DUMMYFUNCTION("""COMPUTED_VALUE"""),"0426422972")</f>
        <v>0426422972</v>
      </c>
      <c r="AC64" s="211" t="str">
        <f>IFERROR(__xludf.DUMMYFUNCTION("""COMPUTED_VALUE"""),"bdb5baf3")</f>
        <v>bdb5baf3</v>
      </c>
      <c r="AD64" s="211" t="str">
        <f>IFERROR(__xludf.DUMMYFUNCTION("""COMPUTED_VALUE"""),"Bpk. Abdul")</f>
        <v>Bpk. Abdul</v>
      </c>
      <c r="AE64" s="211"/>
      <c r="AF64" s="211" t="b">
        <f>IFERROR(__xludf.DUMMYFUNCTION("""COMPUTED_VALUE"""),FALSE)</f>
        <v>0</v>
      </c>
      <c r="AG64" s="211" t="str">
        <f>IFERROR(__xludf.DUMMYFUNCTION("""COMPUTED_VALUE"""),"Bypass Krian")</f>
        <v>Bypass Krian</v>
      </c>
      <c r="AH64" s="211"/>
      <c r="AI64" s="211"/>
      <c r="AJ64" s="211"/>
      <c r="AL64" s="211" t="str">
        <f>IFERROR(__xludf.DUMMYFUNCTION("""COMPUTED_VALUE"""),"2260253")</f>
        <v>2260253</v>
      </c>
      <c r="AM64" s="211" t="str">
        <f>IFERROR(__xludf.DUMMYFUNCTION("""COMPUTED_VALUE"""),"032692801")</f>
        <v>032692801</v>
      </c>
      <c r="AN64" s="211" t="str">
        <f>IFERROR(__xludf.DUMMYFUNCTION("""COMPUTED_VALUE"""),"9e5d8274")</f>
        <v>9e5d8274</v>
      </c>
      <c r="AO64" s="211" t="str">
        <f>IFERROR(__xludf.DUMMYFUNCTION("""COMPUTED_VALUE"""),"Bpk. Erry ( Lik Trosobo )")</f>
        <v>Bpk. Erry ( Lik Trosobo )</v>
      </c>
      <c r="AP64" s="215">
        <f>IFERROR(__xludf.DUMMYFUNCTION("""COMPUTED_VALUE"""),46092.483356481476)</f>
        <v>46092.48336</v>
      </c>
      <c r="AQ64" s="218">
        <f>IFERROR(__xludf.DUMMYFUNCTION("""COMPUTED_VALUE"""),46090.0)</f>
        <v>46090</v>
      </c>
      <c r="AR64" s="211"/>
      <c r="AS64" s="211" t="str">
        <f>IFERROR(__xludf.DUMMYFUNCTION("""COMPUTED_VALUE"""),"bdb5baf3")</f>
        <v>bdb5baf3</v>
      </c>
      <c r="AT64" s="211" t="str">
        <f>IFERROR(__xludf.DUMMYFUNCTION("""COMPUTED_VALUE"""),"Bpk. Abdul")</f>
        <v>Bpk. Abdul</v>
      </c>
      <c r="AU64" s="211"/>
      <c r="AV64" s="211" t="b">
        <f>IFERROR(__xludf.DUMMYFUNCTION("""COMPUTED_VALUE"""),FALSE)</f>
        <v>0</v>
      </c>
      <c r="AW64" s="211" t="str">
        <f>IFERROR(__xludf.DUMMYFUNCTION("""COMPUTED_VALUE"""),"Bypass Krian")</f>
        <v>Bypass Krian</v>
      </c>
      <c r="AX64" s="211"/>
      <c r="AY64" s="211"/>
      <c r="AZ64" s="211"/>
      <c r="BB64" s="211"/>
      <c r="BC64" s="211"/>
      <c r="BD64" s="211"/>
      <c r="BE64" s="211"/>
      <c r="BF64" s="211"/>
      <c r="BG64" s="211"/>
      <c r="BH64" s="211"/>
      <c r="BI64" s="211"/>
    </row>
    <row r="65">
      <c r="A65" s="210" t="str">
        <f>IFERROR(__xludf.DUMMYFUNCTION("""COMPUTED_VALUE"""),"e62a1fad")</f>
        <v>e62a1fad</v>
      </c>
      <c r="B65" s="210" t="str">
        <f>IFERROR(__xludf.DUMMYFUNCTION("""COMPUTED_VALUE"""),"e62a1fad")</f>
        <v>e62a1fad</v>
      </c>
      <c r="C65" s="213">
        <f>IFERROR(__xludf.DUMMYFUNCTION("""COMPUTED_VALUE"""),45565.650625)</f>
        <v>45565.65063</v>
      </c>
      <c r="D65" s="211" t="str">
        <f>IFERROR(__xludf.DUMMYFUNCTION("""COMPUTED_VALUE"""),"7b9d8eba")</f>
        <v>7b9d8eba</v>
      </c>
      <c r="E65" s="211" t="str">
        <f>IFERROR(__xludf.DUMMYFUNCTION("""COMPUTED_VALUE"""),"PT PELANGI INDOKARYA")</f>
        <v>PT PELANGI INDOKARYA</v>
      </c>
      <c r="F65" s="211" t="str">
        <f>IFERROR(__xludf.DUMMYFUNCTION("""COMPUTED_VALUE"""),"8bdbe149")</f>
        <v>8bdbe149</v>
      </c>
      <c r="G65" s="211" t="str">
        <f>IFERROR(__xludf.DUMMYFUNCTION("""COMPUTED_VALUE"""),"Oksigen 6m3")</f>
        <v>Oksigen 6m3</v>
      </c>
      <c r="H65" s="214" t="str">
        <f>IFERROR(__xludf.DUMMYFUNCTION("""COMPUTED_VALUE"""),"IN")</f>
        <v>IN</v>
      </c>
      <c r="I65" s="214" t="str">
        <f>IFERROR(__xludf.DUMMYFUNCTION("""COMPUTED_VALUE"""),"EMPTY")</f>
        <v>EMPTY</v>
      </c>
      <c r="J65" s="211">
        <f>IFERROR(__xludf.DUMMYFUNCTION("""COMPUTED_VALUE"""),9.0)</f>
        <v>9</v>
      </c>
      <c r="K65" s="210" t="str">
        <f>IFERROR(__xludf.DUMMYFUNCTION("""COMPUTED_VALUE"""),"1165 1166 1160 1137 1133 1174 1121 1129 1143")</f>
        <v>1165 1166 1160 1137 1133 1174 1121 1129 1143</v>
      </c>
      <c r="L65" s="211"/>
      <c r="M65" s="211"/>
      <c r="N65" s="211"/>
      <c r="O65" s="211"/>
      <c r="Q65" s="210" t="str">
        <f>IFERROR(__xludf.DUMMYFUNCTION("""COMPUTED_VALUE"""),"1ea6910d")</f>
        <v>1ea6910d</v>
      </c>
      <c r="R65" s="210" t="str">
        <f>IFERROR(__xludf.DUMMYFUNCTION("""COMPUTED_VALUE"""),"1ea6910d")</f>
        <v>1ea6910d</v>
      </c>
      <c r="S65" s="211" t="str">
        <f>IFERROR(__xludf.DUMMYFUNCTION("""COMPUTED_VALUE"""),"f8335a53")</f>
        <v>f8335a53</v>
      </c>
      <c r="T65" s="211" t="str">
        <f>IFERROR(__xludf.DUMMYFUNCTION("""COMPUTED_VALUE"""),"CV RAGAM JAYA ENGINEERING")</f>
        <v>CV RAGAM JAYA ENGINEERING</v>
      </c>
      <c r="U65" s="215">
        <f>IFERROR(__xludf.DUMMYFUNCTION("""COMPUTED_VALUE"""),45574.6274074074)</f>
        <v>45574.62741</v>
      </c>
      <c r="V65" s="211" t="str">
        <f>IFERROR(__xludf.DUMMYFUNCTION("""COMPUTED_VALUE"""),"Jl. Balung wangon, Dadapkuning, Bulurejo, Kec. Benjeng, Kabupaten Gresik, Jawa Timur 61172")</f>
        <v>Jl. Balung wangon, Dadapkuning, Bulurejo, Kec. Benjeng, Kabupaten Gresik, Jawa Timur 61172</v>
      </c>
      <c r="W65" s="211" t="str">
        <f>IFERROR(__xludf.DUMMYFUNCTION("""COMPUTED_VALUE"""),"IN")</f>
        <v>IN</v>
      </c>
      <c r="X65" s="211"/>
      <c r="Z65" s="211" t="str">
        <f>IFERROR(__xludf.DUMMYFUNCTION("""COMPUTED_VALUE"""),"042612971")</f>
        <v>042612971</v>
      </c>
      <c r="AC65" s="211" t="str">
        <f>IFERROR(__xludf.DUMMYFUNCTION("""COMPUTED_VALUE"""),"dfas2312")</f>
        <v>dfas2312</v>
      </c>
      <c r="AD65" s="211" t="str">
        <f>IFERROR(__xludf.DUMMYFUNCTION("""COMPUTED_VALUE"""),"Bpk. Fuad (Parengan)")</f>
        <v>Bpk. Fuad (Parengan)</v>
      </c>
      <c r="AE65" s="211"/>
      <c r="AF65" s="211" t="b">
        <f>IFERROR(__xludf.DUMMYFUNCTION("""COMPUTED_VALUE"""),FALSE)</f>
        <v>0</v>
      </c>
      <c r="AG65" s="211" t="str">
        <f>IFERROR(__xludf.DUMMYFUNCTION("""COMPUTED_VALUE"""),"Masjid Parengan")</f>
        <v>Masjid Parengan</v>
      </c>
      <c r="AH65" s="211">
        <f>IFERROR(__xludf.DUMMYFUNCTION("""COMPUTED_VALUE"""),7.0)</f>
        <v>7</v>
      </c>
      <c r="AI65" s="211"/>
      <c r="AJ65" s="211"/>
      <c r="AL65" s="211" t="str">
        <f>IFERROR(__xludf.DUMMYFUNCTION("""COMPUTED_VALUE"""),"2260249")</f>
        <v>2260249</v>
      </c>
      <c r="AM65" s="211" t="str">
        <f>IFERROR(__xludf.DUMMYFUNCTION("""COMPUTED_VALUE"""),"1025161562")</f>
        <v>1025161562</v>
      </c>
      <c r="AN65" s="211" t="str">
        <f>IFERROR(__xludf.DUMMYFUNCTION("""COMPUTED_VALUE"""),"e968afef")</f>
        <v>e968afef</v>
      </c>
      <c r="AO65" s="211" t="str">
        <f>IFERROR(__xludf.DUMMYFUNCTION("""COMPUTED_VALUE"""),"Bpk. Agus")</f>
        <v>Bpk. Agus</v>
      </c>
      <c r="AP65" s="215">
        <f>IFERROR(__xludf.DUMMYFUNCTION("""COMPUTED_VALUE"""),46088.54179398148)</f>
        <v>46088.54179</v>
      </c>
      <c r="AQ65" s="218">
        <f>IFERROR(__xludf.DUMMYFUNCTION("""COMPUTED_VALUE"""),45960.0)</f>
        <v>45960</v>
      </c>
      <c r="AR65" s="211"/>
      <c r="AS65" s="211" t="str">
        <f>IFERROR(__xludf.DUMMYFUNCTION("""COMPUTED_VALUE"""),"dfas2312")</f>
        <v>dfas2312</v>
      </c>
      <c r="AT65" s="211" t="str">
        <f>IFERROR(__xludf.DUMMYFUNCTION("""COMPUTED_VALUE"""),"Bpk. Fuad (Parengan)")</f>
        <v>Bpk. Fuad (Parengan)</v>
      </c>
      <c r="AU65" s="211"/>
      <c r="AV65" s="211" t="b">
        <f>IFERROR(__xludf.DUMMYFUNCTION("""COMPUTED_VALUE"""),FALSE)</f>
        <v>0</v>
      </c>
      <c r="AW65" s="211" t="str">
        <f>IFERROR(__xludf.DUMMYFUNCTION("""COMPUTED_VALUE"""),"Masjid Parengan")</f>
        <v>Masjid Parengan</v>
      </c>
      <c r="AX65" s="211">
        <f>IFERROR(__xludf.DUMMYFUNCTION("""COMPUTED_VALUE"""),7.0)</f>
        <v>7</v>
      </c>
      <c r="AY65" s="211"/>
      <c r="AZ65" s="211"/>
      <c r="BB65" s="211"/>
      <c r="BC65" s="211"/>
      <c r="BD65" s="211"/>
      <c r="BE65" s="211"/>
      <c r="BF65" s="211"/>
      <c r="BG65" s="211"/>
      <c r="BH65" s="211"/>
      <c r="BI65" s="211"/>
    </row>
    <row r="66">
      <c r="A66" s="210" t="str">
        <f>IFERROR(__xludf.DUMMYFUNCTION("""COMPUTED_VALUE"""),"6cf61922")</f>
        <v>6cf61922</v>
      </c>
      <c r="B66" s="210" t="str">
        <f>IFERROR(__xludf.DUMMYFUNCTION("""COMPUTED_VALUE"""),"6cf61922")</f>
        <v>6cf61922</v>
      </c>
      <c r="C66" s="213">
        <f>IFERROR(__xludf.DUMMYFUNCTION("""COMPUTED_VALUE"""),45565.65256944444)</f>
        <v>45565.65257</v>
      </c>
      <c r="D66" s="211" t="str">
        <f>IFERROR(__xludf.DUMMYFUNCTION("""COMPUTED_VALUE"""),"e86baf3b")</f>
        <v>e86baf3b</v>
      </c>
      <c r="E66" s="211" t="str">
        <f>IFERROR(__xludf.DUMMYFUNCTION("""COMPUTED_VALUE"""),"PT GEMILANG CIPTA WAWASAN")</f>
        <v>PT GEMILANG CIPTA WAWASAN</v>
      </c>
      <c r="F66" s="211" t="str">
        <f>IFERROR(__xludf.DUMMYFUNCTION("""COMPUTED_VALUE"""),"8bdbe149")</f>
        <v>8bdbe149</v>
      </c>
      <c r="G66" s="211" t="str">
        <f>IFERROR(__xludf.DUMMYFUNCTION("""COMPUTED_VALUE"""),"Oksigen 6m3")</f>
        <v>Oksigen 6m3</v>
      </c>
      <c r="H66" s="214" t="str">
        <f>IFERROR(__xludf.DUMMYFUNCTION("""COMPUTED_VALUE"""),"IN")</f>
        <v>IN</v>
      </c>
      <c r="I66" s="214" t="str">
        <f>IFERROR(__xludf.DUMMYFUNCTION("""COMPUTED_VALUE"""),"EMPTY")</f>
        <v>EMPTY</v>
      </c>
      <c r="J66" s="211">
        <f>IFERROR(__xludf.DUMMYFUNCTION("""COMPUTED_VALUE"""),13.0)</f>
        <v>13</v>
      </c>
      <c r="K66" s="210" t="str">
        <f>IFERROR(__xludf.DUMMYFUNCTION("""COMPUTED_VALUE"""),"1162 1134 1124 1126 1127 1168 1139 1130 1144 1167 1118 1169 1108")</f>
        <v>1162 1134 1124 1126 1127 1168 1139 1130 1144 1167 1118 1169 1108</v>
      </c>
      <c r="L66" s="211"/>
      <c r="M66" s="211"/>
      <c r="N66" s="211"/>
      <c r="O66" s="211"/>
      <c r="Q66" s="210" t="str">
        <f>IFERROR(__xludf.DUMMYFUNCTION("""COMPUTED_VALUE"""),"10240039")</f>
        <v>10240039</v>
      </c>
      <c r="R66" s="210" t="str">
        <f>IFERROR(__xludf.DUMMYFUNCTION("""COMPUTED_VALUE"""),"10240039")</f>
        <v>10240039</v>
      </c>
      <c r="S66" s="211" t="str">
        <f>IFERROR(__xludf.DUMMYFUNCTION("""COMPUTED_VALUE"""),"f8335a53")</f>
        <v>f8335a53</v>
      </c>
      <c r="T66" s="211" t="str">
        <f>IFERROR(__xludf.DUMMYFUNCTION("""COMPUTED_VALUE"""),"CV RAGAM JAYA ENGINEERING")</f>
        <v>CV RAGAM JAYA ENGINEERING</v>
      </c>
      <c r="U66" s="215">
        <f>IFERROR(__xludf.DUMMYFUNCTION("""COMPUTED_VALUE"""),45575.41832175926)</f>
        <v>45575.41832</v>
      </c>
      <c r="V66" s="211" t="str">
        <f>IFERROR(__xludf.DUMMYFUNCTION("""COMPUTED_VALUE"""),"Jl. Balung wangon, Dadapkuning, Bulurejo, Kec. Benjeng, Kabupaten Gresik, Jawa Timur 61172")</f>
        <v>Jl. Balung wangon, Dadapkuning, Bulurejo, Kec. Benjeng, Kabupaten Gresik, Jawa Timur 61172</v>
      </c>
      <c r="W66" s="211" t="str">
        <f>IFERROR(__xludf.DUMMYFUNCTION("""COMPUTED_VALUE"""),"OUT")</f>
        <v>OUT</v>
      </c>
      <c r="X66" s="211"/>
      <c r="Z66" s="211" t="str">
        <f>IFERROR(__xludf.DUMMYFUNCTION("""COMPUTED_VALUE"""),"0426282970")</f>
        <v>0426282970</v>
      </c>
      <c r="AC66" s="211" t="str">
        <f>IFERROR(__xludf.DUMMYFUNCTION("""COMPUTED_VALUE"""),"e93f2c03")</f>
        <v>e93f2c03</v>
      </c>
      <c r="AD66" s="211" t="str">
        <f>IFERROR(__xludf.DUMMYFUNCTION("""COMPUTED_VALUE"""),"Bu Siti")</f>
        <v>Bu Siti</v>
      </c>
      <c r="AE66" s="211"/>
      <c r="AF66" s="211" t="b">
        <f>IFERROR(__xludf.DUMMYFUNCTION("""COMPUTED_VALUE"""),FALSE)</f>
        <v>0</v>
      </c>
      <c r="AG66" s="211" t="str">
        <f>IFERROR(__xludf.DUMMYFUNCTION("""COMPUTED_VALUE"""),"Parengan, Masjid LDII")</f>
        <v>Parengan, Masjid LDII</v>
      </c>
      <c r="AH66" s="211"/>
      <c r="AI66" s="211"/>
      <c r="AJ66" s="211"/>
      <c r="AL66" s="211" t="str">
        <f>IFERROR(__xludf.DUMMYFUNCTION("""COMPUTED_VALUE"""),"2260249")</f>
        <v>2260249</v>
      </c>
      <c r="AM66" s="211" t="str">
        <f>IFERROR(__xludf.DUMMYFUNCTION("""COMPUTED_VALUE"""),"1125171610")</f>
        <v>1125171610</v>
      </c>
      <c r="AN66" s="211" t="str">
        <f>IFERROR(__xludf.DUMMYFUNCTION("""COMPUTED_VALUE"""),"e968afef")</f>
        <v>e968afef</v>
      </c>
      <c r="AO66" s="211" t="str">
        <f>IFERROR(__xludf.DUMMYFUNCTION("""COMPUTED_VALUE"""),"Bpk. Agus")</f>
        <v>Bpk. Agus</v>
      </c>
      <c r="AP66" s="215">
        <f>IFERROR(__xludf.DUMMYFUNCTION("""COMPUTED_VALUE"""),46088.54179398148)</f>
        <v>46088.54179</v>
      </c>
      <c r="AQ66" s="218">
        <f>IFERROR(__xludf.DUMMYFUNCTION("""COMPUTED_VALUE"""),45965.0)</f>
        <v>45965</v>
      </c>
      <c r="AR66" s="211"/>
      <c r="AS66" s="211" t="str">
        <f>IFERROR(__xludf.DUMMYFUNCTION("""COMPUTED_VALUE"""),"e93f2c03")</f>
        <v>e93f2c03</v>
      </c>
      <c r="AT66" s="211" t="str">
        <f>IFERROR(__xludf.DUMMYFUNCTION("""COMPUTED_VALUE"""),"Bu Siti")</f>
        <v>Bu Siti</v>
      </c>
      <c r="AU66" s="211"/>
      <c r="AV66" s="211" t="b">
        <f>IFERROR(__xludf.DUMMYFUNCTION("""COMPUTED_VALUE"""),FALSE)</f>
        <v>0</v>
      </c>
      <c r="AW66" s="211" t="str">
        <f>IFERROR(__xludf.DUMMYFUNCTION("""COMPUTED_VALUE"""),"Parengan, Masjid LDII")</f>
        <v>Parengan, Masjid LDII</v>
      </c>
      <c r="AX66" s="211"/>
      <c r="AY66" s="211"/>
      <c r="AZ66" s="211"/>
      <c r="BB66" s="211"/>
      <c r="BC66" s="211"/>
      <c r="BD66" s="211"/>
      <c r="BE66" s="211"/>
      <c r="BF66" s="211"/>
      <c r="BG66" s="211"/>
      <c r="BH66" s="211"/>
      <c r="BI66" s="211"/>
    </row>
    <row r="67">
      <c r="A67" s="210" t="str">
        <f>IFERROR(__xludf.DUMMYFUNCTION("""COMPUTED_VALUE"""),"6cf61922")</f>
        <v>6cf61922</v>
      </c>
      <c r="B67" s="210" t="str">
        <f>IFERROR(__xludf.DUMMYFUNCTION("""COMPUTED_VALUE"""),"6cf61922")</f>
        <v>6cf61922</v>
      </c>
      <c r="C67" s="213">
        <f>IFERROR(__xludf.DUMMYFUNCTION("""COMPUTED_VALUE"""),45565.654386574075)</f>
        <v>45565.65439</v>
      </c>
      <c r="D67" s="211" t="str">
        <f>IFERROR(__xludf.DUMMYFUNCTION("""COMPUTED_VALUE"""),"e86baf3b")</f>
        <v>e86baf3b</v>
      </c>
      <c r="E67" s="211" t="str">
        <f>IFERROR(__xludf.DUMMYFUNCTION("""COMPUTED_VALUE"""),"PT GEMILANG CIPTA WAWASAN")</f>
        <v>PT GEMILANG CIPTA WAWASAN</v>
      </c>
      <c r="F67" s="211" t="str">
        <f>IFERROR(__xludf.DUMMYFUNCTION("""COMPUTED_VALUE"""),"be525f3b")</f>
        <v>be525f3b</v>
      </c>
      <c r="G67" s="211" t="str">
        <f>IFERROR(__xludf.DUMMYFUNCTION("""COMPUTED_VALUE"""),"LPG 12kg")</f>
        <v>LPG 12kg</v>
      </c>
      <c r="H67" s="214" t="str">
        <f>IFERROR(__xludf.DUMMYFUNCTION("""COMPUTED_VALUE"""),"IN")</f>
        <v>IN</v>
      </c>
      <c r="I67" s="214" t="str">
        <f>IFERROR(__xludf.DUMMYFUNCTION("""COMPUTED_VALUE"""),"EMPTY")</f>
        <v>EMPTY</v>
      </c>
      <c r="J67" s="211">
        <f>IFERROR(__xludf.DUMMYFUNCTION("""COMPUTED_VALUE"""),3.0)</f>
        <v>3</v>
      </c>
      <c r="K67" s="211"/>
      <c r="L67" s="211"/>
      <c r="M67" s="211"/>
      <c r="N67" s="211"/>
      <c r="O67" s="211"/>
      <c r="Q67" s="210" t="str">
        <f>IFERROR(__xludf.DUMMYFUNCTION("""COMPUTED_VALUE"""),"297139c6")</f>
        <v>297139c6</v>
      </c>
      <c r="R67" s="210" t="str">
        <f>IFERROR(__xludf.DUMMYFUNCTION("""COMPUTED_VALUE"""),"297139c6")</f>
        <v>297139c6</v>
      </c>
      <c r="S67" s="211" t="str">
        <f>IFERROR(__xludf.DUMMYFUNCTION("""COMPUTED_VALUE"""),"f8335a53")</f>
        <v>f8335a53</v>
      </c>
      <c r="T67" s="211" t="str">
        <f>IFERROR(__xludf.DUMMYFUNCTION("""COMPUTED_VALUE"""),"CV RAGAM JAYA ENGINEERING")</f>
        <v>CV RAGAM JAYA ENGINEERING</v>
      </c>
      <c r="U67" s="215">
        <f>IFERROR(__xludf.DUMMYFUNCTION("""COMPUTED_VALUE"""),45575.62451388889)</f>
        <v>45575.62451</v>
      </c>
      <c r="V67" s="211" t="str">
        <f>IFERROR(__xludf.DUMMYFUNCTION("""COMPUTED_VALUE"""),"Jl. Balung wangon, Dadapkuning, Bulurejo, Kec. Benjeng, Kabupaten Gresik, Jawa Timur 61172")</f>
        <v>Jl. Balung wangon, Dadapkuning, Bulurejo, Kec. Benjeng, Kabupaten Gresik, Jawa Timur 61172</v>
      </c>
      <c r="W67" s="211" t="str">
        <f>IFERROR(__xludf.DUMMYFUNCTION("""COMPUTED_VALUE"""),"IN")</f>
        <v>IN</v>
      </c>
      <c r="X67" s="211"/>
      <c r="Z67" s="211" t="str">
        <f>IFERROR(__xludf.DUMMYFUNCTION("""COMPUTED_VALUE"""),"0426172969")</f>
        <v>0426172969</v>
      </c>
      <c r="AC67" s="211"/>
      <c r="AD67" s="211"/>
      <c r="AE67" s="211"/>
      <c r="AF67" s="211"/>
      <c r="AG67" s="211"/>
      <c r="AH67" s="211"/>
      <c r="AI67" s="211"/>
      <c r="AJ67" s="211"/>
      <c r="AL67" s="211" t="str">
        <f>IFERROR(__xludf.DUMMYFUNCTION("""COMPUTED_VALUE"""),"2260249")</f>
        <v>2260249</v>
      </c>
      <c r="AM67" s="211" t="str">
        <f>IFERROR(__xludf.DUMMYFUNCTION("""COMPUTED_VALUE"""),"1125181637")</f>
        <v>1125181637</v>
      </c>
      <c r="AN67" s="211" t="str">
        <f>IFERROR(__xludf.DUMMYFUNCTION("""COMPUTED_VALUE"""),"e968afef")</f>
        <v>e968afef</v>
      </c>
      <c r="AO67" s="211" t="str">
        <f>IFERROR(__xludf.DUMMYFUNCTION("""COMPUTED_VALUE"""),"Bpk. Agus")</f>
        <v>Bpk. Agus</v>
      </c>
      <c r="AP67" s="215">
        <f>IFERROR(__xludf.DUMMYFUNCTION("""COMPUTED_VALUE"""),46088.54179398148)</f>
        <v>46088.54179</v>
      </c>
      <c r="AQ67" s="218">
        <f>IFERROR(__xludf.DUMMYFUNCTION("""COMPUTED_VALUE"""),45967.0)</f>
        <v>45967</v>
      </c>
      <c r="AR67" s="211"/>
      <c r="AS67" s="211"/>
      <c r="AT67" s="211"/>
      <c r="AU67" s="211"/>
      <c r="AV67" s="211"/>
      <c r="AW67" s="211"/>
      <c r="AX67" s="211"/>
      <c r="AY67" s="211"/>
      <c r="AZ67" s="211"/>
      <c r="BB67" s="211"/>
      <c r="BC67" s="211"/>
      <c r="BD67" s="211"/>
      <c r="BE67" s="211"/>
      <c r="BF67" s="211"/>
      <c r="BG67" s="211"/>
      <c r="BH67" s="211"/>
      <c r="BI67" s="211"/>
    </row>
    <row r="68">
      <c r="A68" s="210" t="str">
        <f>IFERROR(__xludf.DUMMYFUNCTION("""COMPUTED_VALUE"""),"09240032")</f>
        <v>09240032</v>
      </c>
      <c r="B68" s="210" t="str">
        <f>IFERROR(__xludf.DUMMYFUNCTION("""COMPUTED_VALUE"""),"09240032")</f>
        <v>09240032</v>
      </c>
      <c r="C68" s="213">
        <f>IFERROR(__xludf.DUMMYFUNCTION("""COMPUTED_VALUE"""),45565.659224537034)</f>
        <v>45565.65922</v>
      </c>
      <c r="D68" s="211" t="str">
        <f>IFERROR(__xludf.DUMMYFUNCTION("""COMPUTED_VALUE"""),"17af2683")</f>
        <v>17af2683</v>
      </c>
      <c r="E68" s="211" t="str">
        <f>IFERROR(__xludf.DUMMYFUNCTION("""COMPUTED_VALUE"""),"H. Fatoni")</f>
        <v>H. Fatoni</v>
      </c>
      <c r="F68" s="211" t="str">
        <f>IFERROR(__xludf.DUMMYFUNCTION("""COMPUTED_VALUE"""),"8bdbe149")</f>
        <v>8bdbe149</v>
      </c>
      <c r="G68" s="211" t="str">
        <f>IFERROR(__xludf.DUMMYFUNCTION("""COMPUTED_VALUE"""),"Oksigen 6m3")</f>
        <v>Oksigen 6m3</v>
      </c>
      <c r="H68" s="214" t="str">
        <f>IFERROR(__xludf.DUMMYFUNCTION("""COMPUTED_VALUE"""),"OUT")</f>
        <v>OUT</v>
      </c>
      <c r="I68" s="214" t="str">
        <f>IFERROR(__xludf.DUMMYFUNCTION("""COMPUTED_VALUE"""),"NORMAL")</f>
        <v>NORMAL</v>
      </c>
      <c r="J68" s="211">
        <f>IFERROR(__xludf.DUMMYFUNCTION("""COMPUTED_VALUE"""),2.0)</f>
        <v>2</v>
      </c>
      <c r="K68" s="210" t="str">
        <f>IFERROR(__xludf.DUMMYFUNCTION("""COMPUTED_VALUE"""),"1192 1190")</f>
        <v>1192 1190</v>
      </c>
      <c r="L68" s="211">
        <f>IFERROR(__xludf.DUMMYFUNCTION("""COMPUTED_VALUE"""),70000.0)</f>
        <v>70000</v>
      </c>
      <c r="M68" s="211"/>
      <c r="N68" s="211"/>
      <c r="O68" s="211"/>
      <c r="Q68" s="210" t="str">
        <f>IFERROR(__xludf.DUMMYFUNCTION("""COMPUTED_VALUE"""),"10240041")</f>
        <v>10240041</v>
      </c>
      <c r="R68" s="210" t="str">
        <f>IFERROR(__xludf.DUMMYFUNCTION("""COMPUTED_VALUE"""),"10240041")</f>
        <v>10240041</v>
      </c>
      <c r="S68" s="211" t="str">
        <f>IFERROR(__xludf.DUMMYFUNCTION("""COMPUTED_VALUE"""),"8f5ebaea")</f>
        <v>8f5ebaea</v>
      </c>
      <c r="T68" s="211" t="str">
        <f>IFERROR(__xludf.DUMMYFUNCTION("""COMPUTED_VALUE"""),"PT Hua Zong Mesindo")</f>
        <v>PT Hua Zong Mesindo</v>
      </c>
      <c r="U68" s="215">
        <f>IFERROR(__xludf.DUMMYFUNCTION("""COMPUTED_VALUE"""),45576.38888888889)</f>
        <v>45576.38889</v>
      </c>
      <c r="V68" s="211" t="str">
        <f>IFERROR(__xludf.DUMMYFUNCTION("""COMPUTED_VALUE"""),"Jl. Bypass Krian, Sidotemo, Sidomulyo, Kec. Krian, Kabupaten Sidoarjo, Jawa Timur 61262")</f>
        <v>Jl. Bypass Krian, Sidotemo, Sidomulyo, Kec. Krian, Kabupaten Sidoarjo, Jawa Timur 61262</v>
      </c>
      <c r="W68" s="211" t="str">
        <f>IFERROR(__xludf.DUMMYFUNCTION("""COMPUTED_VALUE"""),"OUT")</f>
        <v>OUT</v>
      </c>
      <c r="X68" s="211"/>
      <c r="Z68" s="211" t="str">
        <f>IFERROR(__xludf.DUMMYFUNCTION("""COMPUTED_VALUE"""),"0426162964")</f>
        <v>0426162964</v>
      </c>
      <c r="AC68" s="211" t="str">
        <f>IFERROR(__xludf.DUMMYFUNCTION("""COMPUTED_VALUE"""),"f49860e4")</f>
        <v>f49860e4</v>
      </c>
      <c r="AD68" s="211" t="str">
        <f>IFERROR(__xludf.DUMMYFUNCTION("""COMPUTED_VALUE"""),"Mas Nur ( Jetis )")</f>
        <v>Mas Nur ( Jetis )</v>
      </c>
      <c r="AE68" s="211"/>
      <c r="AF68" s="211" t="b">
        <f>IFERROR(__xludf.DUMMYFUNCTION("""COMPUTED_VALUE"""),FALSE)</f>
        <v>0</v>
      </c>
      <c r="AG68" s="211" t="str">
        <f>IFERROR(__xludf.DUMMYFUNCTION("""COMPUTED_VALUE"""),"HFVF+CCG, JL.Raya Jetis, jetis, Kec. Jetis Kabupaten Mojokerto Jawa Timur 61352")</f>
        <v>HFVF+CCG, JL.Raya Jetis, jetis, Kec. Jetis Kabupaten Mojokerto Jawa Timur 61352</v>
      </c>
      <c r="AH68" s="211">
        <f>IFERROR(__xludf.DUMMYFUNCTION("""COMPUTED_VALUE"""),30.0)</f>
        <v>30</v>
      </c>
      <c r="AI68" s="211" t="str">
        <f>IFERROR(__xludf.DUMMYFUNCTION("""COMPUTED_VALUE"""),"081703519292")</f>
        <v>081703519292</v>
      </c>
      <c r="AJ68" s="215">
        <f>IFERROR(__xludf.DUMMYFUNCTION("""COMPUTED_VALUE"""),45896.3875)</f>
        <v>45896.3875</v>
      </c>
      <c r="AL68" s="211" t="str">
        <f>IFERROR(__xludf.DUMMYFUNCTION("""COMPUTED_VALUE"""),"2260249")</f>
        <v>2260249</v>
      </c>
      <c r="AM68" s="211" t="str">
        <f>IFERROR(__xludf.DUMMYFUNCTION("""COMPUTED_VALUE"""),"1125191664")</f>
        <v>1125191664</v>
      </c>
      <c r="AN68" s="211" t="str">
        <f>IFERROR(__xludf.DUMMYFUNCTION("""COMPUTED_VALUE"""),"e968afef")</f>
        <v>e968afef</v>
      </c>
      <c r="AO68" s="211" t="str">
        <f>IFERROR(__xludf.DUMMYFUNCTION("""COMPUTED_VALUE"""),"Bpk. Agus")</f>
        <v>Bpk. Agus</v>
      </c>
      <c r="AP68" s="215">
        <f>IFERROR(__xludf.DUMMYFUNCTION("""COMPUTED_VALUE"""),46088.54179398148)</f>
        <v>46088.54179</v>
      </c>
      <c r="AQ68" s="218">
        <f>IFERROR(__xludf.DUMMYFUNCTION("""COMPUTED_VALUE"""),45971.0)</f>
        <v>45971</v>
      </c>
      <c r="AR68" s="211"/>
      <c r="AS68" s="211" t="str">
        <f>IFERROR(__xludf.DUMMYFUNCTION("""COMPUTED_VALUE"""),"f49860e4")</f>
        <v>f49860e4</v>
      </c>
      <c r="AT68" s="211" t="str">
        <f>IFERROR(__xludf.DUMMYFUNCTION("""COMPUTED_VALUE"""),"Mas Nur ( Jetis )")</f>
        <v>Mas Nur ( Jetis )</v>
      </c>
      <c r="AU68" s="211"/>
      <c r="AV68" s="211" t="b">
        <f>IFERROR(__xludf.DUMMYFUNCTION("""COMPUTED_VALUE"""),FALSE)</f>
        <v>0</v>
      </c>
      <c r="AW68" s="211" t="str">
        <f>IFERROR(__xludf.DUMMYFUNCTION("""COMPUTED_VALUE"""),"HFVF+CCG, JL.Raya Jetis, jetis, Kec. Jetis Kabupaten Mojokerto Jawa Timur 61352")</f>
        <v>HFVF+CCG, JL.Raya Jetis, jetis, Kec. Jetis Kabupaten Mojokerto Jawa Timur 61352</v>
      </c>
      <c r="AX68" s="211">
        <f>IFERROR(__xludf.DUMMYFUNCTION("""COMPUTED_VALUE"""),30.0)</f>
        <v>30</v>
      </c>
      <c r="AY68" s="211" t="str">
        <f>IFERROR(__xludf.DUMMYFUNCTION("""COMPUTED_VALUE"""),"081703519292")</f>
        <v>081703519292</v>
      </c>
      <c r="AZ68" s="215">
        <f>IFERROR(__xludf.DUMMYFUNCTION("""COMPUTED_VALUE"""),45896.3875)</f>
        <v>45896.3875</v>
      </c>
      <c r="BB68" s="211"/>
      <c r="BC68" s="211"/>
      <c r="BD68" s="211"/>
      <c r="BE68" s="211"/>
      <c r="BF68" s="211"/>
      <c r="BG68" s="211"/>
      <c r="BH68" s="211"/>
      <c r="BI68" s="211"/>
    </row>
    <row r="69">
      <c r="A69" s="210" t="str">
        <f>IFERROR(__xludf.DUMMYFUNCTION("""COMPUTED_VALUE"""),"10240033")</f>
        <v>10240033</v>
      </c>
      <c r="B69" s="210" t="str">
        <f>IFERROR(__xludf.DUMMYFUNCTION("""COMPUTED_VALUE"""),"10240033")</f>
        <v>10240033</v>
      </c>
      <c r="C69" s="213">
        <f>IFERROR(__xludf.DUMMYFUNCTION("""COMPUTED_VALUE"""),45567.40436342593)</f>
        <v>45567.40436</v>
      </c>
      <c r="D69" s="211" t="str">
        <f>IFERROR(__xludf.DUMMYFUNCTION("""COMPUTED_VALUE"""),"7b9d8eba")</f>
        <v>7b9d8eba</v>
      </c>
      <c r="E69" s="211" t="str">
        <f>IFERROR(__xludf.DUMMYFUNCTION("""COMPUTED_VALUE"""),"PT PELANGI INDOKARYA")</f>
        <v>PT PELANGI INDOKARYA</v>
      </c>
      <c r="F69" s="211" t="str">
        <f>IFERROR(__xludf.DUMMYFUNCTION("""COMPUTED_VALUE"""),"8bdbe149")</f>
        <v>8bdbe149</v>
      </c>
      <c r="G69" s="211" t="str">
        <f>IFERROR(__xludf.DUMMYFUNCTION("""COMPUTED_VALUE"""),"Oksigen 6m3")</f>
        <v>Oksigen 6m3</v>
      </c>
      <c r="H69" s="214" t="str">
        <f>IFERROR(__xludf.DUMMYFUNCTION("""COMPUTED_VALUE"""),"OUT")</f>
        <v>OUT</v>
      </c>
      <c r="I69" s="214" t="str">
        <f>IFERROR(__xludf.DUMMYFUNCTION("""COMPUTED_VALUE"""),"NORMAL")</f>
        <v>NORMAL</v>
      </c>
      <c r="J69" s="211">
        <f>IFERROR(__xludf.DUMMYFUNCTION("""COMPUTED_VALUE"""),10.0)</f>
        <v>10</v>
      </c>
      <c r="K69" s="210" t="str">
        <f>IFERROR(__xludf.DUMMYFUNCTION("""COMPUTED_VALUE"""),"11124 1109 1132 1119 1149 1146 1147 1128 1123 11122")</f>
        <v>11124 1109 1132 1119 1149 1146 1147 1128 1123 11122</v>
      </c>
      <c r="L69" s="211">
        <f>IFERROR(__xludf.DUMMYFUNCTION("""COMPUTED_VALUE"""),60000.0)</f>
        <v>60000</v>
      </c>
      <c r="M69" s="211"/>
      <c r="N69" s="211"/>
      <c r="O69" s="211"/>
      <c r="Q69" s="210" t="str">
        <f>IFERROR(__xludf.DUMMYFUNCTION("""COMPUTED_VALUE"""),"0356da67")</f>
        <v>0356da67</v>
      </c>
      <c r="R69" s="210" t="str">
        <f>IFERROR(__xludf.DUMMYFUNCTION("""COMPUTED_VALUE"""),"0356da67")</f>
        <v>0356da67</v>
      </c>
      <c r="S69" s="211" t="str">
        <f>IFERROR(__xludf.DUMMYFUNCTION("""COMPUTED_VALUE"""),"e86baf3b")</f>
        <v>e86baf3b</v>
      </c>
      <c r="T69" s="211" t="str">
        <f>IFERROR(__xludf.DUMMYFUNCTION("""COMPUTED_VALUE"""),"PT GEMILANG CIPTA WAWASAN")</f>
        <v>PT GEMILANG CIPTA WAWASAN</v>
      </c>
      <c r="U69" s="215">
        <f>IFERROR(__xludf.DUMMYFUNCTION("""COMPUTED_VALUE"""),45579.6137962963)</f>
        <v>45579.6138</v>
      </c>
      <c r="V69" s="211" t="str">
        <f>IFERROR(__xludf.DUMMYFUNCTION("""COMPUTED_VALUE"""),"JL TEBET RAYA, 2A, TEBET BARAT, TEBET, KOTA ADM, JAKARTA SELATAN, DKI JAKARTA")</f>
        <v>JL TEBET RAYA, 2A, TEBET BARAT, TEBET, KOTA ADM, JAKARTA SELATAN, DKI JAKARTA</v>
      </c>
      <c r="W69" s="211" t="str">
        <f>IFERROR(__xludf.DUMMYFUNCTION("""COMPUTED_VALUE"""),"IN")</f>
        <v>IN</v>
      </c>
      <c r="X69" s="211"/>
      <c r="Z69" s="211" t="str">
        <f>IFERROR(__xludf.DUMMYFUNCTION("""COMPUTED_VALUE"""),"0426152960")</f>
        <v>0426152960</v>
      </c>
      <c r="AC69" s="211" t="str">
        <f>IFERROR(__xludf.DUMMYFUNCTION("""COMPUTED_VALUE"""),"56828503")</f>
        <v>56828503</v>
      </c>
      <c r="AD69" s="211" t="str">
        <f>IFERROR(__xludf.DUMMYFUNCTION("""COMPUTED_VALUE"""),"Bpk. Widodo (Wringinanom)")</f>
        <v>Bpk. Widodo (Wringinanom)</v>
      </c>
      <c r="AE69" s="211"/>
      <c r="AF69" s="211" t="b">
        <f>IFERROR(__xludf.DUMMYFUNCTION("""COMPUTED_VALUE"""),FALSE)</f>
        <v>0</v>
      </c>
      <c r="AG69" s="211" t="str">
        <f>IFERROR(__xludf.DUMMYFUNCTION("""COMPUTED_VALUE"""),"JG4H+3J Area Sawah/Kebun, Lebaniwaras, Kec. Wringinanom, Kabupaten Gresik, Jawa Timur, Indonesia")</f>
        <v>JG4H+3J Area Sawah/Kebun, Lebaniwaras, Kec. Wringinanom, Kabupaten Gresik, Jawa Timur, Indonesia</v>
      </c>
      <c r="AH69" s="211"/>
      <c r="AI69" s="211"/>
      <c r="AJ69" s="211"/>
      <c r="AL69" s="211" t="str">
        <f>IFERROR(__xludf.DUMMYFUNCTION("""COMPUTED_VALUE"""),"2260248")</f>
        <v>2260248</v>
      </c>
      <c r="AM69" s="211" t="str">
        <f>IFERROR(__xludf.DUMMYFUNCTION("""COMPUTED_VALUE"""),"0326782732")</f>
        <v>0326782732</v>
      </c>
      <c r="AN69" s="211" t="str">
        <f>IFERROR(__xludf.DUMMYFUNCTION("""COMPUTED_VALUE"""),"e86baf3b")</f>
        <v>e86baf3b</v>
      </c>
      <c r="AO69" s="211" t="str">
        <f>IFERROR(__xludf.DUMMYFUNCTION("""COMPUTED_VALUE"""),"PT GEMILANG CIPTA WAWASAN")</f>
        <v>PT GEMILANG CIPTA WAWASAN</v>
      </c>
      <c r="AP69" s="215">
        <f>IFERROR(__xludf.DUMMYFUNCTION("""COMPUTED_VALUE"""),46086.36503472222)</f>
        <v>46086.36503</v>
      </c>
      <c r="AQ69" s="218">
        <f>IFERROR(__xludf.DUMMYFUNCTION("""COMPUTED_VALUE"""),46085.0)</f>
        <v>46085</v>
      </c>
      <c r="AR69" s="211"/>
      <c r="AS69" s="211" t="str">
        <f>IFERROR(__xludf.DUMMYFUNCTION("""COMPUTED_VALUE"""),"56828503")</f>
        <v>56828503</v>
      </c>
      <c r="AT69" s="211" t="str">
        <f>IFERROR(__xludf.DUMMYFUNCTION("""COMPUTED_VALUE"""),"Bpk. Widodo (Wringinanom)")</f>
        <v>Bpk. Widodo (Wringinanom)</v>
      </c>
      <c r="AU69" s="211"/>
      <c r="AV69" s="211" t="b">
        <f>IFERROR(__xludf.DUMMYFUNCTION("""COMPUTED_VALUE"""),FALSE)</f>
        <v>0</v>
      </c>
      <c r="AW69" s="211" t="str">
        <f>IFERROR(__xludf.DUMMYFUNCTION("""COMPUTED_VALUE"""),"JG4H+3J Area Sawah/Kebun, Lebaniwaras, Kec. Wringinanom, Kabupaten Gresik, Jawa Timur, Indonesia")</f>
        <v>JG4H+3J Area Sawah/Kebun, Lebaniwaras, Kec. Wringinanom, Kabupaten Gresik, Jawa Timur, Indonesia</v>
      </c>
      <c r="AX69" s="211"/>
      <c r="AY69" s="211"/>
      <c r="AZ69" s="211"/>
      <c r="BB69" s="211"/>
      <c r="BC69" s="211"/>
      <c r="BD69" s="211"/>
      <c r="BE69" s="211"/>
      <c r="BF69" s="211"/>
      <c r="BG69" s="211"/>
      <c r="BH69" s="211"/>
      <c r="BI69" s="211"/>
    </row>
    <row r="70">
      <c r="A70" s="210" t="str">
        <f>IFERROR(__xludf.DUMMYFUNCTION("""COMPUTED_VALUE"""),"43ac06c0")</f>
        <v>43ac06c0</v>
      </c>
      <c r="B70" s="210" t="str">
        <f>IFERROR(__xludf.DUMMYFUNCTION("""COMPUTED_VALUE"""),"43ac06c0")</f>
        <v>43ac06c0</v>
      </c>
      <c r="C70" s="213">
        <f>IFERROR(__xludf.DUMMYFUNCTION("""COMPUTED_VALUE"""),45567.41725694444)</f>
        <v>45567.41726</v>
      </c>
      <c r="D70" s="211" t="str">
        <f>IFERROR(__xludf.DUMMYFUNCTION("""COMPUTED_VALUE"""),"f8335a53")</f>
        <v>f8335a53</v>
      </c>
      <c r="E70" s="211" t="str">
        <f>IFERROR(__xludf.DUMMYFUNCTION("""COMPUTED_VALUE"""),"CV RAGAM JAYA ENGINEERING")</f>
        <v>CV RAGAM JAYA ENGINEERING</v>
      </c>
      <c r="F70" s="211" t="str">
        <f>IFERROR(__xludf.DUMMYFUNCTION("""COMPUTED_VALUE"""),"8bdbe149")</f>
        <v>8bdbe149</v>
      </c>
      <c r="G70" s="211" t="str">
        <f>IFERROR(__xludf.DUMMYFUNCTION("""COMPUTED_VALUE"""),"Oksigen 6m3")</f>
        <v>Oksigen 6m3</v>
      </c>
      <c r="H70" s="214" t="str">
        <f>IFERROR(__xludf.DUMMYFUNCTION("""COMPUTED_VALUE"""),"IN")</f>
        <v>IN</v>
      </c>
      <c r="I70" s="214" t="str">
        <f>IFERROR(__xludf.DUMMYFUNCTION("""COMPUTED_VALUE"""),"EMPTY")</f>
        <v>EMPTY</v>
      </c>
      <c r="J70" s="211">
        <f>IFERROR(__xludf.DUMMYFUNCTION("""COMPUTED_VALUE"""),2.0)</f>
        <v>2</v>
      </c>
      <c r="K70" s="210" t="str">
        <f>IFERROR(__xludf.DUMMYFUNCTION("""COMPUTED_VALUE"""),"1135 1131")</f>
        <v>1135 1131</v>
      </c>
      <c r="L70" s="211"/>
      <c r="M70" s="211"/>
      <c r="N70" s="211"/>
      <c r="O70" s="211"/>
      <c r="Q70" s="210" t="str">
        <f>IFERROR(__xludf.DUMMYFUNCTION("""COMPUTED_VALUE"""),"10240043")</f>
        <v>10240043</v>
      </c>
      <c r="R70" s="210" t="str">
        <f>IFERROR(__xludf.DUMMYFUNCTION("""COMPUTED_VALUE"""),"10240043")</f>
        <v>10240043</v>
      </c>
      <c r="S70" s="211" t="str">
        <f>IFERROR(__xludf.DUMMYFUNCTION("""COMPUTED_VALUE"""),"37175874")</f>
        <v>37175874</v>
      </c>
      <c r="T70" s="211" t="str">
        <f>IFERROR(__xludf.DUMMYFUNCTION("""COMPUTED_VALUE"""),"PT TERAPAN NILAIOSILASI INDONESIA (TENO)")</f>
        <v>PT TERAPAN NILAIOSILASI INDONESIA (TENO)</v>
      </c>
      <c r="U70" s="215">
        <f>IFERROR(__xludf.DUMMYFUNCTION("""COMPUTED_VALUE"""),45581.40361111111)</f>
        <v>45581.40361</v>
      </c>
      <c r="V70" s="211" t="str">
        <f>IFERROR(__xludf.DUMMYFUNCTION("""COMPUTED_VALUE"""),"JL Raya Kertajaya Indah 153 / P116, Gebang Putih, Sukokilo, Kota Surabaya, Jawa Timur")</f>
        <v>JL Raya Kertajaya Indah 153 / P116, Gebang Putih, Sukokilo, Kota Surabaya, Jawa Timur</v>
      </c>
      <c r="W70" s="211" t="str">
        <f>IFERROR(__xludf.DUMMYFUNCTION("""COMPUTED_VALUE"""),"OUT")</f>
        <v>OUT</v>
      </c>
      <c r="X70" s="211"/>
      <c r="Z70" s="211" t="str">
        <f>IFERROR(__xludf.DUMMYFUNCTION("""COMPUTED_VALUE"""),"042612959")</f>
        <v>042612959</v>
      </c>
      <c r="AC70" s="211" t="str">
        <f>IFERROR(__xludf.DUMMYFUNCTION("""COMPUTED_VALUE"""),"e3268699")</f>
        <v>e3268699</v>
      </c>
      <c r="AD70" s="211" t="str">
        <f>IFERROR(__xludf.DUMMYFUNCTION("""COMPUTED_VALUE"""),"Bpk Jainul")</f>
        <v>Bpk Jainul</v>
      </c>
      <c r="AE70" s="211"/>
      <c r="AF70" s="211" t="b">
        <f>IFERROR(__xludf.DUMMYFUNCTION("""COMPUTED_VALUE"""),FALSE)</f>
        <v>0</v>
      </c>
      <c r="AG70" s="211" t="str">
        <f>IFERROR(__xludf.DUMMYFUNCTION("""COMPUTED_VALUE"""),"JL.Morowudi, Ikerikergeger, Kabupaten Gresik, Jawa Timur")</f>
        <v>JL.Morowudi, Ikerikergeger, Kabupaten Gresik, Jawa Timur</v>
      </c>
      <c r="AH70" s="211"/>
      <c r="AI70" s="211"/>
      <c r="AJ70" s="211"/>
      <c r="AL70" s="211" t="str">
        <f>IFERROR(__xludf.DUMMYFUNCTION("""COMPUTED_VALUE"""),"2260246")</f>
        <v>2260246</v>
      </c>
      <c r="AM70" s="211" t="str">
        <f>IFERROR(__xludf.DUMMYFUNCTION("""COMPUTED_VALUE"""),"0226762626")</f>
        <v>0226762626</v>
      </c>
      <c r="AN70" s="211" t="str">
        <f>IFERROR(__xludf.DUMMYFUNCTION("""COMPUTED_VALUE"""),"e86baf3b")</f>
        <v>e86baf3b</v>
      </c>
      <c r="AO70" s="211" t="str">
        <f>IFERROR(__xludf.DUMMYFUNCTION("""COMPUTED_VALUE"""),"PT GEMILANG CIPTA WAWASAN")</f>
        <v>PT GEMILANG CIPTA WAWASAN</v>
      </c>
      <c r="AP70" s="215">
        <f>IFERROR(__xludf.DUMMYFUNCTION("""COMPUTED_VALUE"""),46086.36421296296)</f>
        <v>46086.36421</v>
      </c>
      <c r="AQ70" s="218">
        <f>IFERROR(__xludf.DUMMYFUNCTION("""COMPUTED_VALUE"""),46074.0)</f>
        <v>46074</v>
      </c>
      <c r="AR70" s="211"/>
      <c r="AS70" s="211" t="str">
        <f>IFERROR(__xludf.DUMMYFUNCTION("""COMPUTED_VALUE"""),"e3268699")</f>
        <v>e3268699</v>
      </c>
      <c r="AT70" s="211" t="str">
        <f>IFERROR(__xludf.DUMMYFUNCTION("""COMPUTED_VALUE"""),"Bpk Jainul")</f>
        <v>Bpk Jainul</v>
      </c>
      <c r="AU70" s="211"/>
      <c r="AV70" s="211" t="b">
        <f>IFERROR(__xludf.DUMMYFUNCTION("""COMPUTED_VALUE"""),FALSE)</f>
        <v>0</v>
      </c>
      <c r="AW70" s="211" t="str">
        <f>IFERROR(__xludf.DUMMYFUNCTION("""COMPUTED_VALUE"""),"JL.Morowudi, Ikerikergeger, Kabupaten Gresik, Jawa Timur")</f>
        <v>JL.Morowudi, Ikerikergeger, Kabupaten Gresik, Jawa Timur</v>
      </c>
      <c r="AX70" s="211"/>
      <c r="AY70" s="211"/>
      <c r="AZ70" s="211"/>
      <c r="BB70" s="211"/>
      <c r="BC70" s="211"/>
      <c r="BD70" s="211"/>
      <c r="BE70" s="211"/>
      <c r="BF70" s="211"/>
      <c r="BG70" s="211"/>
      <c r="BH70" s="211"/>
      <c r="BI70" s="211"/>
    </row>
    <row r="71">
      <c r="A71" s="210" t="str">
        <f>IFERROR(__xludf.DUMMYFUNCTION("""COMPUTED_VALUE"""),"59fcc0f1")</f>
        <v>59fcc0f1</v>
      </c>
      <c r="B71" s="210" t="str">
        <f>IFERROR(__xludf.DUMMYFUNCTION("""COMPUTED_VALUE"""),"59fcc0f1")</f>
        <v>59fcc0f1</v>
      </c>
      <c r="C71" s="213">
        <f>IFERROR(__xludf.DUMMYFUNCTION("""COMPUTED_VALUE"""),45567.449155092596)</f>
        <v>45567.44916</v>
      </c>
      <c r="D71" s="211" t="str">
        <f>IFERROR(__xludf.DUMMYFUNCTION("""COMPUTED_VALUE"""),"7b9d8eba")</f>
        <v>7b9d8eba</v>
      </c>
      <c r="E71" s="211" t="str">
        <f>IFERROR(__xludf.DUMMYFUNCTION("""COMPUTED_VALUE"""),"PT PELANGI INDOKARYA")</f>
        <v>PT PELANGI INDOKARYA</v>
      </c>
      <c r="F71" s="211" t="str">
        <f>IFERROR(__xludf.DUMMYFUNCTION("""COMPUTED_VALUE"""),"8bdbe149")</f>
        <v>8bdbe149</v>
      </c>
      <c r="G71" s="211" t="str">
        <f>IFERROR(__xludf.DUMMYFUNCTION("""COMPUTED_VALUE"""),"Oksigen 6m3")</f>
        <v>Oksigen 6m3</v>
      </c>
      <c r="H71" s="214" t="str">
        <f>IFERROR(__xludf.DUMMYFUNCTION("""COMPUTED_VALUE"""),"IN")</f>
        <v>IN</v>
      </c>
      <c r="I71" s="214" t="str">
        <f>IFERROR(__xludf.DUMMYFUNCTION("""COMPUTED_VALUE"""),"EMPTY")</f>
        <v>EMPTY</v>
      </c>
      <c r="J71" s="211">
        <f>IFERROR(__xludf.DUMMYFUNCTION("""COMPUTED_VALUE"""),9.0)</f>
        <v>9</v>
      </c>
      <c r="K71" s="210" t="str">
        <f>IFERROR(__xludf.DUMMYFUNCTION("""COMPUTED_VALUE"""),"1122 1152 1181 1182 1183 1185 1186 1188")</f>
        <v>1122 1152 1181 1182 1183 1185 1186 1188</v>
      </c>
      <c r="L71" s="211"/>
      <c r="M71" s="211"/>
      <c r="N71" s="211"/>
      <c r="O71" s="211"/>
      <c r="Q71" s="210" t="str">
        <f>IFERROR(__xludf.DUMMYFUNCTION("""COMPUTED_VALUE"""),"10240044")</f>
        <v>10240044</v>
      </c>
      <c r="R71" s="210" t="str">
        <f>IFERROR(__xludf.DUMMYFUNCTION("""COMPUTED_VALUE"""),"10240044")</f>
        <v>10240044</v>
      </c>
      <c r="S71" s="211" t="str">
        <f>IFERROR(__xludf.DUMMYFUNCTION("""COMPUTED_VALUE"""),"e86baf3b")</f>
        <v>e86baf3b</v>
      </c>
      <c r="T71" s="211" t="str">
        <f>IFERROR(__xludf.DUMMYFUNCTION("""COMPUTED_VALUE"""),"PT GEMILANG CIPTA WAWASAN")</f>
        <v>PT GEMILANG CIPTA WAWASAN</v>
      </c>
      <c r="U71" s="215">
        <f>IFERROR(__xludf.DUMMYFUNCTION("""COMPUTED_VALUE"""),45582.5153587963)</f>
        <v>45582.51536</v>
      </c>
      <c r="V71" s="211" t="str">
        <f>IFERROR(__xludf.DUMMYFUNCTION("""COMPUTED_VALUE"""),"JL TEBET RAYA, 2A, TEBET BARAT, TEBET, KOTA ADM, JAKARTA SELATAN, DKI JAKARTA")</f>
        <v>JL TEBET RAYA, 2A, TEBET BARAT, TEBET, KOTA ADM, JAKARTA SELATAN, DKI JAKARTA</v>
      </c>
      <c r="W71" s="211" t="str">
        <f>IFERROR(__xludf.DUMMYFUNCTION("""COMPUTED_VALUE"""),"OUT")</f>
        <v>OUT</v>
      </c>
      <c r="X71" s="211"/>
      <c r="Z71" s="211" t="str">
        <f>IFERROR(__xludf.DUMMYFUNCTION("""COMPUTED_VALUE"""),"042642958")</f>
        <v>042642958</v>
      </c>
      <c r="AC71" s="211"/>
      <c r="AD71" s="211"/>
      <c r="AE71" s="211"/>
      <c r="AF71" s="211"/>
      <c r="AG71" s="211"/>
      <c r="AH71" s="211"/>
      <c r="AI71" s="211"/>
      <c r="AJ71" s="211"/>
      <c r="AL71" s="211" t="str">
        <f>IFERROR(__xludf.DUMMYFUNCTION("""COMPUTED_VALUE"""),"2260246")</f>
        <v>2260246</v>
      </c>
      <c r="AM71" s="211" t="str">
        <f>IFERROR(__xludf.DUMMYFUNCTION("""COMPUTED_VALUE"""),"0226772651")</f>
        <v>0226772651</v>
      </c>
      <c r="AN71" s="211" t="str">
        <f>IFERROR(__xludf.DUMMYFUNCTION("""COMPUTED_VALUE"""),"e86baf3b")</f>
        <v>e86baf3b</v>
      </c>
      <c r="AO71" s="211" t="str">
        <f>IFERROR(__xludf.DUMMYFUNCTION("""COMPUTED_VALUE"""),"PT GEMILANG CIPTA WAWASAN")</f>
        <v>PT GEMILANG CIPTA WAWASAN</v>
      </c>
      <c r="AP71" s="215">
        <f>IFERROR(__xludf.DUMMYFUNCTION("""COMPUTED_VALUE"""),46086.36421296296)</f>
        <v>46086.36421</v>
      </c>
      <c r="AQ71" s="218">
        <f>IFERROR(__xludf.DUMMYFUNCTION("""COMPUTED_VALUE"""),46077.0)</f>
        <v>46077</v>
      </c>
      <c r="AR71" s="211"/>
      <c r="AS71" s="211"/>
      <c r="AT71" s="211"/>
      <c r="AU71" s="211"/>
      <c r="AV71" s="211"/>
      <c r="AW71" s="211"/>
      <c r="AX71" s="211"/>
      <c r="AY71" s="211"/>
      <c r="AZ71" s="211"/>
      <c r="BB71" s="211"/>
      <c r="BC71" s="211"/>
      <c r="BD71" s="211"/>
      <c r="BE71" s="211"/>
      <c r="BF71" s="211"/>
      <c r="BG71" s="211"/>
      <c r="BH71" s="211"/>
      <c r="BI71" s="211"/>
    </row>
    <row r="72">
      <c r="A72" s="210" t="str">
        <f>IFERROR(__xludf.DUMMYFUNCTION("""COMPUTED_VALUE"""),"43ac06c0")</f>
        <v>43ac06c0</v>
      </c>
      <c r="B72" s="210" t="str">
        <f>IFERROR(__xludf.DUMMYFUNCTION("""COMPUTED_VALUE"""),"43ac06c0")</f>
        <v>43ac06c0</v>
      </c>
      <c r="C72" s="213">
        <f>IFERROR(__xludf.DUMMYFUNCTION("""COMPUTED_VALUE"""),45567.449907407405)</f>
        <v>45567.44991</v>
      </c>
      <c r="D72" s="211" t="str">
        <f>IFERROR(__xludf.DUMMYFUNCTION("""COMPUTED_VALUE"""),"f8335a53")</f>
        <v>f8335a53</v>
      </c>
      <c r="E72" s="211" t="str">
        <f>IFERROR(__xludf.DUMMYFUNCTION("""COMPUTED_VALUE"""),"CV RAGAM JAYA ENGINEERING")</f>
        <v>CV RAGAM JAYA ENGINEERING</v>
      </c>
      <c r="F72" s="211" t="str">
        <f>IFERROR(__xludf.DUMMYFUNCTION("""COMPUTED_VALUE"""),"ef306e54")</f>
        <v>ef306e54</v>
      </c>
      <c r="G72" s="211" t="str">
        <f>IFERROR(__xludf.DUMMYFUNCTION("""COMPUTED_VALUE"""),"Karbondioksida")</f>
        <v>Karbondioksida</v>
      </c>
      <c r="H72" s="214" t="str">
        <f>IFERROR(__xludf.DUMMYFUNCTION("""COMPUTED_VALUE"""),"IN")</f>
        <v>IN</v>
      </c>
      <c r="I72" s="214" t="str">
        <f>IFERROR(__xludf.DUMMYFUNCTION("""COMPUTED_VALUE"""),"EMPTY")</f>
        <v>EMPTY</v>
      </c>
      <c r="J72" s="211">
        <f>IFERROR(__xludf.DUMMYFUNCTION("""COMPUTED_VALUE"""),2.0)</f>
        <v>2</v>
      </c>
      <c r="K72" s="210" t="str">
        <f>IFERROR(__xludf.DUMMYFUNCTION("""COMPUTED_VALUE"""),"6856 6641")</f>
        <v>6856 6641</v>
      </c>
      <c r="L72" s="211"/>
      <c r="M72" s="211"/>
      <c r="N72" s="211"/>
      <c r="O72" s="211"/>
      <c r="Q72" s="210" t="str">
        <f>IFERROR(__xludf.DUMMYFUNCTION("""COMPUTED_VALUE"""),"9e54f654")</f>
        <v>9e54f654</v>
      </c>
      <c r="R72" s="210" t="str">
        <f>IFERROR(__xludf.DUMMYFUNCTION("""COMPUTED_VALUE"""),"9e54f654")</f>
        <v>9e54f654</v>
      </c>
      <c r="S72" s="211" t="str">
        <f>IFERROR(__xludf.DUMMYFUNCTION("""COMPUTED_VALUE"""),"2d88931c")</f>
        <v>2d88931c</v>
      </c>
      <c r="T72" s="211" t="str">
        <f>IFERROR(__xludf.DUMMYFUNCTION("""COMPUTED_VALUE"""),"PT Dunia Berkat Marga Mulya")</f>
        <v>PT Dunia Berkat Marga Mulya</v>
      </c>
      <c r="U72" s="215">
        <f>IFERROR(__xludf.DUMMYFUNCTION("""COMPUTED_VALUE"""),45582.60577546296)</f>
        <v>45582.60578</v>
      </c>
      <c r="V72" s="211" t="str">
        <f>IFERROR(__xludf.DUMMYFUNCTION("""COMPUTED_VALUE"""),"JL JABARAN, WATESARI, BALONGBENDO, SIDOARJO, JAWA TIMUR")</f>
        <v>JL JABARAN, WATESARI, BALONGBENDO, SIDOARJO, JAWA TIMUR</v>
      </c>
      <c r="W72" s="211" t="str">
        <f>IFERROR(__xludf.DUMMYFUNCTION("""COMPUTED_VALUE"""),"IN")</f>
        <v>IN</v>
      </c>
      <c r="X72" s="211"/>
      <c r="Z72" s="211" t="str">
        <f>IFERROR(__xludf.DUMMYFUNCTION("""COMPUTED_VALUE"""),"0426372957")</f>
        <v>0426372957</v>
      </c>
      <c r="AC72" s="211" t="str">
        <f>IFERROR(__xludf.DUMMYFUNCTION("""COMPUTED_VALUE"""),"3a48ba8b")</f>
        <v>3a48ba8b</v>
      </c>
      <c r="AD72" s="211" t="str">
        <f>IFERROR(__xludf.DUMMYFUNCTION("""COMPUTED_VALUE"""),"Bpk. Kacung")</f>
        <v>Bpk. Kacung</v>
      </c>
      <c r="AE72" s="211"/>
      <c r="AF72" s="211" t="b">
        <f>IFERROR(__xludf.DUMMYFUNCTION("""COMPUTED_VALUE"""),FALSE)</f>
        <v>0</v>
      </c>
      <c r="AG72" s="211" t="str">
        <f>IFERROR(__xludf.DUMMYFUNCTION("""COMPUTED_VALUE"""),"Parengan RT. 17 RW 04 Kraton Krian Sidoarjo")</f>
        <v>Parengan RT. 17 RW 04 Kraton Krian Sidoarjo</v>
      </c>
      <c r="AH72" s="211"/>
      <c r="AI72" s="211" t="str">
        <f>IFERROR(__xludf.DUMMYFUNCTION("""COMPUTED_VALUE"""),"085235445648")</f>
        <v>085235445648</v>
      </c>
      <c r="AJ72" s="211"/>
      <c r="AL72" s="211" t="str">
        <f>IFERROR(__xludf.DUMMYFUNCTION("""COMPUTED_VALUE"""),"2260239")</f>
        <v>2260239</v>
      </c>
      <c r="AM72" s="211" t="str">
        <f>IFERROR(__xludf.DUMMYFUNCTION("""COMPUTED_VALUE"""),"0226102606")</f>
        <v>0226102606</v>
      </c>
      <c r="AN72" s="211" t="str">
        <f>IFERROR(__xludf.DUMMYFUNCTION("""COMPUTED_VALUE"""),"98c84274")</f>
        <v>98c84274</v>
      </c>
      <c r="AO72" s="211" t="str">
        <f>IFERROR(__xludf.DUMMYFUNCTION("""COMPUTED_VALUE"""),"Bengkel SBM (Pak Hari)")</f>
        <v>Bengkel SBM (Pak Hari)</v>
      </c>
      <c r="AP72" s="215">
        <f>IFERROR(__xludf.DUMMYFUNCTION("""COMPUTED_VALUE"""),46086.343831018516)</f>
        <v>46086.34383</v>
      </c>
      <c r="AQ72" s="218">
        <f>IFERROR(__xludf.DUMMYFUNCTION("""COMPUTED_VALUE"""),46072.0)</f>
        <v>46072</v>
      </c>
      <c r="AR72" s="211"/>
      <c r="AS72" s="211" t="str">
        <f>IFERROR(__xludf.DUMMYFUNCTION("""COMPUTED_VALUE"""),"3a48ba8b")</f>
        <v>3a48ba8b</v>
      </c>
      <c r="AT72" s="211" t="str">
        <f>IFERROR(__xludf.DUMMYFUNCTION("""COMPUTED_VALUE"""),"Bpk. Kacung")</f>
        <v>Bpk. Kacung</v>
      </c>
      <c r="AU72" s="211"/>
      <c r="AV72" s="211" t="b">
        <f>IFERROR(__xludf.DUMMYFUNCTION("""COMPUTED_VALUE"""),FALSE)</f>
        <v>0</v>
      </c>
      <c r="AW72" s="211" t="str">
        <f>IFERROR(__xludf.DUMMYFUNCTION("""COMPUTED_VALUE"""),"Parengan RT. 17 RW 04 Kraton Krian Sidoarjo")</f>
        <v>Parengan RT. 17 RW 04 Kraton Krian Sidoarjo</v>
      </c>
      <c r="AX72" s="211"/>
      <c r="AY72" s="211" t="str">
        <f>IFERROR(__xludf.DUMMYFUNCTION("""COMPUTED_VALUE"""),"085235445648")</f>
        <v>085235445648</v>
      </c>
      <c r="AZ72" s="211"/>
      <c r="BB72" s="211"/>
      <c r="BC72" s="211"/>
      <c r="BD72" s="211"/>
      <c r="BE72" s="211"/>
      <c r="BF72" s="211"/>
      <c r="BG72" s="211"/>
      <c r="BH72" s="211"/>
      <c r="BI72" s="211"/>
    </row>
    <row r="73">
      <c r="A73" s="210" t="str">
        <f>IFERROR(__xludf.DUMMYFUNCTION("""COMPUTED_VALUE"""),"10240034")</f>
        <v>10240034</v>
      </c>
      <c r="B73" s="210" t="str">
        <f>IFERROR(__xludf.DUMMYFUNCTION("""COMPUTED_VALUE"""),"10240034")</f>
        <v>10240034</v>
      </c>
      <c r="C73" s="213">
        <f>IFERROR(__xludf.DUMMYFUNCTION("""COMPUTED_VALUE"""),45567.451215277775)</f>
        <v>45567.45122</v>
      </c>
      <c r="D73" s="211" t="str">
        <f>IFERROR(__xludf.DUMMYFUNCTION("""COMPUTED_VALUE"""),"e86baf3b")</f>
        <v>e86baf3b</v>
      </c>
      <c r="E73" s="211" t="str">
        <f>IFERROR(__xludf.DUMMYFUNCTION("""COMPUTED_VALUE"""),"PT GEMILANG CIPTA WAWASAN")</f>
        <v>PT GEMILANG CIPTA WAWASAN</v>
      </c>
      <c r="F73" s="211" t="str">
        <f>IFERROR(__xludf.DUMMYFUNCTION("""COMPUTED_VALUE"""),"8bdbe149")</f>
        <v>8bdbe149</v>
      </c>
      <c r="G73" s="211" t="str">
        <f>IFERROR(__xludf.DUMMYFUNCTION("""COMPUTED_VALUE"""),"Oksigen 6m3")</f>
        <v>Oksigen 6m3</v>
      </c>
      <c r="H73" s="214" t="str">
        <f>IFERROR(__xludf.DUMMYFUNCTION("""COMPUTED_VALUE"""),"OUT")</f>
        <v>OUT</v>
      </c>
      <c r="I73" s="214" t="str">
        <f>IFERROR(__xludf.DUMMYFUNCTION("""COMPUTED_VALUE"""),"NORMAL")</f>
        <v>NORMAL</v>
      </c>
      <c r="J73" s="211">
        <f>IFERROR(__xludf.DUMMYFUNCTION("""COMPUTED_VALUE"""),20.0)</f>
        <v>20</v>
      </c>
      <c r="K73" s="210" t="str">
        <f>IFERROR(__xludf.DUMMYFUNCTION("""COMPUTED_VALUE"""),"11123 11115 11120 11114 11106 11105 11103 11112 11113 11125 11111 11110 11109 11104 1199 11119 11107 11101 1198 1197")</f>
        <v>11123 11115 11120 11114 11106 11105 11103 11112 11113 11125 11111 11110 11109 11104 1199 11119 11107 11101 1198 1197</v>
      </c>
      <c r="L73" s="211">
        <f>IFERROR(__xludf.DUMMYFUNCTION("""COMPUTED_VALUE"""),60000.0)</f>
        <v>60000</v>
      </c>
      <c r="M73" s="211"/>
      <c r="N73" s="211"/>
      <c r="O73" s="211"/>
      <c r="Q73" s="210" t="str">
        <f>IFERROR(__xludf.DUMMYFUNCTION("""COMPUTED_VALUE"""),"1e8e7bb9")</f>
        <v>1e8e7bb9</v>
      </c>
      <c r="R73" s="210" t="str">
        <f>IFERROR(__xludf.DUMMYFUNCTION("""COMPUTED_VALUE"""),"1e8e7bb9")</f>
        <v>1e8e7bb9</v>
      </c>
      <c r="S73" s="211" t="str">
        <f>IFERROR(__xludf.DUMMYFUNCTION("""COMPUTED_VALUE"""),"f8335a53")</f>
        <v>f8335a53</v>
      </c>
      <c r="T73" s="211" t="str">
        <f>IFERROR(__xludf.DUMMYFUNCTION("""COMPUTED_VALUE"""),"CV RAGAM JAYA ENGINEERING")</f>
        <v>CV RAGAM JAYA ENGINEERING</v>
      </c>
      <c r="U73" s="215">
        <f>IFERROR(__xludf.DUMMYFUNCTION("""COMPUTED_VALUE"""),45582.60613425926)</f>
        <v>45582.60613</v>
      </c>
      <c r="V73" s="211" t="str">
        <f>IFERROR(__xludf.DUMMYFUNCTION("""COMPUTED_VALUE"""),"Jl. Balung wangon, Dadapkuning, Bulurejo, Kec. Benjeng, Kabupaten Gresik, Jawa Timur 61172")</f>
        <v>Jl. Balung wangon, Dadapkuning, Bulurejo, Kec. Benjeng, Kabupaten Gresik, Jawa Timur 61172</v>
      </c>
      <c r="W73" s="211" t="str">
        <f>IFERROR(__xludf.DUMMYFUNCTION("""COMPUTED_VALUE"""),"IN")</f>
        <v>IN</v>
      </c>
      <c r="X73" s="211"/>
      <c r="Z73" s="211" t="str">
        <f>IFERROR(__xludf.DUMMYFUNCTION("""COMPUTED_VALUE"""),"0426972956")</f>
        <v>0426972956</v>
      </c>
      <c r="AC73" s="211" t="str">
        <f>IFERROR(__xludf.DUMMYFUNCTION("""COMPUTED_VALUE"""),"3a48b432")</f>
        <v>3a48b432</v>
      </c>
      <c r="AD73" s="211" t="str">
        <f>IFERROR(__xludf.DUMMYFUNCTION("""COMPUTED_VALUE"""),"Bpk. Dio")</f>
        <v>Bpk. Dio</v>
      </c>
      <c r="AE73" s="211"/>
      <c r="AF73" s="211" t="b">
        <f>IFERROR(__xludf.DUMMYFUNCTION("""COMPUTED_VALUE"""),FALSE)</f>
        <v>0</v>
      </c>
      <c r="AG73" s="211" t="str">
        <f>IFERROR(__xludf.DUMMYFUNCTION("""COMPUTED_VALUE"""),"Semawut")</f>
        <v>Semawut</v>
      </c>
      <c r="AH73" s="211"/>
      <c r="AI73" s="211"/>
      <c r="AJ73" s="211"/>
      <c r="AL73" s="211" t="str">
        <f>IFERROR(__xludf.DUMMYFUNCTION("""COMPUTED_VALUE"""),"2260239")</f>
        <v>2260239</v>
      </c>
      <c r="AM73" s="211" t="str">
        <f>IFERROR(__xludf.DUMMYFUNCTION("""COMPUTED_VALUE"""),"0226112652")</f>
        <v>0226112652</v>
      </c>
      <c r="AN73" s="211" t="str">
        <f>IFERROR(__xludf.DUMMYFUNCTION("""COMPUTED_VALUE"""),"98c84274")</f>
        <v>98c84274</v>
      </c>
      <c r="AO73" s="211" t="str">
        <f>IFERROR(__xludf.DUMMYFUNCTION("""COMPUTED_VALUE"""),"Bengkel SBM (Pak Hari)")</f>
        <v>Bengkel SBM (Pak Hari)</v>
      </c>
      <c r="AP73" s="215">
        <f>IFERROR(__xludf.DUMMYFUNCTION("""COMPUTED_VALUE"""),46086.343831018516)</f>
        <v>46086.34383</v>
      </c>
      <c r="AQ73" s="218">
        <f>IFERROR(__xludf.DUMMYFUNCTION("""COMPUTED_VALUE"""),46077.0)</f>
        <v>46077</v>
      </c>
      <c r="AR73" s="211"/>
      <c r="AS73" s="211" t="str">
        <f>IFERROR(__xludf.DUMMYFUNCTION("""COMPUTED_VALUE"""),"3a48b432")</f>
        <v>3a48b432</v>
      </c>
      <c r="AT73" s="211" t="str">
        <f>IFERROR(__xludf.DUMMYFUNCTION("""COMPUTED_VALUE"""),"Bpk. Dio")</f>
        <v>Bpk. Dio</v>
      </c>
      <c r="AU73" s="211"/>
      <c r="AV73" s="211" t="b">
        <f>IFERROR(__xludf.DUMMYFUNCTION("""COMPUTED_VALUE"""),FALSE)</f>
        <v>0</v>
      </c>
      <c r="AW73" s="211" t="str">
        <f>IFERROR(__xludf.DUMMYFUNCTION("""COMPUTED_VALUE"""),"Semawut")</f>
        <v>Semawut</v>
      </c>
      <c r="AX73" s="211"/>
      <c r="AY73" s="211"/>
      <c r="AZ73" s="211"/>
      <c r="BB73" s="211"/>
      <c r="BC73" s="211"/>
      <c r="BD73" s="211"/>
      <c r="BE73" s="211"/>
      <c r="BF73" s="211"/>
      <c r="BG73" s="211"/>
      <c r="BH73" s="211"/>
      <c r="BI73" s="211"/>
    </row>
    <row r="74">
      <c r="A74" s="210" t="str">
        <f>IFERROR(__xludf.DUMMYFUNCTION("""COMPUTED_VALUE"""),"10240035")</f>
        <v>10240035</v>
      </c>
      <c r="B74" s="210" t="str">
        <f>IFERROR(__xludf.DUMMYFUNCTION("""COMPUTED_VALUE"""),"10240035")</f>
        <v>10240035</v>
      </c>
      <c r="C74" s="213">
        <f>IFERROR(__xludf.DUMMYFUNCTION("""COMPUTED_VALUE"""),45567.48917824074)</f>
        <v>45567.48918</v>
      </c>
      <c r="D74" s="211" t="str">
        <f>IFERROR(__xludf.DUMMYFUNCTION("""COMPUTED_VALUE"""),"2d88931c")</f>
        <v>2d88931c</v>
      </c>
      <c r="E74" s="211" t="str">
        <f>IFERROR(__xludf.DUMMYFUNCTION("""COMPUTED_VALUE"""),"PT Dunia Berkat Marga Mulya")</f>
        <v>PT Dunia Berkat Marga Mulya</v>
      </c>
      <c r="F74" s="211" t="str">
        <f>IFERROR(__xludf.DUMMYFUNCTION("""COMPUTED_VALUE"""),"8bdbe149")</f>
        <v>8bdbe149</v>
      </c>
      <c r="G74" s="211" t="str">
        <f>IFERROR(__xludf.DUMMYFUNCTION("""COMPUTED_VALUE"""),"Oksigen 6m3")</f>
        <v>Oksigen 6m3</v>
      </c>
      <c r="H74" s="214" t="str">
        <f>IFERROR(__xludf.DUMMYFUNCTION("""COMPUTED_VALUE"""),"OUT")</f>
        <v>OUT</v>
      </c>
      <c r="I74" s="214" t="str">
        <f>IFERROR(__xludf.DUMMYFUNCTION("""COMPUTED_VALUE"""),"NORMAL")</f>
        <v>NORMAL</v>
      </c>
      <c r="J74" s="211">
        <f>IFERROR(__xludf.DUMMYFUNCTION("""COMPUTED_VALUE"""),4.0)</f>
        <v>4</v>
      </c>
      <c r="K74" s="210" t="str">
        <f>IFERROR(__xludf.DUMMYFUNCTION("""COMPUTED_VALUE"""),"1164 1163 1180 1175")</f>
        <v>1164 1163 1180 1175</v>
      </c>
      <c r="L74" s="211">
        <f>IFERROR(__xludf.DUMMYFUNCTION("""COMPUTED_VALUE"""),60000.0)</f>
        <v>60000</v>
      </c>
      <c r="M74" s="211"/>
      <c r="N74" s="211"/>
      <c r="O74" s="211"/>
      <c r="Q74" s="210" t="str">
        <f>IFERROR(__xludf.DUMMYFUNCTION("""COMPUTED_VALUE"""),"16bddcae")</f>
        <v>16bddcae</v>
      </c>
      <c r="R74" s="210" t="str">
        <f>IFERROR(__xludf.DUMMYFUNCTION("""COMPUTED_VALUE"""),"16bddcae")</f>
        <v>16bddcae</v>
      </c>
      <c r="S74" s="211" t="str">
        <f>IFERROR(__xludf.DUMMYFUNCTION("""COMPUTED_VALUE"""),"e86baf3b")</f>
        <v>e86baf3b</v>
      </c>
      <c r="T74" s="211" t="str">
        <f>IFERROR(__xludf.DUMMYFUNCTION("""COMPUTED_VALUE"""),"PT GEMILANG CIPTA WAWASAN")</f>
        <v>PT GEMILANG CIPTA WAWASAN</v>
      </c>
      <c r="U74" s="215">
        <f>IFERROR(__xludf.DUMMYFUNCTION("""COMPUTED_VALUE"""),45582.66653935185)</f>
        <v>45582.66654</v>
      </c>
      <c r="V74" s="211" t="str">
        <f>IFERROR(__xludf.DUMMYFUNCTION("""COMPUTED_VALUE"""),"JL TEBET RAYA, 2A, TEBET BARAT, TEBET, KOTA ADM, JAKARTA SELATAN, DKI JAKARTA")</f>
        <v>JL TEBET RAYA, 2A, TEBET BARAT, TEBET, KOTA ADM, JAKARTA SELATAN, DKI JAKARTA</v>
      </c>
      <c r="W74" s="211" t="str">
        <f>IFERROR(__xludf.DUMMYFUNCTION("""COMPUTED_VALUE"""),"IN")</f>
        <v>IN</v>
      </c>
      <c r="X74" s="211"/>
      <c r="Z74" s="211" t="str">
        <f>IFERROR(__xludf.DUMMYFUNCTION("""COMPUTED_VALUE"""),"0426412953")</f>
        <v>0426412953</v>
      </c>
      <c r="AC74" s="211" t="str">
        <f>IFERROR(__xludf.DUMMYFUNCTION("""COMPUTED_VALUE"""),"sugiantoro")</f>
        <v>sugiantoro</v>
      </c>
      <c r="AD74" s="211" t="str">
        <f>IFERROR(__xludf.DUMMYFUNCTION("""COMPUTED_VALUE"""),"Bpk. Sugiantoro")</f>
        <v>Bpk. Sugiantoro</v>
      </c>
      <c r="AE74" s="211"/>
      <c r="AF74" s="211" t="b">
        <f>IFERROR(__xludf.DUMMYFUNCTION("""COMPUTED_VALUE"""),FALSE)</f>
        <v>0</v>
      </c>
      <c r="AG74" s="211"/>
      <c r="AH74" s="211"/>
      <c r="AI74" s="211"/>
      <c r="AJ74" s="211"/>
      <c r="AL74" s="211" t="str">
        <f>IFERROR(__xludf.DUMMYFUNCTION("""COMPUTED_VALUE"""),"2260239")</f>
        <v>2260239</v>
      </c>
      <c r="AM74" s="211" t="str">
        <f>IFERROR(__xludf.DUMMYFUNCTION("""COMPUTED_VALUE"""),"0226122673")</f>
        <v>0226122673</v>
      </c>
      <c r="AN74" s="211" t="str">
        <f>IFERROR(__xludf.DUMMYFUNCTION("""COMPUTED_VALUE"""),"98c84274")</f>
        <v>98c84274</v>
      </c>
      <c r="AO74" s="211" t="str">
        <f>IFERROR(__xludf.DUMMYFUNCTION("""COMPUTED_VALUE"""),"Bengkel SBM (Pak Hari)")</f>
        <v>Bengkel SBM (Pak Hari)</v>
      </c>
      <c r="AP74" s="215">
        <f>IFERROR(__xludf.DUMMYFUNCTION("""COMPUTED_VALUE"""),46086.343831018516)</f>
        <v>46086.34383</v>
      </c>
      <c r="AQ74" s="218">
        <f>IFERROR(__xludf.DUMMYFUNCTION("""COMPUTED_VALUE"""),46079.0)</f>
        <v>46079</v>
      </c>
      <c r="AR74" s="211"/>
      <c r="AS74" s="211" t="str">
        <f>IFERROR(__xludf.DUMMYFUNCTION("""COMPUTED_VALUE"""),"sugiantoro")</f>
        <v>sugiantoro</v>
      </c>
      <c r="AT74" s="211" t="str">
        <f>IFERROR(__xludf.DUMMYFUNCTION("""COMPUTED_VALUE"""),"Bpk. Sugiantoro")</f>
        <v>Bpk. Sugiantoro</v>
      </c>
      <c r="AU74" s="211"/>
      <c r="AV74" s="211" t="b">
        <f>IFERROR(__xludf.DUMMYFUNCTION("""COMPUTED_VALUE"""),FALSE)</f>
        <v>0</v>
      </c>
      <c r="AW74" s="211"/>
      <c r="AX74" s="211"/>
      <c r="AY74" s="211"/>
      <c r="AZ74" s="211"/>
      <c r="BB74" s="211"/>
      <c r="BC74" s="211"/>
      <c r="BD74" s="211"/>
      <c r="BE74" s="211"/>
      <c r="BF74" s="211"/>
      <c r="BG74" s="211"/>
      <c r="BH74" s="211"/>
      <c r="BI74" s="211"/>
    </row>
    <row r="75">
      <c r="A75" s="210" t="str">
        <f>IFERROR(__xludf.DUMMYFUNCTION("""COMPUTED_VALUE"""),"30b1728c")</f>
        <v>30b1728c</v>
      </c>
      <c r="B75" s="210" t="str">
        <f>IFERROR(__xludf.DUMMYFUNCTION("""COMPUTED_VALUE"""),"30b1728c")</f>
        <v>30b1728c</v>
      </c>
      <c r="C75" s="213">
        <f>IFERROR(__xludf.DUMMYFUNCTION("""COMPUTED_VALUE"""),45567.58142361111)</f>
        <v>45567.58142</v>
      </c>
      <c r="D75" s="211" t="str">
        <f>IFERROR(__xludf.DUMMYFUNCTION("""COMPUTED_VALUE"""),"2d88931c")</f>
        <v>2d88931c</v>
      </c>
      <c r="E75" s="211" t="str">
        <f>IFERROR(__xludf.DUMMYFUNCTION("""COMPUTED_VALUE"""),"PT Dunia Berkat Marga Mulya")</f>
        <v>PT Dunia Berkat Marga Mulya</v>
      </c>
      <c r="F75" s="211" t="str">
        <f>IFERROR(__xludf.DUMMYFUNCTION("""COMPUTED_VALUE"""),"8bdbe149")</f>
        <v>8bdbe149</v>
      </c>
      <c r="G75" s="211" t="str">
        <f>IFERROR(__xludf.DUMMYFUNCTION("""COMPUTED_VALUE"""),"Oksigen 6m3")</f>
        <v>Oksigen 6m3</v>
      </c>
      <c r="H75" s="214" t="str">
        <f>IFERROR(__xludf.DUMMYFUNCTION("""COMPUTED_VALUE"""),"IN")</f>
        <v>IN</v>
      </c>
      <c r="I75" s="214" t="str">
        <f>IFERROR(__xludf.DUMMYFUNCTION("""COMPUTED_VALUE"""),"EMPTY")</f>
        <v>EMPTY</v>
      </c>
      <c r="J75" s="211">
        <f>IFERROR(__xludf.DUMMYFUNCTION("""COMPUTED_VALUE"""),4.0)</f>
        <v>4</v>
      </c>
      <c r="K75" s="210" t="str">
        <f>IFERROR(__xludf.DUMMYFUNCTION("""COMPUTED_VALUE"""),"1159 1150 1101 1114")</f>
        <v>1159 1150 1101 1114</v>
      </c>
      <c r="L75" s="211"/>
      <c r="M75" s="211"/>
      <c r="N75" s="211"/>
      <c r="O75" s="211"/>
      <c r="Q75" s="210" t="str">
        <f>IFERROR(__xludf.DUMMYFUNCTION("""COMPUTED_VALUE"""),"10240046")</f>
        <v>10240046</v>
      </c>
      <c r="R75" s="210" t="str">
        <f>IFERROR(__xludf.DUMMYFUNCTION("""COMPUTED_VALUE"""),"10240046")</f>
        <v>10240046</v>
      </c>
      <c r="S75" s="211" t="str">
        <f>IFERROR(__xludf.DUMMYFUNCTION("""COMPUTED_VALUE"""),"c2f5a4a7")</f>
        <v>c2f5a4a7</v>
      </c>
      <c r="T75" s="211" t="str">
        <f>IFERROR(__xludf.DUMMYFUNCTION("""COMPUTED_VALUE"""),"UD Sumber Berlian")</f>
        <v>UD Sumber Berlian</v>
      </c>
      <c r="U75" s="215">
        <f>IFERROR(__xludf.DUMMYFUNCTION("""COMPUTED_VALUE"""),45583.59335648148)</f>
        <v>45583.59336</v>
      </c>
      <c r="V75" s="211" t="str">
        <f>IFERROR(__xludf.DUMMYFUNCTION("""COMPUTED_VALUE"""),"Ciro Kulon, Bakungtemenggungan, Kec. BalongBendo, Kabupaten Sidoarjo, Jawa Timur 61263")</f>
        <v>Ciro Kulon, Bakungtemenggungan, Kec. BalongBendo, Kabupaten Sidoarjo, Jawa Timur 61263</v>
      </c>
      <c r="W75" s="211" t="str">
        <f>IFERROR(__xludf.DUMMYFUNCTION("""COMPUTED_VALUE"""),"OUT")</f>
        <v>OUT</v>
      </c>
      <c r="X75" s="211"/>
      <c r="Z75" s="211" t="str">
        <f>IFERROR(__xludf.DUMMYFUNCTION("""COMPUTED_VALUE"""),"042612952")</f>
        <v>042612952</v>
      </c>
      <c r="AC75" s="211" t="str">
        <f>IFERROR(__xludf.DUMMYFUNCTION("""COMPUTED_VALUE"""),"anwr")</f>
        <v>anwr</v>
      </c>
      <c r="AD75" s="211" t="str">
        <f>IFERROR(__xludf.DUMMYFUNCTION("""COMPUTED_VALUE"""),"Bpk. Anwar")</f>
        <v>Bpk. Anwar</v>
      </c>
      <c r="AE75" s="211"/>
      <c r="AF75" s="211"/>
      <c r="AG75" s="211"/>
      <c r="AH75" s="211"/>
      <c r="AI75" s="211"/>
      <c r="AJ75" s="211"/>
      <c r="AL75" s="211" t="str">
        <f>IFERROR(__xludf.DUMMYFUNCTION("""COMPUTED_VALUE"""),"2260239")</f>
        <v>2260239</v>
      </c>
      <c r="AM75" s="211" t="str">
        <f>IFERROR(__xludf.DUMMYFUNCTION("""COMPUTED_VALUE"""),"0326132734")</f>
        <v>0326132734</v>
      </c>
      <c r="AN75" s="211" t="str">
        <f>IFERROR(__xludf.DUMMYFUNCTION("""COMPUTED_VALUE"""),"98c84274")</f>
        <v>98c84274</v>
      </c>
      <c r="AO75" s="211" t="str">
        <f>IFERROR(__xludf.DUMMYFUNCTION("""COMPUTED_VALUE"""),"Bengkel SBM (Pak Hari)")</f>
        <v>Bengkel SBM (Pak Hari)</v>
      </c>
      <c r="AP75" s="215">
        <f>IFERROR(__xludf.DUMMYFUNCTION("""COMPUTED_VALUE"""),46086.343831018516)</f>
        <v>46086.34383</v>
      </c>
      <c r="AQ75" s="218">
        <f>IFERROR(__xludf.DUMMYFUNCTION("""COMPUTED_VALUE"""),46085.0)</f>
        <v>46085</v>
      </c>
      <c r="AR75" s="211"/>
      <c r="AS75" s="211" t="str">
        <f>IFERROR(__xludf.DUMMYFUNCTION("""COMPUTED_VALUE"""),"anwr")</f>
        <v>anwr</v>
      </c>
      <c r="AT75" s="211" t="str">
        <f>IFERROR(__xludf.DUMMYFUNCTION("""COMPUTED_VALUE"""),"Bpk. Anwar")</f>
        <v>Bpk. Anwar</v>
      </c>
      <c r="AU75" s="211"/>
      <c r="AV75" s="211"/>
      <c r="AW75" s="211"/>
      <c r="AX75" s="211"/>
      <c r="AY75" s="211"/>
      <c r="AZ75" s="211"/>
      <c r="BB75" s="211"/>
      <c r="BC75" s="211"/>
      <c r="BD75" s="211"/>
      <c r="BE75" s="211"/>
      <c r="BF75" s="211"/>
      <c r="BG75" s="211"/>
      <c r="BH75" s="211"/>
      <c r="BI75" s="211"/>
    </row>
    <row r="76">
      <c r="A76" s="210" t="str">
        <f>IFERROR(__xludf.DUMMYFUNCTION("""COMPUTED_VALUE"""),"936ad183")</f>
        <v>936ad183</v>
      </c>
      <c r="B76" s="210" t="str">
        <f>IFERROR(__xludf.DUMMYFUNCTION("""COMPUTED_VALUE"""),"936ad183")</f>
        <v>936ad183</v>
      </c>
      <c r="C76" s="213">
        <f>IFERROR(__xludf.DUMMYFUNCTION("""COMPUTED_VALUE"""),45570.411840277775)</f>
        <v>45570.41184</v>
      </c>
      <c r="D76" s="211" t="str">
        <f>IFERROR(__xludf.DUMMYFUNCTION("""COMPUTED_VALUE"""),"7b9d8eba")</f>
        <v>7b9d8eba</v>
      </c>
      <c r="E76" s="211" t="str">
        <f>IFERROR(__xludf.DUMMYFUNCTION("""COMPUTED_VALUE"""),"PT PELANGI INDOKARYA")</f>
        <v>PT PELANGI INDOKARYA</v>
      </c>
      <c r="F76" s="211" t="str">
        <f>IFERROR(__xludf.DUMMYFUNCTION("""COMPUTED_VALUE"""),"8bdbe149")</f>
        <v>8bdbe149</v>
      </c>
      <c r="G76" s="211" t="str">
        <f>IFERROR(__xludf.DUMMYFUNCTION("""COMPUTED_VALUE"""),"Oksigen 6m3")</f>
        <v>Oksigen 6m3</v>
      </c>
      <c r="H76" s="214" t="str">
        <f>IFERROR(__xludf.DUMMYFUNCTION("""COMPUTED_VALUE"""),"IN")</f>
        <v>IN</v>
      </c>
      <c r="I76" s="214" t="str">
        <f>IFERROR(__xludf.DUMMYFUNCTION("""COMPUTED_VALUE"""),"EMPTY")</f>
        <v>EMPTY</v>
      </c>
      <c r="J76" s="211">
        <f>IFERROR(__xludf.DUMMYFUNCTION("""COMPUTED_VALUE"""),7.0)</f>
        <v>7</v>
      </c>
      <c r="K76" s="210" t="str">
        <f>IFERROR(__xludf.DUMMYFUNCTION("""COMPUTED_VALUE"""),"1151 1155 1132 1146 1147 1128 1109")</f>
        <v>1151 1155 1132 1146 1147 1128 1109</v>
      </c>
      <c r="L76" s="211"/>
      <c r="M76" s="211"/>
      <c r="N76" s="211"/>
      <c r="O76" s="211"/>
      <c r="Q76" s="210" t="str">
        <f>IFERROR(__xludf.DUMMYFUNCTION("""COMPUTED_VALUE"""),"10240047")</f>
        <v>10240047</v>
      </c>
      <c r="R76" s="210" t="str">
        <f>IFERROR(__xludf.DUMMYFUNCTION("""COMPUTED_VALUE"""),"10240047")</f>
        <v>10240047</v>
      </c>
      <c r="S76" s="211" t="str">
        <f>IFERROR(__xludf.DUMMYFUNCTION("""COMPUTED_VALUE"""),"72d9a70c")</f>
        <v>72d9a70c</v>
      </c>
      <c r="T76" s="211" t="str">
        <f>IFERROR(__xludf.DUMMYFUNCTION("""COMPUTED_VALUE"""),"PT Beton Prima Indonesia")</f>
        <v>PT Beton Prima Indonesia</v>
      </c>
      <c r="U76" s="215">
        <f>IFERROR(__xludf.DUMMYFUNCTION("""COMPUTED_VALUE"""),45584.65303240741)</f>
        <v>45584.65303</v>
      </c>
      <c r="V76" s="211" t="str">
        <f>IFERROR(__xludf.DUMMYFUNCTION("""COMPUTED_VALUE"""),"KH. Ahmad Dahlan KM.2 Ds. Sumberwono, Kec. Bangsal, Kab. Mojokerto 61381")</f>
        <v>KH. Ahmad Dahlan KM.2 Ds. Sumberwono, Kec. Bangsal, Kab. Mojokerto 61381</v>
      </c>
      <c r="W76" s="211" t="str">
        <f>IFERROR(__xludf.DUMMYFUNCTION("""COMPUTED_VALUE"""),"OUT")</f>
        <v>OUT</v>
      </c>
      <c r="X76" s="211"/>
      <c r="Z76" s="211" t="str">
        <f>IFERROR(__xludf.DUMMYFUNCTION("""COMPUTED_VALUE"""),"0426502950")</f>
        <v>0426502950</v>
      </c>
      <c r="AC76" s="211" t="str">
        <f>IFERROR(__xludf.DUMMYFUNCTION("""COMPUTED_VALUE"""),"slmt76")</f>
        <v>slmt76</v>
      </c>
      <c r="AD76" s="211" t="str">
        <f>IFERROR(__xludf.DUMMYFUNCTION("""COMPUTED_VALUE"""),"Bpk. Slamet")</f>
        <v>Bpk. Slamet</v>
      </c>
      <c r="AE76" s="211"/>
      <c r="AF76" s="211"/>
      <c r="AG76" s="211"/>
      <c r="AH76" s="211"/>
      <c r="AI76" s="211"/>
      <c r="AJ76" s="211"/>
      <c r="AL76" s="211" t="str">
        <f>IFERROR(__xludf.DUMMYFUNCTION("""COMPUTED_VALUE"""),"2260238")</f>
        <v>2260238</v>
      </c>
      <c r="AM76" s="211" t="str">
        <f>IFERROR(__xludf.DUMMYFUNCTION("""COMPUTED_VALUE"""),"0126252236")</f>
        <v>0126252236</v>
      </c>
      <c r="AN76" s="211" t="str">
        <f>IFERROR(__xludf.DUMMYFUNCTION("""COMPUTED_VALUE"""),"7b9d8eba")</f>
        <v>7b9d8eba</v>
      </c>
      <c r="AO76" s="211" t="str">
        <f>IFERROR(__xludf.DUMMYFUNCTION("""COMPUTED_VALUE"""),"PT PELANGI INDOKARYA")</f>
        <v>PT PELANGI INDOKARYA</v>
      </c>
      <c r="AP76" s="215">
        <f>IFERROR(__xludf.DUMMYFUNCTION("""COMPUTED_VALUE"""),46081.421076388884)</f>
        <v>46081.42108</v>
      </c>
      <c r="AQ76" s="218">
        <f>IFERROR(__xludf.DUMMYFUNCTION("""COMPUTED_VALUE"""),46036.0)</f>
        <v>46036</v>
      </c>
      <c r="AR76" s="211"/>
      <c r="AS76" s="211" t="str">
        <f>IFERROR(__xludf.DUMMYFUNCTION("""COMPUTED_VALUE"""),"slmt76")</f>
        <v>slmt76</v>
      </c>
      <c r="AT76" s="211" t="str">
        <f>IFERROR(__xludf.DUMMYFUNCTION("""COMPUTED_VALUE"""),"Bpk. Slamet")</f>
        <v>Bpk. Slamet</v>
      </c>
      <c r="AU76" s="211"/>
      <c r="AV76" s="211"/>
      <c r="AW76" s="211"/>
      <c r="AX76" s="211"/>
      <c r="AY76" s="211"/>
      <c r="AZ76" s="211"/>
      <c r="BB76" s="211"/>
      <c r="BC76" s="211"/>
      <c r="BD76" s="211"/>
      <c r="BE76" s="211"/>
      <c r="BF76" s="211"/>
      <c r="BG76" s="211"/>
      <c r="BH76" s="211"/>
      <c r="BI76" s="211"/>
    </row>
    <row r="77">
      <c r="A77" s="210" t="str">
        <f>IFERROR(__xludf.DUMMYFUNCTION("""COMPUTED_VALUE"""),"7bbfe6fb")</f>
        <v>7bbfe6fb</v>
      </c>
      <c r="B77" s="210" t="str">
        <f>IFERROR(__xludf.DUMMYFUNCTION("""COMPUTED_VALUE"""),"7bbfe6fb")</f>
        <v>7bbfe6fb</v>
      </c>
      <c r="C77" s="213">
        <f>IFERROR(__xludf.DUMMYFUNCTION("""COMPUTED_VALUE"""),45570.41278935185)</f>
        <v>45570.41279</v>
      </c>
      <c r="D77" s="211" t="str">
        <f>IFERROR(__xludf.DUMMYFUNCTION("""COMPUTED_VALUE"""),"f8335a53")</f>
        <v>f8335a53</v>
      </c>
      <c r="E77" s="211" t="str">
        <f>IFERROR(__xludf.DUMMYFUNCTION("""COMPUTED_VALUE"""),"CV RAGAM JAYA ENGINEERING")</f>
        <v>CV RAGAM JAYA ENGINEERING</v>
      </c>
      <c r="F77" s="211" t="str">
        <f>IFERROR(__xludf.DUMMYFUNCTION("""COMPUTED_VALUE"""),"8bdbe149")</f>
        <v>8bdbe149</v>
      </c>
      <c r="G77" s="211" t="str">
        <f>IFERROR(__xludf.DUMMYFUNCTION("""COMPUTED_VALUE"""),"Oksigen 6m3")</f>
        <v>Oksigen 6m3</v>
      </c>
      <c r="H77" s="214" t="str">
        <f>IFERROR(__xludf.DUMMYFUNCTION("""COMPUTED_VALUE"""),"IN")</f>
        <v>IN</v>
      </c>
      <c r="I77" s="214" t="str">
        <f>IFERROR(__xludf.DUMMYFUNCTION("""COMPUTED_VALUE"""),"EMPTY")</f>
        <v>EMPTY</v>
      </c>
      <c r="J77" s="211">
        <f>IFERROR(__xludf.DUMMYFUNCTION("""COMPUTED_VALUE"""),2.0)</f>
        <v>2</v>
      </c>
      <c r="K77" s="210" t="str">
        <f>IFERROR(__xludf.DUMMYFUNCTION("""COMPUTED_VALUE"""),"1104 1105")</f>
        <v>1104 1105</v>
      </c>
      <c r="L77" s="211"/>
      <c r="M77" s="211"/>
      <c r="N77" s="211"/>
      <c r="O77" s="211"/>
      <c r="Q77" s="210" t="str">
        <f>IFERROR(__xludf.DUMMYFUNCTION("""COMPUTED_VALUE"""),"10240049")</f>
        <v>10240049</v>
      </c>
      <c r="R77" s="210" t="str">
        <f>IFERROR(__xludf.DUMMYFUNCTION("""COMPUTED_VALUE"""),"10240049")</f>
        <v>10240049</v>
      </c>
      <c r="S77" s="211" t="str">
        <f>IFERROR(__xludf.DUMMYFUNCTION("""COMPUTED_VALUE"""),"8f5ebaea")</f>
        <v>8f5ebaea</v>
      </c>
      <c r="T77" s="211" t="str">
        <f>IFERROR(__xludf.DUMMYFUNCTION("""COMPUTED_VALUE"""),"PT Hua Zong Mesindo")</f>
        <v>PT Hua Zong Mesindo</v>
      </c>
      <c r="U77" s="215">
        <f>IFERROR(__xludf.DUMMYFUNCTION("""COMPUTED_VALUE"""),45586.55097222222)</f>
        <v>45586.55097</v>
      </c>
      <c r="V77" s="211" t="str">
        <f>IFERROR(__xludf.DUMMYFUNCTION("""COMPUTED_VALUE"""),"Jl. Bypass Krian, Sidotemo, Sidomulyo, Kec. Krian, Kabupaten Sidoarjo, Jawa Timur 61262")</f>
        <v>Jl. Bypass Krian, Sidotemo, Sidomulyo, Kec. Krian, Kabupaten Sidoarjo, Jawa Timur 61262</v>
      </c>
      <c r="W77" s="211" t="str">
        <f>IFERROR(__xludf.DUMMYFUNCTION("""COMPUTED_VALUE"""),"OUT")</f>
        <v>OUT</v>
      </c>
      <c r="X77" s="211"/>
      <c r="Z77" s="211" t="str">
        <f>IFERROR(__xludf.DUMMYFUNCTION("""COMPUTED_VALUE"""),"0426792948")</f>
        <v>0426792948</v>
      </c>
      <c r="AC77" s="211" t="str">
        <f>IFERROR(__xludf.DUMMYFUNCTION("""COMPUTED_VALUE"""),"370c84d1")</f>
        <v>370c84d1</v>
      </c>
      <c r="AD77" s="211" t="str">
        <f>IFERROR(__xludf.DUMMYFUNCTION("""COMPUTED_VALUE"""),"PT. Citra Bintang Karya")</f>
        <v>PT. Citra Bintang Karya</v>
      </c>
      <c r="AE77" s="211"/>
      <c r="AF77" s="211" t="b">
        <f>IFERROR(__xludf.DUMMYFUNCTION("""COMPUTED_VALUE"""),FALSE)</f>
        <v>0</v>
      </c>
      <c r="AG77" s="211" t="str">
        <f>IFERROR(__xludf.DUMMYFUNCTION("""COMPUTED_VALUE"""),"JL. Mayjen Bambang Yuwono No.21, Sirapan, Kemangsen, Kec. Balongbendo, Kabupaten Sidoarjo, Jawa Timur 61262")</f>
        <v>JL. Mayjen Bambang Yuwono No.21, Sirapan, Kemangsen, Kec. Balongbendo, Kabupaten Sidoarjo, Jawa Timur 61262</v>
      </c>
      <c r="AH77" s="211">
        <f>IFERROR(__xludf.DUMMYFUNCTION("""COMPUTED_VALUE"""),14.0)</f>
        <v>14</v>
      </c>
      <c r="AI77" s="211" t="str">
        <f>IFERROR(__xludf.DUMMYFUNCTION("""COMPUTED_VALUE"""),"085168618339")</f>
        <v>085168618339</v>
      </c>
      <c r="AJ77" s="211"/>
      <c r="AL77" s="211" t="str">
        <f>IFERROR(__xludf.DUMMYFUNCTION("""COMPUTED_VALUE"""),"2260237")</f>
        <v>2260237</v>
      </c>
      <c r="AM77" s="211" t="str">
        <f>IFERROR(__xludf.DUMMYFUNCTION("""COMPUTED_VALUE"""),"022612586")</f>
        <v>022612586</v>
      </c>
      <c r="AN77" s="211" t="str">
        <f>IFERROR(__xludf.DUMMYFUNCTION("""COMPUTED_VALUE"""),"f7243d00")</f>
        <v>f7243d00</v>
      </c>
      <c r="AO77" s="211" t="str">
        <f>IFERROR(__xludf.DUMMYFUNCTION("""COMPUTED_VALUE"""),"Bpk. Beni (Dlanggu)")</f>
        <v>Bpk. Beni (Dlanggu)</v>
      </c>
      <c r="AP77" s="215">
        <f>IFERROR(__xludf.DUMMYFUNCTION("""COMPUTED_VALUE"""),46080.46262731482)</f>
        <v>46080.46263</v>
      </c>
      <c r="AQ77" s="218">
        <f>IFERROR(__xludf.DUMMYFUNCTION("""COMPUTED_VALUE"""),46071.0)</f>
        <v>46071</v>
      </c>
      <c r="AR77" s="211"/>
      <c r="AS77" s="211" t="str">
        <f>IFERROR(__xludf.DUMMYFUNCTION("""COMPUTED_VALUE"""),"370c84d1")</f>
        <v>370c84d1</v>
      </c>
      <c r="AT77" s="211" t="str">
        <f>IFERROR(__xludf.DUMMYFUNCTION("""COMPUTED_VALUE"""),"PT. Citra Bintang Karya")</f>
        <v>PT. Citra Bintang Karya</v>
      </c>
      <c r="AU77" s="211"/>
      <c r="AV77" s="211" t="b">
        <f>IFERROR(__xludf.DUMMYFUNCTION("""COMPUTED_VALUE"""),FALSE)</f>
        <v>0</v>
      </c>
      <c r="AW77" s="211" t="str">
        <f>IFERROR(__xludf.DUMMYFUNCTION("""COMPUTED_VALUE"""),"JL. Mayjen Bambang Yuwono No.21, Sirapan, Kemangsen, Kec. Balongbendo, Kabupaten Sidoarjo, Jawa Timur 61262")</f>
        <v>JL. Mayjen Bambang Yuwono No.21, Sirapan, Kemangsen, Kec. Balongbendo, Kabupaten Sidoarjo, Jawa Timur 61262</v>
      </c>
      <c r="AX77" s="211">
        <f>IFERROR(__xludf.DUMMYFUNCTION("""COMPUTED_VALUE"""),14.0)</f>
        <v>14</v>
      </c>
      <c r="AY77" s="211" t="str">
        <f>IFERROR(__xludf.DUMMYFUNCTION("""COMPUTED_VALUE"""),"085168618339")</f>
        <v>085168618339</v>
      </c>
      <c r="AZ77" s="211"/>
      <c r="BB77" s="211"/>
      <c r="BC77" s="211"/>
      <c r="BD77" s="211"/>
      <c r="BE77" s="211"/>
      <c r="BF77" s="211"/>
      <c r="BG77" s="211"/>
      <c r="BH77" s="211"/>
      <c r="BI77" s="211"/>
    </row>
    <row r="78">
      <c r="A78" s="210" t="str">
        <f>IFERROR(__xludf.DUMMYFUNCTION("""COMPUTED_VALUE"""),"7bbfe6fb")</f>
        <v>7bbfe6fb</v>
      </c>
      <c r="B78" s="210" t="str">
        <f>IFERROR(__xludf.DUMMYFUNCTION("""COMPUTED_VALUE"""),"7bbfe6fb")</f>
        <v>7bbfe6fb</v>
      </c>
      <c r="C78" s="213">
        <f>IFERROR(__xludf.DUMMYFUNCTION("""COMPUTED_VALUE"""),45570.41327546296)</f>
        <v>45570.41328</v>
      </c>
      <c r="D78" s="211" t="str">
        <f>IFERROR(__xludf.DUMMYFUNCTION("""COMPUTED_VALUE"""),"f8335a53")</f>
        <v>f8335a53</v>
      </c>
      <c r="E78" s="211" t="str">
        <f>IFERROR(__xludf.DUMMYFUNCTION("""COMPUTED_VALUE"""),"CV RAGAM JAYA ENGINEERING")</f>
        <v>CV RAGAM JAYA ENGINEERING</v>
      </c>
      <c r="F78" s="211" t="str">
        <f>IFERROR(__xludf.DUMMYFUNCTION("""COMPUTED_VALUE"""),"ef306e54")</f>
        <v>ef306e54</v>
      </c>
      <c r="G78" s="211" t="str">
        <f>IFERROR(__xludf.DUMMYFUNCTION("""COMPUTED_VALUE"""),"Karbondioksida")</f>
        <v>Karbondioksida</v>
      </c>
      <c r="H78" s="214" t="str">
        <f>IFERROR(__xludf.DUMMYFUNCTION("""COMPUTED_VALUE"""),"IN")</f>
        <v>IN</v>
      </c>
      <c r="I78" s="214" t="str">
        <f>IFERROR(__xludf.DUMMYFUNCTION("""COMPUTED_VALUE"""),"EMPTY")</f>
        <v>EMPTY</v>
      </c>
      <c r="J78" s="211">
        <f>IFERROR(__xludf.DUMMYFUNCTION("""COMPUTED_VALUE"""),1.0)</f>
        <v>1</v>
      </c>
      <c r="K78" s="210" t="str">
        <f>IFERROR(__xludf.DUMMYFUNCTION("""COMPUTED_VALUE"""),"6836")</f>
        <v>6836</v>
      </c>
      <c r="L78" s="211"/>
      <c r="M78" s="211"/>
      <c r="N78" s="211"/>
      <c r="O78" s="211"/>
      <c r="Q78" s="210" t="str">
        <f>IFERROR(__xludf.DUMMYFUNCTION("""COMPUTED_VALUE"""),"10240050")</f>
        <v>10240050</v>
      </c>
      <c r="R78" s="210" t="str">
        <f>IFERROR(__xludf.DUMMYFUNCTION("""COMPUTED_VALUE"""),"10240050")</f>
        <v>10240050</v>
      </c>
      <c r="S78" s="211" t="str">
        <f>IFERROR(__xludf.DUMMYFUNCTION("""COMPUTED_VALUE"""),"4ec68cf6")</f>
        <v>4ec68cf6</v>
      </c>
      <c r="T78" s="211" t="str">
        <f>IFERROR(__xludf.DUMMYFUNCTION("""COMPUTED_VALUE"""),"CV Sido Mukti Karya")</f>
        <v>CV Sido Mukti Karya</v>
      </c>
      <c r="U78" s="215">
        <f>IFERROR(__xludf.DUMMYFUNCTION("""COMPUTED_VALUE"""),45586.585740740746)</f>
        <v>45586.58574</v>
      </c>
      <c r="V78" s="211" t="str">
        <f>IFERROR(__xludf.DUMMYFUNCTION("""COMPUTED_VALUE"""),"Pergudangan Center Point no A3, Kemangsen")</f>
        <v>Pergudangan Center Point no A3, Kemangsen</v>
      </c>
      <c r="W78" s="211" t="str">
        <f>IFERROR(__xludf.DUMMYFUNCTION("""COMPUTED_VALUE"""),"OUT")</f>
        <v>OUT</v>
      </c>
      <c r="X78" s="211"/>
      <c r="Z78" s="211" t="str">
        <f>IFERROR(__xludf.DUMMYFUNCTION("""COMPUTED_VALUE"""),"0426142947")</f>
        <v>0426142947</v>
      </c>
      <c r="AC78" s="211" t="str">
        <f>IFERROR(__xludf.DUMMYFUNCTION("""COMPUTED_VALUE"""),"5d599a87")</f>
        <v>5d599a87</v>
      </c>
      <c r="AD78" s="211" t="str">
        <f>IFERROR(__xludf.DUMMYFUNCTION("""COMPUTED_VALUE"""),"Bapak Hasan")</f>
        <v>Bapak Hasan</v>
      </c>
      <c r="AE78" s="211"/>
      <c r="AF78" s="211" t="b">
        <f>IFERROR(__xludf.DUMMYFUNCTION("""COMPUTED_VALUE"""),FALSE)</f>
        <v>0</v>
      </c>
      <c r="AG78" s="211" t="str">
        <f>IFERROR(__xludf.DUMMYFUNCTION("""COMPUTED_VALUE"""),"Wonokupang Balongbendo")</f>
        <v>Wonokupang Balongbendo</v>
      </c>
      <c r="AH78" s="211"/>
      <c r="AI78" s="211" t="str">
        <f>IFERROR(__xludf.DUMMYFUNCTION("""COMPUTED_VALUE"""),"089507990395")</f>
        <v>089507990395</v>
      </c>
      <c r="AJ78" s="211"/>
      <c r="AL78" s="211" t="str">
        <f>IFERROR(__xludf.DUMMYFUNCTION("""COMPUTED_VALUE"""),"2260232")</f>
        <v>2260232</v>
      </c>
      <c r="AM78" s="211" t="str">
        <f>IFERROR(__xludf.DUMMYFUNCTION("""COMPUTED_VALUE"""),"0126182397")</f>
        <v>0126182397</v>
      </c>
      <c r="AN78" s="211" t="str">
        <f>IFERROR(__xludf.DUMMYFUNCTION("""COMPUTED_VALUE"""),"63fc688a")</f>
        <v>63fc688a</v>
      </c>
      <c r="AO78" s="211" t="str">
        <f>IFERROR(__xludf.DUMMYFUNCTION("""COMPUTED_VALUE"""),"CV Malik Nusantara")</f>
        <v>CV Malik Nusantara</v>
      </c>
      <c r="AP78" s="215">
        <f>IFERROR(__xludf.DUMMYFUNCTION("""COMPUTED_VALUE"""),46078.41979166667)</f>
        <v>46078.41979</v>
      </c>
      <c r="AQ78" s="218">
        <f>IFERROR(__xludf.DUMMYFUNCTION("""COMPUTED_VALUE"""),46051.0)</f>
        <v>46051</v>
      </c>
      <c r="AR78" s="211"/>
      <c r="AS78" s="211" t="str">
        <f>IFERROR(__xludf.DUMMYFUNCTION("""COMPUTED_VALUE"""),"5d599a87")</f>
        <v>5d599a87</v>
      </c>
      <c r="AT78" s="211" t="str">
        <f>IFERROR(__xludf.DUMMYFUNCTION("""COMPUTED_VALUE"""),"Bapak Hasan")</f>
        <v>Bapak Hasan</v>
      </c>
      <c r="AU78" s="211"/>
      <c r="AV78" s="211" t="b">
        <f>IFERROR(__xludf.DUMMYFUNCTION("""COMPUTED_VALUE"""),FALSE)</f>
        <v>0</v>
      </c>
      <c r="AW78" s="211" t="str">
        <f>IFERROR(__xludf.DUMMYFUNCTION("""COMPUTED_VALUE"""),"Wonokupang Balongbendo")</f>
        <v>Wonokupang Balongbendo</v>
      </c>
      <c r="AX78" s="211"/>
      <c r="AY78" s="211" t="str">
        <f>IFERROR(__xludf.DUMMYFUNCTION("""COMPUTED_VALUE"""),"089507990395")</f>
        <v>089507990395</v>
      </c>
      <c r="AZ78" s="211"/>
      <c r="BB78" s="211"/>
      <c r="BC78" s="211"/>
      <c r="BD78" s="211"/>
      <c r="BE78" s="211"/>
      <c r="BF78" s="211"/>
      <c r="BG78" s="211"/>
      <c r="BH78" s="211"/>
      <c r="BI78" s="211"/>
    </row>
    <row r="79">
      <c r="A79" s="210" t="str">
        <f>IFERROR(__xludf.DUMMYFUNCTION("""COMPUTED_VALUE"""),"10240036")</f>
        <v>10240036</v>
      </c>
      <c r="B79" s="210" t="str">
        <f>IFERROR(__xludf.DUMMYFUNCTION("""COMPUTED_VALUE"""),"10240036")</f>
        <v>10240036</v>
      </c>
      <c r="C79" s="213">
        <f>IFERROR(__xludf.DUMMYFUNCTION("""COMPUTED_VALUE"""),45573.426458333335)</f>
        <v>45573.42646</v>
      </c>
      <c r="D79" s="211" t="str">
        <f>IFERROR(__xludf.DUMMYFUNCTION("""COMPUTED_VALUE"""),"e86baf3b")</f>
        <v>e86baf3b</v>
      </c>
      <c r="E79" s="211" t="str">
        <f>IFERROR(__xludf.DUMMYFUNCTION("""COMPUTED_VALUE"""),"PT GEMILANG CIPTA WAWASAN")</f>
        <v>PT GEMILANG CIPTA WAWASAN</v>
      </c>
      <c r="F79" s="211" t="str">
        <f>IFERROR(__xludf.DUMMYFUNCTION("""COMPUTED_VALUE"""),"8bdbe149")</f>
        <v>8bdbe149</v>
      </c>
      <c r="G79" s="211" t="str">
        <f>IFERROR(__xludf.DUMMYFUNCTION("""COMPUTED_VALUE"""),"Oksigen 6m3")</f>
        <v>Oksigen 6m3</v>
      </c>
      <c r="H79" s="214" t="str">
        <f>IFERROR(__xludf.DUMMYFUNCTION("""COMPUTED_VALUE"""),"OUT")</f>
        <v>OUT</v>
      </c>
      <c r="I79" s="214" t="str">
        <f>IFERROR(__xludf.DUMMYFUNCTION("""COMPUTED_VALUE"""),"NORMAL")</f>
        <v>NORMAL</v>
      </c>
      <c r="J79" s="211">
        <f>IFERROR(__xludf.DUMMYFUNCTION("""COMPUTED_VALUE"""),15.0)</f>
        <v>15</v>
      </c>
      <c r="K79" s="210" t="str">
        <f>IFERROR(__xludf.DUMMYFUNCTION("""COMPUTED_VALUE"""),"1171 1172 1166 1174 1160 1168 1165 1162 1167 1169 1108 1134 1139 1129 1121")</f>
        <v>1171 1172 1166 1174 1160 1168 1165 1162 1167 1169 1108 1134 1139 1129 1121</v>
      </c>
      <c r="L79" s="211">
        <f>IFERROR(__xludf.DUMMYFUNCTION("""COMPUTED_VALUE"""),60000.0)</f>
        <v>60000</v>
      </c>
      <c r="M79" s="211"/>
      <c r="N79" s="211"/>
      <c r="O79" s="211"/>
      <c r="Q79" s="210" t="str">
        <f>IFERROR(__xludf.DUMMYFUNCTION("""COMPUTED_VALUE"""),"603d6b75")</f>
        <v>603d6b75</v>
      </c>
      <c r="R79" s="210" t="str">
        <f>IFERROR(__xludf.DUMMYFUNCTION("""COMPUTED_VALUE"""),"603d6b75")</f>
        <v>603d6b75</v>
      </c>
      <c r="S79" s="211" t="str">
        <f>IFERROR(__xludf.DUMMYFUNCTION("""COMPUTED_VALUE"""),"8f5ebaea")</f>
        <v>8f5ebaea</v>
      </c>
      <c r="T79" s="211" t="str">
        <f>IFERROR(__xludf.DUMMYFUNCTION("""COMPUTED_VALUE"""),"PT Hua Zong Mesindo")</f>
        <v>PT Hua Zong Mesindo</v>
      </c>
      <c r="U79" s="215">
        <f>IFERROR(__xludf.DUMMYFUNCTION("""COMPUTED_VALUE"""),45586.724652777775)</f>
        <v>45586.72465</v>
      </c>
      <c r="V79" s="211" t="str">
        <f>IFERROR(__xludf.DUMMYFUNCTION("""COMPUTED_VALUE"""),"Jl. Bypass Krian, Sidotemo, Sidomulyo, Kec. Krian, Kabupaten Sidoarjo, Jawa Timur 61262")</f>
        <v>Jl. Bypass Krian, Sidotemo, Sidomulyo, Kec. Krian, Kabupaten Sidoarjo, Jawa Timur 61262</v>
      </c>
      <c r="W79" s="211" t="str">
        <f>IFERROR(__xludf.DUMMYFUNCTION("""COMPUTED_VALUE"""),"IN")</f>
        <v>IN</v>
      </c>
      <c r="X79" s="211"/>
      <c r="Z79" s="211" t="str">
        <f>IFERROR(__xludf.DUMMYFUNCTION("""COMPUTED_VALUE"""),"0426232941")</f>
        <v>0426232941</v>
      </c>
      <c r="AC79" s="211" t="str">
        <f>IFERROR(__xludf.DUMMYFUNCTION("""COMPUTED_VALUE"""),"f98b1e81")</f>
        <v>f98b1e81</v>
      </c>
      <c r="AD79" s="211" t="str">
        <f>IFERROR(__xludf.DUMMYFUNCTION("""COMPUTED_VALUE"""),"Bpk. Agus Salim")</f>
        <v>Bpk. Agus Salim</v>
      </c>
      <c r="AE79" s="211"/>
      <c r="AF79" s="211" t="b">
        <f>IFERROR(__xludf.DUMMYFUNCTION("""COMPUTED_VALUE"""),TRUE)</f>
        <v>1</v>
      </c>
      <c r="AG79" s="211" t="str">
        <f>IFERROR(__xludf.DUMMYFUNCTION("""COMPUTED_VALUE"""),"Jl. Parengan RT. 18, RW 04,Kraton, Kec. Krian Sidoarjo, Jawa Timur")</f>
        <v>Jl. Parengan RT. 18, RW 04,Kraton, Kec. Krian Sidoarjo, Jawa Timur</v>
      </c>
      <c r="AH79" s="211">
        <f>IFERROR(__xludf.DUMMYFUNCTION("""COMPUTED_VALUE"""),14.0)</f>
        <v>14</v>
      </c>
      <c r="AI79" s="211" t="str">
        <f>IFERROR(__xludf.DUMMYFUNCTION("""COMPUTED_VALUE"""),"085337786880")</f>
        <v>085337786880</v>
      </c>
      <c r="AJ79" s="211"/>
      <c r="AL79" s="211" t="str">
        <f>IFERROR(__xludf.DUMMYFUNCTION("""COMPUTED_VALUE"""),"2260232")</f>
        <v>2260232</v>
      </c>
      <c r="AM79" s="211" t="str">
        <f>IFERROR(__xludf.DUMMYFUNCTION("""COMPUTED_VALUE"""),"0226192428")</f>
        <v>0226192428</v>
      </c>
      <c r="AN79" s="211" t="str">
        <f>IFERROR(__xludf.DUMMYFUNCTION("""COMPUTED_VALUE"""),"63fc688a")</f>
        <v>63fc688a</v>
      </c>
      <c r="AO79" s="211" t="str">
        <f>IFERROR(__xludf.DUMMYFUNCTION("""COMPUTED_VALUE"""),"CV Malik Nusantara")</f>
        <v>CV Malik Nusantara</v>
      </c>
      <c r="AP79" s="215">
        <f>IFERROR(__xludf.DUMMYFUNCTION("""COMPUTED_VALUE"""),46078.41979166667)</f>
        <v>46078.41979</v>
      </c>
      <c r="AQ79" s="218">
        <f>IFERROR(__xludf.DUMMYFUNCTION("""COMPUTED_VALUE"""),46055.0)</f>
        <v>46055</v>
      </c>
      <c r="AR79" s="211"/>
      <c r="AS79" s="211" t="str">
        <f>IFERROR(__xludf.DUMMYFUNCTION("""COMPUTED_VALUE"""),"f98b1e81")</f>
        <v>f98b1e81</v>
      </c>
      <c r="AT79" s="211" t="str">
        <f>IFERROR(__xludf.DUMMYFUNCTION("""COMPUTED_VALUE"""),"Bpk. Agus Salim")</f>
        <v>Bpk. Agus Salim</v>
      </c>
      <c r="AU79" s="211"/>
      <c r="AV79" s="211" t="b">
        <f>IFERROR(__xludf.DUMMYFUNCTION("""COMPUTED_VALUE"""),TRUE)</f>
        <v>1</v>
      </c>
      <c r="AW79" s="211" t="str">
        <f>IFERROR(__xludf.DUMMYFUNCTION("""COMPUTED_VALUE"""),"Jl. Parengan RT. 18, RW 04,Kraton, Kec. Krian Sidoarjo, Jawa Timur")</f>
        <v>Jl. Parengan RT. 18, RW 04,Kraton, Kec. Krian Sidoarjo, Jawa Timur</v>
      </c>
      <c r="AX79" s="211">
        <f>IFERROR(__xludf.DUMMYFUNCTION("""COMPUTED_VALUE"""),14.0)</f>
        <v>14</v>
      </c>
      <c r="AY79" s="211" t="str">
        <f>IFERROR(__xludf.DUMMYFUNCTION("""COMPUTED_VALUE"""),"085337786880")</f>
        <v>085337786880</v>
      </c>
      <c r="AZ79" s="211"/>
      <c r="BB79" s="211"/>
      <c r="BC79" s="211"/>
      <c r="BD79" s="211"/>
      <c r="BE79" s="211"/>
      <c r="BF79" s="211"/>
      <c r="BG79" s="211"/>
      <c r="BH79" s="211"/>
      <c r="BI79" s="211"/>
    </row>
    <row r="80">
      <c r="A80" s="210" t="str">
        <f>IFERROR(__xludf.DUMMYFUNCTION("""COMPUTED_VALUE"""),"10240036")</f>
        <v>10240036</v>
      </c>
      <c r="B80" s="210" t="str">
        <f>IFERROR(__xludf.DUMMYFUNCTION("""COMPUTED_VALUE"""),"10240036")</f>
        <v>10240036</v>
      </c>
      <c r="C80" s="213">
        <f>IFERROR(__xludf.DUMMYFUNCTION("""COMPUTED_VALUE"""),45573.42912037037)</f>
        <v>45573.42912</v>
      </c>
      <c r="D80" s="211" t="str">
        <f>IFERROR(__xludf.DUMMYFUNCTION("""COMPUTED_VALUE"""),"e86baf3b")</f>
        <v>e86baf3b</v>
      </c>
      <c r="E80" s="211" t="str">
        <f>IFERROR(__xludf.DUMMYFUNCTION("""COMPUTED_VALUE"""),"PT GEMILANG CIPTA WAWASAN")</f>
        <v>PT GEMILANG CIPTA WAWASAN</v>
      </c>
      <c r="F80" s="211" t="str">
        <f>IFERROR(__xludf.DUMMYFUNCTION("""COMPUTED_VALUE"""),"be525f3b")</f>
        <v>be525f3b</v>
      </c>
      <c r="G80" s="211" t="str">
        <f>IFERROR(__xludf.DUMMYFUNCTION("""COMPUTED_VALUE"""),"LPG 12kg")</f>
        <v>LPG 12kg</v>
      </c>
      <c r="H80" s="214" t="str">
        <f>IFERROR(__xludf.DUMMYFUNCTION("""COMPUTED_VALUE"""),"OUT")</f>
        <v>OUT</v>
      </c>
      <c r="I80" s="214" t="str">
        <f>IFERROR(__xludf.DUMMYFUNCTION("""COMPUTED_VALUE"""),"NORMAL")</f>
        <v>NORMAL</v>
      </c>
      <c r="J80" s="211">
        <f>IFERROR(__xludf.DUMMYFUNCTION("""COMPUTED_VALUE"""),5.0)</f>
        <v>5</v>
      </c>
      <c r="K80" s="211"/>
      <c r="L80" s="211">
        <f>IFERROR(__xludf.DUMMYFUNCTION("""COMPUTED_VALUE"""),210000.0)</f>
        <v>210000</v>
      </c>
      <c r="M80" s="211"/>
      <c r="N80" s="211"/>
      <c r="O80" s="211"/>
      <c r="Q80" s="210" t="str">
        <f>IFERROR(__xludf.DUMMYFUNCTION("""COMPUTED_VALUE"""),"10240051")</f>
        <v>10240051</v>
      </c>
      <c r="R80" s="210" t="str">
        <f>IFERROR(__xludf.DUMMYFUNCTION("""COMPUTED_VALUE"""),"10240051")</f>
        <v>10240051</v>
      </c>
      <c r="S80" s="211" t="str">
        <f>IFERROR(__xludf.DUMMYFUNCTION("""COMPUTED_VALUE"""),"f8335a53")</f>
        <v>f8335a53</v>
      </c>
      <c r="T80" s="211" t="str">
        <f>IFERROR(__xludf.DUMMYFUNCTION("""COMPUTED_VALUE"""),"CV RAGAM JAYA ENGINEERING")</f>
        <v>CV RAGAM JAYA ENGINEERING</v>
      </c>
      <c r="U80" s="215">
        <f>IFERROR(__xludf.DUMMYFUNCTION("""COMPUTED_VALUE"""),45587.417395833334)</f>
        <v>45587.4174</v>
      </c>
      <c r="V80" s="211" t="str">
        <f>IFERROR(__xludf.DUMMYFUNCTION("""COMPUTED_VALUE"""),"Jl. Balung wangon, Dadapkuning, Bulurejo, Kec. Benjeng, Kabupaten Gresik, Jawa Timur 61172")</f>
        <v>Jl. Balung wangon, Dadapkuning, Bulurejo, Kec. Benjeng, Kabupaten Gresik, Jawa Timur 61172</v>
      </c>
      <c r="W80" s="211" t="str">
        <f>IFERROR(__xludf.DUMMYFUNCTION("""COMPUTED_VALUE"""),"OUT")</f>
        <v>OUT</v>
      </c>
      <c r="X80" s="211"/>
      <c r="Z80" s="211" t="str">
        <f>IFERROR(__xludf.DUMMYFUNCTION("""COMPUTED_VALUE"""),"0426102937")</f>
        <v>0426102937</v>
      </c>
      <c r="AC80" s="211" t="str">
        <f>IFERROR(__xludf.DUMMYFUNCTION("""COMPUTED_VALUE"""),"1d018c98")</f>
        <v>1d018c98</v>
      </c>
      <c r="AD80" s="211" t="str">
        <f>IFERROR(__xludf.DUMMYFUNCTION("""COMPUTED_VALUE"""),"Mbak Angel")</f>
        <v>Mbak Angel</v>
      </c>
      <c r="AE80" s="211"/>
      <c r="AF80" s="211" t="b">
        <f>IFERROR(__xludf.DUMMYFUNCTION("""COMPUTED_VALUE"""),FALSE)</f>
        <v>0</v>
      </c>
      <c r="AG80" s="211" t="str">
        <f>IFERROR(__xludf.DUMMYFUNCTION("""COMPUTED_VALUE"""),"Penambangan Krajan RT 02 RW 01 Balongbendo")</f>
        <v>Penambangan Krajan RT 02 RW 01 Balongbendo</v>
      </c>
      <c r="AH80" s="211"/>
      <c r="AI80" s="211" t="str">
        <f>IFERROR(__xludf.DUMMYFUNCTION("""COMPUTED_VALUE"""),"085604748797")</f>
        <v>085604748797</v>
      </c>
      <c r="AJ80" s="211"/>
      <c r="AL80" s="211" t="str">
        <f>IFERROR(__xludf.DUMMYFUNCTION("""COMPUTED_VALUE"""),"2260232")</f>
        <v>2260232</v>
      </c>
      <c r="AM80" s="211" t="str">
        <f>IFERROR(__xludf.DUMMYFUNCTION("""COMPUTED_VALUE"""),"0226202480")</f>
        <v>0226202480</v>
      </c>
      <c r="AN80" s="211" t="str">
        <f>IFERROR(__xludf.DUMMYFUNCTION("""COMPUTED_VALUE"""),"63fc688a")</f>
        <v>63fc688a</v>
      </c>
      <c r="AO80" s="211" t="str">
        <f>IFERROR(__xludf.DUMMYFUNCTION("""COMPUTED_VALUE"""),"CV Malik Nusantara")</f>
        <v>CV Malik Nusantara</v>
      </c>
      <c r="AP80" s="215">
        <f>IFERROR(__xludf.DUMMYFUNCTION("""COMPUTED_VALUE"""),46078.41979166667)</f>
        <v>46078.41979</v>
      </c>
      <c r="AQ80" s="218">
        <f>IFERROR(__xludf.DUMMYFUNCTION("""COMPUTED_VALUE"""),46059.0)</f>
        <v>46059</v>
      </c>
      <c r="AR80" s="211"/>
      <c r="AS80" s="211" t="str">
        <f>IFERROR(__xludf.DUMMYFUNCTION("""COMPUTED_VALUE"""),"1d018c98")</f>
        <v>1d018c98</v>
      </c>
      <c r="AT80" s="211" t="str">
        <f>IFERROR(__xludf.DUMMYFUNCTION("""COMPUTED_VALUE"""),"Mbak Angel")</f>
        <v>Mbak Angel</v>
      </c>
      <c r="AU80" s="211"/>
      <c r="AV80" s="211" t="b">
        <f>IFERROR(__xludf.DUMMYFUNCTION("""COMPUTED_VALUE"""),FALSE)</f>
        <v>0</v>
      </c>
      <c r="AW80" s="211" t="str">
        <f>IFERROR(__xludf.DUMMYFUNCTION("""COMPUTED_VALUE"""),"Penambangan Krajan RT 02 RW 01 Balongbendo")</f>
        <v>Penambangan Krajan RT 02 RW 01 Balongbendo</v>
      </c>
      <c r="AX80" s="211"/>
      <c r="AY80" s="211" t="str">
        <f>IFERROR(__xludf.DUMMYFUNCTION("""COMPUTED_VALUE"""),"085604748797")</f>
        <v>085604748797</v>
      </c>
      <c r="AZ80" s="211"/>
      <c r="BB80" s="211"/>
      <c r="BC80" s="211"/>
      <c r="BD80" s="211"/>
      <c r="BE80" s="211"/>
      <c r="BF80" s="211"/>
      <c r="BG80" s="211"/>
      <c r="BH80" s="211"/>
      <c r="BI80" s="211"/>
    </row>
    <row r="81">
      <c r="A81" s="210" t="str">
        <f>IFERROR(__xludf.DUMMYFUNCTION("""COMPUTED_VALUE"""),"f6698f2d")</f>
        <v>f6698f2d</v>
      </c>
      <c r="B81" s="210" t="str">
        <f>IFERROR(__xludf.DUMMYFUNCTION("""COMPUTED_VALUE"""),"f6698f2d")</f>
        <v>f6698f2d</v>
      </c>
      <c r="C81" s="213">
        <f>IFERROR(__xludf.DUMMYFUNCTION("""COMPUTED_VALUE"""),45573.50780092592)</f>
        <v>45573.5078</v>
      </c>
      <c r="D81" s="211" t="str">
        <f>IFERROR(__xludf.DUMMYFUNCTION("""COMPUTED_VALUE"""),"e86baf3b")</f>
        <v>e86baf3b</v>
      </c>
      <c r="E81" s="211" t="str">
        <f>IFERROR(__xludf.DUMMYFUNCTION("""COMPUTED_VALUE"""),"PT GEMILANG CIPTA WAWASAN")</f>
        <v>PT GEMILANG CIPTA WAWASAN</v>
      </c>
      <c r="F81" s="211" t="str">
        <f>IFERROR(__xludf.DUMMYFUNCTION("""COMPUTED_VALUE"""),"8bdbe149")</f>
        <v>8bdbe149</v>
      </c>
      <c r="G81" s="211" t="str">
        <f>IFERROR(__xludf.DUMMYFUNCTION("""COMPUTED_VALUE"""),"Oksigen 6m3")</f>
        <v>Oksigen 6m3</v>
      </c>
      <c r="H81" s="214" t="str">
        <f>IFERROR(__xludf.DUMMYFUNCTION("""COMPUTED_VALUE"""),"IN")</f>
        <v>IN</v>
      </c>
      <c r="I81" s="214" t="str">
        <f>IFERROR(__xludf.DUMMYFUNCTION("""COMPUTED_VALUE"""),"EMPTY")</f>
        <v>EMPTY</v>
      </c>
      <c r="J81" s="211">
        <f>IFERROR(__xludf.DUMMYFUNCTION("""COMPUTED_VALUE"""),3.0)</f>
        <v>3</v>
      </c>
      <c r="K81" s="210" t="str">
        <f>IFERROR(__xludf.DUMMYFUNCTION("""COMPUTED_VALUE"""),"1199 11119 11125")</f>
        <v>1199 11119 11125</v>
      </c>
      <c r="L81" s="211"/>
      <c r="M81" s="211"/>
      <c r="N81" s="211"/>
      <c r="O81" s="211"/>
      <c r="Q81" s="210" t="str">
        <f>IFERROR(__xludf.DUMMYFUNCTION("""COMPUTED_VALUE"""),"10240054")</f>
        <v>10240054</v>
      </c>
      <c r="R81" s="210" t="str">
        <f>IFERROR(__xludf.DUMMYFUNCTION("""COMPUTED_VALUE"""),"10240054")</f>
        <v>10240054</v>
      </c>
      <c r="S81" s="211" t="str">
        <f>IFERROR(__xludf.DUMMYFUNCTION("""COMPUTED_VALUE"""),"7b9d8eba")</f>
        <v>7b9d8eba</v>
      </c>
      <c r="T81" s="211" t="str">
        <f>IFERROR(__xludf.DUMMYFUNCTION("""COMPUTED_VALUE"""),"PT PELANGI INDOKARYA")</f>
        <v>PT PELANGI INDOKARYA</v>
      </c>
      <c r="U81" s="215">
        <f>IFERROR(__xludf.DUMMYFUNCTION("""COMPUTED_VALUE"""),45587.472766203704)</f>
        <v>45587.47277</v>
      </c>
      <c r="V8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81" s="211" t="str">
        <f>IFERROR(__xludf.DUMMYFUNCTION("""COMPUTED_VALUE"""),"OUT")</f>
        <v>OUT</v>
      </c>
      <c r="X81" s="211"/>
      <c r="Z81" s="211" t="str">
        <f>IFERROR(__xludf.DUMMYFUNCTION("""COMPUTED_VALUE"""),"0326102936")</f>
        <v>0326102936</v>
      </c>
      <c r="AC81" s="211" t="str">
        <f>IFERROR(__xludf.DUMMYFUNCTION("""COMPUTED_VALUE"""),"ae5db77c")</f>
        <v>ae5db77c</v>
      </c>
      <c r="AD81" s="211" t="str">
        <f>IFERROR(__xludf.DUMMYFUNCTION("""COMPUTED_VALUE"""),"Smartindo")</f>
        <v>Smartindo</v>
      </c>
      <c r="AE81" s="211"/>
      <c r="AF81" s="211" t="b">
        <f>IFERROR(__xludf.DUMMYFUNCTION("""COMPUTED_VALUE"""),FALSE)</f>
        <v>0</v>
      </c>
      <c r="AG81" s="211" t="str">
        <f>IFERROR(__xludf.DUMMYFUNCTION("""COMPUTED_VALUE"""),"Jl. Raya Hj. Fatimah 01, Tarik, Kabupaten Sidoarjo, Jawa Timur 61265, Indonesia")</f>
        <v>Jl. Raya Hj. Fatimah 01, Tarik, Kabupaten Sidoarjo, Jawa Timur 61265, Indonesia</v>
      </c>
      <c r="AH81" s="211"/>
      <c r="AI81" s="211"/>
      <c r="AJ81" s="211"/>
      <c r="AL81" s="211" t="str">
        <f>IFERROR(__xludf.DUMMYFUNCTION("""COMPUTED_VALUE"""),"2260232")</f>
        <v>2260232</v>
      </c>
      <c r="AM81" s="211" t="str">
        <f>IFERROR(__xludf.DUMMYFUNCTION("""COMPUTED_VALUE"""),"0226212546")</f>
        <v>0226212546</v>
      </c>
      <c r="AN81" s="211" t="str">
        <f>IFERROR(__xludf.DUMMYFUNCTION("""COMPUTED_VALUE"""),"63fc688a")</f>
        <v>63fc688a</v>
      </c>
      <c r="AO81" s="211" t="str">
        <f>IFERROR(__xludf.DUMMYFUNCTION("""COMPUTED_VALUE"""),"CV Malik Nusantara")</f>
        <v>CV Malik Nusantara</v>
      </c>
      <c r="AP81" s="215">
        <f>IFERROR(__xludf.DUMMYFUNCTION("""COMPUTED_VALUE"""),46078.41979166667)</f>
        <v>46078.41979</v>
      </c>
      <c r="AQ81" s="218">
        <f>IFERROR(__xludf.DUMMYFUNCTION("""COMPUTED_VALUE"""),46066.0)</f>
        <v>46066</v>
      </c>
      <c r="AR81" s="211"/>
      <c r="AS81" s="211" t="str">
        <f>IFERROR(__xludf.DUMMYFUNCTION("""COMPUTED_VALUE"""),"ae5db77c")</f>
        <v>ae5db77c</v>
      </c>
      <c r="AT81" s="211" t="str">
        <f>IFERROR(__xludf.DUMMYFUNCTION("""COMPUTED_VALUE"""),"Smartindo")</f>
        <v>Smartindo</v>
      </c>
      <c r="AU81" s="211"/>
      <c r="AV81" s="211" t="b">
        <f>IFERROR(__xludf.DUMMYFUNCTION("""COMPUTED_VALUE"""),FALSE)</f>
        <v>0</v>
      </c>
      <c r="AW81" s="211" t="str">
        <f>IFERROR(__xludf.DUMMYFUNCTION("""COMPUTED_VALUE"""),"Jl. Raya Hj. Fatimah 01, Tarik, Kabupaten Sidoarjo, Jawa Timur 61265, Indonesia")</f>
        <v>Jl. Raya Hj. Fatimah 01, Tarik, Kabupaten Sidoarjo, Jawa Timur 61265, Indonesia</v>
      </c>
      <c r="AX81" s="211"/>
      <c r="AY81" s="211"/>
      <c r="AZ81" s="211"/>
      <c r="BB81" s="211"/>
      <c r="BC81" s="211"/>
      <c r="BD81" s="211"/>
      <c r="BE81" s="211"/>
      <c r="BF81" s="211"/>
      <c r="BG81" s="211"/>
      <c r="BH81" s="211"/>
      <c r="BI81" s="211"/>
    </row>
    <row r="82">
      <c r="A82" s="210" t="str">
        <f>IFERROR(__xludf.DUMMYFUNCTION("""COMPUTED_VALUE"""),"10240037")</f>
        <v>10240037</v>
      </c>
      <c r="B82" s="210" t="str">
        <f>IFERROR(__xludf.DUMMYFUNCTION("""COMPUTED_VALUE"""),"10240037")</f>
        <v>10240037</v>
      </c>
      <c r="C82" s="213">
        <f>IFERROR(__xludf.DUMMYFUNCTION("""COMPUTED_VALUE"""),45574.52248842592)</f>
        <v>45574.52249</v>
      </c>
      <c r="D82" s="211" t="str">
        <f>IFERROR(__xludf.DUMMYFUNCTION("""COMPUTED_VALUE"""),"f8335a53")</f>
        <v>f8335a53</v>
      </c>
      <c r="E82" s="211" t="str">
        <f>IFERROR(__xludf.DUMMYFUNCTION("""COMPUTED_VALUE"""),"CV RAGAM JAYA ENGINEERING")</f>
        <v>CV RAGAM JAYA ENGINEERING</v>
      </c>
      <c r="F82" s="211" t="str">
        <f>IFERROR(__xludf.DUMMYFUNCTION("""COMPUTED_VALUE"""),"8bdbe149")</f>
        <v>8bdbe149</v>
      </c>
      <c r="G82" s="211" t="str">
        <f>IFERROR(__xludf.DUMMYFUNCTION("""COMPUTED_VALUE"""),"Oksigen 6m3")</f>
        <v>Oksigen 6m3</v>
      </c>
      <c r="H82" s="214" t="str">
        <f>IFERROR(__xludf.DUMMYFUNCTION("""COMPUTED_VALUE"""),"OUT")</f>
        <v>OUT</v>
      </c>
      <c r="I82" s="214" t="str">
        <f>IFERROR(__xludf.DUMMYFUNCTION("""COMPUTED_VALUE"""),"NORMAL")</f>
        <v>NORMAL</v>
      </c>
      <c r="J82" s="211">
        <f>IFERROR(__xludf.DUMMYFUNCTION("""COMPUTED_VALUE"""),15.0)</f>
        <v>15</v>
      </c>
      <c r="K82" s="210" t="str">
        <f>IFERROR(__xludf.DUMMYFUNCTION("""COMPUTED_VALUE"""),"1118 1126 1137 1130 1133 1189 1196 1143 1124 1127 1144 1191 11102 11121 11118")</f>
        <v>1118 1126 1137 1130 1133 1189 1196 1143 1124 1127 1144 1191 11102 11121 11118</v>
      </c>
      <c r="L82" s="211">
        <f>IFERROR(__xludf.DUMMYFUNCTION("""COMPUTED_VALUE"""),60000.0)</f>
        <v>60000</v>
      </c>
      <c r="M82" s="211"/>
      <c r="N82" s="211"/>
      <c r="O82" s="211"/>
      <c r="Q82" s="210" t="str">
        <f>IFERROR(__xludf.DUMMYFUNCTION("""COMPUTED_VALUE"""),"4f00755f")</f>
        <v>4f00755f</v>
      </c>
      <c r="R82" s="210" t="str">
        <f>IFERROR(__xludf.DUMMYFUNCTION("""COMPUTED_VALUE"""),"4f00755f")</f>
        <v>4f00755f</v>
      </c>
      <c r="S82" s="211" t="str">
        <f>IFERROR(__xludf.DUMMYFUNCTION("""COMPUTED_VALUE"""),"7b9d8eba")</f>
        <v>7b9d8eba</v>
      </c>
      <c r="T82" s="211" t="str">
        <f>IFERROR(__xludf.DUMMYFUNCTION("""COMPUTED_VALUE"""),"PT PELANGI INDOKARYA")</f>
        <v>PT PELANGI INDOKARYA</v>
      </c>
      <c r="U82" s="215">
        <f>IFERROR(__xludf.DUMMYFUNCTION("""COMPUTED_VALUE"""),45587.581666666665)</f>
        <v>45587.58167</v>
      </c>
      <c r="V8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82" s="211" t="str">
        <f>IFERROR(__xludf.DUMMYFUNCTION("""COMPUTED_VALUE"""),"IN")</f>
        <v>IN</v>
      </c>
      <c r="X82" s="211"/>
      <c r="Z82" s="211" t="str">
        <f>IFERROR(__xludf.DUMMYFUNCTION("""COMPUTED_VALUE"""),"0326462935")</f>
        <v>0326462935</v>
      </c>
      <c r="AC82" s="211" t="str">
        <f>IFERROR(__xludf.DUMMYFUNCTION("""COMPUTED_VALUE"""),"21ff9b6f")</f>
        <v>21ff9b6f</v>
      </c>
      <c r="AD82" s="211" t="str">
        <f>IFERROR(__xludf.DUMMYFUNCTION("""COMPUTED_VALUE"""),"Bpk. Khoirul Anam")</f>
        <v>Bpk. Khoirul Anam</v>
      </c>
      <c r="AE82" s="211"/>
      <c r="AF82" s="211" t="b">
        <f>IFERROR(__xludf.DUMMYFUNCTION("""COMPUTED_VALUE"""),FALSE)</f>
        <v>0</v>
      </c>
      <c r="AG82" s="211" t="str">
        <f>IFERROR(__xludf.DUMMYFUNCTION("""COMPUTED_VALUE"""),"Babut RT.01 RW.01 Plemahan Sumobito Jombang Jawa Timur")</f>
        <v>Babut RT.01 RW.01 Plemahan Sumobito Jombang Jawa Timur</v>
      </c>
      <c r="AH82" s="211">
        <f>IFERROR(__xludf.DUMMYFUNCTION("""COMPUTED_VALUE"""),8.2148811707E10)</f>
        <v>82148811707</v>
      </c>
      <c r="AI82" s="211"/>
      <c r="AJ82" s="215">
        <f>IFERROR(__xludf.DUMMYFUNCTION("""COMPUTED_VALUE"""),45933.34861111111)</f>
        <v>45933.34861</v>
      </c>
      <c r="AL82" s="211" t="str">
        <f>IFERROR(__xludf.DUMMYFUNCTION("""COMPUTED_VALUE"""),"2260232")</f>
        <v>2260232</v>
      </c>
      <c r="AM82" s="211" t="str">
        <f>IFERROR(__xludf.DUMMYFUNCTION("""COMPUTED_VALUE"""),"0226222569")</f>
        <v>0226222569</v>
      </c>
      <c r="AN82" s="211" t="str">
        <f>IFERROR(__xludf.DUMMYFUNCTION("""COMPUTED_VALUE"""),"63fc688a")</f>
        <v>63fc688a</v>
      </c>
      <c r="AO82" s="211" t="str">
        <f>IFERROR(__xludf.DUMMYFUNCTION("""COMPUTED_VALUE"""),"CV Malik Nusantara")</f>
        <v>CV Malik Nusantara</v>
      </c>
      <c r="AP82" s="215">
        <f>IFERROR(__xludf.DUMMYFUNCTION("""COMPUTED_VALUE"""),46078.41979166667)</f>
        <v>46078.41979</v>
      </c>
      <c r="AQ82" s="218">
        <f>IFERROR(__xludf.DUMMYFUNCTION("""COMPUTED_VALUE"""),46067.0)</f>
        <v>46067</v>
      </c>
      <c r="AR82" s="211"/>
      <c r="AS82" s="211" t="str">
        <f>IFERROR(__xludf.DUMMYFUNCTION("""COMPUTED_VALUE"""),"21ff9b6f")</f>
        <v>21ff9b6f</v>
      </c>
      <c r="AT82" s="211" t="str">
        <f>IFERROR(__xludf.DUMMYFUNCTION("""COMPUTED_VALUE"""),"Bpk. Khoirul Anam")</f>
        <v>Bpk. Khoirul Anam</v>
      </c>
      <c r="AU82" s="211"/>
      <c r="AV82" s="211" t="b">
        <f>IFERROR(__xludf.DUMMYFUNCTION("""COMPUTED_VALUE"""),FALSE)</f>
        <v>0</v>
      </c>
      <c r="AW82" s="211" t="str">
        <f>IFERROR(__xludf.DUMMYFUNCTION("""COMPUTED_VALUE"""),"Babut RT.01 RW.01 Plemahan Sumobito Jombang Jawa Timur")</f>
        <v>Babut RT.01 RW.01 Plemahan Sumobito Jombang Jawa Timur</v>
      </c>
      <c r="AX82" s="211">
        <f>IFERROR(__xludf.DUMMYFUNCTION("""COMPUTED_VALUE"""),8.2148811707E10)</f>
        <v>82148811707</v>
      </c>
      <c r="AY82" s="211"/>
      <c r="AZ82" s="215">
        <f>IFERROR(__xludf.DUMMYFUNCTION("""COMPUTED_VALUE"""),45933.34861111111)</f>
        <v>45933.34861</v>
      </c>
      <c r="BB82" s="211"/>
      <c r="BC82" s="211"/>
      <c r="BD82" s="211"/>
      <c r="BE82" s="211"/>
      <c r="BF82" s="211"/>
      <c r="BG82" s="211"/>
      <c r="BH82" s="211"/>
      <c r="BI82" s="211"/>
    </row>
    <row r="83">
      <c r="A83" s="210" t="str">
        <f>IFERROR(__xludf.DUMMYFUNCTION("""COMPUTED_VALUE"""),"10240037")</f>
        <v>10240037</v>
      </c>
      <c r="B83" s="210" t="str">
        <f>IFERROR(__xludf.DUMMYFUNCTION("""COMPUTED_VALUE"""),"10240037")</f>
        <v>10240037</v>
      </c>
      <c r="C83" s="213">
        <f>IFERROR(__xludf.DUMMYFUNCTION("""COMPUTED_VALUE"""),45574.52488425926)</f>
        <v>45574.52488</v>
      </c>
      <c r="D83" s="211" t="str">
        <f>IFERROR(__xludf.DUMMYFUNCTION("""COMPUTED_VALUE"""),"f8335a53")</f>
        <v>f8335a53</v>
      </c>
      <c r="E83" s="211" t="str">
        <f>IFERROR(__xludf.DUMMYFUNCTION("""COMPUTED_VALUE"""),"CV RAGAM JAYA ENGINEERING")</f>
        <v>CV RAGAM JAYA ENGINEERING</v>
      </c>
      <c r="F83" s="211" t="str">
        <f>IFERROR(__xludf.DUMMYFUNCTION("""COMPUTED_VALUE"""),"ef306e54")</f>
        <v>ef306e54</v>
      </c>
      <c r="G83" s="211" t="str">
        <f>IFERROR(__xludf.DUMMYFUNCTION("""COMPUTED_VALUE"""),"Karbondioksida")</f>
        <v>Karbondioksida</v>
      </c>
      <c r="H83" s="214" t="str">
        <f>IFERROR(__xludf.DUMMYFUNCTION("""COMPUTED_VALUE"""),"OUT")</f>
        <v>OUT</v>
      </c>
      <c r="I83" s="214" t="str">
        <f>IFERROR(__xludf.DUMMYFUNCTION("""COMPUTED_VALUE"""),"NORMAL")</f>
        <v>NORMAL</v>
      </c>
      <c r="J83" s="211">
        <f>IFERROR(__xludf.DUMMYFUNCTION("""COMPUTED_VALUE"""),5.0)</f>
        <v>5</v>
      </c>
      <c r="K83" s="210" t="str">
        <f>IFERROR(__xludf.DUMMYFUNCTION("""COMPUTED_VALUE"""),"6632 6655 6650 6975 6903")</f>
        <v>6632 6655 6650 6975 6903</v>
      </c>
      <c r="L83" s="211">
        <f>IFERROR(__xludf.DUMMYFUNCTION("""COMPUTED_VALUE"""),160000.0)</f>
        <v>160000</v>
      </c>
      <c r="M83" s="211"/>
      <c r="N83" s="211"/>
      <c r="O83" s="211"/>
      <c r="Q83" s="210" t="str">
        <f>IFERROR(__xludf.DUMMYFUNCTION("""COMPUTED_VALUE"""),"55b150db")</f>
        <v>55b150db</v>
      </c>
      <c r="R83" s="210" t="str">
        <f>IFERROR(__xludf.DUMMYFUNCTION("""COMPUTED_VALUE"""),"55b150db")</f>
        <v>55b150db</v>
      </c>
      <c r="S83" s="211" t="str">
        <f>IFERROR(__xludf.DUMMYFUNCTION("""COMPUTED_VALUE"""),"f8335a53")</f>
        <v>f8335a53</v>
      </c>
      <c r="T83" s="211" t="str">
        <f>IFERROR(__xludf.DUMMYFUNCTION("""COMPUTED_VALUE"""),"CV RAGAM JAYA ENGINEERING")</f>
        <v>CV RAGAM JAYA ENGINEERING</v>
      </c>
      <c r="U83" s="215">
        <f>IFERROR(__xludf.DUMMYFUNCTION("""COMPUTED_VALUE"""),45587.585069444445)</f>
        <v>45587.58507</v>
      </c>
      <c r="V83" s="211" t="str">
        <f>IFERROR(__xludf.DUMMYFUNCTION("""COMPUTED_VALUE"""),"Jl. Balung wangon, Dadapkuning, Bulurejo, Kec. Benjeng, Kabupaten Gresik, Jawa Timur 61172")</f>
        <v>Jl. Balung wangon, Dadapkuning, Bulurejo, Kec. Benjeng, Kabupaten Gresik, Jawa Timur 61172</v>
      </c>
      <c r="W83" s="211" t="str">
        <f>IFERROR(__xludf.DUMMYFUNCTION("""COMPUTED_VALUE"""),"IN")</f>
        <v>IN</v>
      </c>
      <c r="X83" s="211"/>
      <c r="Z83" s="211" t="str">
        <f>IFERROR(__xludf.DUMMYFUNCTION("""COMPUTED_VALUE"""),"032672932")</f>
        <v>032672932</v>
      </c>
      <c r="AC83" s="211" t="str">
        <f>IFERROR(__xludf.DUMMYFUNCTION("""COMPUTED_VALUE"""),"655e4b3f")</f>
        <v>655e4b3f</v>
      </c>
      <c r="AD83" s="211" t="str">
        <f>IFERROR(__xludf.DUMMYFUNCTION("""COMPUTED_VALUE"""),"Ibu Asmuna")</f>
        <v>Ibu Asmuna</v>
      </c>
      <c r="AE83" s="211"/>
      <c r="AF83" s="211" t="b">
        <f>IFERROR(__xludf.DUMMYFUNCTION("""COMPUTED_VALUE"""),FALSE)</f>
        <v>0</v>
      </c>
      <c r="AG83" s="211" t="str">
        <f>IFERROR(__xludf.DUMMYFUNCTION("""COMPUTED_VALUE"""),"Parengan Kraton Krian Sidoarjo")</f>
        <v>Parengan Kraton Krian Sidoarjo</v>
      </c>
      <c r="AH83" s="211"/>
      <c r="AI83" s="211"/>
      <c r="AJ83" s="211"/>
      <c r="AL83" s="211" t="str">
        <f>IFERROR(__xludf.DUMMYFUNCTION("""COMPUTED_VALUE"""),"2260230")</f>
        <v>2260230</v>
      </c>
      <c r="AM83" s="211" t="str">
        <f>IFERROR(__xludf.DUMMYFUNCTION("""COMPUTED_VALUE"""),"012682147")</f>
        <v>012682147</v>
      </c>
      <c r="AN83" s="211" t="str">
        <f>IFERROR(__xludf.DUMMYFUNCTION("""COMPUTED_VALUE"""),"a9fe1bea")</f>
        <v>a9fe1bea</v>
      </c>
      <c r="AO83" s="211" t="str">
        <f>IFERROR(__xludf.DUMMYFUNCTION("""COMPUTED_VALUE"""),"H. Suheiri")</f>
        <v>H. Suheiri</v>
      </c>
      <c r="AP83" s="215">
        <f>IFERROR(__xludf.DUMMYFUNCTION("""COMPUTED_VALUE"""),46076.634363425925)</f>
        <v>46076.63436</v>
      </c>
      <c r="AQ83" s="218">
        <f>IFERROR(__xludf.DUMMYFUNCTION("""COMPUTED_VALUE"""),46026.0)</f>
        <v>46026</v>
      </c>
      <c r="AR83" s="211"/>
      <c r="AS83" s="211" t="str">
        <f>IFERROR(__xludf.DUMMYFUNCTION("""COMPUTED_VALUE"""),"655e4b3f")</f>
        <v>655e4b3f</v>
      </c>
      <c r="AT83" s="211" t="str">
        <f>IFERROR(__xludf.DUMMYFUNCTION("""COMPUTED_VALUE"""),"Ibu Asmuna")</f>
        <v>Ibu Asmuna</v>
      </c>
      <c r="AU83" s="211"/>
      <c r="AV83" s="211" t="b">
        <f>IFERROR(__xludf.DUMMYFUNCTION("""COMPUTED_VALUE"""),FALSE)</f>
        <v>0</v>
      </c>
      <c r="AW83" s="211" t="str">
        <f>IFERROR(__xludf.DUMMYFUNCTION("""COMPUTED_VALUE"""),"Parengan Kraton Krian Sidoarjo")</f>
        <v>Parengan Kraton Krian Sidoarjo</v>
      </c>
      <c r="AX83" s="211"/>
      <c r="AY83" s="211"/>
      <c r="AZ83" s="211"/>
      <c r="BB83" s="211"/>
      <c r="BC83" s="211"/>
      <c r="BD83" s="211"/>
      <c r="BE83" s="211"/>
      <c r="BF83" s="211"/>
      <c r="BG83" s="211"/>
      <c r="BH83" s="211"/>
      <c r="BI83" s="211"/>
    </row>
    <row r="84">
      <c r="A84" s="210" t="str">
        <f>IFERROR(__xludf.DUMMYFUNCTION("""COMPUTED_VALUE"""),"1ea6910d")</f>
        <v>1ea6910d</v>
      </c>
      <c r="B84" s="210" t="str">
        <f>IFERROR(__xludf.DUMMYFUNCTION("""COMPUTED_VALUE"""),"1ea6910d")</f>
        <v>1ea6910d</v>
      </c>
      <c r="C84" s="213">
        <f>IFERROR(__xludf.DUMMYFUNCTION("""COMPUTED_VALUE"""),45574.62740740741)</f>
        <v>45574.62741</v>
      </c>
      <c r="D84" s="211" t="str">
        <f>IFERROR(__xludf.DUMMYFUNCTION("""COMPUTED_VALUE"""),"f8335a53")</f>
        <v>f8335a53</v>
      </c>
      <c r="E84" s="211" t="str">
        <f>IFERROR(__xludf.DUMMYFUNCTION("""COMPUTED_VALUE"""),"CV RAGAM JAYA ENGINEERING")</f>
        <v>CV RAGAM JAYA ENGINEERING</v>
      </c>
      <c r="F84" s="211" t="str">
        <f>IFERROR(__xludf.DUMMYFUNCTION("""COMPUTED_VALUE"""),"8bdbe149")</f>
        <v>8bdbe149</v>
      </c>
      <c r="G84" s="211" t="str">
        <f>IFERROR(__xludf.DUMMYFUNCTION("""COMPUTED_VALUE"""),"Oksigen 6m3")</f>
        <v>Oksigen 6m3</v>
      </c>
      <c r="H84" s="214" t="str">
        <f>IFERROR(__xludf.DUMMYFUNCTION("""COMPUTED_VALUE"""),"IN")</f>
        <v>IN</v>
      </c>
      <c r="I84" s="214" t="str">
        <f>IFERROR(__xludf.DUMMYFUNCTION("""COMPUTED_VALUE"""),"EMPTY")</f>
        <v>EMPTY</v>
      </c>
      <c r="J84" s="211">
        <f>IFERROR(__xludf.DUMMYFUNCTION("""COMPUTED_VALUE"""),7.0)</f>
        <v>7</v>
      </c>
      <c r="K84" s="210" t="str">
        <f>IFERROR(__xludf.DUMMYFUNCTION("""COMPUTED_VALUE"""),"1113 1106 1107 1110 1103 1117 1102")</f>
        <v>1113 1106 1107 1110 1103 1117 1102</v>
      </c>
      <c r="L84" s="211"/>
      <c r="M84" s="211"/>
      <c r="N84" s="211"/>
      <c r="O84" s="211"/>
      <c r="Q84" s="210" t="str">
        <f>IFERROR(__xludf.DUMMYFUNCTION("""COMPUTED_VALUE"""),"10240055")</f>
        <v>10240055</v>
      </c>
      <c r="R84" s="210" t="str">
        <f>IFERROR(__xludf.DUMMYFUNCTION("""COMPUTED_VALUE"""),"10240055")</f>
        <v>10240055</v>
      </c>
      <c r="S84" s="211" t="str">
        <f>IFERROR(__xludf.DUMMYFUNCTION("""COMPUTED_VALUE"""),"c2f5a4a7")</f>
        <v>c2f5a4a7</v>
      </c>
      <c r="T84" s="211" t="str">
        <f>IFERROR(__xludf.DUMMYFUNCTION("""COMPUTED_VALUE"""),"UD Sumber Berlian")</f>
        <v>UD Sumber Berlian</v>
      </c>
      <c r="U84" s="215">
        <f>IFERROR(__xludf.DUMMYFUNCTION("""COMPUTED_VALUE"""),45588.412048611106)</f>
        <v>45588.41205</v>
      </c>
      <c r="V84" s="211" t="str">
        <f>IFERROR(__xludf.DUMMYFUNCTION("""COMPUTED_VALUE"""),"Ciro Kulon, Bakungtemenggungan, Kec. BalongBendo, Kabupaten Sidoarjo, Jawa Timur 61263")</f>
        <v>Ciro Kulon, Bakungtemenggungan, Kec. BalongBendo, Kabupaten Sidoarjo, Jawa Timur 61263</v>
      </c>
      <c r="W84" s="211" t="str">
        <f>IFERROR(__xludf.DUMMYFUNCTION("""COMPUTED_VALUE"""),"OUT")</f>
        <v>OUT</v>
      </c>
      <c r="X84" s="211"/>
      <c r="Z84" s="211" t="str">
        <f>IFERROR(__xludf.DUMMYFUNCTION("""COMPUTED_VALUE"""),"032682931")</f>
        <v>032682931</v>
      </c>
      <c r="AC84" s="211" t="str">
        <f>IFERROR(__xludf.DUMMYFUNCTION("""COMPUTED_VALUE"""),"4558672e")</f>
        <v>4558672e</v>
      </c>
      <c r="AD84" s="211" t="str">
        <f>IFERROR(__xludf.DUMMYFUNCTION("""COMPUTED_VALUE"""),"Bpk. Sumargiono")</f>
        <v>Bpk. Sumargiono</v>
      </c>
      <c r="AE84" s="211"/>
      <c r="AF84" s="211" t="b">
        <f>IFERROR(__xludf.DUMMYFUNCTION("""COMPUTED_VALUE"""),FALSE)</f>
        <v>0</v>
      </c>
      <c r="AG84" s="211" t="str">
        <f>IFERROR(__xludf.DUMMYFUNCTION("""COMPUTED_VALUE"""),"Balongbendo, RT 04 RW 02 Balongbendo, Balongbendo")</f>
        <v>Balongbendo, RT 04 RW 02 Balongbendo, Balongbendo</v>
      </c>
      <c r="AH84" s="211"/>
      <c r="AI84" s="211" t="str">
        <f>IFERROR(__xludf.DUMMYFUNCTION("""COMPUTED_VALUE"""),"085655829311")</f>
        <v>085655829311</v>
      </c>
      <c r="AJ84" s="211"/>
      <c r="AL84" s="211" t="str">
        <f>IFERROR(__xludf.DUMMYFUNCTION("""COMPUTED_VALUE"""),"2260229")</f>
        <v>2260229</v>
      </c>
      <c r="AM84" s="211" t="str">
        <f>IFERROR(__xludf.DUMMYFUNCTION("""COMPUTED_VALUE"""),"0226122635")</f>
        <v>0226122635</v>
      </c>
      <c r="AN84" s="211" t="str">
        <f>IFERROR(__xludf.DUMMYFUNCTION("""COMPUTED_VALUE"""),"440df1db")</f>
        <v>440df1db</v>
      </c>
      <c r="AO84" s="211" t="str">
        <f>IFERROR(__xludf.DUMMYFUNCTION("""COMPUTED_VALUE"""),"PT. Mecca Abadi Sejahtera")</f>
        <v>PT. Mecca Abadi Sejahtera</v>
      </c>
      <c r="AP84" s="215">
        <f>IFERROR(__xludf.DUMMYFUNCTION("""COMPUTED_VALUE"""),46076.63358796296)</f>
        <v>46076.63359</v>
      </c>
      <c r="AQ84" s="218">
        <f>IFERROR(__xludf.DUMMYFUNCTION("""COMPUTED_VALUE"""),46076.0)</f>
        <v>46076</v>
      </c>
      <c r="AR84" s="211"/>
      <c r="AS84" s="211" t="str">
        <f>IFERROR(__xludf.DUMMYFUNCTION("""COMPUTED_VALUE"""),"4558672e")</f>
        <v>4558672e</v>
      </c>
      <c r="AT84" s="211" t="str">
        <f>IFERROR(__xludf.DUMMYFUNCTION("""COMPUTED_VALUE"""),"Bpk. Sumargiono")</f>
        <v>Bpk. Sumargiono</v>
      </c>
      <c r="AU84" s="211"/>
      <c r="AV84" s="211" t="b">
        <f>IFERROR(__xludf.DUMMYFUNCTION("""COMPUTED_VALUE"""),FALSE)</f>
        <v>0</v>
      </c>
      <c r="AW84" s="211" t="str">
        <f>IFERROR(__xludf.DUMMYFUNCTION("""COMPUTED_VALUE"""),"Balongbendo, RT 04 RW 02 Balongbendo, Balongbendo")</f>
        <v>Balongbendo, RT 04 RW 02 Balongbendo, Balongbendo</v>
      </c>
      <c r="AX84" s="211"/>
      <c r="AY84" s="211" t="str">
        <f>IFERROR(__xludf.DUMMYFUNCTION("""COMPUTED_VALUE"""),"085655829311")</f>
        <v>085655829311</v>
      </c>
      <c r="AZ84" s="211"/>
      <c r="BB84" s="211"/>
      <c r="BC84" s="211"/>
      <c r="BD84" s="211"/>
      <c r="BE84" s="211"/>
      <c r="BF84" s="211"/>
      <c r="BG84" s="211"/>
      <c r="BH84" s="211"/>
      <c r="BI84" s="211"/>
    </row>
    <row r="85">
      <c r="A85" s="210" t="str">
        <f>IFERROR(__xludf.DUMMYFUNCTION("""COMPUTED_VALUE"""),"1ea6910d")</f>
        <v>1ea6910d</v>
      </c>
      <c r="B85" s="210" t="str">
        <f>IFERROR(__xludf.DUMMYFUNCTION("""COMPUTED_VALUE"""),"1ea6910d")</f>
        <v>1ea6910d</v>
      </c>
      <c r="C85" s="213">
        <f>IFERROR(__xludf.DUMMYFUNCTION("""COMPUTED_VALUE"""),45574.62836805556)</f>
        <v>45574.62837</v>
      </c>
      <c r="D85" s="211" t="str">
        <f>IFERROR(__xludf.DUMMYFUNCTION("""COMPUTED_VALUE"""),"f8335a53")</f>
        <v>f8335a53</v>
      </c>
      <c r="E85" s="211" t="str">
        <f>IFERROR(__xludf.DUMMYFUNCTION("""COMPUTED_VALUE"""),"CV RAGAM JAYA ENGINEERING")</f>
        <v>CV RAGAM JAYA ENGINEERING</v>
      </c>
      <c r="F85" s="211" t="str">
        <f>IFERROR(__xludf.DUMMYFUNCTION("""COMPUTED_VALUE"""),"ef306e54")</f>
        <v>ef306e54</v>
      </c>
      <c r="G85" s="211" t="str">
        <f>IFERROR(__xludf.DUMMYFUNCTION("""COMPUTED_VALUE"""),"Karbondioksida")</f>
        <v>Karbondioksida</v>
      </c>
      <c r="H85" s="214" t="str">
        <f>IFERROR(__xludf.DUMMYFUNCTION("""COMPUTED_VALUE"""),"IN")</f>
        <v>IN</v>
      </c>
      <c r="I85" s="214" t="str">
        <f>IFERROR(__xludf.DUMMYFUNCTION("""COMPUTED_VALUE"""),"EMPTY")</f>
        <v>EMPTY</v>
      </c>
      <c r="J85" s="211">
        <f>IFERROR(__xludf.DUMMYFUNCTION("""COMPUTED_VALUE"""),2.0)</f>
        <v>2</v>
      </c>
      <c r="K85" s="210" t="str">
        <f>IFERROR(__xludf.DUMMYFUNCTION("""COMPUTED_VALUE"""),"6683 6669")</f>
        <v>6683 6669</v>
      </c>
      <c r="L85" s="211"/>
      <c r="M85" s="211"/>
      <c r="N85" s="211"/>
      <c r="O85" s="211"/>
      <c r="Q85" s="210" t="str">
        <f>IFERROR(__xludf.DUMMYFUNCTION("""COMPUTED_VALUE"""),"10240056")</f>
        <v>10240056</v>
      </c>
      <c r="R85" s="210" t="str">
        <f>IFERROR(__xludf.DUMMYFUNCTION("""COMPUTED_VALUE"""),"10240056")</f>
        <v>10240056</v>
      </c>
      <c r="S85" s="211" t="str">
        <f>IFERROR(__xludf.DUMMYFUNCTION("""COMPUTED_VALUE"""),"17af2683")</f>
        <v>17af2683</v>
      </c>
      <c r="T85" s="211" t="str">
        <f>IFERROR(__xludf.DUMMYFUNCTION("""COMPUTED_VALUE"""),"H. Fatoni")</f>
        <v>H. Fatoni</v>
      </c>
      <c r="U85" s="215">
        <f>IFERROR(__xludf.DUMMYFUNCTION("""COMPUTED_VALUE"""),45589.414247685185)</f>
        <v>45589.41425</v>
      </c>
      <c r="V85" s="211" t="str">
        <f>IFERROR(__xludf.DUMMYFUNCTION("""COMPUTED_VALUE"""),"Watesari 015/003, Watesari, Balongbendo, Sidoarjo, Jawa Timur")</f>
        <v>Watesari 015/003, Watesari, Balongbendo, Sidoarjo, Jawa Timur</v>
      </c>
      <c r="W85" s="211" t="str">
        <f>IFERROR(__xludf.DUMMYFUNCTION("""COMPUTED_VALUE"""),"OUT")</f>
        <v>OUT</v>
      </c>
      <c r="X85" s="211"/>
      <c r="Z85" s="211" t="str">
        <f>IFERROR(__xludf.DUMMYFUNCTION("""COMPUTED_VALUE"""),"032672929")</f>
        <v>032672929</v>
      </c>
      <c r="AC85" s="211" t="str">
        <f>IFERROR(__xludf.DUMMYFUNCTION("""COMPUTED_VALUE"""),"b0735da4")</f>
        <v>b0735da4</v>
      </c>
      <c r="AD85" s="211" t="str">
        <f>IFERROR(__xludf.DUMMYFUNCTION("""COMPUTED_VALUE"""),"Bpk. Amer Ciro")</f>
        <v>Bpk. Amer Ciro</v>
      </c>
      <c r="AE85" s="211"/>
      <c r="AF85" s="211" t="b">
        <f>IFERROR(__xludf.DUMMYFUNCTION("""COMPUTED_VALUE"""),FALSE)</f>
        <v>0</v>
      </c>
      <c r="AG85" s="211" t="str">
        <f>IFERROR(__xludf.DUMMYFUNCTION("""COMPUTED_VALUE"""),"HFJR+FV8 Bakungtemenggungan, Kabupaten Sidoarjo, Jawa Timur")</f>
        <v>HFJR+FV8 Bakungtemenggungan, Kabupaten Sidoarjo, Jawa Timur</v>
      </c>
      <c r="AH85" s="211"/>
      <c r="AI85" s="211" t="str">
        <f>IFERROR(__xludf.DUMMYFUNCTION("""COMPUTED_VALUE"""),"082131519408")</f>
        <v>082131519408</v>
      </c>
      <c r="AJ85" s="211"/>
      <c r="AL85" s="211" t="str">
        <f>IFERROR(__xludf.DUMMYFUNCTION("""COMPUTED_VALUE"""),"2260228")</f>
        <v>2260228</v>
      </c>
      <c r="AM85" s="211" t="str">
        <f>IFERROR(__xludf.DUMMYFUNCTION("""COMPUTED_VALUE"""),"0226122522")</f>
        <v>0226122522</v>
      </c>
      <c r="AN85" s="211" t="str">
        <f>IFERROR(__xludf.DUMMYFUNCTION("""COMPUTED_VALUE"""),"3b04351a")</f>
        <v>3b04351a</v>
      </c>
      <c r="AO85" s="211" t="str">
        <f>IFERROR(__xludf.DUMMYFUNCTION("""COMPUTED_VALUE"""),"CV Usaha Logam Jaya")</f>
        <v>CV Usaha Logam Jaya</v>
      </c>
      <c r="AP85" s="215">
        <f>IFERROR(__xludf.DUMMYFUNCTION("""COMPUTED_VALUE"""),46076.63341435185)</f>
        <v>46076.63341</v>
      </c>
      <c r="AQ85" s="218">
        <f>IFERROR(__xludf.DUMMYFUNCTION("""COMPUTED_VALUE"""),46064.0)</f>
        <v>46064</v>
      </c>
      <c r="AR85" s="211"/>
      <c r="AS85" s="211" t="str">
        <f>IFERROR(__xludf.DUMMYFUNCTION("""COMPUTED_VALUE"""),"b0735da4")</f>
        <v>b0735da4</v>
      </c>
      <c r="AT85" s="211" t="str">
        <f>IFERROR(__xludf.DUMMYFUNCTION("""COMPUTED_VALUE"""),"Bpk. Amer Ciro")</f>
        <v>Bpk. Amer Ciro</v>
      </c>
      <c r="AU85" s="211"/>
      <c r="AV85" s="211" t="b">
        <f>IFERROR(__xludf.DUMMYFUNCTION("""COMPUTED_VALUE"""),FALSE)</f>
        <v>0</v>
      </c>
      <c r="AW85" s="211" t="str">
        <f>IFERROR(__xludf.DUMMYFUNCTION("""COMPUTED_VALUE"""),"HFJR+FV8 Bakungtemenggungan, Kabupaten Sidoarjo, Jawa Timur")</f>
        <v>HFJR+FV8 Bakungtemenggungan, Kabupaten Sidoarjo, Jawa Timur</v>
      </c>
      <c r="AX85" s="211"/>
      <c r="AY85" s="211" t="str">
        <f>IFERROR(__xludf.DUMMYFUNCTION("""COMPUTED_VALUE"""),"082131519408")</f>
        <v>082131519408</v>
      </c>
      <c r="AZ85" s="211"/>
      <c r="BB85" s="211"/>
      <c r="BC85" s="211"/>
      <c r="BD85" s="211"/>
      <c r="BE85" s="211"/>
      <c r="BF85" s="211"/>
      <c r="BG85" s="211"/>
      <c r="BH85" s="211"/>
      <c r="BI85" s="211"/>
    </row>
    <row r="86">
      <c r="A86" s="210" t="str">
        <f>IFERROR(__xludf.DUMMYFUNCTION("""COMPUTED_VALUE"""),"10240039")</f>
        <v>10240039</v>
      </c>
      <c r="B86" s="210" t="str">
        <f>IFERROR(__xludf.DUMMYFUNCTION("""COMPUTED_VALUE"""),"10240039")</f>
        <v>10240039</v>
      </c>
      <c r="C86" s="213">
        <f>IFERROR(__xludf.DUMMYFUNCTION("""COMPUTED_VALUE"""),45575.41832175926)</f>
        <v>45575.41832</v>
      </c>
      <c r="D86" s="211" t="str">
        <f>IFERROR(__xludf.DUMMYFUNCTION("""COMPUTED_VALUE"""),"f8335a53")</f>
        <v>f8335a53</v>
      </c>
      <c r="E86" s="211" t="str">
        <f>IFERROR(__xludf.DUMMYFUNCTION("""COMPUTED_VALUE"""),"CV RAGAM JAYA ENGINEERING")</f>
        <v>CV RAGAM JAYA ENGINEERING</v>
      </c>
      <c r="F86" s="211" t="str">
        <f>IFERROR(__xludf.DUMMYFUNCTION("""COMPUTED_VALUE"""),"ef306e54")</f>
        <v>ef306e54</v>
      </c>
      <c r="G86" s="211" t="str">
        <f>IFERROR(__xludf.DUMMYFUNCTION("""COMPUTED_VALUE"""),"Karbondioksida")</f>
        <v>Karbondioksida</v>
      </c>
      <c r="H86" s="214" t="str">
        <f>IFERROR(__xludf.DUMMYFUNCTION("""COMPUTED_VALUE"""),"OUT")</f>
        <v>OUT</v>
      </c>
      <c r="I86" s="214" t="str">
        <f>IFERROR(__xludf.DUMMYFUNCTION("""COMPUTED_VALUE"""),"NORMAL")</f>
        <v>NORMAL</v>
      </c>
      <c r="J86" s="211">
        <f>IFERROR(__xludf.DUMMYFUNCTION("""COMPUTED_VALUE"""),10.0)</f>
        <v>10</v>
      </c>
      <c r="K86" s="210" t="str">
        <f>IFERROR(__xludf.DUMMYFUNCTION("""COMPUTED_VALUE"""),"6686 6768 6904 6657 6850 6711 6626 6811 6821 6666")</f>
        <v>6686 6768 6904 6657 6850 6711 6626 6811 6821 6666</v>
      </c>
      <c r="L86" s="211">
        <f>IFERROR(__xludf.DUMMYFUNCTION("""COMPUTED_VALUE"""),160000.0)</f>
        <v>160000</v>
      </c>
      <c r="M86" s="211"/>
      <c r="N86" s="211"/>
      <c r="O86" s="211"/>
      <c r="Q86" s="210" t="str">
        <f>IFERROR(__xludf.DUMMYFUNCTION("""COMPUTED_VALUE"""),"92ae98d6")</f>
        <v>92ae98d6</v>
      </c>
      <c r="R86" s="210" t="str">
        <f>IFERROR(__xludf.DUMMYFUNCTION("""COMPUTED_VALUE"""),"92ae98d6")</f>
        <v>92ae98d6</v>
      </c>
      <c r="S86" s="211" t="str">
        <f>IFERROR(__xludf.DUMMYFUNCTION("""COMPUTED_VALUE"""),"e86baf3b")</f>
        <v>e86baf3b</v>
      </c>
      <c r="T86" s="211" t="str">
        <f>IFERROR(__xludf.DUMMYFUNCTION("""COMPUTED_VALUE"""),"PT GEMILANG CIPTA WAWASAN")</f>
        <v>PT GEMILANG CIPTA WAWASAN</v>
      </c>
      <c r="U86" s="215">
        <f>IFERROR(__xludf.DUMMYFUNCTION("""COMPUTED_VALUE"""),45589.41862268519)</f>
        <v>45589.41862</v>
      </c>
      <c r="V86" s="211" t="str">
        <f>IFERROR(__xludf.DUMMYFUNCTION("""COMPUTED_VALUE"""),"JL TEBET RAYA, 2A, TEBET BARAT, TEBET, KOTA ADM, JAKARTA SELATAN, DKI JAKARTA")</f>
        <v>JL TEBET RAYA, 2A, TEBET BARAT, TEBET, KOTA ADM, JAKARTA SELATAN, DKI JAKARTA</v>
      </c>
      <c r="W86" s="211" t="str">
        <f>IFERROR(__xludf.DUMMYFUNCTION("""COMPUTED_VALUE"""),"IN")</f>
        <v>IN</v>
      </c>
      <c r="X86" s="211"/>
      <c r="Z86" s="211" t="str">
        <f>IFERROR(__xludf.DUMMYFUNCTION("""COMPUTED_VALUE"""),"0326362927")</f>
        <v>0326362927</v>
      </c>
      <c r="AC86" s="211" t="str">
        <f>IFERROR(__xludf.DUMMYFUNCTION("""COMPUTED_VALUE"""),"440df1db")</f>
        <v>440df1db</v>
      </c>
      <c r="AD86" s="211" t="str">
        <f>IFERROR(__xludf.DUMMYFUNCTION("""COMPUTED_VALUE"""),"PT. Mecca Abadi Sejahtera")</f>
        <v>PT. Mecca Abadi Sejahtera</v>
      </c>
      <c r="AE86" s="211"/>
      <c r="AF86" s="211" t="b">
        <f>IFERROR(__xludf.DUMMYFUNCTION("""COMPUTED_VALUE"""),FALSE)</f>
        <v>0</v>
      </c>
      <c r="AG86" s="211" t="str">
        <f>IFERROR(__xludf.DUMMYFUNCTION("""COMPUTED_VALUE"""),"Jl. Raya Sawocangkring, RT.006/RW.002, Sawo, Sawocangkring, Kec. Wonoayu, Kabupaten Sidoarjo, Jawa Timur 61261")</f>
        <v>Jl. Raya Sawocangkring, RT.006/RW.002, Sawo, Sawocangkring, Kec. Wonoayu, Kabupaten Sidoarjo, Jawa Timur 61261</v>
      </c>
      <c r="AH86" s="211">
        <f>IFERROR(__xludf.DUMMYFUNCTION("""COMPUTED_VALUE"""),14.0)</f>
        <v>14</v>
      </c>
      <c r="AI86" s="211"/>
      <c r="AJ86" s="211"/>
      <c r="AL86" s="211" t="str">
        <f>IFERROR(__xludf.DUMMYFUNCTION("""COMPUTED_VALUE"""),"2260227")</f>
        <v>2260227</v>
      </c>
      <c r="AM86" s="211" t="str">
        <f>IFERROR(__xludf.DUMMYFUNCTION("""COMPUTED_VALUE"""),"022622618")</f>
        <v>022622618</v>
      </c>
      <c r="AN86" s="211" t="str">
        <f>IFERROR(__xludf.DUMMYFUNCTION("""COMPUTED_VALUE"""),"d9b2fac5")</f>
        <v>d9b2fac5</v>
      </c>
      <c r="AO86" s="211" t="str">
        <f>IFERROR(__xludf.DUMMYFUNCTION("""COMPUTED_VALUE"""),"Dwi Riza ( Ponokawan)")</f>
        <v>Dwi Riza ( Ponokawan)</v>
      </c>
      <c r="AP86" s="215">
        <f>IFERROR(__xludf.DUMMYFUNCTION("""COMPUTED_VALUE"""),46074.37247685185)</f>
        <v>46074.37248</v>
      </c>
      <c r="AQ86" s="218">
        <f>IFERROR(__xludf.DUMMYFUNCTION("""COMPUTED_VALUE"""),46073.0)</f>
        <v>46073</v>
      </c>
      <c r="AR86" s="211"/>
      <c r="AS86" s="211" t="str">
        <f>IFERROR(__xludf.DUMMYFUNCTION("""COMPUTED_VALUE"""),"440df1db")</f>
        <v>440df1db</v>
      </c>
      <c r="AT86" s="211" t="str">
        <f>IFERROR(__xludf.DUMMYFUNCTION("""COMPUTED_VALUE"""),"PT. Mecca Abadi Sejahtera")</f>
        <v>PT. Mecca Abadi Sejahtera</v>
      </c>
      <c r="AU86" s="211"/>
      <c r="AV86" s="211" t="b">
        <f>IFERROR(__xludf.DUMMYFUNCTION("""COMPUTED_VALUE"""),FALSE)</f>
        <v>0</v>
      </c>
      <c r="AW86" s="211" t="str">
        <f>IFERROR(__xludf.DUMMYFUNCTION("""COMPUTED_VALUE"""),"Jl. Raya Sawocangkring, RT.006/RW.002, Sawo, Sawocangkring, Kec. Wonoayu, Kabupaten Sidoarjo, Jawa Timur 61261")</f>
        <v>Jl. Raya Sawocangkring, RT.006/RW.002, Sawo, Sawocangkring, Kec. Wonoayu, Kabupaten Sidoarjo, Jawa Timur 61261</v>
      </c>
      <c r="AX86" s="211">
        <f>IFERROR(__xludf.DUMMYFUNCTION("""COMPUTED_VALUE"""),14.0)</f>
        <v>14</v>
      </c>
      <c r="AY86" s="211"/>
      <c r="AZ86" s="211"/>
      <c r="BB86" s="211"/>
      <c r="BC86" s="211"/>
      <c r="BD86" s="211"/>
      <c r="BE86" s="211"/>
      <c r="BF86" s="211"/>
      <c r="BG86" s="211"/>
      <c r="BH86" s="211"/>
      <c r="BI86" s="211"/>
    </row>
    <row r="87">
      <c r="A87" s="210" t="str">
        <f>IFERROR(__xludf.DUMMYFUNCTION("""COMPUTED_VALUE"""),"10240039")</f>
        <v>10240039</v>
      </c>
      <c r="B87" s="210" t="str">
        <f>IFERROR(__xludf.DUMMYFUNCTION("""COMPUTED_VALUE"""),"10240039")</f>
        <v>10240039</v>
      </c>
      <c r="C87" s="213">
        <f>IFERROR(__xludf.DUMMYFUNCTION("""COMPUTED_VALUE"""),45575.42443287037)</f>
        <v>45575.42443</v>
      </c>
      <c r="D87" s="211" t="str">
        <f>IFERROR(__xludf.DUMMYFUNCTION("""COMPUTED_VALUE"""),"f8335a53")</f>
        <v>f8335a53</v>
      </c>
      <c r="E87" s="211" t="str">
        <f>IFERROR(__xludf.DUMMYFUNCTION("""COMPUTED_VALUE"""),"CV RAGAM JAYA ENGINEERING")</f>
        <v>CV RAGAM JAYA ENGINEERING</v>
      </c>
      <c r="F87" s="211" t="str">
        <f>IFERROR(__xludf.DUMMYFUNCTION("""COMPUTED_VALUE"""),"be525f3b")</f>
        <v>be525f3b</v>
      </c>
      <c r="G87" s="211" t="str">
        <f>IFERROR(__xludf.DUMMYFUNCTION("""COMPUTED_VALUE"""),"LPG 12kg")</f>
        <v>LPG 12kg</v>
      </c>
      <c r="H87" s="214" t="str">
        <f>IFERROR(__xludf.DUMMYFUNCTION("""COMPUTED_VALUE"""),"OUT")</f>
        <v>OUT</v>
      </c>
      <c r="I87" s="214" t="str">
        <f>IFERROR(__xludf.DUMMYFUNCTION("""COMPUTED_VALUE"""),"NORMAL")</f>
        <v>NORMAL</v>
      </c>
      <c r="J87" s="211">
        <f>IFERROR(__xludf.DUMMYFUNCTION("""COMPUTED_VALUE"""),4.0)</f>
        <v>4</v>
      </c>
      <c r="K87" s="211"/>
      <c r="L87" s="211">
        <f>IFERROR(__xludf.DUMMYFUNCTION("""COMPUTED_VALUE"""),225000.0)</f>
        <v>225000</v>
      </c>
      <c r="M87" s="211"/>
      <c r="N87" s="211"/>
      <c r="O87" s="211"/>
      <c r="Q87" s="210" t="str">
        <f>IFERROR(__xludf.DUMMYFUNCTION("""COMPUTED_VALUE"""),"bce70af8")</f>
        <v>bce70af8</v>
      </c>
      <c r="R87" s="210" t="str">
        <f>IFERROR(__xludf.DUMMYFUNCTION("""COMPUTED_VALUE"""),"bce70af8")</f>
        <v>bce70af8</v>
      </c>
      <c r="S87" s="211" t="str">
        <f>IFERROR(__xludf.DUMMYFUNCTION("""COMPUTED_VALUE"""),"17af2683")</f>
        <v>17af2683</v>
      </c>
      <c r="T87" s="211" t="str">
        <f>IFERROR(__xludf.DUMMYFUNCTION("""COMPUTED_VALUE"""),"H. Fatoni")</f>
        <v>H. Fatoni</v>
      </c>
      <c r="U87" s="215">
        <f>IFERROR(__xludf.DUMMYFUNCTION("""COMPUTED_VALUE"""),45589.44777777778)</f>
        <v>45589.44778</v>
      </c>
      <c r="V87" s="211" t="str">
        <f>IFERROR(__xludf.DUMMYFUNCTION("""COMPUTED_VALUE"""),"Watesari 015/003, Watesari, Balongbendo, Sidoarjo, Jawa Timur")</f>
        <v>Watesari 015/003, Watesari, Balongbendo, Sidoarjo, Jawa Timur</v>
      </c>
      <c r="W87" s="211" t="str">
        <f>IFERROR(__xludf.DUMMYFUNCTION("""COMPUTED_VALUE"""),"IN")</f>
        <v>IN</v>
      </c>
      <c r="X87" s="211"/>
      <c r="Z87" s="211" t="str">
        <f>IFERROR(__xludf.DUMMYFUNCTION("""COMPUTED_VALUE"""),"0326162923")</f>
        <v>0326162923</v>
      </c>
      <c r="AC87" s="211" t="str">
        <f>IFERROR(__xludf.DUMMYFUNCTION("""COMPUTED_VALUE"""),"ca4876e2")</f>
        <v>ca4876e2</v>
      </c>
      <c r="AD87" s="211" t="str">
        <f>IFERROR(__xludf.DUMMYFUNCTION("""COMPUTED_VALUE"""),"Bengkel Mustika Mojosari")</f>
        <v>Bengkel Mustika Mojosari</v>
      </c>
      <c r="AE87" s="211"/>
      <c r="AF87" s="211" t="b">
        <f>IFERROR(__xludf.DUMMYFUNCTION("""COMPUTED_VALUE"""),FALSE)</f>
        <v>0</v>
      </c>
      <c r="AG87" s="211" t="str">
        <f>IFERROR(__xludf.DUMMYFUNCTION("""COMPUTED_VALUE"""),"Jl. Kusuma Bangsa, Bulanan, Randubango, Kec. Mojosari, Kabupaten Mojokerto, Jawa Timur 61382")</f>
        <v>Jl. Kusuma Bangsa, Bulanan, Randubango, Kec. Mojosari, Kabupaten Mojokerto, Jawa Timur 61382</v>
      </c>
      <c r="AH87" s="211">
        <f>IFERROR(__xludf.DUMMYFUNCTION("""COMPUTED_VALUE"""),14.0)</f>
        <v>14</v>
      </c>
      <c r="AI87" s="211" t="str">
        <f>IFERROR(__xludf.DUMMYFUNCTION("""COMPUTED_VALUE"""),"082131780946")</f>
        <v>082131780946</v>
      </c>
      <c r="AJ87" s="211"/>
      <c r="AL87" s="211" t="str">
        <f>IFERROR(__xludf.DUMMYFUNCTION("""COMPUTED_VALUE"""),"2260225")</f>
        <v>2260225</v>
      </c>
      <c r="AM87" s="211" t="str">
        <f>IFERROR(__xludf.DUMMYFUNCTION("""COMPUTED_VALUE"""),"0226192553")</f>
        <v>0226192553</v>
      </c>
      <c r="AN87" s="211" t="str">
        <f>IFERROR(__xludf.DUMMYFUNCTION("""COMPUTED_VALUE"""),"b218b89b")</f>
        <v>b218b89b</v>
      </c>
      <c r="AO87" s="211" t="str">
        <f>IFERROR(__xludf.DUMMYFUNCTION("""COMPUTED_VALUE"""),"PT Harapan Sentosa")</f>
        <v>PT Harapan Sentosa</v>
      </c>
      <c r="AP87" s="215">
        <f>IFERROR(__xludf.DUMMYFUNCTION("""COMPUTED_VALUE"""),46073.502650462964)</f>
        <v>46073.50265</v>
      </c>
      <c r="AQ87" s="218">
        <f>IFERROR(__xludf.DUMMYFUNCTION("""COMPUTED_VALUE"""),46066.0)</f>
        <v>46066</v>
      </c>
      <c r="AR87" s="211"/>
      <c r="AS87" s="211" t="str">
        <f>IFERROR(__xludf.DUMMYFUNCTION("""COMPUTED_VALUE"""),"ca4876e2")</f>
        <v>ca4876e2</v>
      </c>
      <c r="AT87" s="211" t="str">
        <f>IFERROR(__xludf.DUMMYFUNCTION("""COMPUTED_VALUE"""),"Bengkel Mustika Mojosari")</f>
        <v>Bengkel Mustika Mojosari</v>
      </c>
      <c r="AU87" s="211"/>
      <c r="AV87" s="211" t="b">
        <f>IFERROR(__xludf.DUMMYFUNCTION("""COMPUTED_VALUE"""),FALSE)</f>
        <v>0</v>
      </c>
      <c r="AW87" s="211" t="str">
        <f>IFERROR(__xludf.DUMMYFUNCTION("""COMPUTED_VALUE"""),"Jl. Kusuma Bangsa, Bulanan, Randubango, Kec. Mojosari, Kabupaten Mojokerto, Jawa Timur 61382")</f>
        <v>Jl. Kusuma Bangsa, Bulanan, Randubango, Kec. Mojosari, Kabupaten Mojokerto, Jawa Timur 61382</v>
      </c>
      <c r="AX87" s="211">
        <f>IFERROR(__xludf.DUMMYFUNCTION("""COMPUTED_VALUE"""),14.0)</f>
        <v>14</v>
      </c>
      <c r="AY87" s="211" t="str">
        <f>IFERROR(__xludf.DUMMYFUNCTION("""COMPUTED_VALUE"""),"082131780946")</f>
        <v>082131780946</v>
      </c>
      <c r="AZ87" s="211"/>
      <c r="BB87" s="211"/>
      <c r="BC87" s="211"/>
      <c r="BD87" s="211"/>
      <c r="BE87" s="211"/>
      <c r="BF87" s="211"/>
      <c r="BG87" s="211"/>
      <c r="BH87" s="211"/>
      <c r="BI87" s="211"/>
    </row>
    <row r="88">
      <c r="A88" s="210" t="str">
        <f>IFERROR(__xludf.DUMMYFUNCTION("""COMPUTED_VALUE"""),"297139c6")</f>
        <v>297139c6</v>
      </c>
      <c r="B88" s="210" t="str">
        <f>IFERROR(__xludf.DUMMYFUNCTION("""COMPUTED_VALUE"""),"297139c6")</f>
        <v>297139c6</v>
      </c>
      <c r="C88" s="213">
        <f>IFERROR(__xludf.DUMMYFUNCTION("""COMPUTED_VALUE"""),45575.62451388889)</f>
        <v>45575.62451</v>
      </c>
      <c r="D88" s="211" t="str">
        <f>IFERROR(__xludf.DUMMYFUNCTION("""COMPUTED_VALUE"""),"f8335a53")</f>
        <v>f8335a53</v>
      </c>
      <c r="E88" s="211" t="str">
        <f>IFERROR(__xludf.DUMMYFUNCTION("""COMPUTED_VALUE"""),"CV RAGAM JAYA ENGINEERING")</f>
        <v>CV RAGAM JAYA ENGINEERING</v>
      </c>
      <c r="F88" s="211" t="str">
        <f>IFERROR(__xludf.DUMMYFUNCTION("""COMPUTED_VALUE"""),"ef306e54")</f>
        <v>ef306e54</v>
      </c>
      <c r="G88" s="211" t="str">
        <f>IFERROR(__xludf.DUMMYFUNCTION("""COMPUTED_VALUE"""),"Karbondioksida")</f>
        <v>Karbondioksida</v>
      </c>
      <c r="H88" s="214" t="str">
        <f>IFERROR(__xludf.DUMMYFUNCTION("""COMPUTED_VALUE"""),"IN")</f>
        <v>IN</v>
      </c>
      <c r="I88" s="214" t="str">
        <f>IFERROR(__xludf.DUMMYFUNCTION("""COMPUTED_VALUE"""),"EMPTY")</f>
        <v>EMPTY</v>
      </c>
      <c r="J88" s="211">
        <f>IFERROR(__xludf.DUMMYFUNCTION("""COMPUTED_VALUE"""),2.0)</f>
        <v>2</v>
      </c>
      <c r="K88" s="210" t="str">
        <f>IFERROR(__xludf.DUMMYFUNCTION("""COMPUTED_VALUE"""),"6609 6691")</f>
        <v>6609 6691</v>
      </c>
      <c r="L88" s="211"/>
      <c r="M88" s="211"/>
      <c r="N88" s="211"/>
      <c r="O88" s="211"/>
      <c r="Q88" s="210" t="str">
        <f>IFERROR(__xludf.DUMMYFUNCTION("""COMPUTED_VALUE"""),"98bde844")</f>
        <v>98bde844</v>
      </c>
      <c r="R88" s="210" t="str">
        <f>IFERROR(__xludf.DUMMYFUNCTION("""COMPUTED_VALUE"""),"98bde844")</f>
        <v>98bde844</v>
      </c>
      <c r="S88" s="211" t="str">
        <f>IFERROR(__xludf.DUMMYFUNCTION("""COMPUTED_VALUE"""),"4ec68cf6")</f>
        <v>4ec68cf6</v>
      </c>
      <c r="T88" s="211" t="str">
        <f>IFERROR(__xludf.DUMMYFUNCTION("""COMPUTED_VALUE"""),"CV Sido Mukti Karya")</f>
        <v>CV Sido Mukti Karya</v>
      </c>
      <c r="U88" s="215">
        <f>IFERROR(__xludf.DUMMYFUNCTION("""COMPUTED_VALUE"""),45589.44819444444)</f>
        <v>45589.44819</v>
      </c>
      <c r="V88" s="211" t="str">
        <f>IFERROR(__xludf.DUMMYFUNCTION("""COMPUTED_VALUE"""),"Pergudangan Center Point no A3, Kemangsen")</f>
        <v>Pergudangan Center Point no A3, Kemangsen</v>
      </c>
      <c r="W88" s="211" t="str">
        <f>IFERROR(__xludf.DUMMYFUNCTION("""COMPUTED_VALUE"""),"IN")</f>
        <v>IN</v>
      </c>
      <c r="X88" s="211"/>
      <c r="Z88" s="211" t="str">
        <f>IFERROR(__xludf.DUMMYFUNCTION("""COMPUTED_VALUE"""),"0326182922")</f>
        <v>0326182922</v>
      </c>
      <c r="AC88" s="211" t="str">
        <f>IFERROR(__xludf.DUMMYFUNCTION("""COMPUTED_VALUE"""),"ba97d58d")</f>
        <v>ba97d58d</v>
      </c>
      <c r="AD88" s="211" t="str">
        <f>IFERROR(__xludf.DUMMYFUNCTION("""COMPUTED_VALUE"""),"Bengkel Citra Mojosari")</f>
        <v>Bengkel Citra Mojosari</v>
      </c>
      <c r="AE88" s="211"/>
      <c r="AF88" s="211" t="b">
        <f>IFERROR(__xludf.DUMMYFUNCTION("""COMPUTED_VALUE"""),FALSE)</f>
        <v>0</v>
      </c>
      <c r="AG88" s="211" t="str">
        <f>IFERROR(__xludf.DUMMYFUNCTION("""COMPUTED_VALUE"""),"Jl. Raden Wijaya, Kemloko, Jotangan, Kec. Mojosari, Kabupaten Mojokerto, Jawa Timur 61382")</f>
        <v>Jl. Raden Wijaya, Kemloko, Jotangan, Kec. Mojosari, Kabupaten Mojokerto, Jawa Timur 61382</v>
      </c>
      <c r="AH88" s="211">
        <f>IFERROR(__xludf.DUMMYFUNCTION("""COMPUTED_VALUE"""),14.0)</f>
        <v>14</v>
      </c>
      <c r="AI88" s="211" t="str">
        <f>IFERROR(__xludf.DUMMYFUNCTION("""COMPUTED_VALUE"""),"081231074651")</f>
        <v>081231074651</v>
      </c>
      <c r="AJ88" s="211"/>
      <c r="AL88" s="211" t="str">
        <f>IFERROR(__xludf.DUMMYFUNCTION("""COMPUTED_VALUE"""),"2260225")</f>
        <v>2260225</v>
      </c>
      <c r="AM88" s="211" t="str">
        <f>IFERROR(__xludf.DUMMYFUNCTION("""COMPUTED_VALUE"""),"0226202571")</f>
        <v>0226202571</v>
      </c>
      <c r="AN88" s="211" t="str">
        <f>IFERROR(__xludf.DUMMYFUNCTION("""COMPUTED_VALUE"""),"b218b89b")</f>
        <v>b218b89b</v>
      </c>
      <c r="AO88" s="211" t="str">
        <f>IFERROR(__xludf.DUMMYFUNCTION("""COMPUTED_VALUE"""),"PT Harapan Sentosa")</f>
        <v>PT Harapan Sentosa</v>
      </c>
      <c r="AP88" s="215">
        <f>IFERROR(__xludf.DUMMYFUNCTION("""COMPUTED_VALUE"""),46073.502650462964)</f>
        <v>46073.50265</v>
      </c>
      <c r="AQ88" s="218">
        <f>IFERROR(__xludf.DUMMYFUNCTION("""COMPUTED_VALUE"""),46067.0)</f>
        <v>46067</v>
      </c>
      <c r="AR88" s="211"/>
      <c r="AS88" s="211" t="str">
        <f>IFERROR(__xludf.DUMMYFUNCTION("""COMPUTED_VALUE"""),"ba97d58d")</f>
        <v>ba97d58d</v>
      </c>
      <c r="AT88" s="211" t="str">
        <f>IFERROR(__xludf.DUMMYFUNCTION("""COMPUTED_VALUE"""),"Bengkel Citra Mojosari")</f>
        <v>Bengkel Citra Mojosari</v>
      </c>
      <c r="AU88" s="211"/>
      <c r="AV88" s="211" t="b">
        <f>IFERROR(__xludf.DUMMYFUNCTION("""COMPUTED_VALUE"""),FALSE)</f>
        <v>0</v>
      </c>
      <c r="AW88" s="211" t="str">
        <f>IFERROR(__xludf.DUMMYFUNCTION("""COMPUTED_VALUE"""),"Jl. Raden Wijaya, Kemloko, Jotangan, Kec. Mojosari, Kabupaten Mojokerto, Jawa Timur 61382")</f>
        <v>Jl. Raden Wijaya, Kemloko, Jotangan, Kec. Mojosari, Kabupaten Mojokerto, Jawa Timur 61382</v>
      </c>
      <c r="AX88" s="211">
        <f>IFERROR(__xludf.DUMMYFUNCTION("""COMPUTED_VALUE"""),14.0)</f>
        <v>14</v>
      </c>
      <c r="AY88" s="211" t="str">
        <f>IFERROR(__xludf.DUMMYFUNCTION("""COMPUTED_VALUE"""),"081231074651")</f>
        <v>081231074651</v>
      </c>
      <c r="AZ88" s="211"/>
      <c r="BB88" s="211"/>
      <c r="BC88" s="211"/>
      <c r="BD88" s="211"/>
      <c r="BE88" s="211"/>
      <c r="BF88" s="211"/>
      <c r="BG88" s="211"/>
      <c r="BH88" s="211"/>
      <c r="BI88" s="211"/>
    </row>
    <row r="89">
      <c r="A89" s="210" t="str">
        <f>IFERROR(__xludf.DUMMYFUNCTION("""COMPUTED_VALUE"""),"297139c6")</f>
        <v>297139c6</v>
      </c>
      <c r="B89" s="210" t="str">
        <f>IFERROR(__xludf.DUMMYFUNCTION("""COMPUTED_VALUE"""),"297139c6")</f>
        <v>297139c6</v>
      </c>
      <c r="C89" s="213">
        <f>IFERROR(__xludf.DUMMYFUNCTION("""COMPUTED_VALUE"""),45575.625023148146)</f>
        <v>45575.62502</v>
      </c>
      <c r="D89" s="211" t="str">
        <f>IFERROR(__xludf.DUMMYFUNCTION("""COMPUTED_VALUE"""),"f8335a53")</f>
        <v>f8335a53</v>
      </c>
      <c r="E89" s="211" t="str">
        <f>IFERROR(__xludf.DUMMYFUNCTION("""COMPUTED_VALUE"""),"CV RAGAM JAYA ENGINEERING")</f>
        <v>CV RAGAM JAYA ENGINEERING</v>
      </c>
      <c r="F89" s="211" t="str">
        <f>IFERROR(__xludf.DUMMYFUNCTION("""COMPUTED_VALUE"""),"8bdbe149")</f>
        <v>8bdbe149</v>
      </c>
      <c r="G89" s="211" t="str">
        <f>IFERROR(__xludf.DUMMYFUNCTION("""COMPUTED_VALUE"""),"Oksigen 6m3")</f>
        <v>Oksigen 6m3</v>
      </c>
      <c r="H89" s="214" t="str">
        <f>IFERROR(__xludf.DUMMYFUNCTION("""COMPUTED_VALUE"""),"IN")</f>
        <v>IN</v>
      </c>
      <c r="I89" s="214" t="str">
        <f>IFERROR(__xludf.DUMMYFUNCTION("""COMPUTED_VALUE"""),"EMPTY")</f>
        <v>EMPTY</v>
      </c>
      <c r="J89" s="211">
        <f>IFERROR(__xludf.DUMMYFUNCTION("""COMPUTED_VALUE"""),4.0)</f>
        <v>4</v>
      </c>
      <c r="K89" s="210" t="str">
        <f>IFERROR(__xludf.DUMMYFUNCTION("""COMPUTED_VALUE"""),"1115 1156 1116 1158")</f>
        <v>1115 1156 1116 1158</v>
      </c>
      <c r="L89" s="211"/>
      <c r="M89" s="211"/>
      <c r="N89" s="211"/>
      <c r="O89" s="211"/>
      <c r="Q89" s="210" t="str">
        <f>IFERROR(__xludf.DUMMYFUNCTION("""COMPUTED_VALUE"""),"10240057")</f>
        <v>10240057</v>
      </c>
      <c r="R89" s="210" t="str">
        <f>IFERROR(__xludf.DUMMYFUNCTION("""COMPUTED_VALUE"""),"10240057")</f>
        <v>10240057</v>
      </c>
      <c r="S89" s="211" t="str">
        <f>IFERROR(__xludf.DUMMYFUNCTION("""COMPUTED_VALUE"""),"2d88931c")</f>
        <v>2d88931c</v>
      </c>
      <c r="T89" s="211" t="str">
        <f>IFERROR(__xludf.DUMMYFUNCTION("""COMPUTED_VALUE"""),"PT Dunia Berkat Marga Mulya")</f>
        <v>PT Dunia Berkat Marga Mulya</v>
      </c>
      <c r="U89" s="215">
        <f>IFERROR(__xludf.DUMMYFUNCTION("""COMPUTED_VALUE"""),45590.43372685185)</f>
        <v>45590.43373</v>
      </c>
      <c r="V89" s="211" t="str">
        <f>IFERROR(__xludf.DUMMYFUNCTION("""COMPUTED_VALUE"""),"JL JABARAN, WATESARI, BALONGBENDO, SIDOARJO, JAWA TIMUR")</f>
        <v>JL JABARAN, WATESARI, BALONGBENDO, SIDOARJO, JAWA TIMUR</v>
      </c>
      <c r="W89" s="211" t="str">
        <f>IFERROR(__xludf.DUMMYFUNCTION("""COMPUTED_VALUE"""),"OUT")</f>
        <v>OUT</v>
      </c>
      <c r="X89" s="211"/>
      <c r="Z89" s="211" t="str">
        <f>IFERROR(__xludf.DUMMYFUNCTION("""COMPUTED_VALUE"""),"0326412914")</f>
        <v>0326412914</v>
      </c>
      <c r="AC89" s="211" t="str">
        <f>IFERROR(__xludf.DUMMYFUNCTION("""COMPUTED_VALUE"""),"9e5d8274")</f>
        <v>9e5d8274</v>
      </c>
      <c r="AD89" s="211" t="str">
        <f>IFERROR(__xludf.DUMMYFUNCTION("""COMPUTED_VALUE"""),"Bpk. Erry ( Lik Trosobo )")</f>
        <v>Bpk. Erry ( Lik Trosobo )</v>
      </c>
      <c r="AE89" s="211"/>
      <c r="AF89" s="211" t="b">
        <f>IFERROR(__xludf.DUMMYFUNCTION("""COMPUTED_VALUE"""),FALSE)</f>
        <v>0</v>
      </c>
      <c r="AG89" s="211" t="str">
        <f>IFERROR(__xludf.DUMMYFUNCTION("""COMPUTED_VALUE"""),"Trosobo Taman")</f>
        <v>Trosobo Taman</v>
      </c>
      <c r="AH89" s="211">
        <f>IFERROR(__xludf.DUMMYFUNCTION("""COMPUTED_VALUE"""),14.0)</f>
        <v>14</v>
      </c>
      <c r="AI89" s="211" t="str">
        <f>IFERROR(__xludf.DUMMYFUNCTION("""COMPUTED_VALUE"""),"+62 821-3230-7372")</f>
        <v>+62 821-3230-7372</v>
      </c>
      <c r="AJ89" s="211"/>
      <c r="AL89" s="211" t="str">
        <f>IFERROR(__xludf.DUMMYFUNCTION("""COMPUTED_VALUE"""),"2260224")</f>
        <v>2260224</v>
      </c>
      <c r="AM89" s="211" t="str">
        <f>IFERROR(__xludf.DUMMYFUNCTION("""COMPUTED_VALUE"""),"022612588")</f>
        <v>022612588</v>
      </c>
      <c r="AN89" s="211" t="str">
        <f>IFERROR(__xludf.DUMMYFUNCTION("""COMPUTED_VALUE"""),"d9b2fac5")</f>
        <v>d9b2fac5</v>
      </c>
      <c r="AO89" s="211" t="str">
        <f>IFERROR(__xludf.DUMMYFUNCTION("""COMPUTED_VALUE"""),"Dwi Riza ( Ponokawan)")</f>
        <v>Dwi Riza ( Ponokawan)</v>
      </c>
      <c r="AP89" s="215">
        <f>IFERROR(__xludf.DUMMYFUNCTION("""COMPUTED_VALUE"""),46071.53175925926)</f>
        <v>46071.53176</v>
      </c>
      <c r="AQ89" s="218">
        <f>IFERROR(__xludf.DUMMYFUNCTION("""COMPUTED_VALUE"""),46071.0)</f>
        <v>46071</v>
      </c>
      <c r="AR89" s="211"/>
      <c r="AS89" s="211" t="str">
        <f>IFERROR(__xludf.DUMMYFUNCTION("""COMPUTED_VALUE"""),"9e5d8274")</f>
        <v>9e5d8274</v>
      </c>
      <c r="AT89" s="211" t="str">
        <f>IFERROR(__xludf.DUMMYFUNCTION("""COMPUTED_VALUE"""),"Bpk. Erry ( Lik Trosobo )")</f>
        <v>Bpk. Erry ( Lik Trosobo )</v>
      </c>
      <c r="AU89" s="211"/>
      <c r="AV89" s="211" t="b">
        <f>IFERROR(__xludf.DUMMYFUNCTION("""COMPUTED_VALUE"""),FALSE)</f>
        <v>0</v>
      </c>
      <c r="AW89" s="211" t="str">
        <f>IFERROR(__xludf.DUMMYFUNCTION("""COMPUTED_VALUE"""),"Trosobo Taman")</f>
        <v>Trosobo Taman</v>
      </c>
      <c r="AX89" s="211">
        <f>IFERROR(__xludf.DUMMYFUNCTION("""COMPUTED_VALUE"""),14.0)</f>
        <v>14</v>
      </c>
      <c r="AY89" s="211" t="str">
        <f>IFERROR(__xludf.DUMMYFUNCTION("""COMPUTED_VALUE"""),"+62 821-3230-7372")</f>
        <v>+62 821-3230-7372</v>
      </c>
      <c r="AZ89" s="211"/>
      <c r="BB89" s="211"/>
      <c r="BC89" s="211"/>
      <c r="BD89" s="211"/>
      <c r="BE89" s="211"/>
      <c r="BF89" s="211"/>
      <c r="BG89" s="211"/>
      <c r="BH89" s="211"/>
      <c r="BI89" s="211"/>
    </row>
    <row r="90">
      <c r="A90" s="210" t="str">
        <f>IFERROR(__xludf.DUMMYFUNCTION("""COMPUTED_VALUE"""),"297139c6")</f>
        <v>297139c6</v>
      </c>
      <c r="B90" s="210" t="str">
        <f>IFERROR(__xludf.DUMMYFUNCTION("""COMPUTED_VALUE"""),"297139c6")</f>
        <v>297139c6</v>
      </c>
      <c r="C90" s="213">
        <f>IFERROR(__xludf.DUMMYFUNCTION("""COMPUTED_VALUE"""),45575.625555555554)</f>
        <v>45575.62556</v>
      </c>
      <c r="D90" s="211" t="str">
        <f>IFERROR(__xludf.DUMMYFUNCTION("""COMPUTED_VALUE"""),"f8335a53")</f>
        <v>f8335a53</v>
      </c>
      <c r="E90" s="211" t="str">
        <f>IFERROR(__xludf.DUMMYFUNCTION("""COMPUTED_VALUE"""),"CV RAGAM JAYA ENGINEERING")</f>
        <v>CV RAGAM JAYA ENGINEERING</v>
      </c>
      <c r="F90" s="211" t="str">
        <f>IFERROR(__xludf.DUMMYFUNCTION("""COMPUTED_VALUE"""),"be525f3b")</f>
        <v>be525f3b</v>
      </c>
      <c r="G90" s="211" t="str">
        <f>IFERROR(__xludf.DUMMYFUNCTION("""COMPUTED_VALUE"""),"LPG 12kg")</f>
        <v>LPG 12kg</v>
      </c>
      <c r="H90" s="214" t="str">
        <f>IFERROR(__xludf.DUMMYFUNCTION("""COMPUTED_VALUE"""),"IN")</f>
        <v>IN</v>
      </c>
      <c r="I90" s="214" t="str">
        <f>IFERROR(__xludf.DUMMYFUNCTION("""COMPUTED_VALUE"""),"EMPTY")</f>
        <v>EMPTY</v>
      </c>
      <c r="J90" s="211">
        <f>IFERROR(__xludf.DUMMYFUNCTION("""COMPUTED_VALUE"""),4.0)</f>
        <v>4</v>
      </c>
      <c r="K90" s="211"/>
      <c r="L90" s="211"/>
      <c r="M90" s="211"/>
      <c r="N90" s="211"/>
      <c r="O90" s="211"/>
      <c r="Q90" s="210" t="str">
        <f>IFERROR(__xludf.DUMMYFUNCTION("""COMPUTED_VALUE"""),"d00e3ed3")</f>
        <v>d00e3ed3</v>
      </c>
      <c r="R90" s="210" t="str">
        <f>IFERROR(__xludf.DUMMYFUNCTION("""COMPUTED_VALUE"""),"d00e3ed3")</f>
        <v>d00e3ed3</v>
      </c>
      <c r="S90" s="211" t="str">
        <f>IFERROR(__xludf.DUMMYFUNCTION("""COMPUTED_VALUE"""),"2d88931c")</f>
        <v>2d88931c</v>
      </c>
      <c r="T90" s="211" t="str">
        <f>IFERROR(__xludf.DUMMYFUNCTION("""COMPUTED_VALUE"""),"PT Dunia Berkat Marga Mulya")</f>
        <v>PT Dunia Berkat Marga Mulya</v>
      </c>
      <c r="U90" s="215">
        <f>IFERROR(__xludf.DUMMYFUNCTION("""COMPUTED_VALUE"""),45590.45774305555)</f>
        <v>45590.45774</v>
      </c>
      <c r="V90" s="211" t="str">
        <f>IFERROR(__xludf.DUMMYFUNCTION("""COMPUTED_VALUE"""),"JL JABARAN, WATESARI, BALONGBENDO, SIDOARJO, JAWA TIMUR")</f>
        <v>JL JABARAN, WATESARI, BALONGBENDO, SIDOARJO, JAWA TIMUR</v>
      </c>
      <c r="W90" s="211" t="str">
        <f>IFERROR(__xludf.DUMMYFUNCTION("""COMPUTED_VALUE"""),"IN")</f>
        <v>IN</v>
      </c>
      <c r="X90" s="211"/>
      <c r="Z90" s="211" t="str">
        <f>IFERROR(__xludf.DUMMYFUNCTION("""COMPUTED_VALUE"""),"0326272913")</f>
        <v>0326272913</v>
      </c>
      <c r="AC90" s="211" t="str">
        <f>IFERROR(__xludf.DUMMYFUNCTION("""COMPUTED_VALUE"""),"bf8a2c8b")</f>
        <v>bf8a2c8b</v>
      </c>
      <c r="AD90" s="211" t="str">
        <f>IFERROR(__xludf.DUMMYFUNCTION("""COMPUTED_VALUE"""),"Abah Fadholi")</f>
        <v>Abah Fadholi</v>
      </c>
      <c r="AE90" s="211"/>
      <c r="AF90" s="211" t="b">
        <f>IFERROR(__xludf.DUMMYFUNCTION("""COMPUTED_VALUE"""),FALSE)</f>
        <v>0</v>
      </c>
      <c r="AG90" s="211" t="str">
        <f>IFERROR(__xludf.DUMMYFUNCTION("""COMPUTED_VALUE"""),"Sidowaras Kraton Krian Sidoarjo")</f>
        <v>Sidowaras Kraton Krian Sidoarjo</v>
      </c>
      <c r="AH90" s="211">
        <f>IFERROR(__xludf.DUMMYFUNCTION("""COMPUTED_VALUE"""),10.0)</f>
        <v>10</v>
      </c>
      <c r="AI90" s="211" t="str">
        <f>IFERROR(__xludf.DUMMYFUNCTION("""COMPUTED_VALUE"""),"081330406016")</f>
        <v>081330406016</v>
      </c>
      <c r="AJ90" s="211"/>
      <c r="AL90" s="211" t="str">
        <f>IFERROR(__xludf.DUMMYFUNCTION("""COMPUTED_VALUE"""),"2260223")</f>
        <v>2260223</v>
      </c>
      <c r="AM90" s="211" t="str">
        <f>IFERROR(__xludf.DUMMYFUNCTION("""COMPUTED_VALUE"""),"022642560")</f>
        <v>022642560</v>
      </c>
      <c r="AN90" s="211" t="str">
        <f>IFERROR(__xludf.DUMMYFUNCTION("""COMPUTED_VALUE"""),"4c3a2a5f")</f>
        <v>4c3a2a5f</v>
      </c>
      <c r="AO90" s="211" t="str">
        <f>IFERROR(__xludf.DUMMYFUNCTION("""COMPUTED_VALUE"""),"CV Matahari Mitra Sukses")</f>
        <v>CV Matahari Mitra Sukses</v>
      </c>
      <c r="AP90" s="215">
        <f>IFERROR(__xludf.DUMMYFUNCTION("""COMPUTED_VALUE"""),46066.67784722222)</f>
        <v>46066.67785</v>
      </c>
      <c r="AQ90" s="218">
        <f>IFERROR(__xludf.DUMMYFUNCTION("""COMPUTED_VALUE"""),46066.0)</f>
        <v>46066</v>
      </c>
      <c r="AR90" s="211"/>
      <c r="AS90" s="211" t="str">
        <f>IFERROR(__xludf.DUMMYFUNCTION("""COMPUTED_VALUE"""),"bf8a2c8b")</f>
        <v>bf8a2c8b</v>
      </c>
      <c r="AT90" s="211" t="str">
        <f>IFERROR(__xludf.DUMMYFUNCTION("""COMPUTED_VALUE"""),"Abah Fadholi")</f>
        <v>Abah Fadholi</v>
      </c>
      <c r="AU90" s="211"/>
      <c r="AV90" s="211" t="b">
        <f>IFERROR(__xludf.DUMMYFUNCTION("""COMPUTED_VALUE"""),FALSE)</f>
        <v>0</v>
      </c>
      <c r="AW90" s="211" t="str">
        <f>IFERROR(__xludf.DUMMYFUNCTION("""COMPUTED_VALUE"""),"Sidowaras Kraton Krian Sidoarjo")</f>
        <v>Sidowaras Kraton Krian Sidoarjo</v>
      </c>
      <c r="AX90" s="211">
        <f>IFERROR(__xludf.DUMMYFUNCTION("""COMPUTED_VALUE"""),10.0)</f>
        <v>10</v>
      </c>
      <c r="AY90" s="211" t="str">
        <f>IFERROR(__xludf.DUMMYFUNCTION("""COMPUTED_VALUE"""),"081330406016")</f>
        <v>081330406016</v>
      </c>
      <c r="AZ90" s="211"/>
      <c r="BB90" s="211"/>
      <c r="BC90" s="211"/>
      <c r="BD90" s="211"/>
      <c r="BE90" s="211"/>
      <c r="BF90" s="211"/>
      <c r="BG90" s="211"/>
      <c r="BH90" s="211"/>
      <c r="BI90" s="211"/>
    </row>
    <row r="91">
      <c r="A91" s="210" t="str">
        <f>IFERROR(__xludf.DUMMYFUNCTION("""COMPUTED_VALUE"""),"10240041")</f>
        <v>10240041</v>
      </c>
      <c r="B91" s="210" t="str">
        <f>IFERROR(__xludf.DUMMYFUNCTION("""COMPUTED_VALUE"""),"10240041")</f>
        <v>10240041</v>
      </c>
      <c r="C91" s="213">
        <f>IFERROR(__xludf.DUMMYFUNCTION("""COMPUTED_VALUE"""),45576.38888888889)</f>
        <v>45576.38889</v>
      </c>
      <c r="D91" s="211" t="str">
        <f>IFERROR(__xludf.DUMMYFUNCTION("""COMPUTED_VALUE"""),"8f5ebaea")</f>
        <v>8f5ebaea</v>
      </c>
      <c r="E91" s="211" t="str">
        <f>IFERROR(__xludf.DUMMYFUNCTION("""COMPUTED_VALUE"""),"PT Hua Zong Mesindo")</f>
        <v>PT Hua Zong Mesindo</v>
      </c>
      <c r="F91" s="211" t="str">
        <f>IFERROR(__xludf.DUMMYFUNCTION("""COMPUTED_VALUE"""),"66af7c72")</f>
        <v>66af7c72</v>
      </c>
      <c r="G91" s="211" t="str">
        <f>IFERROR(__xludf.DUMMYFUNCTION("""COMPUTED_VALUE"""),"Argon 6m3")</f>
        <v>Argon 6m3</v>
      </c>
      <c r="H91" s="214" t="str">
        <f>IFERROR(__xludf.DUMMYFUNCTION("""COMPUTED_VALUE"""),"OUT")</f>
        <v>OUT</v>
      </c>
      <c r="I91" s="214" t="str">
        <f>IFERROR(__xludf.DUMMYFUNCTION("""COMPUTED_VALUE"""),"NORMAL")</f>
        <v>NORMAL</v>
      </c>
      <c r="J91" s="211">
        <f>IFERROR(__xludf.DUMMYFUNCTION("""COMPUTED_VALUE"""),6.0)</f>
        <v>6</v>
      </c>
      <c r="K91" s="210" t="str">
        <f>IFERROR(__xludf.DUMMYFUNCTION("""COMPUTED_VALUE"""),"8025 8063 8141 8128 8124 8081")</f>
        <v>8025 8063 8141 8128 8124 8081</v>
      </c>
      <c r="L91" s="211">
        <f>IFERROR(__xludf.DUMMYFUNCTION("""COMPUTED_VALUE"""),190000.0)</f>
        <v>190000</v>
      </c>
      <c r="M91" s="211"/>
      <c r="N91" s="211"/>
      <c r="O91" s="211"/>
      <c r="Q91" s="210" t="str">
        <f>IFERROR(__xludf.DUMMYFUNCTION("""COMPUTED_VALUE"""),"10240058")</f>
        <v>10240058</v>
      </c>
      <c r="R91" s="210" t="str">
        <f>IFERROR(__xludf.DUMMYFUNCTION("""COMPUTED_VALUE"""),"10240058")</f>
        <v>10240058</v>
      </c>
      <c r="S91" s="211" t="str">
        <f>IFERROR(__xludf.DUMMYFUNCTION("""COMPUTED_VALUE"""),"f8335a53")</f>
        <v>f8335a53</v>
      </c>
      <c r="T91" s="211" t="str">
        <f>IFERROR(__xludf.DUMMYFUNCTION("""COMPUTED_VALUE"""),"CV RAGAM JAYA ENGINEERING")</f>
        <v>CV RAGAM JAYA ENGINEERING</v>
      </c>
      <c r="U91" s="215">
        <f>IFERROR(__xludf.DUMMYFUNCTION("""COMPUTED_VALUE"""),45591.400613425925)</f>
        <v>45591.40061</v>
      </c>
      <c r="V91" s="211" t="str">
        <f>IFERROR(__xludf.DUMMYFUNCTION("""COMPUTED_VALUE"""),"Jl. Balung wangon, Dadapkuning, Bulurejo, Kec. Benjeng, Kabupaten Gresik, Jawa Timur 61172")</f>
        <v>Jl. Balung wangon, Dadapkuning, Bulurejo, Kec. Benjeng, Kabupaten Gresik, Jawa Timur 61172</v>
      </c>
      <c r="W91" s="211" t="str">
        <f>IFERROR(__xludf.DUMMYFUNCTION("""COMPUTED_VALUE"""),"OUT")</f>
        <v>OUT</v>
      </c>
      <c r="X91" s="211"/>
      <c r="Z91" s="211" t="str">
        <f>IFERROR(__xludf.DUMMYFUNCTION("""COMPUTED_VALUE"""),"032692912")</f>
        <v>032692912</v>
      </c>
      <c r="AC91" s="211" t="str">
        <f>IFERROR(__xludf.DUMMYFUNCTION("""COMPUTED_VALUE"""),"9b941888")</f>
        <v>9b941888</v>
      </c>
      <c r="AD91" s="211" t="str">
        <f>IFERROR(__xludf.DUMMYFUNCTION("""COMPUTED_VALUE"""),"Mas Devi ( Parengan )")</f>
        <v>Mas Devi ( Parengan )</v>
      </c>
      <c r="AE91" s="211"/>
      <c r="AF91" s="211" t="b">
        <f>IFERROR(__xludf.DUMMYFUNCTION("""COMPUTED_VALUE"""),FALSE)</f>
        <v>0</v>
      </c>
      <c r="AG91" s="211" t="str">
        <f>IFERROR(__xludf.DUMMYFUNCTION("""COMPUTED_VALUE"""),"Kraton Krian Sidoarjo, ( sebelah tower listrik )")</f>
        <v>Kraton Krian Sidoarjo, ( sebelah tower listrik )</v>
      </c>
      <c r="AH91" s="211">
        <f>IFERROR(__xludf.DUMMYFUNCTION("""COMPUTED_VALUE"""),14.0)</f>
        <v>14</v>
      </c>
      <c r="AI91" s="211"/>
      <c r="AJ91" s="211"/>
      <c r="AL91" s="211" t="str">
        <f>IFERROR(__xludf.DUMMYFUNCTION("""COMPUTED_VALUE"""),"2260220")</f>
        <v>2260220</v>
      </c>
      <c r="AM91" s="211" t="str">
        <f>IFERROR(__xludf.DUMMYFUNCTION("""COMPUTED_VALUE"""),"102511371")</f>
        <v>102511371</v>
      </c>
      <c r="AN91" s="211" t="str">
        <f>IFERROR(__xludf.DUMMYFUNCTION("""COMPUTED_VALUE"""),"4c3a2a5f")</f>
        <v>4c3a2a5f</v>
      </c>
      <c r="AO91" s="211" t="str">
        <f>IFERROR(__xludf.DUMMYFUNCTION("""COMPUTED_VALUE"""),"CV Matahari Mitra Sukses")</f>
        <v>CV Matahari Mitra Sukses</v>
      </c>
      <c r="AP91" s="215">
        <f>IFERROR(__xludf.DUMMYFUNCTION("""COMPUTED_VALUE"""),46066.67196759259)</f>
        <v>46066.67197</v>
      </c>
      <c r="AQ91" s="218">
        <f>IFERROR(__xludf.DUMMYFUNCTION("""COMPUTED_VALUE"""),45932.0)</f>
        <v>45932</v>
      </c>
      <c r="AR91" s="211"/>
      <c r="AS91" s="211" t="str">
        <f>IFERROR(__xludf.DUMMYFUNCTION("""COMPUTED_VALUE"""),"9b941888")</f>
        <v>9b941888</v>
      </c>
      <c r="AT91" s="211" t="str">
        <f>IFERROR(__xludf.DUMMYFUNCTION("""COMPUTED_VALUE"""),"Mas Devi ( Parengan )")</f>
        <v>Mas Devi ( Parengan )</v>
      </c>
      <c r="AU91" s="211"/>
      <c r="AV91" s="211" t="b">
        <f>IFERROR(__xludf.DUMMYFUNCTION("""COMPUTED_VALUE"""),FALSE)</f>
        <v>0</v>
      </c>
      <c r="AW91" s="211" t="str">
        <f>IFERROR(__xludf.DUMMYFUNCTION("""COMPUTED_VALUE"""),"Kraton Krian Sidoarjo, ( sebelah tower listrik )")</f>
        <v>Kraton Krian Sidoarjo, ( sebelah tower listrik )</v>
      </c>
      <c r="AX91" s="211">
        <f>IFERROR(__xludf.DUMMYFUNCTION("""COMPUTED_VALUE"""),14.0)</f>
        <v>14</v>
      </c>
      <c r="AY91" s="211"/>
      <c r="AZ91" s="211"/>
      <c r="BB91" s="211"/>
      <c r="BC91" s="211"/>
      <c r="BD91" s="211"/>
      <c r="BE91" s="211"/>
      <c r="BF91" s="211"/>
      <c r="BG91" s="211"/>
      <c r="BH91" s="211"/>
      <c r="BI91" s="211"/>
    </row>
    <row r="92">
      <c r="A92" s="210" t="str">
        <f>IFERROR(__xludf.DUMMYFUNCTION("""COMPUTED_VALUE"""),"10240041")</f>
        <v>10240041</v>
      </c>
      <c r="B92" s="210" t="str">
        <f>IFERROR(__xludf.DUMMYFUNCTION("""COMPUTED_VALUE"""),"10240041")</f>
        <v>10240041</v>
      </c>
      <c r="C92" s="213">
        <f>IFERROR(__xludf.DUMMYFUNCTION("""COMPUTED_VALUE"""),45576.40138888889)</f>
        <v>45576.40139</v>
      </c>
      <c r="D92" s="211" t="str">
        <f>IFERROR(__xludf.DUMMYFUNCTION("""COMPUTED_VALUE"""),"8f5ebaea")</f>
        <v>8f5ebaea</v>
      </c>
      <c r="E92" s="211" t="str">
        <f>IFERROR(__xludf.DUMMYFUNCTION("""COMPUTED_VALUE"""),"PT Hua Zong Mesindo")</f>
        <v>PT Hua Zong Mesindo</v>
      </c>
      <c r="F92" s="211" t="str">
        <f>IFERROR(__xludf.DUMMYFUNCTION("""COMPUTED_VALUE"""),"8bdbe149")</f>
        <v>8bdbe149</v>
      </c>
      <c r="G92" s="211" t="str">
        <f>IFERROR(__xludf.DUMMYFUNCTION("""COMPUTED_VALUE"""),"Oksigen 6m3")</f>
        <v>Oksigen 6m3</v>
      </c>
      <c r="H92" s="214" t="str">
        <f>IFERROR(__xludf.DUMMYFUNCTION("""COMPUTED_VALUE"""),"OUT")</f>
        <v>OUT</v>
      </c>
      <c r="I92" s="214" t="str">
        <f>IFERROR(__xludf.DUMMYFUNCTION("""COMPUTED_VALUE"""),"NORMAL")</f>
        <v>NORMAL</v>
      </c>
      <c r="J92" s="211">
        <f>IFERROR(__xludf.DUMMYFUNCTION("""COMPUTED_VALUE"""),1.0)</f>
        <v>1</v>
      </c>
      <c r="K92" s="210" t="str">
        <f>IFERROR(__xludf.DUMMYFUNCTION("""COMPUTED_VALUE"""),"1188")</f>
        <v>1188</v>
      </c>
      <c r="L92" s="211">
        <f>IFERROR(__xludf.DUMMYFUNCTION("""COMPUTED_VALUE"""),60000.0)</f>
        <v>60000</v>
      </c>
      <c r="M92" s="211"/>
      <c r="N92" s="211"/>
      <c r="O92" s="211"/>
      <c r="Q92" s="210" t="str">
        <f>IFERROR(__xludf.DUMMYFUNCTION("""COMPUTED_VALUE"""),"6ec1a4ba")</f>
        <v>6ec1a4ba</v>
      </c>
      <c r="R92" s="210" t="str">
        <f>IFERROR(__xludf.DUMMYFUNCTION("""COMPUTED_VALUE"""),"6ec1a4ba")</f>
        <v>6ec1a4ba</v>
      </c>
      <c r="S92" s="211" t="str">
        <f>IFERROR(__xludf.DUMMYFUNCTION("""COMPUTED_VALUE"""),"f8335a53")</f>
        <v>f8335a53</v>
      </c>
      <c r="T92" s="211" t="str">
        <f>IFERROR(__xludf.DUMMYFUNCTION("""COMPUTED_VALUE"""),"CV RAGAM JAYA ENGINEERING")</f>
        <v>CV RAGAM JAYA ENGINEERING</v>
      </c>
      <c r="U92" s="215">
        <f>IFERROR(__xludf.DUMMYFUNCTION("""COMPUTED_VALUE"""),45591.555243055554)</f>
        <v>45591.55524</v>
      </c>
      <c r="V92" s="211" t="str">
        <f>IFERROR(__xludf.DUMMYFUNCTION("""COMPUTED_VALUE"""),"Jl. Balung wangon, Dadapkuning, Bulurejo, Kec. Benjeng, Kabupaten Gresik, Jawa Timur 61172")</f>
        <v>Jl. Balung wangon, Dadapkuning, Bulurejo, Kec. Benjeng, Kabupaten Gresik, Jawa Timur 61172</v>
      </c>
      <c r="W92" s="211" t="str">
        <f>IFERROR(__xludf.DUMMYFUNCTION("""COMPUTED_VALUE"""),"IN")</f>
        <v>IN</v>
      </c>
      <c r="X92" s="211"/>
      <c r="Z92" s="211" t="str">
        <f>IFERROR(__xludf.DUMMYFUNCTION("""COMPUTED_VALUE"""),"0326352911")</f>
        <v>0326352911</v>
      </c>
      <c r="AC92" s="211" t="str">
        <f>IFERROR(__xludf.DUMMYFUNCTION("""COMPUTED_VALUE"""),"86b29f43")</f>
        <v>86b29f43</v>
      </c>
      <c r="AD92" s="211" t="str">
        <f>IFERROR(__xludf.DUMMYFUNCTION("""COMPUTED_VALUE"""),"Bpk. Gaguk")</f>
        <v>Bpk. Gaguk</v>
      </c>
      <c r="AE92" s="211"/>
      <c r="AF92" s="211" t="b">
        <f>IFERROR(__xludf.DUMMYFUNCTION("""COMPUTED_VALUE"""),FALSE)</f>
        <v>0</v>
      </c>
      <c r="AG92" s="211" t="str">
        <f>IFERROR(__xludf.DUMMYFUNCTION("""COMPUTED_VALUE"""),"Rumah sakit Sidoarjo barat, krian sidoarjo")</f>
        <v>Rumah sakit Sidoarjo barat, krian sidoarjo</v>
      </c>
      <c r="AH92" s="211"/>
      <c r="AI92" s="211" t="str">
        <f>IFERROR(__xludf.DUMMYFUNCTION("""COMPUTED_VALUE"""),"082142922954")</f>
        <v>082142922954</v>
      </c>
      <c r="AJ92" s="211"/>
      <c r="AL92" s="211" t="str">
        <f>IFERROR(__xludf.DUMMYFUNCTION("""COMPUTED_VALUE"""),"2260220")</f>
        <v>2260220</v>
      </c>
      <c r="AM92" s="211" t="str">
        <f>IFERROR(__xludf.DUMMYFUNCTION("""COMPUTED_VALUE"""),"102521532")</f>
        <v>102521532</v>
      </c>
      <c r="AN92" s="211" t="str">
        <f>IFERROR(__xludf.DUMMYFUNCTION("""COMPUTED_VALUE"""),"4c3a2a5f")</f>
        <v>4c3a2a5f</v>
      </c>
      <c r="AO92" s="211" t="str">
        <f>IFERROR(__xludf.DUMMYFUNCTION("""COMPUTED_VALUE"""),"CV Matahari Mitra Sukses")</f>
        <v>CV Matahari Mitra Sukses</v>
      </c>
      <c r="AP92" s="215">
        <f>IFERROR(__xludf.DUMMYFUNCTION("""COMPUTED_VALUE"""),46066.67196759259)</f>
        <v>46066.67197</v>
      </c>
      <c r="AQ92" s="218">
        <f>IFERROR(__xludf.DUMMYFUNCTION("""COMPUTED_VALUE"""),45957.0)</f>
        <v>45957</v>
      </c>
      <c r="AR92" s="211"/>
      <c r="AS92" s="211" t="str">
        <f>IFERROR(__xludf.DUMMYFUNCTION("""COMPUTED_VALUE"""),"86b29f43")</f>
        <v>86b29f43</v>
      </c>
      <c r="AT92" s="211" t="str">
        <f>IFERROR(__xludf.DUMMYFUNCTION("""COMPUTED_VALUE"""),"Bpk. Gaguk")</f>
        <v>Bpk. Gaguk</v>
      </c>
      <c r="AU92" s="211"/>
      <c r="AV92" s="211" t="b">
        <f>IFERROR(__xludf.DUMMYFUNCTION("""COMPUTED_VALUE"""),FALSE)</f>
        <v>0</v>
      </c>
      <c r="AW92" s="211" t="str">
        <f>IFERROR(__xludf.DUMMYFUNCTION("""COMPUTED_VALUE"""),"Rumah sakit Sidoarjo barat, krian sidoarjo")</f>
        <v>Rumah sakit Sidoarjo barat, krian sidoarjo</v>
      </c>
      <c r="AX92" s="211"/>
      <c r="AY92" s="211" t="str">
        <f>IFERROR(__xludf.DUMMYFUNCTION("""COMPUTED_VALUE"""),"082142922954")</f>
        <v>082142922954</v>
      </c>
      <c r="AZ92" s="211"/>
      <c r="BB92" s="211"/>
      <c r="BC92" s="211"/>
      <c r="BD92" s="211"/>
      <c r="BE92" s="211"/>
      <c r="BF92" s="211"/>
      <c r="BG92" s="211"/>
      <c r="BH92" s="211"/>
      <c r="BI92" s="211"/>
    </row>
    <row r="93">
      <c r="A93" s="210" t="str">
        <f>IFERROR(__xludf.DUMMYFUNCTION("""COMPUTED_VALUE"""),"0356da67")</f>
        <v>0356da67</v>
      </c>
      <c r="B93" s="210" t="str">
        <f>IFERROR(__xludf.DUMMYFUNCTION("""COMPUTED_VALUE"""),"0356da67")</f>
        <v>0356da67</v>
      </c>
      <c r="C93" s="213">
        <f>IFERROR(__xludf.DUMMYFUNCTION("""COMPUTED_VALUE"""),45579.6137962963)</f>
        <v>45579.6138</v>
      </c>
      <c r="D93" s="211" t="str">
        <f>IFERROR(__xludf.DUMMYFUNCTION("""COMPUTED_VALUE"""),"e86baf3b")</f>
        <v>e86baf3b</v>
      </c>
      <c r="E93" s="211" t="str">
        <f>IFERROR(__xludf.DUMMYFUNCTION("""COMPUTED_VALUE"""),"PT GEMILANG CIPTA WAWASAN")</f>
        <v>PT GEMILANG CIPTA WAWASAN</v>
      </c>
      <c r="F93" s="211" t="str">
        <f>IFERROR(__xludf.DUMMYFUNCTION("""COMPUTED_VALUE"""),"8bdbe149")</f>
        <v>8bdbe149</v>
      </c>
      <c r="G93" s="211" t="str">
        <f>IFERROR(__xludf.DUMMYFUNCTION("""COMPUTED_VALUE"""),"Oksigen 6m3")</f>
        <v>Oksigen 6m3</v>
      </c>
      <c r="H93" s="214" t="str">
        <f>IFERROR(__xludf.DUMMYFUNCTION("""COMPUTED_VALUE"""),"IN")</f>
        <v>IN</v>
      </c>
      <c r="I93" s="214" t="str">
        <f>IFERROR(__xludf.DUMMYFUNCTION("""COMPUTED_VALUE"""),"EMPTY")</f>
        <v>EMPTY</v>
      </c>
      <c r="J93" s="211">
        <f>IFERROR(__xludf.DUMMYFUNCTION("""COMPUTED_VALUE"""),15.0)</f>
        <v>15</v>
      </c>
      <c r="K93" s="210" t="str">
        <f>IFERROR(__xludf.DUMMYFUNCTION("""COMPUTED_VALUE"""),"1179 1148 1178 1177 1176 1125 1145 1104 11113 11103 1112 11117 1111 11111 11101")</f>
        <v>1179 1148 1178 1177 1176 1125 1145 1104 11113 11103 1112 11117 1111 11111 11101</v>
      </c>
      <c r="L93" s="211">
        <f>IFERROR(__xludf.DUMMYFUNCTION("""COMPUTED_VALUE"""),0.0)</f>
        <v>0</v>
      </c>
      <c r="M93" s="211"/>
      <c r="N93" s="211"/>
      <c r="O93" s="211"/>
      <c r="Q93" s="210" t="str">
        <f>IFERROR(__xludf.DUMMYFUNCTION("""COMPUTED_VALUE"""),"10240059")</f>
        <v>10240059</v>
      </c>
      <c r="R93" s="210" t="str">
        <f>IFERROR(__xludf.DUMMYFUNCTION("""COMPUTED_VALUE"""),"10240059")</f>
        <v>10240059</v>
      </c>
      <c r="S93" s="211" t="str">
        <f>IFERROR(__xludf.DUMMYFUNCTION("""COMPUTED_VALUE"""),"4a01ccb6")</f>
        <v>4a01ccb6</v>
      </c>
      <c r="T93" s="211" t="str">
        <f>IFERROR(__xludf.DUMMYFUNCTION("""COMPUTED_VALUE"""),"CV ANUGERAH PERSADA TEKNIK")</f>
        <v>CV ANUGERAH PERSADA TEKNIK</v>
      </c>
      <c r="U93" s="215">
        <f>IFERROR(__xludf.DUMMYFUNCTION("""COMPUTED_VALUE"""),45593.455775462964)</f>
        <v>45593.45578</v>
      </c>
      <c r="V93" s="211" t="str">
        <f>IFERROR(__xludf.DUMMYFUNCTION("""COMPUTED_VALUE"""),"JL. Raya Trosobo, Blok 3/14, Taman Sidoarjo Lingkungan Industri Kecil, Sepanjang, Jawa Timur, 61257")</f>
        <v>JL. Raya Trosobo, Blok 3/14, Taman Sidoarjo Lingkungan Industri Kecil, Sepanjang, Jawa Timur, 61257</v>
      </c>
      <c r="W93" s="211" t="str">
        <f>IFERROR(__xludf.DUMMYFUNCTION("""COMPUTED_VALUE"""),"OUT")</f>
        <v>OUT</v>
      </c>
      <c r="X93" s="211"/>
      <c r="Z93" s="211" t="str">
        <f>IFERROR(__xludf.DUMMYFUNCTION("""COMPUTED_VALUE"""),"0326962910")</f>
        <v>0326962910</v>
      </c>
      <c r="AC93" s="211" t="str">
        <f>IFERROR(__xludf.DUMMYFUNCTION("""COMPUTED_VALUE"""),"faf71ae5")</f>
        <v>faf71ae5</v>
      </c>
      <c r="AD93" s="211" t="str">
        <f>IFERROR(__xludf.DUMMYFUNCTION("""COMPUTED_VALUE"""),"Bpk. Sampurna")</f>
        <v>Bpk. Sampurna</v>
      </c>
      <c r="AE93" s="211"/>
      <c r="AF93" s="211" t="b">
        <f>IFERROR(__xludf.DUMMYFUNCTION("""COMPUTED_VALUE"""),FALSE)</f>
        <v>0</v>
      </c>
      <c r="AG93" s="211" t="str">
        <f>IFERROR(__xludf.DUMMYFUNCTION("""COMPUTED_VALUE"""),"Jl. Bypass Krian KM.30 No.15, Kraton, Kec. Krian, Kabupaten Sidoarjo, Jawa Timur 61262")</f>
        <v>Jl. Bypass Krian KM.30 No.15, Kraton, Kec. Krian, Kabupaten Sidoarjo, Jawa Timur 61262</v>
      </c>
      <c r="AH93" s="211"/>
      <c r="AI93" s="211"/>
      <c r="AJ93" s="211"/>
      <c r="AL93" s="211" t="str">
        <f>IFERROR(__xludf.DUMMYFUNCTION("""COMPUTED_VALUE"""),"2260220")</f>
        <v>2260220</v>
      </c>
      <c r="AM93" s="211" t="str">
        <f>IFERROR(__xludf.DUMMYFUNCTION("""COMPUTED_VALUE"""),"102531575")</f>
        <v>102531575</v>
      </c>
      <c r="AN93" s="211" t="str">
        <f>IFERROR(__xludf.DUMMYFUNCTION("""COMPUTED_VALUE"""),"4c3a2a5f")</f>
        <v>4c3a2a5f</v>
      </c>
      <c r="AO93" s="211" t="str">
        <f>IFERROR(__xludf.DUMMYFUNCTION("""COMPUTED_VALUE"""),"CV Matahari Mitra Sukses")</f>
        <v>CV Matahari Mitra Sukses</v>
      </c>
      <c r="AP93" s="215">
        <f>IFERROR(__xludf.DUMMYFUNCTION("""COMPUTED_VALUE"""),46066.67196759259)</f>
        <v>46066.67197</v>
      </c>
      <c r="AQ93" s="218">
        <f>IFERROR(__xludf.DUMMYFUNCTION("""COMPUTED_VALUE"""),45962.0)</f>
        <v>45962</v>
      </c>
      <c r="AR93" s="211"/>
      <c r="AS93" s="211" t="str">
        <f>IFERROR(__xludf.DUMMYFUNCTION("""COMPUTED_VALUE"""),"faf71ae5")</f>
        <v>faf71ae5</v>
      </c>
      <c r="AT93" s="211" t="str">
        <f>IFERROR(__xludf.DUMMYFUNCTION("""COMPUTED_VALUE"""),"Bpk. Sampurna")</f>
        <v>Bpk. Sampurna</v>
      </c>
      <c r="AU93" s="211"/>
      <c r="AV93" s="211" t="b">
        <f>IFERROR(__xludf.DUMMYFUNCTION("""COMPUTED_VALUE"""),FALSE)</f>
        <v>0</v>
      </c>
      <c r="AW93" s="211" t="str">
        <f>IFERROR(__xludf.DUMMYFUNCTION("""COMPUTED_VALUE"""),"Jl. Bypass Krian KM.30 No.15, Kraton, Kec. Krian, Kabupaten Sidoarjo, Jawa Timur 61262")</f>
        <v>Jl. Bypass Krian KM.30 No.15, Kraton, Kec. Krian, Kabupaten Sidoarjo, Jawa Timur 61262</v>
      </c>
      <c r="AX93" s="211"/>
      <c r="AY93" s="211"/>
      <c r="AZ93" s="211"/>
      <c r="BB93" s="211"/>
      <c r="BC93" s="211"/>
      <c r="BD93" s="211"/>
      <c r="BE93" s="211"/>
      <c r="BF93" s="211"/>
      <c r="BG93" s="211"/>
      <c r="BH93" s="211"/>
      <c r="BI93" s="211"/>
    </row>
    <row r="94">
      <c r="A94" s="210" t="str">
        <f>IFERROR(__xludf.DUMMYFUNCTION("""COMPUTED_VALUE"""),"10240043")</f>
        <v>10240043</v>
      </c>
      <c r="B94" s="210" t="str">
        <f>IFERROR(__xludf.DUMMYFUNCTION("""COMPUTED_VALUE"""),"10240043")</f>
        <v>10240043</v>
      </c>
      <c r="C94" s="213">
        <f>IFERROR(__xludf.DUMMYFUNCTION("""COMPUTED_VALUE"""),45581.40361111111)</f>
        <v>45581.40361</v>
      </c>
      <c r="D94" s="211" t="str">
        <f>IFERROR(__xludf.DUMMYFUNCTION("""COMPUTED_VALUE"""),"37175874")</f>
        <v>37175874</v>
      </c>
      <c r="E94" s="211" t="str">
        <f>IFERROR(__xludf.DUMMYFUNCTION("""COMPUTED_VALUE"""),"PT TERAPAN NILAIOSILASI INDONESIA (TENO)")</f>
        <v>PT TERAPAN NILAIOSILASI INDONESIA (TENO)</v>
      </c>
      <c r="F94" s="211" t="str">
        <f>IFERROR(__xludf.DUMMYFUNCTION("""COMPUTED_VALUE"""),"ef306e54")</f>
        <v>ef306e54</v>
      </c>
      <c r="G94" s="211" t="str">
        <f>IFERROR(__xludf.DUMMYFUNCTION("""COMPUTED_VALUE"""),"Karbondioksida")</f>
        <v>Karbondioksida</v>
      </c>
      <c r="H94" s="214" t="str">
        <f>IFERROR(__xludf.DUMMYFUNCTION("""COMPUTED_VALUE"""),"OUT")</f>
        <v>OUT</v>
      </c>
      <c r="I94" s="214" t="str">
        <f>IFERROR(__xludf.DUMMYFUNCTION("""COMPUTED_VALUE"""),"NORMAL")</f>
        <v>NORMAL</v>
      </c>
      <c r="J94" s="211">
        <f>IFERROR(__xludf.DUMMYFUNCTION("""COMPUTED_VALUE"""),10.0)</f>
        <v>10</v>
      </c>
      <c r="K94" s="210" t="str">
        <f>IFERROR(__xludf.DUMMYFUNCTION("""COMPUTED_VALUE"""),"6735 6787 6728 6911 6748 6765 6948 6730 6840 6678")</f>
        <v>6735 6787 6728 6911 6748 6765 6948 6730 6840 6678</v>
      </c>
      <c r="L94" s="211">
        <f>IFERROR(__xludf.DUMMYFUNCTION("""COMPUTED_VALUE"""),140000.0)</f>
        <v>140000</v>
      </c>
      <c r="M94" s="211"/>
      <c r="N94" s="211"/>
      <c r="O94" s="211"/>
      <c r="Q94" s="210" t="str">
        <f>IFERROR(__xludf.DUMMYFUNCTION("""COMPUTED_VALUE"""),"10240060")</f>
        <v>10240060</v>
      </c>
      <c r="R94" s="210" t="str">
        <f>IFERROR(__xludf.DUMMYFUNCTION("""COMPUTED_VALUE"""),"10240060")</f>
        <v>10240060</v>
      </c>
      <c r="S94" s="211" t="str">
        <f>IFERROR(__xludf.DUMMYFUNCTION("""COMPUTED_VALUE"""),"7b9d8eba")</f>
        <v>7b9d8eba</v>
      </c>
      <c r="T94" s="211" t="str">
        <f>IFERROR(__xludf.DUMMYFUNCTION("""COMPUTED_VALUE"""),"PT PELANGI INDOKARYA")</f>
        <v>PT PELANGI INDOKARYA</v>
      </c>
      <c r="U94" s="215">
        <f>IFERROR(__xludf.DUMMYFUNCTION("""COMPUTED_VALUE"""),45593.45738425926)</f>
        <v>45593.45738</v>
      </c>
      <c r="V9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94" s="211" t="str">
        <f>IFERROR(__xludf.DUMMYFUNCTION("""COMPUTED_VALUE"""),"OUT")</f>
        <v>OUT</v>
      </c>
      <c r="X94" s="211"/>
      <c r="Z94" s="211" t="str">
        <f>IFERROR(__xludf.DUMMYFUNCTION("""COMPUTED_VALUE"""),"0326342907")</f>
        <v>0326342907</v>
      </c>
      <c r="AC94" s="211" t="str">
        <f>IFERROR(__xludf.DUMMYFUNCTION("""COMPUTED_VALUE"""),"a1508027")</f>
        <v>a1508027</v>
      </c>
      <c r="AD94" s="211" t="str">
        <f>IFERROR(__xludf.DUMMYFUNCTION("""COMPUTED_VALUE"""),"Agus Budiono")</f>
        <v>Agus Budiono</v>
      </c>
      <c r="AE94" s="211"/>
      <c r="AF94" s="211" t="b">
        <f>IFERROR(__xludf.DUMMYFUNCTION("""COMPUTED_VALUE"""),FALSE)</f>
        <v>0</v>
      </c>
      <c r="AG94" s="211" t="str">
        <f>IFERROR(__xludf.DUMMYFUNCTION("""COMPUTED_VALUE"""),"Kraton RT.13 RW. 03 Kraton Krian Sidoarjo")</f>
        <v>Kraton RT.13 RW. 03 Kraton Krian Sidoarjo</v>
      </c>
      <c r="AH94" s="211">
        <f>IFERROR(__xludf.DUMMYFUNCTION("""COMPUTED_VALUE"""),14.0)</f>
        <v>14</v>
      </c>
      <c r="AI94" s="211" t="str">
        <f>IFERROR(__xludf.DUMMYFUNCTION("""COMPUTED_VALUE"""),"081259744487")</f>
        <v>081259744487</v>
      </c>
      <c r="AJ94" s="211"/>
      <c r="AL94" s="211" t="str">
        <f>IFERROR(__xludf.DUMMYFUNCTION("""COMPUTED_VALUE"""),"2260217")</f>
        <v>2260217</v>
      </c>
      <c r="AM94" s="211" t="str">
        <f>IFERROR(__xludf.DUMMYFUNCTION("""COMPUTED_VALUE"""),"102511371")</f>
        <v>102511371</v>
      </c>
      <c r="AN94" s="211" t="str">
        <f>IFERROR(__xludf.DUMMYFUNCTION("""COMPUTED_VALUE"""),"4c3a2a5f")</f>
        <v>4c3a2a5f</v>
      </c>
      <c r="AO94" s="211" t="str">
        <f>IFERROR(__xludf.DUMMYFUNCTION("""COMPUTED_VALUE"""),"CV Matahari Mitra Sukses")</f>
        <v>CV Matahari Mitra Sukses</v>
      </c>
      <c r="AP94" s="215">
        <f>IFERROR(__xludf.DUMMYFUNCTION("""COMPUTED_VALUE"""),46066.67155092592)</f>
        <v>46066.67155</v>
      </c>
      <c r="AQ94" s="218">
        <f>IFERROR(__xludf.DUMMYFUNCTION("""COMPUTED_VALUE"""),45932.0)</f>
        <v>45932</v>
      </c>
      <c r="AR94" s="211"/>
      <c r="AS94" s="211" t="str">
        <f>IFERROR(__xludf.DUMMYFUNCTION("""COMPUTED_VALUE"""),"a1508027")</f>
        <v>a1508027</v>
      </c>
      <c r="AT94" s="211" t="str">
        <f>IFERROR(__xludf.DUMMYFUNCTION("""COMPUTED_VALUE"""),"Agus Budiono")</f>
        <v>Agus Budiono</v>
      </c>
      <c r="AU94" s="211"/>
      <c r="AV94" s="211" t="b">
        <f>IFERROR(__xludf.DUMMYFUNCTION("""COMPUTED_VALUE"""),FALSE)</f>
        <v>0</v>
      </c>
      <c r="AW94" s="211" t="str">
        <f>IFERROR(__xludf.DUMMYFUNCTION("""COMPUTED_VALUE"""),"Kraton RT.13 RW. 03 Kraton Krian Sidoarjo")</f>
        <v>Kraton RT.13 RW. 03 Kraton Krian Sidoarjo</v>
      </c>
      <c r="AX94" s="211">
        <f>IFERROR(__xludf.DUMMYFUNCTION("""COMPUTED_VALUE"""),14.0)</f>
        <v>14</v>
      </c>
      <c r="AY94" s="211" t="str">
        <f>IFERROR(__xludf.DUMMYFUNCTION("""COMPUTED_VALUE"""),"081259744487")</f>
        <v>081259744487</v>
      </c>
      <c r="AZ94" s="211"/>
      <c r="BB94" s="211"/>
      <c r="BC94" s="211"/>
      <c r="BD94" s="211"/>
      <c r="BE94" s="211"/>
      <c r="BF94" s="211"/>
      <c r="BG94" s="211"/>
      <c r="BH94" s="211"/>
      <c r="BI94" s="211"/>
    </row>
    <row r="95">
      <c r="A95" s="210" t="str">
        <f>IFERROR(__xludf.DUMMYFUNCTION("""COMPUTED_VALUE"""),"10240044")</f>
        <v>10240044</v>
      </c>
      <c r="B95" s="210" t="str">
        <f>IFERROR(__xludf.DUMMYFUNCTION("""COMPUTED_VALUE"""),"10240044")</f>
        <v>10240044</v>
      </c>
      <c r="C95" s="213">
        <f>IFERROR(__xludf.DUMMYFUNCTION("""COMPUTED_VALUE"""),45582.5153587963)</f>
        <v>45582.51536</v>
      </c>
      <c r="D95" s="211" t="str">
        <f>IFERROR(__xludf.DUMMYFUNCTION("""COMPUTED_VALUE"""),"e86baf3b")</f>
        <v>e86baf3b</v>
      </c>
      <c r="E95" s="211" t="str">
        <f>IFERROR(__xludf.DUMMYFUNCTION("""COMPUTED_VALUE"""),"PT GEMILANG CIPTA WAWASAN")</f>
        <v>PT GEMILANG CIPTA WAWASAN</v>
      </c>
      <c r="F95" s="211" t="str">
        <f>IFERROR(__xludf.DUMMYFUNCTION("""COMPUTED_VALUE"""),"8bdbe149")</f>
        <v>8bdbe149</v>
      </c>
      <c r="G95" s="211" t="str">
        <f>IFERROR(__xludf.DUMMYFUNCTION("""COMPUTED_VALUE"""),"Oksigen 6m3")</f>
        <v>Oksigen 6m3</v>
      </c>
      <c r="H95" s="214" t="str">
        <f>IFERROR(__xludf.DUMMYFUNCTION("""COMPUTED_VALUE"""),"OUT")</f>
        <v>OUT</v>
      </c>
      <c r="I95" s="214" t="str">
        <f>IFERROR(__xludf.DUMMYFUNCTION("""COMPUTED_VALUE"""),"NORMAL")</f>
        <v>NORMAL</v>
      </c>
      <c r="J95" s="211">
        <f>IFERROR(__xludf.DUMMYFUNCTION("""COMPUTED_VALUE"""),10.0)</f>
        <v>10</v>
      </c>
      <c r="K95" s="210" t="str">
        <f>IFERROR(__xludf.DUMMYFUNCTION("""COMPUTED_VALUE"""),"1183 1135 1104 11116 11108 1195 1194 1193 11100 11117")</f>
        <v>1183 1135 1104 11116 11108 1195 1194 1193 11100 11117</v>
      </c>
      <c r="L95" s="211">
        <f>IFERROR(__xludf.DUMMYFUNCTION("""COMPUTED_VALUE"""),60000.0)</f>
        <v>60000</v>
      </c>
      <c r="M95" s="211"/>
      <c r="N95" s="211"/>
      <c r="O95" s="211"/>
      <c r="Q95" s="210" t="str">
        <f>IFERROR(__xludf.DUMMYFUNCTION("""COMPUTED_VALUE"""),"d25cd96d")</f>
        <v>d25cd96d</v>
      </c>
      <c r="R95" s="210" t="str">
        <f>IFERROR(__xludf.DUMMYFUNCTION("""COMPUTED_VALUE"""),"d25cd96d")</f>
        <v>d25cd96d</v>
      </c>
      <c r="S95" s="211" t="str">
        <f>IFERROR(__xludf.DUMMYFUNCTION("""COMPUTED_VALUE"""),"4ec68cf6")</f>
        <v>4ec68cf6</v>
      </c>
      <c r="T95" s="211" t="str">
        <f>IFERROR(__xludf.DUMMYFUNCTION("""COMPUTED_VALUE"""),"CV Sido Mukti Karya")</f>
        <v>CV Sido Mukti Karya</v>
      </c>
      <c r="U95" s="215">
        <f>IFERROR(__xludf.DUMMYFUNCTION("""COMPUTED_VALUE"""),45593.63902777778)</f>
        <v>45593.63903</v>
      </c>
      <c r="V95" s="211" t="str">
        <f>IFERROR(__xludf.DUMMYFUNCTION("""COMPUTED_VALUE"""),"Pergudangan Center Point no A3, Kemangsen")</f>
        <v>Pergudangan Center Point no A3, Kemangsen</v>
      </c>
      <c r="W95" s="211" t="str">
        <f>IFERROR(__xludf.DUMMYFUNCTION("""COMPUTED_VALUE"""),"IN")</f>
        <v>IN</v>
      </c>
      <c r="X95" s="211"/>
      <c r="Z95" s="211" t="str">
        <f>IFERROR(__xludf.DUMMYFUNCTION("""COMPUTED_VALUE"""),"0326272906")</f>
        <v>0326272906</v>
      </c>
      <c r="AC95" s="211" t="str">
        <f>IFERROR(__xludf.DUMMYFUNCTION("""COMPUTED_VALUE"""),"f8a982a4")</f>
        <v>f8a982a4</v>
      </c>
      <c r="AD95" s="211" t="str">
        <f>IFERROR(__xludf.DUMMYFUNCTION("""COMPUTED_VALUE"""),"Bpk. Nasir")</f>
        <v>Bpk. Nasir</v>
      </c>
      <c r="AE95" s="211"/>
      <c r="AF95" s="211" t="b">
        <f>IFERROR(__xludf.DUMMYFUNCTION("""COMPUTED_VALUE"""),FALSE)</f>
        <v>0</v>
      </c>
      <c r="AG95" s="211" t="str">
        <f>IFERROR(__xludf.DUMMYFUNCTION("""COMPUTED_VALUE"""),"JL Raya Pacet, Dsn. Janti Ds. Jatilangkung RT.01 RW. 04. Kabupaten. Mojokerto Pungging, Jawa Timur")</f>
        <v>JL Raya Pacet, Dsn. Janti Ds. Jatilangkung RT.01 RW. 04. Kabupaten. Mojokerto Pungging, Jawa Timur</v>
      </c>
      <c r="AH95" s="211">
        <f>IFERROR(__xludf.DUMMYFUNCTION("""COMPUTED_VALUE"""),14.0)</f>
        <v>14</v>
      </c>
      <c r="AI95" s="211" t="str">
        <f>IFERROR(__xludf.DUMMYFUNCTION("""COMPUTED_VALUE"""),"082143077782")</f>
        <v>082143077782</v>
      </c>
      <c r="AJ95" s="215">
        <f>IFERROR(__xludf.DUMMYFUNCTION("""COMPUTED_VALUE"""),45966.493055555555)</f>
        <v>45966.49306</v>
      </c>
      <c r="AL95" s="211" t="str">
        <f>IFERROR(__xludf.DUMMYFUNCTION("""COMPUTED_VALUE"""),"2260217")</f>
        <v>2260217</v>
      </c>
      <c r="AM95" s="211" t="str">
        <f>IFERROR(__xludf.DUMMYFUNCTION("""COMPUTED_VALUE"""),"102521532")</f>
        <v>102521532</v>
      </c>
      <c r="AN95" s="211" t="str">
        <f>IFERROR(__xludf.DUMMYFUNCTION("""COMPUTED_VALUE"""),"4c3a2a5f")</f>
        <v>4c3a2a5f</v>
      </c>
      <c r="AO95" s="211" t="str">
        <f>IFERROR(__xludf.DUMMYFUNCTION("""COMPUTED_VALUE"""),"CV Matahari Mitra Sukses")</f>
        <v>CV Matahari Mitra Sukses</v>
      </c>
      <c r="AP95" s="215">
        <f>IFERROR(__xludf.DUMMYFUNCTION("""COMPUTED_VALUE"""),46066.67155092592)</f>
        <v>46066.67155</v>
      </c>
      <c r="AQ95" s="218">
        <f>IFERROR(__xludf.DUMMYFUNCTION("""COMPUTED_VALUE"""),45957.0)</f>
        <v>45957</v>
      </c>
      <c r="AR95" s="211"/>
      <c r="AS95" s="211" t="str">
        <f>IFERROR(__xludf.DUMMYFUNCTION("""COMPUTED_VALUE"""),"f8a982a4")</f>
        <v>f8a982a4</v>
      </c>
      <c r="AT95" s="211" t="str">
        <f>IFERROR(__xludf.DUMMYFUNCTION("""COMPUTED_VALUE"""),"Bpk. Nasir")</f>
        <v>Bpk. Nasir</v>
      </c>
      <c r="AU95" s="211"/>
      <c r="AV95" s="211" t="b">
        <f>IFERROR(__xludf.DUMMYFUNCTION("""COMPUTED_VALUE"""),FALSE)</f>
        <v>0</v>
      </c>
      <c r="AW95" s="211" t="str">
        <f>IFERROR(__xludf.DUMMYFUNCTION("""COMPUTED_VALUE"""),"JL Raya Pacet, Dsn. Janti Ds. Jatilangkung RT.01 RW. 04. Kabupaten. Mojokerto Pungging, Jawa Timur")</f>
        <v>JL Raya Pacet, Dsn. Janti Ds. Jatilangkung RT.01 RW. 04. Kabupaten. Mojokerto Pungging, Jawa Timur</v>
      </c>
      <c r="AX95" s="211">
        <f>IFERROR(__xludf.DUMMYFUNCTION("""COMPUTED_VALUE"""),14.0)</f>
        <v>14</v>
      </c>
      <c r="AY95" s="211" t="str">
        <f>IFERROR(__xludf.DUMMYFUNCTION("""COMPUTED_VALUE"""),"082143077782")</f>
        <v>082143077782</v>
      </c>
      <c r="AZ95" s="215">
        <f>IFERROR(__xludf.DUMMYFUNCTION("""COMPUTED_VALUE"""),45966.493055555555)</f>
        <v>45966.49306</v>
      </c>
      <c r="BB95" s="211"/>
      <c r="BC95" s="211"/>
      <c r="BD95" s="211"/>
      <c r="BE95" s="211"/>
      <c r="BF95" s="211"/>
      <c r="BG95" s="211"/>
      <c r="BH95" s="211"/>
      <c r="BI95" s="211"/>
    </row>
    <row r="96">
      <c r="A96" s="210" t="str">
        <f>IFERROR(__xludf.DUMMYFUNCTION("""COMPUTED_VALUE"""),"10240044")</f>
        <v>10240044</v>
      </c>
      <c r="B96" s="210" t="str">
        <f>IFERROR(__xludf.DUMMYFUNCTION("""COMPUTED_VALUE"""),"10240044")</f>
        <v>10240044</v>
      </c>
      <c r="C96" s="213">
        <f>IFERROR(__xludf.DUMMYFUNCTION("""COMPUTED_VALUE"""),45582.51689814815)</f>
        <v>45582.5169</v>
      </c>
      <c r="D96" s="211" t="str">
        <f>IFERROR(__xludf.DUMMYFUNCTION("""COMPUTED_VALUE"""),"e86baf3b")</f>
        <v>e86baf3b</v>
      </c>
      <c r="E96" s="211" t="str">
        <f>IFERROR(__xludf.DUMMYFUNCTION("""COMPUTED_VALUE"""),"PT GEMILANG CIPTA WAWASAN")</f>
        <v>PT GEMILANG CIPTA WAWASAN</v>
      </c>
      <c r="F96" s="211" t="str">
        <f>IFERROR(__xludf.DUMMYFUNCTION("""COMPUTED_VALUE"""),"be525f3b")</f>
        <v>be525f3b</v>
      </c>
      <c r="G96" s="211" t="str">
        <f>IFERROR(__xludf.DUMMYFUNCTION("""COMPUTED_VALUE"""),"LPG 12kg")</f>
        <v>LPG 12kg</v>
      </c>
      <c r="H96" s="214" t="str">
        <f>IFERROR(__xludf.DUMMYFUNCTION("""COMPUTED_VALUE"""),"OUT")</f>
        <v>OUT</v>
      </c>
      <c r="I96" s="214" t="str">
        <f>IFERROR(__xludf.DUMMYFUNCTION("""COMPUTED_VALUE"""),"NORMAL")</f>
        <v>NORMAL</v>
      </c>
      <c r="J96" s="211">
        <f>IFERROR(__xludf.DUMMYFUNCTION("""COMPUTED_VALUE"""),3.0)</f>
        <v>3</v>
      </c>
      <c r="K96" s="211"/>
      <c r="L96" s="211">
        <f>IFERROR(__xludf.DUMMYFUNCTION("""COMPUTED_VALUE"""),210000.0)</f>
        <v>210000</v>
      </c>
      <c r="M96" s="211"/>
      <c r="N96" s="211"/>
      <c r="O96" s="211"/>
      <c r="Q96" s="210" t="str">
        <f>IFERROR(__xludf.DUMMYFUNCTION("""COMPUTED_VALUE"""),"2b736a40")</f>
        <v>2b736a40</v>
      </c>
      <c r="R96" s="210" t="str">
        <f>IFERROR(__xludf.DUMMYFUNCTION("""COMPUTED_VALUE"""),"2b736a40")</f>
        <v>2b736a40</v>
      </c>
      <c r="S96" s="211" t="str">
        <f>IFERROR(__xludf.DUMMYFUNCTION("""COMPUTED_VALUE"""),"72d9a70c")</f>
        <v>72d9a70c</v>
      </c>
      <c r="T96" s="211" t="str">
        <f>IFERROR(__xludf.DUMMYFUNCTION("""COMPUTED_VALUE"""),"PT Beton Prima Indonesia")</f>
        <v>PT Beton Prima Indonesia</v>
      </c>
      <c r="U96" s="215">
        <f>IFERROR(__xludf.DUMMYFUNCTION("""COMPUTED_VALUE"""),45593.6397337963)</f>
        <v>45593.63973</v>
      </c>
      <c r="V96" s="211" t="str">
        <f>IFERROR(__xludf.DUMMYFUNCTION("""COMPUTED_VALUE"""),"KH. Ahmad Dahlan KM.2 Ds. Sumberwono, Kec. Bangsal, Kab. Mojokerto 61381")</f>
        <v>KH. Ahmad Dahlan KM.2 Ds. Sumberwono, Kec. Bangsal, Kab. Mojokerto 61381</v>
      </c>
      <c r="W96" s="211" t="str">
        <f>IFERROR(__xludf.DUMMYFUNCTION("""COMPUTED_VALUE"""),"IN")</f>
        <v>IN</v>
      </c>
      <c r="X96" s="211"/>
      <c r="Z96" s="211" t="str">
        <f>IFERROR(__xludf.DUMMYFUNCTION("""COMPUTED_VALUE"""),"0326312905")</f>
        <v>0326312905</v>
      </c>
      <c r="AC96" s="211" t="str">
        <f>IFERROR(__xludf.DUMMYFUNCTION("""COMPUTED_VALUE"""),"734c6d17")</f>
        <v>734c6d17</v>
      </c>
      <c r="AD96" s="211" t="str">
        <f>IFERROR(__xludf.DUMMYFUNCTION("""COMPUTED_VALUE"""),"Bapak Ainol Yaqin ( Bpk. Ibnu )")</f>
        <v>Bapak Ainol Yaqin ( Bpk. Ibnu )</v>
      </c>
      <c r="AE96" s="211"/>
      <c r="AF96" s="211" t="b">
        <f>IFERROR(__xludf.DUMMYFUNCTION("""COMPUTED_VALUE"""),FALSE)</f>
        <v>0</v>
      </c>
      <c r="AG96" s="211" t="str">
        <f>IFERROR(__xludf.DUMMYFUNCTION("""COMPUTED_VALUE"""),"Tanggul Wetan, Tanggul, Kec. Wonoayu, Kabupaten Sidoarjo, Jawa Timur")</f>
        <v>Tanggul Wetan, Tanggul, Kec. Wonoayu, Kabupaten Sidoarjo, Jawa Timur</v>
      </c>
      <c r="AH96" s="211">
        <f>IFERROR(__xludf.DUMMYFUNCTION("""COMPUTED_VALUE"""),14.0)</f>
        <v>14</v>
      </c>
      <c r="AI96" s="211" t="str">
        <f>IFERROR(__xludf.DUMMYFUNCTION("""COMPUTED_VALUE"""),"081805858555")</f>
        <v>081805858555</v>
      </c>
      <c r="AJ96" s="211"/>
      <c r="AL96" s="211" t="str">
        <f>IFERROR(__xludf.DUMMYFUNCTION("""COMPUTED_VALUE"""),"2260217")</f>
        <v>2260217</v>
      </c>
      <c r="AM96" s="211" t="str">
        <f>IFERROR(__xludf.DUMMYFUNCTION("""COMPUTED_VALUE"""),"102531575")</f>
        <v>102531575</v>
      </c>
      <c r="AN96" s="211" t="str">
        <f>IFERROR(__xludf.DUMMYFUNCTION("""COMPUTED_VALUE"""),"4c3a2a5f")</f>
        <v>4c3a2a5f</v>
      </c>
      <c r="AO96" s="211" t="str">
        <f>IFERROR(__xludf.DUMMYFUNCTION("""COMPUTED_VALUE"""),"CV Matahari Mitra Sukses")</f>
        <v>CV Matahari Mitra Sukses</v>
      </c>
      <c r="AP96" s="215">
        <f>IFERROR(__xludf.DUMMYFUNCTION("""COMPUTED_VALUE"""),46066.67155092592)</f>
        <v>46066.67155</v>
      </c>
      <c r="AQ96" s="218">
        <f>IFERROR(__xludf.DUMMYFUNCTION("""COMPUTED_VALUE"""),45962.0)</f>
        <v>45962</v>
      </c>
      <c r="AR96" s="211"/>
      <c r="AS96" s="211" t="str">
        <f>IFERROR(__xludf.DUMMYFUNCTION("""COMPUTED_VALUE"""),"734c6d17")</f>
        <v>734c6d17</v>
      </c>
      <c r="AT96" s="211" t="str">
        <f>IFERROR(__xludf.DUMMYFUNCTION("""COMPUTED_VALUE"""),"Bapak Ainol Yaqin ( Bpk. Ibnu )")</f>
        <v>Bapak Ainol Yaqin ( Bpk. Ibnu )</v>
      </c>
      <c r="AU96" s="211"/>
      <c r="AV96" s="211" t="b">
        <f>IFERROR(__xludf.DUMMYFUNCTION("""COMPUTED_VALUE"""),FALSE)</f>
        <v>0</v>
      </c>
      <c r="AW96" s="211" t="str">
        <f>IFERROR(__xludf.DUMMYFUNCTION("""COMPUTED_VALUE"""),"Tanggul Wetan, Tanggul, Kec. Wonoayu, Kabupaten Sidoarjo, Jawa Timur")</f>
        <v>Tanggul Wetan, Tanggul, Kec. Wonoayu, Kabupaten Sidoarjo, Jawa Timur</v>
      </c>
      <c r="AX96" s="211">
        <f>IFERROR(__xludf.DUMMYFUNCTION("""COMPUTED_VALUE"""),14.0)</f>
        <v>14</v>
      </c>
      <c r="AY96" s="211" t="str">
        <f>IFERROR(__xludf.DUMMYFUNCTION("""COMPUTED_VALUE"""),"081805858555")</f>
        <v>081805858555</v>
      </c>
      <c r="AZ96" s="211"/>
      <c r="BB96" s="211"/>
      <c r="BC96" s="211"/>
      <c r="BD96" s="211"/>
      <c r="BE96" s="211"/>
      <c r="BF96" s="211"/>
      <c r="BG96" s="211"/>
      <c r="BH96" s="211"/>
      <c r="BI96" s="211"/>
    </row>
    <row r="97">
      <c r="A97" s="210" t="str">
        <f>IFERROR(__xludf.DUMMYFUNCTION("""COMPUTED_VALUE"""),"9e54f654")</f>
        <v>9e54f654</v>
      </c>
      <c r="B97" s="210" t="str">
        <f>IFERROR(__xludf.DUMMYFUNCTION("""COMPUTED_VALUE"""),"9e54f654")</f>
        <v>9e54f654</v>
      </c>
      <c r="C97" s="213">
        <f>IFERROR(__xludf.DUMMYFUNCTION("""COMPUTED_VALUE"""),45582.605775462966)</f>
        <v>45582.60578</v>
      </c>
      <c r="D97" s="211" t="str">
        <f>IFERROR(__xludf.DUMMYFUNCTION("""COMPUTED_VALUE"""),"2d88931c")</f>
        <v>2d88931c</v>
      </c>
      <c r="E97" s="211" t="str">
        <f>IFERROR(__xludf.DUMMYFUNCTION("""COMPUTED_VALUE"""),"PT Dunia Berkat Marga Mulya")</f>
        <v>PT Dunia Berkat Marga Mulya</v>
      </c>
      <c r="F97" s="211" t="str">
        <f>IFERROR(__xludf.DUMMYFUNCTION("""COMPUTED_VALUE"""),"8bdbe149")</f>
        <v>8bdbe149</v>
      </c>
      <c r="G97" s="211" t="str">
        <f>IFERROR(__xludf.DUMMYFUNCTION("""COMPUTED_VALUE"""),"Oksigen 6m3")</f>
        <v>Oksigen 6m3</v>
      </c>
      <c r="H97" s="214" t="str">
        <f>IFERROR(__xludf.DUMMYFUNCTION("""COMPUTED_VALUE"""),"IN")</f>
        <v>IN</v>
      </c>
      <c r="I97" s="214" t="str">
        <f>IFERROR(__xludf.DUMMYFUNCTION("""COMPUTED_VALUE"""),"EMPTY")</f>
        <v>EMPTY</v>
      </c>
      <c r="J97" s="211">
        <f>IFERROR(__xludf.DUMMYFUNCTION("""COMPUTED_VALUE"""),2.0)</f>
        <v>2</v>
      </c>
      <c r="K97" s="210" t="str">
        <f>IFERROR(__xludf.DUMMYFUNCTION("""COMPUTED_VALUE"""),"1180 1157")</f>
        <v>1180 1157</v>
      </c>
      <c r="L97" s="211"/>
      <c r="M97" s="211"/>
      <c r="N97" s="211"/>
      <c r="O97" s="211"/>
      <c r="Q97" s="210" t="str">
        <f>IFERROR(__xludf.DUMMYFUNCTION("""COMPUTED_VALUE"""),"4324ea39")</f>
        <v>4324ea39</v>
      </c>
      <c r="R97" s="210" t="str">
        <f>IFERROR(__xludf.DUMMYFUNCTION("""COMPUTED_VALUE"""),"4324ea39")</f>
        <v>4324ea39</v>
      </c>
      <c r="S97" s="211" t="str">
        <f>IFERROR(__xludf.DUMMYFUNCTION("""COMPUTED_VALUE"""),"7b9d8eba")</f>
        <v>7b9d8eba</v>
      </c>
      <c r="T97" s="211" t="str">
        <f>IFERROR(__xludf.DUMMYFUNCTION("""COMPUTED_VALUE"""),"PT PELANGI INDOKARYA")</f>
        <v>PT PELANGI INDOKARYA</v>
      </c>
      <c r="U97" s="215">
        <f>IFERROR(__xludf.DUMMYFUNCTION("""COMPUTED_VALUE"""),45593.69825231482)</f>
        <v>45593.69825</v>
      </c>
      <c r="V9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97" s="211" t="str">
        <f>IFERROR(__xludf.DUMMYFUNCTION("""COMPUTED_VALUE"""),"IN")</f>
        <v>IN</v>
      </c>
      <c r="X97" s="211"/>
      <c r="Z97" s="211" t="str">
        <f>IFERROR(__xludf.DUMMYFUNCTION("""COMPUTED_VALUE"""),"0326192904")</f>
        <v>0326192904</v>
      </c>
      <c r="AC97" s="211" t="str">
        <f>IFERROR(__xludf.DUMMYFUNCTION("""COMPUTED_VALUE"""),"9e66ced9")</f>
        <v>9e66ced9</v>
      </c>
      <c r="AD97" s="211" t="str">
        <f>IFERROR(__xludf.DUMMYFUNCTION("""COMPUTED_VALUE"""),"Bapak Angga")</f>
        <v>Bapak Angga</v>
      </c>
      <c r="AE97" s="211"/>
      <c r="AF97" s="211" t="b">
        <f>IFERROR(__xludf.DUMMYFUNCTION("""COMPUTED_VALUE"""),FALSE)</f>
        <v>0</v>
      </c>
      <c r="AG97" s="211" t="str">
        <f>IFERROR(__xludf.DUMMYFUNCTION("""COMPUTED_VALUE"""),"Jl. Bypass Krian No.2, Tundungan, Sidomojo, Kec. Krian, Kabupaten Sidoarjo, Jawa Timur 61262")</f>
        <v>Jl. Bypass Krian No.2, Tundungan, Sidomojo, Kec. Krian, Kabupaten Sidoarjo, Jawa Timur 61262</v>
      </c>
      <c r="AH97" s="211">
        <f>IFERROR(__xludf.DUMMYFUNCTION("""COMPUTED_VALUE"""),30.0)</f>
        <v>30</v>
      </c>
      <c r="AI97" s="211" t="str">
        <f>IFERROR(__xludf.DUMMYFUNCTION("""COMPUTED_VALUE"""),"081226429199")</f>
        <v>081226429199</v>
      </c>
      <c r="AJ97" s="215">
        <f>IFERROR(__xludf.DUMMYFUNCTION("""COMPUTED_VALUE"""),45968.60138888889)</f>
        <v>45968.60139</v>
      </c>
      <c r="AL97" s="211" t="str">
        <f>IFERROR(__xludf.DUMMYFUNCTION("""COMPUTED_VALUE"""),"2260215")</f>
        <v>2260215</v>
      </c>
      <c r="AM97" s="211" t="str">
        <f>IFERROR(__xludf.DUMMYFUNCTION("""COMPUTED_VALUE"""),"0126202380")</f>
        <v>0126202380</v>
      </c>
      <c r="AN97" s="211" t="str">
        <f>IFERROR(__xludf.DUMMYFUNCTION("""COMPUTED_VALUE"""),"182fb0fe")</f>
        <v>182fb0fe</v>
      </c>
      <c r="AO97" s="211" t="str">
        <f>IFERROR(__xludf.DUMMYFUNCTION("""COMPUTED_VALUE"""),"PT Amtech")</f>
        <v>PT Amtech</v>
      </c>
      <c r="AP97" s="215">
        <f>IFERROR(__xludf.DUMMYFUNCTION("""COMPUTED_VALUE"""),46066.5528125)</f>
        <v>46066.55281</v>
      </c>
      <c r="AQ97" s="218">
        <f>IFERROR(__xludf.DUMMYFUNCTION("""COMPUTED_VALUE"""),46050.0)</f>
        <v>46050</v>
      </c>
      <c r="AR97" s="211"/>
      <c r="AS97" s="211" t="str">
        <f>IFERROR(__xludf.DUMMYFUNCTION("""COMPUTED_VALUE"""),"9e66ced9")</f>
        <v>9e66ced9</v>
      </c>
      <c r="AT97" s="211" t="str">
        <f>IFERROR(__xludf.DUMMYFUNCTION("""COMPUTED_VALUE"""),"Bapak Angga")</f>
        <v>Bapak Angga</v>
      </c>
      <c r="AU97" s="211"/>
      <c r="AV97" s="211" t="b">
        <f>IFERROR(__xludf.DUMMYFUNCTION("""COMPUTED_VALUE"""),FALSE)</f>
        <v>0</v>
      </c>
      <c r="AW97" s="211" t="str">
        <f>IFERROR(__xludf.DUMMYFUNCTION("""COMPUTED_VALUE"""),"Jl. Bypass Krian No.2, Tundungan, Sidomojo, Kec. Krian, Kabupaten Sidoarjo, Jawa Timur 61262")</f>
        <v>Jl. Bypass Krian No.2, Tundungan, Sidomojo, Kec. Krian, Kabupaten Sidoarjo, Jawa Timur 61262</v>
      </c>
      <c r="AX97" s="211">
        <f>IFERROR(__xludf.DUMMYFUNCTION("""COMPUTED_VALUE"""),30.0)</f>
        <v>30</v>
      </c>
      <c r="AY97" s="211" t="str">
        <f>IFERROR(__xludf.DUMMYFUNCTION("""COMPUTED_VALUE"""),"081226429199")</f>
        <v>081226429199</v>
      </c>
      <c r="AZ97" s="215">
        <f>IFERROR(__xludf.DUMMYFUNCTION("""COMPUTED_VALUE"""),45968.60138888889)</f>
        <v>45968.60139</v>
      </c>
      <c r="BB97" s="211"/>
      <c r="BC97" s="211"/>
      <c r="BD97" s="211"/>
      <c r="BE97" s="211"/>
      <c r="BF97" s="211"/>
      <c r="BG97" s="211"/>
      <c r="BH97" s="211"/>
      <c r="BI97" s="211"/>
    </row>
    <row r="98">
      <c r="A98" s="210" t="str">
        <f>IFERROR(__xludf.DUMMYFUNCTION("""COMPUTED_VALUE"""),"1e8e7bb9")</f>
        <v>1e8e7bb9</v>
      </c>
      <c r="B98" s="210" t="str">
        <f>IFERROR(__xludf.DUMMYFUNCTION("""COMPUTED_VALUE"""),"1e8e7bb9")</f>
        <v>1e8e7bb9</v>
      </c>
      <c r="C98" s="213">
        <f>IFERROR(__xludf.DUMMYFUNCTION("""COMPUTED_VALUE"""),45582.60613425926)</f>
        <v>45582.60613</v>
      </c>
      <c r="D98" s="211" t="str">
        <f>IFERROR(__xludf.DUMMYFUNCTION("""COMPUTED_VALUE"""),"f8335a53")</f>
        <v>f8335a53</v>
      </c>
      <c r="E98" s="211" t="str">
        <f>IFERROR(__xludf.DUMMYFUNCTION("""COMPUTED_VALUE"""),"CV RAGAM JAYA ENGINEERING")</f>
        <v>CV RAGAM JAYA ENGINEERING</v>
      </c>
      <c r="F98" s="211" t="str">
        <f>IFERROR(__xludf.DUMMYFUNCTION("""COMPUTED_VALUE"""),"8bdbe149")</f>
        <v>8bdbe149</v>
      </c>
      <c r="G98" s="211" t="str">
        <f>IFERROR(__xludf.DUMMYFUNCTION("""COMPUTED_VALUE"""),"Oksigen 6m3")</f>
        <v>Oksigen 6m3</v>
      </c>
      <c r="H98" s="214" t="str">
        <f>IFERROR(__xludf.DUMMYFUNCTION("""COMPUTED_VALUE"""),"IN")</f>
        <v>IN</v>
      </c>
      <c r="I98" s="214" t="str">
        <f>IFERROR(__xludf.DUMMYFUNCTION("""COMPUTED_VALUE"""),"EMPTY")</f>
        <v>EMPTY</v>
      </c>
      <c r="J98" s="211">
        <f>IFERROR(__xludf.DUMMYFUNCTION("""COMPUTED_VALUE"""),3.0)</f>
        <v>3</v>
      </c>
      <c r="K98" s="210" t="str">
        <f>IFERROR(__xludf.DUMMYFUNCTION("""COMPUTED_VALUE"""),"1141 1120 1161")</f>
        <v>1141 1120 1161</v>
      </c>
      <c r="L98" s="211"/>
      <c r="M98" s="211"/>
      <c r="N98" s="211"/>
      <c r="O98" s="211"/>
      <c r="Q98" s="210" t="str">
        <f>IFERROR(__xludf.DUMMYFUNCTION("""COMPUTED_VALUE"""),"10240061")</f>
        <v>10240061</v>
      </c>
      <c r="R98" s="210" t="str">
        <f>IFERROR(__xludf.DUMMYFUNCTION("""COMPUTED_VALUE"""),"10240061")</f>
        <v>10240061</v>
      </c>
      <c r="S98" s="211" t="str">
        <f>IFERROR(__xludf.DUMMYFUNCTION("""COMPUTED_VALUE"""),"72d9a70c")</f>
        <v>72d9a70c</v>
      </c>
      <c r="T98" s="211" t="str">
        <f>IFERROR(__xludf.DUMMYFUNCTION("""COMPUTED_VALUE"""),"PT Beton Prima Indonesia")</f>
        <v>PT Beton Prima Indonesia</v>
      </c>
      <c r="U98" s="215">
        <f>IFERROR(__xludf.DUMMYFUNCTION("""COMPUTED_VALUE"""),45594.41415509259)</f>
        <v>45594.41416</v>
      </c>
      <c r="V98" s="211" t="str">
        <f>IFERROR(__xludf.DUMMYFUNCTION("""COMPUTED_VALUE"""),"KH. Ahmad Dahlan KM.2 Ds. Sumberwono, Kec. Bangsal, Kab. Mojokerto 61381")</f>
        <v>KH. Ahmad Dahlan KM.2 Ds. Sumberwono, Kec. Bangsal, Kab. Mojokerto 61381</v>
      </c>
      <c r="W98" s="211" t="str">
        <f>IFERROR(__xludf.DUMMYFUNCTION("""COMPUTED_VALUE"""),"OUT")</f>
        <v>OUT</v>
      </c>
      <c r="X98" s="211"/>
      <c r="Z98" s="211" t="str">
        <f>IFERROR(__xludf.DUMMYFUNCTION("""COMPUTED_VALUE"""),"0326142897")</f>
        <v>0326142897</v>
      </c>
      <c r="AC98" s="211" t="str">
        <f>IFERROR(__xludf.DUMMYFUNCTION("""COMPUTED_VALUE"""),"58b72e0c")</f>
        <v>58b72e0c</v>
      </c>
      <c r="AD98" s="211" t="str">
        <f>IFERROR(__xludf.DUMMYFUNCTION("""COMPUTED_VALUE"""),"UD. Ais Jaya")</f>
        <v>UD. Ais Jaya</v>
      </c>
      <c r="AE98" s="211"/>
      <c r="AF98" s="211" t="b">
        <f>IFERROR(__xludf.DUMMYFUNCTION("""COMPUTED_VALUE"""),FALSE)</f>
        <v>0</v>
      </c>
      <c r="AG98" s="211" t="str">
        <f>IFERROR(__xludf.DUMMYFUNCTION("""COMPUTED_VALUE"""),"Jl. Bypass Krian, Kraton, Kec. Krian, Kabupaten Sidoarjo, Jawa Timur 61262")</f>
        <v>Jl. Bypass Krian, Kraton, Kec. Krian, Kabupaten Sidoarjo, Jawa Timur 61262</v>
      </c>
      <c r="AH98" s="211">
        <f>IFERROR(__xludf.DUMMYFUNCTION("""COMPUTED_VALUE"""),15.0)</f>
        <v>15</v>
      </c>
      <c r="AI98" s="211" t="str">
        <f>IFERROR(__xludf.DUMMYFUNCTION("""COMPUTED_VALUE"""),"081803038090")</f>
        <v>081803038090</v>
      </c>
      <c r="AJ98" s="211"/>
      <c r="AL98" s="211" t="str">
        <f>IFERROR(__xludf.DUMMYFUNCTION("""COMPUTED_VALUE"""),"2260215")</f>
        <v>2260215</v>
      </c>
      <c r="AM98" s="211" t="str">
        <f>IFERROR(__xludf.DUMMYFUNCTION("""COMPUTED_VALUE"""),"0226212451")</f>
        <v>0226212451</v>
      </c>
      <c r="AN98" s="211" t="str">
        <f>IFERROR(__xludf.DUMMYFUNCTION("""COMPUTED_VALUE"""),"182fb0fe")</f>
        <v>182fb0fe</v>
      </c>
      <c r="AO98" s="211" t="str">
        <f>IFERROR(__xludf.DUMMYFUNCTION("""COMPUTED_VALUE"""),"PT Amtech")</f>
        <v>PT Amtech</v>
      </c>
      <c r="AP98" s="215">
        <f>IFERROR(__xludf.DUMMYFUNCTION("""COMPUTED_VALUE"""),46066.5528125)</f>
        <v>46066.55281</v>
      </c>
      <c r="AQ98" s="218">
        <f>IFERROR(__xludf.DUMMYFUNCTION("""COMPUTED_VALUE"""),46057.0)</f>
        <v>46057</v>
      </c>
      <c r="AR98" s="211"/>
      <c r="AS98" s="211" t="str">
        <f>IFERROR(__xludf.DUMMYFUNCTION("""COMPUTED_VALUE"""),"58b72e0c")</f>
        <v>58b72e0c</v>
      </c>
      <c r="AT98" s="211" t="str">
        <f>IFERROR(__xludf.DUMMYFUNCTION("""COMPUTED_VALUE"""),"UD. Ais Jaya")</f>
        <v>UD. Ais Jaya</v>
      </c>
      <c r="AU98" s="211"/>
      <c r="AV98" s="211" t="b">
        <f>IFERROR(__xludf.DUMMYFUNCTION("""COMPUTED_VALUE"""),FALSE)</f>
        <v>0</v>
      </c>
      <c r="AW98" s="211" t="str">
        <f>IFERROR(__xludf.DUMMYFUNCTION("""COMPUTED_VALUE"""),"Jl. Bypass Krian, Kraton, Kec. Krian, Kabupaten Sidoarjo, Jawa Timur 61262")</f>
        <v>Jl. Bypass Krian, Kraton, Kec. Krian, Kabupaten Sidoarjo, Jawa Timur 61262</v>
      </c>
      <c r="AX98" s="211">
        <f>IFERROR(__xludf.DUMMYFUNCTION("""COMPUTED_VALUE"""),15.0)</f>
        <v>15</v>
      </c>
      <c r="AY98" s="211" t="str">
        <f>IFERROR(__xludf.DUMMYFUNCTION("""COMPUTED_VALUE"""),"081803038090")</f>
        <v>081803038090</v>
      </c>
      <c r="AZ98" s="211"/>
      <c r="BB98" s="211"/>
      <c r="BC98" s="211"/>
      <c r="BD98" s="211"/>
      <c r="BE98" s="211"/>
      <c r="BF98" s="211"/>
      <c r="BG98" s="211"/>
      <c r="BH98" s="211"/>
      <c r="BI98" s="211"/>
    </row>
    <row r="99">
      <c r="A99" s="210" t="str">
        <f>IFERROR(__xludf.DUMMYFUNCTION("""COMPUTED_VALUE"""),"1e8e7bb9")</f>
        <v>1e8e7bb9</v>
      </c>
      <c r="B99" s="210" t="str">
        <f>IFERROR(__xludf.DUMMYFUNCTION("""COMPUTED_VALUE"""),"1e8e7bb9")</f>
        <v>1e8e7bb9</v>
      </c>
      <c r="C99" s="213">
        <f>IFERROR(__xludf.DUMMYFUNCTION("""COMPUTED_VALUE"""),45582.60675925926)</f>
        <v>45582.60676</v>
      </c>
      <c r="D99" s="211" t="str">
        <f>IFERROR(__xludf.DUMMYFUNCTION("""COMPUTED_VALUE"""),"f8335a53")</f>
        <v>f8335a53</v>
      </c>
      <c r="E99" s="211" t="str">
        <f>IFERROR(__xludf.DUMMYFUNCTION("""COMPUTED_VALUE"""),"CV RAGAM JAYA ENGINEERING")</f>
        <v>CV RAGAM JAYA ENGINEERING</v>
      </c>
      <c r="F99" s="211" t="str">
        <f>IFERROR(__xludf.DUMMYFUNCTION("""COMPUTED_VALUE"""),"ef306e54")</f>
        <v>ef306e54</v>
      </c>
      <c r="G99" s="211" t="str">
        <f>IFERROR(__xludf.DUMMYFUNCTION("""COMPUTED_VALUE"""),"Karbondioksida")</f>
        <v>Karbondioksida</v>
      </c>
      <c r="H99" s="214" t="str">
        <f>IFERROR(__xludf.DUMMYFUNCTION("""COMPUTED_VALUE"""),"IN")</f>
        <v>IN</v>
      </c>
      <c r="I99" s="214" t="str">
        <f>IFERROR(__xludf.DUMMYFUNCTION("""COMPUTED_VALUE"""),"EMPTY")</f>
        <v>EMPTY</v>
      </c>
      <c r="J99" s="211">
        <f>IFERROR(__xludf.DUMMYFUNCTION("""COMPUTED_VALUE"""),5.0)</f>
        <v>5</v>
      </c>
      <c r="K99" s="210" t="str">
        <f>IFERROR(__xludf.DUMMYFUNCTION("""COMPUTED_VALUE"""),"6821 6632 6903 6811 6650")</f>
        <v>6821 6632 6903 6811 6650</v>
      </c>
      <c r="L99" s="211"/>
      <c r="M99" s="211"/>
      <c r="N99" s="211"/>
      <c r="O99" s="211"/>
      <c r="Q99" s="210" t="str">
        <f>IFERROR(__xludf.DUMMYFUNCTION("""COMPUTED_VALUE"""),"19f7b4a4")</f>
        <v>19f7b4a4</v>
      </c>
      <c r="R99" s="210" t="str">
        <f>IFERROR(__xludf.DUMMYFUNCTION("""COMPUTED_VALUE"""),"19f7b4a4")</f>
        <v>19f7b4a4</v>
      </c>
      <c r="S99" s="211" t="str">
        <f>IFERROR(__xludf.DUMMYFUNCTION("""COMPUTED_VALUE"""),"4a01ccb6")</f>
        <v>4a01ccb6</v>
      </c>
      <c r="T99" s="211" t="str">
        <f>IFERROR(__xludf.DUMMYFUNCTION("""COMPUTED_VALUE"""),"CV ANUGERAH PERSADA TEKNIK")</f>
        <v>CV ANUGERAH PERSADA TEKNIK</v>
      </c>
      <c r="U99" s="215">
        <f>IFERROR(__xludf.DUMMYFUNCTION("""COMPUTED_VALUE"""),45594.45208333334)</f>
        <v>45594.45208</v>
      </c>
      <c r="V99" s="211" t="str">
        <f>IFERROR(__xludf.DUMMYFUNCTION("""COMPUTED_VALUE"""),"JL. Raya Trosobo, Blok 3/14, Taman Sidoarjo Lingkungan Industri Kecil, Sepanjang, Jawa Timur, 61257")</f>
        <v>JL. Raya Trosobo, Blok 3/14, Taman Sidoarjo Lingkungan Industri Kecil, Sepanjang, Jawa Timur, 61257</v>
      </c>
      <c r="W99" s="211" t="str">
        <f>IFERROR(__xludf.DUMMYFUNCTION("""COMPUTED_VALUE"""),"IN")</f>
        <v>IN</v>
      </c>
      <c r="X99" s="211"/>
      <c r="Z99" s="211" t="str">
        <f>IFERROR(__xludf.DUMMYFUNCTION("""COMPUTED_VALUE"""),"0326952894")</f>
        <v>0326952894</v>
      </c>
      <c r="AC99" s="211"/>
      <c r="AD99" s="211"/>
      <c r="AE99" s="211"/>
      <c r="AF99" s="211"/>
      <c r="AG99" s="211"/>
      <c r="AH99" s="211"/>
      <c r="AI99" s="211"/>
      <c r="AJ99" s="211"/>
      <c r="AL99" s="211" t="str">
        <f>IFERROR(__xludf.DUMMYFUNCTION("""COMPUTED_VALUE"""),"2260211")</f>
        <v>2260211</v>
      </c>
      <c r="AM99" s="211" t="str">
        <f>IFERROR(__xludf.DUMMYFUNCTION("""COMPUTED_VALUE"""),"022652440")</f>
        <v>022652440</v>
      </c>
      <c r="AN99" s="211" t="str">
        <f>IFERROR(__xludf.DUMMYFUNCTION("""COMPUTED_VALUE"""),"98c84274")</f>
        <v>98c84274</v>
      </c>
      <c r="AO99" s="211" t="str">
        <f>IFERROR(__xludf.DUMMYFUNCTION("""COMPUTED_VALUE"""),"Bengkel SBM (Pak Hari)")</f>
        <v>Bengkel SBM (Pak Hari)</v>
      </c>
      <c r="AP99" s="215">
        <f>IFERROR(__xludf.DUMMYFUNCTION("""COMPUTED_VALUE"""),46066.52715277778)</f>
        <v>46066.52715</v>
      </c>
      <c r="AQ99" s="218">
        <f>IFERROR(__xludf.DUMMYFUNCTION("""COMPUTED_VALUE"""),46056.0)</f>
        <v>46056</v>
      </c>
      <c r="AR99" s="211"/>
      <c r="AS99" s="211"/>
      <c r="AT99" s="211"/>
      <c r="AU99" s="211"/>
      <c r="AV99" s="211"/>
      <c r="AW99" s="211"/>
      <c r="AX99" s="211"/>
      <c r="AY99" s="211"/>
      <c r="AZ99" s="211"/>
      <c r="BB99" s="211"/>
      <c r="BC99" s="211"/>
      <c r="BD99" s="211"/>
      <c r="BE99" s="211"/>
      <c r="BF99" s="211"/>
      <c r="BG99" s="211"/>
      <c r="BH99" s="211"/>
      <c r="BI99" s="211"/>
    </row>
    <row r="100">
      <c r="A100" s="210" t="str">
        <f>IFERROR(__xludf.DUMMYFUNCTION("""COMPUTED_VALUE"""),"16bddcae")</f>
        <v>16bddcae</v>
      </c>
      <c r="B100" s="210" t="str">
        <f>IFERROR(__xludf.DUMMYFUNCTION("""COMPUTED_VALUE"""),"16bddcae")</f>
        <v>16bddcae</v>
      </c>
      <c r="C100" s="213">
        <f>IFERROR(__xludf.DUMMYFUNCTION("""COMPUTED_VALUE"""),45582.66653935185)</f>
        <v>45582.66654</v>
      </c>
      <c r="D100" s="211" t="str">
        <f>IFERROR(__xludf.DUMMYFUNCTION("""COMPUTED_VALUE"""),"e86baf3b")</f>
        <v>e86baf3b</v>
      </c>
      <c r="E100" s="211" t="str">
        <f>IFERROR(__xludf.DUMMYFUNCTION("""COMPUTED_VALUE"""),"PT GEMILANG CIPTA WAWASAN")</f>
        <v>PT GEMILANG CIPTA WAWASAN</v>
      </c>
      <c r="F100" s="211" t="str">
        <f>IFERROR(__xludf.DUMMYFUNCTION("""COMPUTED_VALUE"""),"be525f3b")</f>
        <v>be525f3b</v>
      </c>
      <c r="G100" s="211" t="str">
        <f>IFERROR(__xludf.DUMMYFUNCTION("""COMPUTED_VALUE"""),"LPG 12kg")</f>
        <v>LPG 12kg</v>
      </c>
      <c r="H100" s="214" t="str">
        <f>IFERROR(__xludf.DUMMYFUNCTION("""COMPUTED_VALUE"""),"IN")</f>
        <v>IN</v>
      </c>
      <c r="I100" s="214" t="str">
        <f>IFERROR(__xludf.DUMMYFUNCTION("""COMPUTED_VALUE"""),"EMPTY")</f>
        <v>EMPTY</v>
      </c>
      <c r="J100" s="211">
        <f>IFERROR(__xludf.DUMMYFUNCTION("""COMPUTED_VALUE"""),3.0)</f>
        <v>3</v>
      </c>
      <c r="K100" s="211"/>
      <c r="L100" s="211"/>
      <c r="M100" s="211"/>
      <c r="N100" s="211"/>
      <c r="O100" s="211"/>
      <c r="Q100" s="210" t="str">
        <f>IFERROR(__xludf.DUMMYFUNCTION("""COMPUTED_VALUE"""),"410240000")</f>
        <v>410240000</v>
      </c>
      <c r="R100" s="210" t="str">
        <f>IFERROR(__xludf.DUMMYFUNCTION("""COMPUTED_VALUE"""),"410240000")</f>
        <v>410240000</v>
      </c>
      <c r="S100" s="211" t="str">
        <f>IFERROR(__xludf.DUMMYFUNCTION("""COMPUTED_VALUE"""),"4a01ccb6")</f>
        <v>4a01ccb6</v>
      </c>
      <c r="T100" s="211" t="str">
        <f>IFERROR(__xludf.DUMMYFUNCTION("""COMPUTED_VALUE"""),"CV ANUGERAH PERSADA TEKNIK")</f>
        <v>CV ANUGERAH PERSADA TEKNIK</v>
      </c>
      <c r="U100" s="215">
        <f>IFERROR(__xludf.DUMMYFUNCTION("""COMPUTED_VALUE"""),45594.45277777778)</f>
        <v>45594.45278</v>
      </c>
      <c r="V100" s="211" t="str">
        <f>IFERROR(__xludf.DUMMYFUNCTION("""COMPUTED_VALUE"""),"JL. Raya Trosobo, Blok 3/14, Taman Sidoarjo Lingkungan Industri Kecil, Sepanjang, Jawa Timur, 61257")</f>
        <v>JL. Raya Trosobo, Blok 3/14, Taman Sidoarjo Lingkungan Industri Kecil, Sepanjang, Jawa Timur, 61257</v>
      </c>
      <c r="W100" s="211" t="str">
        <f>IFERROR(__xludf.DUMMYFUNCTION("""COMPUTED_VALUE"""),"OTHER")</f>
        <v>OTHER</v>
      </c>
      <c r="X100" s="211"/>
      <c r="Z100" s="211" t="str">
        <f>IFERROR(__xludf.DUMMYFUNCTION("""COMPUTED_VALUE"""),"0326232893")</f>
        <v>0326232893</v>
      </c>
      <c r="AC100" s="211"/>
      <c r="AD100" s="211"/>
      <c r="AE100" s="211"/>
      <c r="AF100" s="211"/>
      <c r="AG100" s="211"/>
      <c r="AH100" s="211"/>
      <c r="AI100" s="211"/>
      <c r="AJ100" s="211"/>
      <c r="AL100" s="211" t="str">
        <f>IFERROR(__xludf.DUMMYFUNCTION("""COMPUTED_VALUE"""),"2260211")</f>
        <v>2260211</v>
      </c>
      <c r="AM100" s="211" t="str">
        <f>IFERROR(__xludf.DUMMYFUNCTION("""COMPUTED_VALUE"""),"022662478")</f>
        <v>022662478</v>
      </c>
      <c r="AN100" s="211" t="str">
        <f>IFERROR(__xludf.DUMMYFUNCTION("""COMPUTED_VALUE"""),"98c84274")</f>
        <v>98c84274</v>
      </c>
      <c r="AO100" s="211" t="str">
        <f>IFERROR(__xludf.DUMMYFUNCTION("""COMPUTED_VALUE"""),"Bengkel SBM (Pak Hari)")</f>
        <v>Bengkel SBM (Pak Hari)</v>
      </c>
      <c r="AP100" s="215">
        <f>IFERROR(__xludf.DUMMYFUNCTION("""COMPUTED_VALUE"""),46066.52715277778)</f>
        <v>46066.52715</v>
      </c>
      <c r="AQ100" s="218">
        <f>IFERROR(__xludf.DUMMYFUNCTION("""COMPUTED_VALUE"""),46059.0)</f>
        <v>46059</v>
      </c>
      <c r="AR100" s="211"/>
      <c r="AS100" s="211"/>
      <c r="AT100" s="211"/>
      <c r="AU100" s="211"/>
      <c r="AV100" s="211"/>
      <c r="AW100" s="211"/>
      <c r="AX100" s="211"/>
      <c r="AY100" s="211"/>
      <c r="AZ100" s="211"/>
      <c r="BB100" s="211"/>
      <c r="BC100" s="211"/>
      <c r="BD100" s="211"/>
      <c r="BE100" s="211"/>
      <c r="BF100" s="211"/>
      <c r="BG100" s="211"/>
      <c r="BH100" s="211"/>
      <c r="BI100" s="211"/>
    </row>
    <row r="101">
      <c r="A101" s="210" t="str">
        <f>IFERROR(__xludf.DUMMYFUNCTION("""COMPUTED_VALUE"""),"10240046")</f>
        <v>10240046</v>
      </c>
      <c r="B101" s="210" t="str">
        <f>IFERROR(__xludf.DUMMYFUNCTION("""COMPUTED_VALUE"""),"10240046")</f>
        <v>10240046</v>
      </c>
      <c r="C101" s="213">
        <f>IFERROR(__xludf.DUMMYFUNCTION("""COMPUTED_VALUE"""),45583.593356481484)</f>
        <v>45583.59336</v>
      </c>
      <c r="D101" s="211" t="str">
        <f>IFERROR(__xludf.DUMMYFUNCTION("""COMPUTED_VALUE"""),"c2f5a4a7")</f>
        <v>c2f5a4a7</v>
      </c>
      <c r="E101" s="211" t="str">
        <f>IFERROR(__xludf.DUMMYFUNCTION("""COMPUTED_VALUE"""),"UD Sumber Berlian")</f>
        <v>UD Sumber Berlian</v>
      </c>
      <c r="F101" s="211" t="str">
        <f>IFERROR(__xludf.DUMMYFUNCTION("""COMPUTED_VALUE"""),"8bdbe149")</f>
        <v>8bdbe149</v>
      </c>
      <c r="G101" s="211" t="str">
        <f>IFERROR(__xludf.DUMMYFUNCTION("""COMPUTED_VALUE"""),"Oksigen 6m3")</f>
        <v>Oksigen 6m3</v>
      </c>
      <c r="H101" s="214" t="str">
        <f>IFERROR(__xludf.DUMMYFUNCTION("""COMPUTED_VALUE"""),"OUT")</f>
        <v>OUT</v>
      </c>
      <c r="I101" s="214" t="str">
        <f>IFERROR(__xludf.DUMMYFUNCTION("""COMPUTED_VALUE"""),"NORMAL")</f>
        <v>NORMAL</v>
      </c>
      <c r="J101" s="211">
        <f>IFERROR(__xludf.DUMMYFUNCTION("""COMPUTED_VALUE"""),5.0)</f>
        <v>5</v>
      </c>
      <c r="K101" s="210" t="str">
        <f>IFERROR(__xludf.DUMMYFUNCTION("""COMPUTED_VALUE"""),"1152 1101 1159 1114 1182")</f>
        <v>1152 1101 1159 1114 1182</v>
      </c>
      <c r="L101" s="211">
        <f>IFERROR(__xludf.DUMMYFUNCTION("""COMPUTED_VALUE"""),70000.0)</f>
        <v>70000</v>
      </c>
      <c r="M101" s="211"/>
      <c r="N101" s="211"/>
      <c r="O101" s="211"/>
      <c r="Q101" s="210" t="str">
        <f>IFERROR(__xludf.DUMMYFUNCTION("""COMPUTED_VALUE"""),"4cfb87ea")</f>
        <v>4cfb87ea</v>
      </c>
      <c r="R101" s="210" t="str">
        <f>IFERROR(__xludf.DUMMYFUNCTION("""COMPUTED_VALUE"""),"4cfb87ea")</f>
        <v>4cfb87ea</v>
      </c>
      <c r="S101" s="211" t="str">
        <f>IFERROR(__xludf.DUMMYFUNCTION("""COMPUTED_VALUE"""),"c2f5a4a7")</f>
        <v>c2f5a4a7</v>
      </c>
      <c r="T101" s="211" t="str">
        <f>IFERROR(__xludf.DUMMYFUNCTION("""COMPUTED_VALUE"""),"UD Sumber Berlian")</f>
        <v>UD Sumber Berlian</v>
      </c>
      <c r="U101" s="215">
        <f>IFERROR(__xludf.DUMMYFUNCTION("""COMPUTED_VALUE"""),45594.47361111111)</f>
        <v>45594.47361</v>
      </c>
      <c r="V101" s="211" t="str">
        <f>IFERROR(__xludf.DUMMYFUNCTION("""COMPUTED_VALUE"""),"Ciro Kulon, Bakungtemenggungan, Kec. BalongBendo, Kabupaten Sidoarjo, Jawa Timur 61263")</f>
        <v>Ciro Kulon, Bakungtemenggungan, Kec. BalongBendo, Kabupaten Sidoarjo, Jawa Timur 61263</v>
      </c>
      <c r="W101" s="211" t="str">
        <f>IFERROR(__xludf.DUMMYFUNCTION("""COMPUTED_VALUE"""),"IN")</f>
        <v>IN</v>
      </c>
      <c r="X101" s="211"/>
      <c r="Z101" s="211" t="str">
        <f>IFERROR(__xludf.DUMMYFUNCTION("""COMPUTED_VALUE"""),"0326132880")</f>
        <v>0326132880</v>
      </c>
      <c r="AC101" s="211" t="str">
        <f>IFERROR(__xludf.DUMMYFUNCTION("""COMPUTED_VALUE"""),"9828dfc5")</f>
        <v>9828dfc5</v>
      </c>
      <c r="AD101" s="211" t="str">
        <f>IFERROR(__xludf.DUMMYFUNCTION("""COMPUTED_VALUE"""),"Bpk. David")</f>
        <v>Bpk. David</v>
      </c>
      <c r="AE101" s="211"/>
      <c r="AF101" s="211" t="b">
        <f>IFERROR(__xludf.DUMMYFUNCTION("""COMPUTED_VALUE"""),FALSE)</f>
        <v>0</v>
      </c>
      <c r="AG101" s="211" t="str">
        <f>IFERROR(__xludf.DUMMYFUNCTION("""COMPUTED_VALUE"""),"GHF3+R34, Jl. Kartini, Ngingas, Ngimbangan, Kec. Mojosari, Kabupaten Mojokerto, Jawa Timur 61382")</f>
        <v>GHF3+R34, Jl. Kartini, Ngingas, Ngimbangan, Kec. Mojosari, Kabupaten Mojokerto, Jawa Timur 61382</v>
      </c>
      <c r="AH101" s="211">
        <f>IFERROR(__xludf.DUMMYFUNCTION("""COMPUTED_VALUE"""),15.0)</f>
        <v>15</v>
      </c>
      <c r="AI101" s="211" t="str">
        <f>IFERROR(__xludf.DUMMYFUNCTION("""COMPUTED_VALUE"""),"082230244066")</f>
        <v>082230244066</v>
      </c>
      <c r="AJ101" s="211"/>
      <c r="AL101" s="211" t="str">
        <f>IFERROR(__xludf.DUMMYFUNCTION("""COMPUTED_VALUE"""),"2260211")</f>
        <v>2260211</v>
      </c>
      <c r="AM101" s="211" t="str">
        <f>IFERROR(__xludf.DUMMYFUNCTION("""COMPUTED_VALUE"""),"022672509")</f>
        <v>022672509</v>
      </c>
      <c r="AN101" s="211" t="str">
        <f>IFERROR(__xludf.DUMMYFUNCTION("""COMPUTED_VALUE"""),"98c84274")</f>
        <v>98c84274</v>
      </c>
      <c r="AO101" s="211" t="str">
        <f>IFERROR(__xludf.DUMMYFUNCTION("""COMPUTED_VALUE"""),"Bengkel SBM (Pak Hari)")</f>
        <v>Bengkel SBM (Pak Hari)</v>
      </c>
      <c r="AP101" s="215">
        <f>IFERROR(__xludf.DUMMYFUNCTION("""COMPUTED_VALUE"""),46066.52715277778)</f>
        <v>46066.52715</v>
      </c>
      <c r="AQ101" s="218">
        <f>IFERROR(__xludf.DUMMYFUNCTION("""COMPUTED_VALUE"""),46063.0)</f>
        <v>46063</v>
      </c>
      <c r="AR101" s="211"/>
      <c r="AS101" s="211" t="str">
        <f>IFERROR(__xludf.DUMMYFUNCTION("""COMPUTED_VALUE"""),"9828dfc5")</f>
        <v>9828dfc5</v>
      </c>
      <c r="AT101" s="211" t="str">
        <f>IFERROR(__xludf.DUMMYFUNCTION("""COMPUTED_VALUE"""),"Bpk. David")</f>
        <v>Bpk. David</v>
      </c>
      <c r="AU101" s="211"/>
      <c r="AV101" s="211" t="b">
        <f>IFERROR(__xludf.DUMMYFUNCTION("""COMPUTED_VALUE"""),FALSE)</f>
        <v>0</v>
      </c>
      <c r="AW101" s="211" t="str">
        <f>IFERROR(__xludf.DUMMYFUNCTION("""COMPUTED_VALUE"""),"GHF3+R34, Jl. Kartini, Ngingas, Ngimbangan, Kec. Mojosari, Kabupaten Mojokerto, Jawa Timur 61382")</f>
        <v>GHF3+R34, Jl. Kartini, Ngingas, Ngimbangan, Kec. Mojosari, Kabupaten Mojokerto, Jawa Timur 61382</v>
      </c>
      <c r="AX101" s="211">
        <f>IFERROR(__xludf.DUMMYFUNCTION("""COMPUTED_VALUE"""),15.0)</f>
        <v>15</v>
      </c>
      <c r="AY101" s="211" t="str">
        <f>IFERROR(__xludf.DUMMYFUNCTION("""COMPUTED_VALUE"""),"082230244066")</f>
        <v>082230244066</v>
      </c>
      <c r="AZ101" s="211"/>
      <c r="BB101" s="211"/>
      <c r="BC101" s="211"/>
      <c r="BD101" s="211"/>
      <c r="BE101" s="211"/>
      <c r="BF101" s="211"/>
      <c r="BG101" s="211"/>
      <c r="BH101" s="211"/>
      <c r="BI101" s="211"/>
    </row>
    <row r="102">
      <c r="A102" s="210" t="str">
        <f>IFERROR(__xludf.DUMMYFUNCTION("""COMPUTED_VALUE"""),"10240047")</f>
        <v>10240047</v>
      </c>
      <c r="B102" s="210" t="str">
        <f>IFERROR(__xludf.DUMMYFUNCTION("""COMPUTED_VALUE"""),"10240047")</f>
        <v>10240047</v>
      </c>
      <c r="C102" s="213">
        <f>IFERROR(__xludf.DUMMYFUNCTION("""COMPUTED_VALUE"""),45584.653032407405)</f>
        <v>45584.65303</v>
      </c>
      <c r="D102" s="211" t="str">
        <f>IFERROR(__xludf.DUMMYFUNCTION("""COMPUTED_VALUE"""),"72d9a70c")</f>
        <v>72d9a70c</v>
      </c>
      <c r="E102" s="211" t="str">
        <f>IFERROR(__xludf.DUMMYFUNCTION("""COMPUTED_VALUE"""),"PT Beton Prima Indonesia")</f>
        <v>PT Beton Prima Indonesia</v>
      </c>
      <c r="F102" s="211" t="str">
        <f>IFERROR(__xludf.DUMMYFUNCTION("""COMPUTED_VALUE"""),"3b9d6a30")</f>
        <v>3b9d6a30</v>
      </c>
      <c r="G102" s="211" t="str">
        <f>IFERROR(__xludf.DUMMYFUNCTION("""COMPUTED_VALUE"""),"Acetyline")</f>
        <v>Acetyline</v>
      </c>
      <c r="H102" s="214" t="str">
        <f>IFERROR(__xludf.DUMMYFUNCTION("""COMPUTED_VALUE"""),"OUT")</f>
        <v>OUT</v>
      </c>
      <c r="I102" s="214" t="str">
        <f>IFERROR(__xludf.DUMMYFUNCTION("""COMPUTED_VALUE"""),"NORMAL")</f>
        <v>NORMAL</v>
      </c>
      <c r="J102" s="211">
        <f>IFERROR(__xludf.DUMMYFUNCTION("""COMPUTED_VALUE"""),7.0)</f>
        <v>7</v>
      </c>
      <c r="K102" s="210" t="str">
        <f>IFERROR(__xludf.DUMMYFUNCTION("""COMPUTED_VALUE"""),"7927 7973 7977 017 7819 7978 7956")</f>
        <v>7927 7973 7977 017 7819 7978 7956</v>
      </c>
      <c r="L102" s="211">
        <f>IFERROR(__xludf.DUMMYFUNCTION("""COMPUTED_VALUE"""),360360.3604)</f>
        <v>360360.3604</v>
      </c>
      <c r="M102" s="211"/>
      <c r="N102" s="211"/>
      <c r="O102" s="211"/>
      <c r="Q102" s="210" t="str">
        <f>IFERROR(__xludf.DUMMYFUNCTION("""COMPUTED_VALUE"""),"10240062")</f>
        <v>10240062</v>
      </c>
      <c r="R102" s="210" t="str">
        <f>IFERROR(__xludf.DUMMYFUNCTION("""COMPUTED_VALUE"""),"10240062")</f>
        <v>10240062</v>
      </c>
      <c r="S102" s="211" t="str">
        <f>IFERROR(__xludf.DUMMYFUNCTION("""COMPUTED_VALUE"""),"37175874")</f>
        <v>37175874</v>
      </c>
      <c r="T102" s="211" t="str">
        <f>IFERROR(__xludf.DUMMYFUNCTION("""COMPUTED_VALUE"""),"PT TERAPAN NILAIOSILASI INDONESIA (TENO)")</f>
        <v>PT TERAPAN NILAIOSILASI INDONESIA (TENO)</v>
      </c>
      <c r="U102" s="215">
        <f>IFERROR(__xludf.DUMMYFUNCTION("""COMPUTED_VALUE"""),45594.51767361111)</f>
        <v>45594.51767</v>
      </c>
      <c r="V102" s="211" t="str">
        <f>IFERROR(__xludf.DUMMYFUNCTION("""COMPUTED_VALUE"""),"JL Raya Kertajaya Indah 153 / P116, Gebang Putih, Sukokilo, Kota Surabaya, Jawa Timur")</f>
        <v>JL Raya Kertajaya Indah 153 / P116, Gebang Putih, Sukokilo, Kota Surabaya, Jawa Timur</v>
      </c>
      <c r="W102" s="211" t="str">
        <f>IFERROR(__xludf.DUMMYFUNCTION("""COMPUTED_VALUE"""),"OUT")</f>
        <v>OUT</v>
      </c>
      <c r="X102" s="211"/>
      <c r="Z102" s="211" t="str">
        <f>IFERROR(__xludf.DUMMYFUNCTION("""COMPUTED_VALUE"""),"0326222879")</f>
        <v>0326222879</v>
      </c>
      <c r="AC102" s="211" t="str">
        <f>IFERROR(__xludf.DUMMYFUNCTION("""COMPUTED_VALUE"""),"63fc688a")</f>
        <v>63fc688a</v>
      </c>
      <c r="AD102" s="211" t="str">
        <f>IFERROR(__xludf.DUMMYFUNCTION("""COMPUTED_VALUE"""),"CV Malik Nusantara")</f>
        <v>CV Malik Nusantara</v>
      </c>
      <c r="AE102" s="211"/>
      <c r="AF102" s="211" t="b">
        <f>IFERROR(__xludf.DUMMYFUNCTION("""COMPUTED_VALUE"""),FALSE)</f>
        <v>0</v>
      </c>
      <c r="AG102" s="211" t="str">
        <f>IFERROR(__xludf.DUMMYFUNCTION("""COMPUTED_VALUE"""),"Jl. Raya Balongbendo No.12, Suwaluh Utara, Suwaluh, Kec. BalongBendo, Kabupaten Sidoarjo, Jawa Timur 61263")</f>
        <v>Jl. Raya Balongbendo No.12, Suwaluh Utara, Suwaluh, Kec. BalongBendo, Kabupaten Sidoarjo, Jawa Timur 61263</v>
      </c>
      <c r="AH102" s="211">
        <f>IFERROR(__xludf.DUMMYFUNCTION("""COMPUTED_VALUE"""),15.0)</f>
        <v>15</v>
      </c>
      <c r="AI102" s="211" t="str">
        <f>IFERROR(__xludf.DUMMYFUNCTION("""COMPUTED_VALUE"""),"0813-3608-1423")</f>
        <v>0813-3608-1423</v>
      </c>
      <c r="AJ102" s="211"/>
      <c r="AL102" s="211" t="str">
        <f>IFERROR(__xludf.DUMMYFUNCTION("""COMPUTED_VALUE"""),"2260211")</f>
        <v>2260211</v>
      </c>
      <c r="AM102" s="211" t="str">
        <f>IFERROR(__xludf.DUMMYFUNCTION("""COMPUTED_VALUE"""),"022682528")</f>
        <v>022682528</v>
      </c>
      <c r="AN102" s="211" t="str">
        <f>IFERROR(__xludf.DUMMYFUNCTION("""COMPUTED_VALUE"""),"98c84274")</f>
        <v>98c84274</v>
      </c>
      <c r="AO102" s="211" t="str">
        <f>IFERROR(__xludf.DUMMYFUNCTION("""COMPUTED_VALUE"""),"Bengkel SBM (Pak Hari)")</f>
        <v>Bengkel SBM (Pak Hari)</v>
      </c>
      <c r="AP102" s="215">
        <f>IFERROR(__xludf.DUMMYFUNCTION("""COMPUTED_VALUE"""),46066.52715277778)</f>
        <v>46066.52715</v>
      </c>
      <c r="AQ102" s="218">
        <f>IFERROR(__xludf.DUMMYFUNCTION("""COMPUTED_VALUE"""),46065.0)</f>
        <v>46065</v>
      </c>
      <c r="AR102" s="211"/>
      <c r="AS102" s="211" t="str">
        <f>IFERROR(__xludf.DUMMYFUNCTION("""COMPUTED_VALUE"""),"63fc688a")</f>
        <v>63fc688a</v>
      </c>
      <c r="AT102" s="211" t="str">
        <f>IFERROR(__xludf.DUMMYFUNCTION("""COMPUTED_VALUE"""),"CV Malik Nusantara")</f>
        <v>CV Malik Nusantara</v>
      </c>
      <c r="AU102" s="211"/>
      <c r="AV102" s="211" t="b">
        <f>IFERROR(__xludf.DUMMYFUNCTION("""COMPUTED_VALUE"""),FALSE)</f>
        <v>0</v>
      </c>
      <c r="AW102" s="211" t="str">
        <f>IFERROR(__xludf.DUMMYFUNCTION("""COMPUTED_VALUE"""),"Jl. Raya Balongbendo No.12, Suwaluh Utara, Suwaluh, Kec. BalongBendo, Kabupaten Sidoarjo, Jawa Timur 61263")</f>
        <v>Jl. Raya Balongbendo No.12, Suwaluh Utara, Suwaluh, Kec. BalongBendo, Kabupaten Sidoarjo, Jawa Timur 61263</v>
      </c>
      <c r="AX102" s="211">
        <f>IFERROR(__xludf.DUMMYFUNCTION("""COMPUTED_VALUE"""),15.0)</f>
        <v>15</v>
      </c>
      <c r="AY102" s="211" t="str">
        <f>IFERROR(__xludf.DUMMYFUNCTION("""COMPUTED_VALUE"""),"0813-3608-1423")</f>
        <v>0813-3608-1423</v>
      </c>
      <c r="AZ102" s="211"/>
      <c r="BB102" s="211"/>
      <c r="BC102" s="211"/>
      <c r="BD102" s="211"/>
      <c r="BE102" s="211"/>
      <c r="BF102" s="211"/>
      <c r="BG102" s="211"/>
      <c r="BH102" s="211"/>
      <c r="BI102" s="211"/>
    </row>
    <row r="103">
      <c r="A103" s="210" t="str">
        <f>IFERROR(__xludf.DUMMYFUNCTION("""COMPUTED_VALUE"""),"10240047")</f>
        <v>10240047</v>
      </c>
      <c r="B103" s="210" t="str">
        <f>IFERROR(__xludf.DUMMYFUNCTION("""COMPUTED_VALUE"""),"10240047")</f>
        <v>10240047</v>
      </c>
      <c r="C103" s="213">
        <f>IFERROR(__xludf.DUMMYFUNCTION("""COMPUTED_VALUE"""),45584.653344907405)</f>
        <v>45584.65334</v>
      </c>
      <c r="D103" s="211" t="str">
        <f>IFERROR(__xludf.DUMMYFUNCTION("""COMPUTED_VALUE"""),"72d9a70c")</f>
        <v>72d9a70c</v>
      </c>
      <c r="E103" s="211" t="str">
        <f>IFERROR(__xludf.DUMMYFUNCTION("""COMPUTED_VALUE"""),"PT Beton Prima Indonesia")</f>
        <v>PT Beton Prima Indonesia</v>
      </c>
      <c r="F103" s="211" t="str">
        <f>IFERROR(__xludf.DUMMYFUNCTION("""COMPUTED_VALUE"""),"8bdbe149")</f>
        <v>8bdbe149</v>
      </c>
      <c r="G103" s="211" t="str">
        <f>IFERROR(__xludf.DUMMYFUNCTION("""COMPUTED_VALUE"""),"Oksigen 6m3")</f>
        <v>Oksigen 6m3</v>
      </c>
      <c r="H103" s="214" t="str">
        <f>IFERROR(__xludf.DUMMYFUNCTION("""COMPUTED_VALUE"""),"OUT")</f>
        <v>OUT</v>
      </c>
      <c r="I103" s="214" t="str">
        <f>IFERROR(__xludf.DUMMYFUNCTION("""COMPUTED_VALUE"""),"NORMAL")</f>
        <v>NORMAL</v>
      </c>
      <c r="J103" s="211">
        <f>IFERROR(__xludf.DUMMYFUNCTION("""COMPUTED_VALUE"""),10.0)</f>
        <v>10</v>
      </c>
      <c r="K103" s="210" t="str">
        <f>IFERROR(__xludf.DUMMYFUNCTION("""COMPUTED_VALUE"""),"1151 1110 1186 1153 1185 1131 1109 1150 1181 1122")</f>
        <v>1151 1110 1186 1153 1185 1131 1109 1150 1181 1122</v>
      </c>
      <c r="L103" s="211">
        <f>IFERROR(__xludf.DUMMYFUNCTION("""COMPUTED_VALUE"""),45045.04505)</f>
        <v>45045.04505</v>
      </c>
      <c r="M103" s="211"/>
      <c r="N103" s="211"/>
      <c r="O103" s="211"/>
      <c r="Q103" s="210" t="str">
        <f>IFERROR(__xludf.DUMMYFUNCTION("""COMPUTED_VALUE"""),"0d3bda49")</f>
        <v>0d3bda49</v>
      </c>
      <c r="R103" s="210" t="str">
        <f>IFERROR(__xludf.DUMMYFUNCTION("""COMPUTED_VALUE"""),"0d3bda49")</f>
        <v>0d3bda49</v>
      </c>
      <c r="S103" s="211" t="str">
        <f>IFERROR(__xludf.DUMMYFUNCTION("""COMPUTED_VALUE"""),"72d9a70c")</f>
        <v>72d9a70c</v>
      </c>
      <c r="T103" s="211" t="str">
        <f>IFERROR(__xludf.DUMMYFUNCTION("""COMPUTED_VALUE"""),"PT Beton Prima Indonesia")</f>
        <v>PT Beton Prima Indonesia</v>
      </c>
      <c r="U103" s="215">
        <f>IFERROR(__xludf.DUMMYFUNCTION("""COMPUTED_VALUE"""),45594.522731481484)</f>
        <v>45594.52273</v>
      </c>
      <c r="V103" s="211" t="str">
        <f>IFERROR(__xludf.DUMMYFUNCTION("""COMPUTED_VALUE"""),"KH. Ahmad Dahlan KM.2 Ds. Sumberwono, Kec. Bangsal, Kab. Mojokerto 61381")</f>
        <v>KH. Ahmad Dahlan KM.2 Ds. Sumberwono, Kec. Bangsal, Kab. Mojokerto 61381</v>
      </c>
      <c r="W103" s="211" t="str">
        <f>IFERROR(__xludf.DUMMYFUNCTION("""COMPUTED_VALUE"""),"IN")</f>
        <v>IN</v>
      </c>
      <c r="X103" s="211"/>
      <c r="Z103" s="211" t="str">
        <f>IFERROR(__xludf.DUMMYFUNCTION("""COMPUTED_VALUE"""),"0326332876")</f>
        <v>0326332876</v>
      </c>
      <c r="AC103" s="211" t="str">
        <f>IFERROR(__xludf.DUMMYFUNCTION("""COMPUTED_VALUE"""),"a0f0ad2d")</f>
        <v>a0f0ad2d</v>
      </c>
      <c r="AD103" s="211" t="str">
        <f>IFERROR(__xludf.DUMMYFUNCTION("""COMPUTED_VALUE"""),"CV. Yulie Jaya")</f>
        <v>CV. Yulie Jaya</v>
      </c>
      <c r="AE103" s="211"/>
      <c r="AF103" s="211" t="b">
        <f>IFERROR(__xludf.DUMMYFUNCTION("""COMPUTED_VALUE"""),FALSE)</f>
        <v>0</v>
      </c>
      <c r="AG103" s="211" t="str">
        <f>IFERROR(__xludf.DUMMYFUNCTION("""COMPUTED_VALUE"""),"JJH4+6RV, Badas, Barengkrajan, Kec. Krian, Kabupaten Sidoarjo, Jawa Timur 61262")</f>
        <v>JJH4+6RV, Badas, Barengkrajan, Kec. Krian, Kabupaten Sidoarjo, Jawa Timur 61262</v>
      </c>
      <c r="AH103" s="211">
        <f>IFERROR(__xludf.DUMMYFUNCTION("""COMPUTED_VALUE"""),30.0)</f>
        <v>30</v>
      </c>
      <c r="AI103" s="211" t="str">
        <f>IFERROR(__xludf.DUMMYFUNCTION("""COMPUTED_VALUE"""),"087754101291")</f>
        <v>087754101291</v>
      </c>
      <c r="AJ103" s="211"/>
      <c r="AL103" s="211" t="str">
        <f>IFERROR(__xludf.DUMMYFUNCTION("""COMPUTED_VALUE"""),"2260210")</f>
        <v>2260210</v>
      </c>
      <c r="AM103" s="211" t="str">
        <f>IFERROR(__xludf.DUMMYFUNCTION("""COMPUTED_VALUE"""),"0226112458")</f>
        <v>0226112458</v>
      </c>
      <c r="AN103" s="211" t="str">
        <f>IFERROR(__xludf.DUMMYFUNCTION("""COMPUTED_VALUE"""),"440df1db")</f>
        <v>440df1db</v>
      </c>
      <c r="AO103" s="211" t="str">
        <f>IFERROR(__xludf.DUMMYFUNCTION("""COMPUTED_VALUE"""),"PT. Mecca Abadi Sejahtera")</f>
        <v>PT. Mecca Abadi Sejahtera</v>
      </c>
      <c r="AP103" s="215">
        <f>IFERROR(__xludf.DUMMYFUNCTION("""COMPUTED_VALUE"""),46064.45171296297)</f>
        <v>46064.45171</v>
      </c>
      <c r="AQ103" s="218">
        <f>IFERROR(__xludf.DUMMYFUNCTION("""COMPUTED_VALUE"""),46057.0)</f>
        <v>46057</v>
      </c>
      <c r="AR103" s="211"/>
      <c r="AS103" s="211" t="str">
        <f>IFERROR(__xludf.DUMMYFUNCTION("""COMPUTED_VALUE"""),"a0f0ad2d")</f>
        <v>a0f0ad2d</v>
      </c>
      <c r="AT103" s="211" t="str">
        <f>IFERROR(__xludf.DUMMYFUNCTION("""COMPUTED_VALUE"""),"CV. Yulie Jaya")</f>
        <v>CV. Yulie Jaya</v>
      </c>
      <c r="AU103" s="211"/>
      <c r="AV103" s="211" t="b">
        <f>IFERROR(__xludf.DUMMYFUNCTION("""COMPUTED_VALUE"""),FALSE)</f>
        <v>0</v>
      </c>
      <c r="AW103" s="211" t="str">
        <f>IFERROR(__xludf.DUMMYFUNCTION("""COMPUTED_VALUE"""),"JJH4+6RV, Badas, Barengkrajan, Kec. Krian, Kabupaten Sidoarjo, Jawa Timur 61262")</f>
        <v>JJH4+6RV, Badas, Barengkrajan, Kec. Krian, Kabupaten Sidoarjo, Jawa Timur 61262</v>
      </c>
      <c r="AX103" s="211">
        <f>IFERROR(__xludf.DUMMYFUNCTION("""COMPUTED_VALUE"""),30.0)</f>
        <v>30</v>
      </c>
      <c r="AY103" s="211" t="str">
        <f>IFERROR(__xludf.DUMMYFUNCTION("""COMPUTED_VALUE"""),"087754101291")</f>
        <v>087754101291</v>
      </c>
      <c r="AZ103" s="211"/>
      <c r="BB103" s="211"/>
      <c r="BC103" s="211"/>
      <c r="BD103" s="211"/>
      <c r="BE103" s="211"/>
      <c r="BF103" s="211"/>
      <c r="BG103" s="211"/>
      <c r="BH103" s="211"/>
      <c r="BI103" s="211"/>
    </row>
    <row r="104">
      <c r="A104" s="210" t="str">
        <f>IFERROR(__xludf.DUMMYFUNCTION("""COMPUTED_VALUE"""),"10240049")</f>
        <v>10240049</v>
      </c>
      <c r="B104" s="210" t="str">
        <f>IFERROR(__xludf.DUMMYFUNCTION("""COMPUTED_VALUE"""),"10240049")</f>
        <v>10240049</v>
      </c>
      <c r="C104" s="213">
        <f>IFERROR(__xludf.DUMMYFUNCTION("""COMPUTED_VALUE"""),45586.55097222222)</f>
        <v>45586.55097</v>
      </c>
      <c r="D104" s="211" t="str">
        <f>IFERROR(__xludf.DUMMYFUNCTION("""COMPUTED_VALUE"""),"8f5ebaea")</f>
        <v>8f5ebaea</v>
      </c>
      <c r="E104" s="211" t="str">
        <f>IFERROR(__xludf.DUMMYFUNCTION("""COMPUTED_VALUE"""),"PT Hua Zong Mesindo")</f>
        <v>PT Hua Zong Mesindo</v>
      </c>
      <c r="F104" s="211" t="str">
        <f>IFERROR(__xludf.DUMMYFUNCTION("""COMPUTED_VALUE"""),"66af7c72")</f>
        <v>66af7c72</v>
      </c>
      <c r="G104" s="211" t="str">
        <f>IFERROR(__xludf.DUMMYFUNCTION("""COMPUTED_VALUE"""),"Argon 6m3")</f>
        <v>Argon 6m3</v>
      </c>
      <c r="H104" s="214" t="str">
        <f>IFERROR(__xludf.DUMMYFUNCTION("""COMPUTED_VALUE"""),"OUT")</f>
        <v>OUT</v>
      </c>
      <c r="I104" s="214" t="str">
        <f>IFERROR(__xludf.DUMMYFUNCTION("""COMPUTED_VALUE"""),"NORMAL")</f>
        <v>NORMAL</v>
      </c>
      <c r="J104" s="211">
        <f>IFERROR(__xludf.DUMMYFUNCTION("""COMPUTED_VALUE"""),6.0)</f>
        <v>6</v>
      </c>
      <c r="K104" s="210" t="str">
        <f>IFERROR(__xludf.DUMMYFUNCTION("""COMPUTED_VALUE"""),"8093 8015 8312 8183 8231 8276")</f>
        <v>8093 8015 8312 8183 8231 8276</v>
      </c>
      <c r="L104" s="211">
        <f>IFERROR(__xludf.DUMMYFUNCTION("""COMPUTED_VALUE"""),190000.0)</f>
        <v>190000</v>
      </c>
      <c r="M104" s="211"/>
      <c r="N104" s="211"/>
      <c r="O104" s="211"/>
      <c r="Q104" s="210" t="str">
        <f>IFERROR(__xludf.DUMMYFUNCTION("""COMPUTED_VALUE"""),"1a1f3544")</f>
        <v>1a1f3544</v>
      </c>
      <c r="R104" s="210" t="str">
        <f>IFERROR(__xludf.DUMMYFUNCTION("""COMPUTED_VALUE"""),"1a1f3544")</f>
        <v>1a1f3544</v>
      </c>
      <c r="S104" s="211" t="str">
        <f>IFERROR(__xludf.DUMMYFUNCTION("""COMPUTED_VALUE"""),"37175874")</f>
        <v>37175874</v>
      </c>
      <c r="T104" s="211" t="str">
        <f>IFERROR(__xludf.DUMMYFUNCTION("""COMPUTED_VALUE"""),"PT TERAPAN NILAIOSILASI INDONESIA (TENO)")</f>
        <v>PT TERAPAN NILAIOSILASI INDONESIA (TENO)</v>
      </c>
      <c r="U104" s="215">
        <f>IFERROR(__xludf.DUMMYFUNCTION("""COMPUTED_VALUE"""),45594.589583333334)</f>
        <v>45594.58958</v>
      </c>
      <c r="V104" s="211" t="str">
        <f>IFERROR(__xludf.DUMMYFUNCTION("""COMPUTED_VALUE"""),"JL Raya Kertajaya Indah 153 / P116, Gebang Putih, Sukokilo, Kota Surabaya, Jawa Timur")</f>
        <v>JL Raya Kertajaya Indah 153 / P116, Gebang Putih, Sukokilo, Kota Surabaya, Jawa Timur</v>
      </c>
      <c r="W104" s="211" t="str">
        <f>IFERROR(__xludf.DUMMYFUNCTION("""COMPUTED_VALUE"""),"IN")</f>
        <v>IN</v>
      </c>
      <c r="X104" s="211"/>
      <c r="Z104" s="211" t="str">
        <f>IFERROR(__xludf.DUMMYFUNCTION("""COMPUTED_VALUE"""),"0326132869")</f>
        <v>0326132869</v>
      </c>
      <c r="AC104" s="211" t="str">
        <f>IFERROR(__xludf.DUMMYFUNCTION("""COMPUTED_VALUE"""),"8b765561")</f>
        <v>8b765561</v>
      </c>
      <c r="AD104" s="211" t="str">
        <f>IFERROR(__xludf.DUMMYFUNCTION("""COMPUTED_VALUE"""),"Bpk. Idris")</f>
        <v>Bpk. Idris</v>
      </c>
      <c r="AE104" s="211"/>
      <c r="AF104" s="211" t="b">
        <f>IFERROR(__xludf.DUMMYFUNCTION("""COMPUTED_VALUE"""),FALSE)</f>
        <v>0</v>
      </c>
      <c r="AG104" s="211" t="str">
        <f>IFERROR(__xludf.DUMMYFUNCTION("""COMPUTED_VALUE"""),"JL. Soenandar Priyo Sudarmo, Balepanjang, Tropodo, Kec Krian, Kabupaten Sidoarjo, Jawa Timur")</f>
        <v>JL. Soenandar Priyo Sudarmo, Balepanjang, Tropodo, Kec Krian, Kabupaten Sidoarjo, Jawa Timur</v>
      </c>
      <c r="AH104" s="211">
        <f>IFERROR(__xludf.DUMMYFUNCTION("""COMPUTED_VALUE"""),15.0)</f>
        <v>15</v>
      </c>
      <c r="AI104" s="211" t="str">
        <f>IFERROR(__xludf.DUMMYFUNCTION("""COMPUTED_VALUE"""),"087865442148")</f>
        <v>087865442148</v>
      </c>
      <c r="AJ104" s="211"/>
      <c r="AL104" s="211" t="str">
        <f>IFERROR(__xludf.DUMMYFUNCTION("""COMPUTED_VALUE"""),"2260209")</f>
        <v>2260209</v>
      </c>
      <c r="AM104" s="211" t="str">
        <f>IFERROR(__xludf.DUMMYFUNCTION("""COMPUTED_VALUE"""),"0126752332")</f>
        <v>0126752332</v>
      </c>
      <c r="AN104" s="211" t="str">
        <f>IFERROR(__xludf.DUMMYFUNCTION("""COMPUTED_VALUE"""),"e86baf3b")</f>
        <v>e86baf3b</v>
      </c>
      <c r="AO104" s="211" t="str">
        <f>IFERROR(__xludf.DUMMYFUNCTION("""COMPUTED_VALUE"""),"PT GEMILANG CIPTA WAWASAN")</f>
        <v>PT GEMILANG CIPTA WAWASAN</v>
      </c>
      <c r="AP104" s="215">
        <f>IFERROR(__xludf.DUMMYFUNCTION("""COMPUTED_VALUE"""),46064.45076388889)</f>
        <v>46064.45076</v>
      </c>
      <c r="AQ104" s="218">
        <f>IFERROR(__xludf.DUMMYFUNCTION("""COMPUTED_VALUE"""),46044.0)</f>
        <v>46044</v>
      </c>
      <c r="AR104" s="211"/>
      <c r="AS104" s="211" t="str">
        <f>IFERROR(__xludf.DUMMYFUNCTION("""COMPUTED_VALUE"""),"8b765561")</f>
        <v>8b765561</v>
      </c>
      <c r="AT104" s="211" t="str">
        <f>IFERROR(__xludf.DUMMYFUNCTION("""COMPUTED_VALUE"""),"Bpk. Idris")</f>
        <v>Bpk. Idris</v>
      </c>
      <c r="AU104" s="211"/>
      <c r="AV104" s="211" t="b">
        <f>IFERROR(__xludf.DUMMYFUNCTION("""COMPUTED_VALUE"""),FALSE)</f>
        <v>0</v>
      </c>
      <c r="AW104" s="211" t="str">
        <f>IFERROR(__xludf.DUMMYFUNCTION("""COMPUTED_VALUE"""),"JL. Soenandar Priyo Sudarmo, Balepanjang, Tropodo, Kec Krian, Kabupaten Sidoarjo, Jawa Timur")</f>
        <v>JL. Soenandar Priyo Sudarmo, Balepanjang, Tropodo, Kec Krian, Kabupaten Sidoarjo, Jawa Timur</v>
      </c>
      <c r="AX104" s="211">
        <f>IFERROR(__xludf.DUMMYFUNCTION("""COMPUTED_VALUE"""),15.0)</f>
        <v>15</v>
      </c>
      <c r="AY104" s="211" t="str">
        <f>IFERROR(__xludf.DUMMYFUNCTION("""COMPUTED_VALUE"""),"087865442148")</f>
        <v>087865442148</v>
      </c>
      <c r="AZ104" s="211"/>
      <c r="BB104" s="211"/>
      <c r="BC104" s="211"/>
      <c r="BD104" s="211"/>
      <c r="BE104" s="211"/>
      <c r="BF104" s="211"/>
      <c r="BG104" s="211"/>
      <c r="BH104" s="211"/>
      <c r="BI104" s="211"/>
    </row>
    <row r="105">
      <c r="A105" s="210" t="str">
        <f>IFERROR(__xludf.DUMMYFUNCTION("""COMPUTED_VALUE"""),"10240050")</f>
        <v>10240050</v>
      </c>
      <c r="B105" s="210" t="str">
        <f>IFERROR(__xludf.DUMMYFUNCTION("""COMPUTED_VALUE"""),"10240050")</f>
        <v>10240050</v>
      </c>
      <c r="C105" s="213">
        <f>IFERROR(__xludf.DUMMYFUNCTION("""COMPUTED_VALUE"""),45586.58574074074)</f>
        <v>45586.58574</v>
      </c>
      <c r="D105" s="211" t="str">
        <f>IFERROR(__xludf.DUMMYFUNCTION("""COMPUTED_VALUE"""),"4ec68cf6")</f>
        <v>4ec68cf6</v>
      </c>
      <c r="E105" s="211" t="str">
        <f>IFERROR(__xludf.DUMMYFUNCTION("""COMPUTED_VALUE"""),"CV Sido Mukti Karya")</f>
        <v>CV Sido Mukti Karya</v>
      </c>
      <c r="F105" s="211" t="str">
        <f>IFERROR(__xludf.DUMMYFUNCTION("""COMPUTED_VALUE"""),"8bdbe149")</f>
        <v>8bdbe149</v>
      </c>
      <c r="G105" s="211" t="str">
        <f>IFERROR(__xludf.DUMMYFUNCTION("""COMPUTED_VALUE"""),"Oksigen 6m3")</f>
        <v>Oksigen 6m3</v>
      </c>
      <c r="H105" s="214" t="str">
        <f>IFERROR(__xludf.DUMMYFUNCTION("""COMPUTED_VALUE"""),"OUT")</f>
        <v>OUT</v>
      </c>
      <c r="I105" s="214" t="str">
        <f>IFERROR(__xludf.DUMMYFUNCTION("""COMPUTED_VALUE"""),"NORMAL")</f>
        <v>NORMAL</v>
      </c>
      <c r="J105" s="211">
        <f>IFERROR(__xludf.DUMMYFUNCTION("""COMPUTED_VALUE"""),10.0)</f>
        <v>10</v>
      </c>
      <c r="K105" s="210" t="str">
        <f>IFERROR(__xludf.DUMMYFUNCTION("""COMPUTED_VALUE"""),"1102 11119 1107 1199 1146 1155 1117 1147 1105 1128")</f>
        <v>1102 11119 1107 1199 1146 1155 1117 1147 1105 1128</v>
      </c>
      <c r="L105" s="211">
        <f>IFERROR(__xludf.DUMMYFUNCTION("""COMPUTED_VALUE"""),60000.0)</f>
        <v>60000</v>
      </c>
      <c r="M105" s="211"/>
      <c r="N105" s="211"/>
      <c r="O105" s="211"/>
      <c r="Q105" s="210" t="str">
        <f>IFERROR(__xludf.DUMMYFUNCTION("""COMPUTED_VALUE"""),"10240064")</f>
        <v>10240064</v>
      </c>
      <c r="R105" s="210" t="str">
        <f>IFERROR(__xludf.DUMMYFUNCTION("""COMPUTED_VALUE"""),"10240064")</f>
        <v>10240064</v>
      </c>
      <c r="S105" s="211" t="str">
        <f>IFERROR(__xludf.DUMMYFUNCTION("""COMPUTED_VALUE"""),"e86baf3b")</f>
        <v>e86baf3b</v>
      </c>
      <c r="T105" s="211" t="str">
        <f>IFERROR(__xludf.DUMMYFUNCTION("""COMPUTED_VALUE"""),"PT GEMILANG CIPTA WAWASAN")</f>
        <v>PT GEMILANG CIPTA WAWASAN</v>
      </c>
      <c r="U105" s="215">
        <f>IFERROR(__xludf.DUMMYFUNCTION("""COMPUTED_VALUE"""),45595.44497685185)</f>
        <v>45595.44498</v>
      </c>
      <c r="V105" s="211" t="str">
        <f>IFERROR(__xludf.DUMMYFUNCTION("""COMPUTED_VALUE"""),"JL TEBET RAYA, 2A, TEBET BARAT, TEBET, KOTA ADM, JAKARTA SELATAN, DKI JAKARTA")</f>
        <v>JL TEBET RAYA, 2A, TEBET BARAT, TEBET, KOTA ADM, JAKARTA SELATAN, DKI JAKARTA</v>
      </c>
      <c r="W105" s="211" t="str">
        <f>IFERROR(__xludf.DUMMYFUNCTION("""COMPUTED_VALUE"""),"OUT")</f>
        <v>OUT</v>
      </c>
      <c r="X105" s="211"/>
      <c r="Z105" s="211" t="str">
        <f>IFERROR(__xludf.DUMMYFUNCTION("""COMPUTED_VALUE"""),"0326942866")</f>
        <v>0326942866</v>
      </c>
      <c r="AC105" s="211" t="str">
        <f>IFERROR(__xludf.DUMMYFUNCTION("""COMPUTED_VALUE"""),"3b04351a")</f>
        <v>3b04351a</v>
      </c>
      <c r="AD105" s="211" t="str">
        <f>IFERROR(__xludf.DUMMYFUNCTION("""COMPUTED_VALUE"""),"CV Usaha Logam Jaya")</f>
        <v>CV Usaha Logam Jaya</v>
      </c>
      <c r="AE105" s="211"/>
      <c r="AF105" s="211" t="b">
        <f>IFERROR(__xludf.DUMMYFUNCTION("""COMPUTED_VALUE"""),FALSE)</f>
        <v>0</v>
      </c>
      <c r="AG105" s="211" t="str">
        <f>IFERROR(__xludf.DUMMYFUNCTION("""COMPUTED_VALUE"""),"Jl. Jetis Karya, Wonorejo, Jetis, Kec. Jetis, Kabupaten Mojokerto, Jawa Timur 61352")</f>
        <v>Jl. Jetis Karya, Wonorejo, Jetis, Kec. Jetis, Kabupaten Mojokerto, Jawa Timur 61352</v>
      </c>
      <c r="AH105" s="211">
        <f>IFERROR(__xludf.DUMMYFUNCTION("""COMPUTED_VALUE"""),15.0)</f>
        <v>15</v>
      </c>
      <c r="AI105" s="211" t="str">
        <f>IFERROR(__xludf.DUMMYFUNCTION("""COMPUTED_VALUE"""),"0821-4195-8882")</f>
        <v>0821-4195-8882</v>
      </c>
      <c r="AJ105" s="211"/>
      <c r="AL105" s="211" t="str">
        <f>IFERROR(__xludf.DUMMYFUNCTION("""COMPUTED_VALUE"""),"2260208")</f>
        <v>2260208</v>
      </c>
      <c r="AM105" s="211" t="str">
        <f>IFERROR(__xludf.DUMMYFUNCTION("""COMPUTED_VALUE"""),"012612369")</f>
        <v>012612369</v>
      </c>
      <c r="AN105" s="211" t="str">
        <f>IFERROR(__xludf.DUMMYFUNCTION("""COMPUTED_VALUE"""),"89d46c39")</f>
        <v>89d46c39</v>
      </c>
      <c r="AO105" s="211" t="str">
        <f>IFERROR(__xludf.DUMMYFUNCTION("""COMPUTED_VALUE"""),"PT Cakar Baja Persada")</f>
        <v>PT Cakar Baja Persada</v>
      </c>
      <c r="AP105" s="215">
        <f>IFERROR(__xludf.DUMMYFUNCTION("""COMPUTED_VALUE"""),46058.612708333334)</f>
        <v>46058.61271</v>
      </c>
      <c r="AQ105" s="218">
        <f>IFERROR(__xludf.DUMMYFUNCTION("""COMPUTED_VALUE"""),46050.0)</f>
        <v>46050</v>
      </c>
      <c r="AR105" s="211"/>
      <c r="AS105" s="211" t="str">
        <f>IFERROR(__xludf.DUMMYFUNCTION("""COMPUTED_VALUE"""),"3b04351a")</f>
        <v>3b04351a</v>
      </c>
      <c r="AT105" s="211" t="str">
        <f>IFERROR(__xludf.DUMMYFUNCTION("""COMPUTED_VALUE"""),"CV Usaha Logam Jaya")</f>
        <v>CV Usaha Logam Jaya</v>
      </c>
      <c r="AU105" s="211"/>
      <c r="AV105" s="211" t="b">
        <f>IFERROR(__xludf.DUMMYFUNCTION("""COMPUTED_VALUE"""),FALSE)</f>
        <v>0</v>
      </c>
      <c r="AW105" s="211" t="str">
        <f>IFERROR(__xludf.DUMMYFUNCTION("""COMPUTED_VALUE"""),"Jl. Jetis Karya, Wonorejo, Jetis, Kec. Jetis, Kabupaten Mojokerto, Jawa Timur 61352")</f>
        <v>Jl. Jetis Karya, Wonorejo, Jetis, Kec. Jetis, Kabupaten Mojokerto, Jawa Timur 61352</v>
      </c>
      <c r="AX105" s="211">
        <f>IFERROR(__xludf.DUMMYFUNCTION("""COMPUTED_VALUE"""),15.0)</f>
        <v>15</v>
      </c>
      <c r="AY105" s="211" t="str">
        <f>IFERROR(__xludf.DUMMYFUNCTION("""COMPUTED_VALUE"""),"0821-4195-8882")</f>
        <v>0821-4195-8882</v>
      </c>
      <c r="AZ105" s="211"/>
      <c r="BB105" s="211"/>
      <c r="BC105" s="211"/>
      <c r="BD105" s="211"/>
      <c r="BE105" s="211"/>
      <c r="BF105" s="211"/>
      <c r="BG105" s="211"/>
      <c r="BH105" s="211"/>
      <c r="BI105" s="211"/>
    </row>
    <row r="106">
      <c r="A106" s="210" t="str">
        <f>IFERROR(__xludf.DUMMYFUNCTION("""COMPUTED_VALUE"""),"603d6b75")</f>
        <v>603d6b75</v>
      </c>
      <c r="B106" s="210" t="str">
        <f>IFERROR(__xludf.DUMMYFUNCTION("""COMPUTED_VALUE"""),"603d6b75")</f>
        <v>603d6b75</v>
      </c>
      <c r="C106" s="213">
        <f>IFERROR(__xludf.DUMMYFUNCTION("""COMPUTED_VALUE"""),45586.724652777775)</f>
        <v>45586.72465</v>
      </c>
      <c r="D106" s="211" t="str">
        <f>IFERROR(__xludf.DUMMYFUNCTION("""COMPUTED_VALUE"""),"8f5ebaea")</f>
        <v>8f5ebaea</v>
      </c>
      <c r="E106" s="211" t="str">
        <f>IFERROR(__xludf.DUMMYFUNCTION("""COMPUTED_VALUE"""),"PT Hua Zong Mesindo")</f>
        <v>PT Hua Zong Mesindo</v>
      </c>
      <c r="F106" s="211" t="str">
        <f>IFERROR(__xludf.DUMMYFUNCTION("""COMPUTED_VALUE"""),"66af7c72")</f>
        <v>66af7c72</v>
      </c>
      <c r="G106" s="211" t="str">
        <f>IFERROR(__xludf.DUMMYFUNCTION("""COMPUTED_VALUE"""),"Argon 6m3")</f>
        <v>Argon 6m3</v>
      </c>
      <c r="H106" s="214" t="str">
        <f>IFERROR(__xludf.DUMMYFUNCTION("""COMPUTED_VALUE"""),"IN")</f>
        <v>IN</v>
      </c>
      <c r="I106" s="214" t="str">
        <f>IFERROR(__xludf.DUMMYFUNCTION("""COMPUTED_VALUE"""),"EMPTY")</f>
        <v>EMPTY</v>
      </c>
      <c r="J106" s="211">
        <f>IFERROR(__xludf.DUMMYFUNCTION("""COMPUTED_VALUE"""),4.0)</f>
        <v>4</v>
      </c>
      <c r="K106" s="210" t="str">
        <f>IFERROR(__xludf.DUMMYFUNCTION("""COMPUTED_VALUE"""),"8081 8124 8128 8141")</f>
        <v>8081 8124 8128 8141</v>
      </c>
      <c r="L106" s="211"/>
      <c r="M106" s="211"/>
      <c r="N106" s="211"/>
      <c r="O106" s="211"/>
      <c r="Q106" s="210" t="str">
        <f>IFERROR(__xludf.DUMMYFUNCTION("""COMPUTED_VALUE"""),"410240001")</f>
        <v>410240001</v>
      </c>
      <c r="R106" s="210" t="str">
        <f>IFERROR(__xludf.DUMMYFUNCTION("""COMPUTED_VALUE"""),"410240001")</f>
        <v>410240001</v>
      </c>
      <c r="S106" s="211" t="str">
        <f>IFERROR(__xludf.DUMMYFUNCTION("""COMPUTED_VALUE"""),"72d9a70c")</f>
        <v>72d9a70c</v>
      </c>
      <c r="T106" s="211" t="str">
        <f>IFERROR(__xludf.DUMMYFUNCTION("""COMPUTED_VALUE"""),"PT Beton Prima Indonesia")</f>
        <v>PT Beton Prima Indonesia</v>
      </c>
      <c r="U106" s="215">
        <f>IFERROR(__xludf.DUMMYFUNCTION("""COMPUTED_VALUE"""),45595.45)</f>
        <v>45595.45</v>
      </c>
      <c r="V106" s="211" t="str">
        <f>IFERROR(__xludf.DUMMYFUNCTION("""COMPUTED_VALUE"""),"KH. Ahmad Dahlan KM.2 Ds. Sumberwono, Kec. Bangsal, Kab. Mojokerto 61381")</f>
        <v>KH. Ahmad Dahlan KM.2 Ds. Sumberwono, Kec. Bangsal, Kab. Mojokerto 61381</v>
      </c>
      <c r="W106" s="211" t="str">
        <f>IFERROR(__xludf.DUMMYFUNCTION("""COMPUTED_VALUE"""),"OTHER")</f>
        <v>OTHER</v>
      </c>
      <c r="X106" s="211"/>
      <c r="Z106" s="211" t="str">
        <f>IFERROR(__xludf.DUMMYFUNCTION("""COMPUTED_VALUE"""),"0326322863")</f>
        <v>0326322863</v>
      </c>
      <c r="AC106" s="211" t="str">
        <f>IFERROR(__xludf.DUMMYFUNCTION("""COMPUTED_VALUE"""),"03ff52db")</f>
        <v>03ff52db</v>
      </c>
      <c r="AD106" s="211" t="str">
        <f>IFERROR(__xludf.DUMMYFUNCTION("""COMPUTED_VALUE"""),"Aneka Teknik Logam")</f>
        <v>Aneka Teknik Logam</v>
      </c>
      <c r="AE106" s="211"/>
      <c r="AF106" s="211" t="b">
        <f>IFERROR(__xludf.DUMMYFUNCTION("""COMPUTED_VALUE"""),FALSE)</f>
        <v>0</v>
      </c>
      <c r="AG106" s="211" t="str">
        <f>IFERROR(__xludf.DUMMYFUNCTION("""COMPUTED_VALUE"""),"HH8G+MQC, Areng Areng, Tropodo, Kec. Krian, Kabupaten Sidoarjo, Jawa Timur 61262")</f>
        <v>HH8G+MQC, Areng Areng, Tropodo, Kec. Krian, Kabupaten Sidoarjo, Jawa Timur 61262</v>
      </c>
      <c r="AH106" s="211">
        <f>IFERROR(__xludf.DUMMYFUNCTION("""COMPUTED_VALUE"""),15.0)</f>
        <v>15</v>
      </c>
      <c r="AI106" s="211" t="str">
        <f>IFERROR(__xludf.DUMMYFUNCTION("""COMPUTED_VALUE"""),"0877-7002-7611")</f>
        <v>0877-7002-7611</v>
      </c>
      <c r="AJ106" s="211"/>
      <c r="AL106" s="211" t="str">
        <f>IFERROR(__xludf.DUMMYFUNCTION("""COMPUTED_VALUE"""),"2260204")</f>
        <v>2260204</v>
      </c>
      <c r="AM106" s="211" t="str">
        <f>IFERROR(__xludf.DUMMYFUNCTION("""COMPUTED_VALUE"""),"012612327")</f>
        <v>012612327</v>
      </c>
      <c r="AN106" s="211" t="str">
        <f>IFERROR(__xludf.DUMMYFUNCTION("""COMPUTED_VALUE"""),"98c84274")</f>
        <v>98c84274</v>
      </c>
      <c r="AO106" s="211" t="str">
        <f>IFERROR(__xludf.DUMMYFUNCTION("""COMPUTED_VALUE"""),"Bengkel SBM (Pak Hari)")</f>
        <v>Bengkel SBM (Pak Hari)</v>
      </c>
      <c r="AP106" s="215">
        <f>IFERROR(__xludf.DUMMYFUNCTION("""COMPUTED_VALUE"""),46053.55657407407)</f>
        <v>46053.55657</v>
      </c>
      <c r="AQ106" s="218">
        <f>IFERROR(__xludf.DUMMYFUNCTION("""COMPUTED_VALUE"""),46044.0)</f>
        <v>46044</v>
      </c>
      <c r="AR106" s="211"/>
      <c r="AS106" s="211" t="str">
        <f>IFERROR(__xludf.DUMMYFUNCTION("""COMPUTED_VALUE"""),"03ff52db")</f>
        <v>03ff52db</v>
      </c>
      <c r="AT106" s="211" t="str">
        <f>IFERROR(__xludf.DUMMYFUNCTION("""COMPUTED_VALUE"""),"Aneka Teknik Logam")</f>
        <v>Aneka Teknik Logam</v>
      </c>
      <c r="AU106" s="211"/>
      <c r="AV106" s="211" t="b">
        <f>IFERROR(__xludf.DUMMYFUNCTION("""COMPUTED_VALUE"""),FALSE)</f>
        <v>0</v>
      </c>
      <c r="AW106" s="211" t="str">
        <f>IFERROR(__xludf.DUMMYFUNCTION("""COMPUTED_VALUE"""),"HH8G+MQC, Areng Areng, Tropodo, Kec. Krian, Kabupaten Sidoarjo, Jawa Timur 61262")</f>
        <v>HH8G+MQC, Areng Areng, Tropodo, Kec. Krian, Kabupaten Sidoarjo, Jawa Timur 61262</v>
      </c>
      <c r="AX106" s="211">
        <f>IFERROR(__xludf.DUMMYFUNCTION("""COMPUTED_VALUE"""),15.0)</f>
        <v>15</v>
      </c>
      <c r="AY106" s="211" t="str">
        <f>IFERROR(__xludf.DUMMYFUNCTION("""COMPUTED_VALUE"""),"0877-7002-7611")</f>
        <v>0877-7002-7611</v>
      </c>
      <c r="AZ106" s="211"/>
      <c r="BB106" s="211"/>
      <c r="BC106" s="211"/>
      <c r="BD106" s="211"/>
      <c r="BE106" s="211"/>
      <c r="BF106" s="211"/>
      <c r="BG106" s="211"/>
      <c r="BH106" s="211"/>
      <c r="BI106" s="211"/>
    </row>
    <row r="107">
      <c r="A107" s="210" t="str">
        <f>IFERROR(__xludf.DUMMYFUNCTION("""COMPUTED_VALUE"""),"10240051")</f>
        <v>10240051</v>
      </c>
      <c r="B107" s="210" t="str">
        <f>IFERROR(__xludf.DUMMYFUNCTION("""COMPUTED_VALUE"""),"10240051")</f>
        <v>10240051</v>
      </c>
      <c r="C107" s="213">
        <f>IFERROR(__xludf.DUMMYFUNCTION("""COMPUTED_VALUE"""),45587.417395833334)</f>
        <v>45587.4174</v>
      </c>
      <c r="D107" s="211" t="str">
        <f>IFERROR(__xludf.DUMMYFUNCTION("""COMPUTED_VALUE"""),"f8335a53")</f>
        <v>f8335a53</v>
      </c>
      <c r="E107" s="211" t="str">
        <f>IFERROR(__xludf.DUMMYFUNCTION("""COMPUTED_VALUE"""),"CV RAGAM JAYA ENGINEERING")</f>
        <v>CV RAGAM JAYA ENGINEERING</v>
      </c>
      <c r="F107" s="211" t="str">
        <f>IFERROR(__xludf.DUMMYFUNCTION("""COMPUTED_VALUE"""),"ef306e54")</f>
        <v>ef306e54</v>
      </c>
      <c r="G107" s="211" t="str">
        <f>IFERROR(__xludf.DUMMYFUNCTION("""COMPUTED_VALUE"""),"Karbondioksida")</f>
        <v>Karbondioksida</v>
      </c>
      <c r="H107" s="214" t="str">
        <f>IFERROR(__xludf.DUMMYFUNCTION("""COMPUTED_VALUE"""),"OUT")</f>
        <v>OUT</v>
      </c>
      <c r="I107" s="214" t="str">
        <f>IFERROR(__xludf.DUMMYFUNCTION("""COMPUTED_VALUE"""),"NORMAL")</f>
        <v>NORMAL</v>
      </c>
      <c r="J107" s="211">
        <f>IFERROR(__xludf.DUMMYFUNCTION("""COMPUTED_VALUE"""),5.0)</f>
        <v>5</v>
      </c>
      <c r="K107" s="210" t="str">
        <f>IFERROR(__xludf.DUMMYFUNCTION("""COMPUTED_VALUE"""),"6703 6709 6783 6912 6820")</f>
        <v>6703 6709 6783 6912 6820</v>
      </c>
      <c r="L107" s="211">
        <f>IFERROR(__xludf.DUMMYFUNCTION("""COMPUTED_VALUE"""),160000.0)</f>
        <v>160000</v>
      </c>
      <c r="M107" s="211"/>
      <c r="N107" s="211"/>
      <c r="O107" s="211"/>
      <c r="Q107" s="210" t="str">
        <f>IFERROR(__xludf.DUMMYFUNCTION("""COMPUTED_VALUE"""),"10240066")</f>
        <v>10240066</v>
      </c>
      <c r="R107" s="210" t="str">
        <f>IFERROR(__xludf.DUMMYFUNCTION("""COMPUTED_VALUE"""),"10240066")</f>
        <v>10240066</v>
      </c>
      <c r="S107" s="211" t="str">
        <f>IFERROR(__xludf.DUMMYFUNCTION("""COMPUTED_VALUE"""),"f8335a53")</f>
        <v>f8335a53</v>
      </c>
      <c r="T107" s="211" t="str">
        <f>IFERROR(__xludf.DUMMYFUNCTION("""COMPUTED_VALUE"""),"CV RAGAM JAYA ENGINEERING")</f>
        <v>CV RAGAM JAYA ENGINEERING</v>
      </c>
      <c r="U107" s="215">
        <f>IFERROR(__xludf.DUMMYFUNCTION("""COMPUTED_VALUE"""),45595.459189814814)</f>
        <v>45595.45919</v>
      </c>
      <c r="V107" s="211" t="str">
        <f>IFERROR(__xludf.DUMMYFUNCTION("""COMPUTED_VALUE"""),"Jl. Balung wangon, Dadapkuning, Bulurejo, Kec. Benjeng, Kabupaten Gresik, Jawa Timur 61172")</f>
        <v>Jl. Balung wangon, Dadapkuning, Bulurejo, Kec. Benjeng, Kabupaten Gresik, Jawa Timur 61172</v>
      </c>
      <c r="W107" s="211" t="str">
        <f>IFERROR(__xludf.DUMMYFUNCTION("""COMPUTED_VALUE"""),"OUT")</f>
        <v>OUT</v>
      </c>
      <c r="X107" s="211"/>
      <c r="Z107" s="211" t="str">
        <f>IFERROR(__xludf.DUMMYFUNCTION("""COMPUTED_VALUE"""),"0326122862")</f>
        <v>0326122862</v>
      </c>
      <c r="AC107" s="211" t="str">
        <f>IFERROR(__xludf.DUMMYFUNCTION("""COMPUTED_VALUE"""),"be2c16c7")</f>
        <v>be2c16c7</v>
      </c>
      <c r="AD107" s="211" t="str">
        <f>IFERROR(__xludf.DUMMYFUNCTION("""COMPUTED_VALUE"""),"Toko Setya ( Mas Farid )")</f>
        <v>Toko Setya ( Mas Farid )</v>
      </c>
      <c r="AE107" s="211"/>
      <c r="AF107" s="211" t="b">
        <f>IFERROR(__xludf.DUMMYFUNCTION("""COMPUTED_VALUE"""),FALSE)</f>
        <v>0</v>
      </c>
      <c r="AG107" s="211" t="str">
        <f>IFERROR(__xludf.DUMMYFUNCTION("""COMPUTED_VALUE"""),"JL. Rendi agung No 452 Kel. Urangagung, kec/kab. Sidoarjo")</f>
        <v>JL. Rendi agung No 452 Kel. Urangagung, kec/kab. Sidoarjo</v>
      </c>
      <c r="AH107" s="211">
        <f>IFERROR(__xludf.DUMMYFUNCTION("""COMPUTED_VALUE"""),10.0)</f>
        <v>10</v>
      </c>
      <c r="AI107" s="211" t="str">
        <f>IFERROR(__xludf.DUMMYFUNCTION("""COMPUTED_VALUE"""),"085731605983")</f>
        <v>085731605983</v>
      </c>
      <c r="AJ107" s="211"/>
      <c r="AL107" s="211" t="str">
        <f>IFERROR(__xludf.DUMMYFUNCTION("""COMPUTED_VALUE"""),"2260204")</f>
        <v>2260204</v>
      </c>
      <c r="AM107" s="211" t="str">
        <f>IFERROR(__xludf.DUMMYFUNCTION("""COMPUTED_VALUE"""),"012622330")</f>
        <v>012622330</v>
      </c>
      <c r="AN107" s="211" t="str">
        <f>IFERROR(__xludf.DUMMYFUNCTION("""COMPUTED_VALUE"""),"98c84274")</f>
        <v>98c84274</v>
      </c>
      <c r="AO107" s="211" t="str">
        <f>IFERROR(__xludf.DUMMYFUNCTION("""COMPUTED_VALUE"""),"Bengkel SBM (Pak Hari)")</f>
        <v>Bengkel SBM (Pak Hari)</v>
      </c>
      <c r="AP107" s="215">
        <f>IFERROR(__xludf.DUMMYFUNCTION("""COMPUTED_VALUE"""),46053.55657407407)</f>
        <v>46053.55657</v>
      </c>
      <c r="AQ107" s="218">
        <f>IFERROR(__xludf.DUMMYFUNCTION("""COMPUTED_VALUE"""),46044.0)</f>
        <v>46044</v>
      </c>
      <c r="AR107" s="211"/>
      <c r="AS107" s="211" t="str">
        <f>IFERROR(__xludf.DUMMYFUNCTION("""COMPUTED_VALUE"""),"be2c16c7")</f>
        <v>be2c16c7</v>
      </c>
      <c r="AT107" s="211" t="str">
        <f>IFERROR(__xludf.DUMMYFUNCTION("""COMPUTED_VALUE"""),"Toko Setya ( Mas Farid )")</f>
        <v>Toko Setya ( Mas Farid )</v>
      </c>
      <c r="AU107" s="211"/>
      <c r="AV107" s="211" t="b">
        <f>IFERROR(__xludf.DUMMYFUNCTION("""COMPUTED_VALUE"""),FALSE)</f>
        <v>0</v>
      </c>
      <c r="AW107" s="211" t="str">
        <f>IFERROR(__xludf.DUMMYFUNCTION("""COMPUTED_VALUE"""),"JL. Rendi agung No 452 Kel. Urangagung, kec/kab. Sidoarjo")</f>
        <v>JL. Rendi agung No 452 Kel. Urangagung, kec/kab. Sidoarjo</v>
      </c>
      <c r="AX107" s="211">
        <f>IFERROR(__xludf.DUMMYFUNCTION("""COMPUTED_VALUE"""),10.0)</f>
        <v>10</v>
      </c>
      <c r="AY107" s="211" t="str">
        <f>IFERROR(__xludf.DUMMYFUNCTION("""COMPUTED_VALUE"""),"085731605983")</f>
        <v>085731605983</v>
      </c>
      <c r="AZ107" s="211"/>
      <c r="BB107" s="211"/>
      <c r="BC107" s="211"/>
      <c r="BD107" s="211"/>
      <c r="BE107" s="211"/>
      <c r="BF107" s="211"/>
      <c r="BG107" s="211"/>
      <c r="BH107" s="211"/>
      <c r="BI107" s="211"/>
    </row>
    <row r="108">
      <c r="A108" s="210" t="str">
        <f>IFERROR(__xludf.DUMMYFUNCTION("""COMPUTED_VALUE"""),"10240051")</f>
        <v>10240051</v>
      </c>
      <c r="B108" s="210" t="str">
        <f>IFERROR(__xludf.DUMMYFUNCTION("""COMPUTED_VALUE"""),"10240051")</f>
        <v>10240051</v>
      </c>
      <c r="C108" s="213">
        <f>IFERROR(__xludf.DUMMYFUNCTION("""COMPUTED_VALUE"""),45587.417708333334)</f>
        <v>45587.41771</v>
      </c>
      <c r="D108" s="211" t="str">
        <f>IFERROR(__xludf.DUMMYFUNCTION("""COMPUTED_VALUE"""),"f8335a53")</f>
        <v>f8335a53</v>
      </c>
      <c r="E108" s="211" t="str">
        <f>IFERROR(__xludf.DUMMYFUNCTION("""COMPUTED_VALUE"""),"CV RAGAM JAYA ENGINEERING")</f>
        <v>CV RAGAM JAYA ENGINEERING</v>
      </c>
      <c r="F108" s="211" t="str">
        <f>IFERROR(__xludf.DUMMYFUNCTION("""COMPUTED_VALUE"""),"8bdbe149")</f>
        <v>8bdbe149</v>
      </c>
      <c r="G108" s="211" t="str">
        <f>IFERROR(__xludf.DUMMYFUNCTION("""COMPUTED_VALUE"""),"Oksigen 6m3")</f>
        <v>Oksigen 6m3</v>
      </c>
      <c r="H108" s="214" t="str">
        <f>IFERROR(__xludf.DUMMYFUNCTION("""COMPUTED_VALUE"""),"OUT")</f>
        <v>OUT</v>
      </c>
      <c r="I108" s="214" t="str">
        <f>IFERROR(__xludf.DUMMYFUNCTION("""COMPUTED_VALUE"""),"NORMAL")</f>
        <v>NORMAL</v>
      </c>
      <c r="J108" s="211">
        <f>IFERROR(__xludf.DUMMYFUNCTION("""COMPUTED_VALUE"""),10.0)</f>
        <v>10</v>
      </c>
      <c r="K108" s="210" t="str">
        <f>IFERROR(__xludf.DUMMYFUNCTION("""COMPUTED_VALUE"""),"1103 1106 11125 1113 1132 11112 11103 1112 1140 11111")</f>
        <v>1103 1106 11125 1113 1132 11112 11103 1112 1140 11111</v>
      </c>
      <c r="L108" s="211">
        <f>IFERROR(__xludf.DUMMYFUNCTION("""COMPUTED_VALUE"""),60000.0)</f>
        <v>60000</v>
      </c>
      <c r="M108" s="211"/>
      <c r="N108" s="211"/>
      <c r="O108" s="211"/>
      <c r="Q108" s="210" t="str">
        <f>IFERROR(__xludf.DUMMYFUNCTION("""COMPUTED_VALUE"""),"10240068")</f>
        <v>10240068</v>
      </c>
      <c r="R108" s="210" t="str">
        <f>IFERROR(__xludf.DUMMYFUNCTION("""COMPUTED_VALUE"""),"10240068")</f>
        <v>10240068</v>
      </c>
      <c r="S108" s="211" t="str">
        <f>IFERROR(__xludf.DUMMYFUNCTION("""COMPUTED_VALUE"""),"72d9a70c")</f>
        <v>72d9a70c</v>
      </c>
      <c r="T108" s="211" t="str">
        <f>IFERROR(__xludf.DUMMYFUNCTION("""COMPUTED_VALUE"""),"PT Beton Prima Indonesia")</f>
        <v>PT Beton Prima Indonesia</v>
      </c>
      <c r="U108" s="215">
        <f>IFERROR(__xludf.DUMMYFUNCTION("""COMPUTED_VALUE"""),45595.54305555555)</f>
        <v>45595.54306</v>
      </c>
      <c r="V108" s="211" t="str">
        <f>IFERROR(__xludf.DUMMYFUNCTION("""COMPUTED_VALUE"""),"KH. Ahmad Dahlan KM.2 Ds. Sumberwono, Kec. Bangsal, Kab. Mojokerto 61381")</f>
        <v>KH. Ahmad Dahlan KM.2 Ds. Sumberwono, Kec. Bangsal, Kab. Mojokerto 61381</v>
      </c>
      <c r="W108" s="211" t="str">
        <f>IFERROR(__xludf.DUMMYFUNCTION("""COMPUTED_VALUE"""),"OUT")</f>
        <v>OUT</v>
      </c>
      <c r="X108" s="211"/>
      <c r="Z108" s="211" t="str">
        <f>IFERROR(__xludf.DUMMYFUNCTION("""COMPUTED_VALUE"""),"0326492861")</f>
        <v>0326492861</v>
      </c>
      <c r="AC108" s="211" t="str">
        <f>IFERROR(__xludf.DUMMYFUNCTION("""COMPUTED_VALUE"""),"6bfb8bcb")</f>
        <v>6bfb8bcb</v>
      </c>
      <c r="AD108" s="211" t="str">
        <f>IFERROR(__xludf.DUMMYFUNCTION("""COMPUTED_VALUE"""),"Bpk. Mashudul Chaq")</f>
        <v>Bpk. Mashudul Chaq</v>
      </c>
      <c r="AE108" s="211"/>
      <c r="AF108" s="211" t="b">
        <f>IFERROR(__xludf.DUMMYFUNCTION("""COMPUTED_VALUE"""),FALSE)</f>
        <v>0</v>
      </c>
      <c r="AG108" s="211" t="str">
        <f>IFERROR(__xludf.DUMMYFUNCTION("""COMPUTED_VALUE"""),"JL. Raya Balongbendo NO.17, Suwaluh Utara, Suwaluh, kec. Balongbendo, Kabbupaten Sidoarjo, Jawa Timur 61263")</f>
        <v>JL. Raya Balongbendo NO.17, Suwaluh Utara, Suwaluh, kec. Balongbendo, Kabbupaten Sidoarjo, Jawa Timur 61263</v>
      </c>
      <c r="AH108" s="211">
        <f>IFERROR(__xludf.DUMMYFUNCTION("""COMPUTED_VALUE"""),15.0)</f>
        <v>15</v>
      </c>
      <c r="AI108" s="211" t="str">
        <f>IFERROR(__xludf.DUMMYFUNCTION("""COMPUTED_VALUE"""),"085791330106")</f>
        <v>085791330106</v>
      </c>
      <c r="AJ108" s="211"/>
      <c r="AL108" s="211" t="str">
        <f>IFERROR(__xludf.DUMMYFUNCTION("""COMPUTED_VALUE"""),"2260204")</f>
        <v>2260204</v>
      </c>
      <c r="AM108" s="211" t="str">
        <f>IFERROR(__xludf.DUMMYFUNCTION("""COMPUTED_VALUE"""),"012632379")</f>
        <v>012632379</v>
      </c>
      <c r="AN108" s="211" t="str">
        <f>IFERROR(__xludf.DUMMYFUNCTION("""COMPUTED_VALUE"""),"98c84274")</f>
        <v>98c84274</v>
      </c>
      <c r="AO108" s="211" t="str">
        <f>IFERROR(__xludf.DUMMYFUNCTION("""COMPUTED_VALUE"""),"Bengkel SBM (Pak Hari)")</f>
        <v>Bengkel SBM (Pak Hari)</v>
      </c>
      <c r="AP108" s="215">
        <f>IFERROR(__xludf.DUMMYFUNCTION("""COMPUTED_VALUE"""),46053.55657407407)</f>
        <v>46053.55657</v>
      </c>
      <c r="AQ108" s="218">
        <f>IFERROR(__xludf.DUMMYFUNCTION("""COMPUTED_VALUE"""),46050.0)</f>
        <v>46050</v>
      </c>
      <c r="AR108" s="211"/>
      <c r="AS108" s="211" t="str">
        <f>IFERROR(__xludf.DUMMYFUNCTION("""COMPUTED_VALUE"""),"6bfb8bcb")</f>
        <v>6bfb8bcb</v>
      </c>
      <c r="AT108" s="211" t="str">
        <f>IFERROR(__xludf.DUMMYFUNCTION("""COMPUTED_VALUE"""),"Bpk. Mashudul Chaq")</f>
        <v>Bpk. Mashudul Chaq</v>
      </c>
      <c r="AU108" s="211"/>
      <c r="AV108" s="211" t="b">
        <f>IFERROR(__xludf.DUMMYFUNCTION("""COMPUTED_VALUE"""),FALSE)</f>
        <v>0</v>
      </c>
      <c r="AW108" s="211" t="str">
        <f>IFERROR(__xludf.DUMMYFUNCTION("""COMPUTED_VALUE"""),"JL. Raya Balongbendo NO.17, Suwaluh Utara, Suwaluh, kec. Balongbendo, Kabbupaten Sidoarjo, Jawa Timur 61263")</f>
        <v>JL. Raya Balongbendo NO.17, Suwaluh Utara, Suwaluh, kec. Balongbendo, Kabbupaten Sidoarjo, Jawa Timur 61263</v>
      </c>
      <c r="AX108" s="211">
        <f>IFERROR(__xludf.DUMMYFUNCTION("""COMPUTED_VALUE"""),15.0)</f>
        <v>15</v>
      </c>
      <c r="AY108" s="211" t="str">
        <f>IFERROR(__xludf.DUMMYFUNCTION("""COMPUTED_VALUE"""),"085791330106")</f>
        <v>085791330106</v>
      </c>
      <c r="AZ108" s="211"/>
      <c r="BB108" s="211"/>
      <c r="BC108" s="211"/>
      <c r="BD108" s="211"/>
      <c r="BE108" s="211"/>
      <c r="BF108" s="211"/>
      <c r="BG108" s="211"/>
      <c r="BH108" s="211"/>
      <c r="BI108" s="211"/>
    </row>
    <row r="109">
      <c r="A109" s="210" t="str">
        <f>IFERROR(__xludf.DUMMYFUNCTION("""COMPUTED_VALUE"""),"10240051")</f>
        <v>10240051</v>
      </c>
      <c r="B109" s="210" t="str">
        <f>IFERROR(__xludf.DUMMYFUNCTION("""COMPUTED_VALUE"""),"10240051")</f>
        <v>10240051</v>
      </c>
      <c r="C109" s="213">
        <f>IFERROR(__xludf.DUMMYFUNCTION("""COMPUTED_VALUE"""),45587.41998842593)</f>
        <v>45587.41999</v>
      </c>
      <c r="D109" s="211" t="str">
        <f>IFERROR(__xludf.DUMMYFUNCTION("""COMPUTED_VALUE"""),"f8335a53")</f>
        <v>f8335a53</v>
      </c>
      <c r="E109" s="211" t="str">
        <f>IFERROR(__xludf.DUMMYFUNCTION("""COMPUTED_VALUE"""),"CV RAGAM JAYA ENGINEERING")</f>
        <v>CV RAGAM JAYA ENGINEERING</v>
      </c>
      <c r="F109" s="211" t="str">
        <f>IFERROR(__xludf.DUMMYFUNCTION("""COMPUTED_VALUE"""),"be525f3b")</f>
        <v>be525f3b</v>
      </c>
      <c r="G109" s="211" t="str">
        <f>IFERROR(__xludf.DUMMYFUNCTION("""COMPUTED_VALUE"""),"LPG 12kg")</f>
        <v>LPG 12kg</v>
      </c>
      <c r="H109" s="214" t="str">
        <f>IFERROR(__xludf.DUMMYFUNCTION("""COMPUTED_VALUE"""),"OUT")</f>
        <v>OUT</v>
      </c>
      <c r="I109" s="214" t="str">
        <f>IFERROR(__xludf.DUMMYFUNCTION("""COMPUTED_VALUE"""),"NORMAL")</f>
        <v>NORMAL</v>
      </c>
      <c r="J109" s="211">
        <f>IFERROR(__xludf.DUMMYFUNCTION("""COMPUTED_VALUE"""),6.0)</f>
        <v>6</v>
      </c>
      <c r="K109" s="211"/>
      <c r="L109" s="211">
        <f>IFERROR(__xludf.DUMMYFUNCTION("""COMPUTED_VALUE"""),225000.0)</f>
        <v>225000</v>
      </c>
      <c r="M109" s="211"/>
      <c r="N109" s="211"/>
      <c r="O109" s="211"/>
      <c r="Q109" s="210" t="str">
        <f>IFERROR(__xludf.DUMMYFUNCTION("""COMPUTED_VALUE"""),"10240069")</f>
        <v>10240069</v>
      </c>
      <c r="R109" s="210" t="str">
        <f>IFERROR(__xludf.DUMMYFUNCTION("""COMPUTED_VALUE"""),"10240069")</f>
        <v>10240069</v>
      </c>
      <c r="S109" s="211" t="str">
        <f>IFERROR(__xludf.DUMMYFUNCTION("""COMPUTED_VALUE"""),"182fb0fe")</f>
        <v>182fb0fe</v>
      </c>
      <c r="T109" s="211" t="str">
        <f>IFERROR(__xludf.DUMMYFUNCTION("""COMPUTED_VALUE"""),"PT Amtech")</f>
        <v>PT Amtech</v>
      </c>
      <c r="U109" s="215">
        <f>IFERROR(__xludf.DUMMYFUNCTION("""COMPUTED_VALUE"""),45595.56525462963)</f>
        <v>45595.56525</v>
      </c>
      <c r="V109"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09" s="211" t="str">
        <f>IFERROR(__xludf.DUMMYFUNCTION("""COMPUTED_VALUE"""),"OUT")</f>
        <v>OUT</v>
      </c>
      <c r="X109" s="211"/>
      <c r="Z109" s="211" t="str">
        <f>IFERROR(__xludf.DUMMYFUNCTION("""COMPUTED_VALUE"""),"0326312856")</f>
        <v>0326312856</v>
      </c>
      <c r="AC109" s="211" t="str">
        <f>IFERROR(__xludf.DUMMYFUNCTION("""COMPUTED_VALUE"""),"880b1d17")</f>
        <v>880b1d17</v>
      </c>
      <c r="AD109" s="211" t="str">
        <f>IFERROR(__xludf.DUMMYFUNCTION("""COMPUTED_VALUE"""),"Bpk. Suyadi")</f>
        <v>Bpk. Suyadi</v>
      </c>
      <c r="AE109" s="211"/>
      <c r="AF109" s="211" t="b">
        <f>IFERROR(__xludf.DUMMYFUNCTION("""COMPUTED_VALUE"""),FALSE)</f>
        <v>0</v>
      </c>
      <c r="AG109" s="211" t="str">
        <f>IFERROR(__xludf.DUMMYFUNCTION("""COMPUTED_VALUE"""),"Ds. Gading RT. 12, RW. 04 Mindugading. Kec. Tarik Kab. Sidoarjo")</f>
        <v>Ds. Gading RT. 12, RW. 04 Mindugading. Kec. Tarik Kab. Sidoarjo</v>
      </c>
      <c r="AH109" s="211"/>
      <c r="AI109" s="211">
        <f>IFERROR(__xludf.DUMMYFUNCTION("""COMPUTED_VALUE"""),15.0)</f>
        <v>15</v>
      </c>
      <c r="AJ109" s="211"/>
      <c r="AL109" s="211" t="str">
        <f>IFERROR(__xludf.DUMMYFUNCTION("""COMPUTED_VALUE"""),"2260204")</f>
        <v>2260204</v>
      </c>
      <c r="AM109" s="211" t="str">
        <f>IFERROR(__xludf.DUMMYFUNCTION("""COMPUTED_VALUE"""),"012642422")</f>
        <v>012642422</v>
      </c>
      <c r="AN109" s="211" t="str">
        <f>IFERROR(__xludf.DUMMYFUNCTION("""COMPUTED_VALUE"""),"98c84274")</f>
        <v>98c84274</v>
      </c>
      <c r="AO109" s="211" t="str">
        <f>IFERROR(__xludf.DUMMYFUNCTION("""COMPUTED_VALUE"""),"Bengkel SBM (Pak Hari)")</f>
        <v>Bengkel SBM (Pak Hari)</v>
      </c>
      <c r="AP109" s="215">
        <f>IFERROR(__xludf.DUMMYFUNCTION("""COMPUTED_VALUE"""),46053.55657407407)</f>
        <v>46053.55657</v>
      </c>
      <c r="AQ109" s="218">
        <f>IFERROR(__xludf.DUMMYFUNCTION("""COMPUTED_VALUE"""),46053.0)</f>
        <v>46053</v>
      </c>
      <c r="AR109" s="211"/>
      <c r="AS109" s="211" t="str">
        <f>IFERROR(__xludf.DUMMYFUNCTION("""COMPUTED_VALUE"""),"880b1d17")</f>
        <v>880b1d17</v>
      </c>
      <c r="AT109" s="211" t="str">
        <f>IFERROR(__xludf.DUMMYFUNCTION("""COMPUTED_VALUE"""),"Bpk. Suyadi")</f>
        <v>Bpk. Suyadi</v>
      </c>
      <c r="AU109" s="211"/>
      <c r="AV109" s="211" t="b">
        <f>IFERROR(__xludf.DUMMYFUNCTION("""COMPUTED_VALUE"""),FALSE)</f>
        <v>0</v>
      </c>
      <c r="AW109" s="211" t="str">
        <f>IFERROR(__xludf.DUMMYFUNCTION("""COMPUTED_VALUE"""),"Ds. Gading RT. 12, RW. 04 Mindugading. Kec. Tarik Kab. Sidoarjo")</f>
        <v>Ds. Gading RT. 12, RW. 04 Mindugading. Kec. Tarik Kab. Sidoarjo</v>
      </c>
      <c r="AX109" s="211"/>
      <c r="AY109" s="211">
        <f>IFERROR(__xludf.DUMMYFUNCTION("""COMPUTED_VALUE"""),15.0)</f>
        <v>15</v>
      </c>
      <c r="AZ109" s="211"/>
      <c r="BB109" s="211"/>
      <c r="BC109" s="211"/>
      <c r="BD109" s="211"/>
      <c r="BE109" s="211"/>
      <c r="BF109" s="211"/>
      <c r="BG109" s="211"/>
      <c r="BH109" s="211"/>
      <c r="BI109" s="211"/>
    </row>
    <row r="110">
      <c r="A110" s="210" t="str">
        <f>IFERROR(__xludf.DUMMYFUNCTION("""COMPUTED_VALUE"""),"10240054")</f>
        <v>10240054</v>
      </c>
      <c r="B110" s="210" t="str">
        <f>IFERROR(__xludf.DUMMYFUNCTION("""COMPUTED_VALUE"""),"10240054")</f>
        <v>10240054</v>
      </c>
      <c r="C110" s="213">
        <f>IFERROR(__xludf.DUMMYFUNCTION("""COMPUTED_VALUE"""),45587.472766203704)</f>
        <v>45587.47277</v>
      </c>
      <c r="D110" s="211" t="str">
        <f>IFERROR(__xludf.DUMMYFUNCTION("""COMPUTED_VALUE"""),"7b9d8eba")</f>
        <v>7b9d8eba</v>
      </c>
      <c r="E110" s="211" t="str">
        <f>IFERROR(__xludf.DUMMYFUNCTION("""COMPUTED_VALUE"""),"PT PELANGI INDOKARYA")</f>
        <v>PT PELANGI INDOKARYA</v>
      </c>
      <c r="F110" s="211" t="str">
        <f>IFERROR(__xludf.DUMMYFUNCTION("""COMPUTED_VALUE"""),"8bdbe149")</f>
        <v>8bdbe149</v>
      </c>
      <c r="G110" s="211" t="str">
        <f>IFERROR(__xludf.DUMMYFUNCTION("""COMPUTED_VALUE"""),"Oksigen 6m3")</f>
        <v>Oksigen 6m3</v>
      </c>
      <c r="H110" s="214" t="str">
        <f>IFERROR(__xludf.DUMMYFUNCTION("""COMPUTED_VALUE"""),"OUT")</f>
        <v>OUT</v>
      </c>
      <c r="I110" s="214" t="str">
        <f>IFERROR(__xludf.DUMMYFUNCTION("""COMPUTED_VALUE"""),"NORMAL")</f>
        <v>NORMAL</v>
      </c>
      <c r="J110" s="211">
        <f>IFERROR(__xludf.DUMMYFUNCTION("""COMPUTED_VALUE"""),5.0)</f>
        <v>5</v>
      </c>
      <c r="K110" s="210" t="str">
        <f>IFERROR(__xludf.DUMMYFUNCTION("""COMPUTED_VALUE"""),"1116 1145 1111 11113 1115")</f>
        <v>1116 1145 1111 11113 1115</v>
      </c>
      <c r="L110" s="211">
        <f>IFERROR(__xludf.DUMMYFUNCTION("""COMPUTED_VALUE"""),60000.0)</f>
        <v>60000</v>
      </c>
      <c r="M110" s="211"/>
      <c r="N110" s="211"/>
      <c r="O110" s="211"/>
      <c r="Q110" s="210" t="str">
        <f>IFERROR(__xludf.DUMMYFUNCTION("""COMPUTED_VALUE"""),"b418f1d7")</f>
        <v>b418f1d7</v>
      </c>
      <c r="R110" s="210" t="str">
        <f>IFERROR(__xludf.DUMMYFUNCTION("""COMPUTED_VALUE"""),"b418f1d7")</f>
        <v>b418f1d7</v>
      </c>
      <c r="S110" s="211" t="str">
        <f>IFERROR(__xludf.DUMMYFUNCTION("""COMPUTED_VALUE"""),"f8335a53")</f>
        <v>f8335a53</v>
      </c>
      <c r="T110" s="211" t="str">
        <f>IFERROR(__xludf.DUMMYFUNCTION("""COMPUTED_VALUE"""),"CV RAGAM JAYA ENGINEERING")</f>
        <v>CV RAGAM JAYA ENGINEERING</v>
      </c>
      <c r="U110" s="215">
        <f>IFERROR(__xludf.DUMMYFUNCTION("""COMPUTED_VALUE"""),45595.61206018519)</f>
        <v>45595.61206</v>
      </c>
      <c r="V110" s="211" t="str">
        <f>IFERROR(__xludf.DUMMYFUNCTION("""COMPUTED_VALUE"""),"Jl. Balung wangon, Dadapkuning, Bulurejo, Kec. Benjeng, Kabupaten Gresik, Jawa Timur 61172")</f>
        <v>Jl. Balung wangon, Dadapkuning, Bulurejo, Kec. Benjeng, Kabupaten Gresik, Jawa Timur 61172</v>
      </c>
      <c r="W110" s="211" t="str">
        <f>IFERROR(__xludf.DUMMYFUNCTION("""COMPUTED_VALUE"""),"IN")</f>
        <v>IN</v>
      </c>
      <c r="X110" s="211"/>
      <c r="Z110" s="211" t="str">
        <f>IFERROR(__xludf.DUMMYFUNCTION("""COMPUTED_VALUE"""),"0326102853")</f>
        <v>0326102853</v>
      </c>
      <c r="AC110" s="211" t="str">
        <f>IFERROR(__xludf.DUMMYFUNCTION("""COMPUTED_VALUE"""),"d46989c9")</f>
        <v>d46989c9</v>
      </c>
      <c r="AD110" s="211" t="str">
        <f>IFERROR(__xludf.DUMMYFUNCTION("""COMPUTED_VALUE"""),"UD. Alin Jaya")</f>
        <v>UD. Alin Jaya</v>
      </c>
      <c r="AE110" s="211"/>
      <c r="AF110" s="211" t="b">
        <f>IFERROR(__xludf.DUMMYFUNCTION("""COMPUTED_VALUE"""),FALSE)</f>
        <v>0</v>
      </c>
      <c r="AG110"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AH110" s="211">
        <f>IFERROR(__xludf.DUMMYFUNCTION("""COMPUTED_VALUE"""),15.0)</f>
        <v>15</v>
      </c>
      <c r="AI110" s="211" t="str">
        <f>IFERROR(__xludf.DUMMYFUNCTION("""COMPUTED_VALUE"""),"085888497099")</f>
        <v>085888497099</v>
      </c>
      <c r="AJ110" s="211"/>
      <c r="AL110" s="211" t="str">
        <f>IFERROR(__xludf.DUMMYFUNCTION("""COMPUTED_VALUE"""),"2260203")</f>
        <v>2260203</v>
      </c>
      <c r="AM110" s="211" t="str">
        <f>IFERROR(__xludf.DUMMYFUNCTION("""COMPUTED_VALUE"""),"012692302")</f>
        <v>012692302</v>
      </c>
      <c r="AN110" s="211" t="str">
        <f>IFERROR(__xludf.DUMMYFUNCTION("""COMPUTED_VALUE"""),"ba97d58d")</f>
        <v>ba97d58d</v>
      </c>
      <c r="AO110" s="211" t="str">
        <f>IFERROR(__xludf.DUMMYFUNCTION("""COMPUTED_VALUE"""),"Bengkel Citra Mojosari")</f>
        <v>Bengkel Citra Mojosari</v>
      </c>
      <c r="AP110" s="215">
        <f>IFERROR(__xludf.DUMMYFUNCTION("""COMPUTED_VALUE"""),46051.53792824074)</f>
        <v>46051.53793</v>
      </c>
      <c r="AQ110" s="218">
        <f>IFERROR(__xludf.DUMMYFUNCTION("""COMPUTED_VALUE"""),46042.0)</f>
        <v>46042</v>
      </c>
      <c r="AR110" s="211"/>
      <c r="AS110" s="211" t="str">
        <f>IFERROR(__xludf.DUMMYFUNCTION("""COMPUTED_VALUE"""),"d46989c9")</f>
        <v>d46989c9</v>
      </c>
      <c r="AT110" s="211" t="str">
        <f>IFERROR(__xludf.DUMMYFUNCTION("""COMPUTED_VALUE"""),"UD. Alin Jaya")</f>
        <v>UD. Alin Jaya</v>
      </c>
      <c r="AU110" s="211"/>
      <c r="AV110" s="211" t="b">
        <f>IFERROR(__xludf.DUMMYFUNCTION("""COMPUTED_VALUE"""),FALSE)</f>
        <v>0</v>
      </c>
      <c r="AW110"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AX110" s="211">
        <f>IFERROR(__xludf.DUMMYFUNCTION("""COMPUTED_VALUE"""),15.0)</f>
        <v>15</v>
      </c>
      <c r="AY110" s="211" t="str">
        <f>IFERROR(__xludf.DUMMYFUNCTION("""COMPUTED_VALUE"""),"085888497099")</f>
        <v>085888497099</v>
      </c>
      <c r="AZ110" s="211"/>
      <c r="BB110" s="211"/>
      <c r="BC110" s="211"/>
      <c r="BD110" s="211"/>
      <c r="BE110" s="211"/>
      <c r="BF110" s="211"/>
      <c r="BG110" s="211"/>
      <c r="BH110" s="211"/>
      <c r="BI110" s="211"/>
    </row>
    <row r="111">
      <c r="A111" s="210" t="str">
        <f>IFERROR(__xludf.DUMMYFUNCTION("""COMPUTED_VALUE"""),"4f00755f")</f>
        <v>4f00755f</v>
      </c>
      <c r="B111" s="210" t="str">
        <f>IFERROR(__xludf.DUMMYFUNCTION("""COMPUTED_VALUE"""),"4f00755f")</f>
        <v>4f00755f</v>
      </c>
      <c r="C111" s="213">
        <f>IFERROR(__xludf.DUMMYFUNCTION("""COMPUTED_VALUE"""),45587.581666666665)</f>
        <v>45587.58167</v>
      </c>
      <c r="D111" s="211" t="str">
        <f>IFERROR(__xludf.DUMMYFUNCTION("""COMPUTED_VALUE"""),"7b9d8eba")</f>
        <v>7b9d8eba</v>
      </c>
      <c r="E111" s="211" t="str">
        <f>IFERROR(__xludf.DUMMYFUNCTION("""COMPUTED_VALUE"""),"PT PELANGI INDOKARYA")</f>
        <v>PT PELANGI INDOKARYA</v>
      </c>
      <c r="F111" s="211" t="str">
        <f>IFERROR(__xludf.DUMMYFUNCTION("""COMPUTED_VALUE"""),"8bdbe149")</f>
        <v>8bdbe149</v>
      </c>
      <c r="G111" s="211" t="str">
        <f>IFERROR(__xludf.DUMMYFUNCTION("""COMPUTED_VALUE"""),"Oksigen 6m3")</f>
        <v>Oksigen 6m3</v>
      </c>
      <c r="H111" s="214" t="str">
        <f>IFERROR(__xludf.DUMMYFUNCTION("""COMPUTED_VALUE"""),"IN")</f>
        <v>IN</v>
      </c>
      <c r="I111" s="214" t="str">
        <f>IFERROR(__xludf.DUMMYFUNCTION("""COMPUTED_VALUE"""),"EMPTY")</f>
        <v>EMPTY</v>
      </c>
      <c r="J111" s="211">
        <f>IFERROR(__xludf.DUMMYFUNCTION("""COMPUTED_VALUE"""),7.0)</f>
        <v>7</v>
      </c>
      <c r="K111" s="210" t="str">
        <f>IFERROR(__xludf.DUMMYFUNCTION("""COMPUTED_VALUE"""),"1122 1123 1124 1149 1154 1187 1184")</f>
        <v>1122 1123 1124 1149 1154 1187 1184</v>
      </c>
      <c r="L111" s="211"/>
      <c r="M111" s="211"/>
      <c r="N111" s="211"/>
      <c r="O111" s="211"/>
      <c r="Q111" s="210" t="str">
        <f>IFERROR(__xludf.DUMMYFUNCTION("""COMPUTED_VALUE"""),"10240070")</f>
        <v>10240070</v>
      </c>
      <c r="R111" s="210" t="str">
        <f>IFERROR(__xludf.DUMMYFUNCTION("""COMPUTED_VALUE"""),"10240070")</f>
        <v>10240070</v>
      </c>
      <c r="S111" s="211" t="str">
        <f>IFERROR(__xludf.DUMMYFUNCTION("""COMPUTED_VALUE"""),"8f5ebaea")</f>
        <v>8f5ebaea</v>
      </c>
      <c r="T111" s="211" t="str">
        <f>IFERROR(__xludf.DUMMYFUNCTION("""COMPUTED_VALUE"""),"PT Hua Zong Mesindo")</f>
        <v>PT Hua Zong Mesindo</v>
      </c>
      <c r="U111" s="215">
        <f>IFERROR(__xludf.DUMMYFUNCTION("""COMPUTED_VALUE"""),45596.49217592593)</f>
        <v>45596.49218</v>
      </c>
      <c r="V111" s="211" t="str">
        <f>IFERROR(__xludf.DUMMYFUNCTION("""COMPUTED_VALUE"""),"Jl. Bypass Krian, Sidotemo, Sidomulyo, Kec. Krian, Kabupaten Sidoarjo, Jawa Timur 61262")</f>
        <v>Jl. Bypass Krian, Sidotemo, Sidomulyo, Kec. Krian, Kabupaten Sidoarjo, Jawa Timur 61262</v>
      </c>
      <c r="W111" s="211" t="str">
        <f>IFERROR(__xludf.DUMMYFUNCTION("""COMPUTED_VALUE"""),"OUT")</f>
        <v>OUT</v>
      </c>
      <c r="X111" s="211"/>
      <c r="Z111" s="211" t="str">
        <f>IFERROR(__xludf.DUMMYFUNCTION("""COMPUTED_VALUE"""),"0326122850")</f>
        <v>0326122850</v>
      </c>
      <c r="AC111" s="211" t="str">
        <f>IFERROR(__xludf.DUMMYFUNCTION("""COMPUTED_VALUE"""),"1a1efff9")</f>
        <v>1a1efff9</v>
      </c>
      <c r="AD111" s="211" t="str">
        <f>IFERROR(__xludf.DUMMYFUNCTION("""COMPUTED_VALUE"""),"Bpk. Gito Mjs")</f>
        <v>Bpk. Gito Mjs</v>
      </c>
      <c r="AE111" s="211"/>
      <c r="AF111" s="211" t="b">
        <f>IFERROR(__xludf.DUMMYFUNCTION("""COMPUTED_VALUE"""),FALSE)</f>
        <v>0</v>
      </c>
      <c r="AG111" s="211" t="str">
        <f>IFERROR(__xludf.DUMMYFUNCTION("""COMPUTED_VALUE"""),"FGRX+QQP, Kemloko, Jotangan, Kec. Mojosari, Kabupaten Mojokerto, Jawa Timur 61382")</f>
        <v>FGRX+QQP, Kemloko, Jotangan, Kec. Mojosari, Kabupaten Mojokerto, Jawa Timur 61382</v>
      </c>
      <c r="AH111" s="211">
        <f>IFERROR(__xludf.DUMMYFUNCTION("""COMPUTED_VALUE"""),15.0)</f>
        <v>15</v>
      </c>
      <c r="AI111" s="211" t="str">
        <f>IFERROR(__xludf.DUMMYFUNCTION("""COMPUTED_VALUE"""),"085812854282")</f>
        <v>085812854282</v>
      </c>
      <c r="AJ111" s="211"/>
      <c r="AL111" s="211" t="str">
        <f>IFERROR(__xludf.DUMMYFUNCTION("""COMPUTED_VALUE"""),"2260200")</f>
        <v>2260200</v>
      </c>
      <c r="AM111" s="211" t="str">
        <f>IFERROR(__xludf.DUMMYFUNCTION("""COMPUTED_VALUE"""),"122541914")</f>
        <v>122541914</v>
      </c>
      <c r="AN111" s="211" t="str">
        <f>IFERROR(__xludf.DUMMYFUNCTION("""COMPUTED_VALUE"""),"ca4876e2")</f>
        <v>ca4876e2</v>
      </c>
      <c r="AO111" s="211" t="str">
        <f>IFERROR(__xludf.DUMMYFUNCTION("""COMPUTED_VALUE"""),"Bengkel Mustika Mojosari")</f>
        <v>Bengkel Mustika Mojosari</v>
      </c>
      <c r="AP111" s="215">
        <f>IFERROR(__xludf.DUMMYFUNCTION("""COMPUTED_VALUE"""),46051.537627314814)</f>
        <v>46051.53763</v>
      </c>
      <c r="AQ111" s="218">
        <f>IFERROR(__xludf.DUMMYFUNCTION("""COMPUTED_VALUE"""),45999.0)</f>
        <v>45999</v>
      </c>
      <c r="AR111" s="211"/>
      <c r="AS111" s="211" t="str">
        <f>IFERROR(__xludf.DUMMYFUNCTION("""COMPUTED_VALUE"""),"1a1efff9")</f>
        <v>1a1efff9</v>
      </c>
      <c r="AT111" s="211" t="str">
        <f>IFERROR(__xludf.DUMMYFUNCTION("""COMPUTED_VALUE"""),"Bpk. Gito Mjs")</f>
        <v>Bpk. Gito Mjs</v>
      </c>
      <c r="AU111" s="211"/>
      <c r="AV111" s="211" t="b">
        <f>IFERROR(__xludf.DUMMYFUNCTION("""COMPUTED_VALUE"""),FALSE)</f>
        <v>0</v>
      </c>
      <c r="AW111" s="211" t="str">
        <f>IFERROR(__xludf.DUMMYFUNCTION("""COMPUTED_VALUE"""),"FGRX+QQP, Kemloko, Jotangan, Kec. Mojosari, Kabupaten Mojokerto, Jawa Timur 61382")</f>
        <v>FGRX+QQP, Kemloko, Jotangan, Kec. Mojosari, Kabupaten Mojokerto, Jawa Timur 61382</v>
      </c>
      <c r="AX111" s="211">
        <f>IFERROR(__xludf.DUMMYFUNCTION("""COMPUTED_VALUE"""),15.0)</f>
        <v>15</v>
      </c>
      <c r="AY111" s="211" t="str">
        <f>IFERROR(__xludf.DUMMYFUNCTION("""COMPUTED_VALUE"""),"085812854282")</f>
        <v>085812854282</v>
      </c>
      <c r="AZ111" s="211"/>
      <c r="BB111" s="211"/>
      <c r="BC111" s="211"/>
      <c r="BD111" s="211"/>
      <c r="BE111" s="211"/>
      <c r="BF111" s="211"/>
      <c r="BG111" s="211"/>
      <c r="BH111" s="211"/>
      <c r="BI111" s="211"/>
    </row>
    <row r="112">
      <c r="A112" s="210" t="str">
        <f>IFERROR(__xludf.DUMMYFUNCTION("""COMPUTED_VALUE"""),"55b150db")</f>
        <v>55b150db</v>
      </c>
      <c r="B112" s="210" t="str">
        <f>IFERROR(__xludf.DUMMYFUNCTION("""COMPUTED_VALUE"""),"55b150db")</f>
        <v>55b150db</v>
      </c>
      <c r="C112" s="213">
        <f>IFERROR(__xludf.DUMMYFUNCTION("""COMPUTED_VALUE"""),45587.585069444445)</f>
        <v>45587.58507</v>
      </c>
      <c r="D112" s="211" t="str">
        <f>IFERROR(__xludf.DUMMYFUNCTION("""COMPUTED_VALUE"""),"f8335a53")</f>
        <v>f8335a53</v>
      </c>
      <c r="E112" s="211" t="str">
        <f>IFERROR(__xludf.DUMMYFUNCTION("""COMPUTED_VALUE"""),"CV RAGAM JAYA ENGINEERING")</f>
        <v>CV RAGAM JAYA ENGINEERING</v>
      </c>
      <c r="F112" s="211" t="str">
        <f>IFERROR(__xludf.DUMMYFUNCTION("""COMPUTED_VALUE"""),"ef306e54")</f>
        <v>ef306e54</v>
      </c>
      <c r="G112" s="211" t="str">
        <f>IFERROR(__xludf.DUMMYFUNCTION("""COMPUTED_VALUE"""),"Karbondioksida")</f>
        <v>Karbondioksida</v>
      </c>
      <c r="H112" s="214" t="str">
        <f>IFERROR(__xludf.DUMMYFUNCTION("""COMPUTED_VALUE"""),"IN")</f>
        <v>IN</v>
      </c>
      <c r="I112" s="214" t="str">
        <f>IFERROR(__xludf.DUMMYFUNCTION("""COMPUTED_VALUE"""),"EMPTY")</f>
        <v>EMPTY</v>
      </c>
      <c r="J112" s="211">
        <f>IFERROR(__xludf.DUMMYFUNCTION("""COMPUTED_VALUE"""),2.0)</f>
        <v>2</v>
      </c>
      <c r="K112" s="210" t="str">
        <f>IFERROR(__xludf.DUMMYFUNCTION("""COMPUTED_VALUE"""),"6850 6655")</f>
        <v>6850 6655</v>
      </c>
      <c r="L112" s="211"/>
      <c r="M112" s="211"/>
      <c r="N112" s="211"/>
      <c r="O112" s="211"/>
      <c r="Q112" s="210" t="str">
        <f>IFERROR(__xludf.DUMMYFUNCTION("""COMPUTED_VALUE"""),"856306cb")</f>
        <v>856306cb</v>
      </c>
      <c r="R112" s="210" t="str">
        <f>IFERROR(__xludf.DUMMYFUNCTION("""COMPUTED_VALUE"""),"856306cb")</f>
        <v>856306cb</v>
      </c>
      <c r="S112" s="211" t="str">
        <f>IFERROR(__xludf.DUMMYFUNCTION("""COMPUTED_VALUE"""),"8f5ebaea")</f>
        <v>8f5ebaea</v>
      </c>
      <c r="T112" s="211" t="str">
        <f>IFERROR(__xludf.DUMMYFUNCTION("""COMPUTED_VALUE"""),"PT Hua Zong Mesindo")</f>
        <v>PT Hua Zong Mesindo</v>
      </c>
      <c r="U112" s="215">
        <f>IFERROR(__xludf.DUMMYFUNCTION("""COMPUTED_VALUE"""),45596.55403935185)</f>
        <v>45596.55404</v>
      </c>
      <c r="V112" s="211" t="str">
        <f>IFERROR(__xludf.DUMMYFUNCTION("""COMPUTED_VALUE"""),"Jl. Bypass Krian, Sidotemo, Sidomulyo, Kec. Krian, Kabupaten Sidoarjo, Jawa Timur 61262")</f>
        <v>Jl. Bypass Krian, Sidotemo, Sidomulyo, Kec. Krian, Kabupaten Sidoarjo, Jawa Timur 61262</v>
      </c>
      <c r="W112" s="211" t="str">
        <f>IFERROR(__xludf.DUMMYFUNCTION("""COMPUTED_VALUE"""),"IN")</f>
        <v>IN</v>
      </c>
      <c r="X112" s="211"/>
      <c r="Z112" s="211" t="str">
        <f>IFERROR(__xludf.DUMMYFUNCTION("""COMPUTED_VALUE"""),"032682849")</f>
        <v>032682849</v>
      </c>
      <c r="AC112" s="211" t="str">
        <f>IFERROR(__xludf.DUMMYFUNCTION("""COMPUTED_VALUE"""),"1f9fafcc")</f>
        <v>1f9fafcc</v>
      </c>
      <c r="AD112" s="211" t="str">
        <f>IFERROR(__xludf.DUMMYFUNCTION("""COMPUTED_VALUE"""),"Bpk. Roby (MJA)")</f>
        <v>Bpk. Roby (MJA)</v>
      </c>
      <c r="AE112" s="211"/>
      <c r="AF112" s="211" t="b">
        <f>IFERROR(__xludf.DUMMYFUNCTION("""COMPUTED_VALUE"""),FALSE)</f>
        <v>0</v>
      </c>
      <c r="AG112" s="211" t="str">
        <f>IFERROR(__xludf.DUMMYFUNCTION("""COMPUTED_VALUE"""),"Jl. Raya Jl. Bypass Krian, Kraton, Sidomulyo, Kec. Krian, Kabupaten Sidoarjo, Jawa Timur 61262")</f>
        <v>Jl. Raya Jl. Bypass Krian, Kraton, Sidomulyo, Kec. Krian, Kabupaten Sidoarjo, Jawa Timur 61262</v>
      </c>
      <c r="AH112" s="211"/>
      <c r="AI112" s="211"/>
      <c r="AJ112" s="211"/>
      <c r="AL112" s="211" t="str">
        <f>IFERROR(__xludf.DUMMYFUNCTION("""COMPUTED_VALUE"""),"2260200")</f>
        <v>2260200</v>
      </c>
      <c r="AM112" s="211" t="str">
        <f>IFERROR(__xludf.DUMMYFUNCTION("""COMPUTED_VALUE"""),"012642168")</f>
        <v>012642168</v>
      </c>
      <c r="AN112" s="211" t="str">
        <f>IFERROR(__xludf.DUMMYFUNCTION("""COMPUTED_VALUE"""),"ca4876e2")</f>
        <v>ca4876e2</v>
      </c>
      <c r="AO112" s="211" t="str">
        <f>IFERROR(__xludf.DUMMYFUNCTION("""COMPUTED_VALUE"""),"Bengkel Mustika Mojosari")</f>
        <v>Bengkel Mustika Mojosari</v>
      </c>
      <c r="AP112" s="215">
        <f>IFERROR(__xludf.DUMMYFUNCTION("""COMPUTED_VALUE"""),46051.537627314814)</f>
        <v>46051.53763</v>
      </c>
      <c r="AQ112" s="218">
        <f>IFERROR(__xludf.DUMMYFUNCTION("""COMPUTED_VALUE"""),46028.0)</f>
        <v>46028</v>
      </c>
      <c r="AR112" s="211"/>
      <c r="AS112" s="211" t="str">
        <f>IFERROR(__xludf.DUMMYFUNCTION("""COMPUTED_VALUE"""),"1f9fafcc")</f>
        <v>1f9fafcc</v>
      </c>
      <c r="AT112" s="211" t="str">
        <f>IFERROR(__xludf.DUMMYFUNCTION("""COMPUTED_VALUE"""),"Bpk. Roby (MJA)")</f>
        <v>Bpk. Roby (MJA)</v>
      </c>
      <c r="AU112" s="211"/>
      <c r="AV112" s="211" t="b">
        <f>IFERROR(__xludf.DUMMYFUNCTION("""COMPUTED_VALUE"""),FALSE)</f>
        <v>0</v>
      </c>
      <c r="AW112" s="211" t="str">
        <f>IFERROR(__xludf.DUMMYFUNCTION("""COMPUTED_VALUE"""),"Jl. Raya Jl. Bypass Krian, Kraton, Sidomulyo, Kec. Krian, Kabupaten Sidoarjo, Jawa Timur 61262")</f>
        <v>Jl. Raya Jl. Bypass Krian, Kraton, Sidomulyo, Kec. Krian, Kabupaten Sidoarjo, Jawa Timur 61262</v>
      </c>
      <c r="AX112" s="211"/>
      <c r="AY112" s="211"/>
      <c r="AZ112" s="211"/>
      <c r="BB112" s="211"/>
      <c r="BC112" s="211"/>
      <c r="BD112" s="211"/>
      <c r="BE112" s="211"/>
      <c r="BF112" s="211"/>
      <c r="BG112" s="211"/>
      <c r="BH112" s="211"/>
      <c r="BI112" s="211"/>
    </row>
    <row r="113">
      <c r="A113" s="210" t="str">
        <f>IFERROR(__xludf.DUMMYFUNCTION("""COMPUTED_VALUE"""),"55b150db")</f>
        <v>55b150db</v>
      </c>
      <c r="B113" s="210" t="str">
        <f>IFERROR(__xludf.DUMMYFUNCTION("""COMPUTED_VALUE"""),"55b150db")</f>
        <v>55b150db</v>
      </c>
      <c r="C113" s="213">
        <f>IFERROR(__xludf.DUMMYFUNCTION("""COMPUTED_VALUE"""),45587.585914351854)</f>
        <v>45587.58591</v>
      </c>
      <c r="D113" s="211" t="str">
        <f>IFERROR(__xludf.DUMMYFUNCTION("""COMPUTED_VALUE"""),"f8335a53")</f>
        <v>f8335a53</v>
      </c>
      <c r="E113" s="211" t="str">
        <f>IFERROR(__xludf.DUMMYFUNCTION("""COMPUTED_VALUE"""),"CV RAGAM JAYA ENGINEERING")</f>
        <v>CV RAGAM JAYA ENGINEERING</v>
      </c>
      <c r="F113" s="211" t="str">
        <f>IFERROR(__xludf.DUMMYFUNCTION("""COMPUTED_VALUE"""),"be525f3b")</f>
        <v>be525f3b</v>
      </c>
      <c r="G113" s="211" t="str">
        <f>IFERROR(__xludf.DUMMYFUNCTION("""COMPUTED_VALUE"""),"LPG 12kg")</f>
        <v>LPG 12kg</v>
      </c>
      <c r="H113" s="214" t="str">
        <f>IFERROR(__xludf.DUMMYFUNCTION("""COMPUTED_VALUE"""),"IN")</f>
        <v>IN</v>
      </c>
      <c r="I113" s="214" t="str">
        <f>IFERROR(__xludf.DUMMYFUNCTION("""COMPUTED_VALUE"""),"EMPTY")</f>
        <v>EMPTY</v>
      </c>
      <c r="J113" s="211">
        <f>IFERROR(__xludf.DUMMYFUNCTION("""COMPUTED_VALUE"""),1.0)</f>
        <v>1</v>
      </c>
      <c r="K113" s="211"/>
      <c r="L113" s="211"/>
      <c r="M113" s="211"/>
      <c r="N113" s="211"/>
      <c r="O113" s="211"/>
      <c r="Q113" s="210" t="str">
        <f>IFERROR(__xludf.DUMMYFUNCTION("""COMPUTED_VALUE"""),"10240073")</f>
        <v>10240073</v>
      </c>
      <c r="R113" s="210" t="str">
        <f>IFERROR(__xludf.DUMMYFUNCTION("""COMPUTED_VALUE"""),"10240073")</f>
        <v>10240073</v>
      </c>
      <c r="S113" s="211" t="str">
        <f>IFERROR(__xludf.DUMMYFUNCTION("""COMPUTED_VALUE"""),"c2f5a4a7")</f>
        <v>c2f5a4a7</v>
      </c>
      <c r="T113" s="211" t="str">
        <f>IFERROR(__xludf.DUMMYFUNCTION("""COMPUTED_VALUE"""),"UD Sumber Berlian")</f>
        <v>UD Sumber Berlian</v>
      </c>
      <c r="U113" s="215">
        <f>IFERROR(__xludf.DUMMYFUNCTION("""COMPUTED_VALUE"""),45596.59950231481)</f>
        <v>45596.5995</v>
      </c>
      <c r="V113" s="211" t="str">
        <f>IFERROR(__xludf.DUMMYFUNCTION("""COMPUTED_VALUE"""),"Ciro Kulon, Bakungtemenggungan, Kec. BalongBendo, Kabupaten Sidoarjo, Jawa Timur 61263")</f>
        <v>Ciro Kulon, Bakungtemenggungan, Kec. BalongBendo, Kabupaten Sidoarjo, Jawa Timur 61263</v>
      </c>
      <c r="W113" s="211" t="str">
        <f>IFERROR(__xludf.DUMMYFUNCTION("""COMPUTED_VALUE"""),"OUT")</f>
        <v>OUT</v>
      </c>
      <c r="X113" s="211"/>
      <c r="Z113" s="211" t="str">
        <f>IFERROR(__xludf.DUMMYFUNCTION("""COMPUTED_VALUE"""),"0326152854")</f>
        <v>0326152854</v>
      </c>
      <c r="AC113" s="211" t="str">
        <f>IFERROR(__xludf.DUMMYFUNCTION("""COMPUTED_VALUE"""),"b89c20a1")</f>
        <v>b89c20a1</v>
      </c>
      <c r="AD113" s="211" t="str">
        <f>IFERROR(__xludf.DUMMYFUNCTION("""COMPUTED_VALUE"""),"Harini dini")</f>
        <v>Harini dini</v>
      </c>
      <c r="AE113" s="211"/>
      <c r="AF113" s="211" t="b">
        <f>IFERROR(__xludf.DUMMYFUNCTION("""COMPUTED_VALUE"""),FALSE)</f>
        <v>0</v>
      </c>
      <c r="AG113" s="211" t="str">
        <f>IFERROR(__xludf.DUMMYFUNCTION("""COMPUTED_VALUE"""),"Kraton RT 15 RW 03  Kraton Krian Sidoarjo")</f>
        <v>Kraton RT 15 RW 03  Kraton Krian Sidoarjo</v>
      </c>
      <c r="AH113" s="211">
        <f>IFERROR(__xludf.DUMMYFUNCTION("""COMPUTED_VALUE"""),15.0)</f>
        <v>15</v>
      </c>
      <c r="AI113" s="211" t="str">
        <f>IFERROR(__xludf.DUMMYFUNCTION("""COMPUTED_VALUE"""),"082264556177")</f>
        <v>082264556177</v>
      </c>
      <c r="AJ113" s="211"/>
      <c r="AL113" s="211" t="str">
        <f>IFERROR(__xludf.DUMMYFUNCTION("""COMPUTED_VALUE"""),"2260200")</f>
        <v>2260200</v>
      </c>
      <c r="AM113" s="211" t="str">
        <f>IFERROR(__xludf.DUMMYFUNCTION("""COMPUTED_VALUE"""),"012652349")</f>
        <v>012652349</v>
      </c>
      <c r="AN113" s="211" t="str">
        <f>IFERROR(__xludf.DUMMYFUNCTION("""COMPUTED_VALUE"""),"ca4876e2")</f>
        <v>ca4876e2</v>
      </c>
      <c r="AO113" s="211" t="str">
        <f>IFERROR(__xludf.DUMMYFUNCTION("""COMPUTED_VALUE"""),"Bengkel Mustika Mojosari")</f>
        <v>Bengkel Mustika Mojosari</v>
      </c>
      <c r="AP113" s="215">
        <f>IFERROR(__xludf.DUMMYFUNCTION("""COMPUTED_VALUE"""),46051.537627314814)</f>
        <v>46051.53763</v>
      </c>
      <c r="AQ113" s="218">
        <f>IFERROR(__xludf.DUMMYFUNCTION("""COMPUTED_VALUE"""),46046.0)</f>
        <v>46046</v>
      </c>
      <c r="AR113" s="211"/>
      <c r="AS113" s="211" t="str">
        <f>IFERROR(__xludf.DUMMYFUNCTION("""COMPUTED_VALUE"""),"b89c20a1")</f>
        <v>b89c20a1</v>
      </c>
      <c r="AT113" s="211" t="str">
        <f>IFERROR(__xludf.DUMMYFUNCTION("""COMPUTED_VALUE"""),"Harini dini")</f>
        <v>Harini dini</v>
      </c>
      <c r="AU113" s="211"/>
      <c r="AV113" s="211" t="b">
        <f>IFERROR(__xludf.DUMMYFUNCTION("""COMPUTED_VALUE"""),FALSE)</f>
        <v>0</v>
      </c>
      <c r="AW113" s="211" t="str">
        <f>IFERROR(__xludf.DUMMYFUNCTION("""COMPUTED_VALUE"""),"Kraton RT 15 RW 03  Kraton Krian Sidoarjo")</f>
        <v>Kraton RT 15 RW 03  Kraton Krian Sidoarjo</v>
      </c>
      <c r="AX113" s="211">
        <f>IFERROR(__xludf.DUMMYFUNCTION("""COMPUTED_VALUE"""),15.0)</f>
        <v>15</v>
      </c>
      <c r="AY113" s="211" t="str">
        <f>IFERROR(__xludf.DUMMYFUNCTION("""COMPUTED_VALUE"""),"082264556177")</f>
        <v>082264556177</v>
      </c>
      <c r="AZ113" s="211"/>
      <c r="BB113" s="211"/>
      <c r="BC113" s="211"/>
      <c r="BD113" s="211"/>
      <c r="BE113" s="211"/>
      <c r="BF113" s="211"/>
      <c r="BG113" s="211"/>
      <c r="BH113" s="211"/>
      <c r="BI113" s="211"/>
    </row>
    <row r="114">
      <c r="A114" s="210" t="str">
        <f>IFERROR(__xludf.DUMMYFUNCTION("""COMPUTED_VALUE"""),"55b150db")</f>
        <v>55b150db</v>
      </c>
      <c r="B114" s="210" t="str">
        <f>IFERROR(__xludf.DUMMYFUNCTION("""COMPUTED_VALUE"""),"55b150db")</f>
        <v>55b150db</v>
      </c>
      <c r="C114" s="213">
        <f>IFERROR(__xludf.DUMMYFUNCTION("""COMPUTED_VALUE"""),45587.601331018515)</f>
        <v>45587.60133</v>
      </c>
      <c r="D114" s="211" t="str">
        <f>IFERROR(__xludf.DUMMYFUNCTION("""COMPUTED_VALUE"""),"f8335a53")</f>
        <v>f8335a53</v>
      </c>
      <c r="E114" s="211" t="str">
        <f>IFERROR(__xludf.DUMMYFUNCTION("""COMPUTED_VALUE"""),"CV RAGAM JAYA ENGINEERING")</f>
        <v>CV RAGAM JAYA ENGINEERING</v>
      </c>
      <c r="F114" s="211" t="str">
        <f>IFERROR(__xludf.DUMMYFUNCTION("""COMPUTED_VALUE"""),"8bdbe149")</f>
        <v>8bdbe149</v>
      </c>
      <c r="G114" s="211" t="str">
        <f>IFERROR(__xludf.DUMMYFUNCTION("""COMPUTED_VALUE"""),"Oksigen 6m3")</f>
        <v>Oksigen 6m3</v>
      </c>
      <c r="H114" s="214" t="str">
        <f>IFERROR(__xludf.DUMMYFUNCTION("""COMPUTED_VALUE"""),"IN")</f>
        <v>IN</v>
      </c>
      <c r="I114" s="214" t="str">
        <f>IFERROR(__xludf.DUMMYFUNCTION("""COMPUTED_VALUE"""),"EMPTY")</f>
        <v>EMPTY</v>
      </c>
      <c r="J114" s="211">
        <f>IFERROR(__xludf.DUMMYFUNCTION("""COMPUTED_VALUE"""),6.0)</f>
        <v>6</v>
      </c>
      <c r="K114" s="210" t="str">
        <f>IFERROR(__xludf.DUMMYFUNCTION("""COMPUTED_VALUE"""),"1196 1191 1134 1137 1118 1144")</f>
        <v>1196 1191 1134 1137 1118 1144</v>
      </c>
      <c r="L114" s="211"/>
      <c r="M114" s="211"/>
      <c r="N114" s="211"/>
      <c r="O114" s="211"/>
      <c r="Q114" s="210" t="str">
        <f>IFERROR(__xludf.DUMMYFUNCTION("""COMPUTED_VALUE"""),"e973e69b")</f>
        <v>e973e69b</v>
      </c>
      <c r="R114" s="210" t="str">
        <f>IFERROR(__xludf.DUMMYFUNCTION("""COMPUTED_VALUE"""),"e973e69b")</f>
        <v>e973e69b</v>
      </c>
      <c r="S114" s="211" t="str">
        <f>IFERROR(__xludf.DUMMYFUNCTION("""COMPUTED_VALUE"""),"c2f5a4a7")</f>
        <v>c2f5a4a7</v>
      </c>
      <c r="T114" s="211" t="str">
        <f>IFERROR(__xludf.DUMMYFUNCTION("""COMPUTED_VALUE"""),"UD Sumber Berlian")</f>
        <v>UD Sumber Berlian</v>
      </c>
      <c r="U114" s="215">
        <f>IFERROR(__xludf.DUMMYFUNCTION("""COMPUTED_VALUE"""),45596.652442129634)</f>
        <v>45596.65244</v>
      </c>
      <c r="V114" s="211" t="str">
        <f>IFERROR(__xludf.DUMMYFUNCTION("""COMPUTED_VALUE"""),"Ciro Kulon, Bakungtemenggungan, Kec. BalongBendo, Kabupaten Sidoarjo, Jawa Timur 61263")</f>
        <v>Ciro Kulon, Bakungtemenggungan, Kec. BalongBendo, Kabupaten Sidoarjo, Jawa Timur 61263</v>
      </c>
      <c r="W114" s="211" t="str">
        <f>IFERROR(__xludf.DUMMYFUNCTION("""COMPUTED_VALUE"""),"IN")</f>
        <v>IN</v>
      </c>
      <c r="X114" s="211"/>
      <c r="Z114" s="211" t="str">
        <f>IFERROR(__xludf.DUMMYFUNCTION("""COMPUTED_VALUE"""),"032632846")</f>
        <v>032632846</v>
      </c>
      <c r="AC114" s="211" t="str">
        <f>IFERROR(__xludf.DUMMYFUNCTION("""COMPUTED_VALUE"""),"52cc8b7f")</f>
        <v>52cc8b7f</v>
      </c>
      <c r="AD114" s="211" t="str">
        <f>IFERROR(__xludf.DUMMYFUNCTION("""COMPUTED_VALUE"""),"Ibu Ainun")</f>
        <v>Ibu Ainun</v>
      </c>
      <c r="AE114" s="211"/>
      <c r="AF114" s="211" t="b">
        <f>IFERROR(__xludf.DUMMYFUNCTION("""COMPUTED_VALUE"""),FALSE)</f>
        <v>0</v>
      </c>
      <c r="AG114" s="211" t="str">
        <f>IFERROR(__xludf.DUMMYFUNCTION("""COMPUTED_VALUE"""),"Parengan RT 16 RW 04 Kraton Krian Sidoarjo")</f>
        <v>Parengan RT 16 RW 04 Kraton Krian Sidoarjo</v>
      </c>
      <c r="AH114" s="211">
        <f>IFERROR(__xludf.DUMMYFUNCTION("""COMPUTED_VALUE"""),15.0)</f>
        <v>15</v>
      </c>
      <c r="AI114" s="211"/>
      <c r="AJ114" s="211"/>
      <c r="AL114" s="211" t="str">
        <f>IFERROR(__xludf.DUMMYFUNCTION("""COMPUTED_VALUE"""),"2260198")</f>
        <v>2260198</v>
      </c>
      <c r="AM114" s="211" t="str">
        <f>IFERROR(__xludf.DUMMYFUNCTION("""COMPUTED_VALUE"""),"1225172110")</f>
        <v>1225172110</v>
      </c>
      <c r="AN114" s="211" t="str">
        <f>IFERROR(__xludf.DUMMYFUNCTION("""COMPUTED_VALUE"""),"b218b89b")</f>
        <v>b218b89b</v>
      </c>
      <c r="AO114" s="211" t="str">
        <f>IFERROR(__xludf.DUMMYFUNCTION("""COMPUTED_VALUE"""),"PT Harapan Sentosa")</f>
        <v>PT Harapan Sentosa</v>
      </c>
      <c r="AP114" s="215">
        <f>IFERROR(__xludf.DUMMYFUNCTION("""COMPUTED_VALUE"""),46051.537245370375)</f>
        <v>46051.53725</v>
      </c>
      <c r="AQ114" s="218">
        <f>IFERROR(__xludf.DUMMYFUNCTION("""COMPUTED_VALUE"""),46020.0)</f>
        <v>46020</v>
      </c>
      <c r="AR114" s="211"/>
      <c r="AS114" s="211" t="str">
        <f>IFERROR(__xludf.DUMMYFUNCTION("""COMPUTED_VALUE"""),"52cc8b7f")</f>
        <v>52cc8b7f</v>
      </c>
      <c r="AT114" s="211" t="str">
        <f>IFERROR(__xludf.DUMMYFUNCTION("""COMPUTED_VALUE"""),"Ibu Ainun")</f>
        <v>Ibu Ainun</v>
      </c>
      <c r="AU114" s="211"/>
      <c r="AV114" s="211" t="b">
        <f>IFERROR(__xludf.DUMMYFUNCTION("""COMPUTED_VALUE"""),FALSE)</f>
        <v>0</v>
      </c>
      <c r="AW114" s="211" t="str">
        <f>IFERROR(__xludf.DUMMYFUNCTION("""COMPUTED_VALUE"""),"Parengan RT 16 RW 04 Kraton Krian Sidoarjo")</f>
        <v>Parengan RT 16 RW 04 Kraton Krian Sidoarjo</v>
      </c>
      <c r="AX114" s="211">
        <f>IFERROR(__xludf.DUMMYFUNCTION("""COMPUTED_VALUE"""),15.0)</f>
        <v>15</v>
      </c>
      <c r="AY114" s="211"/>
      <c r="AZ114" s="211"/>
      <c r="BB114" s="211"/>
      <c r="BC114" s="211"/>
      <c r="BD114" s="211"/>
      <c r="BE114" s="211"/>
      <c r="BF114" s="211"/>
      <c r="BG114" s="211"/>
      <c r="BH114" s="211"/>
      <c r="BI114" s="211"/>
    </row>
    <row r="115">
      <c r="A115" s="210" t="str">
        <f>IFERROR(__xludf.DUMMYFUNCTION("""COMPUTED_VALUE"""),"10240055")</f>
        <v>10240055</v>
      </c>
      <c r="B115" s="210" t="str">
        <f>IFERROR(__xludf.DUMMYFUNCTION("""COMPUTED_VALUE"""),"10240055")</f>
        <v>10240055</v>
      </c>
      <c r="C115" s="213">
        <f>IFERROR(__xludf.DUMMYFUNCTION("""COMPUTED_VALUE"""),45588.41204861111)</f>
        <v>45588.41205</v>
      </c>
      <c r="D115" s="211" t="str">
        <f>IFERROR(__xludf.DUMMYFUNCTION("""COMPUTED_VALUE"""),"c2f5a4a7")</f>
        <v>c2f5a4a7</v>
      </c>
      <c r="E115" s="211" t="str">
        <f>IFERROR(__xludf.DUMMYFUNCTION("""COMPUTED_VALUE"""),"UD Sumber Berlian")</f>
        <v>UD Sumber Berlian</v>
      </c>
      <c r="F115" s="211" t="str">
        <f>IFERROR(__xludf.DUMMYFUNCTION("""COMPUTED_VALUE"""),"8bdbe149")</f>
        <v>8bdbe149</v>
      </c>
      <c r="G115" s="211" t="str">
        <f>IFERROR(__xludf.DUMMYFUNCTION("""COMPUTED_VALUE"""),"Oksigen 6m3")</f>
        <v>Oksigen 6m3</v>
      </c>
      <c r="H115" s="214" t="str">
        <f>IFERROR(__xludf.DUMMYFUNCTION("""COMPUTED_VALUE"""),"OUT")</f>
        <v>OUT</v>
      </c>
      <c r="I115" s="214" t="str">
        <f>IFERROR(__xludf.DUMMYFUNCTION("""COMPUTED_VALUE"""),"NORMAL")</f>
        <v>NORMAL</v>
      </c>
      <c r="J115" s="211">
        <f>IFERROR(__xludf.DUMMYFUNCTION("""COMPUTED_VALUE"""),10.0)</f>
        <v>10</v>
      </c>
      <c r="K115" s="210" t="str">
        <f>IFERROR(__xludf.DUMMYFUNCTION("""COMPUTED_VALUE"""),"1144 1191 1149 1137 1118 1120 11101 1125 1148 1141")</f>
        <v>1144 1191 1149 1137 1118 1120 11101 1125 1148 1141</v>
      </c>
      <c r="L115" s="211">
        <f>IFERROR(__xludf.DUMMYFUNCTION("""COMPUTED_VALUE"""),70000.0)</f>
        <v>70000</v>
      </c>
      <c r="M115" s="211"/>
      <c r="N115" s="211"/>
      <c r="O115" s="211"/>
      <c r="Q115" s="210" t="str">
        <f>IFERROR(__xludf.DUMMYFUNCTION("""COMPUTED_VALUE"""),"11240074")</f>
        <v>11240074</v>
      </c>
      <c r="R115" s="210" t="str">
        <f>IFERROR(__xludf.DUMMYFUNCTION("""COMPUTED_VALUE"""),"11240074")</f>
        <v>11240074</v>
      </c>
      <c r="S115" s="211" t="str">
        <f>IFERROR(__xludf.DUMMYFUNCTION("""COMPUTED_VALUE"""),"4ec68cf6")</f>
        <v>4ec68cf6</v>
      </c>
      <c r="T115" s="211" t="str">
        <f>IFERROR(__xludf.DUMMYFUNCTION("""COMPUTED_VALUE"""),"CV Sido Mukti Karya")</f>
        <v>CV Sido Mukti Karya</v>
      </c>
      <c r="U115" s="215">
        <f>IFERROR(__xludf.DUMMYFUNCTION("""COMPUTED_VALUE"""),45597.62666666666)</f>
        <v>45597.62667</v>
      </c>
      <c r="V115" s="211" t="str">
        <f>IFERROR(__xludf.DUMMYFUNCTION("""COMPUTED_VALUE"""),"Pergudangan Center Point no A3, Kemangsen")</f>
        <v>Pergudangan Center Point no A3, Kemangsen</v>
      </c>
      <c r="W115" s="211" t="str">
        <f>IFERROR(__xludf.DUMMYFUNCTION("""COMPUTED_VALUE"""),"OUT")</f>
        <v>OUT</v>
      </c>
      <c r="X115" s="211"/>
      <c r="Z115" s="211" t="str">
        <f>IFERROR(__xludf.DUMMYFUNCTION("""COMPUTED_VALUE"""),"0326212845")</f>
        <v>0326212845</v>
      </c>
      <c r="AC115" s="211" t="str">
        <f>IFERROR(__xludf.DUMMYFUNCTION("""COMPUTED_VALUE"""),"2814d559")</f>
        <v>2814d559</v>
      </c>
      <c r="AD115" s="211" t="str">
        <f>IFERROR(__xludf.DUMMYFUNCTION("""COMPUTED_VALUE"""),"Bpk. Gunarso")</f>
        <v>Bpk. Gunarso</v>
      </c>
      <c r="AE115" s="211"/>
      <c r="AF115" s="211" t="b">
        <f>IFERROR(__xludf.DUMMYFUNCTION("""COMPUTED_VALUE"""),FALSE)</f>
        <v>0</v>
      </c>
      <c r="AG115" s="211" t="str">
        <f>IFERROR(__xludf.DUMMYFUNCTION("""COMPUTED_VALUE"""),"Kraton RT 13 RW 03 Kraton Krian Sidoarjo Jawa Timur")</f>
        <v>Kraton RT 13 RW 03 Kraton Krian Sidoarjo Jawa Timur</v>
      </c>
      <c r="AH115" s="211">
        <f>IFERROR(__xludf.DUMMYFUNCTION("""COMPUTED_VALUE"""),15.0)</f>
        <v>15</v>
      </c>
      <c r="AI115" s="211" t="str">
        <f>IFERROR(__xludf.DUMMYFUNCTION("""COMPUTED_VALUE"""),"081333142090")</f>
        <v>081333142090</v>
      </c>
      <c r="AJ115" s="211"/>
      <c r="AL115" s="211" t="str">
        <f>IFERROR(__xludf.DUMMYFUNCTION("""COMPUTED_VALUE"""),"2260198")</f>
        <v>2260198</v>
      </c>
      <c r="AM115" s="211" t="str">
        <f>IFERROR(__xludf.DUMMYFUNCTION("""COMPUTED_VALUE"""),"0126182142")</f>
        <v>0126182142</v>
      </c>
      <c r="AN115" s="211" t="str">
        <f>IFERROR(__xludf.DUMMYFUNCTION("""COMPUTED_VALUE"""),"b218b89b")</f>
        <v>b218b89b</v>
      </c>
      <c r="AO115" s="211" t="str">
        <f>IFERROR(__xludf.DUMMYFUNCTION("""COMPUTED_VALUE"""),"PT Harapan Sentosa")</f>
        <v>PT Harapan Sentosa</v>
      </c>
      <c r="AP115" s="215">
        <f>IFERROR(__xludf.DUMMYFUNCTION("""COMPUTED_VALUE"""),46051.537245370375)</f>
        <v>46051.53725</v>
      </c>
      <c r="AQ115" s="218">
        <f>IFERROR(__xludf.DUMMYFUNCTION("""COMPUTED_VALUE"""),46025.0)</f>
        <v>46025</v>
      </c>
      <c r="AR115" s="211"/>
      <c r="AS115" s="211" t="str">
        <f>IFERROR(__xludf.DUMMYFUNCTION("""COMPUTED_VALUE"""),"2814d559")</f>
        <v>2814d559</v>
      </c>
      <c r="AT115" s="211" t="str">
        <f>IFERROR(__xludf.DUMMYFUNCTION("""COMPUTED_VALUE"""),"Bpk. Gunarso")</f>
        <v>Bpk. Gunarso</v>
      </c>
      <c r="AU115" s="211"/>
      <c r="AV115" s="211" t="b">
        <f>IFERROR(__xludf.DUMMYFUNCTION("""COMPUTED_VALUE"""),FALSE)</f>
        <v>0</v>
      </c>
      <c r="AW115" s="211" t="str">
        <f>IFERROR(__xludf.DUMMYFUNCTION("""COMPUTED_VALUE"""),"Kraton RT 13 RW 03 Kraton Krian Sidoarjo Jawa Timur")</f>
        <v>Kraton RT 13 RW 03 Kraton Krian Sidoarjo Jawa Timur</v>
      </c>
      <c r="AX115" s="211">
        <f>IFERROR(__xludf.DUMMYFUNCTION("""COMPUTED_VALUE"""),15.0)</f>
        <v>15</v>
      </c>
      <c r="AY115" s="211" t="str">
        <f>IFERROR(__xludf.DUMMYFUNCTION("""COMPUTED_VALUE"""),"081333142090")</f>
        <v>081333142090</v>
      </c>
      <c r="AZ115" s="211"/>
      <c r="BB115" s="211"/>
      <c r="BC115" s="211"/>
      <c r="BD115" s="211"/>
      <c r="BE115" s="211"/>
      <c r="BF115" s="211"/>
      <c r="BG115" s="211"/>
      <c r="BH115" s="211"/>
      <c r="BI115" s="211"/>
    </row>
    <row r="116">
      <c r="A116" s="210" t="str">
        <f>IFERROR(__xludf.DUMMYFUNCTION("""COMPUTED_VALUE"""),"10240056")</f>
        <v>10240056</v>
      </c>
      <c r="B116" s="210" t="str">
        <f>IFERROR(__xludf.DUMMYFUNCTION("""COMPUTED_VALUE"""),"10240056")</f>
        <v>10240056</v>
      </c>
      <c r="C116" s="213">
        <f>IFERROR(__xludf.DUMMYFUNCTION("""COMPUTED_VALUE"""),45589.414247685185)</f>
        <v>45589.41425</v>
      </c>
      <c r="D116" s="211" t="str">
        <f>IFERROR(__xludf.DUMMYFUNCTION("""COMPUTED_VALUE"""),"17af2683")</f>
        <v>17af2683</v>
      </c>
      <c r="E116" s="211" t="str">
        <f>IFERROR(__xludf.DUMMYFUNCTION("""COMPUTED_VALUE"""),"H. Fatoni")</f>
        <v>H. Fatoni</v>
      </c>
      <c r="F116" s="211" t="str">
        <f>IFERROR(__xludf.DUMMYFUNCTION("""COMPUTED_VALUE"""),"8bdbe149")</f>
        <v>8bdbe149</v>
      </c>
      <c r="G116" s="211" t="str">
        <f>IFERROR(__xludf.DUMMYFUNCTION("""COMPUTED_VALUE"""),"Oksigen 6m3")</f>
        <v>Oksigen 6m3</v>
      </c>
      <c r="H116" s="214" t="str">
        <f>IFERROR(__xludf.DUMMYFUNCTION("""COMPUTED_VALUE"""),"OUT")</f>
        <v>OUT</v>
      </c>
      <c r="I116" s="214" t="str">
        <f>IFERROR(__xludf.DUMMYFUNCTION("""COMPUTED_VALUE"""),"NORMAL")</f>
        <v>NORMAL</v>
      </c>
      <c r="J116" s="211">
        <f>IFERROR(__xludf.DUMMYFUNCTION("""COMPUTED_VALUE"""),3.0)</f>
        <v>3</v>
      </c>
      <c r="K116" s="210" t="str">
        <f>IFERROR(__xludf.DUMMYFUNCTION("""COMPUTED_VALUE"""),"1154 1143 1123")</f>
        <v>1154 1143 1123</v>
      </c>
      <c r="L116" s="211">
        <f>IFERROR(__xludf.DUMMYFUNCTION("""COMPUTED_VALUE"""),70000.0)</f>
        <v>70000</v>
      </c>
      <c r="M116" s="211"/>
      <c r="N116" s="211"/>
      <c r="O116" s="211"/>
      <c r="Q116" s="210" t="str">
        <f>IFERROR(__xludf.DUMMYFUNCTION("""COMPUTED_VALUE"""),"8a6b03a3")</f>
        <v>8a6b03a3</v>
      </c>
      <c r="R116" s="210" t="str">
        <f>IFERROR(__xludf.DUMMYFUNCTION("""COMPUTED_VALUE"""),"8a6b03a3")</f>
        <v>8a6b03a3</v>
      </c>
      <c r="S116" s="211" t="str">
        <f>IFERROR(__xludf.DUMMYFUNCTION("""COMPUTED_VALUE"""),"72d9a70c")</f>
        <v>72d9a70c</v>
      </c>
      <c r="T116" s="211" t="str">
        <f>IFERROR(__xludf.DUMMYFUNCTION("""COMPUTED_VALUE"""),"PT Beton Prima Indonesia")</f>
        <v>PT Beton Prima Indonesia</v>
      </c>
      <c r="U116" s="215">
        <f>IFERROR(__xludf.DUMMYFUNCTION("""COMPUTED_VALUE"""),45597.67671296296)</f>
        <v>45597.67671</v>
      </c>
      <c r="V116" s="211" t="str">
        <f>IFERROR(__xludf.DUMMYFUNCTION("""COMPUTED_VALUE"""),"KH. Ahmad Dahlan KM.2 Ds. Sumberwono, Kec. Bangsal, Kab. Mojokerto 61381")</f>
        <v>KH. Ahmad Dahlan KM.2 Ds. Sumberwono, Kec. Bangsal, Kab. Mojokerto 61381</v>
      </c>
      <c r="W116" s="211" t="str">
        <f>IFERROR(__xludf.DUMMYFUNCTION("""COMPUTED_VALUE"""),"IN")</f>
        <v>IN</v>
      </c>
      <c r="X116" s="211"/>
      <c r="Z116" s="211" t="str">
        <f>IFERROR(__xludf.DUMMYFUNCTION("""COMPUTED_VALUE"""),"0326462842")</f>
        <v>0326462842</v>
      </c>
      <c r="AC116" s="211" t="str">
        <f>IFERROR(__xludf.DUMMYFUNCTION("""COMPUTED_VALUE"""),"1c48ae79")</f>
        <v>1c48ae79</v>
      </c>
      <c r="AD116" s="211" t="str">
        <f>IFERROR(__xludf.DUMMYFUNCTION("""COMPUTED_VALUE"""),"Bpk. Jafar Rosokan")</f>
        <v>Bpk. Jafar Rosokan</v>
      </c>
      <c r="AE116" s="211"/>
      <c r="AF116" s="211" t="b">
        <f>IFERROR(__xludf.DUMMYFUNCTION("""COMPUTED_VALUE"""),FALSE)</f>
        <v>0</v>
      </c>
      <c r="AG116" s="211" t="str">
        <f>IFERROR(__xludf.DUMMYFUNCTION("""COMPUTED_VALUE"""),"JL. Mejayan Bambang Yuwono, Sidodadi, Kemangsen, Kec. Balongbendo, Kab Sidoarjo Jawa Timur 61263")</f>
        <v>JL. Mejayan Bambang Yuwono, Sidodadi, Kemangsen, Kec. Balongbendo, Kab Sidoarjo Jawa Timur 61263</v>
      </c>
      <c r="AH116" s="211">
        <f>IFERROR(__xludf.DUMMYFUNCTION("""COMPUTED_VALUE"""),15.0)</f>
        <v>15</v>
      </c>
      <c r="AI116" s="211" t="str">
        <f>IFERROR(__xludf.DUMMYFUNCTION("""COMPUTED_VALUE"""),"08175116664")</f>
        <v>08175116664</v>
      </c>
      <c r="AJ116" s="211"/>
      <c r="AL116" s="211" t="str">
        <f>IFERROR(__xludf.DUMMYFUNCTION("""COMPUTED_VALUE"""),"2260194")</f>
        <v>2260194</v>
      </c>
      <c r="AM116" s="211" t="str">
        <f>IFERROR(__xludf.DUMMYFUNCTION("""COMPUTED_VALUE"""),"0126102280")</f>
        <v>0126102280</v>
      </c>
      <c r="AN116" s="211" t="str">
        <f>IFERROR(__xludf.DUMMYFUNCTION("""COMPUTED_VALUE"""),"440df1db")</f>
        <v>440df1db</v>
      </c>
      <c r="AO116" s="211" t="str">
        <f>IFERROR(__xludf.DUMMYFUNCTION("""COMPUTED_VALUE"""),"PT. Mecca Abadi Sejahtera")</f>
        <v>PT. Mecca Abadi Sejahtera</v>
      </c>
      <c r="AP116" s="215">
        <f>IFERROR(__xludf.DUMMYFUNCTION("""COMPUTED_VALUE"""),46051.5353125)</f>
        <v>46051.53531</v>
      </c>
      <c r="AQ116" s="218">
        <f>IFERROR(__xludf.DUMMYFUNCTION("""COMPUTED_VALUE"""),46039.0)</f>
        <v>46039</v>
      </c>
      <c r="AR116" s="211"/>
      <c r="AS116" s="211" t="str">
        <f>IFERROR(__xludf.DUMMYFUNCTION("""COMPUTED_VALUE"""),"1c48ae79")</f>
        <v>1c48ae79</v>
      </c>
      <c r="AT116" s="211" t="str">
        <f>IFERROR(__xludf.DUMMYFUNCTION("""COMPUTED_VALUE"""),"Bpk. Jafar Rosokan")</f>
        <v>Bpk. Jafar Rosokan</v>
      </c>
      <c r="AU116" s="211"/>
      <c r="AV116" s="211" t="b">
        <f>IFERROR(__xludf.DUMMYFUNCTION("""COMPUTED_VALUE"""),FALSE)</f>
        <v>0</v>
      </c>
      <c r="AW116" s="211" t="str">
        <f>IFERROR(__xludf.DUMMYFUNCTION("""COMPUTED_VALUE"""),"JL. Mejayan Bambang Yuwono, Sidodadi, Kemangsen, Kec. Balongbendo, Kab Sidoarjo Jawa Timur 61263")</f>
        <v>JL. Mejayan Bambang Yuwono, Sidodadi, Kemangsen, Kec. Balongbendo, Kab Sidoarjo Jawa Timur 61263</v>
      </c>
      <c r="AX116" s="211">
        <f>IFERROR(__xludf.DUMMYFUNCTION("""COMPUTED_VALUE"""),15.0)</f>
        <v>15</v>
      </c>
      <c r="AY116" s="211" t="str">
        <f>IFERROR(__xludf.DUMMYFUNCTION("""COMPUTED_VALUE"""),"08175116664")</f>
        <v>08175116664</v>
      </c>
      <c r="AZ116" s="211"/>
      <c r="BB116" s="211"/>
      <c r="BC116" s="211"/>
      <c r="BD116" s="211"/>
      <c r="BE116" s="211"/>
      <c r="BF116" s="211"/>
      <c r="BG116" s="211"/>
      <c r="BH116" s="211"/>
      <c r="BI116" s="211"/>
    </row>
    <row r="117">
      <c r="A117" s="210" t="str">
        <f>IFERROR(__xludf.DUMMYFUNCTION("""COMPUTED_VALUE"""),"92ae98d6")</f>
        <v>92ae98d6</v>
      </c>
      <c r="B117" s="210" t="str">
        <f>IFERROR(__xludf.DUMMYFUNCTION("""COMPUTED_VALUE"""),"92ae98d6")</f>
        <v>92ae98d6</v>
      </c>
      <c r="C117" s="213">
        <f>IFERROR(__xludf.DUMMYFUNCTION("""COMPUTED_VALUE"""),45589.41862268518)</f>
        <v>45589.41862</v>
      </c>
      <c r="D117" s="211" t="str">
        <f>IFERROR(__xludf.DUMMYFUNCTION("""COMPUTED_VALUE"""),"e86baf3b")</f>
        <v>e86baf3b</v>
      </c>
      <c r="E117" s="211" t="str">
        <f>IFERROR(__xludf.DUMMYFUNCTION("""COMPUTED_VALUE"""),"PT GEMILANG CIPTA WAWASAN")</f>
        <v>PT GEMILANG CIPTA WAWASAN</v>
      </c>
      <c r="F117" s="211" t="str">
        <f>IFERROR(__xludf.DUMMYFUNCTION("""COMPUTED_VALUE"""),"8bdbe149")</f>
        <v>8bdbe149</v>
      </c>
      <c r="G117" s="211" t="str">
        <f>IFERROR(__xludf.DUMMYFUNCTION("""COMPUTED_VALUE"""),"Oksigen 6m3")</f>
        <v>Oksigen 6m3</v>
      </c>
      <c r="H117" s="214" t="str">
        <f>IFERROR(__xludf.DUMMYFUNCTION("""COMPUTED_VALUE"""),"IN")</f>
        <v>IN</v>
      </c>
      <c r="I117" s="214" t="str">
        <f>IFERROR(__xludf.DUMMYFUNCTION("""COMPUTED_VALUE"""),"EMPTY")</f>
        <v>EMPTY</v>
      </c>
      <c r="J117" s="211">
        <f>IFERROR(__xludf.DUMMYFUNCTION("""COMPUTED_VALUE"""),19.0)</f>
        <v>19</v>
      </c>
      <c r="K117" s="210" t="str">
        <f>IFERROR(__xludf.DUMMYFUNCTION("""COMPUTED_VALUE"""),"1169 11107 11110 1160 11120 1129 11109 1139 1168 1197 11106 11115 11114 1134 11104 1174 1172 1162 1121")</f>
        <v>1169 11107 11110 1160 11120 1129 11109 1139 1168 1197 11106 11115 11114 1134 11104 1174 1172 1162 1121</v>
      </c>
      <c r="L117" s="211"/>
      <c r="M117" s="211"/>
      <c r="N117" s="211"/>
      <c r="O117" s="211"/>
      <c r="Q117" s="210" t="str">
        <f>IFERROR(__xludf.DUMMYFUNCTION("""COMPUTED_VALUE"""),"41ddbd17")</f>
        <v>41ddbd17</v>
      </c>
      <c r="R117" s="210" t="str">
        <f>IFERROR(__xludf.DUMMYFUNCTION("""COMPUTED_VALUE"""),"41ddbd17")</f>
        <v>41ddbd17</v>
      </c>
      <c r="S117" s="211" t="str">
        <f>IFERROR(__xludf.DUMMYFUNCTION("""COMPUTED_VALUE"""),"7b9d8eba")</f>
        <v>7b9d8eba</v>
      </c>
      <c r="T117" s="211" t="str">
        <f>IFERROR(__xludf.DUMMYFUNCTION("""COMPUTED_VALUE"""),"PT PELANGI INDOKARYA")</f>
        <v>PT PELANGI INDOKARYA</v>
      </c>
      <c r="U117" s="215">
        <f>IFERROR(__xludf.DUMMYFUNCTION("""COMPUTED_VALUE"""),45597.679131944446)</f>
        <v>45597.67913</v>
      </c>
      <c r="V11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17" s="211" t="str">
        <f>IFERROR(__xludf.DUMMYFUNCTION("""COMPUTED_VALUE"""),"IN")</f>
        <v>IN</v>
      </c>
      <c r="X117" s="211"/>
      <c r="Z117" s="211" t="str">
        <f>IFERROR(__xludf.DUMMYFUNCTION("""COMPUTED_VALUE"""),"0326272838")</f>
        <v>0326272838</v>
      </c>
      <c r="AC117" s="211" t="str">
        <f>IFERROR(__xludf.DUMMYFUNCTION("""COMPUTED_VALUE"""),"1c4d5e93")</f>
        <v>1c4d5e93</v>
      </c>
      <c r="AD117" s="211" t="str">
        <f>IFERROR(__xludf.DUMMYFUNCTION("""COMPUTED_VALUE"""),"Karoseri Cipta Mitra Sukses")</f>
        <v>Karoseri Cipta Mitra Sukses</v>
      </c>
      <c r="AE117" s="211"/>
      <c r="AF117" s="211" t="b">
        <f>IFERROR(__xludf.DUMMYFUNCTION("""COMPUTED_VALUE"""),FALSE)</f>
        <v>0</v>
      </c>
      <c r="AG117" s="211" t="str">
        <f>IFERROR(__xludf.DUMMYFUNCTION("""COMPUTED_VALUE"""),"JL. Bypass Krian No. 7800, Blok B No 11. Barengkrajan, Kec. Krian, Kabupaten Sidoarjo, Jawa Timur  61262")</f>
        <v>JL. Bypass Krian No. 7800, Blok B No 11. Barengkrajan, Kec. Krian, Kabupaten Sidoarjo, Jawa Timur  61262</v>
      </c>
      <c r="AH117" s="211">
        <f>IFERROR(__xludf.DUMMYFUNCTION("""COMPUTED_VALUE"""),30.0)</f>
        <v>30</v>
      </c>
      <c r="AI117" s="211"/>
      <c r="AJ117" s="211"/>
      <c r="AL117" s="211" t="str">
        <f>IFERROR(__xludf.DUMMYFUNCTION("""COMPUTED_VALUE"""),"2260187")</f>
        <v>2260187</v>
      </c>
      <c r="AM117" s="211" t="str">
        <f>IFERROR(__xludf.DUMMYFUNCTION("""COMPUTED_VALUE"""),"0126112215")</f>
        <v>0126112215</v>
      </c>
      <c r="AN117" s="211" t="str">
        <f>IFERROR(__xludf.DUMMYFUNCTION("""COMPUTED_VALUE"""),"63fc688a")</f>
        <v>63fc688a</v>
      </c>
      <c r="AO117" s="211" t="str">
        <f>IFERROR(__xludf.DUMMYFUNCTION("""COMPUTED_VALUE"""),"CV Malik Nusantara")</f>
        <v>CV Malik Nusantara</v>
      </c>
      <c r="AP117" s="215">
        <f>IFERROR(__xludf.DUMMYFUNCTION("""COMPUTED_VALUE"""),46048.507986111115)</f>
        <v>46048.50799</v>
      </c>
      <c r="AQ117" s="218">
        <f>IFERROR(__xludf.DUMMYFUNCTION("""COMPUTED_VALUE"""),46034.0)</f>
        <v>46034</v>
      </c>
      <c r="AR117" s="211"/>
      <c r="AS117" s="211" t="str">
        <f>IFERROR(__xludf.DUMMYFUNCTION("""COMPUTED_VALUE"""),"1c4d5e93")</f>
        <v>1c4d5e93</v>
      </c>
      <c r="AT117" s="211" t="str">
        <f>IFERROR(__xludf.DUMMYFUNCTION("""COMPUTED_VALUE"""),"Karoseri Cipta Mitra Sukses")</f>
        <v>Karoseri Cipta Mitra Sukses</v>
      </c>
      <c r="AU117" s="211"/>
      <c r="AV117" s="211" t="b">
        <f>IFERROR(__xludf.DUMMYFUNCTION("""COMPUTED_VALUE"""),FALSE)</f>
        <v>0</v>
      </c>
      <c r="AW117" s="211" t="str">
        <f>IFERROR(__xludf.DUMMYFUNCTION("""COMPUTED_VALUE"""),"JL. Bypass Krian No. 7800, Blok B No 11. Barengkrajan, Kec. Krian, Kabupaten Sidoarjo, Jawa Timur  61262")</f>
        <v>JL. Bypass Krian No. 7800, Blok B No 11. Barengkrajan, Kec. Krian, Kabupaten Sidoarjo, Jawa Timur  61262</v>
      </c>
      <c r="AX117" s="211">
        <f>IFERROR(__xludf.DUMMYFUNCTION("""COMPUTED_VALUE"""),30.0)</f>
        <v>30</v>
      </c>
      <c r="AY117" s="211"/>
      <c r="AZ117" s="211"/>
      <c r="BB117" s="211"/>
      <c r="BC117" s="211"/>
      <c r="BD117" s="211"/>
      <c r="BE117" s="211"/>
      <c r="BF117" s="211"/>
      <c r="BG117" s="211"/>
      <c r="BH117" s="211"/>
      <c r="BI117" s="211"/>
    </row>
    <row r="118">
      <c r="A118" s="210" t="str">
        <f>IFERROR(__xludf.DUMMYFUNCTION("""COMPUTED_VALUE"""),"92ae98d6")</f>
        <v>92ae98d6</v>
      </c>
      <c r="B118" s="210" t="str">
        <f>IFERROR(__xludf.DUMMYFUNCTION("""COMPUTED_VALUE"""),"92ae98d6")</f>
        <v>92ae98d6</v>
      </c>
      <c r="C118" s="213">
        <f>IFERROR(__xludf.DUMMYFUNCTION("""COMPUTED_VALUE"""),45589.421956018516)</f>
        <v>45589.42196</v>
      </c>
      <c r="D118" s="211" t="str">
        <f>IFERROR(__xludf.DUMMYFUNCTION("""COMPUTED_VALUE"""),"e86baf3b")</f>
        <v>e86baf3b</v>
      </c>
      <c r="E118" s="211" t="str">
        <f>IFERROR(__xludf.DUMMYFUNCTION("""COMPUTED_VALUE"""),"PT GEMILANG CIPTA WAWASAN")</f>
        <v>PT GEMILANG CIPTA WAWASAN</v>
      </c>
      <c r="F118" s="211" t="str">
        <f>IFERROR(__xludf.DUMMYFUNCTION("""COMPUTED_VALUE"""),"66af7c72")</f>
        <v>66af7c72</v>
      </c>
      <c r="G118" s="211" t="str">
        <f>IFERROR(__xludf.DUMMYFUNCTION("""COMPUTED_VALUE"""),"Argon 6m3")</f>
        <v>Argon 6m3</v>
      </c>
      <c r="H118" s="214" t="str">
        <f>IFERROR(__xludf.DUMMYFUNCTION("""COMPUTED_VALUE"""),"IN")</f>
        <v>IN</v>
      </c>
      <c r="I118" s="214" t="str">
        <f>IFERROR(__xludf.DUMMYFUNCTION("""COMPUTED_VALUE"""),"EMPTY")</f>
        <v>EMPTY</v>
      </c>
      <c r="J118" s="211">
        <f>IFERROR(__xludf.DUMMYFUNCTION("""COMPUTED_VALUE"""),1.0)</f>
        <v>1</v>
      </c>
      <c r="K118" s="210" t="str">
        <f>IFERROR(__xludf.DUMMYFUNCTION("""COMPUTED_VALUE"""),"8051")</f>
        <v>8051</v>
      </c>
      <c r="L118" s="211"/>
      <c r="M118" s="211"/>
      <c r="N118" s="211"/>
      <c r="O118" s="211"/>
      <c r="Q118" s="210" t="str">
        <f>IFERROR(__xludf.DUMMYFUNCTION("""COMPUTED_VALUE"""),"146e5fae")</f>
        <v>146e5fae</v>
      </c>
      <c r="R118" s="210" t="str">
        <f>IFERROR(__xludf.DUMMYFUNCTION("""COMPUTED_VALUE"""),"146e5fae")</f>
        <v>146e5fae</v>
      </c>
      <c r="S118" s="211" t="str">
        <f>IFERROR(__xludf.DUMMYFUNCTION("""COMPUTED_VALUE"""),"4ec68cf6")</f>
        <v>4ec68cf6</v>
      </c>
      <c r="T118" s="211" t="str">
        <f>IFERROR(__xludf.DUMMYFUNCTION("""COMPUTED_VALUE"""),"CV Sido Mukti Karya")</f>
        <v>CV Sido Mukti Karya</v>
      </c>
      <c r="U118" s="215">
        <f>IFERROR(__xludf.DUMMYFUNCTION("""COMPUTED_VALUE"""),45597.67953703704)</f>
        <v>45597.67954</v>
      </c>
      <c r="V118" s="211" t="str">
        <f>IFERROR(__xludf.DUMMYFUNCTION("""COMPUTED_VALUE"""),"Pergudangan Center Point no A3, Kemangsen")</f>
        <v>Pergudangan Center Point no A3, Kemangsen</v>
      </c>
      <c r="W118" s="211" t="str">
        <f>IFERROR(__xludf.DUMMYFUNCTION("""COMPUTED_VALUE"""),"IN")</f>
        <v>IN</v>
      </c>
      <c r="X118" s="211"/>
      <c r="Z118" s="211" t="str">
        <f>IFERROR(__xludf.DUMMYFUNCTION("""COMPUTED_VALUE"""),"0326302835")</f>
        <v>0326302835</v>
      </c>
      <c r="AC118" s="211" t="str">
        <f>IFERROR(__xludf.DUMMYFUNCTION("""COMPUTED_VALUE"""),"057b6b99")</f>
        <v>057b6b99</v>
      </c>
      <c r="AD118" s="211" t="str">
        <f>IFERROR(__xludf.DUMMYFUNCTION("""COMPUTED_VALUE"""),"PT Anuta Utama Transport")</f>
        <v>PT Anuta Utama Transport</v>
      </c>
      <c r="AE118" s="211"/>
      <c r="AF118" s="211" t="b">
        <f>IFERROR(__xludf.DUMMYFUNCTION("""COMPUTED_VALUE"""),TRUE)</f>
        <v>1</v>
      </c>
      <c r="AG118" s="211" t="str">
        <f>IFERROR(__xludf.DUMMYFUNCTION("""COMPUTED_VALUE"""),"Jl Raya ketimang KM 10, Kec. Wonoayu, Kab. Sidoarjo, Jawa Timur")</f>
        <v>Jl Raya ketimang KM 10, Kec. Wonoayu, Kab. Sidoarjo, Jawa Timur</v>
      </c>
      <c r="AH118" s="211">
        <f>IFERROR(__xludf.DUMMYFUNCTION("""COMPUTED_VALUE"""),30.0)</f>
        <v>30</v>
      </c>
      <c r="AI118" s="211"/>
      <c r="AJ118" s="211"/>
      <c r="AL118" s="211" t="str">
        <f>IFERROR(__xludf.DUMMYFUNCTION("""COMPUTED_VALUE"""),"2260187")</f>
        <v>2260187</v>
      </c>
      <c r="AM118" s="211" t="str">
        <f>IFERROR(__xludf.DUMMYFUNCTION("""COMPUTED_VALUE"""),"0126122240")</f>
        <v>0126122240</v>
      </c>
      <c r="AN118" s="211" t="str">
        <f>IFERROR(__xludf.DUMMYFUNCTION("""COMPUTED_VALUE"""),"63fc688a")</f>
        <v>63fc688a</v>
      </c>
      <c r="AO118" s="211" t="str">
        <f>IFERROR(__xludf.DUMMYFUNCTION("""COMPUTED_VALUE"""),"CV Malik Nusantara")</f>
        <v>CV Malik Nusantara</v>
      </c>
      <c r="AP118" s="215">
        <f>IFERROR(__xludf.DUMMYFUNCTION("""COMPUTED_VALUE"""),46048.507986111115)</f>
        <v>46048.50799</v>
      </c>
      <c r="AQ118" s="218">
        <f>IFERROR(__xludf.DUMMYFUNCTION("""COMPUTED_VALUE"""),46036.0)</f>
        <v>46036</v>
      </c>
      <c r="AR118" s="211"/>
      <c r="AS118" s="211" t="str">
        <f>IFERROR(__xludf.DUMMYFUNCTION("""COMPUTED_VALUE"""),"057b6b99")</f>
        <v>057b6b99</v>
      </c>
      <c r="AT118" s="211" t="str">
        <f>IFERROR(__xludf.DUMMYFUNCTION("""COMPUTED_VALUE"""),"PT Anuta Utama Transport")</f>
        <v>PT Anuta Utama Transport</v>
      </c>
      <c r="AU118" s="211"/>
      <c r="AV118" s="211" t="b">
        <f>IFERROR(__xludf.DUMMYFUNCTION("""COMPUTED_VALUE"""),TRUE)</f>
        <v>1</v>
      </c>
      <c r="AW118" s="211" t="str">
        <f>IFERROR(__xludf.DUMMYFUNCTION("""COMPUTED_VALUE"""),"Jl Raya ketimang KM 10, Kec. Wonoayu, Kab. Sidoarjo, Jawa Timur")</f>
        <v>Jl Raya ketimang KM 10, Kec. Wonoayu, Kab. Sidoarjo, Jawa Timur</v>
      </c>
      <c r="AX118" s="211">
        <f>IFERROR(__xludf.DUMMYFUNCTION("""COMPUTED_VALUE"""),30.0)</f>
        <v>30</v>
      </c>
      <c r="AY118" s="211"/>
      <c r="AZ118" s="211"/>
      <c r="BB118" s="211"/>
      <c r="BC118" s="211"/>
      <c r="BD118" s="211"/>
      <c r="BE118" s="211"/>
      <c r="BF118" s="211"/>
      <c r="BG118" s="211"/>
      <c r="BH118" s="211"/>
      <c r="BI118" s="211"/>
    </row>
    <row r="119">
      <c r="A119" s="210" t="str">
        <f>IFERROR(__xludf.DUMMYFUNCTION("""COMPUTED_VALUE"""),"bce70af8")</f>
        <v>bce70af8</v>
      </c>
      <c r="B119" s="210" t="str">
        <f>IFERROR(__xludf.DUMMYFUNCTION("""COMPUTED_VALUE"""),"bce70af8")</f>
        <v>bce70af8</v>
      </c>
      <c r="C119" s="213">
        <f>IFERROR(__xludf.DUMMYFUNCTION("""COMPUTED_VALUE"""),45589.44777777778)</f>
        <v>45589.44778</v>
      </c>
      <c r="D119" s="211" t="str">
        <f>IFERROR(__xludf.DUMMYFUNCTION("""COMPUTED_VALUE"""),"17af2683")</f>
        <v>17af2683</v>
      </c>
      <c r="E119" s="211" t="str">
        <f>IFERROR(__xludf.DUMMYFUNCTION("""COMPUTED_VALUE"""),"H. Fatoni")</f>
        <v>H. Fatoni</v>
      </c>
      <c r="F119" s="211" t="str">
        <f>IFERROR(__xludf.DUMMYFUNCTION("""COMPUTED_VALUE"""),"8bdbe149")</f>
        <v>8bdbe149</v>
      </c>
      <c r="G119" s="211" t="str">
        <f>IFERROR(__xludf.DUMMYFUNCTION("""COMPUTED_VALUE"""),"Oksigen 6m3")</f>
        <v>Oksigen 6m3</v>
      </c>
      <c r="H119" s="214" t="str">
        <f>IFERROR(__xludf.DUMMYFUNCTION("""COMPUTED_VALUE"""),"IN")</f>
        <v>IN</v>
      </c>
      <c r="I119" s="214" t="str">
        <f>IFERROR(__xludf.DUMMYFUNCTION("""COMPUTED_VALUE"""),"EMPTY")</f>
        <v>EMPTY</v>
      </c>
      <c r="J119" s="211">
        <f>IFERROR(__xludf.DUMMYFUNCTION("""COMPUTED_VALUE"""),1.0)</f>
        <v>1</v>
      </c>
      <c r="K119" s="210" t="str">
        <f>IFERROR(__xludf.DUMMYFUNCTION("""COMPUTED_VALUE"""),"1190")</f>
        <v>1190</v>
      </c>
      <c r="L119" s="211"/>
      <c r="M119" s="211"/>
      <c r="N119" s="211"/>
      <c r="O119" s="211"/>
      <c r="Q119" s="210" t="str">
        <f>IFERROR(__xludf.DUMMYFUNCTION("""COMPUTED_VALUE"""),"11240075")</f>
        <v>11240075</v>
      </c>
      <c r="R119" s="210" t="str">
        <f>IFERROR(__xludf.DUMMYFUNCTION("""COMPUTED_VALUE"""),"11240075")</f>
        <v>11240075</v>
      </c>
      <c r="S119" s="211" t="str">
        <f>IFERROR(__xludf.DUMMYFUNCTION("""COMPUTED_VALUE"""),"c2f5a4a7")</f>
        <v>c2f5a4a7</v>
      </c>
      <c r="T119" s="211" t="str">
        <f>IFERROR(__xludf.DUMMYFUNCTION("""COMPUTED_VALUE"""),"UD Sumber Berlian")</f>
        <v>UD Sumber Berlian</v>
      </c>
      <c r="U119" s="215">
        <f>IFERROR(__xludf.DUMMYFUNCTION("""COMPUTED_VALUE"""),45599.674305555556)</f>
        <v>45599.67431</v>
      </c>
      <c r="V119" s="211" t="str">
        <f>IFERROR(__xludf.DUMMYFUNCTION("""COMPUTED_VALUE"""),"Ciro Kulon, Bakungtemenggungan, Kec. BalongBendo, Kabupaten Sidoarjo, Jawa Timur 61263")</f>
        <v>Ciro Kulon, Bakungtemenggungan, Kec. BalongBendo, Kabupaten Sidoarjo, Jawa Timur 61263</v>
      </c>
      <c r="W119" s="211" t="str">
        <f>IFERROR(__xludf.DUMMYFUNCTION("""COMPUTED_VALUE"""),"OUT")</f>
        <v>OUT</v>
      </c>
      <c r="X119" s="211"/>
      <c r="Z119" s="211" t="str">
        <f>IFERROR(__xludf.DUMMYFUNCTION("""COMPUTED_VALUE"""),"032692830")</f>
        <v>032692830</v>
      </c>
      <c r="AC119" s="211" t="str">
        <f>IFERROR(__xludf.DUMMYFUNCTION("""COMPUTED_VALUE"""),"de41c3e8")</f>
        <v>de41c3e8</v>
      </c>
      <c r="AD119" s="211" t="str">
        <f>IFERROR(__xludf.DUMMYFUNCTION("""COMPUTED_VALUE"""),"Bpk. Eko Mianto")</f>
        <v>Bpk. Eko Mianto</v>
      </c>
      <c r="AE119" s="211"/>
      <c r="AF119" s="211" t="b">
        <f>IFERROR(__xludf.DUMMYFUNCTION("""COMPUTED_VALUE"""),FALSE)</f>
        <v>0</v>
      </c>
      <c r="AG119" s="211" t="str">
        <f>IFERROR(__xludf.DUMMYFUNCTION("""COMPUTED_VALUE"""),"The Graha Residen, Blok D4 No 33. Tropodo, Kec Krian, Kabupaten Sidaorjo, Jawa Timur 61262")</f>
        <v>The Graha Residen, Blok D4 No 33. Tropodo, Kec Krian, Kabupaten Sidaorjo, Jawa Timur 61262</v>
      </c>
      <c r="AH119" s="211">
        <f>IFERROR(__xludf.DUMMYFUNCTION("""COMPUTED_VALUE"""),15.0)</f>
        <v>15</v>
      </c>
      <c r="AI119" s="211" t="str">
        <f>IFERROR(__xludf.DUMMYFUNCTION("""COMPUTED_VALUE"""),"085335476086")</f>
        <v>085335476086</v>
      </c>
      <c r="AJ119" s="211"/>
      <c r="AL119" s="211" t="str">
        <f>IFERROR(__xludf.DUMMYFUNCTION("""COMPUTED_VALUE"""),"2260187")</f>
        <v>2260187</v>
      </c>
      <c r="AM119" s="211" t="str">
        <f>IFERROR(__xludf.DUMMYFUNCTION("""COMPUTED_VALUE"""),"0126132267")</f>
        <v>0126132267</v>
      </c>
      <c r="AN119" s="211" t="str">
        <f>IFERROR(__xludf.DUMMYFUNCTION("""COMPUTED_VALUE"""),"63fc688a")</f>
        <v>63fc688a</v>
      </c>
      <c r="AO119" s="211" t="str">
        <f>IFERROR(__xludf.DUMMYFUNCTION("""COMPUTED_VALUE"""),"CV Malik Nusantara")</f>
        <v>CV Malik Nusantara</v>
      </c>
      <c r="AP119" s="215">
        <f>IFERROR(__xludf.DUMMYFUNCTION("""COMPUTED_VALUE"""),46048.507986111115)</f>
        <v>46048.50799</v>
      </c>
      <c r="AQ119" s="218">
        <f>IFERROR(__xludf.DUMMYFUNCTION("""COMPUTED_VALUE"""),46038.0)</f>
        <v>46038</v>
      </c>
      <c r="AR119" s="211"/>
      <c r="AS119" s="211" t="str">
        <f>IFERROR(__xludf.DUMMYFUNCTION("""COMPUTED_VALUE"""),"de41c3e8")</f>
        <v>de41c3e8</v>
      </c>
      <c r="AT119" s="211" t="str">
        <f>IFERROR(__xludf.DUMMYFUNCTION("""COMPUTED_VALUE"""),"Bpk. Eko Mianto")</f>
        <v>Bpk. Eko Mianto</v>
      </c>
      <c r="AU119" s="211"/>
      <c r="AV119" s="211" t="b">
        <f>IFERROR(__xludf.DUMMYFUNCTION("""COMPUTED_VALUE"""),FALSE)</f>
        <v>0</v>
      </c>
      <c r="AW119" s="211" t="str">
        <f>IFERROR(__xludf.DUMMYFUNCTION("""COMPUTED_VALUE"""),"The Graha Residen, Blok D4 No 33. Tropodo, Kec Krian, Kabupaten Sidaorjo, Jawa Timur 61262")</f>
        <v>The Graha Residen, Blok D4 No 33. Tropodo, Kec Krian, Kabupaten Sidaorjo, Jawa Timur 61262</v>
      </c>
      <c r="AX119" s="211">
        <f>IFERROR(__xludf.DUMMYFUNCTION("""COMPUTED_VALUE"""),15.0)</f>
        <v>15</v>
      </c>
      <c r="AY119" s="211" t="str">
        <f>IFERROR(__xludf.DUMMYFUNCTION("""COMPUTED_VALUE"""),"085335476086")</f>
        <v>085335476086</v>
      </c>
      <c r="AZ119" s="211"/>
      <c r="BB119" s="211"/>
      <c r="BC119" s="211"/>
      <c r="BD119" s="211"/>
      <c r="BE119" s="211"/>
      <c r="BF119" s="211"/>
      <c r="BG119" s="211"/>
      <c r="BH119" s="211"/>
      <c r="BI119" s="211"/>
    </row>
    <row r="120">
      <c r="A120" s="210" t="str">
        <f>IFERROR(__xludf.DUMMYFUNCTION("""COMPUTED_VALUE"""),"98bde844")</f>
        <v>98bde844</v>
      </c>
      <c r="B120" s="210" t="str">
        <f>IFERROR(__xludf.DUMMYFUNCTION("""COMPUTED_VALUE"""),"98bde844")</f>
        <v>98bde844</v>
      </c>
      <c r="C120" s="213">
        <f>IFERROR(__xludf.DUMMYFUNCTION("""COMPUTED_VALUE"""),45589.44819444444)</f>
        <v>45589.44819</v>
      </c>
      <c r="D120" s="211" t="str">
        <f>IFERROR(__xludf.DUMMYFUNCTION("""COMPUTED_VALUE"""),"4ec68cf6")</f>
        <v>4ec68cf6</v>
      </c>
      <c r="E120" s="211" t="str">
        <f>IFERROR(__xludf.DUMMYFUNCTION("""COMPUTED_VALUE"""),"CV Sido Mukti Karya")</f>
        <v>CV Sido Mukti Karya</v>
      </c>
      <c r="F120" s="211" t="str">
        <f>IFERROR(__xludf.DUMMYFUNCTION("""COMPUTED_VALUE"""),"8bdbe149")</f>
        <v>8bdbe149</v>
      </c>
      <c r="G120" s="211" t="str">
        <f>IFERROR(__xludf.DUMMYFUNCTION("""COMPUTED_VALUE"""),"Oksigen 6m3")</f>
        <v>Oksigen 6m3</v>
      </c>
      <c r="H120" s="214" t="str">
        <f>IFERROR(__xludf.DUMMYFUNCTION("""COMPUTED_VALUE"""),"IN")</f>
        <v>IN</v>
      </c>
      <c r="I120" s="214" t="str">
        <f>IFERROR(__xludf.DUMMYFUNCTION("""COMPUTED_VALUE"""),"EMPTY")</f>
        <v>EMPTY</v>
      </c>
      <c r="J120" s="211">
        <f>IFERROR(__xludf.DUMMYFUNCTION("""COMPUTED_VALUE"""),3.0)</f>
        <v>3</v>
      </c>
      <c r="K120" s="210" t="str">
        <f>IFERROR(__xludf.DUMMYFUNCTION("""COMPUTED_VALUE"""),"1199 11119 1102")</f>
        <v>1199 11119 1102</v>
      </c>
      <c r="L120" s="211"/>
      <c r="M120" s="211"/>
      <c r="N120" s="211"/>
      <c r="O120" s="211"/>
      <c r="Q120" s="210" t="str">
        <f>IFERROR(__xludf.DUMMYFUNCTION("""COMPUTED_VALUE"""),"58dae10f")</f>
        <v>58dae10f</v>
      </c>
      <c r="R120" s="210" t="str">
        <f>IFERROR(__xludf.DUMMYFUNCTION("""COMPUTED_VALUE"""),"58dae10f")</f>
        <v>58dae10f</v>
      </c>
      <c r="S120" s="211" t="str">
        <f>IFERROR(__xludf.DUMMYFUNCTION("""COMPUTED_VALUE"""),"c2f5a4a7")</f>
        <v>c2f5a4a7</v>
      </c>
      <c r="T120" s="211" t="str">
        <f>IFERROR(__xludf.DUMMYFUNCTION("""COMPUTED_VALUE"""),"UD Sumber Berlian")</f>
        <v>UD Sumber Berlian</v>
      </c>
      <c r="U120" s="215">
        <f>IFERROR(__xludf.DUMMYFUNCTION("""COMPUTED_VALUE"""),45600.47986111111)</f>
        <v>45600.47986</v>
      </c>
      <c r="V120" s="211" t="str">
        <f>IFERROR(__xludf.DUMMYFUNCTION("""COMPUTED_VALUE"""),"Ciro Kulon, Bakungtemenggungan, Kec. BalongBendo, Kabupaten Sidoarjo, Jawa Timur 61263")</f>
        <v>Ciro Kulon, Bakungtemenggungan, Kec. BalongBendo, Kabupaten Sidoarjo, Jawa Timur 61263</v>
      </c>
      <c r="W120" s="211" t="str">
        <f>IFERROR(__xludf.DUMMYFUNCTION("""COMPUTED_VALUE"""),"IN")</f>
        <v>IN</v>
      </c>
      <c r="X120" s="211"/>
      <c r="Z120" s="211" t="str">
        <f>IFERROR(__xludf.DUMMYFUNCTION("""COMPUTED_VALUE"""),"032622826")</f>
        <v>032622826</v>
      </c>
      <c r="AC120" s="211" t="str">
        <f>IFERROR(__xludf.DUMMYFUNCTION("""COMPUTED_VALUE"""),"98c84274")</f>
        <v>98c84274</v>
      </c>
      <c r="AD120" s="211" t="str">
        <f>IFERROR(__xludf.DUMMYFUNCTION("""COMPUTED_VALUE"""),"Bengkel SBM (Pak Hari)")</f>
        <v>Bengkel SBM (Pak Hari)</v>
      </c>
      <c r="AE120" s="211"/>
      <c r="AF120" s="211" t="b">
        <f>IFERROR(__xludf.DUMMYFUNCTION("""COMPUTED_VALUE"""),FALSE)</f>
        <v>0</v>
      </c>
      <c r="AG120"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AH120" s="211">
        <f>IFERROR(__xludf.DUMMYFUNCTION("""COMPUTED_VALUE"""),30.0)</f>
        <v>30</v>
      </c>
      <c r="AI120" s="211" t="str">
        <f>IFERROR(__xludf.DUMMYFUNCTION("""COMPUTED_VALUE"""),"081230725256")</f>
        <v>081230725256</v>
      </c>
      <c r="AJ120" s="211"/>
      <c r="AL120" s="211" t="str">
        <f>IFERROR(__xludf.DUMMYFUNCTION("""COMPUTED_VALUE"""),"2260187")</f>
        <v>2260187</v>
      </c>
      <c r="AM120" s="211" t="str">
        <f>IFERROR(__xludf.DUMMYFUNCTION("""COMPUTED_VALUE"""),"0126142292")</f>
        <v>0126142292</v>
      </c>
      <c r="AN120" s="211" t="str">
        <f>IFERROR(__xludf.DUMMYFUNCTION("""COMPUTED_VALUE"""),"63fc688a")</f>
        <v>63fc688a</v>
      </c>
      <c r="AO120" s="211" t="str">
        <f>IFERROR(__xludf.DUMMYFUNCTION("""COMPUTED_VALUE"""),"CV Malik Nusantara")</f>
        <v>CV Malik Nusantara</v>
      </c>
      <c r="AP120" s="215">
        <f>IFERROR(__xludf.DUMMYFUNCTION("""COMPUTED_VALUE"""),46048.507986111115)</f>
        <v>46048.50799</v>
      </c>
      <c r="AQ120" s="218">
        <f>IFERROR(__xludf.DUMMYFUNCTION("""COMPUTED_VALUE"""),46041.0)</f>
        <v>46041</v>
      </c>
      <c r="AR120" s="211"/>
      <c r="AS120" s="211" t="str">
        <f>IFERROR(__xludf.DUMMYFUNCTION("""COMPUTED_VALUE"""),"98c84274")</f>
        <v>98c84274</v>
      </c>
      <c r="AT120" s="211" t="str">
        <f>IFERROR(__xludf.DUMMYFUNCTION("""COMPUTED_VALUE"""),"Bengkel SBM (Pak Hari)")</f>
        <v>Bengkel SBM (Pak Hari)</v>
      </c>
      <c r="AU120" s="211"/>
      <c r="AV120" s="211" t="b">
        <f>IFERROR(__xludf.DUMMYFUNCTION("""COMPUTED_VALUE"""),FALSE)</f>
        <v>0</v>
      </c>
      <c r="AW120"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AX120" s="211">
        <f>IFERROR(__xludf.DUMMYFUNCTION("""COMPUTED_VALUE"""),30.0)</f>
        <v>30</v>
      </c>
      <c r="AY120" s="211" t="str">
        <f>IFERROR(__xludf.DUMMYFUNCTION("""COMPUTED_VALUE"""),"081230725256")</f>
        <v>081230725256</v>
      </c>
      <c r="AZ120" s="211"/>
      <c r="BB120" s="211"/>
      <c r="BC120" s="211"/>
      <c r="BD120" s="211"/>
      <c r="BE120" s="211"/>
      <c r="BF120" s="211"/>
      <c r="BG120" s="211"/>
      <c r="BH120" s="211"/>
      <c r="BI120" s="211"/>
    </row>
    <row r="121">
      <c r="A121" s="210" t="str">
        <f>IFERROR(__xludf.DUMMYFUNCTION("""COMPUTED_VALUE"""),"10240057")</f>
        <v>10240057</v>
      </c>
      <c r="B121" s="210" t="str">
        <f>IFERROR(__xludf.DUMMYFUNCTION("""COMPUTED_VALUE"""),"10240057")</f>
        <v>10240057</v>
      </c>
      <c r="C121" s="213">
        <f>IFERROR(__xludf.DUMMYFUNCTION("""COMPUTED_VALUE"""),45590.43372685185)</f>
        <v>45590.43373</v>
      </c>
      <c r="D121" s="211" t="str">
        <f>IFERROR(__xludf.DUMMYFUNCTION("""COMPUTED_VALUE"""),"2d88931c")</f>
        <v>2d88931c</v>
      </c>
      <c r="E121" s="211" t="str">
        <f>IFERROR(__xludf.DUMMYFUNCTION("""COMPUTED_VALUE"""),"PT Dunia Berkat Marga Mulya")</f>
        <v>PT Dunia Berkat Marga Mulya</v>
      </c>
      <c r="F121" s="211" t="str">
        <f>IFERROR(__xludf.DUMMYFUNCTION("""COMPUTED_VALUE"""),"8bdbe149")</f>
        <v>8bdbe149</v>
      </c>
      <c r="G121" s="211" t="str">
        <f>IFERROR(__xludf.DUMMYFUNCTION("""COMPUTED_VALUE"""),"Oksigen 6m3")</f>
        <v>Oksigen 6m3</v>
      </c>
      <c r="H121" s="214" t="str">
        <f>IFERROR(__xludf.DUMMYFUNCTION("""COMPUTED_VALUE"""),"OUT")</f>
        <v>OUT</v>
      </c>
      <c r="I121" s="214" t="str">
        <f>IFERROR(__xludf.DUMMYFUNCTION("""COMPUTED_VALUE"""),"NORMAL")</f>
        <v>NORMAL</v>
      </c>
      <c r="J121" s="211">
        <f>IFERROR(__xludf.DUMMYFUNCTION("""COMPUTED_VALUE"""),5.0)</f>
        <v>5</v>
      </c>
      <c r="K121" s="210" t="str">
        <f>IFERROR(__xludf.DUMMYFUNCTION("""COMPUTED_VALUE"""),"1196 11124 11122 1187 1184")</f>
        <v>1196 11124 11122 1187 1184</v>
      </c>
      <c r="L121" s="211">
        <f>IFERROR(__xludf.DUMMYFUNCTION("""COMPUTED_VALUE"""),60000.0)</f>
        <v>60000</v>
      </c>
      <c r="M121" s="211"/>
      <c r="N121" s="211"/>
      <c r="O121" s="211"/>
      <c r="Q121" s="210" t="str">
        <f>IFERROR(__xludf.DUMMYFUNCTION("""COMPUTED_VALUE"""),"11240078")</f>
        <v>11240078</v>
      </c>
      <c r="R121" s="210" t="str">
        <f>IFERROR(__xludf.DUMMYFUNCTION("""COMPUTED_VALUE"""),"11240078")</f>
        <v>11240078</v>
      </c>
      <c r="S121" s="211" t="str">
        <f>IFERROR(__xludf.DUMMYFUNCTION("""COMPUTED_VALUE"""),"72d9a70c")</f>
        <v>72d9a70c</v>
      </c>
      <c r="T121" s="211" t="str">
        <f>IFERROR(__xludf.DUMMYFUNCTION("""COMPUTED_VALUE"""),"PT Beton Prima Indonesia")</f>
        <v>PT Beton Prima Indonesia</v>
      </c>
      <c r="U121" s="215">
        <f>IFERROR(__xludf.DUMMYFUNCTION("""COMPUTED_VALUE"""),45600.499502314815)</f>
        <v>45600.4995</v>
      </c>
      <c r="V121" s="211" t="str">
        <f>IFERROR(__xludf.DUMMYFUNCTION("""COMPUTED_VALUE"""),"KH. Ahmad Dahlan KM.2 Ds. Sumberwono, Kec. Bangsal, Kab. Mojokerto 61381")</f>
        <v>KH. Ahmad Dahlan KM.2 Ds. Sumberwono, Kec. Bangsal, Kab. Mojokerto 61381</v>
      </c>
      <c r="W121" s="211" t="str">
        <f>IFERROR(__xludf.DUMMYFUNCTION("""COMPUTED_VALUE"""),"OUT")</f>
        <v>OUT</v>
      </c>
      <c r="X121" s="211"/>
      <c r="Z121" s="211" t="str">
        <f>IFERROR(__xludf.DUMMYFUNCTION("""COMPUTED_VALUE"""),"0326222824")</f>
        <v>0326222824</v>
      </c>
      <c r="AC121" s="211" t="str">
        <f>IFERROR(__xludf.DUMMYFUNCTION("""COMPUTED_VALUE"""),"89d46c39")</f>
        <v>89d46c39</v>
      </c>
      <c r="AD121" s="211" t="str">
        <f>IFERROR(__xludf.DUMMYFUNCTION("""COMPUTED_VALUE"""),"PT Cakar Baja Persada")</f>
        <v>PT Cakar Baja Persada</v>
      </c>
      <c r="AE121" s="211"/>
      <c r="AF121" s="211" t="b">
        <f>IFERROR(__xludf.DUMMYFUNCTION("""COMPUTED_VALUE"""),TRUE)</f>
        <v>1</v>
      </c>
      <c r="AG121" s="211" t="str">
        <f>IFERROR(__xludf.DUMMYFUNCTION("""COMPUTED_VALUE"""),"Pergudangan Jaya Park Blok E.02,  JI. Mayjen Yono Sungkono, Watesari, Balongbendo, Sidoarjo")</f>
        <v>Pergudangan Jaya Park Blok E.02,  JI. Mayjen Yono Sungkono, Watesari, Balongbendo, Sidoarjo</v>
      </c>
      <c r="AH121" s="211">
        <f>IFERROR(__xludf.DUMMYFUNCTION("""COMPUTED_VALUE"""),30.0)</f>
        <v>30</v>
      </c>
      <c r="AI121" s="211"/>
      <c r="AJ121" s="211"/>
      <c r="AL121" s="211" t="str">
        <f>IFERROR(__xludf.DUMMYFUNCTION("""COMPUTED_VALUE"""),"2260187")</f>
        <v>2260187</v>
      </c>
      <c r="AM121" s="211" t="str">
        <f>IFERROR(__xludf.DUMMYFUNCTION("""COMPUTED_VALUE"""),"0126152296")</f>
        <v>0126152296</v>
      </c>
      <c r="AN121" s="211" t="str">
        <f>IFERROR(__xludf.DUMMYFUNCTION("""COMPUTED_VALUE"""),"63fc688a")</f>
        <v>63fc688a</v>
      </c>
      <c r="AO121" s="211" t="str">
        <f>IFERROR(__xludf.DUMMYFUNCTION("""COMPUTED_VALUE"""),"CV Malik Nusantara")</f>
        <v>CV Malik Nusantara</v>
      </c>
      <c r="AP121" s="215">
        <f>IFERROR(__xludf.DUMMYFUNCTION("""COMPUTED_VALUE"""),46048.507986111115)</f>
        <v>46048.50799</v>
      </c>
      <c r="AQ121" s="218">
        <f>IFERROR(__xludf.DUMMYFUNCTION("""COMPUTED_VALUE"""),46041.0)</f>
        <v>46041</v>
      </c>
      <c r="AR121" s="211"/>
      <c r="AS121" s="211" t="str">
        <f>IFERROR(__xludf.DUMMYFUNCTION("""COMPUTED_VALUE"""),"89d46c39")</f>
        <v>89d46c39</v>
      </c>
      <c r="AT121" s="211" t="str">
        <f>IFERROR(__xludf.DUMMYFUNCTION("""COMPUTED_VALUE"""),"PT Cakar Baja Persada")</f>
        <v>PT Cakar Baja Persada</v>
      </c>
      <c r="AU121" s="211"/>
      <c r="AV121" s="211" t="b">
        <f>IFERROR(__xludf.DUMMYFUNCTION("""COMPUTED_VALUE"""),TRUE)</f>
        <v>1</v>
      </c>
      <c r="AW121" s="211" t="str">
        <f>IFERROR(__xludf.DUMMYFUNCTION("""COMPUTED_VALUE"""),"Pergudangan Jaya Park Blok E.02,  JI. Mayjen Yono Sungkono, Watesari, Balongbendo, Sidoarjo")</f>
        <v>Pergudangan Jaya Park Blok E.02,  JI. Mayjen Yono Sungkono, Watesari, Balongbendo, Sidoarjo</v>
      </c>
      <c r="AX121" s="211">
        <f>IFERROR(__xludf.DUMMYFUNCTION("""COMPUTED_VALUE"""),30.0)</f>
        <v>30</v>
      </c>
      <c r="AY121" s="211"/>
      <c r="AZ121" s="211"/>
      <c r="BB121" s="211"/>
      <c r="BC121" s="211"/>
      <c r="BD121" s="211"/>
      <c r="BE121" s="211"/>
      <c r="BF121" s="211"/>
      <c r="BG121" s="211"/>
      <c r="BH121" s="211"/>
      <c r="BI121" s="211"/>
    </row>
    <row r="122">
      <c r="A122" s="210" t="str">
        <f>IFERROR(__xludf.DUMMYFUNCTION("""COMPUTED_VALUE"""),"d00e3ed3")</f>
        <v>d00e3ed3</v>
      </c>
      <c r="B122" s="210" t="str">
        <f>IFERROR(__xludf.DUMMYFUNCTION("""COMPUTED_VALUE"""),"d00e3ed3")</f>
        <v>d00e3ed3</v>
      </c>
      <c r="C122" s="213">
        <f>IFERROR(__xludf.DUMMYFUNCTION("""COMPUTED_VALUE"""),45590.45774305556)</f>
        <v>45590.45774</v>
      </c>
      <c r="D122" s="211" t="str">
        <f>IFERROR(__xludf.DUMMYFUNCTION("""COMPUTED_VALUE"""),"2d88931c")</f>
        <v>2d88931c</v>
      </c>
      <c r="E122" s="211" t="str">
        <f>IFERROR(__xludf.DUMMYFUNCTION("""COMPUTED_VALUE"""),"PT Dunia Berkat Marga Mulya")</f>
        <v>PT Dunia Berkat Marga Mulya</v>
      </c>
      <c r="F122" s="211" t="str">
        <f>IFERROR(__xludf.DUMMYFUNCTION("""COMPUTED_VALUE"""),"8bdbe149")</f>
        <v>8bdbe149</v>
      </c>
      <c r="G122" s="211" t="str">
        <f>IFERROR(__xludf.DUMMYFUNCTION("""COMPUTED_VALUE"""),"Oksigen 6m3")</f>
        <v>Oksigen 6m3</v>
      </c>
      <c r="H122" s="214" t="str">
        <f>IFERROR(__xludf.DUMMYFUNCTION("""COMPUTED_VALUE"""),"IN")</f>
        <v>IN</v>
      </c>
      <c r="I122" s="214" t="str">
        <f>IFERROR(__xludf.DUMMYFUNCTION("""COMPUTED_VALUE"""),"EMPTY")</f>
        <v>EMPTY</v>
      </c>
      <c r="J122" s="211">
        <f>IFERROR(__xludf.DUMMYFUNCTION("""COMPUTED_VALUE"""),2.0)</f>
        <v>2</v>
      </c>
      <c r="K122" s="210" t="str">
        <f>IFERROR(__xludf.DUMMYFUNCTION("""COMPUTED_VALUE"""),"1175 1164")</f>
        <v>1175 1164</v>
      </c>
      <c r="L122" s="211">
        <f>IFERROR(__xludf.DUMMYFUNCTION("""COMPUTED_VALUE"""),0.0)</f>
        <v>0</v>
      </c>
      <c r="M122" s="211"/>
      <c r="N122" s="211"/>
      <c r="O122" s="211"/>
      <c r="Q122" s="210" t="str">
        <f>IFERROR(__xludf.DUMMYFUNCTION("""COMPUTED_VALUE"""),"1f99a2eb")</f>
        <v>1f99a2eb</v>
      </c>
      <c r="R122" s="210" t="str">
        <f>IFERROR(__xludf.DUMMYFUNCTION("""COMPUTED_VALUE"""),"1f99a2eb")</f>
        <v>1f99a2eb</v>
      </c>
      <c r="S122" s="211" t="str">
        <f>IFERROR(__xludf.DUMMYFUNCTION("""COMPUTED_VALUE"""),"72d9a70c")</f>
        <v>72d9a70c</v>
      </c>
      <c r="T122" s="211" t="str">
        <f>IFERROR(__xludf.DUMMYFUNCTION("""COMPUTED_VALUE"""),"PT Beton Prima Indonesia")</f>
        <v>PT Beton Prima Indonesia</v>
      </c>
      <c r="U122" s="215">
        <f>IFERROR(__xludf.DUMMYFUNCTION("""COMPUTED_VALUE"""),45600.50396990741)</f>
        <v>45600.50397</v>
      </c>
      <c r="V122" s="211" t="str">
        <f>IFERROR(__xludf.DUMMYFUNCTION("""COMPUTED_VALUE"""),"KH. Ahmad Dahlan KM.2 Ds. Sumberwono, Kec. Bangsal, Kab. Mojokerto 61381")</f>
        <v>KH. Ahmad Dahlan KM.2 Ds. Sumberwono, Kec. Bangsal, Kab. Mojokerto 61381</v>
      </c>
      <c r="W122" s="211" t="str">
        <f>IFERROR(__xludf.DUMMYFUNCTION("""COMPUTED_VALUE"""),"IN")</f>
        <v>IN</v>
      </c>
      <c r="X122" s="211"/>
      <c r="Z122" s="211" t="str">
        <f>IFERROR(__xludf.DUMMYFUNCTION("""COMPUTED_VALUE"""),"0326122823")</f>
        <v>0326122823</v>
      </c>
      <c r="AC122" s="211" t="str">
        <f>IFERROR(__xludf.DUMMYFUNCTION("""COMPUTED_VALUE"""),"cac4449f")</f>
        <v>cac4449f</v>
      </c>
      <c r="AD122" s="211" t="str">
        <f>IFERROR(__xludf.DUMMYFUNCTION("""COMPUTED_VALUE"""),"Bpk. Agus Yahya")</f>
        <v>Bpk. Agus Yahya</v>
      </c>
      <c r="AE122" s="211"/>
      <c r="AF122" s="211" t="b">
        <f>IFERROR(__xludf.DUMMYFUNCTION("""COMPUTED_VALUE"""),FALSE)</f>
        <v>0</v>
      </c>
      <c r="AG122" s="211" t="str">
        <f>IFERROR(__xludf.DUMMYFUNCTION("""COMPUTED_VALUE"""),"Ds. Kendalsari 03/02 Sumobito Jombang Jawa Timur")</f>
        <v>Ds. Kendalsari 03/02 Sumobito Jombang Jawa Timur</v>
      </c>
      <c r="AH122" s="211">
        <f>IFERROR(__xludf.DUMMYFUNCTION("""COMPUTED_VALUE"""),15.0)</f>
        <v>15</v>
      </c>
      <c r="AI122" s="211" t="str">
        <f>IFERROR(__xludf.DUMMYFUNCTION("""COMPUTED_VALUE"""),"085792763149")</f>
        <v>085792763149</v>
      </c>
      <c r="AJ122" s="211"/>
      <c r="AL122" s="211" t="str">
        <f>IFERROR(__xludf.DUMMYFUNCTION("""COMPUTED_VALUE"""),"2260187")</f>
        <v>2260187</v>
      </c>
      <c r="AM122" s="211" t="str">
        <f>IFERROR(__xludf.DUMMYFUNCTION("""COMPUTED_VALUE"""),"0126162334")</f>
        <v>0126162334</v>
      </c>
      <c r="AN122" s="211" t="str">
        <f>IFERROR(__xludf.DUMMYFUNCTION("""COMPUTED_VALUE"""),"63fc688a")</f>
        <v>63fc688a</v>
      </c>
      <c r="AO122" s="211" t="str">
        <f>IFERROR(__xludf.DUMMYFUNCTION("""COMPUTED_VALUE"""),"CV Malik Nusantara")</f>
        <v>CV Malik Nusantara</v>
      </c>
      <c r="AP122" s="215">
        <f>IFERROR(__xludf.DUMMYFUNCTION("""COMPUTED_VALUE"""),46048.507986111115)</f>
        <v>46048.50799</v>
      </c>
      <c r="AQ122" s="218">
        <f>IFERROR(__xludf.DUMMYFUNCTION("""COMPUTED_VALUE"""),46044.0)</f>
        <v>46044</v>
      </c>
      <c r="AR122" s="211"/>
      <c r="AS122" s="211" t="str">
        <f>IFERROR(__xludf.DUMMYFUNCTION("""COMPUTED_VALUE"""),"cac4449f")</f>
        <v>cac4449f</v>
      </c>
      <c r="AT122" s="211" t="str">
        <f>IFERROR(__xludf.DUMMYFUNCTION("""COMPUTED_VALUE"""),"Bpk. Agus Yahya")</f>
        <v>Bpk. Agus Yahya</v>
      </c>
      <c r="AU122" s="211"/>
      <c r="AV122" s="211" t="b">
        <f>IFERROR(__xludf.DUMMYFUNCTION("""COMPUTED_VALUE"""),FALSE)</f>
        <v>0</v>
      </c>
      <c r="AW122" s="211" t="str">
        <f>IFERROR(__xludf.DUMMYFUNCTION("""COMPUTED_VALUE"""),"Ds. Kendalsari 03/02 Sumobito Jombang Jawa Timur")</f>
        <v>Ds. Kendalsari 03/02 Sumobito Jombang Jawa Timur</v>
      </c>
      <c r="AX122" s="211">
        <f>IFERROR(__xludf.DUMMYFUNCTION("""COMPUTED_VALUE"""),15.0)</f>
        <v>15</v>
      </c>
      <c r="AY122" s="211" t="str">
        <f>IFERROR(__xludf.DUMMYFUNCTION("""COMPUTED_VALUE"""),"085792763149")</f>
        <v>085792763149</v>
      </c>
      <c r="AZ122" s="211"/>
      <c r="BB122" s="211"/>
      <c r="BC122" s="211"/>
      <c r="BD122" s="211"/>
      <c r="BE122" s="211"/>
      <c r="BF122" s="211"/>
      <c r="BG122" s="211"/>
      <c r="BH122" s="211"/>
      <c r="BI122" s="211"/>
    </row>
    <row r="123">
      <c r="A123" s="210" t="str">
        <f>IFERROR(__xludf.DUMMYFUNCTION("""COMPUTED_VALUE"""),"10240058")</f>
        <v>10240058</v>
      </c>
      <c r="B123" s="210" t="str">
        <f>IFERROR(__xludf.DUMMYFUNCTION("""COMPUTED_VALUE"""),"10240058")</f>
        <v>10240058</v>
      </c>
      <c r="C123" s="213">
        <f>IFERROR(__xludf.DUMMYFUNCTION("""COMPUTED_VALUE"""),45591.400613425925)</f>
        <v>45591.40061</v>
      </c>
      <c r="D123" s="211" t="str">
        <f>IFERROR(__xludf.DUMMYFUNCTION("""COMPUTED_VALUE"""),"f8335a53")</f>
        <v>f8335a53</v>
      </c>
      <c r="E123" s="211" t="str">
        <f>IFERROR(__xludf.DUMMYFUNCTION("""COMPUTED_VALUE"""),"CV RAGAM JAYA ENGINEERING")</f>
        <v>CV RAGAM JAYA ENGINEERING</v>
      </c>
      <c r="F123" s="211" t="str">
        <f>IFERROR(__xludf.DUMMYFUNCTION("""COMPUTED_VALUE"""),"ef306e54")</f>
        <v>ef306e54</v>
      </c>
      <c r="G123" s="211" t="str">
        <f>IFERROR(__xludf.DUMMYFUNCTION("""COMPUTED_VALUE"""),"Karbondioksida")</f>
        <v>Karbondioksida</v>
      </c>
      <c r="H123" s="214" t="str">
        <f>IFERROR(__xludf.DUMMYFUNCTION("""COMPUTED_VALUE"""),"OUT")</f>
        <v>OUT</v>
      </c>
      <c r="I123" s="214" t="str">
        <f>IFERROR(__xludf.DUMMYFUNCTION("""COMPUTED_VALUE"""),"NORMAL")</f>
        <v>NORMAL</v>
      </c>
      <c r="J123" s="211">
        <f>IFERROR(__xludf.DUMMYFUNCTION("""COMPUTED_VALUE"""),5.0)</f>
        <v>5</v>
      </c>
      <c r="K123" s="210" t="str">
        <f>IFERROR(__xludf.DUMMYFUNCTION("""COMPUTED_VALUE"""),"6637 6684 6663 6781 6639")</f>
        <v>6637 6684 6663 6781 6639</v>
      </c>
      <c r="L123" s="211">
        <f>IFERROR(__xludf.DUMMYFUNCTION("""COMPUTED_VALUE"""),160000.0)</f>
        <v>160000</v>
      </c>
      <c r="M123" s="211"/>
      <c r="N123" s="211"/>
      <c r="O123" s="211"/>
      <c r="Q123" s="210" t="str">
        <f>IFERROR(__xludf.DUMMYFUNCTION("""COMPUTED_VALUE"""),"b5c419c9")</f>
        <v>b5c419c9</v>
      </c>
      <c r="R123" s="210" t="str">
        <f>IFERROR(__xludf.DUMMYFUNCTION("""COMPUTED_VALUE"""),"b5c419c9")</f>
        <v>b5c419c9</v>
      </c>
      <c r="S123" s="211" t="str">
        <f>IFERROR(__xludf.DUMMYFUNCTION("""COMPUTED_VALUE"""),"72d9a70c")</f>
        <v>72d9a70c</v>
      </c>
      <c r="T123" s="211" t="str">
        <f>IFERROR(__xludf.DUMMYFUNCTION("""COMPUTED_VALUE"""),"PT Beton Prima Indonesia")</f>
        <v>PT Beton Prima Indonesia</v>
      </c>
      <c r="U123" s="215">
        <f>IFERROR(__xludf.DUMMYFUNCTION("""COMPUTED_VALUE"""),45601.37986111111)</f>
        <v>45601.37986</v>
      </c>
      <c r="V123" s="211" t="str">
        <f>IFERROR(__xludf.DUMMYFUNCTION("""COMPUTED_VALUE"""),"KH. Ahmad Dahlan KM.2 Ds. Sumberwono, Kec. Bangsal, Kab. Mojokerto 61381")</f>
        <v>KH. Ahmad Dahlan KM.2 Ds. Sumberwono, Kec. Bangsal, Kab. Mojokerto 61381</v>
      </c>
      <c r="W123" s="211" t="str">
        <f>IFERROR(__xludf.DUMMYFUNCTION("""COMPUTED_VALUE"""),"IN")</f>
        <v>IN</v>
      </c>
      <c r="X123" s="211"/>
      <c r="Z123" s="211" t="str">
        <f>IFERROR(__xludf.DUMMYFUNCTION("""COMPUTED_VALUE"""),"0326182813")</f>
        <v>0326182813</v>
      </c>
      <c r="AC123" s="211" t="str">
        <f>IFERROR(__xludf.DUMMYFUNCTION("""COMPUTED_VALUE"""),"02c693f1")</f>
        <v>02c693f1</v>
      </c>
      <c r="AD123" s="211" t="str">
        <f>IFERROR(__xludf.DUMMYFUNCTION("""COMPUTED_VALUE"""),"Bpk. Rudi Jaya")</f>
        <v>Bpk. Rudi Jaya</v>
      </c>
      <c r="AE123" s="211"/>
      <c r="AF123" s="211" t="b">
        <f>IFERROR(__xludf.DUMMYFUNCTION("""COMPUTED_VALUE"""),FALSE)</f>
        <v>0</v>
      </c>
      <c r="AG123" s="211" t="str">
        <f>IFERROR(__xludf.DUMMYFUNCTION("""COMPUTED_VALUE"""),"Ganting Tulangan, Jalan Raya kenongo ( Jual Beli Besi Tua ), Kec. Tulangan Kabupaten Sidoarjo Jawa Timur 61273")</f>
        <v>Ganting Tulangan, Jalan Raya kenongo ( Jual Beli Besi Tua ), Kec. Tulangan Kabupaten Sidoarjo Jawa Timur 61273</v>
      </c>
      <c r="AH123" s="211">
        <f>IFERROR(__xludf.DUMMYFUNCTION("""COMPUTED_VALUE"""),30.0)</f>
        <v>30</v>
      </c>
      <c r="AI123" s="211" t="str">
        <f>IFERROR(__xludf.DUMMYFUNCTION("""COMPUTED_VALUE"""),"085933633944")</f>
        <v>085933633944</v>
      </c>
      <c r="AJ123" s="211"/>
      <c r="AL123" s="211" t="str">
        <f>IFERROR(__xludf.DUMMYFUNCTION("""COMPUTED_VALUE"""),"2260187")</f>
        <v>2260187</v>
      </c>
      <c r="AM123" s="211" t="str">
        <f>IFERROR(__xludf.DUMMYFUNCTION("""COMPUTED_VALUE"""),"0126172356")</f>
        <v>0126172356</v>
      </c>
      <c r="AN123" s="211" t="str">
        <f>IFERROR(__xludf.DUMMYFUNCTION("""COMPUTED_VALUE"""),"63fc688a")</f>
        <v>63fc688a</v>
      </c>
      <c r="AO123" s="211" t="str">
        <f>IFERROR(__xludf.DUMMYFUNCTION("""COMPUTED_VALUE"""),"CV Malik Nusantara")</f>
        <v>CV Malik Nusantara</v>
      </c>
      <c r="AP123" s="215">
        <f>IFERROR(__xludf.DUMMYFUNCTION("""COMPUTED_VALUE"""),46048.507986111115)</f>
        <v>46048.50799</v>
      </c>
      <c r="AQ123" s="218">
        <f>IFERROR(__xludf.DUMMYFUNCTION("""COMPUTED_VALUE"""),46048.0)</f>
        <v>46048</v>
      </c>
      <c r="AR123" s="211"/>
      <c r="AS123" s="211" t="str">
        <f>IFERROR(__xludf.DUMMYFUNCTION("""COMPUTED_VALUE"""),"02c693f1")</f>
        <v>02c693f1</v>
      </c>
      <c r="AT123" s="211" t="str">
        <f>IFERROR(__xludf.DUMMYFUNCTION("""COMPUTED_VALUE"""),"Bpk. Rudi Jaya")</f>
        <v>Bpk. Rudi Jaya</v>
      </c>
      <c r="AU123" s="211"/>
      <c r="AV123" s="211" t="b">
        <f>IFERROR(__xludf.DUMMYFUNCTION("""COMPUTED_VALUE"""),FALSE)</f>
        <v>0</v>
      </c>
      <c r="AW123" s="211" t="str">
        <f>IFERROR(__xludf.DUMMYFUNCTION("""COMPUTED_VALUE"""),"Ganting Tulangan, Jalan Raya kenongo ( Jual Beli Besi Tua ), Kec. Tulangan Kabupaten Sidoarjo Jawa Timur 61273")</f>
        <v>Ganting Tulangan, Jalan Raya kenongo ( Jual Beli Besi Tua ), Kec. Tulangan Kabupaten Sidoarjo Jawa Timur 61273</v>
      </c>
      <c r="AX123" s="211">
        <f>IFERROR(__xludf.DUMMYFUNCTION("""COMPUTED_VALUE"""),30.0)</f>
        <v>30</v>
      </c>
      <c r="AY123" s="211" t="str">
        <f>IFERROR(__xludf.DUMMYFUNCTION("""COMPUTED_VALUE"""),"085933633944")</f>
        <v>085933633944</v>
      </c>
      <c r="AZ123" s="211"/>
      <c r="BB123" s="211"/>
      <c r="BC123" s="211"/>
      <c r="BD123" s="211"/>
      <c r="BE123" s="211"/>
      <c r="BF123" s="211"/>
      <c r="BG123" s="211"/>
      <c r="BH123" s="211"/>
      <c r="BI123" s="211"/>
    </row>
    <row r="124">
      <c r="A124" s="210" t="str">
        <f>IFERROR(__xludf.DUMMYFUNCTION("""COMPUTED_VALUE"""),"6ec1a4ba")</f>
        <v>6ec1a4ba</v>
      </c>
      <c r="B124" s="210" t="str">
        <f>IFERROR(__xludf.DUMMYFUNCTION("""COMPUTED_VALUE"""),"6ec1a4ba")</f>
        <v>6ec1a4ba</v>
      </c>
      <c r="C124" s="213">
        <f>IFERROR(__xludf.DUMMYFUNCTION("""COMPUTED_VALUE"""),45591.555243055554)</f>
        <v>45591.55524</v>
      </c>
      <c r="D124" s="211" t="str">
        <f>IFERROR(__xludf.DUMMYFUNCTION("""COMPUTED_VALUE"""),"f8335a53")</f>
        <v>f8335a53</v>
      </c>
      <c r="E124" s="211" t="str">
        <f>IFERROR(__xludf.DUMMYFUNCTION("""COMPUTED_VALUE"""),"CV RAGAM JAYA ENGINEERING")</f>
        <v>CV RAGAM JAYA ENGINEERING</v>
      </c>
      <c r="F124" s="211" t="str">
        <f>IFERROR(__xludf.DUMMYFUNCTION("""COMPUTED_VALUE"""),"ef306e54")</f>
        <v>ef306e54</v>
      </c>
      <c r="G124" s="211" t="str">
        <f>IFERROR(__xludf.DUMMYFUNCTION("""COMPUTED_VALUE"""),"Karbondioksida")</f>
        <v>Karbondioksida</v>
      </c>
      <c r="H124" s="214" t="str">
        <f>IFERROR(__xludf.DUMMYFUNCTION("""COMPUTED_VALUE"""),"IN")</f>
        <v>IN</v>
      </c>
      <c r="I124" s="214" t="str">
        <f>IFERROR(__xludf.DUMMYFUNCTION("""COMPUTED_VALUE"""),"EMPTY")</f>
        <v>EMPTY</v>
      </c>
      <c r="J124" s="211">
        <f>IFERROR(__xludf.DUMMYFUNCTION("""COMPUTED_VALUE"""),5.0)</f>
        <v>5</v>
      </c>
      <c r="K124" s="210" t="str">
        <f>IFERROR(__xludf.DUMMYFUNCTION("""COMPUTED_VALUE"""),"6686 6666 6904 6711 6975")</f>
        <v>6686 6666 6904 6711 6975</v>
      </c>
      <c r="L124" s="211"/>
      <c r="M124" s="211"/>
      <c r="N124" s="211"/>
      <c r="O124" s="211"/>
      <c r="Q124" s="210" t="str">
        <f>IFERROR(__xludf.DUMMYFUNCTION("""COMPUTED_VALUE"""),"4eb5d8e9")</f>
        <v>4eb5d8e9</v>
      </c>
      <c r="R124" s="210" t="str">
        <f>IFERROR(__xludf.DUMMYFUNCTION("""COMPUTED_VALUE"""),"4eb5d8e9")</f>
        <v>4eb5d8e9</v>
      </c>
      <c r="S124" s="211" t="str">
        <f>IFERROR(__xludf.DUMMYFUNCTION("""COMPUTED_VALUE"""),"c2f5a4a7")</f>
        <v>c2f5a4a7</v>
      </c>
      <c r="T124" s="211" t="str">
        <f>IFERROR(__xludf.DUMMYFUNCTION("""COMPUTED_VALUE"""),"UD Sumber Berlian")</f>
        <v>UD Sumber Berlian</v>
      </c>
      <c r="U124" s="215">
        <f>IFERROR(__xludf.DUMMYFUNCTION("""COMPUTED_VALUE"""),45601.452465277776)</f>
        <v>45601.45247</v>
      </c>
      <c r="V124" s="211" t="str">
        <f>IFERROR(__xludf.DUMMYFUNCTION("""COMPUTED_VALUE"""),"Ciro Kulon, Bakungtemenggungan, Kec. BalongBendo, Kabupaten Sidoarjo, Jawa Timur 61263")</f>
        <v>Ciro Kulon, Bakungtemenggungan, Kec. BalongBendo, Kabupaten Sidoarjo, Jawa Timur 61263</v>
      </c>
      <c r="W124" s="211" t="str">
        <f>IFERROR(__xludf.DUMMYFUNCTION("""COMPUTED_VALUE"""),"IN")</f>
        <v>IN</v>
      </c>
      <c r="X124" s="211"/>
      <c r="Z124" s="211" t="str">
        <f>IFERROR(__xludf.DUMMYFUNCTION("""COMPUTED_VALUE"""),"0326142812")</f>
        <v>0326142812</v>
      </c>
      <c r="AC124" s="211" t="str">
        <f>IFERROR(__xludf.DUMMYFUNCTION("""COMPUTED_VALUE"""),"8340b6de")</f>
        <v>8340b6de</v>
      </c>
      <c r="AD124" s="211" t="str">
        <f>IFERROR(__xludf.DUMMYFUNCTION("""COMPUTED_VALUE"""),"John Doe")</f>
        <v>John Doe</v>
      </c>
      <c r="AE124" s="211"/>
      <c r="AF124" s="211" t="b">
        <f>IFERROR(__xludf.DUMMYFUNCTION("""COMPUTED_VALUE"""),FALSE)</f>
        <v>0</v>
      </c>
      <c r="AG124" s="211" t="str">
        <f>IFERROR(__xludf.DUMMYFUNCTION("""COMPUTED_VALUE"""),"Sidokampir")</f>
        <v>Sidokampir</v>
      </c>
      <c r="AH124" s="211"/>
      <c r="AI124" s="211"/>
      <c r="AJ124" s="211"/>
      <c r="AL124" s="211" t="str">
        <f>IFERROR(__xludf.DUMMYFUNCTION("""COMPUTED_VALUE"""),"2260184")</f>
        <v>2260184</v>
      </c>
      <c r="AM124" s="211" t="str">
        <f>IFERROR(__xludf.DUMMYFUNCTION("""COMPUTED_VALUE"""),"0126102131")</f>
        <v>0126102131</v>
      </c>
      <c r="AN124" s="211" t="str">
        <f>IFERROR(__xludf.DUMMYFUNCTION("""COMPUTED_VALUE"""),"3b04351a")</f>
        <v>3b04351a</v>
      </c>
      <c r="AO124" s="211" t="str">
        <f>IFERROR(__xludf.DUMMYFUNCTION("""COMPUTED_VALUE"""),"CV Usaha Logam Jaya ( Bpk Putra )")</f>
        <v>CV Usaha Logam Jaya ( Bpk Putra )</v>
      </c>
      <c r="AP124" s="215">
        <f>IFERROR(__xludf.DUMMYFUNCTION("""COMPUTED_VALUE"""),46039.57414351852)</f>
        <v>46039.57414</v>
      </c>
      <c r="AQ124" s="218">
        <f>IFERROR(__xludf.DUMMYFUNCTION("""COMPUTED_VALUE"""),46024.0)</f>
        <v>46024</v>
      </c>
      <c r="AR124" s="211"/>
      <c r="AS124" s="211" t="str">
        <f>IFERROR(__xludf.DUMMYFUNCTION("""COMPUTED_VALUE"""),"8340b6de")</f>
        <v>8340b6de</v>
      </c>
      <c r="AT124" s="211" t="str">
        <f>IFERROR(__xludf.DUMMYFUNCTION("""COMPUTED_VALUE"""),"John Doe")</f>
        <v>John Doe</v>
      </c>
      <c r="AU124" s="211"/>
      <c r="AV124" s="211" t="b">
        <f>IFERROR(__xludf.DUMMYFUNCTION("""COMPUTED_VALUE"""),FALSE)</f>
        <v>0</v>
      </c>
      <c r="AW124" s="211" t="str">
        <f>IFERROR(__xludf.DUMMYFUNCTION("""COMPUTED_VALUE"""),"Sidokampir")</f>
        <v>Sidokampir</v>
      </c>
      <c r="AX124" s="211"/>
      <c r="AY124" s="211"/>
      <c r="AZ124" s="211"/>
      <c r="BB124" s="211"/>
      <c r="BC124" s="211"/>
      <c r="BD124" s="211"/>
      <c r="BE124" s="211"/>
      <c r="BF124" s="211"/>
      <c r="BG124" s="211"/>
      <c r="BH124" s="211"/>
      <c r="BI124" s="211"/>
    </row>
    <row r="125">
      <c r="A125" s="210" t="str">
        <f>IFERROR(__xludf.DUMMYFUNCTION("""COMPUTED_VALUE"""),"6ec1a4ba")</f>
        <v>6ec1a4ba</v>
      </c>
      <c r="B125" s="210" t="str">
        <f>IFERROR(__xludf.DUMMYFUNCTION("""COMPUTED_VALUE"""),"6ec1a4ba")</f>
        <v>6ec1a4ba</v>
      </c>
      <c r="C125" s="213">
        <f>IFERROR(__xludf.DUMMYFUNCTION("""COMPUTED_VALUE"""),45591.55601851852)</f>
        <v>45591.55602</v>
      </c>
      <c r="D125" s="211" t="str">
        <f>IFERROR(__xludf.DUMMYFUNCTION("""COMPUTED_VALUE"""),"f8335a53")</f>
        <v>f8335a53</v>
      </c>
      <c r="E125" s="211" t="str">
        <f>IFERROR(__xludf.DUMMYFUNCTION("""COMPUTED_VALUE"""),"CV RAGAM JAYA ENGINEERING")</f>
        <v>CV RAGAM JAYA ENGINEERING</v>
      </c>
      <c r="F125" s="211" t="str">
        <f>IFERROR(__xludf.DUMMYFUNCTION("""COMPUTED_VALUE"""),"8bdbe149")</f>
        <v>8bdbe149</v>
      </c>
      <c r="G125" s="211" t="str">
        <f>IFERROR(__xludf.DUMMYFUNCTION("""COMPUTED_VALUE"""),"Oksigen 6m3")</f>
        <v>Oksigen 6m3</v>
      </c>
      <c r="H125" s="214" t="str">
        <f>IFERROR(__xludf.DUMMYFUNCTION("""COMPUTED_VALUE"""),"IN")</f>
        <v>IN</v>
      </c>
      <c r="I125" s="214" t="str">
        <f>IFERROR(__xludf.DUMMYFUNCTION("""COMPUTED_VALUE"""),"EMPTY")</f>
        <v>EMPTY</v>
      </c>
      <c r="J125" s="211">
        <f>IFERROR(__xludf.DUMMYFUNCTION("""COMPUTED_VALUE"""),5.0)</f>
        <v>5</v>
      </c>
      <c r="K125" s="210" t="str">
        <f>IFERROR(__xludf.DUMMYFUNCTION("""COMPUTED_VALUE"""),"1127 1189 11121 1124 11118")</f>
        <v>1127 1189 11121 1124 11118</v>
      </c>
      <c r="L125" s="211"/>
      <c r="M125" s="211"/>
      <c r="N125" s="211"/>
      <c r="O125" s="211"/>
      <c r="Q125" s="210" t="str">
        <f>IFERROR(__xludf.DUMMYFUNCTION("""COMPUTED_VALUE"""),"ed53fad4")</f>
        <v>ed53fad4</v>
      </c>
      <c r="R125" s="210" t="str">
        <f>IFERROR(__xludf.DUMMYFUNCTION("""COMPUTED_VALUE"""),"ed53fad4")</f>
        <v>ed53fad4</v>
      </c>
      <c r="S125" s="211" t="str">
        <f>IFERROR(__xludf.DUMMYFUNCTION("""COMPUTED_VALUE"""),"17af2683")</f>
        <v>17af2683</v>
      </c>
      <c r="T125" s="211" t="str">
        <f>IFERROR(__xludf.DUMMYFUNCTION("""COMPUTED_VALUE"""),"H. Fatoni")</f>
        <v>H. Fatoni</v>
      </c>
      <c r="U125" s="215">
        <f>IFERROR(__xludf.DUMMYFUNCTION("""COMPUTED_VALUE"""),45601.680613425924)</f>
        <v>45601.68061</v>
      </c>
      <c r="V125" s="211" t="str">
        <f>IFERROR(__xludf.DUMMYFUNCTION("""COMPUTED_VALUE"""),"Watesari 015/003, Watesari, Balongbendo, Sidoarjo, Jawa Timur")</f>
        <v>Watesari 015/003, Watesari, Balongbendo, Sidoarjo, Jawa Timur</v>
      </c>
      <c r="W125" s="211" t="str">
        <f>IFERROR(__xludf.DUMMYFUNCTION("""COMPUTED_VALUE"""),"IN")</f>
        <v>IN</v>
      </c>
      <c r="X125" s="211"/>
      <c r="Z125" s="211" t="str">
        <f>IFERROR(__xludf.DUMMYFUNCTION("""COMPUTED_VALUE"""),"0326142811")</f>
        <v>0326142811</v>
      </c>
      <c r="AC125" s="211" t="str">
        <f>IFERROR(__xludf.DUMMYFUNCTION("""COMPUTED_VALUE"""),"58ae16eb")</f>
        <v>58ae16eb</v>
      </c>
      <c r="AD125" s="211" t="str">
        <f>IFERROR(__xludf.DUMMYFUNCTION("""COMPUTED_VALUE"""),"Bpk. Sahri")</f>
        <v>Bpk. Sahri</v>
      </c>
      <c r="AE125" s="211"/>
      <c r="AF125" s="211" t="b">
        <f>IFERROR(__xludf.DUMMYFUNCTION("""COMPUTED_VALUE"""),FALSE)</f>
        <v>0</v>
      </c>
      <c r="AG125" s="211" t="str">
        <f>IFERROR(__xludf.DUMMYFUNCTION("""COMPUTED_VALUE"""),"Jl. Empu Gandring Klagen,RT.10 RW.04 Tropodo, Kec. Krian, Kabupaten Sidoarjo, Jawa Timur 61262")</f>
        <v>Jl. Empu Gandring Klagen,RT.10 RW.04 Tropodo, Kec. Krian, Kabupaten Sidoarjo, Jawa Timur 61262</v>
      </c>
      <c r="AH125" s="211"/>
      <c r="AI125" s="211" t="str">
        <f>IFERROR(__xludf.DUMMYFUNCTION("""COMPUTED_VALUE"""),"‪0878‑3743‑6360‬")</f>
        <v>‪0878‑3743‑6360‬</v>
      </c>
      <c r="AJ125" s="211"/>
      <c r="AL125" s="211" t="str">
        <f>IFERROR(__xludf.DUMMYFUNCTION("""COMPUTED_VALUE"""),"2260184")</f>
        <v>2260184</v>
      </c>
      <c r="AM125" s="211" t="str">
        <f>IFERROR(__xludf.DUMMYFUNCTION("""COMPUTED_VALUE"""),"0126112190")</f>
        <v>0126112190</v>
      </c>
      <c r="AN125" s="211" t="str">
        <f>IFERROR(__xludf.DUMMYFUNCTION("""COMPUTED_VALUE"""),"3b04351a")</f>
        <v>3b04351a</v>
      </c>
      <c r="AO125" s="211" t="str">
        <f>IFERROR(__xludf.DUMMYFUNCTION("""COMPUTED_VALUE"""),"CV Usaha Logam Jaya ( Bpk Putra )")</f>
        <v>CV Usaha Logam Jaya ( Bpk Putra )</v>
      </c>
      <c r="AP125" s="215">
        <f>IFERROR(__xludf.DUMMYFUNCTION("""COMPUTED_VALUE"""),46039.57414351852)</f>
        <v>46039.57414</v>
      </c>
      <c r="AQ125" s="218">
        <f>IFERROR(__xludf.DUMMYFUNCTION("""COMPUTED_VALUE"""),46031.0)</f>
        <v>46031</v>
      </c>
      <c r="AR125" s="211"/>
      <c r="AS125" s="211" t="str">
        <f>IFERROR(__xludf.DUMMYFUNCTION("""COMPUTED_VALUE"""),"58ae16eb")</f>
        <v>58ae16eb</v>
      </c>
      <c r="AT125" s="211" t="str">
        <f>IFERROR(__xludf.DUMMYFUNCTION("""COMPUTED_VALUE"""),"Bpk. Sahri")</f>
        <v>Bpk. Sahri</v>
      </c>
      <c r="AU125" s="211"/>
      <c r="AV125" s="211" t="b">
        <f>IFERROR(__xludf.DUMMYFUNCTION("""COMPUTED_VALUE"""),FALSE)</f>
        <v>0</v>
      </c>
      <c r="AW125" s="211" t="str">
        <f>IFERROR(__xludf.DUMMYFUNCTION("""COMPUTED_VALUE"""),"Jl. Empu Gandring Klagen,RT.10 RW.04 Tropodo, Kec. Krian, Kabupaten Sidoarjo, Jawa Timur 61262")</f>
        <v>Jl. Empu Gandring Klagen,RT.10 RW.04 Tropodo, Kec. Krian, Kabupaten Sidoarjo, Jawa Timur 61262</v>
      </c>
      <c r="AX125" s="211"/>
      <c r="AY125" s="211" t="str">
        <f>IFERROR(__xludf.DUMMYFUNCTION("""COMPUTED_VALUE"""),"‪0878‑3743‑6360‬")</f>
        <v>‪0878‑3743‑6360‬</v>
      </c>
      <c r="AZ125" s="211"/>
      <c r="BB125" s="211"/>
      <c r="BC125" s="211"/>
      <c r="BD125" s="211"/>
      <c r="BE125" s="211"/>
      <c r="BF125" s="211"/>
      <c r="BG125" s="211"/>
      <c r="BH125" s="211"/>
      <c r="BI125" s="211"/>
    </row>
    <row r="126">
      <c r="A126" s="210" t="str">
        <f>IFERROR(__xludf.DUMMYFUNCTION("""COMPUTED_VALUE"""),"10240059")</f>
        <v>10240059</v>
      </c>
      <c r="B126" s="210" t="str">
        <f>IFERROR(__xludf.DUMMYFUNCTION("""COMPUTED_VALUE"""),"10240059")</f>
        <v>10240059</v>
      </c>
      <c r="C126" s="213">
        <f>IFERROR(__xludf.DUMMYFUNCTION("""COMPUTED_VALUE"""),45593.455775462964)</f>
        <v>45593.45578</v>
      </c>
      <c r="D126" s="211" t="str">
        <f>IFERROR(__xludf.DUMMYFUNCTION("""COMPUTED_VALUE"""),"4a01ccb6")</f>
        <v>4a01ccb6</v>
      </c>
      <c r="E126" s="211" t="str">
        <f>IFERROR(__xludf.DUMMYFUNCTION("""COMPUTED_VALUE"""),"CV ANUGERAH PERSADA TEKNIK")</f>
        <v>CV ANUGERAH PERSADA TEKNIK</v>
      </c>
      <c r="F126" s="211" t="str">
        <f>IFERROR(__xludf.DUMMYFUNCTION("""COMPUTED_VALUE"""),"66af7c72")</f>
        <v>66af7c72</v>
      </c>
      <c r="G126" s="211" t="str">
        <f>IFERROR(__xludf.DUMMYFUNCTION("""COMPUTED_VALUE"""),"Argon 6m3")</f>
        <v>Argon 6m3</v>
      </c>
      <c r="H126" s="214" t="str">
        <f>IFERROR(__xludf.DUMMYFUNCTION("""COMPUTED_VALUE"""),"OUT")</f>
        <v>OUT</v>
      </c>
      <c r="I126" s="214" t="str">
        <f>IFERROR(__xludf.DUMMYFUNCTION("""COMPUTED_VALUE"""),"NORMAL")</f>
        <v>NORMAL</v>
      </c>
      <c r="J126" s="211">
        <f>IFERROR(__xludf.DUMMYFUNCTION("""COMPUTED_VALUE"""),3.0)</f>
        <v>3</v>
      </c>
      <c r="K126" s="210" t="str">
        <f>IFERROR(__xludf.DUMMYFUNCTION("""COMPUTED_VALUE"""),"12001 12002 12003")</f>
        <v>12001 12002 12003</v>
      </c>
      <c r="L126" s="211">
        <f>IFERROR(__xludf.DUMMYFUNCTION("""COMPUTED_VALUE"""),190000.0)</f>
        <v>190000</v>
      </c>
      <c r="M126" s="211"/>
      <c r="N126" s="211"/>
      <c r="O126" s="211"/>
      <c r="Q126" s="210" t="str">
        <f>IFERROR(__xludf.DUMMYFUNCTION("""COMPUTED_VALUE"""),"11240080")</f>
        <v>11240080</v>
      </c>
      <c r="R126" s="210" t="str">
        <f>IFERROR(__xludf.DUMMYFUNCTION("""COMPUTED_VALUE"""),"11240080")</f>
        <v>11240080</v>
      </c>
      <c r="S126" s="211" t="str">
        <f>IFERROR(__xludf.DUMMYFUNCTION("""COMPUTED_VALUE"""),"c2f5a4a7")</f>
        <v>c2f5a4a7</v>
      </c>
      <c r="T126" s="211" t="str">
        <f>IFERROR(__xludf.DUMMYFUNCTION("""COMPUTED_VALUE"""),"UD Sumber Berlian")</f>
        <v>UD Sumber Berlian</v>
      </c>
      <c r="U126" s="215">
        <f>IFERROR(__xludf.DUMMYFUNCTION("""COMPUTED_VALUE"""),45602.46842592592)</f>
        <v>45602.46843</v>
      </c>
      <c r="V126" s="211" t="str">
        <f>IFERROR(__xludf.DUMMYFUNCTION("""COMPUTED_VALUE"""),"Ciro Kulon, Bakungtemenggungan, Kec. BalongBendo, Kabupaten Sidoarjo, Jawa Timur 61263")</f>
        <v>Ciro Kulon, Bakungtemenggungan, Kec. BalongBendo, Kabupaten Sidoarjo, Jawa Timur 61263</v>
      </c>
      <c r="W126" s="211" t="str">
        <f>IFERROR(__xludf.DUMMYFUNCTION("""COMPUTED_VALUE"""),"OUT")</f>
        <v>OUT</v>
      </c>
      <c r="X126" s="211"/>
      <c r="Z126" s="211" t="str">
        <f>IFERROR(__xludf.DUMMYFUNCTION("""COMPUTED_VALUE"""),"032652809")</f>
        <v>032652809</v>
      </c>
      <c r="AC126" s="211" t="str">
        <f>IFERROR(__xludf.DUMMYFUNCTION("""COMPUTED_VALUE"""),"4c3a2a5f")</f>
        <v>4c3a2a5f</v>
      </c>
      <c r="AD126" s="211" t="str">
        <f>IFERROR(__xludf.DUMMYFUNCTION("""COMPUTED_VALUE"""),"CV Matahari Mitra Sukses")</f>
        <v>CV Matahari Mitra Sukses</v>
      </c>
      <c r="AE126" s="211" t="str">
        <f>IFERROR(__xludf.DUMMYFUNCTION("""COMPUTED_VALUE"""),"819577875615000")</f>
        <v>819577875615000</v>
      </c>
      <c r="AF126" s="211" t="b">
        <f>IFERROR(__xludf.DUMMYFUNCTION("""COMPUTED_VALUE"""),TRUE)</f>
        <v>1</v>
      </c>
      <c r="AG126" s="211" t="str">
        <f>IFERROR(__xludf.DUMMYFUNCTION("""COMPUTED_VALUE"""),"Jl. Raya Hj. Fatimah 01, Tarik, Kabupaten Sidoarjo, Jawa Timur 61265, Indonesia")</f>
        <v>Jl. Raya Hj. Fatimah 01, Tarik, Kabupaten Sidoarjo, Jawa Timur 61265, Indonesia</v>
      </c>
      <c r="AH126" s="211"/>
      <c r="AI126" s="211"/>
      <c r="AJ126" s="211"/>
      <c r="AL126" s="211" t="str">
        <f>IFERROR(__xludf.DUMMYFUNCTION("""COMPUTED_VALUE"""),"2260184")</f>
        <v>2260184</v>
      </c>
      <c r="AM126" s="211" t="str">
        <f>IFERROR(__xludf.DUMMYFUNCTION("""COMPUTED_VALUE"""),"122592096")</f>
        <v>122592096</v>
      </c>
      <c r="AN126" s="211" t="str">
        <f>IFERROR(__xludf.DUMMYFUNCTION("""COMPUTED_VALUE"""),"3b04351a")</f>
        <v>3b04351a</v>
      </c>
      <c r="AO126" s="211" t="str">
        <f>IFERROR(__xludf.DUMMYFUNCTION("""COMPUTED_VALUE"""),"CV Usaha Logam Jaya ( Bpk Putra )")</f>
        <v>CV Usaha Logam Jaya ( Bpk Putra )</v>
      </c>
      <c r="AP126" s="215">
        <f>IFERROR(__xludf.DUMMYFUNCTION("""COMPUTED_VALUE"""),46039.57414351852)</f>
        <v>46039.57414</v>
      </c>
      <c r="AQ126" s="218">
        <f>IFERROR(__xludf.DUMMYFUNCTION("""COMPUTED_VALUE"""),46018.0)</f>
        <v>46018</v>
      </c>
      <c r="AR126" s="211"/>
      <c r="AS126" s="211" t="str">
        <f>IFERROR(__xludf.DUMMYFUNCTION("""COMPUTED_VALUE"""),"4c3a2a5f")</f>
        <v>4c3a2a5f</v>
      </c>
      <c r="AT126" s="211" t="str">
        <f>IFERROR(__xludf.DUMMYFUNCTION("""COMPUTED_VALUE"""),"CV Matahari Mitra Sukses")</f>
        <v>CV Matahari Mitra Sukses</v>
      </c>
      <c r="AU126" s="211" t="str">
        <f>IFERROR(__xludf.DUMMYFUNCTION("""COMPUTED_VALUE"""),"819577875615000")</f>
        <v>819577875615000</v>
      </c>
      <c r="AV126" s="211" t="b">
        <f>IFERROR(__xludf.DUMMYFUNCTION("""COMPUTED_VALUE"""),TRUE)</f>
        <v>1</v>
      </c>
      <c r="AW126" s="211" t="str">
        <f>IFERROR(__xludf.DUMMYFUNCTION("""COMPUTED_VALUE"""),"Jl. Raya Hj. Fatimah 01, Tarik, Kabupaten Sidoarjo, Jawa Timur 61265, Indonesia")</f>
        <v>Jl. Raya Hj. Fatimah 01, Tarik, Kabupaten Sidoarjo, Jawa Timur 61265, Indonesia</v>
      </c>
      <c r="AX126" s="211"/>
      <c r="AY126" s="211"/>
      <c r="AZ126" s="211"/>
      <c r="BB126" s="211"/>
      <c r="BC126" s="211"/>
      <c r="BD126" s="211"/>
      <c r="BE126" s="211"/>
      <c r="BF126" s="211"/>
      <c r="BG126" s="211"/>
      <c r="BH126" s="211"/>
      <c r="BI126" s="211"/>
    </row>
    <row r="127">
      <c r="A127" s="210" t="str">
        <f>IFERROR(__xludf.DUMMYFUNCTION("""COMPUTED_VALUE"""),"10240060")</f>
        <v>10240060</v>
      </c>
      <c r="B127" s="210" t="str">
        <f>IFERROR(__xludf.DUMMYFUNCTION("""COMPUTED_VALUE"""),"10240060")</f>
        <v>10240060</v>
      </c>
      <c r="C127" s="213">
        <f>IFERROR(__xludf.DUMMYFUNCTION("""COMPUTED_VALUE"""),45593.45738425926)</f>
        <v>45593.45738</v>
      </c>
      <c r="D127" s="211" t="str">
        <f>IFERROR(__xludf.DUMMYFUNCTION("""COMPUTED_VALUE"""),"7b9d8eba")</f>
        <v>7b9d8eba</v>
      </c>
      <c r="E127" s="211" t="str">
        <f>IFERROR(__xludf.DUMMYFUNCTION("""COMPUTED_VALUE"""),"PT PELANGI INDOKARYA")</f>
        <v>PT PELANGI INDOKARYA</v>
      </c>
      <c r="F127" s="211" t="str">
        <f>IFERROR(__xludf.DUMMYFUNCTION("""COMPUTED_VALUE"""),"8bdbe149")</f>
        <v>8bdbe149</v>
      </c>
      <c r="G127" s="211" t="str">
        <f>IFERROR(__xludf.DUMMYFUNCTION("""COMPUTED_VALUE"""),"Oksigen 6m3")</f>
        <v>Oksigen 6m3</v>
      </c>
      <c r="H127" s="214" t="str">
        <f>IFERROR(__xludf.DUMMYFUNCTION("""COMPUTED_VALUE"""),"OUT")</f>
        <v>OUT</v>
      </c>
      <c r="I127" s="214" t="str">
        <f>IFERROR(__xludf.DUMMYFUNCTION("""COMPUTED_VALUE"""),"NORMAL")</f>
        <v>NORMAL</v>
      </c>
      <c r="J127" s="211">
        <f>IFERROR(__xludf.DUMMYFUNCTION("""COMPUTED_VALUE"""),5.0)</f>
        <v>5</v>
      </c>
      <c r="K127" s="210" t="str">
        <f>IFERROR(__xludf.DUMMYFUNCTION("""COMPUTED_VALUE"""),"1129 11109 11120 1139 11104")</f>
        <v>1129 11109 11120 1139 11104</v>
      </c>
      <c r="L127" s="211">
        <f>IFERROR(__xludf.DUMMYFUNCTION("""COMPUTED_VALUE"""),60000.0)</f>
        <v>60000</v>
      </c>
      <c r="M127" s="211"/>
      <c r="N127" s="211"/>
      <c r="O127" s="211"/>
      <c r="Q127" s="210" t="str">
        <f>IFERROR(__xludf.DUMMYFUNCTION("""COMPUTED_VALUE"""),"3ef66923")</f>
        <v>3ef66923</v>
      </c>
      <c r="R127" s="210" t="str">
        <f>IFERROR(__xludf.DUMMYFUNCTION("""COMPUTED_VALUE"""),"3ef66923")</f>
        <v>3ef66923</v>
      </c>
      <c r="S127" s="211" t="str">
        <f>IFERROR(__xludf.DUMMYFUNCTION("""COMPUTED_VALUE"""),"e968afef")</f>
        <v>e968afef</v>
      </c>
      <c r="T127" s="211" t="str">
        <f>IFERROR(__xludf.DUMMYFUNCTION("""COMPUTED_VALUE"""),"Bpk. Agus")</f>
        <v>Bpk. Agus</v>
      </c>
      <c r="U127" s="215">
        <f>IFERROR(__xludf.DUMMYFUNCTION("""COMPUTED_VALUE"""),45602.47520833333)</f>
        <v>45602.47521</v>
      </c>
      <c r="V127" s="211" t="str">
        <f>IFERROR(__xludf.DUMMYFUNCTION("""COMPUTED_VALUE"""),"Jl. Parengan 13, Semawut, Balongbendo, Kec. BalongBendo, Kabupaten Sidoarjo, Jawa Timur 61263")</f>
        <v>Jl. Parengan 13, Semawut, Balongbendo, Kec. BalongBendo, Kabupaten Sidoarjo, Jawa Timur 61263</v>
      </c>
      <c r="W127" s="211" t="str">
        <f>IFERROR(__xludf.DUMMYFUNCTION("""COMPUTED_VALUE"""),"IN")</f>
        <v>IN</v>
      </c>
      <c r="X127" s="211"/>
      <c r="Z127" s="211" t="str">
        <f>IFERROR(__xludf.DUMMYFUNCTION("""COMPUTED_VALUE"""),"0326932810")</f>
        <v>0326932810</v>
      </c>
      <c r="AC127" s="211" t="str">
        <f>IFERROR(__xludf.DUMMYFUNCTION("""COMPUTED_VALUE"""),"f7243d00")</f>
        <v>f7243d00</v>
      </c>
      <c r="AD127" s="211" t="str">
        <f>IFERROR(__xludf.DUMMYFUNCTION("""COMPUTED_VALUE"""),"Bpk. Beni (Dlanggu)")</f>
        <v>Bpk. Beni (Dlanggu)</v>
      </c>
      <c r="AE127" s="211"/>
      <c r="AF127" s="211" t="b">
        <f>IFERROR(__xludf.DUMMYFUNCTION("""COMPUTED_VALUE"""),FALSE)</f>
        <v>0</v>
      </c>
      <c r="AG127" s="211" t="str">
        <f>IFERROR(__xludf.DUMMYFUNCTION("""COMPUTED_VALUE"""),"FFCG+F42, Dusun Tarukan, Tumapel, Kec. Dlanggu, Kabupaten Mojokerto, Jawa Timur")</f>
        <v>FFCG+F42, Dusun Tarukan, Tumapel, Kec. Dlanggu, Kabupaten Mojokerto, Jawa Timur</v>
      </c>
      <c r="AH127" s="211">
        <f>IFERROR(__xludf.DUMMYFUNCTION("""COMPUTED_VALUE"""),30.0)</f>
        <v>30</v>
      </c>
      <c r="AI127" s="211"/>
      <c r="AJ127" s="211"/>
      <c r="AL127" s="211" t="str">
        <f>IFERROR(__xludf.DUMMYFUNCTION("""COMPUTED_VALUE"""),"2260181")</f>
        <v>2260181</v>
      </c>
      <c r="AM127" s="211" t="str">
        <f>IFERROR(__xludf.DUMMYFUNCTION("""COMPUTED_VALUE"""),"1225112111")</f>
        <v>1225112111</v>
      </c>
      <c r="AN127" s="211" t="str">
        <f>IFERROR(__xludf.DUMMYFUNCTION("""COMPUTED_VALUE"""),"eec2e801")</f>
        <v>eec2e801</v>
      </c>
      <c r="AO127" s="211" t="str">
        <f>IFERROR(__xludf.DUMMYFUNCTION("""COMPUTED_VALUE"""),"Mitra Wood Sejahtera")</f>
        <v>Mitra Wood Sejahtera</v>
      </c>
      <c r="AP127" s="215">
        <f>IFERROR(__xludf.DUMMYFUNCTION("""COMPUTED_VALUE"""),46039.57233796296)</f>
        <v>46039.57234</v>
      </c>
      <c r="AQ127" s="218">
        <f>IFERROR(__xludf.DUMMYFUNCTION("""COMPUTED_VALUE"""),46020.0)</f>
        <v>46020</v>
      </c>
      <c r="AR127" s="211"/>
      <c r="AS127" s="211" t="str">
        <f>IFERROR(__xludf.DUMMYFUNCTION("""COMPUTED_VALUE"""),"f7243d00")</f>
        <v>f7243d00</v>
      </c>
      <c r="AT127" s="211" t="str">
        <f>IFERROR(__xludf.DUMMYFUNCTION("""COMPUTED_VALUE"""),"Bpk. Beni (Dlanggu)")</f>
        <v>Bpk. Beni (Dlanggu)</v>
      </c>
      <c r="AU127" s="211"/>
      <c r="AV127" s="211" t="b">
        <f>IFERROR(__xludf.DUMMYFUNCTION("""COMPUTED_VALUE"""),FALSE)</f>
        <v>0</v>
      </c>
      <c r="AW127" s="211" t="str">
        <f>IFERROR(__xludf.DUMMYFUNCTION("""COMPUTED_VALUE"""),"FFCG+F42, Dusun Tarukan, Tumapel, Kec. Dlanggu, Kabupaten Mojokerto, Jawa Timur")</f>
        <v>FFCG+F42, Dusun Tarukan, Tumapel, Kec. Dlanggu, Kabupaten Mojokerto, Jawa Timur</v>
      </c>
      <c r="AX127" s="211">
        <f>IFERROR(__xludf.DUMMYFUNCTION("""COMPUTED_VALUE"""),30.0)</f>
        <v>30</v>
      </c>
      <c r="AY127" s="211"/>
      <c r="AZ127" s="211"/>
      <c r="BB127" s="211"/>
      <c r="BC127" s="211"/>
      <c r="BD127" s="211"/>
      <c r="BE127" s="211"/>
      <c r="BF127" s="211"/>
      <c r="BG127" s="211"/>
      <c r="BH127" s="211"/>
      <c r="BI127" s="211"/>
    </row>
    <row r="128">
      <c r="A128" s="210" t="str">
        <f>IFERROR(__xludf.DUMMYFUNCTION("""COMPUTED_VALUE"""),"d25cd96d")</f>
        <v>d25cd96d</v>
      </c>
      <c r="B128" s="210" t="str">
        <f>IFERROR(__xludf.DUMMYFUNCTION("""COMPUTED_VALUE"""),"d25cd96d")</f>
        <v>d25cd96d</v>
      </c>
      <c r="C128" s="213">
        <f>IFERROR(__xludf.DUMMYFUNCTION("""COMPUTED_VALUE"""),45593.639027777775)</f>
        <v>45593.63903</v>
      </c>
      <c r="D128" s="211" t="str">
        <f>IFERROR(__xludf.DUMMYFUNCTION("""COMPUTED_VALUE"""),"4ec68cf6")</f>
        <v>4ec68cf6</v>
      </c>
      <c r="E128" s="211" t="str">
        <f>IFERROR(__xludf.DUMMYFUNCTION("""COMPUTED_VALUE"""),"CV Sido Mukti Karya")</f>
        <v>CV Sido Mukti Karya</v>
      </c>
      <c r="F128" s="211" t="str">
        <f>IFERROR(__xludf.DUMMYFUNCTION("""COMPUTED_VALUE"""),"8bdbe149")</f>
        <v>8bdbe149</v>
      </c>
      <c r="G128" s="211" t="str">
        <f>IFERROR(__xludf.DUMMYFUNCTION("""COMPUTED_VALUE"""),"Oksigen 6m3")</f>
        <v>Oksigen 6m3</v>
      </c>
      <c r="H128" s="214" t="str">
        <f>IFERROR(__xludf.DUMMYFUNCTION("""COMPUTED_VALUE"""),"IN")</f>
        <v>IN</v>
      </c>
      <c r="I128" s="214" t="str">
        <f>IFERROR(__xludf.DUMMYFUNCTION("""COMPUTED_VALUE"""),"EMPTY")</f>
        <v>EMPTY</v>
      </c>
      <c r="J128" s="211">
        <f>IFERROR(__xludf.DUMMYFUNCTION("""COMPUTED_VALUE"""),4.0)</f>
        <v>4</v>
      </c>
      <c r="K128" s="210" t="str">
        <f>IFERROR(__xludf.DUMMYFUNCTION("""COMPUTED_VALUE"""),"1117 1155 1107 1147")</f>
        <v>1117 1155 1107 1147</v>
      </c>
      <c r="L128" s="211"/>
      <c r="M128" s="211"/>
      <c r="N128" s="211"/>
      <c r="O128" s="211"/>
      <c r="Q128" s="210" t="str">
        <f>IFERROR(__xludf.DUMMYFUNCTION("""COMPUTED_VALUE"""),"7a0eb28d")</f>
        <v>7a0eb28d</v>
      </c>
      <c r="R128" s="210" t="str">
        <f>IFERROR(__xludf.DUMMYFUNCTION("""COMPUTED_VALUE"""),"7a0eb28d")</f>
        <v>7a0eb28d</v>
      </c>
      <c r="S128" s="211" t="str">
        <f>IFERROR(__xludf.DUMMYFUNCTION("""COMPUTED_VALUE"""),"c2f5a4a7")</f>
        <v>c2f5a4a7</v>
      </c>
      <c r="T128" s="211" t="str">
        <f>IFERROR(__xludf.DUMMYFUNCTION("""COMPUTED_VALUE"""),"UD Sumber Berlian")</f>
        <v>UD Sumber Berlian</v>
      </c>
      <c r="U128" s="215">
        <f>IFERROR(__xludf.DUMMYFUNCTION("""COMPUTED_VALUE"""),45602.68225694445)</f>
        <v>45602.68226</v>
      </c>
      <c r="V128" s="211" t="str">
        <f>IFERROR(__xludf.DUMMYFUNCTION("""COMPUTED_VALUE"""),"Ciro Kulon, Bakungtemenggungan, Kec. BalongBendo, Kabupaten Sidoarjo, Jawa Timur 61263")</f>
        <v>Ciro Kulon, Bakungtemenggungan, Kec. BalongBendo, Kabupaten Sidoarjo, Jawa Timur 61263</v>
      </c>
      <c r="W128" s="211" t="str">
        <f>IFERROR(__xludf.DUMMYFUNCTION("""COMPUTED_VALUE"""),"IN")</f>
        <v>IN</v>
      </c>
      <c r="X128" s="211"/>
      <c r="Z128" s="211" t="str">
        <f>IFERROR(__xludf.DUMMYFUNCTION("""COMPUTED_VALUE"""),"0326292805")</f>
        <v>0326292805</v>
      </c>
      <c r="AC128" s="211" t="str">
        <f>IFERROR(__xludf.DUMMYFUNCTION("""COMPUTED_VALUE"""),"d9b2fac5")</f>
        <v>d9b2fac5</v>
      </c>
      <c r="AD128" s="211" t="str">
        <f>IFERROR(__xludf.DUMMYFUNCTION("""COMPUTED_VALUE"""),"Dwi Riza ( Ponokawan)")</f>
        <v>Dwi Riza ( Ponokawan)</v>
      </c>
      <c r="AE128" s="211"/>
      <c r="AF128" s="211" t="b">
        <f>IFERROR(__xludf.DUMMYFUNCTION("""COMPUTED_VALUE"""),FALSE)</f>
        <v>0</v>
      </c>
      <c r="AG128" s="211" t="str">
        <f>IFERROR(__xludf.DUMMYFUNCTION("""COMPUTED_VALUE"""),"Jl. Raya Ponokawan No.28 RT 07 RW 03 Kec. Krian Sidoarjo (Seberang Bengkel An.Nur/ Deretan Baraka Expres)")</f>
        <v>Jl. Raya Ponokawan No.28 RT 07 RW 03 Kec. Krian Sidoarjo (Seberang Bengkel An.Nur/ Deretan Baraka Expres)</v>
      </c>
      <c r="AH128" s="211">
        <f>IFERROR(__xludf.DUMMYFUNCTION("""COMPUTED_VALUE"""),30.0)</f>
        <v>30</v>
      </c>
      <c r="AI128" s="211"/>
      <c r="AJ128" s="211"/>
      <c r="AL128" s="211" t="str">
        <f>IFERROR(__xludf.DUMMYFUNCTION("""COMPUTED_VALUE"""),"2260181")</f>
        <v>2260181</v>
      </c>
      <c r="AM128" s="211" t="str">
        <f>IFERROR(__xludf.DUMMYFUNCTION("""COMPUTED_VALUE"""),"0126122188")</f>
        <v>0126122188</v>
      </c>
      <c r="AN128" s="211" t="str">
        <f>IFERROR(__xludf.DUMMYFUNCTION("""COMPUTED_VALUE"""),"eec2e801")</f>
        <v>eec2e801</v>
      </c>
      <c r="AO128" s="211" t="str">
        <f>IFERROR(__xludf.DUMMYFUNCTION("""COMPUTED_VALUE"""),"Mitra Wood Sejahtera")</f>
        <v>Mitra Wood Sejahtera</v>
      </c>
      <c r="AP128" s="215">
        <f>IFERROR(__xludf.DUMMYFUNCTION("""COMPUTED_VALUE"""),46039.57233796296)</f>
        <v>46039.57234</v>
      </c>
      <c r="AQ128" s="218">
        <f>IFERROR(__xludf.DUMMYFUNCTION("""COMPUTED_VALUE"""),46030.0)</f>
        <v>46030</v>
      </c>
      <c r="AR128" s="211"/>
      <c r="AS128" s="211" t="str">
        <f>IFERROR(__xludf.DUMMYFUNCTION("""COMPUTED_VALUE"""),"d9b2fac5")</f>
        <v>d9b2fac5</v>
      </c>
      <c r="AT128" s="211" t="str">
        <f>IFERROR(__xludf.DUMMYFUNCTION("""COMPUTED_VALUE"""),"Dwi Riza ( Ponokawan)")</f>
        <v>Dwi Riza ( Ponokawan)</v>
      </c>
      <c r="AU128" s="211"/>
      <c r="AV128" s="211" t="b">
        <f>IFERROR(__xludf.DUMMYFUNCTION("""COMPUTED_VALUE"""),FALSE)</f>
        <v>0</v>
      </c>
      <c r="AW128" s="211" t="str">
        <f>IFERROR(__xludf.DUMMYFUNCTION("""COMPUTED_VALUE"""),"Jl. Raya Ponokawan No.28 RT 07 RW 03 Kec. Krian Sidoarjo (Seberang Bengkel An.Nur/ Deretan Baraka Expres)")</f>
        <v>Jl. Raya Ponokawan No.28 RT 07 RW 03 Kec. Krian Sidoarjo (Seberang Bengkel An.Nur/ Deretan Baraka Expres)</v>
      </c>
      <c r="AX128" s="211">
        <f>IFERROR(__xludf.DUMMYFUNCTION("""COMPUTED_VALUE"""),30.0)</f>
        <v>30</v>
      </c>
      <c r="AY128" s="211"/>
      <c r="AZ128" s="211"/>
      <c r="BB128" s="211"/>
      <c r="BC128" s="211"/>
      <c r="BD128" s="211"/>
      <c r="BE128" s="211"/>
      <c r="BF128" s="211"/>
      <c r="BG128" s="211"/>
      <c r="BH128" s="211"/>
      <c r="BI128" s="211"/>
    </row>
    <row r="129">
      <c r="A129" s="210" t="str">
        <f>IFERROR(__xludf.DUMMYFUNCTION("""COMPUTED_VALUE"""),"2b736a40")</f>
        <v>2b736a40</v>
      </c>
      <c r="B129" s="210" t="str">
        <f>IFERROR(__xludf.DUMMYFUNCTION("""COMPUTED_VALUE"""),"2b736a40")</f>
        <v>2b736a40</v>
      </c>
      <c r="C129" s="213">
        <f>IFERROR(__xludf.DUMMYFUNCTION("""COMPUTED_VALUE"""),45593.6397337963)</f>
        <v>45593.63973</v>
      </c>
      <c r="D129" s="211" t="str">
        <f>IFERROR(__xludf.DUMMYFUNCTION("""COMPUTED_VALUE"""),"72d9a70c")</f>
        <v>72d9a70c</v>
      </c>
      <c r="E129" s="211" t="str">
        <f>IFERROR(__xludf.DUMMYFUNCTION("""COMPUTED_VALUE"""),"PT Beton Prima Indonesia")</f>
        <v>PT Beton Prima Indonesia</v>
      </c>
      <c r="F129" s="211" t="str">
        <f>IFERROR(__xludf.DUMMYFUNCTION("""COMPUTED_VALUE"""),"8bdbe149")</f>
        <v>8bdbe149</v>
      </c>
      <c r="G129" s="211" t="str">
        <f>IFERROR(__xludf.DUMMYFUNCTION("""COMPUTED_VALUE"""),"Oksigen 6m3")</f>
        <v>Oksigen 6m3</v>
      </c>
      <c r="H129" s="214" t="str">
        <f>IFERROR(__xludf.DUMMYFUNCTION("""COMPUTED_VALUE"""),"IN")</f>
        <v>IN</v>
      </c>
      <c r="I129" s="214" t="str">
        <f>IFERROR(__xludf.DUMMYFUNCTION("""COMPUTED_VALUE"""),"EMPTY")</f>
        <v>EMPTY</v>
      </c>
      <c r="J129" s="211">
        <f>IFERROR(__xludf.DUMMYFUNCTION("""COMPUTED_VALUE"""),5.0)</f>
        <v>5</v>
      </c>
      <c r="K129" s="210" t="str">
        <f>IFERROR(__xludf.DUMMYFUNCTION("""COMPUTED_VALUE"""),"1181 1131 1151 1185 1153")</f>
        <v>1181 1131 1151 1185 1153</v>
      </c>
      <c r="L129" s="211"/>
      <c r="M129" s="211"/>
      <c r="N129" s="211"/>
      <c r="O129" s="211"/>
      <c r="Q129" s="210" t="str">
        <f>IFERROR(__xludf.DUMMYFUNCTION("""COMPUTED_VALUE"""),"11240081")</f>
        <v>11240081</v>
      </c>
      <c r="R129" s="210" t="str">
        <f>IFERROR(__xludf.DUMMYFUNCTION("""COMPUTED_VALUE"""),"11240081")</f>
        <v>11240081</v>
      </c>
      <c r="S129" s="211" t="str">
        <f>IFERROR(__xludf.DUMMYFUNCTION("""COMPUTED_VALUE"""),"f8335a53")</f>
        <v>f8335a53</v>
      </c>
      <c r="T129" s="211" t="str">
        <f>IFERROR(__xludf.DUMMYFUNCTION("""COMPUTED_VALUE"""),"CV RAGAM JAYA ENGINEERING")</f>
        <v>CV RAGAM JAYA ENGINEERING</v>
      </c>
      <c r="U129" s="215">
        <f>IFERROR(__xludf.DUMMYFUNCTION("""COMPUTED_VALUE"""),45603.664814814816)</f>
        <v>45603.66481</v>
      </c>
      <c r="V129" s="211" t="str">
        <f>IFERROR(__xludf.DUMMYFUNCTION("""COMPUTED_VALUE"""),"Jl. Balung wangon, Dadapkuning, Bulurejo, Kec. Benjeng, Kabupaten Gresik, Jawa Timur 61172")</f>
        <v>Jl. Balung wangon, Dadapkuning, Bulurejo, Kec. Benjeng, Kabupaten Gresik, Jawa Timur 61172</v>
      </c>
      <c r="W129" s="211" t="str">
        <f>IFERROR(__xludf.DUMMYFUNCTION("""COMPUTED_VALUE"""),"OUT")</f>
        <v>OUT</v>
      </c>
      <c r="X129" s="211"/>
      <c r="Z129" s="211" t="str">
        <f>IFERROR(__xludf.DUMMYFUNCTION("""COMPUTED_VALUE"""),"032692801")</f>
        <v>032692801</v>
      </c>
      <c r="AC129" s="211" t="str">
        <f>IFERROR(__xludf.DUMMYFUNCTION("""COMPUTED_VALUE"""),"3abcf4e3")</f>
        <v>3abcf4e3</v>
      </c>
      <c r="AD129" s="211" t="str">
        <f>IFERROR(__xludf.DUMMYFUNCTION("""COMPUTED_VALUE"""),"CV Mukaya Teknik")</f>
        <v>CV Mukaya Teknik</v>
      </c>
      <c r="AE129" s="211"/>
      <c r="AF129" s="211" t="b">
        <f>IFERROR(__xludf.DUMMYFUNCTION("""COMPUTED_VALUE"""),FALSE)</f>
        <v>0</v>
      </c>
      <c r="AG129" s="211" t="str">
        <f>IFERROR(__xludf.DUMMYFUNCTION("""COMPUTED_VALUE"""),"Mlirip  Krian, Singkalan, Kec. BalongBendo, Kabupaten Sidoarjo, Jawa Timur 61263")</f>
        <v>Mlirip  Krian, Singkalan, Kec. BalongBendo, Kabupaten Sidoarjo, Jawa Timur 61263</v>
      </c>
      <c r="AH129" s="211">
        <f>IFERROR(__xludf.DUMMYFUNCTION("""COMPUTED_VALUE"""),14.0)</f>
        <v>14</v>
      </c>
      <c r="AI129" s="211"/>
      <c r="AJ129" s="211"/>
      <c r="AL129" s="211" t="str">
        <f>IFERROR(__xludf.DUMMYFUNCTION("""COMPUTED_VALUE"""),"2260178")</f>
        <v>2260178</v>
      </c>
      <c r="AM129" s="211" t="str">
        <f>IFERROR(__xludf.DUMMYFUNCTION("""COMPUTED_VALUE"""),"112581846")</f>
        <v>112581846</v>
      </c>
      <c r="AN129" s="211" t="str">
        <f>IFERROR(__xludf.DUMMYFUNCTION("""COMPUTED_VALUE"""),"eec2e801")</f>
        <v>eec2e801</v>
      </c>
      <c r="AO129" s="211" t="str">
        <f>IFERROR(__xludf.DUMMYFUNCTION("""COMPUTED_VALUE"""),"Mitra Wood Sejahtera")</f>
        <v>Mitra Wood Sejahtera</v>
      </c>
      <c r="AP129" s="215">
        <f>IFERROR(__xludf.DUMMYFUNCTION("""COMPUTED_VALUE"""),46034.552511574075)</f>
        <v>46034.55251</v>
      </c>
      <c r="AQ129" s="218">
        <f>IFERROR(__xludf.DUMMYFUNCTION("""COMPUTED_VALUE"""),45989.0)</f>
        <v>45989</v>
      </c>
      <c r="AR129" s="211"/>
      <c r="AS129" s="211" t="str">
        <f>IFERROR(__xludf.DUMMYFUNCTION("""COMPUTED_VALUE"""),"3abcf4e3")</f>
        <v>3abcf4e3</v>
      </c>
      <c r="AT129" s="211" t="str">
        <f>IFERROR(__xludf.DUMMYFUNCTION("""COMPUTED_VALUE"""),"CV Mukaya Teknik")</f>
        <v>CV Mukaya Teknik</v>
      </c>
      <c r="AU129" s="211"/>
      <c r="AV129" s="211" t="b">
        <f>IFERROR(__xludf.DUMMYFUNCTION("""COMPUTED_VALUE"""),FALSE)</f>
        <v>0</v>
      </c>
      <c r="AW129" s="211" t="str">
        <f>IFERROR(__xludf.DUMMYFUNCTION("""COMPUTED_VALUE"""),"Mlirip  Krian, Singkalan, Kec. BalongBendo, Kabupaten Sidoarjo, Jawa Timur 61263")</f>
        <v>Mlirip  Krian, Singkalan, Kec. BalongBendo, Kabupaten Sidoarjo, Jawa Timur 61263</v>
      </c>
      <c r="AX129" s="211">
        <f>IFERROR(__xludf.DUMMYFUNCTION("""COMPUTED_VALUE"""),14.0)</f>
        <v>14</v>
      </c>
      <c r="AY129" s="211"/>
      <c r="AZ129" s="211"/>
      <c r="BB129" s="211"/>
      <c r="BC129" s="211"/>
      <c r="BD129" s="211"/>
      <c r="BE129" s="211"/>
      <c r="BF129" s="211"/>
      <c r="BG129" s="211"/>
      <c r="BH129" s="211"/>
      <c r="BI129" s="211"/>
    </row>
    <row r="130">
      <c r="A130" s="210" t="str">
        <f>IFERROR(__xludf.DUMMYFUNCTION("""COMPUTED_VALUE"""),"2b736a40")</f>
        <v>2b736a40</v>
      </c>
      <c r="B130" s="210" t="str">
        <f>IFERROR(__xludf.DUMMYFUNCTION("""COMPUTED_VALUE"""),"2b736a40")</f>
        <v>2b736a40</v>
      </c>
      <c r="C130" s="213">
        <f>IFERROR(__xludf.DUMMYFUNCTION("""COMPUTED_VALUE"""),45593.64087962963)</f>
        <v>45593.64088</v>
      </c>
      <c r="D130" s="211" t="str">
        <f>IFERROR(__xludf.DUMMYFUNCTION("""COMPUTED_VALUE"""),"72d9a70c")</f>
        <v>72d9a70c</v>
      </c>
      <c r="E130" s="211" t="str">
        <f>IFERROR(__xludf.DUMMYFUNCTION("""COMPUTED_VALUE"""),"PT Beton Prima Indonesia")</f>
        <v>PT Beton Prima Indonesia</v>
      </c>
      <c r="F130" s="211" t="str">
        <f>IFERROR(__xludf.DUMMYFUNCTION("""COMPUTED_VALUE"""),"3b9d6a30")</f>
        <v>3b9d6a30</v>
      </c>
      <c r="G130" s="211" t="str">
        <f>IFERROR(__xludf.DUMMYFUNCTION("""COMPUTED_VALUE"""),"Acetyline")</f>
        <v>Acetyline</v>
      </c>
      <c r="H130" s="214" t="str">
        <f>IFERROR(__xludf.DUMMYFUNCTION("""COMPUTED_VALUE"""),"IN")</f>
        <v>IN</v>
      </c>
      <c r="I130" s="214" t="str">
        <f>IFERROR(__xludf.DUMMYFUNCTION("""COMPUTED_VALUE"""),"EMPTY")</f>
        <v>EMPTY</v>
      </c>
      <c r="J130" s="211">
        <f>IFERROR(__xludf.DUMMYFUNCTION("""COMPUTED_VALUE"""),1.0)</f>
        <v>1</v>
      </c>
      <c r="K130" s="210" t="str">
        <f>IFERROR(__xludf.DUMMYFUNCTION("""COMPUTED_VALUE"""),"7956")</f>
        <v>7956</v>
      </c>
      <c r="L130" s="211"/>
      <c r="M130" s="211"/>
      <c r="N130" s="211"/>
      <c r="O130" s="211"/>
      <c r="Q130" s="210" t="str">
        <f>IFERROR(__xludf.DUMMYFUNCTION("""COMPUTED_VALUE"""),"d83f4009")</f>
        <v>d83f4009</v>
      </c>
      <c r="R130" s="210" t="str">
        <f>IFERROR(__xludf.DUMMYFUNCTION("""COMPUTED_VALUE"""),"d83f4009")</f>
        <v>d83f4009</v>
      </c>
      <c r="S130" s="211" t="str">
        <f>IFERROR(__xludf.DUMMYFUNCTION("""COMPUTED_VALUE"""),"72d9a70c")</f>
        <v>72d9a70c</v>
      </c>
      <c r="T130" s="211" t="str">
        <f>IFERROR(__xludf.DUMMYFUNCTION("""COMPUTED_VALUE"""),"PT Beton Prima Indonesia")</f>
        <v>PT Beton Prima Indonesia</v>
      </c>
      <c r="U130" s="215">
        <f>IFERROR(__xludf.DUMMYFUNCTION("""COMPUTED_VALUE"""),45603.562210648146)</f>
        <v>45603.56221</v>
      </c>
      <c r="V130" s="211" t="str">
        <f>IFERROR(__xludf.DUMMYFUNCTION("""COMPUTED_VALUE"""),"KH. Ahmad Dahlan KM.2 Ds. Sumberwono, Kec. Bangsal, Kab. Mojokerto 61381")</f>
        <v>KH. Ahmad Dahlan KM.2 Ds. Sumberwono, Kec. Bangsal, Kab. Mojokerto 61381</v>
      </c>
      <c r="W130" s="211" t="str">
        <f>IFERROR(__xludf.DUMMYFUNCTION("""COMPUTED_VALUE"""),"IN")</f>
        <v>IN</v>
      </c>
      <c r="X130" s="211"/>
      <c r="Z130" s="211" t="str">
        <f>IFERROR(__xludf.DUMMYFUNCTION("""COMPUTED_VALUE"""),"032682800")</f>
        <v>032682800</v>
      </c>
      <c r="AC130" s="211" t="str">
        <f>IFERROR(__xludf.DUMMYFUNCTION("""COMPUTED_VALUE"""),"96254089")</f>
        <v>96254089</v>
      </c>
      <c r="AD130" s="211" t="str">
        <f>IFERROR(__xludf.DUMMYFUNCTION("""COMPUTED_VALUE"""),"Soni Baja")</f>
        <v>Soni Baja</v>
      </c>
      <c r="AE130" s="211"/>
      <c r="AF130" s="211" t="b">
        <f>IFERROR(__xludf.DUMMYFUNCTION("""COMPUTED_VALUE"""),FALSE)</f>
        <v>0</v>
      </c>
      <c r="AG130" s="211" t="str">
        <f>IFERROR(__xludf.DUMMYFUNCTION("""COMPUTED_VALUE"""),"Jalan Raya Kemangsen Balongbendo Jawa Timur")</f>
        <v>Jalan Raya Kemangsen Balongbendo Jawa Timur</v>
      </c>
      <c r="AH130" s="211">
        <f>IFERROR(__xludf.DUMMYFUNCTION("""COMPUTED_VALUE"""),10.0)</f>
        <v>10</v>
      </c>
      <c r="AI130" s="211"/>
      <c r="AJ130" s="211"/>
      <c r="AL130" s="211" t="str">
        <f>IFERROR(__xludf.DUMMYFUNCTION("""COMPUTED_VALUE"""),"2260178")</f>
        <v>2260178</v>
      </c>
      <c r="AM130" s="211" t="str">
        <f>IFERROR(__xludf.DUMMYFUNCTION("""COMPUTED_VALUE"""),"122591917")</f>
        <v>122591917</v>
      </c>
      <c r="AN130" s="211" t="str">
        <f>IFERROR(__xludf.DUMMYFUNCTION("""COMPUTED_VALUE"""),"eec2e801")</f>
        <v>eec2e801</v>
      </c>
      <c r="AO130" s="211" t="str">
        <f>IFERROR(__xludf.DUMMYFUNCTION("""COMPUTED_VALUE"""),"Mitra Wood Sejahtera")</f>
        <v>Mitra Wood Sejahtera</v>
      </c>
      <c r="AP130" s="215">
        <f>IFERROR(__xludf.DUMMYFUNCTION("""COMPUTED_VALUE"""),46034.552511574075)</f>
        <v>46034.55251</v>
      </c>
      <c r="AQ130" s="218">
        <f>IFERROR(__xludf.DUMMYFUNCTION("""COMPUTED_VALUE"""),45999.0)</f>
        <v>45999</v>
      </c>
      <c r="AR130" s="211"/>
      <c r="AS130" s="211" t="str">
        <f>IFERROR(__xludf.DUMMYFUNCTION("""COMPUTED_VALUE"""),"96254089")</f>
        <v>96254089</v>
      </c>
      <c r="AT130" s="211" t="str">
        <f>IFERROR(__xludf.DUMMYFUNCTION("""COMPUTED_VALUE"""),"Soni Baja")</f>
        <v>Soni Baja</v>
      </c>
      <c r="AU130" s="211"/>
      <c r="AV130" s="211" t="b">
        <f>IFERROR(__xludf.DUMMYFUNCTION("""COMPUTED_VALUE"""),FALSE)</f>
        <v>0</v>
      </c>
      <c r="AW130" s="211" t="str">
        <f>IFERROR(__xludf.DUMMYFUNCTION("""COMPUTED_VALUE"""),"Jalan Raya Kemangsen Balongbendo Jawa Timur")</f>
        <v>Jalan Raya Kemangsen Balongbendo Jawa Timur</v>
      </c>
      <c r="AX130" s="211">
        <f>IFERROR(__xludf.DUMMYFUNCTION("""COMPUTED_VALUE"""),10.0)</f>
        <v>10</v>
      </c>
      <c r="AY130" s="211"/>
      <c r="AZ130" s="211"/>
      <c r="BB130" s="211"/>
      <c r="BC130" s="211"/>
      <c r="BD130" s="211"/>
      <c r="BE130" s="211"/>
      <c r="BF130" s="211"/>
      <c r="BG130" s="211"/>
      <c r="BH130" s="211"/>
      <c r="BI130" s="211"/>
    </row>
    <row r="131">
      <c r="A131" s="210" t="str">
        <f>IFERROR(__xludf.DUMMYFUNCTION("""COMPUTED_VALUE"""),"2b736a40")</f>
        <v>2b736a40</v>
      </c>
      <c r="B131" s="210" t="str">
        <f>IFERROR(__xludf.DUMMYFUNCTION("""COMPUTED_VALUE"""),"2b736a40")</f>
        <v>2b736a40</v>
      </c>
      <c r="C131" s="213">
        <f>IFERROR(__xludf.DUMMYFUNCTION("""COMPUTED_VALUE"""),45593.64576388889)</f>
        <v>45593.64576</v>
      </c>
      <c r="D131" s="211" t="str">
        <f>IFERROR(__xludf.DUMMYFUNCTION("""COMPUTED_VALUE"""),"72d9a70c")</f>
        <v>72d9a70c</v>
      </c>
      <c r="E131" s="211" t="str">
        <f>IFERROR(__xludf.DUMMYFUNCTION("""COMPUTED_VALUE"""),"PT Beton Prima Indonesia")</f>
        <v>PT Beton Prima Indonesia</v>
      </c>
      <c r="F131" s="211" t="str">
        <f>IFERROR(__xludf.DUMMYFUNCTION("""COMPUTED_VALUE"""),"3b9d6a30")</f>
        <v>3b9d6a30</v>
      </c>
      <c r="G131" s="211" t="str">
        <f>IFERROR(__xludf.DUMMYFUNCTION("""COMPUTED_VALUE"""),"Acetyline")</f>
        <v>Acetyline</v>
      </c>
      <c r="H131" s="214" t="str">
        <f>IFERROR(__xludf.DUMMYFUNCTION("""COMPUTED_VALUE"""),"IN")</f>
        <v>IN</v>
      </c>
      <c r="I131" s="214" t="str">
        <f>IFERROR(__xludf.DUMMYFUNCTION("""COMPUTED_VALUE"""),"CLAIM")</f>
        <v>CLAIM</v>
      </c>
      <c r="J131" s="211">
        <f>IFERROR(__xludf.DUMMYFUNCTION("""COMPUTED_VALUE"""),1.0)</f>
        <v>1</v>
      </c>
      <c r="K131" s="210" t="str">
        <f>IFERROR(__xludf.DUMMYFUNCTION("""COMPUTED_VALUE"""),"7978")</f>
        <v>7978</v>
      </c>
      <c r="L131" s="211"/>
      <c r="M131" s="211"/>
      <c r="N131" s="211"/>
      <c r="O131" s="211"/>
      <c r="Q131" s="210" t="str">
        <f>IFERROR(__xludf.DUMMYFUNCTION("""COMPUTED_VALUE"""),"11240083")</f>
        <v>11240083</v>
      </c>
      <c r="R131" s="210" t="str">
        <f>IFERROR(__xludf.DUMMYFUNCTION("""COMPUTED_VALUE"""),"11240083")</f>
        <v>11240083</v>
      </c>
      <c r="S131" s="211" t="str">
        <f>IFERROR(__xludf.DUMMYFUNCTION("""COMPUTED_VALUE"""),"c2f5a4a7")</f>
        <v>c2f5a4a7</v>
      </c>
      <c r="T131" s="211" t="str">
        <f>IFERROR(__xludf.DUMMYFUNCTION("""COMPUTED_VALUE"""),"UD Sumber Berlian")</f>
        <v>UD Sumber Berlian</v>
      </c>
      <c r="U131" s="215">
        <f>IFERROR(__xludf.DUMMYFUNCTION("""COMPUTED_VALUE"""),45603.564409722225)</f>
        <v>45603.56441</v>
      </c>
      <c r="V131" s="211" t="str">
        <f>IFERROR(__xludf.DUMMYFUNCTION("""COMPUTED_VALUE"""),"Ciro Kulon, Bakungtemenggungan, Kec. BalongBendo, Kabupaten Sidoarjo, Jawa Timur 61263")</f>
        <v>Ciro Kulon, Bakungtemenggungan, Kec. BalongBendo, Kabupaten Sidoarjo, Jawa Timur 61263</v>
      </c>
      <c r="W131" s="211" t="str">
        <f>IFERROR(__xludf.DUMMYFUNCTION("""COMPUTED_VALUE"""),"OUT")</f>
        <v>OUT</v>
      </c>
      <c r="X131" s="211"/>
      <c r="Z131" s="211" t="str">
        <f>IFERROR(__xludf.DUMMYFUNCTION("""COMPUTED_VALUE"""),"0326172799")</f>
        <v>0326172799</v>
      </c>
      <c r="AC131" s="211" t="str">
        <f>IFERROR(__xludf.DUMMYFUNCTION("""COMPUTED_VALUE"""),"0fb2135d")</f>
        <v>0fb2135d</v>
      </c>
      <c r="AD131" s="211" t="str">
        <f>IFERROR(__xludf.DUMMYFUNCTION("""COMPUTED_VALUE"""),"PT Toya Indo Manunggal")</f>
        <v>PT Toya Indo Manunggal</v>
      </c>
      <c r="AE131" s="211"/>
      <c r="AF131" s="211" t="b">
        <f>IFERROR(__xludf.DUMMYFUNCTION("""COMPUTED_VALUE"""),FALSE)</f>
        <v>0</v>
      </c>
      <c r="AG131" s="211" t="str">
        <f>IFERROR(__xludf.DUMMYFUNCTION("""COMPUTED_VALUE"""),"Bakalan Wringinpitum, Kec. Balongbendo, Kabupaten Sidoarjo, Jawa Timur")</f>
        <v>Bakalan Wringinpitum, Kec. Balongbendo, Kabupaten Sidoarjo, Jawa Timur</v>
      </c>
      <c r="AH131" s="211">
        <f>IFERROR(__xludf.DUMMYFUNCTION("""COMPUTED_VALUE"""),15.0)</f>
        <v>15</v>
      </c>
      <c r="AI131" s="211" t="str">
        <f>IFERROR(__xludf.DUMMYFUNCTION("""COMPUTED_VALUE"""),"08113634961")</f>
        <v>08113634961</v>
      </c>
      <c r="AJ131" s="211"/>
      <c r="AL131" s="211" t="str">
        <f>IFERROR(__xludf.DUMMYFUNCTION("""COMPUTED_VALUE"""),"2260178")</f>
        <v>2260178</v>
      </c>
      <c r="AM131" s="211" t="str">
        <f>IFERROR(__xludf.DUMMYFUNCTION("""COMPUTED_VALUE"""),"1225102003")</f>
        <v>1225102003</v>
      </c>
      <c r="AN131" s="211" t="str">
        <f>IFERROR(__xludf.DUMMYFUNCTION("""COMPUTED_VALUE"""),"eec2e801")</f>
        <v>eec2e801</v>
      </c>
      <c r="AO131" s="211" t="str">
        <f>IFERROR(__xludf.DUMMYFUNCTION("""COMPUTED_VALUE"""),"Mitra Wood Sejahtera")</f>
        <v>Mitra Wood Sejahtera</v>
      </c>
      <c r="AP131" s="215">
        <f>IFERROR(__xludf.DUMMYFUNCTION("""COMPUTED_VALUE"""),46034.552511574075)</f>
        <v>46034.55251</v>
      </c>
      <c r="AQ131" s="218">
        <f>IFERROR(__xludf.DUMMYFUNCTION("""COMPUTED_VALUE"""),46009.0)</f>
        <v>46009</v>
      </c>
      <c r="AR131" s="211"/>
      <c r="AS131" s="211" t="str">
        <f>IFERROR(__xludf.DUMMYFUNCTION("""COMPUTED_VALUE"""),"0fb2135d")</f>
        <v>0fb2135d</v>
      </c>
      <c r="AT131" s="211" t="str">
        <f>IFERROR(__xludf.DUMMYFUNCTION("""COMPUTED_VALUE"""),"PT Toya Indo Manunggal")</f>
        <v>PT Toya Indo Manunggal</v>
      </c>
      <c r="AU131" s="211"/>
      <c r="AV131" s="211" t="b">
        <f>IFERROR(__xludf.DUMMYFUNCTION("""COMPUTED_VALUE"""),FALSE)</f>
        <v>0</v>
      </c>
      <c r="AW131" s="211" t="str">
        <f>IFERROR(__xludf.DUMMYFUNCTION("""COMPUTED_VALUE"""),"Bakalan Wringinpitum, Kec. Balongbendo, Kabupaten Sidoarjo, Jawa Timur")</f>
        <v>Bakalan Wringinpitum, Kec. Balongbendo, Kabupaten Sidoarjo, Jawa Timur</v>
      </c>
      <c r="AX131" s="211">
        <f>IFERROR(__xludf.DUMMYFUNCTION("""COMPUTED_VALUE"""),15.0)</f>
        <v>15</v>
      </c>
      <c r="AY131" s="211" t="str">
        <f>IFERROR(__xludf.DUMMYFUNCTION("""COMPUTED_VALUE"""),"08113634961")</f>
        <v>08113634961</v>
      </c>
      <c r="AZ131" s="211"/>
      <c r="BB131" s="211"/>
      <c r="BC131" s="211"/>
      <c r="BD131" s="211"/>
      <c r="BE131" s="211"/>
      <c r="BF131" s="211"/>
      <c r="BG131" s="211"/>
      <c r="BH131" s="211"/>
      <c r="BI131" s="211"/>
    </row>
    <row r="132">
      <c r="A132" s="210" t="str">
        <f>IFERROR(__xludf.DUMMYFUNCTION("""COMPUTED_VALUE"""),"4324ea39")</f>
        <v>4324ea39</v>
      </c>
      <c r="B132" s="210" t="str">
        <f>IFERROR(__xludf.DUMMYFUNCTION("""COMPUTED_VALUE"""),"4324ea39")</f>
        <v>4324ea39</v>
      </c>
      <c r="C132" s="213">
        <f>IFERROR(__xludf.DUMMYFUNCTION("""COMPUTED_VALUE"""),45593.69825231482)</f>
        <v>45593.69825</v>
      </c>
      <c r="D132" s="211" t="str">
        <f>IFERROR(__xludf.DUMMYFUNCTION("""COMPUTED_VALUE"""),"7b9d8eba")</f>
        <v>7b9d8eba</v>
      </c>
      <c r="E132" s="211" t="str">
        <f>IFERROR(__xludf.DUMMYFUNCTION("""COMPUTED_VALUE"""),"PT PELANGI INDOKARYA")</f>
        <v>PT PELANGI INDOKARYA</v>
      </c>
      <c r="F132" s="211" t="str">
        <f>IFERROR(__xludf.DUMMYFUNCTION("""COMPUTED_VALUE"""),"8bdbe149")</f>
        <v>8bdbe149</v>
      </c>
      <c r="G132" s="211" t="str">
        <f>IFERROR(__xludf.DUMMYFUNCTION("""COMPUTED_VALUE"""),"Oksigen 6m3")</f>
        <v>Oksigen 6m3</v>
      </c>
      <c r="H132" s="214" t="str">
        <f>IFERROR(__xludf.DUMMYFUNCTION("""COMPUTED_VALUE"""),"IN")</f>
        <v>IN</v>
      </c>
      <c r="I132" s="214" t="str">
        <f>IFERROR(__xludf.DUMMYFUNCTION("""COMPUTED_VALUE"""),"EMPTY")</f>
        <v>EMPTY</v>
      </c>
      <c r="J132" s="211">
        <f>IFERROR(__xludf.DUMMYFUNCTION("""COMPUTED_VALUE"""),5.0)</f>
        <v>5</v>
      </c>
      <c r="K132" s="210" t="str">
        <f>IFERROR(__xludf.DUMMYFUNCTION("""COMPUTED_VALUE"""),"1116 1145 1113 11113 1111")</f>
        <v>1116 1145 1113 11113 1111</v>
      </c>
      <c r="L132" s="211"/>
      <c r="M132" s="211"/>
      <c r="N132" s="211"/>
      <c r="O132" s="211"/>
      <c r="Q132" s="210" t="str">
        <f>IFERROR(__xludf.DUMMYFUNCTION("""COMPUTED_VALUE"""),"3754fb94")</f>
        <v>3754fb94</v>
      </c>
      <c r="R132" s="210" t="str">
        <f>IFERROR(__xludf.DUMMYFUNCTION("""COMPUTED_VALUE"""),"3754fb94")</f>
        <v>3754fb94</v>
      </c>
      <c r="S132" s="211" t="str">
        <f>IFERROR(__xludf.DUMMYFUNCTION("""COMPUTED_VALUE"""),"f8335a53")</f>
        <v>f8335a53</v>
      </c>
      <c r="T132" s="211" t="str">
        <f>IFERROR(__xludf.DUMMYFUNCTION("""COMPUTED_VALUE"""),"CV RAGAM JAYA ENGINEERING")</f>
        <v>CV RAGAM JAYA ENGINEERING</v>
      </c>
      <c r="U132" s="215">
        <f>IFERROR(__xludf.DUMMYFUNCTION("""COMPUTED_VALUE"""),45603.600370370375)</f>
        <v>45603.60037</v>
      </c>
      <c r="V132" s="211" t="str">
        <f>IFERROR(__xludf.DUMMYFUNCTION("""COMPUTED_VALUE"""),"Jl. Balung wangon, Dadapkuning, Bulurejo, Kec. Benjeng, Kabupaten Gresik, Jawa Timur 61172")</f>
        <v>Jl. Balung wangon, Dadapkuning, Bulurejo, Kec. Benjeng, Kabupaten Gresik, Jawa Timur 61172</v>
      </c>
      <c r="W132" s="211" t="str">
        <f>IFERROR(__xludf.DUMMYFUNCTION("""COMPUTED_VALUE"""),"IN")</f>
        <v>IN</v>
      </c>
      <c r="X132" s="211"/>
      <c r="Z132" s="211" t="str">
        <f>IFERROR(__xludf.DUMMYFUNCTION("""COMPUTED_VALUE"""),"0326162798")</f>
        <v>0326162798</v>
      </c>
      <c r="AC132" s="211" t="str">
        <f>IFERROR(__xludf.DUMMYFUNCTION("""COMPUTED_VALUE"""),"dcc017cb")</f>
        <v>dcc017cb</v>
      </c>
      <c r="AD132" s="211" t="str">
        <f>IFERROR(__xludf.DUMMYFUNCTION("""COMPUTED_VALUE"""),"Bpk Hidayat")</f>
        <v>Bpk Hidayat</v>
      </c>
      <c r="AE132" s="211"/>
      <c r="AF132" s="211" t="b">
        <f>IFERROR(__xludf.DUMMYFUNCTION("""COMPUTED_VALUE"""),FALSE)</f>
        <v>0</v>
      </c>
      <c r="AG132" s="211" t="str">
        <f>IFERROR(__xludf.DUMMYFUNCTION("""COMPUTED_VALUE"""),"HGM4+WM2, Kendal Bakung, Bakungpringgondani, Kec. BalongBendo, Kabupaten Sidoarjo, Jawa Timur 61263")</f>
        <v>HGM4+WM2, Kendal Bakung, Bakungpringgondani, Kec. BalongBendo, Kabupaten Sidoarjo, Jawa Timur 61263</v>
      </c>
      <c r="AH132" s="211">
        <f>IFERROR(__xludf.DUMMYFUNCTION("""COMPUTED_VALUE"""),15.0)</f>
        <v>15</v>
      </c>
      <c r="AI132" s="211" t="str">
        <f>IFERROR(__xludf.DUMMYFUNCTION("""COMPUTED_VALUE"""),"+62 817-4834-776")</f>
        <v>+62 817-4834-776</v>
      </c>
      <c r="AJ132" s="211"/>
      <c r="AL132" s="211" t="str">
        <f>IFERROR(__xludf.DUMMYFUNCTION("""COMPUTED_VALUE"""),"2260177")</f>
        <v>2260177</v>
      </c>
      <c r="AM132" s="211" t="str">
        <f>IFERROR(__xludf.DUMMYFUNCTION("""COMPUTED_VALUE"""),"1225242006")</f>
        <v>1225242006</v>
      </c>
      <c r="AN132" s="211" t="str">
        <f>IFERROR(__xludf.DUMMYFUNCTION("""COMPUTED_VALUE"""),"7b9d8eba")</f>
        <v>7b9d8eba</v>
      </c>
      <c r="AO132" s="211" t="str">
        <f>IFERROR(__xludf.DUMMYFUNCTION("""COMPUTED_VALUE"""),"PT PELANGI INDOKARYA")</f>
        <v>PT PELANGI INDOKARYA</v>
      </c>
      <c r="AP132" s="215">
        <f>IFERROR(__xludf.DUMMYFUNCTION("""COMPUTED_VALUE"""),46034.53637731481)</f>
        <v>46034.53638</v>
      </c>
      <c r="AQ132" s="218">
        <f>IFERROR(__xludf.DUMMYFUNCTION("""COMPUTED_VALUE"""),46008.0)</f>
        <v>46008</v>
      </c>
      <c r="AR132" s="211"/>
      <c r="AS132" s="211" t="str">
        <f>IFERROR(__xludf.DUMMYFUNCTION("""COMPUTED_VALUE"""),"dcc017cb")</f>
        <v>dcc017cb</v>
      </c>
      <c r="AT132" s="211" t="str">
        <f>IFERROR(__xludf.DUMMYFUNCTION("""COMPUTED_VALUE"""),"Bpk Hidayat")</f>
        <v>Bpk Hidayat</v>
      </c>
      <c r="AU132" s="211"/>
      <c r="AV132" s="211" t="b">
        <f>IFERROR(__xludf.DUMMYFUNCTION("""COMPUTED_VALUE"""),FALSE)</f>
        <v>0</v>
      </c>
      <c r="AW132" s="211" t="str">
        <f>IFERROR(__xludf.DUMMYFUNCTION("""COMPUTED_VALUE"""),"HGM4+WM2, Kendal Bakung, Bakungpringgondani, Kec. BalongBendo, Kabupaten Sidoarjo, Jawa Timur 61263")</f>
        <v>HGM4+WM2, Kendal Bakung, Bakungpringgondani, Kec. BalongBendo, Kabupaten Sidoarjo, Jawa Timur 61263</v>
      </c>
      <c r="AX132" s="211">
        <f>IFERROR(__xludf.DUMMYFUNCTION("""COMPUTED_VALUE"""),15.0)</f>
        <v>15</v>
      </c>
      <c r="AY132" s="211" t="str">
        <f>IFERROR(__xludf.DUMMYFUNCTION("""COMPUTED_VALUE"""),"+62 817-4834-776")</f>
        <v>+62 817-4834-776</v>
      </c>
      <c r="AZ132" s="211"/>
      <c r="BB132" s="211"/>
      <c r="BC132" s="211"/>
      <c r="BD132" s="211"/>
      <c r="BE132" s="211"/>
      <c r="BF132" s="211"/>
      <c r="BG132" s="211"/>
      <c r="BH132" s="211"/>
      <c r="BI132" s="211"/>
    </row>
    <row r="133">
      <c r="A133" s="210" t="str">
        <f>IFERROR(__xludf.DUMMYFUNCTION("""COMPUTED_VALUE"""),"10240061")</f>
        <v>10240061</v>
      </c>
      <c r="B133" s="210" t="str">
        <f>IFERROR(__xludf.DUMMYFUNCTION("""COMPUTED_VALUE"""),"10240061")</f>
        <v>10240061</v>
      </c>
      <c r="C133" s="213">
        <f>IFERROR(__xludf.DUMMYFUNCTION("""COMPUTED_VALUE"""),45594.41415509259)</f>
        <v>45594.41416</v>
      </c>
      <c r="D133" s="211" t="str">
        <f>IFERROR(__xludf.DUMMYFUNCTION("""COMPUTED_VALUE"""),"72d9a70c")</f>
        <v>72d9a70c</v>
      </c>
      <c r="E133" s="211" t="str">
        <f>IFERROR(__xludf.DUMMYFUNCTION("""COMPUTED_VALUE"""),"PT Beton Prima Indonesia")</f>
        <v>PT Beton Prima Indonesia</v>
      </c>
      <c r="F133" s="211" t="str">
        <f>IFERROR(__xludf.DUMMYFUNCTION("""COMPUTED_VALUE"""),"8bdbe149")</f>
        <v>8bdbe149</v>
      </c>
      <c r="G133" s="211" t="str">
        <f>IFERROR(__xludf.DUMMYFUNCTION("""COMPUTED_VALUE"""),"Oksigen 6m3")</f>
        <v>Oksigen 6m3</v>
      </c>
      <c r="H133" s="214" t="str">
        <f>IFERROR(__xludf.DUMMYFUNCTION("""COMPUTED_VALUE"""),"OUT")</f>
        <v>OUT</v>
      </c>
      <c r="I133" s="214" t="str">
        <f>IFERROR(__xludf.DUMMYFUNCTION("""COMPUTED_VALUE"""),"NORMAL")</f>
        <v>NORMAL</v>
      </c>
      <c r="J133" s="211">
        <f>IFERROR(__xludf.DUMMYFUNCTION("""COMPUTED_VALUE"""),20.0)</f>
        <v>20</v>
      </c>
      <c r="K133" s="210" t="str">
        <f>IFERROR(__xludf.DUMMYFUNCTION("""COMPUTED_VALUE"""),"1151 1181 1102 11110 11115 1121 1157 1155 1153 11118 1124 1189 1117 1131 11121 1147 1107 1185 1127 11106")</f>
        <v>1151 1181 1102 11110 11115 1121 1157 1155 1153 11118 1124 1189 1117 1131 11121 1147 1107 1185 1127 11106</v>
      </c>
      <c r="L133" s="211">
        <f>IFERROR(__xludf.DUMMYFUNCTION("""COMPUTED_VALUE"""),45045.04505)</f>
        <v>45045.04505</v>
      </c>
      <c r="M133" s="211"/>
      <c r="N133" s="211"/>
      <c r="O133" s="211"/>
      <c r="Q133" s="210" t="str">
        <f>IFERROR(__xludf.DUMMYFUNCTION("""COMPUTED_VALUE"""),"9cfb2031")</f>
        <v>9cfb2031</v>
      </c>
      <c r="R133" s="210" t="str">
        <f>IFERROR(__xludf.DUMMYFUNCTION("""COMPUTED_VALUE"""),"9cfb2031")</f>
        <v>9cfb2031</v>
      </c>
      <c r="S133" s="211" t="str">
        <f>IFERROR(__xludf.DUMMYFUNCTION("""COMPUTED_VALUE"""),"c2f5a4a7")</f>
        <v>c2f5a4a7</v>
      </c>
      <c r="T133" s="211" t="str">
        <f>IFERROR(__xludf.DUMMYFUNCTION("""COMPUTED_VALUE"""),"UD Sumber Berlian")</f>
        <v>UD Sumber Berlian</v>
      </c>
      <c r="U133" s="215">
        <f>IFERROR(__xludf.DUMMYFUNCTION("""COMPUTED_VALUE"""),45604.4287037037)</f>
        <v>45604.4287</v>
      </c>
      <c r="V133" s="211" t="str">
        <f>IFERROR(__xludf.DUMMYFUNCTION("""COMPUTED_VALUE"""),"Ciro Kulon, Bakungtemenggungan, Kec. BalongBendo, Kabupaten Sidoarjo, Jawa Timur 61263")</f>
        <v>Ciro Kulon, Bakungtemenggungan, Kec. BalongBendo, Kabupaten Sidoarjo, Jawa Timur 61263</v>
      </c>
      <c r="W133" s="211" t="str">
        <f>IFERROR(__xludf.DUMMYFUNCTION("""COMPUTED_VALUE"""),"IN")</f>
        <v>IN</v>
      </c>
      <c r="X133" s="211"/>
      <c r="Z133" s="211" t="str">
        <f>IFERROR(__xludf.DUMMYFUNCTION("""COMPUTED_VALUE"""),"0326152797")</f>
        <v>0326152797</v>
      </c>
      <c r="AC133" s="211" t="str">
        <f>IFERROR(__xludf.DUMMYFUNCTION("""COMPUTED_VALUE"""),"80c9fe6d")</f>
        <v>80c9fe6d</v>
      </c>
      <c r="AD133" s="211" t="str">
        <f>IFERROR(__xludf.DUMMYFUNCTION("""COMPUTED_VALUE"""),"Bpk Eko Tri Pilar")</f>
        <v>Bpk Eko Tri Pilar</v>
      </c>
      <c r="AE133" s="211"/>
      <c r="AF133" s="211" t="b">
        <f>IFERROR(__xludf.DUMMYFUNCTION("""COMPUTED_VALUE"""),FALSE)</f>
        <v>0</v>
      </c>
      <c r="AG133" s="211" t="str">
        <f>IFERROR(__xludf.DUMMYFUNCTION("""COMPUTED_VALUE"""),"JL. Bypass Krian No. 7800. Barengkrajan, Kec. Krian, Kabupaten Sidoarjo, Jawa Timur  61262")</f>
        <v>JL. Bypass Krian No. 7800. Barengkrajan, Kec. Krian, Kabupaten Sidoarjo, Jawa Timur  61262</v>
      </c>
      <c r="AH133" s="211">
        <f>IFERROR(__xludf.DUMMYFUNCTION("""COMPUTED_VALUE"""),15.0)</f>
        <v>15</v>
      </c>
      <c r="AI133" s="211" t="str">
        <f>IFERROR(__xludf.DUMMYFUNCTION("""COMPUTED_VALUE"""),"081336012495")</f>
        <v>081336012495</v>
      </c>
      <c r="AJ133" s="211"/>
      <c r="AL133" s="211" t="str">
        <f>IFERROR(__xludf.DUMMYFUNCTION("""COMPUTED_VALUE"""),"2260176")</f>
        <v>2260176</v>
      </c>
      <c r="AM133" s="211" t="str">
        <f>IFERROR(__xludf.DUMMYFUNCTION("""COMPUTED_VALUE"""),"082571105")</f>
        <v>082571105</v>
      </c>
      <c r="AN133" s="211" t="str">
        <f>IFERROR(__xludf.DUMMYFUNCTION("""COMPUTED_VALUE"""),"e76bc39c")</f>
        <v>e76bc39c</v>
      </c>
      <c r="AO133" s="211" t="str">
        <f>IFERROR(__xludf.DUMMYFUNCTION("""COMPUTED_VALUE"""),"Bpk. Irul")</f>
        <v>Bpk. Irul</v>
      </c>
      <c r="AP133" s="215">
        <f>IFERROR(__xludf.DUMMYFUNCTION("""COMPUTED_VALUE"""),46034.5230787037)</f>
        <v>46034.52308</v>
      </c>
      <c r="AQ133" s="218">
        <f>IFERROR(__xludf.DUMMYFUNCTION("""COMPUTED_VALUE"""),45878.0)</f>
        <v>45878</v>
      </c>
      <c r="AR133" s="211"/>
      <c r="AS133" s="211" t="str">
        <f>IFERROR(__xludf.DUMMYFUNCTION("""COMPUTED_VALUE"""),"80c9fe6d")</f>
        <v>80c9fe6d</v>
      </c>
      <c r="AT133" s="211" t="str">
        <f>IFERROR(__xludf.DUMMYFUNCTION("""COMPUTED_VALUE"""),"Bpk Eko Tri Pilar")</f>
        <v>Bpk Eko Tri Pilar</v>
      </c>
      <c r="AU133" s="211"/>
      <c r="AV133" s="211" t="b">
        <f>IFERROR(__xludf.DUMMYFUNCTION("""COMPUTED_VALUE"""),FALSE)</f>
        <v>0</v>
      </c>
      <c r="AW133" s="211" t="str">
        <f>IFERROR(__xludf.DUMMYFUNCTION("""COMPUTED_VALUE"""),"JL. Bypass Krian No. 7800. Barengkrajan, Kec. Krian, Kabupaten Sidoarjo, Jawa Timur  61262")</f>
        <v>JL. Bypass Krian No. 7800. Barengkrajan, Kec. Krian, Kabupaten Sidoarjo, Jawa Timur  61262</v>
      </c>
      <c r="AX133" s="211">
        <f>IFERROR(__xludf.DUMMYFUNCTION("""COMPUTED_VALUE"""),15.0)</f>
        <v>15</v>
      </c>
      <c r="AY133" s="211" t="str">
        <f>IFERROR(__xludf.DUMMYFUNCTION("""COMPUTED_VALUE"""),"081336012495")</f>
        <v>081336012495</v>
      </c>
      <c r="AZ133" s="211"/>
      <c r="BB133" s="211"/>
      <c r="BC133" s="211"/>
      <c r="BD133" s="211"/>
      <c r="BE133" s="211"/>
      <c r="BF133" s="211"/>
      <c r="BG133" s="211"/>
      <c r="BH133" s="211"/>
      <c r="BI133" s="211"/>
    </row>
    <row r="134">
      <c r="A134" s="210" t="str">
        <f>IFERROR(__xludf.DUMMYFUNCTION("""COMPUTED_VALUE"""),"19f7b4a4")</f>
        <v>19f7b4a4</v>
      </c>
      <c r="B134" s="210" t="str">
        <f>IFERROR(__xludf.DUMMYFUNCTION("""COMPUTED_VALUE"""),"19f7b4a4")</f>
        <v>19f7b4a4</v>
      </c>
      <c r="C134" s="213">
        <f>IFERROR(__xludf.DUMMYFUNCTION("""COMPUTED_VALUE"""),45594.45208333333)</f>
        <v>45594.45208</v>
      </c>
      <c r="D134" s="211" t="str">
        <f>IFERROR(__xludf.DUMMYFUNCTION("""COMPUTED_VALUE"""),"4a01ccb6")</f>
        <v>4a01ccb6</v>
      </c>
      <c r="E134" s="211" t="str">
        <f>IFERROR(__xludf.DUMMYFUNCTION("""COMPUTED_VALUE"""),"CV ANUGERAH PERSADA TEKNIK")</f>
        <v>CV ANUGERAH PERSADA TEKNIK</v>
      </c>
      <c r="F134" s="211" t="str">
        <f>IFERROR(__xludf.DUMMYFUNCTION("""COMPUTED_VALUE"""),"66af7c72")</f>
        <v>66af7c72</v>
      </c>
      <c r="G134" s="211" t="str">
        <f>IFERROR(__xludf.DUMMYFUNCTION("""COMPUTED_VALUE"""),"Argon 6m3")</f>
        <v>Argon 6m3</v>
      </c>
      <c r="H134" s="214" t="str">
        <f>IFERROR(__xludf.DUMMYFUNCTION("""COMPUTED_VALUE"""),"IN")</f>
        <v>IN</v>
      </c>
      <c r="I134" s="214" t="str">
        <f>IFERROR(__xludf.DUMMYFUNCTION("""COMPUTED_VALUE"""),"CLAIM")</f>
        <v>CLAIM</v>
      </c>
      <c r="J134" s="211">
        <f>IFERROR(__xludf.DUMMYFUNCTION("""COMPUTED_VALUE"""),1.0)</f>
        <v>1</v>
      </c>
      <c r="K134" s="210" t="str">
        <f>IFERROR(__xludf.DUMMYFUNCTION("""COMPUTED_VALUE"""),"12003")</f>
        <v>12003</v>
      </c>
      <c r="L134" s="211"/>
      <c r="M134" s="211"/>
      <c r="N134" s="211"/>
      <c r="O134" s="211"/>
      <c r="Q134" s="210" t="str">
        <f>IFERROR(__xludf.DUMMYFUNCTION("""COMPUTED_VALUE"""),"11240085")</f>
        <v>11240085</v>
      </c>
      <c r="R134" s="210" t="str">
        <f>IFERROR(__xludf.DUMMYFUNCTION("""COMPUTED_VALUE"""),"11240085")</f>
        <v>11240085</v>
      </c>
      <c r="S134" s="211" t="str">
        <f>IFERROR(__xludf.DUMMYFUNCTION("""COMPUTED_VALUE"""),"72d9a70c")</f>
        <v>72d9a70c</v>
      </c>
      <c r="T134" s="211" t="str">
        <f>IFERROR(__xludf.DUMMYFUNCTION("""COMPUTED_VALUE"""),"PT Beton Prima Indonesia")</f>
        <v>PT Beton Prima Indonesia</v>
      </c>
      <c r="U134" s="215">
        <f>IFERROR(__xludf.DUMMYFUNCTION("""COMPUTED_VALUE"""),45604.43355324074)</f>
        <v>45604.43355</v>
      </c>
      <c r="V134" s="211" t="str">
        <f>IFERROR(__xludf.DUMMYFUNCTION("""COMPUTED_VALUE"""),"KH. Ahmad Dahlan KM.2 Ds. Sumberwono, Kec. Bangsal, Kab. Mojokerto 61381")</f>
        <v>KH. Ahmad Dahlan KM.2 Ds. Sumberwono, Kec. Bangsal, Kab. Mojokerto 61381</v>
      </c>
      <c r="W134" s="211" t="str">
        <f>IFERROR(__xludf.DUMMYFUNCTION("""COMPUTED_VALUE"""),"OUT")</f>
        <v>OUT</v>
      </c>
      <c r="X134" s="211"/>
      <c r="Z134" s="211" t="str">
        <f>IFERROR(__xludf.DUMMYFUNCTION("""COMPUTED_VALUE"""),"0326132796")</f>
        <v>0326132796</v>
      </c>
      <c r="AC134" s="211" t="str">
        <f>IFERROR(__xludf.DUMMYFUNCTION("""COMPUTED_VALUE"""),"514e8cd0")</f>
        <v>514e8cd0</v>
      </c>
      <c r="AD134" s="211" t="str">
        <f>IFERROR(__xludf.DUMMYFUNCTION("""COMPUTED_VALUE"""),"Bpk. Nawawi (Balongbendo)")</f>
        <v>Bpk. Nawawi (Balongbendo)</v>
      </c>
      <c r="AE134" s="211"/>
      <c r="AF134" s="211" t="b">
        <f>IFERROR(__xludf.DUMMYFUNCTION("""COMPUTED_VALUE"""),FALSE)</f>
        <v>0</v>
      </c>
      <c r="AG134" s="211" t="str">
        <f>IFERROR(__xludf.DUMMYFUNCTION("""COMPUTED_VALUE"""),"Balongbendo")</f>
        <v>Balongbendo</v>
      </c>
      <c r="AH134" s="211"/>
      <c r="AI134" s="211"/>
      <c r="AJ134" s="211"/>
      <c r="AL134" s="211" t="str">
        <f>IFERROR(__xludf.DUMMYFUNCTION("""COMPUTED_VALUE"""),"2260173")</f>
        <v>2260173</v>
      </c>
      <c r="AM134" s="211" t="str">
        <f>IFERROR(__xludf.DUMMYFUNCTION("""COMPUTED_VALUE"""),"1025381443")</f>
        <v>1025381443</v>
      </c>
      <c r="AN134" s="211" t="str">
        <f>IFERROR(__xludf.DUMMYFUNCTION("""COMPUTED_VALUE"""),"785e0e07")</f>
        <v>785e0e07</v>
      </c>
      <c r="AO134" s="211" t="str">
        <f>IFERROR(__xludf.DUMMYFUNCTION("""COMPUTED_VALUE"""),"Bpk. Sukirno (Bejo)")</f>
        <v>Bpk. Sukirno (Bejo)</v>
      </c>
      <c r="AP134" s="215">
        <f>IFERROR(__xludf.DUMMYFUNCTION("""COMPUTED_VALUE"""),46025.52900462963)</f>
        <v>46025.529</v>
      </c>
      <c r="AQ134" s="218">
        <f>IFERROR(__xludf.DUMMYFUNCTION("""COMPUTED_VALUE"""),45944.0)</f>
        <v>45944</v>
      </c>
      <c r="AR134" s="211"/>
      <c r="AS134" s="211" t="str">
        <f>IFERROR(__xludf.DUMMYFUNCTION("""COMPUTED_VALUE"""),"514e8cd0")</f>
        <v>514e8cd0</v>
      </c>
      <c r="AT134" s="211" t="str">
        <f>IFERROR(__xludf.DUMMYFUNCTION("""COMPUTED_VALUE"""),"Bpk. Nawawi (Balongbendo)")</f>
        <v>Bpk. Nawawi (Balongbendo)</v>
      </c>
      <c r="AU134" s="211"/>
      <c r="AV134" s="211" t="b">
        <f>IFERROR(__xludf.DUMMYFUNCTION("""COMPUTED_VALUE"""),FALSE)</f>
        <v>0</v>
      </c>
      <c r="AW134" s="211" t="str">
        <f>IFERROR(__xludf.DUMMYFUNCTION("""COMPUTED_VALUE"""),"Balongbendo")</f>
        <v>Balongbendo</v>
      </c>
      <c r="AX134" s="211"/>
      <c r="AY134" s="211"/>
      <c r="AZ134" s="211"/>
      <c r="BB134" s="211"/>
      <c r="BC134" s="211"/>
      <c r="BD134" s="211"/>
      <c r="BE134" s="211"/>
      <c r="BF134" s="211"/>
      <c r="BG134" s="211"/>
      <c r="BH134" s="211"/>
      <c r="BI134" s="211"/>
    </row>
    <row r="135">
      <c r="A135" s="210" t="str">
        <f>IFERROR(__xludf.DUMMYFUNCTION("""COMPUTED_VALUE"""),"410240000")</f>
        <v>410240000</v>
      </c>
      <c r="B135" s="210" t="str">
        <f>IFERROR(__xludf.DUMMYFUNCTION("""COMPUTED_VALUE"""),"410240000")</f>
        <v>410240000</v>
      </c>
      <c r="C135" s="213">
        <f>IFERROR(__xludf.DUMMYFUNCTION("""COMPUTED_VALUE"""),45594.45277777778)</f>
        <v>45594.45278</v>
      </c>
      <c r="D135" s="211" t="str">
        <f>IFERROR(__xludf.DUMMYFUNCTION("""COMPUTED_VALUE"""),"4a01ccb6")</f>
        <v>4a01ccb6</v>
      </c>
      <c r="E135" s="211" t="str">
        <f>IFERROR(__xludf.DUMMYFUNCTION("""COMPUTED_VALUE"""),"CV ANUGERAH PERSADA TEKNIK")</f>
        <v>CV ANUGERAH PERSADA TEKNIK</v>
      </c>
      <c r="F135" s="211" t="str">
        <f>IFERROR(__xludf.DUMMYFUNCTION("""COMPUTED_VALUE"""),"66af7c72")</f>
        <v>66af7c72</v>
      </c>
      <c r="G135" s="211" t="str">
        <f>IFERROR(__xludf.DUMMYFUNCTION("""COMPUTED_VALUE"""),"Argon 6m3")</f>
        <v>Argon 6m3</v>
      </c>
      <c r="H135" s="214" t="str">
        <f>IFERROR(__xludf.DUMMYFUNCTION("""COMPUTED_VALUE"""),"OTHER")</f>
        <v>OTHER</v>
      </c>
      <c r="I135" s="214" t="str">
        <f>IFERROR(__xludf.DUMMYFUNCTION("""COMPUTED_VALUE"""),"RETUR CLAIM")</f>
        <v>RETUR CLAIM</v>
      </c>
      <c r="J135" s="211">
        <f>IFERROR(__xludf.DUMMYFUNCTION("""COMPUTED_VALUE"""),1.0)</f>
        <v>1</v>
      </c>
      <c r="K135" s="210" t="str">
        <f>IFERROR(__xludf.DUMMYFUNCTION("""COMPUTED_VALUE"""),"12004")</f>
        <v>12004</v>
      </c>
      <c r="L135" s="211"/>
      <c r="M135" s="211"/>
      <c r="N135" s="211"/>
      <c r="O135" s="211"/>
      <c r="Q135" s="210" t="str">
        <f>IFERROR(__xludf.DUMMYFUNCTION("""COMPUTED_VALUE"""),"11240087")</f>
        <v>11240087</v>
      </c>
      <c r="R135" s="210" t="str">
        <f>IFERROR(__xludf.DUMMYFUNCTION("""COMPUTED_VALUE"""),"11240087")</f>
        <v>11240087</v>
      </c>
      <c r="S135" s="211" t="str">
        <f>IFERROR(__xludf.DUMMYFUNCTION("""COMPUTED_VALUE"""),"4a01ccb6")</f>
        <v>4a01ccb6</v>
      </c>
      <c r="T135" s="211" t="str">
        <f>IFERROR(__xludf.DUMMYFUNCTION("""COMPUTED_VALUE"""),"CV ANUGERAH PERSADA TEKNIK")</f>
        <v>CV ANUGERAH PERSADA TEKNIK</v>
      </c>
      <c r="U135" s="215">
        <f>IFERROR(__xludf.DUMMYFUNCTION("""COMPUTED_VALUE"""),45604.65200231482)</f>
        <v>45604.652</v>
      </c>
      <c r="V135" s="211" t="str">
        <f>IFERROR(__xludf.DUMMYFUNCTION("""COMPUTED_VALUE"""),"JL. Raya Trosobo, Blok 3/14, Taman Sidoarjo Lingkungan Industri Kecil, Sepanjang, Jawa Timur, 61257")</f>
        <v>JL. Raya Trosobo, Blok 3/14, Taman Sidoarjo Lingkungan Industri Kecil, Sepanjang, Jawa Timur, 61257</v>
      </c>
      <c r="W135" s="211" t="str">
        <f>IFERROR(__xludf.DUMMYFUNCTION("""COMPUTED_VALUE"""),"OUT")</f>
        <v>OUT</v>
      </c>
      <c r="X135" s="211"/>
      <c r="Z135" s="211" t="str">
        <f>IFERROR(__xludf.DUMMYFUNCTION("""COMPUTED_VALUE"""),"0326132794")</f>
        <v>0326132794</v>
      </c>
      <c r="AC135" s="211" t="str">
        <f>IFERROR(__xludf.DUMMYFUNCTION("""COMPUTED_VALUE"""),"12674d8f")</f>
        <v>12674d8f</v>
      </c>
      <c r="AD135" s="211" t="str">
        <f>IFERROR(__xludf.DUMMYFUNCTION("""COMPUTED_VALUE"""),"PT. Dong Sung Abadi")</f>
        <v>PT. Dong Sung Abadi</v>
      </c>
      <c r="AE135" s="211"/>
      <c r="AF135" s="211" t="b">
        <f>IFERROR(__xludf.DUMMYFUNCTION("""COMPUTED_VALUE"""),TRUE)</f>
        <v>1</v>
      </c>
      <c r="AG135" s="211" t="str">
        <f>IFERROR(__xludf.DUMMYFUNCTION("""COMPUTED_VALUE"""),"Jalan Raya By Pass Krian No.Km. 32 No. 4, Semawut, Kraton, Krian, Sidoarjo Regency, East Java 61262")</f>
        <v>Jalan Raya By Pass Krian No.Km. 32 No. 4, Semawut, Kraton, Krian, Sidoarjo Regency, East Java 61262</v>
      </c>
      <c r="AH135" s="211">
        <f>IFERROR(__xludf.DUMMYFUNCTION("""COMPUTED_VALUE"""),15.0)</f>
        <v>15</v>
      </c>
      <c r="AI135" s="211" t="str">
        <f>IFERROR(__xludf.DUMMYFUNCTION("""COMPUTED_VALUE"""),"+62 813-3525-4544")</f>
        <v>+62 813-3525-4544</v>
      </c>
      <c r="AJ135" s="211"/>
      <c r="AL135" s="211" t="str">
        <f>IFERROR(__xludf.DUMMYFUNCTION("""COMPUTED_VALUE"""),"2260173")</f>
        <v>2260173</v>
      </c>
      <c r="AM135" s="211" t="str">
        <f>IFERROR(__xludf.DUMMYFUNCTION("""COMPUTED_VALUE"""),"1225392008")</f>
        <v>1225392008</v>
      </c>
      <c r="AN135" s="211" t="str">
        <f>IFERROR(__xludf.DUMMYFUNCTION("""COMPUTED_VALUE"""),"785e0e07")</f>
        <v>785e0e07</v>
      </c>
      <c r="AO135" s="211" t="str">
        <f>IFERROR(__xludf.DUMMYFUNCTION("""COMPUTED_VALUE"""),"Bpk. Sukirno (Bejo)")</f>
        <v>Bpk. Sukirno (Bejo)</v>
      </c>
      <c r="AP135" s="215">
        <f>IFERROR(__xludf.DUMMYFUNCTION("""COMPUTED_VALUE"""),46025.52900462963)</f>
        <v>46025.529</v>
      </c>
      <c r="AQ135" s="218">
        <f>IFERROR(__xludf.DUMMYFUNCTION("""COMPUTED_VALUE"""),46008.0)</f>
        <v>46008</v>
      </c>
      <c r="AR135" s="211"/>
      <c r="AS135" s="211" t="str">
        <f>IFERROR(__xludf.DUMMYFUNCTION("""COMPUTED_VALUE"""),"12674d8f")</f>
        <v>12674d8f</v>
      </c>
      <c r="AT135" s="211" t="str">
        <f>IFERROR(__xludf.DUMMYFUNCTION("""COMPUTED_VALUE"""),"PT. Dong Sung Abadi")</f>
        <v>PT. Dong Sung Abadi</v>
      </c>
      <c r="AU135" s="211"/>
      <c r="AV135" s="211" t="b">
        <f>IFERROR(__xludf.DUMMYFUNCTION("""COMPUTED_VALUE"""),TRUE)</f>
        <v>1</v>
      </c>
      <c r="AW135" s="211" t="str">
        <f>IFERROR(__xludf.DUMMYFUNCTION("""COMPUTED_VALUE"""),"Jalan Raya By Pass Krian No.Km. 32 No. 4, Semawut, Kraton, Krian, Sidoarjo Regency, East Java 61262")</f>
        <v>Jalan Raya By Pass Krian No.Km. 32 No. 4, Semawut, Kraton, Krian, Sidoarjo Regency, East Java 61262</v>
      </c>
      <c r="AX135" s="211">
        <f>IFERROR(__xludf.DUMMYFUNCTION("""COMPUTED_VALUE"""),15.0)</f>
        <v>15</v>
      </c>
      <c r="AY135" s="211" t="str">
        <f>IFERROR(__xludf.DUMMYFUNCTION("""COMPUTED_VALUE"""),"+62 813-3525-4544")</f>
        <v>+62 813-3525-4544</v>
      </c>
      <c r="AZ135" s="211"/>
      <c r="BB135" s="211"/>
      <c r="BC135" s="211"/>
      <c r="BD135" s="211"/>
      <c r="BE135" s="211"/>
      <c r="BF135" s="211"/>
      <c r="BG135" s="211"/>
      <c r="BH135" s="211"/>
      <c r="BI135" s="211"/>
    </row>
    <row r="136">
      <c r="A136" s="210" t="str">
        <f>IFERROR(__xludf.DUMMYFUNCTION("""COMPUTED_VALUE"""),"4cfb87ea")</f>
        <v>4cfb87ea</v>
      </c>
      <c r="B136" s="210" t="str">
        <f>IFERROR(__xludf.DUMMYFUNCTION("""COMPUTED_VALUE"""),"4cfb87ea")</f>
        <v>4cfb87ea</v>
      </c>
      <c r="C136" s="213">
        <f>IFERROR(__xludf.DUMMYFUNCTION("""COMPUTED_VALUE"""),45594.47361111111)</f>
        <v>45594.47361</v>
      </c>
      <c r="D136" s="211" t="str">
        <f>IFERROR(__xludf.DUMMYFUNCTION("""COMPUTED_VALUE"""),"c2f5a4a7")</f>
        <v>c2f5a4a7</v>
      </c>
      <c r="E136" s="211" t="str">
        <f>IFERROR(__xludf.DUMMYFUNCTION("""COMPUTED_VALUE"""),"UD Sumber Berlian")</f>
        <v>UD Sumber Berlian</v>
      </c>
      <c r="F136" s="211" t="str">
        <f>IFERROR(__xludf.DUMMYFUNCTION("""COMPUTED_VALUE"""),"8bdbe149")</f>
        <v>8bdbe149</v>
      </c>
      <c r="G136" s="211" t="str">
        <f>IFERROR(__xludf.DUMMYFUNCTION("""COMPUTED_VALUE"""),"Oksigen 6m3")</f>
        <v>Oksigen 6m3</v>
      </c>
      <c r="H136" s="214" t="str">
        <f>IFERROR(__xludf.DUMMYFUNCTION("""COMPUTED_VALUE"""),"IN")</f>
        <v>IN</v>
      </c>
      <c r="I136" s="214" t="str">
        <f>IFERROR(__xludf.DUMMYFUNCTION("""COMPUTED_VALUE"""),"EMPTY")</f>
        <v>EMPTY</v>
      </c>
      <c r="J136" s="211">
        <f>IFERROR(__xludf.DUMMYFUNCTION("""COMPUTED_VALUE"""),2.0)</f>
        <v>2</v>
      </c>
      <c r="K136" s="210" t="str">
        <f>IFERROR(__xludf.DUMMYFUNCTION("""COMPUTED_VALUE"""),"1152 1101")</f>
        <v>1152 1101</v>
      </c>
      <c r="L136" s="211"/>
      <c r="M136" s="211"/>
      <c r="N136" s="211"/>
      <c r="O136" s="211"/>
      <c r="Q136" s="210" t="str">
        <f>IFERROR(__xludf.DUMMYFUNCTION("""COMPUTED_VALUE"""),"78cb400d")</f>
        <v>78cb400d</v>
      </c>
      <c r="R136" s="210" t="str">
        <f>IFERROR(__xludf.DUMMYFUNCTION("""COMPUTED_VALUE"""),"78cb400d")</f>
        <v>78cb400d</v>
      </c>
      <c r="S136" s="211" t="str">
        <f>IFERROR(__xludf.DUMMYFUNCTION("""COMPUTED_VALUE"""),"72d9a70c")</f>
        <v>72d9a70c</v>
      </c>
      <c r="T136" s="211" t="str">
        <f>IFERROR(__xludf.DUMMYFUNCTION("""COMPUTED_VALUE"""),"PT Beton Prima Indonesia")</f>
        <v>PT Beton Prima Indonesia</v>
      </c>
      <c r="U136" s="215">
        <f>IFERROR(__xludf.DUMMYFUNCTION("""COMPUTED_VALUE"""),45604.65760416667)</f>
        <v>45604.6576</v>
      </c>
      <c r="V136" s="211" t="str">
        <f>IFERROR(__xludf.DUMMYFUNCTION("""COMPUTED_VALUE"""),"KH. Ahmad Dahlan KM.2 Ds. Sumberwono, Kec. Bangsal, Kab. Mojokerto 61381")</f>
        <v>KH. Ahmad Dahlan KM.2 Ds. Sumberwono, Kec. Bangsal, Kab. Mojokerto 61381</v>
      </c>
      <c r="W136" s="211" t="str">
        <f>IFERROR(__xludf.DUMMYFUNCTION("""COMPUTED_VALUE"""),"IN")</f>
        <v>IN</v>
      </c>
      <c r="X136" s="211"/>
      <c r="Z136" s="211" t="str">
        <f>IFERROR(__xludf.DUMMYFUNCTION("""COMPUTED_VALUE"""),"0326282789")</f>
        <v>0326282789</v>
      </c>
      <c r="AC136" s="211" t="str">
        <f>IFERROR(__xludf.DUMMYFUNCTION("""COMPUTED_VALUE"""),"405a11b6")</f>
        <v>405a11b6</v>
      </c>
      <c r="AD136" s="211" t="str">
        <f>IFERROR(__xludf.DUMMYFUNCTION("""COMPUTED_VALUE"""),"Ibu Rinta")</f>
        <v>Ibu Rinta</v>
      </c>
      <c r="AE136" s="211"/>
      <c r="AF136" s="211" t="b">
        <f>IFERROR(__xludf.DUMMYFUNCTION("""COMPUTED_VALUE"""),FALSE)</f>
        <v>0</v>
      </c>
      <c r="AG136" s="211" t="str">
        <f>IFERROR(__xludf.DUMMYFUNCTION("""COMPUTED_VALUE"""),"HHQ3+674, Semawut, Balongbendo, Kec. BalongBendo, Kabupaten Sidoarjo, Jawa Timur 61263")</f>
        <v>HHQ3+674, Semawut, Balongbendo, Kec. BalongBendo, Kabupaten Sidoarjo, Jawa Timur 61263</v>
      </c>
      <c r="AH136" s="211">
        <f>IFERROR(__xludf.DUMMYFUNCTION("""COMPUTED_VALUE"""),10.0)</f>
        <v>10</v>
      </c>
      <c r="AI136" s="211"/>
      <c r="AJ136" s="211"/>
      <c r="AL136" s="211" t="str">
        <f>IFERROR(__xludf.DUMMYFUNCTION("""COMPUTED_VALUE"""),"2260173")</f>
        <v>2260173</v>
      </c>
      <c r="AM136" s="211" t="str">
        <f>IFERROR(__xludf.DUMMYFUNCTION("""COMPUTED_VALUE"""),"1225402077")</f>
        <v>1225402077</v>
      </c>
      <c r="AN136" s="211" t="str">
        <f>IFERROR(__xludf.DUMMYFUNCTION("""COMPUTED_VALUE"""),"785e0e07")</f>
        <v>785e0e07</v>
      </c>
      <c r="AO136" s="211" t="str">
        <f>IFERROR(__xludf.DUMMYFUNCTION("""COMPUTED_VALUE"""),"Bpk. Sukirno (Bejo)")</f>
        <v>Bpk. Sukirno (Bejo)</v>
      </c>
      <c r="AP136" s="215">
        <f>IFERROR(__xludf.DUMMYFUNCTION("""COMPUTED_VALUE"""),46025.52900462963)</f>
        <v>46025.529</v>
      </c>
      <c r="AQ136" s="218">
        <f>IFERROR(__xludf.DUMMYFUNCTION("""COMPUTED_VALUE"""),46015.0)</f>
        <v>46015</v>
      </c>
      <c r="AR136" s="211"/>
      <c r="AS136" s="211" t="str">
        <f>IFERROR(__xludf.DUMMYFUNCTION("""COMPUTED_VALUE"""),"405a11b6")</f>
        <v>405a11b6</v>
      </c>
      <c r="AT136" s="211" t="str">
        <f>IFERROR(__xludf.DUMMYFUNCTION("""COMPUTED_VALUE"""),"Ibu Rinta")</f>
        <v>Ibu Rinta</v>
      </c>
      <c r="AU136" s="211"/>
      <c r="AV136" s="211" t="b">
        <f>IFERROR(__xludf.DUMMYFUNCTION("""COMPUTED_VALUE"""),FALSE)</f>
        <v>0</v>
      </c>
      <c r="AW136" s="211" t="str">
        <f>IFERROR(__xludf.DUMMYFUNCTION("""COMPUTED_VALUE"""),"HHQ3+674, Semawut, Balongbendo, Kec. BalongBendo, Kabupaten Sidoarjo, Jawa Timur 61263")</f>
        <v>HHQ3+674, Semawut, Balongbendo, Kec. BalongBendo, Kabupaten Sidoarjo, Jawa Timur 61263</v>
      </c>
      <c r="AX136" s="211">
        <f>IFERROR(__xludf.DUMMYFUNCTION("""COMPUTED_VALUE"""),10.0)</f>
        <v>10</v>
      </c>
      <c r="AY136" s="211"/>
      <c r="AZ136" s="211"/>
      <c r="BB136" s="211"/>
      <c r="BC136" s="211"/>
      <c r="BD136" s="211"/>
      <c r="BE136" s="211"/>
      <c r="BF136" s="211"/>
      <c r="BG136" s="211"/>
      <c r="BH136" s="211"/>
      <c r="BI136" s="211"/>
    </row>
    <row r="137">
      <c r="A137" s="210" t="str">
        <f>IFERROR(__xludf.DUMMYFUNCTION("""COMPUTED_VALUE"""),"10240062")</f>
        <v>10240062</v>
      </c>
      <c r="B137" s="210" t="str">
        <f>IFERROR(__xludf.DUMMYFUNCTION("""COMPUTED_VALUE"""),"10240062")</f>
        <v>10240062</v>
      </c>
      <c r="C137" s="213">
        <f>IFERROR(__xludf.DUMMYFUNCTION("""COMPUTED_VALUE"""),45594.51767361111)</f>
        <v>45594.51767</v>
      </c>
      <c r="D137" s="211" t="str">
        <f>IFERROR(__xludf.DUMMYFUNCTION("""COMPUTED_VALUE"""),"37175874")</f>
        <v>37175874</v>
      </c>
      <c r="E137" s="211" t="str">
        <f>IFERROR(__xludf.DUMMYFUNCTION("""COMPUTED_VALUE"""),"PT TERAPAN NILAIOSILASI INDONESIA (TENO)")</f>
        <v>PT TERAPAN NILAIOSILASI INDONESIA (TENO)</v>
      </c>
      <c r="F137" s="211" t="str">
        <f>IFERROR(__xludf.DUMMYFUNCTION("""COMPUTED_VALUE"""),"8bdbe149")</f>
        <v>8bdbe149</v>
      </c>
      <c r="G137" s="211" t="str">
        <f>IFERROR(__xludf.DUMMYFUNCTION("""COMPUTED_VALUE"""),"Oksigen 6m3")</f>
        <v>Oksigen 6m3</v>
      </c>
      <c r="H137" s="214" t="str">
        <f>IFERROR(__xludf.DUMMYFUNCTION("""COMPUTED_VALUE"""),"OUT")</f>
        <v>OUT</v>
      </c>
      <c r="I137" s="214" t="str">
        <f>IFERROR(__xludf.DUMMYFUNCTION("""COMPUTED_VALUE"""),"NORMAL")</f>
        <v>NORMAL</v>
      </c>
      <c r="J137" s="211">
        <f>IFERROR(__xludf.DUMMYFUNCTION("""COMPUTED_VALUE"""),15.0)</f>
        <v>15</v>
      </c>
      <c r="K137" s="210" t="str">
        <f>IFERROR(__xludf.DUMMYFUNCTION("""COMPUTED_VALUE"""),"1160 1156 1161 1162 1168 1157 1158 1199 1164 1134 1190 11107 11114 1197 11119")</f>
        <v>1160 1156 1161 1162 1168 1157 1158 1199 1164 1134 1190 11107 11114 1197 11119</v>
      </c>
      <c r="L137" s="211">
        <f>IFERROR(__xludf.DUMMYFUNCTION("""COMPUTED_VALUE"""),45045.04505)</f>
        <v>45045.04505</v>
      </c>
      <c r="M137" s="211"/>
      <c r="N137" s="211"/>
      <c r="O137" s="211"/>
      <c r="Q137" s="210" t="str">
        <f>IFERROR(__xludf.DUMMYFUNCTION("""COMPUTED_VALUE"""),"f1558ddd")</f>
        <v>f1558ddd</v>
      </c>
      <c r="R137" s="210" t="str">
        <f>IFERROR(__xludf.DUMMYFUNCTION("""COMPUTED_VALUE"""),"f1558ddd")</f>
        <v>f1558ddd</v>
      </c>
      <c r="S137" s="211" t="str">
        <f>IFERROR(__xludf.DUMMYFUNCTION("""COMPUTED_VALUE"""),"4a01ccb6")</f>
        <v>4a01ccb6</v>
      </c>
      <c r="T137" s="211" t="str">
        <f>IFERROR(__xludf.DUMMYFUNCTION("""COMPUTED_VALUE"""),"CV ANUGERAH PERSADA TEKNIK")</f>
        <v>CV ANUGERAH PERSADA TEKNIK</v>
      </c>
      <c r="U137" s="215">
        <f>IFERROR(__xludf.DUMMYFUNCTION("""COMPUTED_VALUE"""),45604.70388888889)</f>
        <v>45604.70389</v>
      </c>
      <c r="V137" s="211" t="str">
        <f>IFERROR(__xludf.DUMMYFUNCTION("""COMPUTED_VALUE"""),"JL. Raya Trosobo, Blok 3/14, Taman Sidoarjo Lingkungan Industri Kecil, Sepanjang, Jawa Timur, 61257")</f>
        <v>JL. Raya Trosobo, Blok 3/14, Taman Sidoarjo Lingkungan Industri Kecil, Sepanjang, Jawa Timur, 61257</v>
      </c>
      <c r="W137" s="211" t="str">
        <f>IFERROR(__xludf.DUMMYFUNCTION("""COMPUTED_VALUE"""),"IN")</f>
        <v>IN</v>
      </c>
      <c r="X137" s="211"/>
      <c r="Z137" s="211" t="str">
        <f>IFERROR(__xludf.DUMMYFUNCTION("""COMPUTED_VALUE"""),"032612790")</f>
        <v>032612790</v>
      </c>
      <c r="AC137" s="211" t="str">
        <f>IFERROR(__xludf.DUMMYFUNCTION("""COMPUTED_VALUE"""),"77b7a427")</f>
        <v>77b7a427</v>
      </c>
      <c r="AD137" s="211" t="str">
        <f>IFERROR(__xludf.DUMMYFUNCTION("""COMPUTED_VALUE"""),"CV. Nata Mulya Abadi")</f>
        <v>CV. Nata Mulya Abadi</v>
      </c>
      <c r="AE137" s="211" t="str">
        <f>IFERROR(__xludf.DUMMYFUNCTION("""COMPUTED_VALUE"""),"84.622.305.5-603.000")</f>
        <v>84.622.305.5-603.000</v>
      </c>
      <c r="AF137" s="211" t="b">
        <f>IFERROR(__xludf.DUMMYFUNCTION("""COMPUTED_VALUE"""),TRUE)</f>
        <v>1</v>
      </c>
      <c r="AG137" s="211" t="str">
        <f>IFERROR(__xludf.DUMMYFUNCTION("""COMPUTED_VALUE"""),"Jl. Punglor No.19, Bakalan, Tempel, Kec. Krian, Kabupaten Sidoarjo, Jawa Timur 61262")</f>
        <v>Jl. Punglor No.19, Bakalan, Tempel, Kec. Krian, Kabupaten Sidoarjo, Jawa Timur 61262</v>
      </c>
      <c r="AH137" s="211">
        <f>IFERROR(__xludf.DUMMYFUNCTION("""COMPUTED_VALUE"""),30.0)</f>
        <v>30</v>
      </c>
      <c r="AI137" s="211" t="str">
        <f>IFERROR(__xludf.DUMMYFUNCTION("""COMPUTED_VALUE"""),"081234009094")</f>
        <v>081234009094</v>
      </c>
      <c r="AJ137" s="211"/>
      <c r="AL137" s="211" t="str">
        <f>IFERROR(__xludf.DUMMYFUNCTION("""COMPUTED_VALUE"""),"2260172")</f>
        <v>2260172</v>
      </c>
      <c r="AM137" s="211" t="str">
        <f>IFERROR(__xludf.DUMMYFUNCTION("""COMPUTED_VALUE"""),"122592086")</f>
        <v>122592086</v>
      </c>
      <c r="AN137" s="211" t="str">
        <f>IFERROR(__xludf.DUMMYFUNCTION("""COMPUTED_VALUE"""),"440df1db")</f>
        <v>440df1db</v>
      </c>
      <c r="AO137" s="211" t="str">
        <f>IFERROR(__xludf.DUMMYFUNCTION("""COMPUTED_VALUE"""),"PT. Mecca Abadi Sejahtera")</f>
        <v>PT. Mecca Abadi Sejahtera</v>
      </c>
      <c r="AP137" s="215">
        <f>IFERROR(__xludf.DUMMYFUNCTION("""COMPUTED_VALUE"""),46025.528391203705)</f>
        <v>46025.52839</v>
      </c>
      <c r="AQ137" s="218">
        <f>IFERROR(__xludf.DUMMYFUNCTION("""COMPUTED_VALUE"""),46017.0)</f>
        <v>46017</v>
      </c>
      <c r="AR137" s="211"/>
      <c r="AS137" s="211" t="str">
        <f>IFERROR(__xludf.DUMMYFUNCTION("""COMPUTED_VALUE"""),"77b7a427")</f>
        <v>77b7a427</v>
      </c>
      <c r="AT137" s="211" t="str">
        <f>IFERROR(__xludf.DUMMYFUNCTION("""COMPUTED_VALUE"""),"CV. Nata Mulya Abadi")</f>
        <v>CV. Nata Mulya Abadi</v>
      </c>
      <c r="AU137" s="211" t="str">
        <f>IFERROR(__xludf.DUMMYFUNCTION("""COMPUTED_VALUE"""),"84.622.305.5-603.000")</f>
        <v>84.622.305.5-603.000</v>
      </c>
      <c r="AV137" s="211" t="b">
        <f>IFERROR(__xludf.DUMMYFUNCTION("""COMPUTED_VALUE"""),TRUE)</f>
        <v>1</v>
      </c>
      <c r="AW137" s="211" t="str">
        <f>IFERROR(__xludf.DUMMYFUNCTION("""COMPUTED_VALUE"""),"Jl. Punglor No.19, Bakalan, Tempel, Kec. Krian, Kabupaten Sidoarjo, Jawa Timur 61262")</f>
        <v>Jl. Punglor No.19, Bakalan, Tempel, Kec. Krian, Kabupaten Sidoarjo, Jawa Timur 61262</v>
      </c>
      <c r="AX137" s="211">
        <f>IFERROR(__xludf.DUMMYFUNCTION("""COMPUTED_VALUE"""),30.0)</f>
        <v>30</v>
      </c>
      <c r="AY137" s="211" t="str">
        <f>IFERROR(__xludf.DUMMYFUNCTION("""COMPUTED_VALUE"""),"081234009094")</f>
        <v>081234009094</v>
      </c>
      <c r="AZ137" s="211"/>
      <c r="BB137" s="211"/>
      <c r="BC137" s="211"/>
      <c r="BD137" s="211"/>
      <c r="BE137" s="211"/>
      <c r="BF137" s="211"/>
      <c r="BG137" s="211"/>
      <c r="BH137" s="211"/>
      <c r="BI137" s="211"/>
    </row>
    <row r="138">
      <c r="A138" s="210" t="str">
        <f>IFERROR(__xludf.DUMMYFUNCTION("""COMPUTED_VALUE"""),"10240062")</f>
        <v>10240062</v>
      </c>
      <c r="B138" s="210" t="str">
        <f>IFERROR(__xludf.DUMMYFUNCTION("""COMPUTED_VALUE"""),"10240062")</f>
        <v>10240062</v>
      </c>
      <c r="C138" s="213">
        <f>IFERROR(__xludf.DUMMYFUNCTION("""COMPUTED_VALUE"""),45594.52196759259)</f>
        <v>45594.52197</v>
      </c>
      <c r="D138" s="211" t="str">
        <f>IFERROR(__xludf.DUMMYFUNCTION("""COMPUTED_VALUE"""),"37175874")</f>
        <v>37175874</v>
      </c>
      <c r="E138" s="211" t="str">
        <f>IFERROR(__xludf.DUMMYFUNCTION("""COMPUTED_VALUE"""),"PT TERAPAN NILAIOSILASI INDONESIA (TENO)")</f>
        <v>PT TERAPAN NILAIOSILASI INDONESIA (TENO)</v>
      </c>
      <c r="F138" s="211" t="str">
        <f>IFERROR(__xludf.DUMMYFUNCTION("""COMPUTED_VALUE"""),"3b9d6a30")</f>
        <v>3b9d6a30</v>
      </c>
      <c r="G138" s="211" t="str">
        <f>IFERROR(__xludf.DUMMYFUNCTION("""COMPUTED_VALUE"""),"Acetyline")</f>
        <v>Acetyline</v>
      </c>
      <c r="H138" s="214" t="str">
        <f>IFERROR(__xludf.DUMMYFUNCTION("""COMPUTED_VALUE"""),"OUT")</f>
        <v>OUT</v>
      </c>
      <c r="I138" s="214" t="str">
        <f>IFERROR(__xludf.DUMMYFUNCTION("""COMPUTED_VALUE"""),"NORMAL")</f>
        <v>NORMAL</v>
      </c>
      <c r="J138" s="211">
        <f>IFERROR(__xludf.DUMMYFUNCTION("""COMPUTED_VALUE"""),4.0)</f>
        <v>4</v>
      </c>
      <c r="K138" s="210" t="str">
        <f>IFERROR(__xludf.DUMMYFUNCTION("""COMPUTED_VALUE"""),"7812 7969 7810 7806")</f>
        <v>7812 7969 7810 7806</v>
      </c>
      <c r="L138" s="211">
        <f>IFERROR(__xludf.DUMMYFUNCTION("""COMPUTED_VALUE"""),360360.3604)</f>
        <v>360360.3604</v>
      </c>
      <c r="M138" s="211"/>
      <c r="N138" s="211"/>
      <c r="O138" s="211"/>
      <c r="Q138" s="210" t="str">
        <f>IFERROR(__xludf.DUMMYFUNCTION("""COMPUTED_VALUE"""),"11240088")</f>
        <v>11240088</v>
      </c>
      <c r="R138" s="210" t="str">
        <f>IFERROR(__xludf.DUMMYFUNCTION("""COMPUTED_VALUE"""),"11240088")</f>
        <v>11240088</v>
      </c>
      <c r="S138" s="211" t="str">
        <f>IFERROR(__xludf.DUMMYFUNCTION("""COMPUTED_VALUE"""),"e86baf3b")</f>
        <v>e86baf3b</v>
      </c>
      <c r="T138" s="211" t="str">
        <f>IFERROR(__xludf.DUMMYFUNCTION("""COMPUTED_VALUE"""),"PT GEMILANG CIPTA WAWASAN")</f>
        <v>PT GEMILANG CIPTA WAWASAN</v>
      </c>
      <c r="U138" s="215">
        <f>IFERROR(__xludf.DUMMYFUNCTION("""COMPUTED_VALUE"""),45604.70505787037)</f>
        <v>45604.70506</v>
      </c>
      <c r="V138" s="211" t="str">
        <f>IFERROR(__xludf.DUMMYFUNCTION("""COMPUTED_VALUE"""),"JL TEBET RAYA, 2A, TEBET BARAT, TEBET, KOTA ADM, JAKARTA SELATAN, DKI JAKARTA")</f>
        <v>JL TEBET RAYA, 2A, TEBET BARAT, TEBET, KOTA ADM, JAKARTA SELATAN, DKI JAKARTA</v>
      </c>
      <c r="W138" s="211" t="str">
        <f>IFERROR(__xludf.DUMMYFUNCTION("""COMPUTED_VALUE"""),"OUT")</f>
        <v>OUT</v>
      </c>
      <c r="X138" s="211"/>
      <c r="Z138" s="211" t="str">
        <f>IFERROR(__xludf.DUMMYFUNCTION("""COMPUTED_VALUE"""),"0326212782")</f>
        <v>0326212782</v>
      </c>
      <c r="AC138" s="211"/>
      <c r="AD138" s="211"/>
      <c r="AE138" s="211"/>
      <c r="AF138" s="211"/>
      <c r="AG138" s="211"/>
      <c r="AH138" s="211"/>
      <c r="AI138" s="211"/>
      <c r="AJ138" s="211"/>
      <c r="AL138" s="211" t="str">
        <f>IFERROR(__xludf.DUMMYFUNCTION("""COMPUTED_VALUE"""),"2260168")</f>
        <v>2260168</v>
      </c>
      <c r="AM138" s="211" t="str">
        <f>IFERROR(__xludf.DUMMYFUNCTION("""COMPUTED_VALUE"""),"122532017")</f>
        <v>122532017</v>
      </c>
      <c r="AN138" s="211" t="str">
        <f>IFERROR(__xludf.DUMMYFUNCTION("""COMPUTED_VALUE"""),"03ff52db")</f>
        <v>03ff52db</v>
      </c>
      <c r="AO138" s="211" t="str">
        <f>IFERROR(__xludf.DUMMYFUNCTION("""COMPUTED_VALUE"""),"Aneka Teknik Logam")</f>
        <v>Aneka Teknik Logam</v>
      </c>
      <c r="AP138" s="215">
        <f>IFERROR(__xludf.DUMMYFUNCTION("""COMPUTED_VALUE"""),46025.52578703704)</f>
        <v>46025.52579</v>
      </c>
      <c r="AQ138" s="218">
        <f>IFERROR(__xludf.DUMMYFUNCTION("""COMPUTED_VALUE"""),46009.0)</f>
        <v>46009</v>
      </c>
      <c r="AR138" s="211"/>
      <c r="AS138" s="211"/>
      <c r="AT138" s="211"/>
      <c r="AU138" s="211"/>
      <c r="AV138" s="211"/>
      <c r="AW138" s="211"/>
      <c r="AX138" s="211"/>
      <c r="AY138" s="211"/>
      <c r="AZ138" s="211"/>
      <c r="BB138" s="211"/>
      <c r="BC138" s="211"/>
      <c r="BD138" s="211"/>
      <c r="BE138" s="211"/>
      <c r="BF138" s="211"/>
      <c r="BG138" s="211"/>
      <c r="BH138" s="211"/>
      <c r="BI138" s="211"/>
    </row>
    <row r="139">
      <c r="A139" s="210" t="str">
        <f>IFERROR(__xludf.DUMMYFUNCTION("""COMPUTED_VALUE"""),"0d3bda49")</f>
        <v>0d3bda49</v>
      </c>
      <c r="B139" s="210" t="str">
        <f>IFERROR(__xludf.DUMMYFUNCTION("""COMPUTED_VALUE"""),"0d3bda49")</f>
        <v>0d3bda49</v>
      </c>
      <c r="C139" s="213">
        <f>IFERROR(__xludf.DUMMYFUNCTION("""COMPUTED_VALUE"""),45594.522731481484)</f>
        <v>45594.52273</v>
      </c>
      <c r="D139" s="211" t="str">
        <f>IFERROR(__xludf.DUMMYFUNCTION("""COMPUTED_VALUE"""),"72d9a70c")</f>
        <v>72d9a70c</v>
      </c>
      <c r="E139" s="211" t="str">
        <f>IFERROR(__xludf.DUMMYFUNCTION("""COMPUTED_VALUE"""),"PT Beton Prima Indonesia")</f>
        <v>PT Beton Prima Indonesia</v>
      </c>
      <c r="F139" s="211" t="str">
        <f>IFERROR(__xludf.DUMMYFUNCTION("""COMPUTED_VALUE"""),"8bdbe149")</f>
        <v>8bdbe149</v>
      </c>
      <c r="G139" s="211" t="str">
        <f>IFERROR(__xludf.DUMMYFUNCTION("""COMPUTED_VALUE"""),"Oksigen 6m3")</f>
        <v>Oksigen 6m3</v>
      </c>
      <c r="H139" s="214" t="str">
        <f>IFERROR(__xludf.DUMMYFUNCTION("""COMPUTED_VALUE"""),"IN")</f>
        <v>IN</v>
      </c>
      <c r="I139" s="214" t="str">
        <f>IFERROR(__xludf.DUMMYFUNCTION("""COMPUTED_VALUE"""),"EMPTY")</f>
        <v>EMPTY</v>
      </c>
      <c r="J139" s="211">
        <f>IFERROR(__xludf.DUMMYFUNCTION("""COMPUTED_VALUE"""),2.0)</f>
        <v>2</v>
      </c>
      <c r="K139" s="210" t="str">
        <f>IFERROR(__xludf.DUMMYFUNCTION("""COMPUTED_VALUE"""),"1186 1150")</f>
        <v>1186 1150</v>
      </c>
      <c r="L139" s="211"/>
      <c r="M139" s="211"/>
      <c r="N139" s="211"/>
      <c r="O139" s="211"/>
      <c r="Q139" s="210" t="str">
        <f>IFERROR(__xludf.DUMMYFUNCTION("""COMPUTED_VALUE"""),"11240091")</f>
        <v>11240091</v>
      </c>
      <c r="R139" s="210" t="str">
        <f>IFERROR(__xludf.DUMMYFUNCTION("""COMPUTED_VALUE"""),"11240091")</f>
        <v>11240091</v>
      </c>
      <c r="S139" s="211" t="str">
        <f>IFERROR(__xludf.DUMMYFUNCTION("""COMPUTED_VALUE"""),"c2f5a4a7")</f>
        <v>c2f5a4a7</v>
      </c>
      <c r="T139" s="211" t="str">
        <f>IFERROR(__xludf.DUMMYFUNCTION("""COMPUTED_VALUE"""),"UD Sumber Berlian")</f>
        <v>UD Sumber Berlian</v>
      </c>
      <c r="U139" s="215">
        <f>IFERROR(__xludf.DUMMYFUNCTION("""COMPUTED_VALUE"""),45605.38143518519)</f>
        <v>45605.38144</v>
      </c>
      <c r="V139" s="211" t="str">
        <f>IFERROR(__xludf.DUMMYFUNCTION("""COMPUTED_VALUE"""),"Ciro Kulon, Bakungtemenggungan, Kec. BalongBendo, Kabupaten Sidoarjo, Jawa Timur 61263")</f>
        <v>Ciro Kulon, Bakungtemenggungan, Kec. BalongBendo, Kabupaten Sidoarjo, Jawa Timur 61263</v>
      </c>
      <c r="W139" s="211" t="str">
        <f>IFERROR(__xludf.DUMMYFUNCTION("""COMPUTED_VALUE"""),"OUT")</f>
        <v>OUT</v>
      </c>
      <c r="X139" s="211"/>
      <c r="Z139" s="211" t="str">
        <f>IFERROR(__xludf.DUMMYFUNCTION("""COMPUTED_VALUE"""),"032652781")</f>
        <v>032652781</v>
      </c>
      <c r="AC139" s="211"/>
      <c r="AD139" s="211"/>
      <c r="AE139" s="211"/>
      <c r="AF139" s="211"/>
      <c r="AG139" s="211"/>
      <c r="AH139" s="211"/>
      <c r="AI139" s="211"/>
      <c r="AJ139" s="211"/>
      <c r="AL139" s="211" t="str">
        <f>IFERROR(__xludf.DUMMYFUNCTION("""COMPUTED_VALUE"""),"2260168")</f>
        <v>2260168</v>
      </c>
      <c r="AM139" s="211" t="str">
        <f>IFERROR(__xludf.DUMMYFUNCTION("""COMPUTED_VALUE"""),"122542041")</f>
        <v>122542041</v>
      </c>
      <c r="AN139" s="211" t="str">
        <f>IFERROR(__xludf.DUMMYFUNCTION("""COMPUTED_VALUE"""),"03ff52db")</f>
        <v>03ff52db</v>
      </c>
      <c r="AO139" s="211" t="str">
        <f>IFERROR(__xludf.DUMMYFUNCTION("""COMPUTED_VALUE"""),"Aneka Teknik Logam")</f>
        <v>Aneka Teknik Logam</v>
      </c>
      <c r="AP139" s="215">
        <f>IFERROR(__xludf.DUMMYFUNCTION("""COMPUTED_VALUE"""),46025.52578703704)</f>
        <v>46025.52579</v>
      </c>
      <c r="AQ139" s="218">
        <f>IFERROR(__xludf.DUMMYFUNCTION("""COMPUTED_VALUE"""),46010.0)</f>
        <v>46010</v>
      </c>
      <c r="AR139" s="211"/>
      <c r="AS139" s="211"/>
      <c r="AT139" s="211"/>
      <c r="AU139" s="211"/>
      <c r="AV139" s="211"/>
      <c r="AW139" s="211"/>
      <c r="AX139" s="211"/>
      <c r="AY139" s="211"/>
      <c r="AZ139" s="211"/>
      <c r="BB139" s="211"/>
      <c r="BC139" s="211"/>
      <c r="BD139" s="211"/>
      <c r="BE139" s="211"/>
      <c r="BF139" s="211"/>
      <c r="BG139" s="211"/>
      <c r="BH139" s="211"/>
      <c r="BI139" s="211"/>
    </row>
    <row r="140">
      <c r="A140" s="210" t="str">
        <f>IFERROR(__xludf.DUMMYFUNCTION("""COMPUTED_VALUE"""),"1a1f3544")</f>
        <v>1a1f3544</v>
      </c>
      <c r="B140" s="210" t="str">
        <f>IFERROR(__xludf.DUMMYFUNCTION("""COMPUTED_VALUE"""),"1a1f3544")</f>
        <v>1a1f3544</v>
      </c>
      <c r="C140" s="213">
        <f>IFERROR(__xludf.DUMMYFUNCTION("""COMPUTED_VALUE"""),45594.589583333334)</f>
        <v>45594.58958</v>
      </c>
      <c r="D140" s="211" t="str">
        <f>IFERROR(__xludf.DUMMYFUNCTION("""COMPUTED_VALUE"""),"37175874")</f>
        <v>37175874</v>
      </c>
      <c r="E140" s="211" t="str">
        <f>IFERROR(__xludf.DUMMYFUNCTION("""COMPUTED_VALUE"""),"PT TERAPAN NILAIOSILASI INDONESIA (TENO)")</f>
        <v>PT TERAPAN NILAIOSILASI INDONESIA (TENO)</v>
      </c>
      <c r="F140" s="211" t="str">
        <f>IFERROR(__xludf.DUMMYFUNCTION("""COMPUTED_VALUE"""),"ef306e54")</f>
        <v>ef306e54</v>
      </c>
      <c r="G140" s="211" t="str">
        <f>IFERROR(__xludf.DUMMYFUNCTION("""COMPUTED_VALUE"""),"Karbondioksida")</f>
        <v>Karbondioksida</v>
      </c>
      <c r="H140" s="214" t="str">
        <f>IFERROR(__xludf.DUMMYFUNCTION("""COMPUTED_VALUE"""),"IN")</f>
        <v>IN</v>
      </c>
      <c r="I140" s="214" t="str">
        <f>IFERROR(__xludf.DUMMYFUNCTION("""COMPUTED_VALUE"""),"EMPTY")</f>
        <v>EMPTY</v>
      </c>
      <c r="J140" s="211">
        <f>IFERROR(__xludf.DUMMYFUNCTION("""COMPUTED_VALUE"""),2.0)</f>
        <v>2</v>
      </c>
      <c r="K140" s="210" t="str">
        <f>IFERROR(__xludf.DUMMYFUNCTION("""COMPUTED_VALUE"""),"6730 6840")</f>
        <v>6730 6840</v>
      </c>
      <c r="L140" s="211"/>
      <c r="M140" s="211"/>
      <c r="N140" s="211"/>
      <c r="O140" s="211"/>
      <c r="Q140" s="210" t="str">
        <f>IFERROR(__xludf.DUMMYFUNCTION("""COMPUTED_VALUE"""),"e615692d")</f>
        <v>e615692d</v>
      </c>
      <c r="R140" s="210" t="str">
        <f>IFERROR(__xludf.DUMMYFUNCTION("""COMPUTED_VALUE"""),"e615692d")</f>
        <v>e615692d</v>
      </c>
      <c r="S140" s="211" t="str">
        <f>IFERROR(__xludf.DUMMYFUNCTION("""COMPUTED_VALUE"""),"4ec68cf6")</f>
        <v>4ec68cf6</v>
      </c>
      <c r="T140" s="211" t="str">
        <f>IFERROR(__xludf.DUMMYFUNCTION("""COMPUTED_VALUE"""),"CV Sido Mukti Karya")</f>
        <v>CV Sido Mukti Karya</v>
      </c>
      <c r="U140" s="215">
        <f>IFERROR(__xludf.DUMMYFUNCTION("""COMPUTED_VALUE"""),45607.41091435185)</f>
        <v>45607.41091</v>
      </c>
      <c r="V140" s="211" t="str">
        <f>IFERROR(__xludf.DUMMYFUNCTION("""COMPUTED_VALUE"""),"Pergudangan Center Point no A3, Kemangsen")</f>
        <v>Pergudangan Center Point no A3, Kemangsen</v>
      </c>
      <c r="W140" s="211" t="str">
        <f>IFERROR(__xludf.DUMMYFUNCTION("""COMPUTED_VALUE"""),"IN")</f>
        <v>IN</v>
      </c>
      <c r="X140" s="211"/>
      <c r="Z140" s="211" t="str">
        <f>IFERROR(__xludf.DUMMYFUNCTION("""COMPUTED_VALUE"""),"032622780")</f>
        <v>032622780</v>
      </c>
      <c r="AC140" s="211"/>
      <c r="AD140" s="211"/>
      <c r="AE140" s="211"/>
      <c r="AF140" s="211"/>
      <c r="AG140" s="211"/>
      <c r="AH140" s="211"/>
      <c r="AI140" s="211"/>
      <c r="AJ140" s="211"/>
      <c r="AL140" s="211" t="str">
        <f>IFERROR(__xludf.DUMMYFUNCTION("""COMPUTED_VALUE"""),"2260168")</f>
        <v>2260168</v>
      </c>
      <c r="AM140" s="211" t="str">
        <f>IFERROR(__xludf.DUMMYFUNCTION("""COMPUTED_VALUE"""),"122552076")</f>
        <v>122552076</v>
      </c>
      <c r="AN140" s="211" t="str">
        <f>IFERROR(__xludf.DUMMYFUNCTION("""COMPUTED_VALUE"""),"03ff52db")</f>
        <v>03ff52db</v>
      </c>
      <c r="AO140" s="211" t="str">
        <f>IFERROR(__xludf.DUMMYFUNCTION("""COMPUTED_VALUE"""),"Aneka Teknik Logam")</f>
        <v>Aneka Teknik Logam</v>
      </c>
      <c r="AP140" s="215">
        <f>IFERROR(__xludf.DUMMYFUNCTION("""COMPUTED_VALUE"""),46025.52578703704)</f>
        <v>46025.52579</v>
      </c>
      <c r="AQ140" s="218">
        <f>IFERROR(__xludf.DUMMYFUNCTION("""COMPUTED_VALUE"""),46015.0)</f>
        <v>46015</v>
      </c>
      <c r="AR140" s="211"/>
      <c r="AS140" s="211"/>
      <c r="AT140" s="211"/>
      <c r="AU140" s="211"/>
      <c r="AV140" s="211"/>
      <c r="AW140" s="211"/>
      <c r="AX140" s="211"/>
      <c r="AY140" s="211"/>
      <c r="AZ140" s="211"/>
      <c r="BB140" s="211"/>
      <c r="BC140" s="211"/>
      <c r="BD140" s="211"/>
      <c r="BE140" s="211"/>
      <c r="BF140" s="211"/>
      <c r="BG140" s="211"/>
      <c r="BH140" s="211"/>
      <c r="BI140" s="211"/>
    </row>
    <row r="141">
      <c r="A141" s="210" t="str">
        <f>IFERROR(__xludf.DUMMYFUNCTION("""COMPUTED_VALUE"""),"10240064")</f>
        <v>10240064</v>
      </c>
      <c r="B141" s="210" t="str">
        <f>IFERROR(__xludf.DUMMYFUNCTION("""COMPUTED_VALUE"""),"10240064")</f>
        <v>10240064</v>
      </c>
      <c r="C141" s="213">
        <f>IFERROR(__xludf.DUMMYFUNCTION("""COMPUTED_VALUE"""),45595.44497685185)</f>
        <v>45595.44498</v>
      </c>
      <c r="D141" s="211" t="str">
        <f>IFERROR(__xludf.DUMMYFUNCTION("""COMPUTED_VALUE"""),"e86baf3b")</f>
        <v>e86baf3b</v>
      </c>
      <c r="E141" s="211" t="str">
        <f>IFERROR(__xludf.DUMMYFUNCTION("""COMPUTED_VALUE"""),"PT GEMILANG CIPTA WAWASAN")</f>
        <v>PT GEMILANG CIPTA WAWASAN</v>
      </c>
      <c r="F141" s="211" t="str">
        <f>IFERROR(__xludf.DUMMYFUNCTION("""COMPUTED_VALUE"""),"8bdbe149")</f>
        <v>8bdbe149</v>
      </c>
      <c r="G141" s="211" t="str">
        <f>IFERROR(__xludf.DUMMYFUNCTION("""COMPUTED_VALUE"""),"Oksigen 6m3")</f>
        <v>Oksigen 6m3</v>
      </c>
      <c r="H141" s="214" t="str">
        <f>IFERROR(__xludf.DUMMYFUNCTION("""COMPUTED_VALUE"""),"OUT")</f>
        <v>OUT</v>
      </c>
      <c r="I141" s="214" t="str">
        <f>IFERROR(__xludf.DUMMYFUNCTION("""COMPUTED_VALUE"""),"NORMAL")</f>
        <v>NORMAL</v>
      </c>
      <c r="J141" s="211">
        <f>IFERROR(__xludf.DUMMYFUNCTION("""COMPUTED_VALUE"""),5.0)</f>
        <v>5</v>
      </c>
      <c r="K141" s="210" t="str">
        <f>IFERROR(__xludf.DUMMYFUNCTION("""COMPUTED_VALUE"""),"1116 1145 1150 1119 1111")</f>
        <v>1116 1145 1150 1119 1111</v>
      </c>
      <c r="L141" s="211">
        <f>IFERROR(__xludf.DUMMYFUNCTION("""COMPUTED_VALUE"""),60000.0)</f>
        <v>60000</v>
      </c>
      <c r="M141" s="211"/>
      <c r="N141" s="211"/>
      <c r="O141" s="211"/>
      <c r="Q141" s="210" t="str">
        <f>IFERROR(__xludf.DUMMYFUNCTION("""COMPUTED_VALUE"""),"9c62c9ef")</f>
        <v>9c62c9ef</v>
      </c>
      <c r="R141" s="210" t="str">
        <f>IFERROR(__xludf.DUMMYFUNCTION("""COMPUTED_VALUE"""),"9c62c9ef")</f>
        <v>9c62c9ef</v>
      </c>
      <c r="S141" s="211" t="str">
        <f>IFERROR(__xludf.DUMMYFUNCTION("""COMPUTED_VALUE"""),"c2f5a4a7")</f>
        <v>c2f5a4a7</v>
      </c>
      <c r="T141" s="211" t="str">
        <f>IFERROR(__xludf.DUMMYFUNCTION("""COMPUTED_VALUE"""),"UD Sumber Berlian")</f>
        <v>UD Sumber Berlian</v>
      </c>
      <c r="U141" s="215">
        <f>IFERROR(__xludf.DUMMYFUNCTION("""COMPUTED_VALUE"""),45607.411261574074)</f>
        <v>45607.41126</v>
      </c>
      <c r="V141" s="211" t="str">
        <f>IFERROR(__xludf.DUMMYFUNCTION("""COMPUTED_VALUE"""),"Ciro Kulon, Bakungtemenggungan, Kec. BalongBendo, Kabupaten Sidoarjo, Jawa Timur 61263")</f>
        <v>Ciro Kulon, Bakungtemenggungan, Kec. BalongBendo, Kabupaten Sidoarjo, Jawa Timur 61263</v>
      </c>
      <c r="W141" s="211" t="str">
        <f>IFERROR(__xludf.DUMMYFUNCTION("""COMPUTED_VALUE"""),"IN")</f>
        <v>IN</v>
      </c>
      <c r="X141" s="211"/>
      <c r="Z141" s="211" t="str">
        <f>IFERROR(__xludf.DUMMYFUNCTION("""COMPUTED_VALUE"""),"0326262779")</f>
        <v>0326262779</v>
      </c>
      <c r="AC141" s="211"/>
      <c r="AD141" s="211"/>
      <c r="AE141" s="211"/>
      <c r="AF141" s="211"/>
      <c r="AG141" s="211"/>
      <c r="AH141" s="211"/>
      <c r="AI141" s="211"/>
      <c r="AJ141" s="211"/>
      <c r="AL141" s="211" t="str">
        <f>IFERROR(__xludf.DUMMYFUNCTION("""COMPUTED_VALUE"""),"2260168")</f>
        <v>2260168</v>
      </c>
      <c r="AM141" s="211" t="str">
        <f>IFERROR(__xludf.DUMMYFUNCTION("""COMPUTED_VALUE"""),"122562113")</f>
        <v>122562113</v>
      </c>
      <c r="AN141" s="211" t="str">
        <f>IFERROR(__xludf.DUMMYFUNCTION("""COMPUTED_VALUE"""),"03ff52db")</f>
        <v>03ff52db</v>
      </c>
      <c r="AO141" s="211" t="str">
        <f>IFERROR(__xludf.DUMMYFUNCTION("""COMPUTED_VALUE"""),"Aneka Teknik Logam")</f>
        <v>Aneka Teknik Logam</v>
      </c>
      <c r="AP141" s="215">
        <f>IFERROR(__xludf.DUMMYFUNCTION("""COMPUTED_VALUE"""),46025.52578703704)</f>
        <v>46025.52579</v>
      </c>
      <c r="AQ141" s="218">
        <f>IFERROR(__xludf.DUMMYFUNCTION("""COMPUTED_VALUE"""),46020.0)</f>
        <v>46020</v>
      </c>
      <c r="AR141" s="211"/>
      <c r="AS141" s="211"/>
      <c r="AT141" s="211"/>
      <c r="AU141" s="211"/>
      <c r="AV141" s="211"/>
      <c r="AW141" s="211"/>
      <c r="AX141" s="211"/>
      <c r="AY141" s="211"/>
      <c r="AZ141" s="211"/>
      <c r="BB141" s="211"/>
      <c r="BC141" s="211"/>
      <c r="BD141" s="211"/>
      <c r="BE141" s="211"/>
      <c r="BF141" s="211"/>
      <c r="BG141" s="211"/>
      <c r="BH141" s="211"/>
      <c r="BI141" s="211"/>
    </row>
    <row r="142">
      <c r="A142" s="210" t="str">
        <f>IFERROR(__xludf.DUMMYFUNCTION("""COMPUTED_VALUE"""),"10240064")</f>
        <v>10240064</v>
      </c>
      <c r="B142" s="210" t="str">
        <f>IFERROR(__xludf.DUMMYFUNCTION("""COMPUTED_VALUE"""),"10240064")</f>
        <v>10240064</v>
      </c>
      <c r="C142" s="213">
        <f>IFERROR(__xludf.DUMMYFUNCTION("""COMPUTED_VALUE"""),45595.445752314816)</f>
        <v>45595.44575</v>
      </c>
      <c r="D142" s="211" t="str">
        <f>IFERROR(__xludf.DUMMYFUNCTION("""COMPUTED_VALUE"""),"e86baf3b")</f>
        <v>e86baf3b</v>
      </c>
      <c r="E142" s="211" t="str">
        <f>IFERROR(__xludf.DUMMYFUNCTION("""COMPUTED_VALUE"""),"PT GEMILANG CIPTA WAWASAN")</f>
        <v>PT GEMILANG CIPTA WAWASAN</v>
      </c>
      <c r="F142" s="211" t="str">
        <f>IFERROR(__xludf.DUMMYFUNCTION("""COMPUTED_VALUE"""),"66af7c72")</f>
        <v>66af7c72</v>
      </c>
      <c r="G142" s="211" t="str">
        <f>IFERROR(__xludf.DUMMYFUNCTION("""COMPUTED_VALUE"""),"Argon 6m3")</f>
        <v>Argon 6m3</v>
      </c>
      <c r="H142" s="214" t="str">
        <f>IFERROR(__xludf.DUMMYFUNCTION("""COMPUTED_VALUE"""),"OUT")</f>
        <v>OUT</v>
      </c>
      <c r="I142" s="214" t="str">
        <f>IFERROR(__xludf.DUMMYFUNCTION("""COMPUTED_VALUE"""),"NORMAL")</f>
        <v>NORMAL</v>
      </c>
      <c r="J142" s="211">
        <f>IFERROR(__xludf.DUMMYFUNCTION("""COMPUTED_VALUE"""),5.0)</f>
        <v>5</v>
      </c>
      <c r="K142" s="210" t="str">
        <f>IFERROR(__xludf.DUMMYFUNCTION("""COMPUTED_VALUE"""),"8051 81 8012 8096 8331")</f>
        <v>8051 81 8012 8096 8331</v>
      </c>
      <c r="L142" s="211">
        <f>IFERROR(__xludf.DUMMYFUNCTION("""COMPUTED_VALUE"""),196000.0)</f>
        <v>196000</v>
      </c>
      <c r="M142" s="211"/>
      <c r="N142" s="211"/>
      <c r="O142" s="211"/>
      <c r="Q142" s="210" t="str">
        <f>IFERROR(__xludf.DUMMYFUNCTION("""COMPUTED_VALUE"""),"11240092")</f>
        <v>11240092</v>
      </c>
      <c r="R142" s="210" t="str">
        <f>IFERROR(__xludf.DUMMYFUNCTION("""COMPUTED_VALUE"""),"11240092")</f>
        <v>11240092</v>
      </c>
      <c r="S142" s="211" t="str">
        <f>IFERROR(__xludf.DUMMYFUNCTION("""COMPUTED_VALUE"""),"4a01ccb6")</f>
        <v>4a01ccb6</v>
      </c>
      <c r="T142" s="211" t="str">
        <f>IFERROR(__xludf.DUMMYFUNCTION("""COMPUTED_VALUE"""),"CV ANUGERAH PERSADA TEKNIK")</f>
        <v>CV ANUGERAH PERSADA TEKNIK</v>
      </c>
      <c r="U142" s="215">
        <f>IFERROR(__xludf.DUMMYFUNCTION("""COMPUTED_VALUE"""),45607.6362037037)</f>
        <v>45607.6362</v>
      </c>
      <c r="V142" s="211" t="str">
        <f>IFERROR(__xludf.DUMMYFUNCTION("""COMPUTED_VALUE"""),"JL. Raya Trosobo, Blok 3/14, Taman Sidoarjo Lingkungan Industri Kecil, Sepanjang, Jawa Timur, 61257")</f>
        <v>JL. Raya Trosobo, Blok 3/14, Taman Sidoarjo Lingkungan Industri Kecil, Sepanjang, Jawa Timur, 61257</v>
      </c>
      <c r="W142" s="211" t="str">
        <f>IFERROR(__xludf.DUMMYFUNCTION("""COMPUTED_VALUE"""),"OUT")</f>
        <v>OUT</v>
      </c>
      <c r="X142" s="211"/>
      <c r="Z142" s="211" t="str">
        <f>IFERROR(__xludf.DUMMYFUNCTION("""COMPUTED_VALUE"""),"032672778")</f>
        <v>032672778</v>
      </c>
      <c r="AC142" s="211"/>
      <c r="AD142" s="211"/>
      <c r="AE142" s="211"/>
      <c r="AF142" s="211"/>
      <c r="AG142" s="211"/>
      <c r="AH142" s="211"/>
      <c r="AI142" s="211"/>
      <c r="AJ142" s="211"/>
      <c r="AL142" s="211" t="str">
        <f>IFERROR(__xludf.DUMMYFUNCTION("""COMPUTED_VALUE"""),"2250162")</f>
        <v>2250162</v>
      </c>
      <c r="AM142" s="211" t="str">
        <f>IFERROR(__xludf.DUMMYFUNCTION("""COMPUTED_VALUE"""),"122551887")</f>
        <v>122551887</v>
      </c>
      <c r="AN142" s="211" t="str">
        <f>IFERROR(__xludf.DUMMYFUNCTION("""COMPUTED_VALUE"""),"63fc688a")</f>
        <v>63fc688a</v>
      </c>
      <c r="AO142" s="211" t="str">
        <f>IFERROR(__xludf.DUMMYFUNCTION("""COMPUTED_VALUE"""),"CV Malik Nusantara")</f>
        <v>CV Malik Nusantara</v>
      </c>
      <c r="AP142" s="215">
        <f>IFERROR(__xludf.DUMMYFUNCTION("""COMPUTED_VALUE"""),46021.62006944444)</f>
        <v>46021.62007</v>
      </c>
      <c r="AQ142" s="218">
        <f>IFERROR(__xludf.DUMMYFUNCTION("""COMPUTED_VALUE"""),45995.0)</f>
        <v>45995</v>
      </c>
      <c r="AR142" s="211"/>
      <c r="AS142" s="211"/>
      <c r="AT142" s="211"/>
      <c r="AU142" s="211"/>
      <c r="AV142" s="211"/>
      <c r="AW142" s="211"/>
      <c r="AX142" s="211"/>
      <c r="AY142" s="211"/>
      <c r="AZ142" s="211"/>
      <c r="BB142" s="211"/>
      <c r="BC142" s="211"/>
      <c r="BD142" s="211"/>
      <c r="BE142" s="211"/>
      <c r="BF142" s="211"/>
      <c r="BG142" s="211"/>
      <c r="BH142" s="211"/>
      <c r="BI142" s="211"/>
    </row>
    <row r="143">
      <c r="A143" s="210" t="str">
        <f>IFERROR(__xludf.DUMMYFUNCTION("""COMPUTED_VALUE"""),"410240001")</f>
        <v>410240001</v>
      </c>
      <c r="B143" s="210" t="str">
        <f>IFERROR(__xludf.DUMMYFUNCTION("""COMPUTED_VALUE"""),"410240001")</f>
        <v>410240001</v>
      </c>
      <c r="C143" s="213">
        <f>IFERROR(__xludf.DUMMYFUNCTION("""COMPUTED_VALUE"""),45595.45)</f>
        <v>45595.45</v>
      </c>
      <c r="D143" s="211" t="str">
        <f>IFERROR(__xludf.DUMMYFUNCTION("""COMPUTED_VALUE"""),"72d9a70c")</f>
        <v>72d9a70c</v>
      </c>
      <c r="E143" s="211" t="str">
        <f>IFERROR(__xludf.DUMMYFUNCTION("""COMPUTED_VALUE"""),"PT Beton Prima Indonesia")</f>
        <v>PT Beton Prima Indonesia</v>
      </c>
      <c r="F143" s="211" t="str">
        <f>IFERROR(__xludf.DUMMYFUNCTION("""COMPUTED_VALUE"""),"3b9d6a30")</f>
        <v>3b9d6a30</v>
      </c>
      <c r="G143" s="211" t="str">
        <f>IFERROR(__xludf.DUMMYFUNCTION("""COMPUTED_VALUE"""),"Acetyline")</f>
        <v>Acetyline</v>
      </c>
      <c r="H143" s="214" t="str">
        <f>IFERROR(__xludf.DUMMYFUNCTION("""COMPUTED_VALUE"""),"OTHER")</f>
        <v>OTHER</v>
      </c>
      <c r="I143" s="214" t="str">
        <f>IFERROR(__xludf.DUMMYFUNCTION("""COMPUTED_VALUE"""),"RETUR CLAIM")</f>
        <v>RETUR CLAIM</v>
      </c>
      <c r="J143" s="211">
        <f>IFERROR(__xludf.DUMMYFUNCTION("""COMPUTED_VALUE"""),1.0)</f>
        <v>1</v>
      </c>
      <c r="K143" s="210" t="str">
        <f>IFERROR(__xludf.DUMMYFUNCTION("""COMPUTED_VALUE"""),"7957")</f>
        <v>7957</v>
      </c>
      <c r="L143" s="211"/>
      <c r="M143" s="211"/>
      <c r="N143" s="211"/>
      <c r="O143" s="211"/>
      <c r="Q143" s="210" t="str">
        <f>IFERROR(__xludf.DUMMYFUNCTION("""COMPUTED_VALUE"""),"11240094")</f>
        <v>11240094</v>
      </c>
      <c r="R143" s="210" t="str">
        <f>IFERROR(__xludf.DUMMYFUNCTION("""COMPUTED_VALUE"""),"11240094")</f>
        <v>11240094</v>
      </c>
      <c r="S143" s="211" t="str">
        <f>IFERROR(__xludf.DUMMYFUNCTION("""COMPUTED_VALUE"""),"2d88931c")</f>
        <v>2d88931c</v>
      </c>
      <c r="T143" s="211" t="str">
        <f>IFERROR(__xludf.DUMMYFUNCTION("""COMPUTED_VALUE"""),"PT Dunia Berkat Marga Mulya")</f>
        <v>PT Dunia Berkat Marga Mulya</v>
      </c>
      <c r="U143" s="215">
        <f>IFERROR(__xludf.DUMMYFUNCTION("""COMPUTED_VALUE"""),45607.63998842593)</f>
        <v>45607.63999</v>
      </c>
      <c r="V143" s="211" t="str">
        <f>IFERROR(__xludf.DUMMYFUNCTION("""COMPUTED_VALUE"""),"JL JABARAN, WATESARI, BALONGBENDO, SIDOARJO, JAWA TIMUR")</f>
        <v>JL JABARAN, WATESARI, BALONGBENDO, SIDOARJO, JAWA TIMUR</v>
      </c>
      <c r="W143" s="211" t="str">
        <f>IFERROR(__xludf.DUMMYFUNCTION("""COMPUTED_VALUE"""),"OUT")</f>
        <v>OUT</v>
      </c>
      <c r="X143" s="211"/>
      <c r="Z143" s="211" t="str">
        <f>IFERROR(__xludf.DUMMYFUNCTION("""COMPUTED_VALUE"""),"0326922777")</f>
        <v>0326922777</v>
      </c>
      <c r="AC143" s="211"/>
      <c r="AD143" s="211"/>
      <c r="AE143" s="211"/>
      <c r="AF143" s="211"/>
      <c r="AG143" s="211"/>
      <c r="AH143" s="211"/>
      <c r="AI143" s="211"/>
      <c r="AJ143" s="211"/>
      <c r="AL143" s="211" t="str">
        <f>IFERROR(__xludf.DUMMYFUNCTION("""COMPUTED_VALUE"""),"2250162")</f>
        <v>2250162</v>
      </c>
      <c r="AM143" s="211" t="str">
        <f>IFERROR(__xludf.DUMMYFUNCTION("""COMPUTED_VALUE"""),"122561916")</f>
        <v>122561916</v>
      </c>
      <c r="AN143" s="211" t="str">
        <f>IFERROR(__xludf.DUMMYFUNCTION("""COMPUTED_VALUE"""),"63fc688a")</f>
        <v>63fc688a</v>
      </c>
      <c r="AO143" s="211" t="str">
        <f>IFERROR(__xludf.DUMMYFUNCTION("""COMPUTED_VALUE"""),"CV Malik Nusantara")</f>
        <v>CV Malik Nusantara</v>
      </c>
      <c r="AP143" s="215">
        <f>IFERROR(__xludf.DUMMYFUNCTION("""COMPUTED_VALUE"""),46021.62006944444)</f>
        <v>46021.62007</v>
      </c>
      <c r="AQ143" s="218">
        <f>IFERROR(__xludf.DUMMYFUNCTION("""COMPUTED_VALUE"""),45999.0)</f>
        <v>45999</v>
      </c>
      <c r="AR143" s="211"/>
      <c r="AS143" s="211"/>
      <c r="AT143" s="211"/>
      <c r="AU143" s="211"/>
      <c r="AV143" s="211"/>
      <c r="AW143" s="211"/>
      <c r="AX143" s="211"/>
      <c r="AY143" s="211"/>
      <c r="AZ143" s="211"/>
      <c r="BB143" s="211"/>
      <c r="BC143" s="211"/>
      <c r="BD143" s="211"/>
      <c r="BE143" s="211"/>
      <c r="BF143" s="211"/>
      <c r="BG143" s="211"/>
      <c r="BH143" s="211"/>
      <c r="BI143" s="211"/>
    </row>
    <row r="144">
      <c r="A144" s="210" t="str">
        <f>IFERROR(__xludf.DUMMYFUNCTION("""COMPUTED_VALUE"""),"10240066")</f>
        <v>10240066</v>
      </c>
      <c r="B144" s="210" t="str">
        <f>IFERROR(__xludf.DUMMYFUNCTION("""COMPUTED_VALUE"""),"10240066")</f>
        <v>10240066</v>
      </c>
      <c r="C144" s="213">
        <f>IFERROR(__xludf.DUMMYFUNCTION("""COMPUTED_VALUE"""),45595.459189814814)</f>
        <v>45595.45919</v>
      </c>
      <c r="D144" s="211" t="str">
        <f>IFERROR(__xludf.DUMMYFUNCTION("""COMPUTED_VALUE"""),"f8335a53")</f>
        <v>f8335a53</v>
      </c>
      <c r="E144" s="211" t="str">
        <f>IFERROR(__xludf.DUMMYFUNCTION("""COMPUTED_VALUE"""),"CV RAGAM JAYA ENGINEERING")</f>
        <v>CV RAGAM JAYA ENGINEERING</v>
      </c>
      <c r="F144" s="211" t="str">
        <f>IFERROR(__xludf.DUMMYFUNCTION("""COMPUTED_VALUE"""),"8bdbe149")</f>
        <v>8bdbe149</v>
      </c>
      <c r="G144" s="211" t="str">
        <f>IFERROR(__xludf.DUMMYFUNCTION("""COMPUTED_VALUE"""),"Oksigen 6m3")</f>
        <v>Oksigen 6m3</v>
      </c>
      <c r="H144" s="214" t="str">
        <f>IFERROR(__xludf.DUMMYFUNCTION("""COMPUTED_VALUE"""),"OUT")</f>
        <v>OUT</v>
      </c>
      <c r="I144" s="214" t="str">
        <f>IFERROR(__xludf.DUMMYFUNCTION("""COMPUTED_VALUE"""),"NORMAL")</f>
        <v>NORMAL</v>
      </c>
      <c r="J144" s="211">
        <f>IFERROR(__xludf.DUMMYFUNCTION("""COMPUTED_VALUE"""),5.0)</f>
        <v>5</v>
      </c>
      <c r="K144" s="210" t="str">
        <f>IFERROR(__xludf.DUMMYFUNCTION("""COMPUTED_VALUE"""),"1169 1163 1101 1186 1152")</f>
        <v>1169 1163 1101 1186 1152</v>
      </c>
      <c r="L144" s="211">
        <f>IFERROR(__xludf.DUMMYFUNCTION("""COMPUTED_VALUE"""),60000.0)</f>
        <v>60000</v>
      </c>
      <c r="M144" s="211"/>
      <c r="N144" s="211"/>
      <c r="O144" s="211"/>
      <c r="Q144" s="210" t="str">
        <f>IFERROR(__xludf.DUMMYFUNCTION("""COMPUTED_VALUE"""),"9e5d6636")</f>
        <v>9e5d6636</v>
      </c>
      <c r="R144" s="210" t="str">
        <f>IFERROR(__xludf.DUMMYFUNCTION("""COMPUTED_VALUE"""),"9e5d6636")</f>
        <v>9e5d6636</v>
      </c>
      <c r="S144" s="211" t="str">
        <f>IFERROR(__xludf.DUMMYFUNCTION("""COMPUTED_VALUE"""),"2d88931c")</f>
        <v>2d88931c</v>
      </c>
      <c r="T144" s="211" t="str">
        <f>IFERROR(__xludf.DUMMYFUNCTION("""COMPUTED_VALUE"""),"PT Dunia Berkat Marga Mulya")</f>
        <v>PT Dunia Berkat Marga Mulya</v>
      </c>
      <c r="U144" s="215">
        <f>IFERROR(__xludf.DUMMYFUNCTION("""COMPUTED_VALUE"""),45607.64891203704)</f>
        <v>45607.64891</v>
      </c>
      <c r="V144" s="211" t="str">
        <f>IFERROR(__xludf.DUMMYFUNCTION("""COMPUTED_VALUE"""),"JL JABARAN, WATESARI, BALONGBENDO, SIDOARJO, JAWA TIMUR")</f>
        <v>JL JABARAN, WATESARI, BALONGBENDO, SIDOARJO, JAWA TIMUR</v>
      </c>
      <c r="W144" s="211" t="str">
        <f>IFERROR(__xludf.DUMMYFUNCTION("""COMPUTED_VALUE"""),"IN")</f>
        <v>IN</v>
      </c>
      <c r="X144" s="211"/>
      <c r="Z144" s="211" t="str">
        <f>IFERROR(__xludf.DUMMYFUNCTION("""COMPUTED_VALUE"""),"032672770")</f>
        <v>032672770</v>
      </c>
      <c r="AC144" s="211"/>
      <c r="AD144" s="211"/>
      <c r="AE144" s="211"/>
      <c r="AF144" s="211"/>
      <c r="AG144" s="211"/>
      <c r="AH144" s="211"/>
      <c r="AI144" s="211"/>
      <c r="AJ144" s="211"/>
      <c r="AL144" s="211" t="str">
        <f>IFERROR(__xludf.DUMMYFUNCTION("""COMPUTED_VALUE"""),"2250162")</f>
        <v>2250162</v>
      </c>
      <c r="AM144" s="211" t="str">
        <f>IFERROR(__xludf.DUMMYFUNCTION("""COMPUTED_VALUE"""),"122572002")</f>
        <v>122572002</v>
      </c>
      <c r="AN144" s="211" t="str">
        <f>IFERROR(__xludf.DUMMYFUNCTION("""COMPUTED_VALUE"""),"63fc688a")</f>
        <v>63fc688a</v>
      </c>
      <c r="AO144" s="211" t="str">
        <f>IFERROR(__xludf.DUMMYFUNCTION("""COMPUTED_VALUE"""),"CV Malik Nusantara")</f>
        <v>CV Malik Nusantara</v>
      </c>
      <c r="AP144" s="215">
        <f>IFERROR(__xludf.DUMMYFUNCTION("""COMPUTED_VALUE"""),46021.62006944444)</f>
        <v>46021.62007</v>
      </c>
      <c r="AQ144" s="218">
        <f>IFERROR(__xludf.DUMMYFUNCTION("""COMPUTED_VALUE"""),46007.0)</f>
        <v>46007</v>
      </c>
      <c r="AR144" s="211"/>
      <c r="AS144" s="211"/>
      <c r="AT144" s="211"/>
      <c r="AU144" s="211"/>
      <c r="AV144" s="211"/>
      <c r="AW144" s="211"/>
      <c r="AX144" s="211"/>
      <c r="AY144" s="211"/>
      <c r="AZ144" s="211"/>
      <c r="BB144" s="211"/>
      <c r="BC144" s="211"/>
      <c r="BD144" s="211"/>
      <c r="BE144" s="211"/>
      <c r="BF144" s="211"/>
      <c r="BG144" s="211"/>
      <c r="BH144" s="211"/>
      <c r="BI144" s="211"/>
    </row>
    <row r="145">
      <c r="A145" s="210" t="str">
        <f>IFERROR(__xludf.DUMMYFUNCTION("""COMPUTED_VALUE"""),"10240066")</f>
        <v>10240066</v>
      </c>
      <c r="B145" s="210" t="str">
        <f>IFERROR(__xludf.DUMMYFUNCTION("""COMPUTED_VALUE"""),"10240066")</f>
        <v>10240066</v>
      </c>
      <c r="C145" s="213">
        <f>IFERROR(__xludf.DUMMYFUNCTION("""COMPUTED_VALUE"""),45595.459965277776)</f>
        <v>45595.45997</v>
      </c>
      <c r="D145" s="211" t="str">
        <f>IFERROR(__xludf.DUMMYFUNCTION("""COMPUTED_VALUE"""),"f8335a53")</f>
        <v>f8335a53</v>
      </c>
      <c r="E145" s="211" t="str">
        <f>IFERROR(__xludf.DUMMYFUNCTION("""COMPUTED_VALUE"""),"CV RAGAM JAYA ENGINEERING")</f>
        <v>CV RAGAM JAYA ENGINEERING</v>
      </c>
      <c r="F145" s="211" t="str">
        <f>IFERROR(__xludf.DUMMYFUNCTION("""COMPUTED_VALUE"""),"ef306e54")</f>
        <v>ef306e54</v>
      </c>
      <c r="G145" s="211" t="str">
        <f>IFERROR(__xludf.DUMMYFUNCTION("""COMPUTED_VALUE"""),"Karbondioksida")</f>
        <v>Karbondioksida</v>
      </c>
      <c r="H145" s="214" t="str">
        <f>IFERROR(__xludf.DUMMYFUNCTION("""COMPUTED_VALUE"""),"OUT")</f>
        <v>OUT</v>
      </c>
      <c r="I145" s="214" t="str">
        <f>IFERROR(__xludf.DUMMYFUNCTION("""COMPUTED_VALUE"""),"NORMAL")</f>
        <v>NORMAL</v>
      </c>
      <c r="J145" s="211">
        <f>IFERROR(__xludf.DUMMYFUNCTION("""COMPUTED_VALUE"""),5.0)</f>
        <v>5</v>
      </c>
      <c r="K145" s="210" t="str">
        <f>IFERROR(__xludf.DUMMYFUNCTION("""COMPUTED_VALUE"""),"6808 6903 6872 6894 6871")</f>
        <v>6808 6903 6872 6894 6871</v>
      </c>
      <c r="L145" s="211">
        <f>IFERROR(__xludf.DUMMYFUNCTION("""COMPUTED_VALUE"""),160000.0)</f>
        <v>160000</v>
      </c>
      <c r="M145" s="211"/>
      <c r="N145" s="211"/>
      <c r="O145" s="211"/>
      <c r="Q145" s="210" t="str">
        <f>IFERROR(__xludf.DUMMYFUNCTION("""COMPUTED_VALUE"""),"93d1698e")</f>
        <v>93d1698e</v>
      </c>
      <c r="R145" s="210" t="str">
        <f>IFERROR(__xludf.DUMMYFUNCTION("""COMPUTED_VALUE"""),"93d1698e")</f>
        <v>93d1698e</v>
      </c>
      <c r="S145" s="211" t="str">
        <f>IFERROR(__xludf.DUMMYFUNCTION("""COMPUTED_VALUE"""),"72d9a70c")</f>
        <v>72d9a70c</v>
      </c>
      <c r="T145" s="211" t="str">
        <f>IFERROR(__xludf.DUMMYFUNCTION("""COMPUTED_VALUE"""),"PT Beton Prima Indonesia")</f>
        <v>PT Beton Prima Indonesia</v>
      </c>
      <c r="U145" s="215">
        <f>IFERROR(__xludf.DUMMYFUNCTION("""COMPUTED_VALUE"""),45607.649305555555)</f>
        <v>45607.64931</v>
      </c>
      <c r="V145" s="211" t="str">
        <f>IFERROR(__xludf.DUMMYFUNCTION("""COMPUTED_VALUE"""),"KH. Ahmad Dahlan KM.2 Ds. Sumberwono, Kec. Bangsal, Kab. Mojokerto 61381")</f>
        <v>KH. Ahmad Dahlan KM.2 Ds. Sumberwono, Kec. Bangsal, Kab. Mojokerto 61381</v>
      </c>
      <c r="W145" s="211" t="str">
        <f>IFERROR(__xludf.DUMMYFUNCTION("""COMPUTED_VALUE"""),"IN")</f>
        <v>IN</v>
      </c>
      <c r="X145" s="211"/>
      <c r="Z145" s="211" t="str">
        <f>IFERROR(__xludf.DUMMYFUNCTION("""COMPUTED_VALUE"""),"0326112769")</f>
        <v>0326112769</v>
      </c>
      <c r="AC145" s="211"/>
      <c r="AD145" s="211"/>
      <c r="AE145" s="211"/>
      <c r="AF145" s="211"/>
      <c r="AG145" s="211"/>
      <c r="AH145" s="211"/>
      <c r="AI145" s="211"/>
      <c r="AJ145" s="211"/>
      <c r="AL145" s="211" t="str">
        <f>IFERROR(__xludf.DUMMYFUNCTION("""COMPUTED_VALUE"""),"2250162")</f>
        <v>2250162</v>
      </c>
      <c r="AM145" s="211" t="str">
        <f>IFERROR(__xludf.DUMMYFUNCTION("""COMPUTED_VALUE"""),"122582032")</f>
        <v>122582032</v>
      </c>
      <c r="AN145" s="211" t="str">
        <f>IFERROR(__xludf.DUMMYFUNCTION("""COMPUTED_VALUE"""),"63fc688a")</f>
        <v>63fc688a</v>
      </c>
      <c r="AO145" s="211" t="str">
        <f>IFERROR(__xludf.DUMMYFUNCTION("""COMPUTED_VALUE"""),"CV Malik Nusantara")</f>
        <v>CV Malik Nusantara</v>
      </c>
      <c r="AP145" s="215">
        <f>IFERROR(__xludf.DUMMYFUNCTION("""COMPUTED_VALUE"""),46021.62006944444)</f>
        <v>46021.62007</v>
      </c>
      <c r="AQ145" s="218">
        <f>IFERROR(__xludf.DUMMYFUNCTION("""COMPUTED_VALUE"""),46010.0)</f>
        <v>46010</v>
      </c>
      <c r="AR145" s="211"/>
      <c r="AS145" s="211"/>
      <c r="AT145" s="211"/>
      <c r="AU145" s="211"/>
      <c r="AV145" s="211"/>
      <c r="AW145" s="211"/>
      <c r="AX145" s="211"/>
      <c r="AY145" s="211"/>
      <c r="AZ145" s="211"/>
      <c r="BB145" s="211"/>
      <c r="BC145" s="211"/>
      <c r="BD145" s="211"/>
      <c r="BE145" s="211"/>
      <c r="BF145" s="211"/>
      <c r="BG145" s="211"/>
      <c r="BH145" s="211"/>
      <c r="BI145" s="211"/>
    </row>
    <row r="146">
      <c r="A146" s="210" t="str">
        <f>IFERROR(__xludf.DUMMYFUNCTION("""COMPUTED_VALUE"""),"10240068")</f>
        <v>10240068</v>
      </c>
      <c r="B146" s="210" t="str">
        <f>IFERROR(__xludf.DUMMYFUNCTION("""COMPUTED_VALUE"""),"10240068")</f>
        <v>10240068</v>
      </c>
      <c r="C146" s="213">
        <f>IFERROR(__xludf.DUMMYFUNCTION("""COMPUTED_VALUE"""),45595.54305555556)</f>
        <v>45595.54306</v>
      </c>
      <c r="D146" s="211" t="str">
        <f>IFERROR(__xludf.DUMMYFUNCTION("""COMPUTED_VALUE"""),"72d9a70c")</f>
        <v>72d9a70c</v>
      </c>
      <c r="E146" s="211" t="str">
        <f>IFERROR(__xludf.DUMMYFUNCTION("""COMPUTED_VALUE"""),"PT Beton Prima Indonesia")</f>
        <v>PT Beton Prima Indonesia</v>
      </c>
      <c r="F146" s="211" t="str">
        <f>IFERROR(__xludf.DUMMYFUNCTION("""COMPUTED_VALUE"""),"3b9d6a30")</f>
        <v>3b9d6a30</v>
      </c>
      <c r="G146" s="211" t="str">
        <f>IFERROR(__xludf.DUMMYFUNCTION("""COMPUTED_VALUE"""),"Acetyline")</f>
        <v>Acetyline</v>
      </c>
      <c r="H146" s="214" t="str">
        <f>IFERROR(__xludf.DUMMYFUNCTION("""COMPUTED_VALUE"""),"OUT")</f>
        <v>OUT</v>
      </c>
      <c r="I146" s="214" t="str">
        <f>IFERROR(__xludf.DUMMYFUNCTION("""COMPUTED_VALUE"""),"NORMAL")</f>
        <v>NORMAL</v>
      </c>
      <c r="J146" s="211">
        <f>IFERROR(__xludf.DUMMYFUNCTION("""COMPUTED_VALUE"""),11.0)</f>
        <v>11</v>
      </c>
      <c r="K146" s="210" t="str">
        <f>IFERROR(__xludf.DUMMYFUNCTION("""COMPUTED_VALUE"""),"7956 7941 7984 7934 7983 7979 7924 7953 7902 7962 6957")</f>
        <v>7956 7941 7984 7934 7983 7979 7924 7953 7902 7962 6957</v>
      </c>
      <c r="L146" s="211">
        <f>IFERROR(__xludf.DUMMYFUNCTION("""COMPUTED_VALUE"""),360360.3604)</f>
        <v>360360.3604</v>
      </c>
      <c r="M146" s="211"/>
      <c r="N146" s="211"/>
      <c r="O146" s="211"/>
      <c r="Q146" s="210" t="str">
        <f>IFERROR(__xludf.DUMMYFUNCTION("""COMPUTED_VALUE"""),"11240095")</f>
        <v>11240095</v>
      </c>
      <c r="R146" s="210" t="str">
        <f>IFERROR(__xludf.DUMMYFUNCTION("""COMPUTED_VALUE"""),"11240095")</f>
        <v>11240095</v>
      </c>
      <c r="S146" s="211" t="str">
        <f>IFERROR(__xludf.DUMMYFUNCTION("""COMPUTED_VALUE"""),"37175874")</f>
        <v>37175874</v>
      </c>
      <c r="T146" s="211" t="str">
        <f>IFERROR(__xludf.DUMMYFUNCTION("""COMPUTED_VALUE"""),"PT TERAPAN NILAIOSILASI INDONESIA (TENO)")</f>
        <v>PT TERAPAN NILAIOSILASI INDONESIA (TENO)</v>
      </c>
      <c r="U146" s="215">
        <f>IFERROR(__xludf.DUMMYFUNCTION("""COMPUTED_VALUE"""),45608.3875)</f>
        <v>45608.3875</v>
      </c>
      <c r="V146" s="211" t="str">
        <f>IFERROR(__xludf.DUMMYFUNCTION("""COMPUTED_VALUE"""),"JL Raya Kertajaya Indah 153 / P116, Gebang Putih, Sukokilo, Kota Surabaya, Jawa Timur")</f>
        <v>JL Raya Kertajaya Indah 153 / P116, Gebang Putih, Sukokilo, Kota Surabaya, Jawa Timur</v>
      </c>
      <c r="W146" s="211" t="str">
        <f>IFERROR(__xludf.DUMMYFUNCTION("""COMPUTED_VALUE"""),"OUT")</f>
        <v>OUT</v>
      </c>
      <c r="X146" s="211"/>
      <c r="Z146" s="211" t="str">
        <f>IFERROR(__xludf.DUMMYFUNCTION("""COMPUTED_VALUE"""),"0326272767")</f>
        <v>0326272767</v>
      </c>
      <c r="AC146" s="211"/>
      <c r="AD146" s="211"/>
      <c r="AE146" s="211"/>
      <c r="AF146" s="211"/>
      <c r="AG146" s="211"/>
      <c r="AH146" s="211"/>
      <c r="AI146" s="211"/>
      <c r="AJ146" s="211"/>
      <c r="AL146" s="211" t="str">
        <f>IFERROR(__xludf.DUMMYFUNCTION("""COMPUTED_VALUE"""),"2250162")</f>
        <v>2250162</v>
      </c>
      <c r="AM146" s="211" t="str">
        <f>IFERROR(__xludf.DUMMYFUNCTION("""COMPUTED_VALUE"""),"122592066")</f>
        <v>122592066</v>
      </c>
      <c r="AN146" s="211" t="str">
        <f>IFERROR(__xludf.DUMMYFUNCTION("""COMPUTED_VALUE"""),"63fc688a")</f>
        <v>63fc688a</v>
      </c>
      <c r="AO146" s="211" t="str">
        <f>IFERROR(__xludf.DUMMYFUNCTION("""COMPUTED_VALUE"""),"CV Malik Nusantara")</f>
        <v>CV Malik Nusantara</v>
      </c>
      <c r="AP146" s="215">
        <f>IFERROR(__xludf.DUMMYFUNCTION("""COMPUTED_VALUE"""),46021.62006944444)</f>
        <v>46021.62007</v>
      </c>
      <c r="AQ146" s="218">
        <f>IFERROR(__xludf.DUMMYFUNCTION("""COMPUTED_VALUE"""),46014.0)</f>
        <v>46014</v>
      </c>
      <c r="AR146" s="211"/>
      <c r="AS146" s="211"/>
      <c r="AT146" s="211"/>
      <c r="AU146" s="211"/>
      <c r="AV146" s="211"/>
      <c r="AW146" s="211"/>
      <c r="AX146" s="211"/>
      <c r="AY146" s="211"/>
      <c r="AZ146" s="211"/>
      <c r="BB146" s="211"/>
      <c r="BC146" s="211"/>
      <c r="BD146" s="211"/>
      <c r="BE146" s="211"/>
      <c r="BF146" s="211"/>
      <c r="BG146" s="211"/>
      <c r="BH146" s="211"/>
      <c r="BI146" s="211"/>
    </row>
    <row r="147">
      <c r="A147" s="210" t="str">
        <f>IFERROR(__xludf.DUMMYFUNCTION("""COMPUTED_VALUE"""),"10240069")</f>
        <v>10240069</v>
      </c>
      <c r="B147" s="210" t="str">
        <f>IFERROR(__xludf.DUMMYFUNCTION("""COMPUTED_VALUE"""),"10240069")</f>
        <v>10240069</v>
      </c>
      <c r="C147" s="213">
        <f>IFERROR(__xludf.DUMMYFUNCTION("""COMPUTED_VALUE"""),45595.565254629626)</f>
        <v>45595.56525</v>
      </c>
      <c r="D147" s="211" t="str">
        <f>IFERROR(__xludf.DUMMYFUNCTION("""COMPUTED_VALUE"""),"182fb0fe")</f>
        <v>182fb0fe</v>
      </c>
      <c r="E147" s="211" t="str">
        <f>IFERROR(__xludf.DUMMYFUNCTION("""COMPUTED_VALUE"""),"PT Amtech")</f>
        <v>PT Amtech</v>
      </c>
      <c r="F147" s="211" t="str">
        <f>IFERROR(__xludf.DUMMYFUNCTION("""COMPUTED_VALUE"""),"66af7c72")</f>
        <v>66af7c72</v>
      </c>
      <c r="G147" s="211" t="str">
        <f>IFERROR(__xludf.DUMMYFUNCTION("""COMPUTED_VALUE"""),"Argon 6m3")</f>
        <v>Argon 6m3</v>
      </c>
      <c r="H147" s="214" t="str">
        <f>IFERROR(__xludf.DUMMYFUNCTION("""COMPUTED_VALUE"""),"OUT")</f>
        <v>OUT</v>
      </c>
      <c r="I147" s="214" t="str">
        <f>IFERROR(__xludf.DUMMYFUNCTION("""COMPUTED_VALUE"""),"NORMAL")</f>
        <v>NORMAL</v>
      </c>
      <c r="J147" s="211">
        <f>IFERROR(__xludf.DUMMYFUNCTION("""COMPUTED_VALUE"""),1.0)</f>
        <v>1</v>
      </c>
      <c r="K147" s="210" t="str">
        <f>IFERROR(__xludf.DUMMYFUNCTION("""COMPUTED_VALUE"""),"12005")</f>
        <v>12005</v>
      </c>
      <c r="L147" s="211">
        <f>IFERROR(__xludf.DUMMYFUNCTION("""COMPUTED_VALUE"""),190000.0)</f>
        <v>190000</v>
      </c>
      <c r="M147" s="211"/>
      <c r="N147" s="211"/>
      <c r="O147" s="211"/>
      <c r="Q147" s="210" t="str">
        <f>IFERROR(__xludf.DUMMYFUNCTION("""COMPUTED_VALUE"""),"cfecd342")</f>
        <v>cfecd342</v>
      </c>
      <c r="R147" s="210" t="str">
        <f>IFERROR(__xludf.DUMMYFUNCTION("""COMPUTED_VALUE"""),"cfecd342")</f>
        <v>cfecd342</v>
      </c>
      <c r="S147" s="211" t="str">
        <f>IFERROR(__xludf.DUMMYFUNCTION("""COMPUTED_VALUE"""),"37175874")</f>
        <v>37175874</v>
      </c>
      <c r="T147" s="211" t="str">
        <f>IFERROR(__xludf.DUMMYFUNCTION("""COMPUTED_VALUE"""),"PT TERAPAN NILAIOSILASI INDONESIA (TENO)")</f>
        <v>PT TERAPAN NILAIOSILASI INDONESIA (TENO)</v>
      </c>
      <c r="U147" s="215">
        <f>IFERROR(__xludf.DUMMYFUNCTION("""COMPUTED_VALUE"""),45608.424942129626)</f>
        <v>45608.42494</v>
      </c>
      <c r="V147" s="211" t="str">
        <f>IFERROR(__xludf.DUMMYFUNCTION("""COMPUTED_VALUE"""),"JL Raya Kertajaya Indah 153 / P116, Gebang Putih, Sukokilo, Kota Surabaya, Jawa Timur")</f>
        <v>JL Raya Kertajaya Indah 153 / P116, Gebang Putih, Sukokilo, Kota Surabaya, Jawa Timur</v>
      </c>
      <c r="W147" s="211" t="str">
        <f>IFERROR(__xludf.DUMMYFUNCTION("""COMPUTED_VALUE"""),"IN")</f>
        <v>IN</v>
      </c>
      <c r="X147" s="211"/>
      <c r="Z147" s="211" t="str">
        <f>IFERROR(__xludf.DUMMYFUNCTION("""COMPUTED_VALUE"""),"0326102765")</f>
        <v>0326102765</v>
      </c>
      <c r="AC147" s="211"/>
      <c r="AD147" s="211"/>
      <c r="AE147" s="211"/>
      <c r="AF147" s="211"/>
      <c r="AG147" s="211"/>
      <c r="AH147" s="211"/>
      <c r="AI147" s="211"/>
      <c r="AJ147" s="211"/>
      <c r="AL147" s="211" t="str">
        <f>IFERROR(__xludf.DUMMYFUNCTION("""COMPUTED_VALUE"""),"2250162")</f>
        <v>2250162</v>
      </c>
      <c r="AM147" s="211" t="str">
        <f>IFERROR(__xludf.DUMMYFUNCTION("""COMPUTED_VALUE"""),"1225102087")</f>
        <v>1225102087</v>
      </c>
      <c r="AN147" s="211" t="str">
        <f>IFERROR(__xludf.DUMMYFUNCTION("""COMPUTED_VALUE"""),"63fc688a")</f>
        <v>63fc688a</v>
      </c>
      <c r="AO147" s="211" t="str">
        <f>IFERROR(__xludf.DUMMYFUNCTION("""COMPUTED_VALUE"""),"CV Malik Nusantara")</f>
        <v>CV Malik Nusantara</v>
      </c>
      <c r="AP147" s="215">
        <f>IFERROR(__xludf.DUMMYFUNCTION("""COMPUTED_VALUE"""),46021.62006944444)</f>
        <v>46021.62007</v>
      </c>
      <c r="AQ147" s="218">
        <f>IFERROR(__xludf.DUMMYFUNCTION("""COMPUTED_VALUE"""),46017.0)</f>
        <v>46017</v>
      </c>
      <c r="AR147" s="211"/>
      <c r="AS147" s="211"/>
      <c r="AT147" s="211"/>
      <c r="AU147" s="211"/>
      <c r="AV147" s="211"/>
      <c r="AW147" s="211"/>
      <c r="AX147" s="211"/>
      <c r="AY147" s="211"/>
      <c r="AZ147" s="211"/>
      <c r="BB147" s="211"/>
      <c r="BC147" s="211"/>
      <c r="BD147" s="211"/>
      <c r="BE147" s="211"/>
      <c r="BF147" s="211"/>
      <c r="BG147" s="211"/>
      <c r="BH147" s="211"/>
      <c r="BI147" s="211"/>
    </row>
    <row r="148">
      <c r="A148" s="210" t="str">
        <f>IFERROR(__xludf.DUMMYFUNCTION("""COMPUTED_VALUE"""),"b418f1d7")</f>
        <v>b418f1d7</v>
      </c>
      <c r="B148" s="210" t="str">
        <f>IFERROR(__xludf.DUMMYFUNCTION("""COMPUTED_VALUE"""),"b418f1d7")</f>
        <v>b418f1d7</v>
      </c>
      <c r="C148" s="213">
        <f>IFERROR(__xludf.DUMMYFUNCTION("""COMPUTED_VALUE"""),45595.61206018519)</f>
        <v>45595.61206</v>
      </c>
      <c r="D148" s="211" t="str">
        <f>IFERROR(__xludf.DUMMYFUNCTION("""COMPUTED_VALUE"""),"f8335a53")</f>
        <v>f8335a53</v>
      </c>
      <c r="E148" s="211" t="str">
        <f>IFERROR(__xludf.DUMMYFUNCTION("""COMPUTED_VALUE"""),"CV RAGAM JAYA ENGINEERING")</f>
        <v>CV RAGAM JAYA ENGINEERING</v>
      </c>
      <c r="F148" s="211" t="str">
        <f>IFERROR(__xludf.DUMMYFUNCTION("""COMPUTED_VALUE"""),"ef306e54")</f>
        <v>ef306e54</v>
      </c>
      <c r="G148" s="211" t="str">
        <f>IFERROR(__xludf.DUMMYFUNCTION("""COMPUTED_VALUE"""),"Karbondioksida")</f>
        <v>Karbondioksida</v>
      </c>
      <c r="H148" s="214" t="str">
        <f>IFERROR(__xludf.DUMMYFUNCTION("""COMPUTED_VALUE"""),"IN")</f>
        <v>IN</v>
      </c>
      <c r="I148" s="214" t="str">
        <f>IFERROR(__xludf.DUMMYFUNCTION("""COMPUTED_VALUE"""),"EMPTY")</f>
        <v>EMPTY</v>
      </c>
      <c r="J148" s="211">
        <f>IFERROR(__xludf.DUMMYFUNCTION("""COMPUTED_VALUE"""),4.0)</f>
        <v>4</v>
      </c>
      <c r="K148" s="210" t="str">
        <f>IFERROR(__xludf.DUMMYFUNCTION("""COMPUTED_VALUE"""),"6626 6820 6639 6703")</f>
        <v>6626 6820 6639 6703</v>
      </c>
      <c r="L148" s="211"/>
      <c r="M148" s="211"/>
      <c r="N148" s="211"/>
      <c r="O148" s="211"/>
      <c r="Q148" s="210" t="str">
        <f>IFERROR(__xludf.DUMMYFUNCTION("""COMPUTED_VALUE"""),"11240096")</f>
        <v>11240096</v>
      </c>
      <c r="R148" s="210" t="str">
        <f>IFERROR(__xludf.DUMMYFUNCTION("""COMPUTED_VALUE"""),"11240096")</f>
        <v>11240096</v>
      </c>
      <c r="S148" s="211" t="str">
        <f>IFERROR(__xludf.DUMMYFUNCTION("""COMPUTED_VALUE"""),"72d9a70c")</f>
        <v>72d9a70c</v>
      </c>
      <c r="T148" s="211" t="str">
        <f>IFERROR(__xludf.DUMMYFUNCTION("""COMPUTED_VALUE"""),"PT Beton Prima Indonesia")</f>
        <v>PT Beton Prima Indonesia</v>
      </c>
      <c r="U148" s="215">
        <f>IFERROR(__xludf.DUMMYFUNCTION("""COMPUTED_VALUE"""),45609.634722222225)</f>
        <v>45609.63472</v>
      </c>
      <c r="V148" s="211" t="str">
        <f>IFERROR(__xludf.DUMMYFUNCTION("""COMPUTED_VALUE"""),"KH. Ahmad Dahlan KM.2 Ds. Sumberwono, Kec. Bangsal, Kab. Mojokerto 61381")</f>
        <v>KH. Ahmad Dahlan KM.2 Ds. Sumberwono, Kec. Bangsal, Kab. Mojokerto 61381</v>
      </c>
      <c r="W148" s="211" t="str">
        <f>IFERROR(__xludf.DUMMYFUNCTION("""COMPUTED_VALUE"""),"OUT")</f>
        <v>OUT</v>
      </c>
      <c r="X148" s="211"/>
      <c r="Z148" s="211" t="str">
        <f>IFERROR(__xludf.DUMMYFUNCTION("""COMPUTED_VALUE"""),"0326402764")</f>
        <v>0326402764</v>
      </c>
      <c r="AC148" s="211"/>
      <c r="AD148" s="211"/>
      <c r="AE148" s="211"/>
      <c r="AF148" s="211"/>
      <c r="AG148" s="211"/>
      <c r="AH148" s="211"/>
      <c r="AI148" s="211"/>
      <c r="AJ148" s="211"/>
      <c r="AL148" s="211" t="str">
        <f>IFERROR(__xludf.DUMMYFUNCTION("""COMPUTED_VALUE"""),"2250159")</f>
        <v>2250159</v>
      </c>
      <c r="AM148" s="211" t="str">
        <f>IFERROR(__xludf.DUMMYFUNCTION("""COMPUTED_VALUE"""),"112531815")</f>
        <v>112531815</v>
      </c>
      <c r="AN148" s="211" t="str">
        <f>IFERROR(__xludf.DUMMYFUNCTION("""COMPUTED_VALUE"""),"ba97d58d")</f>
        <v>ba97d58d</v>
      </c>
      <c r="AO148" s="211" t="str">
        <f>IFERROR(__xludf.DUMMYFUNCTION("""COMPUTED_VALUE"""),"Bengkel Citra Mojosari")</f>
        <v>Bengkel Citra Mojosari</v>
      </c>
      <c r="AP148" s="215">
        <f>IFERROR(__xludf.DUMMYFUNCTION("""COMPUTED_VALUE"""),46021.57486111111)</f>
        <v>46021.57486</v>
      </c>
      <c r="AQ148" s="218">
        <f>IFERROR(__xludf.DUMMYFUNCTION("""COMPUTED_VALUE"""),45986.0)</f>
        <v>45986</v>
      </c>
      <c r="AR148" s="211"/>
      <c r="AS148" s="211"/>
      <c r="AT148" s="211"/>
      <c r="AU148" s="211"/>
      <c r="AV148" s="211"/>
      <c r="AW148" s="211"/>
      <c r="AX148" s="211"/>
      <c r="AY148" s="211"/>
      <c r="AZ148" s="211"/>
      <c r="BB148" s="211"/>
      <c r="BC148" s="211"/>
      <c r="BD148" s="211"/>
      <c r="BE148" s="211"/>
      <c r="BF148" s="211"/>
      <c r="BG148" s="211"/>
      <c r="BH148" s="211"/>
      <c r="BI148" s="211"/>
    </row>
    <row r="149">
      <c r="A149" s="210" t="str">
        <f>IFERROR(__xludf.DUMMYFUNCTION("""COMPUTED_VALUE"""),"b418f1d7")</f>
        <v>b418f1d7</v>
      </c>
      <c r="B149" s="210" t="str">
        <f>IFERROR(__xludf.DUMMYFUNCTION("""COMPUTED_VALUE"""),"b418f1d7")</f>
        <v>b418f1d7</v>
      </c>
      <c r="C149" s="213">
        <f>IFERROR(__xludf.DUMMYFUNCTION("""COMPUTED_VALUE"""),45595.63523148148)</f>
        <v>45595.63523</v>
      </c>
      <c r="D149" s="211" t="str">
        <f>IFERROR(__xludf.DUMMYFUNCTION("""COMPUTED_VALUE"""),"f8335a53")</f>
        <v>f8335a53</v>
      </c>
      <c r="E149" s="211" t="str">
        <f>IFERROR(__xludf.DUMMYFUNCTION("""COMPUTED_VALUE"""),"CV RAGAM JAYA ENGINEERING")</f>
        <v>CV RAGAM JAYA ENGINEERING</v>
      </c>
      <c r="F149" s="211" t="str">
        <f>IFERROR(__xludf.DUMMYFUNCTION("""COMPUTED_VALUE"""),"8bdbe149")</f>
        <v>8bdbe149</v>
      </c>
      <c r="G149" s="211" t="str">
        <f>IFERROR(__xludf.DUMMYFUNCTION("""COMPUTED_VALUE"""),"Oksigen 6m3")</f>
        <v>Oksigen 6m3</v>
      </c>
      <c r="H149" s="214" t="str">
        <f>IFERROR(__xludf.DUMMYFUNCTION("""COMPUTED_VALUE"""),"IN")</f>
        <v>IN</v>
      </c>
      <c r="I149" s="214" t="str">
        <f>IFERROR(__xludf.DUMMYFUNCTION("""COMPUTED_VALUE"""),"EMPTY")</f>
        <v>EMPTY</v>
      </c>
      <c r="J149" s="211">
        <f>IFERROR(__xludf.DUMMYFUNCTION("""COMPUTED_VALUE"""),5.0)</f>
        <v>5</v>
      </c>
      <c r="K149" s="210" t="str">
        <f>IFERROR(__xludf.DUMMYFUNCTION("""COMPUTED_VALUE"""),"1112 1103 1126 1133 1130")</f>
        <v>1112 1103 1126 1133 1130</v>
      </c>
      <c r="L149" s="211"/>
      <c r="M149" s="211"/>
      <c r="N149" s="211"/>
      <c r="O149" s="211"/>
      <c r="Q149" s="210" t="str">
        <f>IFERROR(__xludf.DUMMYFUNCTION("""COMPUTED_VALUE"""),"6ef77537")</f>
        <v>6ef77537</v>
      </c>
      <c r="R149" s="210" t="str">
        <f>IFERROR(__xludf.DUMMYFUNCTION("""COMPUTED_VALUE"""),"6ef77537")</f>
        <v>6ef77537</v>
      </c>
      <c r="S149" s="211" t="str">
        <f>IFERROR(__xludf.DUMMYFUNCTION("""COMPUTED_VALUE"""),"e86baf3b")</f>
        <v>e86baf3b</v>
      </c>
      <c r="T149" s="211" t="str">
        <f>IFERROR(__xludf.DUMMYFUNCTION("""COMPUTED_VALUE"""),"PT GEMILANG CIPTA WAWASAN")</f>
        <v>PT GEMILANG CIPTA WAWASAN</v>
      </c>
      <c r="U149" s="215">
        <f>IFERROR(__xludf.DUMMYFUNCTION("""COMPUTED_VALUE"""),45609.44362268518)</f>
        <v>45609.44362</v>
      </c>
      <c r="V149" s="211" t="str">
        <f>IFERROR(__xludf.DUMMYFUNCTION("""COMPUTED_VALUE"""),"JL TEBET RAYA, 2A, TEBET BARAT, TEBET, KOTA ADM, JAKARTA SELATAN, DKI JAKARTA")</f>
        <v>JL TEBET RAYA, 2A, TEBET BARAT, TEBET, KOTA ADM, JAKARTA SELATAN, DKI JAKARTA</v>
      </c>
      <c r="W149" s="211" t="str">
        <f>IFERROR(__xludf.DUMMYFUNCTION("""COMPUTED_VALUE"""),"IN")</f>
        <v>IN</v>
      </c>
      <c r="X149" s="211"/>
      <c r="Z149" s="211" t="str">
        <f>IFERROR(__xludf.DUMMYFUNCTION("""COMPUTED_VALUE"""),"0326102763")</f>
        <v>0326102763</v>
      </c>
      <c r="AC149" s="211"/>
      <c r="AD149" s="211"/>
      <c r="AE149" s="211"/>
      <c r="AF149" s="211"/>
      <c r="AG149" s="211"/>
      <c r="AH149" s="211"/>
      <c r="AI149" s="211"/>
      <c r="AJ149" s="211"/>
      <c r="AL149" s="211" t="str">
        <f>IFERROR(__xludf.DUMMYFUNCTION("""COMPUTED_VALUE"""),"2250159")</f>
        <v>2250159</v>
      </c>
      <c r="AM149" s="211" t="str">
        <f>IFERROR(__xludf.DUMMYFUNCTION("""COMPUTED_VALUE"""),"122572018")</f>
        <v>122572018</v>
      </c>
      <c r="AN149" s="211" t="str">
        <f>IFERROR(__xludf.DUMMYFUNCTION("""COMPUTED_VALUE"""),"ba97d58d")</f>
        <v>ba97d58d</v>
      </c>
      <c r="AO149" s="211" t="str">
        <f>IFERROR(__xludf.DUMMYFUNCTION("""COMPUTED_VALUE"""),"Bengkel Citra Mojosari")</f>
        <v>Bengkel Citra Mojosari</v>
      </c>
      <c r="AP149" s="215">
        <f>IFERROR(__xludf.DUMMYFUNCTION("""COMPUTED_VALUE"""),46021.57486111111)</f>
        <v>46021.57486</v>
      </c>
      <c r="AQ149" s="218">
        <f>IFERROR(__xludf.DUMMYFUNCTION("""COMPUTED_VALUE"""),46009.0)</f>
        <v>46009</v>
      </c>
      <c r="AR149" s="211"/>
      <c r="AS149" s="211"/>
      <c r="AT149" s="211"/>
      <c r="AU149" s="211"/>
      <c r="AV149" s="211"/>
      <c r="AW149" s="211"/>
      <c r="AX149" s="211"/>
      <c r="AY149" s="211"/>
      <c r="AZ149" s="211"/>
      <c r="BB149" s="211"/>
      <c r="BC149" s="211"/>
      <c r="BD149" s="211"/>
      <c r="BE149" s="211"/>
      <c r="BF149" s="211"/>
      <c r="BG149" s="211"/>
      <c r="BH149" s="211"/>
      <c r="BI149" s="211"/>
    </row>
    <row r="150">
      <c r="A150" s="210" t="str">
        <f>IFERROR(__xludf.DUMMYFUNCTION("""COMPUTED_VALUE"""),"10240070")</f>
        <v>10240070</v>
      </c>
      <c r="B150" s="210" t="str">
        <f>IFERROR(__xludf.DUMMYFUNCTION("""COMPUTED_VALUE"""),"10240070")</f>
        <v>10240070</v>
      </c>
      <c r="C150" s="213">
        <f>IFERROR(__xludf.DUMMYFUNCTION("""COMPUTED_VALUE"""),45596.49217592592)</f>
        <v>45596.49218</v>
      </c>
      <c r="D150" s="211" t="str">
        <f>IFERROR(__xludf.DUMMYFUNCTION("""COMPUTED_VALUE"""),"8f5ebaea")</f>
        <v>8f5ebaea</v>
      </c>
      <c r="E150" s="211" t="str">
        <f>IFERROR(__xludf.DUMMYFUNCTION("""COMPUTED_VALUE"""),"PT Hua Zong Mesindo")</f>
        <v>PT Hua Zong Mesindo</v>
      </c>
      <c r="F150" s="211" t="str">
        <f>IFERROR(__xludf.DUMMYFUNCTION("""COMPUTED_VALUE"""),"8bdbe149")</f>
        <v>8bdbe149</v>
      </c>
      <c r="G150" s="211" t="str">
        <f>IFERROR(__xludf.DUMMYFUNCTION("""COMPUTED_VALUE"""),"Oksigen 6m3")</f>
        <v>Oksigen 6m3</v>
      </c>
      <c r="H150" s="214" t="str">
        <f>IFERROR(__xludf.DUMMYFUNCTION("""COMPUTED_VALUE"""),"OUT")</f>
        <v>OUT</v>
      </c>
      <c r="I150" s="214" t="str">
        <f>IFERROR(__xludf.DUMMYFUNCTION("""COMPUTED_VALUE"""),"NORMAL")</f>
        <v>NORMAL</v>
      </c>
      <c r="J150" s="211">
        <f>IFERROR(__xludf.DUMMYFUNCTION("""COMPUTED_VALUE"""),4.0)</f>
        <v>4</v>
      </c>
      <c r="K150" s="210" t="str">
        <f>IFERROR(__xludf.DUMMYFUNCTION("""COMPUTED_VALUE"""),"1126 1103 1133 1112")</f>
        <v>1126 1103 1133 1112</v>
      </c>
      <c r="L150" s="211">
        <f>IFERROR(__xludf.DUMMYFUNCTION("""COMPUTED_VALUE"""),60000.0)</f>
        <v>60000</v>
      </c>
      <c r="M150" s="211"/>
      <c r="N150" s="211"/>
      <c r="O150" s="211"/>
      <c r="Q150" s="210" t="str">
        <f>IFERROR(__xludf.DUMMYFUNCTION("""COMPUTED_VALUE"""),"11240097")</f>
        <v>11240097</v>
      </c>
      <c r="R150" s="210" t="str">
        <f>IFERROR(__xludf.DUMMYFUNCTION("""COMPUTED_VALUE"""),"11240097")</f>
        <v>11240097</v>
      </c>
      <c r="S150" s="211" t="str">
        <f>IFERROR(__xludf.DUMMYFUNCTION("""COMPUTED_VALUE"""),"785e0e07")</f>
        <v>785e0e07</v>
      </c>
      <c r="T150" s="211" t="str">
        <f>IFERROR(__xludf.DUMMYFUNCTION("""COMPUTED_VALUE"""),"Bpk. Sukirno (Bejo)")</f>
        <v>Bpk. Sukirno (Bejo)</v>
      </c>
      <c r="U150" s="215">
        <f>IFERROR(__xludf.DUMMYFUNCTION("""COMPUTED_VALUE"""),45610.585)</f>
        <v>45610.585</v>
      </c>
      <c r="V150" s="211" t="str">
        <f>IFERROR(__xludf.DUMMYFUNCTION("""COMPUTED_VALUE"""),"Krajan I, Wringinanom, Kec. Wringinanom, Kabupaten Gresik, Jawa Timur 61176")</f>
        <v>Krajan I, Wringinanom, Kec. Wringinanom, Kabupaten Gresik, Jawa Timur 61176</v>
      </c>
      <c r="W150" s="211" t="str">
        <f>IFERROR(__xludf.DUMMYFUNCTION("""COMPUTED_VALUE"""),"OUT")</f>
        <v>OUT</v>
      </c>
      <c r="X150" s="211"/>
      <c r="Z150" s="211" t="str">
        <f>IFERROR(__xludf.DUMMYFUNCTION("""COMPUTED_VALUE"""),"0326262756")</f>
        <v>0326262756</v>
      </c>
      <c r="AC150" s="211"/>
      <c r="AD150" s="211"/>
      <c r="AE150" s="211"/>
      <c r="AF150" s="211"/>
      <c r="AG150" s="211"/>
      <c r="AH150" s="211"/>
      <c r="AI150" s="211"/>
      <c r="AJ150" s="211"/>
      <c r="AL150" s="211" t="str">
        <f>IFERROR(__xludf.DUMMYFUNCTION("""COMPUTED_VALUE"""),"2250159")</f>
        <v>2250159</v>
      </c>
      <c r="AM150" s="211" t="str">
        <f>IFERROR(__xludf.DUMMYFUNCTION("""COMPUTED_VALUE"""),"122582089")</f>
        <v>122582089</v>
      </c>
      <c r="AN150" s="211" t="str">
        <f>IFERROR(__xludf.DUMMYFUNCTION("""COMPUTED_VALUE"""),"ba97d58d")</f>
        <v>ba97d58d</v>
      </c>
      <c r="AO150" s="211" t="str">
        <f>IFERROR(__xludf.DUMMYFUNCTION("""COMPUTED_VALUE"""),"Bengkel Citra Mojosari")</f>
        <v>Bengkel Citra Mojosari</v>
      </c>
      <c r="AP150" s="215">
        <f>IFERROR(__xludf.DUMMYFUNCTION("""COMPUTED_VALUE"""),46021.57486111111)</f>
        <v>46021.57486</v>
      </c>
      <c r="AQ150" s="218">
        <f>IFERROR(__xludf.DUMMYFUNCTION("""COMPUTED_VALUE"""),46017.0)</f>
        <v>46017</v>
      </c>
      <c r="AR150" s="211"/>
      <c r="AS150" s="211"/>
      <c r="AT150" s="211"/>
      <c r="AU150" s="211"/>
      <c r="AV150" s="211"/>
      <c r="AW150" s="211"/>
      <c r="AX150" s="211"/>
      <c r="AY150" s="211"/>
      <c r="AZ150" s="211"/>
      <c r="BB150" s="211"/>
      <c r="BC150" s="211"/>
      <c r="BD150" s="211"/>
      <c r="BE150" s="211"/>
      <c r="BF150" s="211"/>
      <c r="BG150" s="211"/>
      <c r="BH150" s="211"/>
      <c r="BI150" s="211"/>
    </row>
    <row r="151">
      <c r="A151" s="210" t="str">
        <f>IFERROR(__xludf.DUMMYFUNCTION("""COMPUTED_VALUE"""),"10240070")</f>
        <v>10240070</v>
      </c>
      <c r="B151" s="210" t="str">
        <f>IFERROR(__xludf.DUMMYFUNCTION("""COMPUTED_VALUE"""),"10240070")</f>
        <v>10240070</v>
      </c>
      <c r="C151" s="213">
        <f>IFERROR(__xludf.DUMMYFUNCTION("""COMPUTED_VALUE"""),45596.492476851854)</f>
        <v>45596.49248</v>
      </c>
      <c r="D151" s="211" t="str">
        <f>IFERROR(__xludf.DUMMYFUNCTION("""COMPUTED_VALUE"""),"8f5ebaea")</f>
        <v>8f5ebaea</v>
      </c>
      <c r="E151" s="211" t="str">
        <f>IFERROR(__xludf.DUMMYFUNCTION("""COMPUTED_VALUE"""),"PT Hua Zong Mesindo")</f>
        <v>PT Hua Zong Mesindo</v>
      </c>
      <c r="F151" s="211" t="str">
        <f>IFERROR(__xludf.DUMMYFUNCTION("""COMPUTED_VALUE"""),"66af7c72")</f>
        <v>66af7c72</v>
      </c>
      <c r="G151" s="211" t="str">
        <f>IFERROR(__xludf.DUMMYFUNCTION("""COMPUTED_VALUE"""),"Argon 6m3")</f>
        <v>Argon 6m3</v>
      </c>
      <c r="H151" s="214" t="str">
        <f>IFERROR(__xludf.DUMMYFUNCTION("""COMPUTED_VALUE"""),"OUT")</f>
        <v>OUT</v>
      </c>
      <c r="I151" s="214" t="str">
        <f>IFERROR(__xludf.DUMMYFUNCTION("""COMPUTED_VALUE"""),"NORMAL")</f>
        <v>NORMAL</v>
      </c>
      <c r="J151" s="211">
        <f>IFERROR(__xludf.DUMMYFUNCTION("""COMPUTED_VALUE"""),4.0)</f>
        <v>4</v>
      </c>
      <c r="K151" s="210" t="str">
        <f>IFERROR(__xludf.DUMMYFUNCTION("""COMPUTED_VALUE"""),"8194 8113 9050 8247")</f>
        <v>8194 8113 9050 8247</v>
      </c>
      <c r="L151" s="211">
        <f>IFERROR(__xludf.DUMMYFUNCTION("""COMPUTED_VALUE"""),190000.0)</f>
        <v>190000</v>
      </c>
      <c r="M151" s="211"/>
      <c r="N151" s="211"/>
      <c r="O151" s="211"/>
      <c r="Q151" s="210" t="str">
        <f>IFERROR(__xludf.DUMMYFUNCTION("""COMPUTED_VALUE"""),"11240099")</f>
        <v>11240099</v>
      </c>
      <c r="R151" s="210" t="str">
        <f>IFERROR(__xludf.DUMMYFUNCTION("""COMPUTED_VALUE"""),"11240099")</f>
        <v>11240099</v>
      </c>
      <c r="S151" s="211" t="str">
        <f>IFERROR(__xludf.DUMMYFUNCTION("""COMPUTED_VALUE"""),"c2f5a4a7")</f>
        <v>c2f5a4a7</v>
      </c>
      <c r="T151" s="211" t="str">
        <f>IFERROR(__xludf.DUMMYFUNCTION("""COMPUTED_VALUE"""),"UD Sumber Berlian")</f>
        <v>UD Sumber Berlian</v>
      </c>
      <c r="U151" s="215">
        <f>IFERROR(__xludf.DUMMYFUNCTION("""COMPUTED_VALUE"""),45609.65662037037)</f>
        <v>45609.65662</v>
      </c>
      <c r="V151" s="211" t="str">
        <f>IFERROR(__xludf.DUMMYFUNCTION("""COMPUTED_VALUE"""),"Ciro Kulon, Bakungtemenggungan, Kec. BalongBendo, Kabupaten Sidoarjo, Jawa Timur 61263")</f>
        <v>Ciro Kulon, Bakungtemenggungan, Kec. BalongBendo, Kabupaten Sidoarjo, Jawa Timur 61263</v>
      </c>
      <c r="W151" s="211" t="str">
        <f>IFERROR(__xludf.DUMMYFUNCTION("""COMPUTED_VALUE"""),"OUT")</f>
        <v>OUT</v>
      </c>
      <c r="X151" s="211"/>
      <c r="Z151" s="211" t="str">
        <f>IFERROR(__xludf.DUMMYFUNCTION("""COMPUTED_VALUE"""),"032662751")</f>
        <v>032662751</v>
      </c>
      <c r="AC151" s="211"/>
      <c r="AD151" s="211"/>
      <c r="AE151" s="211"/>
      <c r="AF151" s="211"/>
      <c r="AG151" s="211"/>
      <c r="AH151" s="211"/>
      <c r="AI151" s="211"/>
      <c r="AJ151" s="211"/>
      <c r="AL151" s="211" t="str">
        <f>IFERROR(__xludf.DUMMYFUNCTION("""COMPUTED_VALUE"""),"2250158")</f>
        <v>2250158</v>
      </c>
      <c r="AM151" s="211" t="str">
        <f>IFERROR(__xludf.DUMMYFUNCTION("""COMPUTED_VALUE"""),"1225742073")</f>
        <v>1225742073</v>
      </c>
      <c r="AN151" s="211" t="str">
        <f>IFERROR(__xludf.DUMMYFUNCTION("""COMPUTED_VALUE"""),"e86baf3b")</f>
        <v>e86baf3b</v>
      </c>
      <c r="AO151" s="211" t="str">
        <f>IFERROR(__xludf.DUMMYFUNCTION("""COMPUTED_VALUE"""),"PT GEMILANG CIPTA WAWASAN")</f>
        <v>PT GEMILANG CIPTA WAWASAN</v>
      </c>
      <c r="AP151" s="215">
        <f>IFERROR(__xludf.DUMMYFUNCTION("""COMPUTED_VALUE"""),46017.63550925926)</f>
        <v>46017.63551</v>
      </c>
      <c r="AQ151" s="218">
        <f>IFERROR(__xludf.DUMMYFUNCTION("""COMPUTED_VALUE"""),46015.0)</f>
        <v>46015</v>
      </c>
      <c r="AR151" s="211"/>
      <c r="AS151" s="211"/>
      <c r="AT151" s="211"/>
      <c r="AU151" s="211"/>
      <c r="AV151" s="211"/>
      <c r="AW151" s="211"/>
      <c r="AX151" s="211"/>
      <c r="AY151" s="211"/>
      <c r="AZ151" s="211"/>
      <c r="BB151" s="211"/>
      <c r="BC151" s="211"/>
      <c r="BD151" s="211"/>
      <c r="BE151" s="211"/>
      <c r="BF151" s="211"/>
      <c r="BG151" s="211"/>
      <c r="BH151" s="211"/>
      <c r="BI151" s="211"/>
    </row>
    <row r="152">
      <c r="A152" s="210" t="str">
        <f>IFERROR(__xludf.DUMMYFUNCTION("""COMPUTED_VALUE"""),"10240070")</f>
        <v>10240070</v>
      </c>
      <c r="B152" s="210" t="str">
        <f>IFERROR(__xludf.DUMMYFUNCTION("""COMPUTED_VALUE"""),"10240070")</f>
        <v>10240070</v>
      </c>
      <c r="C152" s="213">
        <f>IFERROR(__xludf.DUMMYFUNCTION("""COMPUTED_VALUE"""),45596.492731481485)</f>
        <v>45596.49273</v>
      </c>
      <c r="D152" s="211" t="str">
        <f>IFERROR(__xludf.DUMMYFUNCTION("""COMPUTED_VALUE"""),"8f5ebaea")</f>
        <v>8f5ebaea</v>
      </c>
      <c r="E152" s="211" t="str">
        <f>IFERROR(__xludf.DUMMYFUNCTION("""COMPUTED_VALUE"""),"PT Hua Zong Mesindo")</f>
        <v>PT Hua Zong Mesindo</v>
      </c>
      <c r="F152" s="211" t="str">
        <f>IFERROR(__xludf.DUMMYFUNCTION("""COMPUTED_VALUE"""),"ef306e54")</f>
        <v>ef306e54</v>
      </c>
      <c r="G152" s="211" t="str">
        <f>IFERROR(__xludf.DUMMYFUNCTION("""COMPUTED_VALUE"""),"Karbondioksida")</f>
        <v>Karbondioksida</v>
      </c>
      <c r="H152" s="214" t="str">
        <f>IFERROR(__xludf.DUMMYFUNCTION("""COMPUTED_VALUE"""),"OUT")</f>
        <v>OUT</v>
      </c>
      <c r="I152" s="214" t="str">
        <f>IFERROR(__xludf.DUMMYFUNCTION("""COMPUTED_VALUE"""),"NORMAL")</f>
        <v>NORMAL</v>
      </c>
      <c r="J152" s="211">
        <f>IFERROR(__xludf.DUMMYFUNCTION("""COMPUTED_VALUE"""),4.0)</f>
        <v>4</v>
      </c>
      <c r="K152" s="210" t="str">
        <f>IFERROR(__xludf.DUMMYFUNCTION("""COMPUTED_VALUE"""),"6760 6611 6737 6612")</f>
        <v>6760 6611 6737 6612</v>
      </c>
      <c r="L152" s="211">
        <f>IFERROR(__xludf.DUMMYFUNCTION("""COMPUTED_VALUE"""),160000.0)</f>
        <v>160000</v>
      </c>
      <c r="M152" s="211"/>
      <c r="N152" s="211"/>
      <c r="O152" s="211"/>
      <c r="Q152" s="210" t="str">
        <f>IFERROR(__xludf.DUMMYFUNCTION("""COMPUTED_VALUE"""),"128db52b")</f>
        <v>128db52b</v>
      </c>
      <c r="R152" s="210" t="str">
        <f>IFERROR(__xludf.DUMMYFUNCTION("""COMPUTED_VALUE"""),"128db52b")</f>
        <v>128db52b</v>
      </c>
      <c r="S152" s="211" t="str">
        <f>IFERROR(__xludf.DUMMYFUNCTION("""COMPUTED_VALUE"""),"c2f5a4a7")</f>
        <v>c2f5a4a7</v>
      </c>
      <c r="T152" s="211" t="str">
        <f>IFERROR(__xludf.DUMMYFUNCTION("""COMPUTED_VALUE"""),"UD Sumber Berlian")</f>
        <v>UD Sumber Berlian</v>
      </c>
      <c r="U152" s="215">
        <f>IFERROR(__xludf.DUMMYFUNCTION("""COMPUTED_VALUE"""),45609.66645833333)</f>
        <v>45609.66646</v>
      </c>
      <c r="V152" s="211" t="str">
        <f>IFERROR(__xludf.DUMMYFUNCTION("""COMPUTED_VALUE"""),"Ciro Kulon, Bakungtemenggungan, Kec. BalongBendo, Kabupaten Sidoarjo, Jawa Timur 61263")</f>
        <v>Ciro Kulon, Bakungtemenggungan, Kec. BalongBendo, Kabupaten Sidoarjo, Jawa Timur 61263</v>
      </c>
      <c r="W152" s="211" t="str">
        <f>IFERROR(__xludf.DUMMYFUNCTION("""COMPUTED_VALUE"""),"IN")</f>
        <v>IN</v>
      </c>
      <c r="X152" s="211"/>
      <c r="Z152" s="211" t="str">
        <f>IFERROR(__xludf.DUMMYFUNCTION("""COMPUTED_VALUE"""),"0326202738")</f>
        <v>0326202738</v>
      </c>
      <c r="AC152" s="211"/>
      <c r="AD152" s="211"/>
      <c r="AE152" s="211"/>
      <c r="AF152" s="211"/>
      <c r="AG152" s="211"/>
      <c r="AH152" s="211"/>
      <c r="AI152" s="211"/>
      <c r="AJ152" s="211"/>
      <c r="AL152" s="211" t="str">
        <f>IFERROR(__xludf.DUMMYFUNCTION("""COMPUTED_VALUE"""),"2250155")</f>
        <v>2250155</v>
      </c>
      <c r="AM152" s="211" t="str">
        <f>IFERROR(__xludf.DUMMYFUNCTION("""COMPUTED_VALUE"""),"122561994")</f>
        <v>122561994</v>
      </c>
      <c r="AN152" s="211" t="str">
        <f>IFERROR(__xludf.DUMMYFUNCTION("""COMPUTED_VALUE"""),"3b04351a")</f>
        <v>3b04351a</v>
      </c>
      <c r="AO152" s="211" t="str">
        <f>IFERROR(__xludf.DUMMYFUNCTION("""COMPUTED_VALUE"""),"CV Usaha Logam Jaya ( Bpk Putra )")</f>
        <v>CV Usaha Logam Jaya ( Bpk Putra )</v>
      </c>
      <c r="AP152" s="215">
        <f>IFERROR(__xludf.DUMMYFUNCTION("""COMPUTED_VALUE"""),46017.62144675926)</f>
        <v>46017.62145</v>
      </c>
      <c r="AQ152" s="218">
        <f>IFERROR(__xludf.DUMMYFUNCTION("""COMPUTED_VALUE"""),46007.0)</f>
        <v>46007</v>
      </c>
      <c r="AR152" s="211"/>
      <c r="AS152" s="211"/>
      <c r="AT152" s="211"/>
      <c r="AU152" s="211"/>
      <c r="AV152" s="211"/>
      <c r="AW152" s="211"/>
      <c r="AX152" s="211"/>
      <c r="AY152" s="211"/>
      <c r="AZ152" s="211"/>
      <c r="BB152" s="211"/>
      <c r="BC152" s="211"/>
      <c r="BD152" s="211"/>
      <c r="BE152" s="211"/>
      <c r="BF152" s="211"/>
      <c r="BG152" s="211"/>
      <c r="BH152" s="211"/>
      <c r="BI152" s="211"/>
    </row>
    <row r="153">
      <c r="A153" s="210" t="str">
        <f>IFERROR(__xludf.DUMMYFUNCTION("""COMPUTED_VALUE"""),"856306cb")</f>
        <v>856306cb</v>
      </c>
      <c r="B153" s="210" t="str">
        <f>IFERROR(__xludf.DUMMYFUNCTION("""COMPUTED_VALUE"""),"856306cb")</f>
        <v>856306cb</v>
      </c>
      <c r="C153" s="213">
        <f>IFERROR(__xludf.DUMMYFUNCTION("""COMPUTED_VALUE"""),45596.55403935185)</f>
        <v>45596.55404</v>
      </c>
      <c r="D153" s="211" t="str">
        <f>IFERROR(__xludf.DUMMYFUNCTION("""COMPUTED_VALUE"""),"8f5ebaea")</f>
        <v>8f5ebaea</v>
      </c>
      <c r="E153" s="211" t="str">
        <f>IFERROR(__xludf.DUMMYFUNCTION("""COMPUTED_VALUE"""),"PT Hua Zong Mesindo")</f>
        <v>PT Hua Zong Mesindo</v>
      </c>
      <c r="F153" s="211" t="str">
        <f>IFERROR(__xludf.DUMMYFUNCTION("""COMPUTED_VALUE"""),"66af7c72")</f>
        <v>66af7c72</v>
      </c>
      <c r="G153" s="211" t="str">
        <f>IFERROR(__xludf.DUMMYFUNCTION("""COMPUTED_VALUE"""),"Argon 6m3")</f>
        <v>Argon 6m3</v>
      </c>
      <c r="H153" s="214" t="str">
        <f>IFERROR(__xludf.DUMMYFUNCTION("""COMPUTED_VALUE"""),"IN")</f>
        <v>IN</v>
      </c>
      <c r="I153" s="214" t="str">
        <f>IFERROR(__xludf.DUMMYFUNCTION("""COMPUTED_VALUE"""),"EMPTY")</f>
        <v>EMPTY</v>
      </c>
      <c r="J153" s="211">
        <f>IFERROR(__xludf.DUMMYFUNCTION("""COMPUTED_VALUE"""),5.0)</f>
        <v>5</v>
      </c>
      <c r="K153" s="210" t="str">
        <f>IFERROR(__xludf.DUMMYFUNCTION("""COMPUTED_VALUE"""),"8276 8093 8063 8231 8312")</f>
        <v>8276 8093 8063 8231 8312</v>
      </c>
      <c r="L153" s="211"/>
      <c r="M153" s="211"/>
      <c r="N153" s="211"/>
      <c r="O153" s="211"/>
      <c r="Q153" s="210" t="str">
        <f>IFERROR(__xludf.DUMMYFUNCTION("""COMPUTED_VALUE"""),"f7395418")</f>
        <v>f7395418</v>
      </c>
      <c r="R153" s="210" t="str">
        <f>IFERROR(__xludf.DUMMYFUNCTION("""COMPUTED_VALUE"""),"f7395418")</f>
        <v>f7395418</v>
      </c>
      <c r="S153" s="211" t="str">
        <f>IFERROR(__xludf.DUMMYFUNCTION("""COMPUTED_VALUE"""),"72d9a70c")</f>
        <v>72d9a70c</v>
      </c>
      <c r="T153" s="211" t="str">
        <f>IFERROR(__xludf.DUMMYFUNCTION("""COMPUTED_VALUE"""),"PT Beton Prima Indonesia")</f>
        <v>PT Beton Prima Indonesia</v>
      </c>
      <c r="U153" s="215">
        <f>IFERROR(__xludf.DUMMYFUNCTION("""COMPUTED_VALUE"""),45609.66736111111)</f>
        <v>45609.66736</v>
      </c>
      <c r="V153" s="211" t="str">
        <f>IFERROR(__xludf.DUMMYFUNCTION("""COMPUTED_VALUE"""),"KH. Ahmad Dahlan KM.2 Ds. Sumberwono, Kec. Bangsal, Kab. Mojokerto 61381")</f>
        <v>KH. Ahmad Dahlan KM.2 Ds. Sumberwono, Kec. Bangsal, Kab. Mojokerto 61381</v>
      </c>
      <c r="W153" s="211" t="str">
        <f>IFERROR(__xludf.DUMMYFUNCTION("""COMPUTED_VALUE"""),"IN")</f>
        <v>IN</v>
      </c>
      <c r="X153" s="211"/>
      <c r="Z153" s="211" t="str">
        <f>IFERROR(__xludf.DUMMYFUNCTION("""COMPUTED_VALUE"""),"0326912737")</f>
        <v>0326912737</v>
      </c>
      <c r="AC153" s="211"/>
      <c r="AD153" s="211"/>
      <c r="AE153" s="211"/>
      <c r="AF153" s="211"/>
      <c r="AG153" s="211"/>
      <c r="AH153" s="211"/>
      <c r="AI153" s="211"/>
      <c r="AJ153" s="211"/>
      <c r="AL153" s="211" t="str">
        <f>IFERROR(__xludf.DUMMYFUNCTION("""COMPUTED_VALUE"""),"2250155")</f>
        <v>2250155</v>
      </c>
      <c r="AM153" s="211" t="str">
        <f>IFERROR(__xludf.DUMMYFUNCTION("""COMPUTED_VALUE"""),"122572017")</f>
        <v>122572017</v>
      </c>
      <c r="AN153" s="211" t="str">
        <f>IFERROR(__xludf.DUMMYFUNCTION("""COMPUTED_VALUE"""),"3b04351a")</f>
        <v>3b04351a</v>
      </c>
      <c r="AO153" s="211" t="str">
        <f>IFERROR(__xludf.DUMMYFUNCTION("""COMPUTED_VALUE"""),"CV Usaha Logam Jaya ( Bpk Putra )")</f>
        <v>CV Usaha Logam Jaya ( Bpk Putra )</v>
      </c>
      <c r="AP153" s="215">
        <f>IFERROR(__xludf.DUMMYFUNCTION("""COMPUTED_VALUE"""),46017.62144675926)</f>
        <v>46017.62145</v>
      </c>
      <c r="AQ153" s="218">
        <f>IFERROR(__xludf.DUMMYFUNCTION("""COMPUTED_VALUE"""),46009.0)</f>
        <v>46009</v>
      </c>
      <c r="AR153" s="211"/>
      <c r="AS153" s="211"/>
      <c r="AT153" s="211"/>
      <c r="AU153" s="211"/>
      <c r="AV153" s="211"/>
      <c r="AW153" s="211"/>
      <c r="AX153" s="211"/>
      <c r="AY153" s="211"/>
      <c r="AZ153" s="211"/>
      <c r="BB153" s="211"/>
      <c r="BC153" s="211"/>
      <c r="BD153" s="211"/>
      <c r="BE153" s="211"/>
      <c r="BF153" s="211"/>
      <c r="BG153" s="211"/>
      <c r="BH153" s="211"/>
      <c r="BI153" s="211"/>
    </row>
    <row r="154">
      <c r="A154" s="210" t="str">
        <f>IFERROR(__xludf.DUMMYFUNCTION("""COMPUTED_VALUE"""),"10240073")</f>
        <v>10240073</v>
      </c>
      <c r="B154" s="210" t="str">
        <f>IFERROR(__xludf.DUMMYFUNCTION("""COMPUTED_VALUE"""),"10240073")</f>
        <v>10240073</v>
      </c>
      <c r="C154" s="213">
        <f>IFERROR(__xludf.DUMMYFUNCTION("""COMPUTED_VALUE"""),45596.59950231481)</f>
        <v>45596.5995</v>
      </c>
      <c r="D154" s="211" t="str">
        <f>IFERROR(__xludf.DUMMYFUNCTION("""COMPUTED_VALUE"""),"c2f5a4a7")</f>
        <v>c2f5a4a7</v>
      </c>
      <c r="E154" s="211" t="str">
        <f>IFERROR(__xludf.DUMMYFUNCTION("""COMPUTED_VALUE"""),"UD Sumber Berlian")</f>
        <v>UD Sumber Berlian</v>
      </c>
      <c r="F154" s="211" t="str">
        <f>IFERROR(__xludf.DUMMYFUNCTION("""COMPUTED_VALUE"""),"8bdbe149")</f>
        <v>8bdbe149</v>
      </c>
      <c r="G154" s="211" t="str">
        <f>IFERROR(__xludf.DUMMYFUNCTION("""COMPUTED_VALUE"""),"Oksigen 6m3")</f>
        <v>Oksigen 6m3</v>
      </c>
      <c r="H154" s="214" t="str">
        <f>IFERROR(__xludf.DUMMYFUNCTION("""COMPUTED_VALUE"""),"OUT")</f>
        <v>OUT</v>
      </c>
      <c r="I154" s="214" t="str">
        <f>IFERROR(__xludf.DUMMYFUNCTION("""COMPUTED_VALUE"""),"NORMAL")</f>
        <v>NORMAL</v>
      </c>
      <c r="J154" s="211">
        <f>IFERROR(__xludf.DUMMYFUNCTION("""COMPUTED_VALUE"""),10.0)</f>
        <v>10</v>
      </c>
      <c r="K154" s="210" t="str">
        <f>IFERROR(__xludf.DUMMYFUNCTION("""COMPUTED_VALUE"""),"1570 1418 5135 5563 1340 5893 5709 5549 5048 5192")</f>
        <v>1570 1418 5135 5563 1340 5893 5709 5549 5048 5192</v>
      </c>
      <c r="L154" s="211">
        <f>IFERROR(__xludf.DUMMYFUNCTION("""COMPUTED_VALUE"""),70000.0)</f>
        <v>70000</v>
      </c>
      <c r="M154" s="211"/>
      <c r="N154" s="211"/>
      <c r="O154" s="211"/>
      <c r="Q154" s="210" t="str">
        <f>IFERROR(__xludf.DUMMYFUNCTION("""COMPUTED_VALUE"""),"11240102")</f>
        <v>11240102</v>
      </c>
      <c r="R154" s="210" t="str">
        <f>IFERROR(__xludf.DUMMYFUNCTION("""COMPUTED_VALUE"""),"11240102")</f>
        <v>11240102</v>
      </c>
      <c r="S154" s="211" t="str">
        <f>IFERROR(__xludf.DUMMYFUNCTION("""COMPUTED_VALUE"""),"f8335a53")</f>
        <v>f8335a53</v>
      </c>
      <c r="T154" s="211" t="str">
        <f>IFERROR(__xludf.DUMMYFUNCTION("""COMPUTED_VALUE"""),"CV RAGAM JAYA ENGINEERING")</f>
        <v>CV RAGAM JAYA ENGINEERING</v>
      </c>
      <c r="U154" s="215">
        <f>IFERROR(__xludf.DUMMYFUNCTION("""COMPUTED_VALUE"""),45611.433495370366)</f>
        <v>45611.4335</v>
      </c>
      <c r="V154" s="211" t="str">
        <f>IFERROR(__xludf.DUMMYFUNCTION("""COMPUTED_VALUE"""),"Jl. Balung wangon, Dadapkuning, Bulurejo, Kec. Benjeng, Kabupaten Gresik, Jawa Timur 61172")</f>
        <v>Jl. Balung wangon, Dadapkuning, Bulurejo, Kec. Benjeng, Kabupaten Gresik, Jawa Timur 61172</v>
      </c>
      <c r="W154" s="211" t="str">
        <f>IFERROR(__xludf.DUMMYFUNCTION("""COMPUTED_VALUE"""),"OUT")</f>
        <v>OUT</v>
      </c>
      <c r="X154" s="211"/>
      <c r="Z154" s="211" t="str">
        <f>IFERROR(__xludf.DUMMYFUNCTION("""COMPUTED_VALUE"""),"0326252736")</f>
        <v>0326252736</v>
      </c>
      <c r="AC154" s="211"/>
      <c r="AD154" s="211"/>
      <c r="AE154" s="211"/>
      <c r="AF154" s="211"/>
      <c r="AG154" s="211"/>
      <c r="AH154" s="211"/>
      <c r="AI154" s="211"/>
      <c r="AJ154" s="211"/>
      <c r="AL154" s="211" t="str">
        <f>IFERROR(__xludf.DUMMYFUNCTION("""COMPUTED_VALUE"""),"2250155")</f>
        <v>2250155</v>
      </c>
      <c r="AM154" s="211" t="str">
        <f>IFERROR(__xludf.DUMMYFUNCTION("""COMPUTED_VALUE"""),"122582061")</f>
        <v>122582061</v>
      </c>
      <c r="AN154" s="211" t="str">
        <f>IFERROR(__xludf.DUMMYFUNCTION("""COMPUTED_VALUE"""),"3b04351a")</f>
        <v>3b04351a</v>
      </c>
      <c r="AO154" s="211" t="str">
        <f>IFERROR(__xludf.DUMMYFUNCTION("""COMPUTED_VALUE"""),"CV Usaha Logam Jaya ( Bpk Putra )")</f>
        <v>CV Usaha Logam Jaya ( Bpk Putra )</v>
      </c>
      <c r="AP154" s="215">
        <f>IFERROR(__xludf.DUMMYFUNCTION("""COMPUTED_VALUE"""),46017.62144675926)</f>
        <v>46017.62145</v>
      </c>
      <c r="AQ154" s="218">
        <f>IFERROR(__xludf.DUMMYFUNCTION("""COMPUTED_VALUE"""),46014.0)</f>
        <v>46014</v>
      </c>
      <c r="AR154" s="211"/>
      <c r="AS154" s="211"/>
      <c r="AT154" s="211"/>
      <c r="AU154" s="211"/>
      <c r="AV154" s="211"/>
      <c r="AW154" s="211"/>
      <c r="AX154" s="211"/>
      <c r="AY154" s="211"/>
      <c r="AZ154" s="211"/>
      <c r="BB154" s="211"/>
      <c r="BC154" s="211"/>
      <c r="BD154" s="211"/>
      <c r="BE154" s="211"/>
      <c r="BF154" s="211"/>
      <c r="BG154" s="211"/>
      <c r="BH154" s="211"/>
      <c r="BI154" s="211"/>
    </row>
    <row r="155">
      <c r="A155" s="210" t="str">
        <f>IFERROR(__xludf.DUMMYFUNCTION("""COMPUTED_VALUE"""),"e973e69b")</f>
        <v>e973e69b</v>
      </c>
      <c r="B155" s="210" t="str">
        <f>IFERROR(__xludf.DUMMYFUNCTION("""COMPUTED_VALUE"""),"e973e69b")</f>
        <v>e973e69b</v>
      </c>
      <c r="C155" s="213">
        <f>IFERROR(__xludf.DUMMYFUNCTION("""COMPUTED_VALUE"""),45596.65244212963)</f>
        <v>45596.65244</v>
      </c>
      <c r="D155" s="211" t="str">
        <f>IFERROR(__xludf.DUMMYFUNCTION("""COMPUTED_VALUE"""),"c2f5a4a7")</f>
        <v>c2f5a4a7</v>
      </c>
      <c r="E155" s="211" t="str">
        <f>IFERROR(__xludf.DUMMYFUNCTION("""COMPUTED_VALUE"""),"UD Sumber Berlian")</f>
        <v>UD Sumber Berlian</v>
      </c>
      <c r="F155" s="211" t="str">
        <f>IFERROR(__xludf.DUMMYFUNCTION("""COMPUTED_VALUE"""),"8bdbe149")</f>
        <v>8bdbe149</v>
      </c>
      <c r="G155" s="211" t="str">
        <f>IFERROR(__xludf.DUMMYFUNCTION("""COMPUTED_VALUE"""),"Oksigen 6m3")</f>
        <v>Oksigen 6m3</v>
      </c>
      <c r="H155" s="214" t="str">
        <f>IFERROR(__xludf.DUMMYFUNCTION("""COMPUTED_VALUE"""),"IN")</f>
        <v>IN</v>
      </c>
      <c r="I155" s="214" t="str">
        <f>IFERROR(__xludf.DUMMYFUNCTION("""COMPUTED_VALUE"""),"EMPTY")</f>
        <v>EMPTY</v>
      </c>
      <c r="J155" s="211">
        <f>IFERROR(__xludf.DUMMYFUNCTION("""COMPUTED_VALUE"""),3.0)</f>
        <v>3</v>
      </c>
      <c r="K155" s="210" t="str">
        <f>IFERROR(__xludf.DUMMYFUNCTION("""COMPUTED_VALUE"""),"1141 1149 1120")</f>
        <v>1141 1149 1120</v>
      </c>
      <c r="L155" s="211"/>
      <c r="M155" s="211"/>
      <c r="N155" s="211"/>
      <c r="O155" s="211"/>
      <c r="Q155" s="210" t="str">
        <f>IFERROR(__xludf.DUMMYFUNCTION("""COMPUTED_VALUE"""),"11240104")</f>
        <v>11240104</v>
      </c>
      <c r="R155" s="210" t="str">
        <f>IFERROR(__xludf.DUMMYFUNCTION("""COMPUTED_VALUE"""),"11240104")</f>
        <v>11240104</v>
      </c>
      <c r="S155" s="211" t="str">
        <f>IFERROR(__xludf.DUMMYFUNCTION("""COMPUTED_VALUE"""),"c2f5a4a7")</f>
        <v>c2f5a4a7</v>
      </c>
      <c r="T155" s="211" t="str">
        <f>IFERROR(__xludf.DUMMYFUNCTION("""COMPUTED_VALUE"""),"UD Sumber Berlian")</f>
        <v>UD Sumber Berlian</v>
      </c>
      <c r="U155" s="215">
        <f>IFERROR(__xludf.DUMMYFUNCTION("""COMPUTED_VALUE"""),45611.43462962963)</f>
        <v>45611.43463</v>
      </c>
      <c r="V155" s="211" t="str">
        <f>IFERROR(__xludf.DUMMYFUNCTION("""COMPUTED_VALUE"""),"Ciro Kulon, Bakungtemenggungan, Kec. BalongBendo, Kabupaten Sidoarjo, Jawa Timur 61263")</f>
        <v>Ciro Kulon, Bakungtemenggungan, Kec. BalongBendo, Kabupaten Sidoarjo, Jawa Timur 61263</v>
      </c>
      <c r="W155" s="211" t="str">
        <f>IFERROR(__xludf.DUMMYFUNCTION("""COMPUTED_VALUE"""),"OUT")</f>
        <v>OUT</v>
      </c>
      <c r="X155" s="211"/>
      <c r="Z155" s="211" t="str">
        <f>IFERROR(__xludf.DUMMYFUNCTION("""COMPUTED_VALUE"""),"032682735")</f>
        <v>032682735</v>
      </c>
      <c r="AC155" s="211"/>
      <c r="AD155" s="211"/>
      <c r="AE155" s="211"/>
      <c r="AF155" s="211"/>
      <c r="AG155" s="211"/>
      <c r="AH155" s="211"/>
      <c r="AI155" s="211"/>
      <c r="AJ155" s="211"/>
      <c r="AL155" s="211" t="str">
        <f>IFERROR(__xludf.DUMMYFUNCTION("""COMPUTED_VALUE"""),"2250153")</f>
        <v>2250153</v>
      </c>
      <c r="AM155" s="211" t="str">
        <f>IFERROR(__xludf.DUMMYFUNCTION("""COMPUTED_VALUE"""),"112511806")</f>
        <v>112511806</v>
      </c>
      <c r="AN155" s="211" t="str">
        <f>IFERROR(__xludf.DUMMYFUNCTION("""COMPUTED_VALUE"""),"03ff52db")</f>
        <v>03ff52db</v>
      </c>
      <c r="AO155" s="211" t="str">
        <f>IFERROR(__xludf.DUMMYFUNCTION("""COMPUTED_VALUE"""),"Aneka Teknik Logam")</f>
        <v>Aneka Teknik Logam</v>
      </c>
      <c r="AP155" s="215">
        <f>IFERROR(__xludf.DUMMYFUNCTION("""COMPUTED_VALUE"""),46004.57759259259)</f>
        <v>46004.57759</v>
      </c>
      <c r="AQ155" s="218">
        <f>IFERROR(__xludf.DUMMYFUNCTION("""COMPUTED_VALUE"""),45986.0)</f>
        <v>45986</v>
      </c>
      <c r="AR155" s="211"/>
      <c r="AS155" s="211"/>
      <c r="AT155" s="211"/>
      <c r="AU155" s="211"/>
      <c r="AV155" s="211"/>
      <c r="AW155" s="211"/>
      <c r="AX155" s="211"/>
      <c r="AY155" s="211"/>
      <c r="AZ155" s="211"/>
      <c r="BB155" s="211"/>
      <c r="BC155" s="211"/>
      <c r="BD155" s="211"/>
      <c r="BE155" s="211"/>
      <c r="BF155" s="211"/>
      <c r="BG155" s="211"/>
      <c r="BH155" s="211"/>
      <c r="BI155" s="211"/>
    </row>
    <row r="156">
      <c r="A156" s="210" t="str">
        <f>IFERROR(__xludf.DUMMYFUNCTION("""COMPUTED_VALUE"""),"11240074")</f>
        <v>11240074</v>
      </c>
      <c r="B156" s="210" t="str">
        <f>IFERROR(__xludf.DUMMYFUNCTION("""COMPUTED_VALUE"""),"11240074")</f>
        <v>11240074</v>
      </c>
      <c r="C156" s="213">
        <f>IFERROR(__xludf.DUMMYFUNCTION("""COMPUTED_VALUE"""),45597.62666666666)</f>
        <v>45597.62667</v>
      </c>
      <c r="D156" s="211" t="str">
        <f>IFERROR(__xludf.DUMMYFUNCTION("""COMPUTED_VALUE"""),"4ec68cf6")</f>
        <v>4ec68cf6</v>
      </c>
      <c r="E156" s="211" t="str">
        <f>IFERROR(__xludf.DUMMYFUNCTION("""COMPUTED_VALUE"""),"CV Sido Mukti Karya")</f>
        <v>CV Sido Mukti Karya</v>
      </c>
      <c r="F156" s="211" t="str">
        <f>IFERROR(__xludf.DUMMYFUNCTION("""COMPUTED_VALUE"""),"8bdbe149")</f>
        <v>8bdbe149</v>
      </c>
      <c r="G156" s="211" t="str">
        <f>IFERROR(__xludf.DUMMYFUNCTION("""COMPUTED_VALUE"""),"Oksigen 6m3")</f>
        <v>Oksigen 6m3</v>
      </c>
      <c r="H156" s="214" t="str">
        <f>IFERROR(__xludf.DUMMYFUNCTION("""COMPUTED_VALUE"""),"OUT")</f>
        <v>OUT</v>
      </c>
      <c r="I156" s="214" t="str">
        <f>IFERROR(__xludf.DUMMYFUNCTION("""COMPUTED_VALUE"""),"NORMAL")</f>
        <v>NORMAL</v>
      </c>
      <c r="J156" s="211">
        <f>IFERROR(__xludf.DUMMYFUNCTION("""COMPUTED_VALUE"""),10.0)</f>
        <v>10</v>
      </c>
      <c r="K156" s="210" t="str">
        <f>IFERROR(__xludf.DUMMYFUNCTION("""COMPUTED_VALUE"""),"1311 1282 5784 015 5206 2056 5627 1670 1232 5489")</f>
        <v>1311 1282 5784 015 5206 2056 5627 1670 1232 5489</v>
      </c>
      <c r="L156" s="211">
        <f>IFERROR(__xludf.DUMMYFUNCTION("""COMPUTED_VALUE"""),60000.0)</f>
        <v>60000</v>
      </c>
      <c r="M156" s="211"/>
      <c r="N156" s="211"/>
      <c r="O156" s="211"/>
      <c r="Q156" s="210" t="str">
        <f>IFERROR(__xludf.DUMMYFUNCTION("""COMPUTED_VALUE"""),"c62c6533")</f>
        <v>c62c6533</v>
      </c>
      <c r="R156" s="210" t="str">
        <f>IFERROR(__xludf.DUMMYFUNCTION("""COMPUTED_VALUE"""),"c62c6533")</f>
        <v>c62c6533</v>
      </c>
      <c r="S156" s="211" t="str">
        <f>IFERROR(__xludf.DUMMYFUNCTION("""COMPUTED_VALUE"""),"c2f5a4a7")</f>
        <v>c2f5a4a7</v>
      </c>
      <c r="T156" s="211" t="str">
        <f>IFERROR(__xludf.DUMMYFUNCTION("""COMPUTED_VALUE"""),"UD Sumber Berlian")</f>
        <v>UD Sumber Berlian</v>
      </c>
      <c r="U156" s="215">
        <f>IFERROR(__xludf.DUMMYFUNCTION("""COMPUTED_VALUE"""),45611.51111111111)</f>
        <v>45611.51111</v>
      </c>
      <c r="V156" s="211" t="str">
        <f>IFERROR(__xludf.DUMMYFUNCTION("""COMPUTED_VALUE"""),"Ciro Kulon, Bakungtemenggungan, Kec. BalongBendo, Kabupaten Sidoarjo, Jawa Timur 61263")</f>
        <v>Ciro Kulon, Bakungtemenggungan, Kec. BalongBendo, Kabupaten Sidoarjo, Jawa Timur 61263</v>
      </c>
      <c r="W156" s="211" t="str">
        <f>IFERROR(__xludf.DUMMYFUNCTION("""COMPUTED_VALUE"""),"IN")</f>
        <v>IN</v>
      </c>
      <c r="X156" s="211"/>
      <c r="Z156" s="211" t="str">
        <f>IFERROR(__xludf.DUMMYFUNCTION("""COMPUTED_VALUE"""),"0326132734")</f>
        <v>0326132734</v>
      </c>
      <c r="AC156" s="211"/>
      <c r="AD156" s="211"/>
      <c r="AE156" s="211"/>
      <c r="AF156" s="211"/>
      <c r="AG156" s="211"/>
      <c r="AH156" s="211"/>
      <c r="AI156" s="211"/>
      <c r="AJ156" s="211"/>
      <c r="AL156" s="211" t="str">
        <f>IFERROR(__xludf.DUMMYFUNCTION("""COMPUTED_VALUE"""),"2250153")</f>
        <v>2250153</v>
      </c>
      <c r="AM156" s="211" t="str">
        <f>IFERROR(__xludf.DUMMYFUNCTION("""COMPUTED_VALUE"""),"122521967")</f>
        <v>122521967</v>
      </c>
      <c r="AN156" s="211" t="str">
        <f>IFERROR(__xludf.DUMMYFUNCTION("""COMPUTED_VALUE"""),"03ff52db")</f>
        <v>03ff52db</v>
      </c>
      <c r="AO156" s="211" t="str">
        <f>IFERROR(__xludf.DUMMYFUNCTION("""COMPUTED_VALUE"""),"Aneka Teknik Logam")</f>
        <v>Aneka Teknik Logam</v>
      </c>
      <c r="AP156" s="215">
        <f>IFERROR(__xludf.DUMMYFUNCTION("""COMPUTED_VALUE"""),46004.57759259259)</f>
        <v>46004.57759</v>
      </c>
      <c r="AQ156" s="218">
        <f>IFERROR(__xludf.DUMMYFUNCTION("""COMPUTED_VALUE"""),46004.0)</f>
        <v>46004</v>
      </c>
      <c r="AR156" s="211"/>
      <c r="AS156" s="211"/>
      <c r="AT156" s="211"/>
      <c r="AU156" s="211"/>
      <c r="AV156" s="211"/>
      <c r="AW156" s="211"/>
      <c r="AX156" s="211"/>
      <c r="AY156" s="211"/>
      <c r="AZ156" s="211"/>
      <c r="BB156" s="211"/>
      <c r="BC156" s="211"/>
      <c r="BD156" s="211"/>
      <c r="BE156" s="211"/>
      <c r="BF156" s="211"/>
      <c r="BG156" s="211"/>
      <c r="BH156" s="211"/>
      <c r="BI156" s="211"/>
    </row>
    <row r="157">
      <c r="A157" s="210" t="str">
        <f>IFERROR(__xludf.DUMMYFUNCTION("""COMPUTED_VALUE"""),"8a6b03a3")</f>
        <v>8a6b03a3</v>
      </c>
      <c r="B157" s="210" t="str">
        <f>IFERROR(__xludf.DUMMYFUNCTION("""COMPUTED_VALUE"""),"8a6b03a3")</f>
        <v>8a6b03a3</v>
      </c>
      <c r="C157" s="213">
        <f>IFERROR(__xludf.DUMMYFUNCTION("""COMPUTED_VALUE"""),45597.676712962966)</f>
        <v>45597.67671</v>
      </c>
      <c r="D157" s="211" t="str">
        <f>IFERROR(__xludf.DUMMYFUNCTION("""COMPUTED_VALUE"""),"72d9a70c")</f>
        <v>72d9a70c</v>
      </c>
      <c r="E157" s="211" t="str">
        <f>IFERROR(__xludf.DUMMYFUNCTION("""COMPUTED_VALUE"""),"PT Beton Prima Indonesia")</f>
        <v>PT Beton Prima Indonesia</v>
      </c>
      <c r="F157" s="211" t="str">
        <f>IFERROR(__xludf.DUMMYFUNCTION("""COMPUTED_VALUE"""),"8bdbe149")</f>
        <v>8bdbe149</v>
      </c>
      <c r="G157" s="211" t="str">
        <f>IFERROR(__xludf.DUMMYFUNCTION("""COMPUTED_VALUE"""),"Oksigen 6m3")</f>
        <v>Oksigen 6m3</v>
      </c>
      <c r="H157" s="214" t="str">
        <f>IFERROR(__xludf.DUMMYFUNCTION("""COMPUTED_VALUE"""),"IN")</f>
        <v>IN</v>
      </c>
      <c r="I157" s="214" t="str">
        <f>IFERROR(__xludf.DUMMYFUNCTION("""COMPUTED_VALUE"""),"EMPTY")</f>
        <v>EMPTY</v>
      </c>
      <c r="J157" s="211">
        <f>IFERROR(__xludf.DUMMYFUNCTION("""COMPUTED_VALUE"""),3.0)</f>
        <v>3</v>
      </c>
      <c r="K157" s="210" t="str">
        <f>IFERROR(__xludf.DUMMYFUNCTION("""COMPUTED_VALUE"""),"1121 1117 1110")</f>
        <v>1121 1117 1110</v>
      </c>
      <c r="L157" s="211"/>
      <c r="M157" s="211"/>
      <c r="N157" s="211"/>
      <c r="O157" s="211"/>
      <c r="Q157" s="210" t="str">
        <f>IFERROR(__xludf.DUMMYFUNCTION("""COMPUTED_VALUE"""),"98b52ea3")</f>
        <v>98b52ea3</v>
      </c>
      <c r="R157" s="210" t="str">
        <f>IFERROR(__xludf.DUMMYFUNCTION("""COMPUTED_VALUE"""),"98b52ea3")</f>
        <v>98b52ea3</v>
      </c>
      <c r="S157" s="211" t="str">
        <f>IFERROR(__xludf.DUMMYFUNCTION("""COMPUTED_VALUE"""),"f8335a53")</f>
        <v>f8335a53</v>
      </c>
      <c r="T157" s="211" t="str">
        <f>IFERROR(__xludf.DUMMYFUNCTION("""COMPUTED_VALUE"""),"CV RAGAM JAYA ENGINEERING")</f>
        <v>CV RAGAM JAYA ENGINEERING</v>
      </c>
      <c r="U157" s="215">
        <f>IFERROR(__xludf.DUMMYFUNCTION("""COMPUTED_VALUE"""),45611.58704861111)</f>
        <v>45611.58705</v>
      </c>
      <c r="V157" s="211" t="str">
        <f>IFERROR(__xludf.DUMMYFUNCTION("""COMPUTED_VALUE"""),"Jl. Balung wangon, Dadapkuning, Bulurejo, Kec. Benjeng, Kabupaten Gresik, Jawa Timur 61172")</f>
        <v>Jl. Balung wangon, Dadapkuning, Bulurejo, Kec. Benjeng, Kabupaten Gresik, Jawa Timur 61172</v>
      </c>
      <c r="W157" s="211" t="str">
        <f>IFERROR(__xludf.DUMMYFUNCTION("""COMPUTED_VALUE"""),"IN")</f>
        <v>IN</v>
      </c>
      <c r="X157" s="211"/>
      <c r="Z157" s="211" t="str">
        <f>IFERROR(__xludf.DUMMYFUNCTION("""COMPUTED_VALUE"""),"032612733")</f>
        <v>032612733</v>
      </c>
      <c r="AC157" s="211"/>
      <c r="AD157" s="211"/>
      <c r="AE157" s="211"/>
      <c r="AF157" s="211"/>
      <c r="AG157" s="211"/>
      <c r="AH157" s="211"/>
      <c r="AI157" s="211"/>
      <c r="AJ157" s="211"/>
      <c r="AL157" s="211" t="str">
        <f>IFERROR(__xludf.DUMMYFUNCTION("""COMPUTED_VALUE"""),"2250152")</f>
        <v>2250152</v>
      </c>
      <c r="AM157" s="211" t="str">
        <f>IFERROR(__xludf.DUMMYFUNCTION("""COMPUTED_VALUE"""),"1125161774")</f>
        <v>1125161774</v>
      </c>
      <c r="AN157" s="211" t="str">
        <f>IFERROR(__xludf.DUMMYFUNCTION("""COMPUTED_VALUE"""),"b218b89b")</f>
        <v>b218b89b</v>
      </c>
      <c r="AO157" s="211" t="str">
        <f>IFERROR(__xludf.DUMMYFUNCTION("""COMPUTED_VALUE"""),"PT Harapan Sentosa")</f>
        <v>PT Harapan Sentosa</v>
      </c>
      <c r="AP157" s="215">
        <f>IFERROR(__xludf.DUMMYFUNCTION("""COMPUTED_VALUE"""),46004.576886574076)</f>
        <v>46004.57689</v>
      </c>
      <c r="AQ157" s="218">
        <f>IFERROR(__xludf.DUMMYFUNCTION("""COMPUTED_VALUE"""),45982.0)</f>
        <v>45982</v>
      </c>
      <c r="AR157" s="211"/>
      <c r="AS157" s="211"/>
      <c r="AT157" s="211"/>
      <c r="AU157" s="211"/>
      <c r="AV157" s="211"/>
      <c r="AW157" s="211"/>
      <c r="AX157" s="211"/>
      <c r="AY157" s="211"/>
      <c r="AZ157" s="211"/>
      <c r="BB157" s="211"/>
      <c r="BC157" s="211"/>
      <c r="BD157" s="211"/>
      <c r="BE157" s="211"/>
      <c r="BF157" s="211"/>
      <c r="BG157" s="211"/>
      <c r="BH157" s="211"/>
      <c r="BI157" s="211"/>
    </row>
    <row r="158">
      <c r="A158" s="210" t="str">
        <f>IFERROR(__xludf.DUMMYFUNCTION("""COMPUTED_VALUE"""),"8a6b03a3")</f>
        <v>8a6b03a3</v>
      </c>
      <c r="B158" s="210" t="str">
        <f>IFERROR(__xludf.DUMMYFUNCTION("""COMPUTED_VALUE"""),"8a6b03a3")</f>
        <v>8a6b03a3</v>
      </c>
      <c r="C158" s="213">
        <f>IFERROR(__xludf.DUMMYFUNCTION("""COMPUTED_VALUE"""),45597.67766203704)</f>
        <v>45597.67766</v>
      </c>
      <c r="D158" s="211" t="str">
        <f>IFERROR(__xludf.DUMMYFUNCTION("""COMPUTED_VALUE"""),"72d9a70c")</f>
        <v>72d9a70c</v>
      </c>
      <c r="E158" s="211" t="str">
        <f>IFERROR(__xludf.DUMMYFUNCTION("""COMPUTED_VALUE"""),"PT Beton Prima Indonesia")</f>
        <v>PT Beton Prima Indonesia</v>
      </c>
      <c r="F158" s="211" t="str">
        <f>IFERROR(__xludf.DUMMYFUNCTION("""COMPUTED_VALUE"""),"3b9d6a30")</f>
        <v>3b9d6a30</v>
      </c>
      <c r="G158" s="211" t="str">
        <f>IFERROR(__xludf.DUMMYFUNCTION("""COMPUTED_VALUE"""),"Acetyline")</f>
        <v>Acetyline</v>
      </c>
      <c r="H158" s="214" t="str">
        <f>IFERROR(__xludf.DUMMYFUNCTION("""COMPUTED_VALUE"""),"IN")</f>
        <v>IN</v>
      </c>
      <c r="I158" s="214" t="str">
        <f>IFERROR(__xludf.DUMMYFUNCTION("""COMPUTED_VALUE"""),"EMPTY")</f>
        <v>EMPTY</v>
      </c>
      <c r="J158" s="211">
        <f>IFERROR(__xludf.DUMMYFUNCTION("""COMPUTED_VALUE"""),2.0)</f>
        <v>2</v>
      </c>
      <c r="K158" s="210" t="str">
        <f>IFERROR(__xludf.DUMMYFUNCTION("""COMPUTED_VALUE"""),"7819 017")</f>
        <v>7819 017</v>
      </c>
      <c r="L158" s="211"/>
      <c r="M158" s="211"/>
      <c r="N158" s="211"/>
      <c r="O158" s="211"/>
      <c r="Q158" s="210" t="str">
        <f>IFERROR(__xludf.DUMMYFUNCTION("""COMPUTED_VALUE"""),"11240105")</f>
        <v>11240105</v>
      </c>
      <c r="R158" s="210" t="str">
        <f>IFERROR(__xludf.DUMMYFUNCTION("""COMPUTED_VALUE"""),"11240105")</f>
        <v>11240105</v>
      </c>
      <c r="S158" s="211" t="str">
        <f>IFERROR(__xludf.DUMMYFUNCTION("""COMPUTED_VALUE"""),"c2f5a4a7")</f>
        <v>c2f5a4a7</v>
      </c>
      <c r="T158" s="211" t="str">
        <f>IFERROR(__xludf.DUMMYFUNCTION("""COMPUTED_VALUE"""),"UD Sumber Berlian")</f>
        <v>UD Sumber Berlian</v>
      </c>
      <c r="U158" s="215">
        <f>IFERROR(__xludf.DUMMYFUNCTION("""COMPUTED_VALUE"""),45612.353356481486)</f>
        <v>45612.35336</v>
      </c>
      <c r="V158" s="211" t="str">
        <f>IFERROR(__xludf.DUMMYFUNCTION("""COMPUTED_VALUE"""),"Ciro Kulon, Bakungtemenggungan, Kec. BalongBendo, Kabupaten Sidoarjo, Jawa Timur 61263")</f>
        <v>Ciro Kulon, Bakungtemenggungan, Kec. BalongBendo, Kabupaten Sidoarjo, Jawa Timur 61263</v>
      </c>
      <c r="W158" s="211" t="str">
        <f>IFERROR(__xludf.DUMMYFUNCTION("""COMPUTED_VALUE"""),"OUT")</f>
        <v>OUT</v>
      </c>
      <c r="X158" s="211"/>
      <c r="Z158" s="211" t="str">
        <f>IFERROR(__xludf.DUMMYFUNCTION("""COMPUTED_VALUE"""),"0326782732")</f>
        <v>0326782732</v>
      </c>
      <c r="AC158" s="211"/>
      <c r="AD158" s="211"/>
      <c r="AE158" s="211"/>
      <c r="AF158" s="211"/>
      <c r="AG158" s="211"/>
      <c r="AH158" s="211"/>
      <c r="AI158" s="211"/>
      <c r="AJ158" s="211"/>
      <c r="AL158" s="211" t="str">
        <f>IFERROR(__xludf.DUMMYFUNCTION("""COMPUTED_VALUE"""),"2250150")</f>
        <v>2250150</v>
      </c>
      <c r="AM158" s="211" t="str">
        <f>IFERROR(__xludf.DUMMYFUNCTION("""COMPUTED_VALUE"""),"122571877")</f>
        <v>122571877</v>
      </c>
      <c r="AN158" s="211" t="str">
        <f>IFERROR(__xludf.DUMMYFUNCTION("""COMPUTED_VALUE"""),"440df1db")</f>
        <v>440df1db</v>
      </c>
      <c r="AO158" s="211" t="str">
        <f>IFERROR(__xludf.DUMMYFUNCTION("""COMPUTED_VALUE"""),"PT. Mecca Abadi Sejahtera")</f>
        <v>PT. Mecca Abadi Sejahtera</v>
      </c>
      <c r="AP158" s="215">
        <f>IFERROR(__xludf.DUMMYFUNCTION("""COMPUTED_VALUE"""),46004.57655092592)</f>
        <v>46004.57655</v>
      </c>
      <c r="AQ158" s="218">
        <f>IFERROR(__xludf.DUMMYFUNCTION("""COMPUTED_VALUE"""),45994.0)</f>
        <v>45994</v>
      </c>
      <c r="AR158" s="211"/>
      <c r="AS158" s="211"/>
      <c r="AT158" s="211"/>
      <c r="AU158" s="211"/>
      <c r="AV158" s="211"/>
      <c r="AW158" s="211"/>
      <c r="AX158" s="211"/>
      <c r="AY158" s="211"/>
      <c r="AZ158" s="211"/>
      <c r="BB158" s="211"/>
      <c r="BC158" s="211"/>
      <c r="BD158" s="211"/>
      <c r="BE158" s="211"/>
      <c r="BF158" s="211"/>
      <c r="BG158" s="211"/>
      <c r="BH158" s="211"/>
      <c r="BI158" s="211"/>
    </row>
    <row r="159">
      <c r="A159" s="210" t="str">
        <f>IFERROR(__xludf.DUMMYFUNCTION("""COMPUTED_VALUE"""),"41ddbd17")</f>
        <v>41ddbd17</v>
      </c>
      <c r="B159" s="210" t="str">
        <f>IFERROR(__xludf.DUMMYFUNCTION("""COMPUTED_VALUE"""),"41ddbd17")</f>
        <v>41ddbd17</v>
      </c>
      <c r="C159" s="213">
        <f>IFERROR(__xludf.DUMMYFUNCTION("""COMPUTED_VALUE"""),45597.679131944446)</f>
        <v>45597.67913</v>
      </c>
      <c r="D159" s="211" t="str">
        <f>IFERROR(__xludf.DUMMYFUNCTION("""COMPUTED_VALUE"""),"7b9d8eba")</f>
        <v>7b9d8eba</v>
      </c>
      <c r="E159" s="211" t="str">
        <f>IFERROR(__xludf.DUMMYFUNCTION("""COMPUTED_VALUE"""),"PT PELANGI INDOKARYA")</f>
        <v>PT PELANGI INDOKARYA</v>
      </c>
      <c r="F159" s="211" t="str">
        <f>IFERROR(__xludf.DUMMYFUNCTION("""COMPUTED_VALUE"""),"8bdbe149")</f>
        <v>8bdbe149</v>
      </c>
      <c r="G159" s="211" t="str">
        <f>IFERROR(__xludf.DUMMYFUNCTION("""COMPUTED_VALUE"""),"Oksigen 6m3")</f>
        <v>Oksigen 6m3</v>
      </c>
      <c r="H159" s="214" t="str">
        <f>IFERROR(__xludf.DUMMYFUNCTION("""COMPUTED_VALUE"""),"IN")</f>
        <v>IN</v>
      </c>
      <c r="I159" s="214" t="str">
        <f>IFERROR(__xludf.DUMMYFUNCTION("""COMPUTED_VALUE"""),"EMPTY")</f>
        <v>EMPTY</v>
      </c>
      <c r="J159" s="211">
        <f>IFERROR(__xludf.DUMMYFUNCTION("""COMPUTED_VALUE"""),2.0)</f>
        <v>2</v>
      </c>
      <c r="K159" s="210" t="str">
        <f>IFERROR(__xludf.DUMMYFUNCTION("""COMPUTED_VALUE"""),"1115 11109")</f>
        <v>1115 11109</v>
      </c>
      <c r="L159" s="211"/>
      <c r="M159" s="211"/>
      <c r="N159" s="211"/>
      <c r="O159" s="211"/>
      <c r="Q159" s="210" t="str">
        <f>IFERROR(__xludf.DUMMYFUNCTION("""COMPUTED_VALUE"""),"411240002")</f>
        <v>411240002</v>
      </c>
      <c r="R159" s="210" t="str">
        <f>IFERROR(__xludf.DUMMYFUNCTION("""COMPUTED_VALUE"""),"411240002")</f>
        <v>411240002</v>
      </c>
      <c r="S159" s="211" t="str">
        <f>IFERROR(__xludf.DUMMYFUNCTION("""COMPUTED_VALUE"""),"c2f5a4a7")</f>
        <v>c2f5a4a7</v>
      </c>
      <c r="T159" s="211" t="str">
        <f>IFERROR(__xludf.DUMMYFUNCTION("""COMPUTED_VALUE"""),"UD Sumber Berlian")</f>
        <v>UD Sumber Berlian</v>
      </c>
      <c r="U159" s="215">
        <f>IFERROR(__xludf.DUMMYFUNCTION("""COMPUTED_VALUE"""),45612.35555555555)</f>
        <v>45612.35556</v>
      </c>
      <c r="V159" s="211" t="str">
        <f>IFERROR(__xludf.DUMMYFUNCTION("""COMPUTED_VALUE"""),"Ciro Kulon, Bakungtemenggungan, Kec. BalongBendo, Kabupaten Sidoarjo, Jawa Timur 61263")</f>
        <v>Ciro Kulon, Bakungtemenggungan, Kec. BalongBendo, Kabupaten Sidoarjo, Jawa Timur 61263</v>
      </c>
      <c r="W159" s="211" t="str">
        <f>IFERROR(__xludf.DUMMYFUNCTION("""COMPUTED_VALUE"""),"OTHER")</f>
        <v>OTHER</v>
      </c>
      <c r="X159" s="211"/>
      <c r="Z159" s="211" t="str">
        <f>IFERROR(__xludf.DUMMYFUNCTION("""COMPUTED_VALUE"""),"032642731")</f>
        <v>032642731</v>
      </c>
      <c r="AC159" s="211"/>
      <c r="AD159" s="211"/>
      <c r="AE159" s="211"/>
      <c r="AF159" s="211"/>
      <c r="AG159" s="211"/>
      <c r="AH159" s="211"/>
      <c r="AI159" s="211"/>
      <c r="AJ159" s="211"/>
      <c r="AL159" s="211" t="str">
        <f>IFERROR(__xludf.DUMMYFUNCTION("""COMPUTED_VALUE"""),"2250150")</f>
        <v>2250150</v>
      </c>
      <c r="AM159" s="211" t="str">
        <f>IFERROR(__xludf.DUMMYFUNCTION("""COMPUTED_VALUE"""),"122581930")</f>
        <v>122581930</v>
      </c>
      <c r="AN159" s="211" t="str">
        <f>IFERROR(__xludf.DUMMYFUNCTION("""COMPUTED_VALUE"""),"440df1db")</f>
        <v>440df1db</v>
      </c>
      <c r="AO159" s="211" t="str">
        <f>IFERROR(__xludf.DUMMYFUNCTION("""COMPUTED_VALUE"""),"PT. Mecca Abadi Sejahtera")</f>
        <v>PT. Mecca Abadi Sejahtera</v>
      </c>
      <c r="AP159" s="215">
        <f>IFERROR(__xludf.DUMMYFUNCTION("""COMPUTED_VALUE"""),46004.57655092592)</f>
        <v>46004.57655</v>
      </c>
      <c r="AQ159" s="218">
        <f>IFERROR(__xludf.DUMMYFUNCTION("""COMPUTED_VALUE"""),46000.0)</f>
        <v>46000</v>
      </c>
      <c r="AR159" s="211"/>
      <c r="AS159" s="211"/>
      <c r="AT159" s="211"/>
      <c r="AU159" s="211"/>
      <c r="AV159" s="211"/>
      <c r="AW159" s="211"/>
      <c r="AX159" s="211"/>
      <c r="AY159" s="211"/>
      <c r="AZ159" s="211"/>
      <c r="BB159" s="211"/>
      <c r="BC159" s="211"/>
      <c r="BD159" s="211"/>
      <c r="BE159" s="211"/>
      <c r="BF159" s="211"/>
      <c r="BG159" s="211"/>
      <c r="BH159" s="211"/>
      <c r="BI159" s="211"/>
    </row>
    <row r="160">
      <c r="A160" s="210" t="str">
        <f>IFERROR(__xludf.DUMMYFUNCTION("""COMPUTED_VALUE"""),"146e5fae")</f>
        <v>146e5fae</v>
      </c>
      <c r="B160" s="210" t="str">
        <f>IFERROR(__xludf.DUMMYFUNCTION("""COMPUTED_VALUE"""),"146e5fae")</f>
        <v>146e5fae</v>
      </c>
      <c r="C160" s="213">
        <f>IFERROR(__xludf.DUMMYFUNCTION("""COMPUTED_VALUE"""),45597.67953703704)</f>
        <v>45597.67954</v>
      </c>
      <c r="D160" s="211" t="str">
        <f>IFERROR(__xludf.DUMMYFUNCTION("""COMPUTED_VALUE"""),"4ec68cf6")</f>
        <v>4ec68cf6</v>
      </c>
      <c r="E160" s="211" t="str">
        <f>IFERROR(__xludf.DUMMYFUNCTION("""COMPUTED_VALUE"""),"CV Sido Mukti Karya")</f>
        <v>CV Sido Mukti Karya</v>
      </c>
      <c r="F160" s="211" t="str">
        <f>IFERROR(__xludf.DUMMYFUNCTION("""COMPUTED_VALUE"""),"8bdbe149")</f>
        <v>8bdbe149</v>
      </c>
      <c r="G160" s="211" t="str">
        <f>IFERROR(__xludf.DUMMYFUNCTION("""COMPUTED_VALUE"""),"Oksigen 6m3")</f>
        <v>Oksigen 6m3</v>
      </c>
      <c r="H160" s="214" t="str">
        <f>IFERROR(__xludf.DUMMYFUNCTION("""COMPUTED_VALUE"""),"IN")</f>
        <v>IN</v>
      </c>
      <c r="I160" s="214" t="str">
        <f>IFERROR(__xludf.DUMMYFUNCTION("""COMPUTED_VALUE"""),"EMPTY")</f>
        <v>EMPTY</v>
      </c>
      <c r="J160" s="211">
        <f>IFERROR(__xludf.DUMMYFUNCTION("""COMPUTED_VALUE"""),3.0)</f>
        <v>3</v>
      </c>
      <c r="K160" s="210" t="str">
        <f>IFERROR(__xludf.DUMMYFUNCTION("""COMPUTED_VALUE"""),"1105 1146 1128")</f>
        <v>1105 1146 1128</v>
      </c>
      <c r="L160" s="211"/>
      <c r="M160" s="211"/>
      <c r="N160" s="211"/>
      <c r="O160" s="211"/>
      <c r="Q160" s="210" t="str">
        <f>IFERROR(__xludf.DUMMYFUNCTION("""COMPUTED_VALUE"""),"647d59bf")</f>
        <v>647d59bf</v>
      </c>
      <c r="R160" s="210" t="str">
        <f>IFERROR(__xludf.DUMMYFUNCTION("""COMPUTED_VALUE"""),"647d59bf")</f>
        <v>647d59bf</v>
      </c>
      <c r="S160" s="211" t="str">
        <f>IFERROR(__xludf.DUMMYFUNCTION("""COMPUTED_VALUE"""),"72d9a70c")</f>
        <v>72d9a70c</v>
      </c>
      <c r="T160" s="211" t="str">
        <f>IFERROR(__xludf.DUMMYFUNCTION("""COMPUTED_VALUE"""),"PT Beton Prima Indonesia")</f>
        <v>PT Beton Prima Indonesia</v>
      </c>
      <c r="U160" s="215">
        <f>IFERROR(__xludf.DUMMYFUNCTION("""COMPUTED_VALUE"""),45612.4825)</f>
        <v>45612.4825</v>
      </c>
      <c r="V160" s="211" t="str">
        <f>IFERROR(__xludf.DUMMYFUNCTION("""COMPUTED_VALUE"""),"KH. Ahmad Dahlan KM.2 Ds. Sumberwono, Kec. Bangsal, Kab. Mojokerto 61381")</f>
        <v>KH. Ahmad Dahlan KM.2 Ds. Sumberwono, Kec. Bangsal, Kab. Mojokerto 61381</v>
      </c>
      <c r="W160" s="211" t="str">
        <f>IFERROR(__xludf.DUMMYFUNCTION("""COMPUTED_VALUE"""),"IN")</f>
        <v>IN</v>
      </c>
      <c r="X160" s="211"/>
      <c r="Z160" s="211" t="str">
        <f>IFERROR(__xludf.DUMMYFUNCTION("""COMPUTED_VALUE"""),"032642730")</f>
        <v>032642730</v>
      </c>
      <c r="AC160" s="211"/>
      <c r="AD160" s="211"/>
      <c r="AE160" s="211"/>
      <c r="AF160" s="211"/>
      <c r="AG160" s="211"/>
      <c r="AH160" s="211"/>
      <c r="AI160" s="211"/>
      <c r="AJ160" s="211"/>
      <c r="AL160" s="211" t="str">
        <f>IFERROR(__xludf.DUMMYFUNCTION("""COMPUTED_VALUE"""),"2250148")</f>
        <v>2250148</v>
      </c>
      <c r="AM160" s="211" t="str">
        <f>IFERROR(__xludf.DUMMYFUNCTION("""COMPUTED_VALUE"""),"1225721928")</f>
        <v>1225721928</v>
      </c>
      <c r="AN160" s="211" t="str">
        <f>IFERROR(__xludf.DUMMYFUNCTION("""COMPUTED_VALUE"""),"e86baf3b")</f>
        <v>e86baf3b</v>
      </c>
      <c r="AO160" s="211" t="str">
        <f>IFERROR(__xludf.DUMMYFUNCTION("""COMPUTED_VALUE"""),"PT GEMILANG CIPTA WAWASAN")</f>
        <v>PT GEMILANG CIPTA WAWASAN</v>
      </c>
      <c r="AP160" s="215">
        <f>IFERROR(__xludf.DUMMYFUNCTION("""COMPUTED_VALUE"""),46004.576331018514)</f>
        <v>46004.57633</v>
      </c>
      <c r="AQ160" s="218">
        <f>IFERROR(__xludf.DUMMYFUNCTION("""COMPUTED_VALUE"""),46000.0)</f>
        <v>46000</v>
      </c>
      <c r="AR160" s="211"/>
      <c r="AS160" s="211"/>
      <c r="AT160" s="211"/>
      <c r="AU160" s="211"/>
      <c r="AV160" s="211"/>
      <c r="AW160" s="211"/>
      <c r="AX160" s="211"/>
      <c r="AY160" s="211"/>
      <c r="AZ160" s="211"/>
      <c r="BB160" s="211"/>
      <c r="BC160" s="211"/>
      <c r="BD160" s="211"/>
      <c r="BE160" s="211"/>
      <c r="BF160" s="211"/>
      <c r="BG160" s="211"/>
      <c r="BH160" s="211"/>
      <c r="BI160" s="211"/>
    </row>
    <row r="161">
      <c r="A161" s="210" t="str">
        <f>IFERROR(__xludf.DUMMYFUNCTION("""COMPUTED_VALUE"""),"11240075")</f>
        <v>11240075</v>
      </c>
      <c r="B161" s="210" t="str">
        <f>IFERROR(__xludf.DUMMYFUNCTION("""COMPUTED_VALUE"""),"11240075")</f>
        <v>11240075</v>
      </c>
      <c r="C161" s="213">
        <f>IFERROR(__xludf.DUMMYFUNCTION("""COMPUTED_VALUE"""),45599.674305555556)</f>
        <v>45599.67431</v>
      </c>
      <c r="D161" s="211" t="str">
        <f>IFERROR(__xludf.DUMMYFUNCTION("""COMPUTED_VALUE"""),"c2f5a4a7")</f>
        <v>c2f5a4a7</v>
      </c>
      <c r="E161" s="211" t="str">
        <f>IFERROR(__xludf.DUMMYFUNCTION("""COMPUTED_VALUE"""),"UD Sumber Berlian")</f>
        <v>UD Sumber Berlian</v>
      </c>
      <c r="F161" s="211" t="str">
        <f>IFERROR(__xludf.DUMMYFUNCTION("""COMPUTED_VALUE"""),"8bdbe149")</f>
        <v>8bdbe149</v>
      </c>
      <c r="G161" s="211" t="str">
        <f>IFERROR(__xludf.DUMMYFUNCTION("""COMPUTED_VALUE"""),"Oksigen 6m3")</f>
        <v>Oksigen 6m3</v>
      </c>
      <c r="H161" s="214" t="str">
        <f>IFERROR(__xludf.DUMMYFUNCTION("""COMPUTED_VALUE"""),"OUT")</f>
        <v>OUT</v>
      </c>
      <c r="I161" s="214" t="str">
        <f>IFERROR(__xludf.DUMMYFUNCTION("""COMPUTED_VALUE"""),"NORMAL")</f>
        <v>NORMAL</v>
      </c>
      <c r="J161" s="211">
        <f>IFERROR(__xludf.DUMMYFUNCTION("""COMPUTED_VALUE"""),13.0)</f>
        <v>13</v>
      </c>
      <c r="K161" s="210" t="str">
        <f>IFERROR(__xludf.DUMMYFUNCTION("""COMPUTED_VALUE"""),"1110 11109 1115 1130 11113 1149 1117 1141 1121 1128 1105 1120 1146")</f>
        <v>1110 11109 1115 1130 11113 1149 1117 1141 1121 1128 1105 1120 1146</v>
      </c>
      <c r="L161" s="211">
        <f>IFERROR(__xludf.DUMMYFUNCTION("""COMPUTED_VALUE"""),70000.0)</f>
        <v>70000</v>
      </c>
      <c r="M161" s="211"/>
      <c r="N161" s="211"/>
      <c r="O161" s="211"/>
      <c r="Q161" s="210" t="str">
        <f>IFERROR(__xludf.DUMMYFUNCTION("""COMPUTED_VALUE"""),"9b970b56")</f>
        <v>9b970b56</v>
      </c>
      <c r="R161" s="210" t="str">
        <f>IFERROR(__xludf.DUMMYFUNCTION("""COMPUTED_VALUE"""),"9b970b56")</f>
        <v>9b970b56</v>
      </c>
      <c r="S161" s="211" t="str">
        <f>IFERROR(__xludf.DUMMYFUNCTION("""COMPUTED_VALUE"""),"c2f5a4a7")</f>
        <v>c2f5a4a7</v>
      </c>
      <c r="T161" s="211" t="str">
        <f>IFERROR(__xludf.DUMMYFUNCTION("""COMPUTED_VALUE"""),"UD Sumber Berlian")</f>
        <v>UD Sumber Berlian</v>
      </c>
      <c r="U161" s="215">
        <f>IFERROR(__xludf.DUMMYFUNCTION("""COMPUTED_VALUE"""),45612.50064814815)</f>
        <v>45612.50065</v>
      </c>
      <c r="V161" s="211" t="str">
        <f>IFERROR(__xludf.DUMMYFUNCTION("""COMPUTED_VALUE"""),"Ciro Kulon, Bakungtemenggungan, Kec. BalongBendo, Kabupaten Sidoarjo, Jawa Timur 61263")</f>
        <v>Ciro Kulon, Bakungtemenggungan, Kec. BalongBendo, Kabupaten Sidoarjo, Jawa Timur 61263</v>
      </c>
      <c r="W161" s="211" t="str">
        <f>IFERROR(__xludf.DUMMYFUNCTION("""COMPUTED_VALUE"""),"IN")</f>
        <v>IN</v>
      </c>
      <c r="X161" s="211"/>
      <c r="Z161" s="211" t="str">
        <f>IFERROR(__xludf.DUMMYFUNCTION("""COMPUTED_VALUE"""),"032642729")</f>
        <v>032642729</v>
      </c>
      <c r="AC161" s="211"/>
      <c r="AD161" s="211"/>
      <c r="AE161" s="211"/>
      <c r="AF161" s="211"/>
      <c r="AG161" s="211"/>
      <c r="AH161" s="211"/>
      <c r="AI161" s="211"/>
      <c r="AJ161" s="211"/>
      <c r="AL161" s="211" t="str">
        <f>IFERROR(__xludf.DUMMYFUNCTION("""COMPUTED_VALUE"""),"2250148")</f>
        <v>2250148</v>
      </c>
      <c r="AM161" s="211" t="str">
        <f>IFERROR(__xludf.DUMMYFUNCTION("""COMPUTED_VALUE"""),"1225731956")</f>
        <v>1225731956</v>
      </c>
      <c r="AN161" s="211" t="str">
        <f>IFERROR(__xludf.DUMMYFUNCTION("""COMPUTED_VALUE"""),"e86baf3b")</f>
        <v>e86baf3b</v>
      </c>
      <c r="AO161" s="211" t="str">
        <f>IFERROR(__xludf.DUMMYFUNCTION("""COMPUTED_VALUE"""),"PT GEMILANG CIPTA WAWASAN")</f>
        <v>PT GEMILANG CIPTA WAWASAN</v>
      </c>
      <c r="AP161" s="215">
        <f>IFERROR(__xludf.DUMMYFUNCTION("""COMPUTED_VALUE"""),46004.576331018514)</f>
        <v>46004.57633</v>
      </c>
      <c r="AQ161" s="218">
        <f>IFERROR(__xludf.DUMMYFUNCTION("""COMPUTED_VALUE"""),46003.0)</f>
        <v>46003</v>
      </c>
      <c r="AR161" s="211"/>
      <c r="AS161" s="211"/>
      <c r="AT161" s="211"/>
      <c r="AU161" s="211"/>
      <c r="AV161" s="211"/>
      <c r="AW161" s="211"/>
      <c r="AX161" s="211"/>
      <c r="AY161" s="211"/>
      <c r="AZ161" s="211"/>
      <c r="BB161" s="211"/>
      <c r="BC161" s="211"/>
      <c r="BD161" s="211"/>
      <c r="BE161" s="211"/>
      <c r="BF161" s="211"/>
      <c r="BG161" s="211"/>
      <c r="BH161" s="211"/>
      <c r="BI161" s="211"/>
    </row>
    <row r="162">
      <c r="A162" s="210" t="str">
        <f>IFERROR(__xludf.DUMMYFUNCTION("""COMPUTED_VALUE"""),"11240075")</f>
        <v>11240075</v>
      </c>
      <c r="B162" s="210" t="str">
        <f>IFERROR(__xludf.DUMMYFUNCTION("""COMPUTED_VALUE"""),"11240075")</f>
        <v>11240075</v>
      </c>
      <c r="C162" s="213">
        <f>IFERROR(__xludf.DUMMYFUNCTION("""COMPUTED_VALUE"""),45599.674305555556)</f>
        <v>45599.67431</v>
      </c>
      <c r="D162" s="211" t="str">
        <f>IFERROR(__xludf.DUMMYFUNCTION("""COMPUTED_VALUE"""),"c2f5a4a7")</f>
        <v>c2f5a4a7</v>
      </c>
      <c r="E162" s="211" t="str">
        <f>IFERROR(__xludf.DUMMYFUNCTION("""COMPUTED_VALUE"""),"UD Sumber Berlian")</f>
        <v>UD Sumber Berlian</v>
      </c>
      <c r="F162" s="211" t="str">
        <f>IFERROR(__xludf.DUMMYFUNCTION("""COMPUTED_VALUE"""),"be525f3b")</f>
        <v>be525f3b</v>
      </c>
      <c r="G162" s="211" t="str">
        <f>IFERROR(__xludf.DUMMYFUNCTION("""COMPUTED_VALUE"""),"LPG 12kg")</f>
        <v>LPG 12kg</v>
      </c>
      <c r="H162" s="214" t="str">
        <f>IFERROR(__xludf.DUMMYFUNCTION("""COMPUTED_VALUE"""),"OUT")</f>
        <v>OUT</v>
      </c>
      <c r="I162" s="214" t="str">
        <f>IFERROR(__xludf.DUMMYFUNCTION("""COMPUTED_VALUE"""),"NORMAL")</f>
        <v>NORMAL</v>
      </c>
      <c r="J162" s="211">
        <f>IFERROR(__xludf.DUMMYFUNCTION("""COMPUTED_VALUE"""),4.0)</f>
        <v>4</v>
      </c>
      <c r="K162" s="211"/>
      <c r="L162" s="211">
        <f>IFERROR(__xludf.DUMMYFUNCTION("""COMPUTED_VALUE"""),215000.0)</f>
        <v>215000</v>
      </c>
      <c r="M162" s="211"/>
      <c r="N162" s="211"/>
      <c r="O162" s="211"/>
      <c r="Q162" s="210" t="str">
        <f>IFERROR(__xludf.DUMMYFUNCTION("""COMPUTED_VALUE"""),"11240109")</f>
        <v>11240109</v>
      </c>
      <c r="R162" s="210" t="str">
        <f>IFERROR(__xludf.DUMMYFUNCTION("""COMPUTED_VALUE"""),"11240109")</f>
        <v>11240109</v>
      </c>
      <c r="S162" s="211" t="str">
        <f>IFERROR(__xludf.DUMMYFUNCTION("""COMPUTED_VALUE"""),"72d9a70c")</f>
        <v>72d9a70c</v>
      </c>
      <c r="T162" s="211" t="str">
        <f>IFERROR(__xludf.DUMMYFUNCTION("""COMPUTED_VALUE"""),"PT Beton Prima Indonesia")</f>
        <v>PT Beton Prima Indonesia</v>
      </c>
      <c r="U162" s="215">
        <f>IFERROR(__xludf.DUMMYFUNCTION("""COMPUTED_VALUE"""),45614.33052083333)</f>
        <v>45614.33052</v>
      </c>
      <c r="V162" s="211" t="str">
        <f>IFERROR(__xludf.DUMMYFUNCTION("""COMPUTED_VALUE"""),"KH. Ahmad Dahlan KM.2 Ds. Sumberwono, Kec. Bangsal, Kab. Mojokerto 61381")</f>
        <v>KH. Ahmad Dahlan KM.2 Ds. Sumberwono, Kec. Bangsal, Kab. Mojokerto 61381</v>
      </c>
      <c r="W162" s="211" t="str">
        <f>IFERROR(__xludf.DUMMYFUNCTION("""COMPUTED_VALUE"""),"OUT")</f>
        <v>OUT</v>
      </c>
      <c r="X162" s="211"/>
      <c r="Z162" s="211" t="str">
        <f>IFERROR(__xludf.DUMMYFUNCTION("""COMPUTED_VALUE"""),"032672728")</f>
        <v>032672728</v>
      </c>
      <c r="AC162" s="211"/>
      <c r="AD162" s="211"/>
      <c r="AE162" s="211"/>
      <c r="AF162" s="211"/>
      <c r="AG162" s="211"/>
      <c r="AH162" s="211"/>
      <c r="AI162" s="211"/>
      <c r="AJ162" s="211"/>
      <c r="AL162" s="211" t="str">
        <f>IFERROR(__xludf.DUMMYFUNCTION("""COMPUTED_VALUE"""),"2250147")</f>
        <v>2250147</v>
      </c>
      <c r="AM162" s="211" t="str">
        <f>IFERROR(__xludf.DUMMYFUNCTION("""COMPUTED_VALUE"""),"1125711857")</f>
        <v>1125711857</v>
      </c>
      <c r="AN162" s="211" t="str">
        <f>IFERROR(__xludf.DUMMYFUNCTION("""COMPUTED_VALUE"""),"e86baf3b")</f>
        <v>e86baf3b</v>
      </c>
      <c r="AO162" s="211" t="str">
        <f>IFERROR(__xludf.DUMMYFUNCTION("""COMPUTED_VALUE"""),"PT GEMILANG CIPTA WAWASAN")</f>
        <v>PT GEMILANG CIPTA WAWASAN</v>
      </c>
      <c r="AP162" s="215">
        <f>IFERROR(__xludf.DUMMYFUNCTION("""COMPUTED_VALUE"""),46004.57607638889)</f>
        <v>46004.57608</v>
      </c>
      <c r="AQ162" s="218">
        <f>IFERROR(__xludf.DUMMYFUNCTION("""COMPUTED_VALUE"""),45990.0)</f>
        <v>45990</v>
      </c>
      <c r="AR162" s="211"/>
      <c r="AS162" s="211"/>
      <c r="AT162" s="211"/>
      <c r="AU162" s="211"/>
      <c r="AV162" s="211"/>
      <c r="AW162" s="211"/>
      <c r="AX162" s="211"/>
      <c r="AY162" s="211"/>
      <c r="AZ162" s="211"/>
      <c r="BB162" s="211"/>
      <c r="BC162" s="211"/>
      <c r="BD162" s="211"/>
      <c r="BE162" s="211"/>
      <c r="BF162" s="211"/>
      <c r="BG162" s="211"/>
      <c r="BH162" s="211"/>
      <c r="BI162" s="211"/>
    </row>
    <row r="163">
      <c r="A163" s="210" t="str">
        <f>IFERROR(__xludf.DUMMYFUNCTION("""COMPUTED_VALUE"""),"58dae10f")</f>
        <v>58dae10f</v>
      </c>
      <c r="B163" s="210" t="str">
        <f>IFERROR(__xludf.DUMMYFUNCTION("""COMPUTED_VALUE"""),"58dae10f")</f>
        <v>58dae10f</v>
      </c>
      <c r="C163" s="213">
        <f>IFERROR(__xludf.DUMMYFUNCTION("""COMPUTED_VALUE"""),45600.47986111111)</f>
        <v>45600.47986</v>
      </c>
      <c r="D163" s="211" t="str">
        <f>IFERROR(__xludf.DUMMYFUNCTION("""COMPUTED_VALUE"""),"c2f5a4a7")</f>
        <v>c2f5a4a7</v>
      </c>
      <c r="E163" s="211" t="str">
        <f>IFERROR(__xludf.DUMMYFUNCTION("""COMPUTED_VALUE"""),"UD Sumber Berlian")</f>
        <v>UD Sumber Berlian</v>
      </c>
      <c r="F163" s="211" t="str">
        <f>IFERROR(__xludf.DUMMYFUNCTION("""COMPUTED_VALUE"""),"8bdbe149")</f>
        <v>8bdbe149</v>
      </c>
      <c r="G163" s="211" t="str">
        <f>IFERROR(__xludf.DUMMYFUNCTION("""COMPUTED_VALUE"""),"Oksigen 6m3")</f>
        <v>Oksigen 6m3</v>
      </c>
      <c r="H163" s="214" t="str">
        <f>IFERROR(__xludf.DUMMYFUNCTION("""COMPUTED_VALUE"""),"IN")</f>
        <v>IN</v>
      </c>
      <c r="I163" s="214" t="str">
        <f>IFERROR(__xludf.DUMMYFUNCTION("""COMPUTED_VALUE"""),"EMPTY")</f>
        <v>EMPTY</v>
      </c>
      <c r="J163" s="211">
        <f>IFERROR(__xludf.DUMMYFUNCTION("""COMPUTED_VALUE"""),12.0)</f>
        <v>12</v>
      </c>
      <c r="K163" s="210" t="str">
        <f>IFERROR(__xludf.DUMMYFUNCTION("""COMPUTED_VALUE"""),"1130 1110 1105 1120 1149 1128 1117 1146 1115 11113 1141 1121")</f>
        <v>1130 1110 1105 1120 1149 1128 1117 1146 1115 11113 1141 1121</v>
      </c>
      <c r="L163" s="211"/>
      <c r="M163" s="211"/>
      <c r="N163" s="211"/>
      <c r="O163" s="211"/>
      <c r="Q163" s="210" t="str">
        <f>IFERROR(__xludf.DUMMYFUNCTION("""COMPUTED_VALUE"""),"2ed4eef5")</f>
        <v>2ed4eef5</v>
      </c>
      <c r="R163" s="210" t="str">
        <f>IFERROR(__xludf.DUMMYFUNCTION("""COMPUTED_VALUE"""),"2ed4eef5")</f>
        <v>2ed4eef5</v>
      </c>
      <c r="S163" s="211" t="str">
        <f>IFERROR(__xludf.DUMMYFUNCTION("""COMPUTED_VALUE"""),"72d9a70c")</f>
        <v>72d9a70c</v>
      </c>
      <c r="T163" s="211" t="str">
        <f>IFERROR(__xludf.DUMMYFUNCTION("""COMPUTED_VALUE"""),"PT Beton Prima Indonesia")</f>
        <v>PT Beton Prima Indonesia</v>
      </c>
      <c r="U163" s="215">
        <f>IFERROR(__xludf.DUMMYFUNCTION("""COMPUTED_VALUE"""),45614.62232638889)</f>
        <v>45614.62233</v>
      </c>
      <c r="V163" s="211" t="str">
        <f>IFERROR(__xludf.DUMMYFUNCTION("""COMPUTED_VALUE"""),"KH. Ahmad Dahlan KM.2 Ds. Sumberwono, Kec. Bangsal, Kab. Mojokerto 61381")</f>
        <v>KH. Ahmad Dahlan KM.2 Ds. Sumberwono, Kec. Bangsal, Kab. Mojokerto 61381</v>
      </c>
      <c r="W163" s="211" t="str">
        <f>IFERROR(__xludf.DUMMYFUNCTION("""COMPUTED_VALUE"""),"IN")</f>
        <v>IN</v>
      </c>
      <c r="X163" s="211"/>
      <c r="Z163" s="211" t="str">
        <f>IFERROR(__xludf.DUMMYFUNCTION("""COMPUTED_VALUE"""),"032682727")</f>
        <v>032682727</v>
      </c>
      <c r="AC163" s="211"/>
      <c r="AD163" s="211"/>
      <c r="AE163" s="211"/>
      <c r="AF163" s="211"/>
      <c r="AG163" s="211"/>
      <c r="AH163" s="211"/>
      <c r="AI163" s="211"/>
      <c r="AJ163" s="211"/>
      <c r="AL163" s="211" t="str">
        <f>IFERROR(__xludf.DUMMYFUNCTION("""COMPUTED_VALUE"""),"2250143")</f>
        <v>2250143</v>
      </c>
      <c r="AM163" s="211" t="str">
        <f>IFERROR(__xludf.DUMMYFUNCTION("""COMPUTED_VALUE"""),"122531930")</f>
        <v>122531930</v>
      </c>
      <c r="AN163" s="211" t="str">
        <f>IFERROR(__xludf.DUMMYFUNCTION("""COMPUTED_VALUE"""),"3b04351a")</f>
        <v>3b04351a</v>
      </c>
      <c r="AO163" s="211" t="str">
        <f>IFERROR(__xludf.DUMMYFUNCTION("""COMPUTED_VALUE"""),"CV Usaha Logam Jaya")</f>
        <v>CV Usaha Logam Jaya</v>
      </c>
      <c r="AP163" s="215">
        <f>IFERROR(__xludf.DUMMYFUNCTION("""COMPUTED_VALUE"""),46004.55193287037)</f>
        <v>46004.55193</v>
      </c>
      <c r="AQ163" s="218">
        <f>IFERROR(__xludf.DUMMYFUNCTION("""COMPUTED_VALUE"""),46001.0)</f>
        <v>46001</v>
      </c>
      <c r="AR163" s="211"/>
      <c r="AS163" s="211"/>
      <c r="AT163" s="211"/>
      <c r="AU163" s="211"/>
      <c r="AV163" s="211"/>
      <c r="AW163" s="211"/>
      <c r="AX163" s="211"/>
      <c r="AY163" s="211"/>
      <c r="AZ163" s="211"/>
      <c r="BB163" s="211"/>
      <c r="BC163" s="211"/>
      <c r="BD163" s="211"/>
      <c r="BE163" s="211"/>
      <c r="BF163" s="211"/>
      <c r="BG163" s="211"/>
      <c r="BH163" s="211"/>
      <c r="BI163" s="211"/>
    </row>
    <row r="164">
      <c r="A164" s="210" t="str">
        <f>IFERROR(__xludf.DUMMYFUNCTION("""COMPUTED_VALUE"""),"11240077")</f>
        <v>11240077</v>
      </c>
      <c r="B164" s="210" t="str">
        <f>IFERROR(__xludf.DUMMYFUNCTION("""COMPUTED_VALUE"""),"11240077")</f>
        <v>11240077</v>
      </c>
      <c r="C164" s="213">
        <f>IFERROR(__xludf.DUMMYFUNCTION("""COMPUTED_VALUE"""),45600.490266203706)</f>
        <v>45600.49027</v>
      </c>
      <c r="D164" s="211" t="str">
        <f>IFERROR(__xludf.DUMMYFUNCTION("""COMPUTED_VALUE"""),"c2f5a4a7")</f>
        <v>c2f5a4a7</v>
      </c>
      <c r="E164" s="211" t="str">
        <f>IFERROR(__xludf.DUMMYFUNCTION("""COMPUTED_VALUE"""),"UD Sumber Berlian")</f>
        <v>UD Sumber Berlian</v>
      </c>
      <c r="F164" s="211" t="str">
        <f>IFERROR(__xludf.DUMMYFUNCTION("""COMPUTED_VALUE"""),"8bdbe149")</f>
        <v>8bdbe149</v>
      </c>
      <c r="G164" s="211" t="str">
        <f>IFERROR(__xludf.DUMMYFUNCTION("""COMPUTED_VALUE"""),"Oksigen 6m3")</f>
        <v>Oksigen 6m3</v>
      </c>
      <c r="H164" s="214" t="str">
        <f>IFERROR(__xludf.DUMMYFUNCTION("""COMPUTED_VALUE"""),"OUT")</f>
        <v>OUT</v>
      </c>
      <c r="I164" s="214" t="str">
        <f>IFERROR(__xludf.DUMMYFUNCTION("""COMPUTED_VALUE"""),"NORMAL")</f>
        <v>NORMAL</v>
      </c>
      <c r="J164" s="211">
        <f>IFERROR(__xludf.DUMMYFUNCTION("""COMPUTED_VALUE"""),20.0)</f>
        <v>20</v>
      </c>
      <c r="K164" s="211"/>
      <c r="L164" s="211">
        <f>IFERROR(__xludf.DUMMYFUNCTION("""COMPUTED_VALUE"""),70000.0)</f>
        <v>70000</v>
      </c>
      <c r="M164" s="211"/>
      <c r="N164" s="211"/>
      <c r="O164" s="211"/>
      <c r="Q164" s="210" t="str">
        <f>IFERROR(__xludf.DUMMYFUNCTION("""COMPUTED_VALUE"""),"39a4e81d")</f>
        <v>39a4e81d</v>
      </c>
      <c r="R164" s="210" t="str">
        <f>IFERROR(__xludf.DUMMYFUNCTION("""COMPUTED_VALUE"""),"39a4e81d")</f>
        <v>39a4e81d</v>
      </c>
      <c r="S164" s="211" t="str">
        <f>IFERROR(__xludf.DUMMYFUNCTION("""COMPUTED_VALUE"""),"37175874")</f>
        <v>37175874</v>
      </c>
      <c r="T164" s="211" t="str">
        <f>IFERROR(__xludf.DUMMYFUNCTION("""COMPUTED_VALUE"""),"PT TERAPAN NILAIOSILASI INDONESIA (TENO)")</f>
        <v>PT TERAPAN NILAIOSILASI INDONESIA (TENO)</v>
      </c>
      <c r="U164" s="215">
        <f>IFERROR(__xludf.DUMMYFUNCTION("""COMPUTED_VALUE"""),45614.62439814815)</f>
        <v>45614.6244</v>
      </c>
      <c r="V164" s="211" t="str">
        <f>IFERROR(__xludf.DUMMYFUNCTION("""COMPUTED_VALUE"""),"JL Raya Kertajaya Indah 153 / P116, Gebang Putih, Sukokilo, Kota Surabaya, Jawa Timur")</f>
        <v>JL Raya Kertajaya Indah 153 / P116, Gebang Putih, Sukokilo, Kota Surabaya, Jawa Timur</v>
      </c>
      <c r="W164" s="211" t="str">
        <f>IFERROR(__xludf.DUMMYFUNCTION("""COMPUTED_VALUE"""),"IN")</f>
        <v>IN</v>
      </c>
      <c r="X164" s="211"/>
      <c r="Z164" s="211" t="str">
        <f>IFERROR(__xludf.DUMMYFUNCTION("""COMPUTED_VALUE"""),"0326102726")</f>
        <v>0326102726</v>
      </c>
      <c r="AC164" s="211"/>
      <c r="AD164" s="211"/>
      <c r="AE164" s="211"/>
      <c r="AF164" s="211"/>
      <c r="AG164" s="211"/>
      <c r="AH164" s="211"/>
      <c r="AI164" s="211"/>
      <c r="AJ164" s="211"/>
      <c r="AL164" s="211" t="str">
        <f>IFERROR(__xludf.DUMMYFUNCTION("""COMPUTED_VALUE"""),"2250143")</f>
        <v>2250143</v>
      </c>
      <c r="AM164" s="211" t="str">
        <f>IFERROR(__xludf.DUMMYFUNCTION("""COMPUTED_VALUE"""),"122541948")</f>
        <v>122541948</v>
      </c>
      <c r="AN164" s="211" t="str">
        <f>IFERROR(__xludf.DUMMYFUNCTION("""COMPUTED_VALUE"""),"3b04351a")</f>
        <v>3b04351a</v>
      </c>
      <c r="AO164" s="211" t="str">
        <f>IFERROR(__xludf.DUMMYFUNCTION("""COMPUTED_VALUE"""),"CV Usaha Logam Jaya")</f>
        <v>CV Usaha Logam Jaya</v>
      </c>
      <c r="AP164" s="215">
        <f>IFERROR(__xludf.DUMMYFUNCTION("""COMPUTED_VALUE"""),46004.55193287037)</f>
        <v>46004.55193</v>
      </c>
      <c r="AQ164" s="218">
        <f>IFERROR(__xludf.DUMMYFUNCTION("""COMPUTED_VALUE"""),46002.0)</f>
        <v>46002</v>
      </c>
      <c r="AR164" s="211"/>
      <c r="AS164" s="211"/>
      <c r="AT164" s="211"/>
      <c r="AU164" s="211"/>
      <c r="AV164" s="211"/>
      <c r="AW164" s="211"/>
      <c r="AX164" s="211"/>
      <c r="AY164" s="211"/>
      <c r="AZ164" s="211"/>
      <c r="BB164" s="211"/>
      <c r="BC164" s="211"/>
      <c r="BD164" s="211"/>
      <c r="BE164" s="211"/>
      <c r="BF164" s="211"/>
      <c r="BG164" s="211"/>
      <c r="BH164" s="211"/>
      <c r="BI164" s="211"/>
    </row>
    <row r="165">
      <c r="A165" s="210" t="str">
        <f>IFERROR(__xludf.DUMMYFUNCTION("""COMPUTED_VALUE"""),"11240078")</f>
        <v>11240078</v>
      </c>
      <c r="B165" s="210" t="str">
        <f>IFERROR(__xludf.DUMMYFUNCTION("""COMPUTED_VALUE"""),"11240078")</f>
        <v>11240078</v>
      </c>
      <c r="C165" s="213">
        <f>IFERROR(__xludf.DUMMYFUNCTION("""COMPUTED_VALUE"""),45600.499502314815)</f>
        <v>45600.4995</v>
      </c>
      <c r="D165" s="211" t="str">
        <f>IFERROR(__xludf.DUMMYFUNCTION("""COMPUTED_VALUE"""),"72d9a70c")</f>
        <v>72d9a70c</v>
      </c>
      <c r="E165" s="211" t="str">
        <f>IFERROR(__xludf.DUMMYFUNCTION("""COMPUTED_VALUE"""),"PT Beton Prima Indonesia")</f>
        <v>PT Beton Prima Indonesia</v>
      </c>
      <c r="F165" s="211" t="str">
        <f>IFERROR(__xludf.DUMMYFUNCTION("""COMPUTED_VALUE"""),"8bdbe149")</f>
        <v>8bdbe149</v>
      </c>
      <c r="G165" s="211" t="str">
        <f>IFERROR(__xludf.DUMMYFUNCTION("""COMPUTED_VALUE"""),"Oksigen 6m3")</f>
        <v>Oksigen 6m3</v>
      </c>
      <c r="H165" s="214" t="str">
        <f>IFERROR(__xludf.DUMMYFUNCTION("""COMPUTED_VALUE"""),"OUT")</f>
        <v>OUT</v>
      </c>
      <c r="I165" s="214" t="str">
        <f>IFERROR(__xludf.DUMMYFUNCTION("""COMPUTED_VALUE"""),"NORMAL")</f>
        <v>NORMAL</v>
      </c>
      <c r="J165" s="211">
        <f>IFERROR(__xludf.DUMMYFUNCTION("""COMPUTED_VALUE"""),8.0)</f>
        <v>8</v>
      </c>
      <c r="K165" s="210" t="str">
        <f>IFERROR(__xludf.DUMMYFUNCTION("""COMPUTED_VALUE"""),"5493 5391 1566 5006 1606 5037 1628 1558")</f>
        <v>5493 5391 1566 5006 1606 5037 1628 1558</v>
      </c>
      <c r="L165" s="211">
        <f>IFERROR(__xludf.DUMMYFUNCTION("""COMPUTED_VALUE"""),45045.04505)</f>
        <v>45045.04505</v>
      </c>
      <c r="M165" s="211"/>
      <c r="N165" s="211"/>
      <c r="O165" s="211"/>
      <c r="Q165" s="210" t="str">
        <f>IFERROR(__xludf.DUMMYFUNCTION("""COMPUTED_VALUE"""),"11240110")</f>
        <v>11240110</v>
      </c>
      <c r="R165" s="210" t="str">
        <f>IFERROR(__xludf.DUMMYFUNCTION("""COMPUTED_VALUE"""),"11240110")</f>
        <v>11240110</v>
      </c>
      <c r="S165" s="211" t="str">
        <f>IFERROR(__xludf.DUMMYFUNCTION("""COMPUTED_VALUE"""),"c2f5a4a7")</f>
        <v>c2f5a4a7</v>
      </c>
      <c r="T165" s="211" t="str">
        <f>IFERROR(__xludf.DUMMYFUNCTION("""COMPUTED_VALUE"""),"UD Sumber Berlian")</f>
        <v>UD Sumber Berlian</v>
      </c>
      <c r="U165" s="215">
        <f>IFERROR(__xludf.DUMMYFUNCTION("""COMPUTED_VALUE"""),45615.321747685186)</f>
        <v>45615.32175</v>
      </c>
      <c r="V165" s="211" t="str">
        <f>IFERROR(__xludf.DUMMYFUNCTION("""COMPUTED_VALUE"""),"Ciro Kulon, Bakungtemenggungan, Kec. BalongBendo, Kabupaten Sidoarjo, Jawa Timur 61263")</f>
        <v>Ciro Kulon, Bakungtemenggungan, Kec. BalongBendo, Kabupaten Sidoarjo, Jawa Timur 61263</v>
      </c>
      <c r="W165" s="211" t="str">
        <f>IFERROR(__xludf.DUMMYFUNCTION("""COMPUTED_VALUE"""),"OUT")</f>
        <v>OUT</v>
      </c>
      <c r="X165" s="211"/>
      <c r="Z165" s="211" t="str">
        <f>IFERROR(__xludf.DUMMYFUNCTION("""COMPUTED_VALUE"""),"0326902725")</f>
        <v>0326902725</v>
      </c>
      <c r="AC165" s="211"/>
      <c r="AD165" s="211"/>
      <c r="AE165" s="211"/>
      <c r="AF165" s="211"/>
      <c r="AG165" s="211"/>
      <c r="AH165" s="211"/>
      <c r="AI165" s="211"/>
      <c r="AJ165" s="211"/>
      <c r="AL165" s="211" t="str">
        <f>IFERROR(__xludf.DUMMYFUNCTION("""COMPUTED_VALUE"""),"2250143")</f>
        <v>2250143</v>
      </c>
      <c r="AM165" s="211" t="str">
        <f>IFERROR(__xludf.DUMMYFUNCTION("""COMPUTED_VALUE"""),"122541947")</f>
        <v>122541947</v>
      </c>
      <c r="AN165" s="211" t="str">
        <f>IFERROR(__xludf.DUMMYFUNCTION("""COMPUTED_VALUE"""),"3b04351a")</f>
        <v>3b04351a</v>
      </c>
      <c r="AO165" s="211" t="str">
        <f>IFERROR(__xludf.DUMMYFUNCTION("""COMPUTED_VALUE"""),"CV Usaha Logam Jaya")</f>
        <v>CV Usaha Logam Jaya</v>
      </c>
      <c r="AP165" s="215">
        <f>IFERROR(__xludf.DUMMYFUNCTION("""COMPUTED_VALUE"""),46004.55193287037)</f>
        <v>46004.55193</v>
      </c>
      <c r="AQ165" s="218">
        <f>IFERROR(__xludf.DUMMYFUNCTION("""COMPUTED_VALUE"""),46003.0)</f>
        <v>46003</v>
      </c>
      <c r="AR165" s="211"/>
      <c r="AS165" s="211"/>
      <c r="AT165" s="211"/>
      <c r="AU165" s="211"/>
      <c r="AV165" s="211"/>
      <c r="AW165" s="211"/>
      <c r="AX165" s="211"/>
      <c r="AY165" s="211"/>
      <c r="AZ165" s="211"/>
      <c r="BB165" s="211"/>
      <c r="BC165" s="211"/>
      <c r="BD165" s="211"/>
      <c r="BE165" s="211"/>
      <c r="BF165" s="211"/>
      <c r="BG165" s="211"/>
      <c r="BH165" s="211"/>
      <c r="BI165" s="211"/>
    </row>
    <row r="166">
      <c r="A166" s="210" t="str">
        <f>IFERROR(__xludf.DUMMYFUNCTION("""COMPUTED_VALUE"""),"1f99a2eb")</f>
        <v>1f99a2eb</v>
      </c>
      <c r="B166" s="210" t="str">
        <f>IFERROR(__xludf.DUMMYFUNCTION("""COMPUTED_VALUE"""),"1f99a2eb")</f>
        <v>1f99a2eb</v>
      </c>
      <c r="C166" s="213">
        <f>IFERROR(__xludf.DUMMYFUNCTION("""COMPUTED_VALUE"""),45600.503969907404)</f>
        <v>45600.50397</v>
      </c>
      <c r="D166" s="211" t="str">
        <f>IFERROR(__xludf.DUMMYFUNCTION("""COMPUTED_VALUE"""),"72d9a70c")</f>
        <v>72d9a70c</v>
      </c>
      <c r="E166" s="211" t="str">
        <f>IFERROR(__xludf.DUMMYFUNCTION("""COMPUTED_VALUE"""),"PT Beton Prima Indonesia")</f>
        <v>PT Beton Prima Indonesia</v>
      </c>
      <c r="F166" s="211" t="str">
        <f>IFERROR(__xludf.DUMMYFUNCTION("""COMPUTED_VALUE"""),"8bdbe149")</f>
        <v>8bdbe149</v>
      </c>
      <c r="G166" s="211" t="str">
        <f>IFERROR(__xludf.DUMMYFUNCTION("""COMPUTED_VALUE"""),"Oksigen 6m3")</f>
        <v>Oksigen 6m3</v>
      </c>
      <c r="H166" s="214" t="str">
        <f>IFERROR(__xludf.DUMMYFUNCTION("""COMPUTED_VALUE"""),"IN")</f>
        <v>IN</v>
      </c>
      <c r="I166" s="214" t="str">
        <f>IFERROR(__xludf.DUMMYFUNCTION("""COMPUTED_VALUE"""),"EMPTY")</f>
        <v>EMPTY</v>
      </c>
      <c r="J166" s="211">
        <f>IFERROR(__xludf.DUMMYFUNCTION("""COMPUTED_VALUE"""),5.0)</f>
        <v>5</v>
      </c>
      <c r="K166" s="210" t="str">
        <f>IFERROR(__xludf.DUMMYFUNCTION("""COMPUTED_VALUE"""),"1181 1121 1185 11118 1109")</f>
        <v>1181 1121 1185 11118 1109</v>
      </c>
      <c r="L166" s="211"/>
      <c r="M166" s="211"/>
      <c r="N166" s="211"/>
      <c r="O166" s="211"/>
      <c r="Q166" s="210" t="str">
        <f>IFERROR(__xludf.DUMMYFUNCTION("""COMPUTED_VALUE"""),"11240111")</f>
        <v>11240111</v>
      </c>
      <c r="R166" s="210" t="str">
        <f>IFERROR(__xludf.DUMMYFUNCTION("""COMPUTED_VALUE"""),"11240111")</f>
        <v>11240111</v>
      </c>
      <c r="S166" s="211" t="str">
        <f>IFERROR(__xludf.DUMMYFUNCTION("""COMPUTED_VALUE"""),"4a01ccb6")</f>
        <v>4a01ccb6</v>
      </c>
      <c r="T166" s="211" t="str">
        <f>IFERROR(__xludf.DUMMYFUNCTION("""COMPUTED_VALUE"""),"CV ANUGERAH PERSADA TEKNIK")</f>
        <v>CV ANUGERAH PERSADA TEKNIK</v>
      </c>
      <c r="U166" s="215">
        <f>IFERROR(__xludf.DUMMYFUNCTION("""COMPUTED_VALUE"""),45615.44127314815)</f>
        <v>45615.44127</v>
      </c>
      <c r="V166" s="211" t="str">
        <f>IFERROR(__xludf.DUMMYFUNCTION("""COMPUTED_VALUE"""),"JL. Raya Trosobo, Blok 3/14, Taman Sidoarjo Lingkungan Industri Kecil, Sepanjang, Jawa Timur, 61257")</f>
        <v>JL. Raya Trosobo, Blok 3/14, Taman Sidoarjo Lingkungan Industri Kecil, Sepanjang, Jawa Timur, 61257</v>
      </c>
      <c r="W166" s="211" t="str">
        <f>IFERROR(__xludf.DUMMYFUNCTION("""COMPUTED_VALUE"""),"OUT")</f>
        <v>OUT</v>
      </c>
      <c r="X166" s="211"/>
      <c r="Z166" s="211" t="str">
        <f>IFERROR(__xludf.DUMMYFUNCTION("""COMPUTED_VALUE"""),"032692724")</f>
        <v>032692724</v>
      </c>
      <c r="AC166" s="211"/>
      <c r="AD166" s="211"/>
      <c r="AE166" s="211"/>
      <c r="AF166" s="211"/>
      <c r="AG166" s="211"/>
      <c r="AH166" s="211"/>
      <c r="AI166" s="211"/>
      <c r="AJ166" s="211"/>
      <c r="AL166" s="211" t="str">
        <f>IFERROR(__xludf.DUMMYFUNCTION("""COMPUTED_VALUE"""),"2250143")</f>
        <v>2250143</v>
      </c>
      <c r="AM166" s="211" t="str">
        <f>IFERROR(__xludf.DUMMYFUNCTION("""COMPUTED_VALUE"""),"122521892")</f>
        <v>122521892</v>
      </c>
      <c r="AN166" s="211" t="str">
        <f>IFERROR(__xludf.DUMMYFUNCTION("""COMPUTED_VALUE"""),"3b04351a")</f>
        <v>3b04351a</v>
      </c>
      <c r="AO166" s="211" t="str">
        <f>IFERROR(__xludf.DUMMYFUNCTION("""COMPUTED_VALUE"""),"CV Usaha Logam Jaya")</f>
        <v>CV Usaha Logam Jaya</v>
      </c>
      <c r="AP166" s="215">
        <f>IFERROR(__xludf.DUMMYFUNCTION("""COMPUTED_VALUE"""),46004.55193287037)</f>
        <v>46004.55193</v>
      </c>
      <c r="AQ166" s="218">
        <f>IFERROR(__xludf.DUMMYFUNCTION("""COMPUTED_VALUE"""),45996.0)</f>
        <v>45996</v>
      </c>
      <c r="AR166" s="211"/>
      <c r="AS166" s="211"/>
      <c r="AT166" s="211"/>
      <c r="AU166" s="211"/>
      <c r="AV166" s="211"/>
      <c r="AW166" s="211"/>
      <c r="AX166" s="211"/>
      <c r="AY166" s="211"/>
      <c r="AZ166" s="211"/>
      <c r="BB166" s="211"/>
      <c r="BC166" s="211"/>
      <c r="BD166" s="211"/>
      <c r="BE166" s="211"/>
      <c r="BF166" s="211"/>
      <c r="BG166" s="211"/>
      <c r="BH166" s="211"/>
      <c r="BI166" s="211"/>
    </row>
    <row r="167">
      <c r="A167" s="210" t="str">
        <f>IFERROR(__xludf.DUMMYFUNCTION("""COMPUTED_VALUE"""),"b5c419c9")</f>
        <v>b5c419c9</v>
      </c>
      <c r="B167" s="210" t="str">
        <f>IFERROR(__xludf.DUMMYFUNCTION("""COMPUTED_VALUE"""),"b5c419c9")</f>
        <v>b5c419c9</v>
      </c>
      <c r="C167" s="213">
        <f>IFERROR(__xludf.DUMMYFUNCTION("""COMPUTED_VALUE"""),45601.37986111111)</f>
        <v>45601.37986</v>
      </c>
      <c r="D167" s="211" t="str">
        <f>IFERROR(__xludf.DUMMYFUNCTION("""COMPUTED_VALUE"""),"72d9a70c")</f>
        <v>72d9a70c</v>
      </c>
      <c r="E167" s="211" t="str">
        <f>IFERROR(__xludf.DUMMYFUNCTION("""COMPUTED_VALUE"""),"PT Beton Prima Indonesia")</f>
        <v>PT Beton Prima Indonesia</v>
      </c>
      <c r="F167" s="211" t="str">
        <f>IFERROR(__xludf.DUMMYFUNCTION("""COMPUTED_VALUE"""),"3b9d6a30")</f>
        <v>3b9d6a30</v>
      </c>
      <c r="G167" s="211" t="str">
        <f>IFERROR(__xludf.DUMMYFUNCTION("""COMPUTED_VALUE"""),"Acetyline")</f>
        <v>Acetyline</v>
      </c>
      <c r="H167" s="214" t="str">
        <f>IFERROR(__xludf.DUMMYFUNCTION("""COMPUTED_VALUE"""),"IN")</f>
        <v>IN</v>
      </c>
      <c r="I167" s="214" t="str">
        <f>IFERROR(__xludf.DUMMYFUNCTION("""COMPUTED_VALUE"""),"EMPTY")</f>
        <v>EMPTY</v>
      </c>
      <c r="J167" s="211">
        <f>IFERROR(__xludf.DUMMYFUNCTION("""COMPUTED_VALUE"""),7.0)</f>
        <v>7</v>
      </c>
      <c r="K167" s="210" t="str">
        <f>IFERROR(__xludf.DUMMYFUNCTION("""COMPUTED_VALUE"""),"7927 7973 7977 7934 7902 7984 7941")</f>
        <v>7927 7973 7977 7934 7902 7984 7941</v>
      </c>
      <c r="L167" s="211"/>
      <c r="M167" s="211"/>
      <c r="N167" s="211"/>
      <c r="O167" s="211"/>
      <c r="Q167" s="210" t="str">
        <f>IFERROR(__xludf.DUMMYFUNCTION("""COMPUTED_VALUE"""),"9049edbc")</f>
        <v>9049edbc</v>
      </c>
      <c r="R167" s="210" t="str">
        <f>IFERROR(__xludf.DUMMYFUNCTION("""COMPUTED_VALUE"""),"9049edbc")</f>
        <v>9049edbc</v>
      </c>
      <c r="S167" s="211" t="str">
        <f>IFERROR(__xludf.DUMMYFUNCTION("""COMPUTED_VALUE"""),"c2f5a4a7")</f>
        <v>c2f5a4a7</v>
      </c>
      <c r="T167" s="211" t="str">
        <f>IFERROR(__xludf.DUMMYFUNCTION("""COMPUTED_VALUE"""),"UD Sumber Berlian")</f>
        <v>UD Sumber Berlian</v>
      </c>
      <c r="U167" s="215">
        <f>IFERROR(__xludf.DUMMYFUNCTION("""COMPUTED_VALUE"""),45615.48768518519)</f>
        <v>45615.48769</v>
      </c>
      <c r="V167" s="211" t="str">
        <f>IFERROR(__xludf.DUMMYFUNCTION("""COMPUTED_VALUE"""),"Ciro Kulon, Bakungtemenggungan, Kec. BalongBendo, Kabupaten Sidoarjo, Jawa Timur 61263")</f>
        <v>Ciro Kulon, Bakungtemenggungan, Kec. BalongBendo, Kabupaten Sidoarjo, Jawa Timur 61263</v>
      </c>
      <c r="W167" s="211" t="str">
        <f>IFERROR(__xludf.DUMMYFUNCTION("""COMPUTED_VALUE"""),"IN")</f>
        <v>IN</v>
      </c>
      <c r="X167" s="211"/>
      <c r="Z167" s="211" t="str">
        <f>IFERROR(__xludf.DUMMYFUNCTION("""COMPUTED_VALUE"""),"032652723")</f>
        <v>032652723</v>
      </c>
      <c r="AC167" s="211"/>
      <c r="AD167" s="211"/>
      <c r="AE167" s="211"/>
      <c r="AF167" s="211"/>
      <c r="AG167" s="211"/>
      <c r="AH167" s="211"/>
      <c r="AI167" s="211"/>
      <c r="AJ167" s="211"/>
      <c r="AL167" s="211" t="str">
        <f>IFERROR(__xludf.DUMMYFUNCTION("""COMPUTED_VALUE"""),"2250141")</f>
        <v>2250141</v>
      </c>
      <c r="AM167" s="211" t="str">
        <f>IFERROR(__xludf.DUMMYFUNCTION("""COMPUTED_VALUE"""),"112541768")</f>
        <v>112541768</v>
      </c>
      <c r="AN167" s="211" t="str">
        <f>IFERROR(__xludf.DUMMYFUNCTION("""COMPUTED_VALUE"""),"ba97d58d")</f>
        <v>ba97d58d</v>
      </c>
      <c r="AO167" s="211" t="str">
        <f>IFERROR(__xludf.DUMMYFUNCTION("""COMPUTED_VALUE"""),"Bengkel Citra Mojosari")</f>
        <v>Bengkel Citra Mojosari</v>
      </c>
      <c r="AP167" s="215">
        <f>IFERROR(__xludf.DUMMYFUNCTION("""COMPUTED_VALUE"""),45999.424155092594)</f>
        <v>45999.42416</v>
      </c>
      <c r="AQ167" s="218">
        <f>IFERROR(__xludf.DUMMYFUNCTION("""COMPUTED_VALUE"""),45981.0)</f>
        <v>45981</v>
      </c>
      <c r="AR167" s="211"/>
      <c r="AS167" s="211"/>
      <c r="AT167" s="211"/>
      <c r="AU167" s="211"/>
      <c r="AV167" s="211"/>
      <c r="AW167" s="211"/>
      <c r="AX167" s="211"/>
      <c r="AY167" s="211"/>
      <c r="AZ167" s="211"/>
      <c r="BB167" s="211"/>
      <c r="BC167" s="211"/>
      <c r="BD167" s="211"/>
      <c r="BE167" s="211"/>
      <c r="BF167" s="211"/>
      <c r="BG167" s="211"/>
      <c r="BH167" s="211"/>
      <c r="BI167" s="211"/>
    </row>
    <row r="168">
      <c r="A168" s="210" t="str">
        <f>IFERROR(__xludf.DUMMYFUNCTION("""COMPUTED_VALUE"""),"b5c419c9")</f>
        <v>b5c419c9</v>
      </c>
      <c r="B168" s="210" t="str">
        <f>IFERROR(__xludf.DUMMYFUNCTION("""COMPUTED_VALUE"""),"b5c419c9")</f>
        <v>b5c419c9</v>
      </c>
      <c r="C168" s="213">
        <f>IFERROR(__xludf.DUMMYFUNCTION("""COMPUTED_VALUE"""),45601.381944444445)</f>
        <v>45601.38194</v>
      </c>
      <c r="D168" s="211" t="str">
        <f>IFERROR(__xludf.DUMMYFUNCTION("""COMPUTED_VALUE"""),"72d9a70c")</f>
        <v>72d9a70c</v>
      </c>
      <c r="E168" s="211" t="str">
        <f>IFERROR(__xludf.DUMMYFUNCTION("""COMPUTED_VALUE"""),"PT Beton Prima Indonesia")</f>
        <v>PT Beton Prima Indonesia</v>
      </c>
      <c r="F168" s="211" t="str">
        <f>IFERROR(__xludf.DUMMYFUNCTION("""COMPUTED_VALUE"""),"8bdbe149")</f>
        <v>8bdbe149</v>
      </c>
      <c r="G168" s="211" t="str">
        <f>IFERROR(__xludf.DUMMYFUNCTION("""COMPUTED_VALUE"""),"Oksigen 6m3")</f>
        <v>Oksigen 6m3</v>
      </c>
      <c r="H168" s="214" t="str">
        <f>IFERROR(__xludf.DUMMYFUNCTION("""COMPUTED_VALUE"""),"IN")</f>
        <v>IN</v>
      </c>
      <c r="I168" s="214" t="str">
        <f>IFERROR(__xludf.DUMMYFUNCTION("""COMPUTED_VALUE"""),"EMPTY")</f>
        <v>EMPTY</v>
      </c>
      <c r="J168" s="211">
        <f>IFERROR(__xludf.DUMMYFUNCTION("""COMPUTED_VALUE"""),5.0)</f>
        <v>5</v>
      </c>
      <c r="K168" s="210" t="str">
        <f>IFERROR(__xludf.DUMMYFUNCTION("""COMPUTED_VALUE"""),"11110 1151 1127 1147 1107")</f>
        <v>11110 1151 1127 1147 1107</v>
      </c>
      <c r="L168" s="211"/>
      <c r="M168" s="211"/>
      <c r="N168" s="211"/>
      <c r="O168" s="211"/>
      <c r="Q168" s="210" t="str">
        <f>IFERROR(__xludf.DUMMYFUNCTION("""COMPUTED_VALUE"""),"11240113")</f>
        <v>11240113</v>
      </c>
      <c r="R168" s="210" t="str">
        <f>IFERROR(__xludf.DUMMYFUNCTION("""COMPUTED_VALUE"""),"11240113")</f>
        <v>11240113</v>
      </c>
      <c r="S168" s="211" t="str">
        <f>IFERROR(__xludf.DUMMYFUNCTION("""COMPUTED_VALUE"""),"72d9a70c")</f>
        <v>72d9a70c</v>
      </c>
      <c r="T168" s="211" t="str">
        <f>IFERROR(__xludf.DUMMYFUNCTION("""COMPUTED_VALUE"""),"PT Beton Prima Indonesia")</f>
        <v>PT Beton Prima Indonesia</v>
      </c>
      <c r="U168" s="215">
        <f>IFERROR(__xludf.DUMMYFUNCTION("""COMPUTED_VALUE"""),45615.48949074074)</f>
        <v>45615.48949</v>
      </c>
      <c r="V168" s="211" t="str">
        <f>IFERROR(__xludf.DUMMYFUNCTION("""COMPUTED_VALUE"""),"KH. Ahmad Dahlan KM.2 Ds. Sumberwono, Kec. Bangsal, Kab. Mojokerto 61381")</f>
        <v>KH. Ahmad Dahlan KM.2 Ds. Sumberwono, Kec. Bangsal, Kab. Mojokerto 61381</v>
      </c>
      <c r="W168" s="211" t="str">
        <f>IFERROR(__xludf.DUMMYFUNCTION("""COMPUTED_VALUE"""),"OUT")</f>
        <v>OUT</v>
      </c>
      <c r="X168" s="211"/>
      <c r="Z168" s="211" t="str">
        <f>IFERROR(__xludf.DUMMYFUNCTION("""COMPUTED_VALUE"""),"0326242720")</f>
        <v>0326242720</v>
      </c>
      <c r="AC168" s="211"/>
      <c r="AD168" s="211"/>
      <c r="AE168" s="211"/>
      <c r="AF168" s="211"/>
      <c r="AG168" s="211"/>
      <c r="AH168" s="211"/>
      <c r="AI168" s="211"/>
      <c r="AJ168" s="211"/>
      <c r="AL168" s="211" t="str">
        <f>IFERROR(__xludf.DUMMYFUNCTION("""COMPUTED_VALUE"""),"2250141")</f>
        <v>2250141</v>
      </c>
      <c r="AM168" s="211" t="str">
        <f>IFERROR(__xludf.DUMMYFUNCTION("""COMPUTED_VALUE"""),"122551896")</f>
        <v>122551896</v>
      </c>
      <c r="AN168" s="211" t="str">
        <f>IFERROR(__xludf.DUMMYFUNCTION("""COMPUTED_VALUE"""),"ba97d58d")</f>
        <v>ba97d58d</v>
      </c>
      <c r="AO168" s="211" t="str">
        <f>IFERROR(__xludf.DUMMYFUNCTION("""COMPUTED_VALUE"""),"Bengkel Citra Mojosari")</f>
        <v>Bengkel Citra Mojosari</v>
      </c>
      <c r="AP168" s="215">
        <f>IFERROR(__xludf.DUMMYFUNCTION("""COMPUTED_VALUE"""),45999.424155092594)</f>
        <v>45999.42416</v>
      </c>
      <c r="AQ168" s="218">
        <f>IFERROR(__xludf.DUMMYFUNCTION("""COMPUTED_VALUE"""),45996.0)</f>
        <v>45996</v>
      </c>
      <c r="AR168" s="211"/>
      <c r="AS168" s="211"/>
      <c r="AT168" s="211"/>
      <c r="AU168" s="211"/>
      <c r="AV168" s="211"/>
      <c r="AW168" s="211"/>
      <c r="AX168" s="211"/>
      <c r="AY168" s="211"/>
      <c r="AZ168" s="211"/>
      <c r="BB168" s="211"/>
      <c r="BC168" s="211"/>
      <c r="BD168" s="211"/>
      <c r="BE168" s="211"/>
      <c r="BF168" s="211"/>
      <c r="BG168" s="211"/>
      <c r="BH168" s="211"/>
      <c r="BI168" s="211"/>
    </row>
    <row r="169">
      <c r="A169" s="210" t="str">
        <f>IFERROR(__xludf.DUMMYFUNCTION("""COMPUTED_VALUE"""),"11240079")</f>
        <v>11240079</v>
      </c>
      <c r="B169" s="210" t="str">
        <f>IFERROR(__xludf.DUMMYFUNCTION("""COMPUTED_VALUE"""),"11240079")</f>
        <v>11240079</v>
      </c>
      <c r="C169" s="213">
        <f>IFERROR(__xludf.DUMMYFUNCTION("""COMPUTED_VALUE"""),45601.38207175926)</f>
        <v>45601.38207</v>
      </c>
      <c r="D169" s="211" t="str">
        <f>IFERROR(__xludf.DUMMYFUNCTION("""COMPUTED_VALUE"""),"72d9a70c")</f>
        <v>72d9a70c</v>
      </c>
      <c r="E169" s="211" t="str">
        <f>IFERROR(__xludf.DUMMYFUNCTION("""COMPUTED_VALUE"""),"PT Beton Prima Indonesia")</f>
        <v>PT Beton Prima Indonesia</v>
      </c>
      <c r="F169" s="211" t="str">
        <f>IFERROR(__xludf.DUMMYFUNCTION("""COMPUTED_VALUE"""),"8bdbe149")</f>
        <v>8bdbe149</v>
      </c>
      <c r="G169" s="211" t="str">
        <f>IFERROR(__xludf.DUMMYFUNCTION("""COMPUTED_VALUE"""),"Oksigen 6m3")</f>
        <v>Oksigen 6m3</v>
      </c>
      <c r="H169" s="214" t="str">
        <f>IFERROR(__xludf.DUMMYFUNCTION("""COMPUTED_VALUE"""),"OUT")</f>
        <v>OUT</v>
      </c>
      <c r="I169" s="214" t="str">
        <f>IFERROR(__xludf.DUMMYFUNCTION("""COMPUTED_VALUE"""),"NORMAL")</f>
        <v>NORMAL</v>
      </c>
      <c r="J169" s="211">
        <f>IFERROR(__xludf.DUMMYFUNCTION("""COMPUTED_VALUE"""),12.0)</f>
        <v>12</v>
      </c>
      <c r="K169" s="210" t="str">
        <f>IFERROR(__xludf.DUMMYFUNCTION("""COMPUTED_VALUE"""),"1130 1110 1105 1120 1149 1128 1117 1146 1115 11113 1141 1121")</f>
        <v>1130 1110 1105 1120 1149 1128 1117 1146 1115 11113 1141 1121</v>
      </c>
      <c r="L169" s="211">
        <f>IFERROR(__xludf.DUMMYFUNCTION("""COMPUTED_VALUE"""),45045.04505)</f>
        <v>45045.04505</v>
      </c>
      <c r="M169" s="211"/>
      <c r="N169" s="211"/>
      <c r="O169" s="211"/>
      <c r="Q169" s="210" t="str">
        <f>IFERROR(__xludf.DUMMYFUNCTION("""COMPUTED_VALUE"""),"20d40e95")</f>
        <v>20d40e95</v>
      </c>
      <c r="R169" s="210" t="str">
        <f>IFERROR(__xludf.DUMMYFUNCTION("""COMPUTED_VALUE"""),"20d40e95")</f>
        <v>20d40e95</v>
      </c>
      <c r="S169" s="211" t="str">
        <f>IFERROR(__xludf.DUMMYFUNCTION("""COMPUTED_VALUE"""),"4a01ccb6")</f>
        <v>4a01ccb6</v>
      </c>
      <c r="T169" s="211" t="str">
        <f>IFERROR(__xludf.DUMMYFUNCTION("""COMPUTED_VALUE"""),"CV ANUGERAH PERSADA TEKNIK")</f>
        <v>CV ANUGERAH PERSADA TEKNIK</v>
      </c>
      <c r="U169" s="215">
        <f>IFERROR(__xludf.DUMMYFUNCTION("""COMPUTED_VALUE"""),45615.50586805555)</f>
        <v>45615.50587</v>
      </c>
      <c r="V169" s="211" t="str">
        <f>IFERROR(__xludf.DUMMYFUNCTION("""COMPUTED_VALUE"""),"JL. Raya Trosobo, Blok 3/14, Taman Sidoarjo Lingkungan Industri Kecil, Sepanjang, Jawa Timur, 61257")</f>
        <v>JL. Raya Trosobo, Blok 3/14, Taman Sidoarjo Lingkungan Industri Kecil, Sepanjang, Jawa Timur, 61257</v>
      </c>
      <c r="W169" s="211" t="str">
        <f>IFERROR(__xludf.DUMMYFUNCTION("""COMPUTED_VALUE"""),"IN")</f>
        <v>IN</v>
      </c>
      <c r="X169" s="211"/>
      <c r="Z169" s="211" t="str">
        <f>IFERROR(__xludf.DUMMYFUNCTION("""COMPUTED_VALUE"""),"0326112716")</f>
        <v>0326112716</v>
      </c>
      <c r="AC169" s="211"/>
      <c r="AD169" s="211"/>
      <c r="AE169" s="211"/>
      <c r="AF169" s="211"/>
      <c r="AG169" s="211"/>
      <c r="AH169" s="211"/>
      <c r="AI169" s="211"/>
      <c r="AJ169" s="211"/>
      <c r="AL169" s="211" t="str">
        <f>IFERROR(__xludf.DUMMYFUNCTION("""COMPUTED_VALUE"""),"2250138")</f>
        <v>2250138</v>
      </c>
      <c r="AM169" s="211" t="str">
        <f>IFERROR(__xludf.DUMMYFUNCTION("""COMPUTED_VALUE"""),"102511476")</f>
        <v>102511476</v>
      </c>
      <c r="AN169" s="211" t="str">
        <f>IFERROR(__xludf.DUMMYFUNCTION("""COMPUTED_VALUE"""),"ca4876e2")</f>
        <v>ca4876e2</v>
      </c>
      <c r="AO169" s="211" t="str">
        <f>IFERROR(__xludf.DUMMYFUNCTION("""COMPUTED_VALUE"""),"Bengkel Mustika Mojosari")</f>
        <v>Bengkel Mustika Mojosari</v>
      </c>
      <c r="AP169" s="215">
        <f>IFERROR(__xludf.DUMMYFUNCTION("""COMPUTED_VALUE"""),45999.42380787037)</f>
        <v>45999.42381</v>
      </c>
      <c r="AQ169" s="218">
        <f>IFERROR(__xludf.DUMMYFUNCTION("""COMPUTED_VALUE"""),45948.0)</f>
        <v>45948</v>
      </c>
      <c r="AR169" s="211"/>
      <c r="AS169" s="211"/>
      <c r="AT169" s="211"/>
      <c r="AU169" s="211"/>
      <c r="AV169" s="211"/>
      <c r="AW169" s="211"/>
      <c r="AX169" s="211"/>
      <c r="AY169" s="211"/>
      <c r="AZ169" s="211"/>
      <c r="BB169" s="211"/>
      <c r="BC169" s="211"/>
      <c r="BD169" s="211"/>
      <c r="BE169" s="211"/>
      <c r="BF169" s="211"/>
      <c r="BG169" s="211"/>
      <c r="BH169" s="211"/>
      <c r="BI169" s="211"/>
    </row>
    <row r="170">
      <c r="A170" s="210" t="str">
        <f>IFERROR(__xludf.DUMMYFUNCTION("""COMPUTED_VALUE"""),"4eb5d8e9")</f>
        <v>4eb5d8e9</v>
      </c>
      <c r="B170" s="210" t="str">
        <f>IFERROR(__xludf.DUMMYFUNCTION("""COMPUTED_VALUE"""),"4eb5d8e9")</f>
        <v>4eb5d8e9</v>
      </c>
      <c r="C170" s="213">
        <f>IFERROR(__xludf.DUMMYFUNCTION("""COMPUTED_VALUE"""),45601.452465277776)</f>
        <v>45601.45247</v>
      </c>
      <c r="D170" s="211" t="str">
        <f>IFERROR(__xludf.DUMMYFUNCTION("""COMPUTED_VALUE"""),"c2f5a4a7")</f>
        <v>c2f5a4a7</v>
      </c>
      <c r="E170" s="211" t="str">
        <f>IFERROR(__xludf.DUMMYFUNCTION("""COMPUTED_VALUE"""),"UD Sumber Berlian")</f>
        <v>UD Sumber Berlian</v>
      </c>
      <c r="F170" s="211" t="str">
        <f>IFERROR(__xludf.DUMMYFUNCTION("""COMPUTED_VALUE"""),"8bdbe149")</f>
        <v>8bdbe149</v>
      </c>
      <c r="G170" s="211" t="str">
        <f>IFERROR(__xludf.DUMMYFUNCTION("""COMPUTED_VALUE"""),"Oksigen 6m3")</f>
        <v>Oksigen 6m3</v>
      </c>
      <c r="H170" s="214" t="str">
        <f>IFERROR(__xludf.DUMMYFUNCTION("""COMPUTED_VALUE"""),"IN")</f>
        <v>IN</v>
      </c>
      <c r="I170" s="214" t="str">
        <f>IFERROR(__xludf.DUMMYFUNCTION("""COMPUTED_VALUE"""),"EMPTY")</f>
        <v>EMPTY</v>
      </c>
      <c r="J170" s="211">
        <f>IFERROR(__xludf.DUMMYFUNCTION("""COMPUTED_VALUE"""),10.0)</f>
        <v>10</v>
      </c>
      <c r="K170" s="210" t="str">
        <f>IFERROR(__xludf.DUMMYFUNCTION("""COMPUTED_VALUE"""),"5192 5563 1137 1418 5709 1570 5893 1148 5549 5048")</f>
        <v>5192 5563 1137 1418 5709 1570 5893 1148 5549 5048</v>
      </c>
      <c r="L170" s="211"/>
      <c r="M170" s="211"/>
      <c r="N170" s="211"/>
      <c r="O170" s="211"/>
      <c r="Q170" s="210" t="str">
        <f>IFERROR(__xludf.DUMMYFUNCTION("""COMPUTED_VALUE"""),"11240114")</f>
        <v>11240114</v>
      </c>
      <c r="R170" s="210" t="str">
        <f>IFERROR(__xludf.DUMMYFUNCTION("""COMPUTED_VALUE"""),"11240114")</f>
        <v>11240114</v>
      </c>
      <c r="S170" s="211" t="str">
        <f>IFERROR(__xludf.DUMMYFUNCTION("""COMPUTED_VALUE"""),"c2f5a4a7")</f>
        <v>c2f5a4a7</v>
      </c>
      <c r="T170" s="211" t="str">
        <f>IFERROR(__xludf.DUMMYFUNCTION("""COMPUTED_VALUE"""),"UD Sumber Berlian")</f>
        <v>UD Sumber Berlian</v>
      </c>
      <c r="U170" s="215">
        <f>IFERROR(__xludf.DUMMYFUNCTION("""COMPUTED_VALUE"""),45616.319814814815)</f>
        <v>45616.31981</v>
      </c>
      <c r="V170" s="211" t="str">
        <f>IFERROR(__xludf.DUMMYFUNCTION("""COMPUTED_VALUE"""),"Ciro Kulon, Bakungtemenggungan, Kec. BalongBendo, Kabupaten Sidoarjo, Jawa Timur 61263")</f>
        <v>Ciro Kulon, Bakungtemenggungan, Kec. BalongBendo, Kabupaten Sidoarjo, Jawa Timur 61263</v>
      </c>
      <c r="W170" s="211" t="str">
        <f>IFERROR(__xludf.DUMMYFUNCTION("""COMPUTED_VALUE"""),"OUT")</f>
        <v>OUT</v>
      </c>
      <c r="X170" s="211"/>
      <c r="Z170" s="211" t="str">
        <f>IFERROR(__xludf.DUMMYFUNCTION("""COMPUTED_VALUE"""),"032662713")</f>
        <v>032662713</v>
      </c>
      <c r="AC170" s="211"/>
      <c r="AD170" s="211"/>
      <c r="AE170" s="211"/>
      <c r="AF170" s="211"/>
      <c r="AG170" s="211"/>
      <c r="AH170" s="211"/>
      <c r="AI170" s="211"/>
      <c r="AJ170" s="211"/>
      <c r="AL170" s="211" t="str">
        <f>IFERROR(__xludf.DUMMYFUNCTION("""COMPUTED_VALUE"""),"2250138")</f>
        <v>2250138</v>
      </c>
      <c r="AM170" s="211" t="str">
        <f>IFERROR(__xludf.DUMMYFUNCTION("""COMPUTED_VALUE"""),"112521662")</f>
        <v>112521662</v>
      </c>
      <c r="AN170" s="211" t="str">
        <f>IFERROR(__xludf.DUMMYFUNCTION("""COMPUTED_VALUE"""),"ca4876e2")</f>
        <v>ca4876e2</v>
      </c>
      <c r="AO170" s="211" t="str">
        <f>IFERROR(__xludf.DUMMYFUNCTION("""COMPUTED_VALUE"""),"Bengkel Mustika Mojosari")</f>
        <v>Bengkel Mustika Mojosari</v>
      </c>
      <c r="AP170" s="215">
        <f>IFERROR(__xludf.DUMMYFUNCTION("""COMPUTED_VALUE"""),45999.42380787037)</f>
        <v>45999.42381</v>
      </c>
      <c r="AQ170" s="218">
        <f>IFERROR(__xludf.DUMMYFUNCTION("""COMPUTED_VALUE"""),45971.0)</f>
        <v>45971</v>
      </c>
      <c r="AR170" s="211"/>
      <c r="AS170" s="211"/>
      <c r="AT170" s="211"/>
      <c r="AU170" s="211"/>
      <c r="AV170" s="211"/>
      <c r="AW170" s="211"/>
      <c r="AX170" s="211"/>
      <c r="AY170" s="211"/>
      <c r="AZ170" s="211"/>
      <c r="BB170" s="211"/>
      <c r="BC170" s="211"/>
      <c r="BD170" s="211"/>
      <c r="BE170" s="211"/>
      <c r="BF170" s="211"/>
      <c r="BG170" s="211"/>
      <c r="BH170" s="211"/>
      <c r="BI170" s="211"/>
    </row>
    <row r="171">
      <c r="A171" s="210" t="str">
        <f>IFERROR(__xludf.DUMMYFUNCTION("""COMPUTED_VALUE"""),"ed53fad4")</f>
        <v>ed53fad4</v>
      </c>
      <c r="B171" s="210" t="str">
        <f>IFERROR(__xludf.DUMMYFUNCTION("""COMPUTED_VALUE"""),"ed53fad4")</f>
        <v>ed53fad4</v>
      </c>
      <c r="C171" s="213">
        <f>IFERROR(__xludf.DUMMYFUNCTION("""COMPUTED_VALUE"""),45601.680613425924)</f>
        <v>45601.68061</v>
      </c>
      <c r="D171" s="211" t="str">
        <f>IFERROR(__xludf.DUMMYFUNCTION("""COMPUTED_VALUE"""),"17af2683")</f>
        <v>17af2683</v>
      </c>
      <c r="E171" s="211" t="str">
        <f>IFERROR(__xludf.DUMMYFUNCTION("""COMPUTED_VALUE"""),"H. Fatoni")</f>
        <v>H. Fatoni</v>
      </c>
      <c r="F171" s="211" t="str">
        <f>IFERROR(__xludf.DUMMYFUNCTION("""COMPUTED_VALUE"""),"8bdbe149")</f>
        <v>8bdbe149</v>
      </c>
      <c r="G171" s="211" t="str">
        <f>IFERROR(__xludf.DUMMYFUNCTION("""COMPUTED_VALUE"""),"Oksigen 6m3")</f>
        <v>Oksigen 6m3</v>
      </c>
      <c r="H171" s="214" t="str">
        <f>IFERROR(__xludf.DUMMYFUNCTION("""COMPUTED_VALUE"""),"IN")</f>
        <v>IN</v>
      </c>
      <c r="I171" s="214" t="str">
        <f>IFERROR(__xludf.DUMMYFUNCTION("""COMPUTED_VALUE"""),"EMPTY")</f>
        <v>EMPTY</v>
      </c>
      <c r="J171" s="211">
        <f>IFERROR(__xludf.DUMMYFUNCTION("""COMPUTED_VALUE"""),1.0)</f>
        <v>1</v>
      </c>
      <c r="K171" s="210" t="str">
        <f>IFERROR(__xludf.DUMMYFUNCTION("""COMPUTED_VALUE"""),"1123")</f>
        <v>1123</v>
      </c>
      <c r="L171" s="211"/>
      <c r="M171" s="211"/>
      <c r="N171" s="211"/>
      <c r="O171" s="211"/>
      <c r="Q171" s="210" t="str">
        <f>IFERROR(__xludf.DUMMYFUNCTION("""COMPUTED_VALUE"""),"11240115")</f>
        <v>11240115</v>
      </c>
      <c r="R171" s="210" t="str">
        <f>IFERROR(__xludf.DUMMYFUNCTION("""COMPUTED_VALUE"""),"11240115")</f>
        <v>11240115</v>
      </c>
      <c r="S171" s="211" t="str">
        <f>IFERROR(__xludf.DUMMYFUNCTION("""COMPUTED_VALUE"""),"37175874")</f>
        <v>37175874</v>
      </c>
      <c r="T171" s="211" t="str">
        <f>IFERROR(__xludf.DUMMYFUNCTION("""COMPUTED_VALUE"""),"PT TERAPAN NILAIOSILASI INDONESIA (TENO)")</f>
        <v>PT TERAPAN NILAIOSILASI INDONESIA (TENO)</v>
      </c>
      <c r="U171" s="215">
        <f>IFERROR(__xludf.DUMMYFUNCTION("""COMPUTED_VALUE"""),45616.32665509259)</f>
        <v>45616.32666</v>
      </c>
      <c r="V171" s="211" t="str">
        <f>IFERROR(__xludf.DUMMYFUNCTION("""COMPUTED_VALUE"""),"JL Raya Kertajaya Indah 153 / P116, Gebang Putih, Sukokilo, Kota Surabaya, Jawa Timur")</f>
        <v>JL Raya Kertajaya Indah 153 / P116, Gebang Putih, Sukokilo, Kota Surabaya, Jawa Timur</v>
      </c>
      <c r="W171" s="211" t="str">
        <f>IFERROR(__xludf.DUMMYFUNCTION("""COMPUTED_VALUE"""),"OUT")</f>
        <v>OUT</v>
      </c>
      <c r="X171" s="211"/>
      <c r="Z171" s="211" t="str">
        <f>IFERROR(__xludf.DUMMYFUNCTION("""COMPUTED_VALUE"""),"0326172712")</f>
        <v>0326172712</v>
      </c>
      <c r="AC171" s="211"/>
      <c r="AD171" s="211"/>
      <c r="AE171" s="211"/>
      <c r="AF171" s="211"/>
      <c r="AG171" s="211"/>
      <c r="AH171" s="211"/>
      <c r="AI171" s="211"/>
      <c r="AJ171" s="211"/>
      <c r="AL171" s="211" t="str">
        <f>IFERROR(__xludf.DUMMYFUNCTION("""COMPUTED_VALUE"""),"2250136")</f>
        <v>2250136</v>
      </c>
      <c r="AM171" s="211" t="str">
        <f>IFERROR(__xludf.DUMMYFUNCTION("""COMPUTED_VALUE"""),"1125111794")</f>
        <v>1125111794</v>
      </c>
      <c r="AN171" s="211" t="str">
        <f>IFERROR(__xludf.DUMMYFUNCTION("""COMPUTED_VALUE"""),"faf71ae5")</f>
        <v>faf71ae5</v>
      </c>
      <c r="AO171" s="211" t="str">
        <f>IFERROR(__xludf.DUMMYFUNCTION("""COMPUTED_VALUE"""),"Bpk. Sampurna")</f>
        <v>Bpk. Sampurna</v>
      </c>
      <c r="AP171" s="215">
        <f>IFERROR(__xludf.DUMMYFUNCTION("""COMPUTED_VALUE"""),45990.36603009259)</f>
        <v>45990.36603</v>
      </c>
      <c r="AQ171" s="218">
        <f>IFERROR(__xludf.DUMMYFUNCTION("""COMPUTED_VALUE"""),45983.0)</f>
        <v>45983</v>
      </c>
      <c r="AR171" s="211"/>
      <c r="AS171" s="211"/>
      <c r="AT171" s="211"/>
      <c r="AU171" s="211"/>
      <c r="AV171" s="211"/>
      <c r="AW171" s="211"/>
      <c r="AX171" s="211"/>
      <c r="AY171" s="211"/>
      <c r="AZ171" s="211"/>
      <c r="BB171" s="211"/>
      <c r="BC171" s="211"/>
      <c r="BD171" s="211"/>
      <c r="BE171" s="211"/>
      <c r="BF171" s="211"/>
      <c r="BG171" s="211"/>
      <c r="BH171" s="211"/>
      <c r="BI171" s="211"/>
    </row>
    <row r="172">
      <c r="A172" s="210" t="str">
        <f>IFERROR(__xludf.DUMMYFUNCTION("""COMPUTED_VALUE"""),"11240080")</f>
        <v>11240080</v>
      </c>
      <c r="B172" s="210" t="str">
        <f>IFERROR(__xludf.DUMMYFUNCTION("""COMPUTED_VALUE"""),"11240080")</f>
        <v>11240080</v>
      </c>
      <c r="C172" s="213">
        <f>IFERROR(__xludf.DUMMYFUNCTION("""COMPUTED_VALUE"""),45602.46842592592)</f>
        <v>45602.46843</v>
      </c>
      <c r="D172" s="211" t="str">
        <f>IFERROR(__xludf.DUMMYFUNCTION("""COMPUTED_VALUE"""),"c2f5a4a7")</f>
        <v>c2f5a4a7</v>
      </c>
      <c r="E172" s="211" t="str">
        <f>IFERROR(__xludf.DUMMYFUNCTION("""COMPUTED_VALUE"""),"UD Sumber Berlian")</f>
        <v>UD Sumber Berlian</v>
      </c>
      <c r="F172" s="211" t="str">
        <f>IFERROR(__xludf.DUMMYFUNCTION("""COMPUTED_VALUE"""),"8bdbe149")</f>
        <v>8bdbe149</v>
      </c>
      <c r="G172" s="211" t="str">
        <f>IFERROR(__xludf.DUMMYFUNCTION("""COMPUTED_VALUE"""),"Oksigen 6m3")</f>
        <v>Oksigen 6m3</v>
      </c>
      <c r="H172" s="214" t="str">
        <f>IFERROR(__xludf.DUMMYFUNCTION("""COMPUTED_VALUE"""),"OUT")</f>
        <v>OUT</v>
      </c>
      <c r="I172" s="214" t="str">
        <f>IFERROR(__xludf.DUMMYFUNCTION("""COMPUTED_VALUE"""),"NORMAL")</f>
        <v>NORMAL</v>
      </c>
      <c r="J172" s="211">
        <f>IFERROR(__xludf.DUMMYFUNCTION("""COMPUTED_VALUE"""),15.0)</f>
        <v>15</v>
      </c>
      <c r="K172" s="210" t="str">
        <f>IFERROR(__xludf.DUMMYFUNCTION("""COMPUTED_VALUE"""),"1237 1666 5093 1596 1259 5815 1074 5182 1324 5862 1147 1123 1127 11110 1151")</f>
        <v>1237 1666 5093 1596 1259 5815 1074 5182 1324 5862 1147 1123 1127 11110 1151</v>
      </c>
      <c r="L172" s="211">
        <f>IFERROR(__xludf.DUMMYFUNCTION("""COMPUTED_VALUE"""),70000.0)</f>
        <v>70000</v>
      </c>
      <c r="M172" s="211"/>
      <c r="N172" s="211"/>
      <c r="O172" s="211"/>
      <c r="Q172" s="210" t="str">
        <f>IFERROR(__xludf.DUMMYFUNCTION("""COMPUTED_VALUE"""),"b83c098a")</f>
        <v>b83c098a</v>
      </c>
      <c r="R172" s="210" t="str">
        <f>IFERROR(__xludf.DUMMYFUNCTION("""COMPUTED_VALUE"""),"b83c098a")</f>
        <v>b83c098a</v>
      </c>
      <c r="S172" s="211" t="str">
        <f>IFERROR(__xludf.DUMMYFUNCTION("""COMPUTED_VALUE"""),"37175874")</f>
        <v>37175874</v>
      </c>
      <c r="T172" s="211" t="str">
        <f>IFERROR(__xludf.DUMMYFUNCTION("""COMPUTED_VALUE"""),"PT TERAPAN NILAIOSILASI INDONESIA (TENO)")</f>
        <v>PT TERAPAN NILAIOSILASI INDONESIA (TENO)</v>
      </c>
      <c r="U172" s="215">
        <f>IFERROR(__xludf.DUMMYFUNCTION("""COMPUTED_VALUE"""),45616.470555555556)</f>
        <v>45616.47056</v>
      </c>
      <c r="V172" s="211" t="str">
        <f>IFERROR(__xludf.DUMMYFUNCTION("""COMPUTED_VALUE"""),"JL Raya Kertajaya Indah 153 / P116, Gebang Putih, Sukokilo, Kota Surabaya, Jawa Timur")</f>
        <v>JL Raya Kertajaya Indah 153 / P116, Gebang Putih, Sukokilo, Kota Surabaya, Jawa Timur</v>
      </c>
      <c r="W172" s="211" t="str">
        <f>IFERROR(__xludf.DUMMYFUNCTION("""COMPUTED_VALUE"""),"IN")</f>
        <v>IN</v>
      </c>
      <c r="X172" s="211"/>
      <c r="Z172" s="211" t="str">
        <f>IFERROR(__xludf.DUMMYFUNCTION("""COMPUTED_VALUE"""),"0326192707")</f>
        <v>0326192707</v>
      </c>
      <c r="AC172" s="211"/>
      <c r="AD172" s="211"/>
      <c r="AE172" s="211"/>
      <c r="AF172" s="211"/>
      <c r="AG172" s="211"/>
      <c r="AH172" s="211"/>
      <c r="AI172" s="211"/>
      <c r="AJ172" s="211"/>
      <c r="AL172" s="211" t="str">
        <f>IFERROR(__xludf.DUMMYFUNCTION("""COMPUTED_VALUE"""),"2250136")</f>
        <v>2250136</v>
      </c>
      <c r="AM172" s="211" t="str">
        <f>IFERROR(__xludf.DUMMYFUNCTION("""COMPUTED_VALUE"""),"1125131825")</f>
        <v>1125131825</v>
      </c>
      <c r="AN172" s="211" t="str">
        <f>IFERROR(__xludf.DUMMYFUNCTION("""COMPUTED_VALUE"""),"faf71ae5")</f>
        <v>faf71ae5</v>
      </c>
      <c r="AO172" s="211" t="str">
        <f>IFERROR(__xludf.DUMMYFUNCTION("""COMPUTED_VALUE"""),"Bpk. Sampurna")</f>
        <v>Bpk. Sampurna</v>
      </c>
      <c r="AP172" s="215">
        <f>IFERROR(__xludf.DUMMYFUNCTION("""COMPUTED_VALUE"""),45990.36603009259)</f>
        <v>45990.36603</v>
      </c>
      <c r="AQ172" s="218">
        <f>IFERROR(__xludf.DUMMYFUNCTION("""COMPUTED_VALUE"""),45987.0)</f>
        <v>45987</v>
      </c>
      <c r="AR172" s="211"/>
      <c r="AS172" s="211"/>
      <c r="AT172" s="211"/>
      <c r="AU172" s="211"/>
      <c r="AV172" s="211"/>
      <c r="AW172" s="211"/>
      <c r="AX172" s="211"/>
      <c r="AY172" s="211"/>
      <c r="AZ172" s="211"/>
      <c r="BB172" s="211"/>
      <c r="BC172" s="211"/>
      <c r="BD172" s="211"/>
      <c r="BE172" s="211"/>
      <c r="BF172" s="211"/>
      <c r="BG172" s="211"/>
      <c r="BH172" s="211"/>
      <c r="BI172" s="211"/>
    </row>
    <row r="173">
      <c r="A173" s="210" t="str">
        <f>IFERROR(__xludf.DUMMYFUNCTION("""COMPUTED_VALUE"""),"3ef66923")</f>
        <v>3ef66923</v>
      </c>
      <c r="B173" s="210" t="str">
        <f>IFERROR(__xludf.DUMMYFUNCTION("""COMPUTED_VALUE"""),"3ef66923")</f>
        <v>3ef66923</v>
      </c>
      <c r="C173" s="213">
        <f>IFERROR(__xludf.DUMMYFUNCTION("""COMPUTED_VALUE"""),45602.47520833334)</f>
        <v>45602.47521</v>
      </c>
      <c r="D173" s="211" t="str">
        <f>IFERROR(__xludf.DUMMYFUNCTION("""COMPUTED_VALUE"""),"e968afef")</f>
        <v>e968afef</v>
      </c>
      <c r="E173" s="211" t="str">
        <f>IFERROR(__xludf.DUMMYFUNCTION("""COMPUTED_VALUE"""),"Bpk. Agus")</f>
        <v>Bpk. Agus</v>
      </c>
      <c r="F173" s="211" t="str">
        <f>IFERROR(__xludf.DUMMYFUNCTION("""COMPUTED_VALUE"""),"8bdbe149")</f>
        <v>8bdbe149</v>
      </c>
      <c r="G173" s="211" t="str">
        <f>IFERROR(__xludf.DUMMYFUNCTION("""COMPUTED_VALUE"""),"Oksigen 6m3")</f>
        <v>Oksigen 6m3</v>
      </c>
      <c r="H173" s="214" t="str">
        <f>IFERROR(__xludf.DUMMYFUNCTION("""COMPUTED_VALUE"""),"IN")</f>
        <v>IN</v>
      </c>
      <c r="I173" s="214" t="str">
        <f>IFERROR(__xludf.DUMMYFUNCTION("""COMPUTED_VALUE"""),"EMPTY")</f>
        <v>EMPTY</v>
      </c>
      <c r="J173" s="211">
        <f>IFERROR(__xludf.DUMMYFUNCTION("""COMPUTED_VALUE"""),2.0)</f>
        <v>2</v>
      </c>
      <c r="K173" s="210" t="str">
        <f>IFERROR(__xludf.DUMMYFUNCTION("""COMPUTED_VALUE"""),"1142 1138")</f>
        <v>1142 1138</v>
      </c>
      <c r="L173" s="211"/>
      <c r="M173" s="211"/>
      <c r="N173" s="211"/>
      <c r="O173" s="211"/>
      <c r="Q173" s="210" t="str">
        <f>IFERROR(__xludf.DUMMYFUNCTION("""COMPUTED_VALUE"""),"33454739")</f>
        <v>33454739</v>
      </c>
      <c r="R173" s="210" t="str">
        <f>IFERROR(__xludf.DUMMYFUNCTION("""COMPUTED_VALUE"""),"33454739")</f>
        <v>33454739</v>
      </c>
      <c r="S173" s="211" t="str">
        <f>IFERROR(__xludf.DUMMYFUNCTION("""COMPUTED_VALUE"""),"c2f5a4a7")</f>
        <v>c2f5a4a7</v>
      </c>
      <c r="T173" s="211" t="str">
        <f>IFERROR(__xludf.DUMMYFUNCTION("""COMPUTED_VALUE"""),"UD Sumber Berlian")</f>
        <v>UD Sumber Berlian</v>
      </c>
      <c r="U173" s="215">
        <f>IFERROR(__xludf.DUMMYFUNCTION("""COMPUTED_VALUE"""),45616.47148148148)</f>
        <v>45616.47148</v>
      </c>
      <c r="V173" s="211" t="str">
        <f>IFERROR(__xludf.DUMMYFUNCTION("""COMPUTED_VALUE"""),"Ciro Kulon, Bakungtemenggungan, Kec. BalongBendo, Kabupaten Sidoarjo, Jawa Timur 61263")</f>
        <v>Ciro Kulon, Bakungtemenggungan, Kec. BalongBendo, Kabupaten Sidoarjo, Jawa Timur 61263</v>
      </c>
      <c r="W173" s="211" t="str">
        <f>IFERROR(__xludf.DUMMYFUNCTION("""COMPUTED_VALUE"""),"IN")</f>
        <v>IN</v>
      </c>
      <c r="X173" s="211"/>
      <c r="Z173" s="211" t="str">
        <f>IFERROR(__xludf.DUMMYFUNCTION("""COMPUTED_VALUE"""),"0226482703")</f>
        <v>0226482703</v>
      </c>
      <c r="AC173" s="211"/>
      <c r="AD173" s="211"/>
      <c r="AE173" s="211"/>
      <c r="AF173" s="211"/>
      <c r="AG173" s="211"/>
      <c r="AH173" s="211"/>
      <c r="AI173" s="211"/>
      <c r="AJ173" s="211"/>
      <c r="AL173" s="211" t="str">
        <f>IFERROR(__xludf.DUMMYFUNCTION("""COMPUTED_VALUE"""),"2250126")</f>
        <v>2250126</v>
      </c>
      <c r="AM173" s="211" t="str">
        <f>IFERROR(__xludf.DUMMYFUNCTION("""COMPUTED_VALUE"""),"05250434")</f>
        <v>05250434</v>
      </c>
      <c r="AN173" s="211" t="str">
        <f>IFERROR(__xludf.DUMMYFUNCTION("""COMPUTED_VALUE"""),"7b9d8eba")</f>
        <v>7b9d8eba</v>
      </c>
      <c r="AO173" s="211" t="str">
        <f>IFERROR(__xludf.DUMMYFUNCTION("""COMPUTED_VALUE"""),"PT PELANGI INDOKARYA")</f>
        <v>PT PELANGI INDOKARYA</v>
      </c>
      <c r="AP173" s="215">
        <f>IFERROR(__xludf.DUMMYFUNCTION("""COMPUTED_VALUE"""),45989.64078703704)</f>
        <v>45989.64079</v>
      </c>
      <c r="AQ173" s="218">
        <f>IFERROR(__xludf.DUMMYFUNCTION("""COMPUTED_VALUE"""),45793.0)</f>
        <v>45793</v>
      </c>
      <c r="AR173" s="211"/>
      <c r="AS173" s="211"/>
      <c r="AT173" s="211"/>
      <c r="AU173" s="211"/>
      <c r="AV173" s="211"/>
      <c r="AW173" s="211"/>
      <c r="AX173" s="211"/>
      <c r="AY173" s="211"/>
      <c r="AZ173" s="211"/>
      <c r="BB173" s="211"/>
      <c r="BC173" s="211"/>
      <c r="BD173" s="211"/>
      <c r="BE173" s="211"/>
      <c r="BF173" s="211"/>
      <c r="BG173" s="211"/>
      <c r="BH173" s="211"/>
      <c r="BI173" s="211"/>
    </row>
    <row r="174">
      <c r="A174" s="210" t="str">
        <f>IFERROR(__xludf.DUMMYFUNCTION("""COMPUTED_VALUE"""),"7a0eb28d")</f>
        <v>7a0eb28d</v>
      </c>
      <c r="B174" s="210" t="str">
        <f>IFERROR(__xludf.DUMMYFUNCTION("""COMPUTED_VALUE"""),"7a0eb28d")</f>
        <v>7a0eb28d</v>
      </c>
      <c r="C174" s="213">
        <f>IFERROR(__xludf.DUMMYFUNCTION("""COMPUTED_VALUE"""),45602.68225694444)</f>
        <v>45602.68226</v>
      </c>
      <c r="D174" s="211" t="str">
        <f>IFERROR(__xludf.DUMMYFUNCTION("""COMPUTED_VALUE"""),"c2f5a4a7")</f>
        <v>c2f5a4a7</v>
      </c>
      <c r="E174" s="211" t="str">
        <f>IFERROR(__xludf.DUMMYFUNCTION("""COMPUTED_VALUE"""),"UD Sumber Berlian")</f>
        <v>UD Sumber Berlian</v>
      </c>
      <c r="F174" s="211" t="str">
        <f>IFERROR(__xludf.DUMMYFUNCTION("""COMPUTED_VALUE"""),"8bdbe149")</f>
        <v>8bdbe149</v>
      </c>
      <c r="G174" s="211" t="str">
        <f>IFERROR(__xludf.DUMMYFUNCTION("""COMPUTED_VALUE"""),"Oksigen 6m3")</f>
        <v>Oksigen 6m3</v>
      </c>
      <c r="H174" s="214" t="str">
        <f>IFERROR(__xludf.DUMMYFUNCTION("""COMPUTED_VALUE"""),"IN")</f>
        <v>IN</v>
      </c>
      <c r="I174" s="214" t="str">
        <f>IFERROR(__xludf.DUMMYFUNCTION("""COMPUTED_VALUE"""),"EMPTY")</f>
        <v>EMPTY</v>
      </c>
      <c r="J174" s="211">
        <f>IFERROR(__xludf.DUMMYFUNCTION("""COMPUTED_VALUE"""),12.0)</f>
        <v>12</v>
      </c>
      <c r="K174" s="210" t="str">
        <f>IFERROR(__xludf.DUMMYFUNCTION("""COMPUTED_VALUE"""),"5161 5591 5463 1653 1604 1564 1287 5558 5403 1214 1112 11109")</f>
        <v>5161 5591 5463 1653 1604 1564 1287 5558 5403 1214 1112 11109</v>
      </c>
      <c r="L174" s="211"/>
      <c r="M174" s="211"/>
      <c r="N174" s="211"/>
      <c r="O174" s="211"/>
      <c r="Q174" s="210" t="str">
        <f>IFERROR(__xludf.DUMMYFUNCTION("""COMPUTED_VALUE"""),"11240116")</f>
        <v>11240116</v>
      </c>
      <c r="R174" s="210" t="str">
        <f>IFERROR(__xludf.DUMMYFUNCTION("""COMPUTED_VALUE"""),"11240116")</f>
        <v>11240116</v>
      </c>
      <c r="S174" s="211" t="str">
        <f>IFERROR(__xludf.DUMMYFUNCTION("""COMPUTED_VALUE"""),"72d9a70c")</f>
        <v>72d9a70c</v>
      </c>
      <c r="T174" s="211" t="str">
        <f>IFERROR(__xludf.DUMMYFUNCTION("""COMPUTED_VALUE"""),"PT Beton Prima Indonesia")</f>
        <v>PT Beton Prima Indonesia</v>
      </c>
      <c r="U174" s="215">
        <f>IFERROR(__xludf.DUMMYFUNCTION("""COMPUTED_VALUE"""),45617.658067129625)</f>
        <v>45617.65807</v>
      </c>
      <c r="V174" s="211" t="str">
        <f>IFERROR(__xludf.DUMMYFUNCTION("""COMPUTED_VALUE"""),"KH. Ahmad Dahlan KM.2 Ds. Sumberwono, Kec. Bangsal, Kab. Mojokerto 61381")</f>
        <v>KH. Ahmad Dahlan KM.2 Ds. Sumberwono, Kec. Bangsal, Kab. Mojokerto 61381</v>
      </c>
      <c r="W174" s="211" t="str">
        <f>IFERROR(__xludf.DUMMYFUNCTION("""COMPUTED_VALUE"""),"OUT")</f>
        <v>OUT</v>
      </c>
      <c r="X174" s="211"/>
      <c r="Z174" s="211" t="str">
        <f>IFERROR(__xludf.DUMMYFUNCTION("""COMPUTED_VALUE"""),"0226262702")</f>
        <v>0226262702</v>
      </c>
      <c r="AC174" s="211"/>
      <c r="AD174" s="211"/>
      <c r="AE174" s="211"/>
      <c r="AF174" s="211"/>
      <c r="AG174" s="211"/>
      <c r="AH174" s="211"/>
      <c r="AI174" s="211"/>
      <c r="AJ174" s="211"/>
      <c r="AL174" s="211" t="str">
        <f>IFERROR(__xludf.DUMMYFUNCTION("""COMPUTED_VALUE"""),"2250126")</f>
        <v>2250126</v>
      </c>
      <c r="AM174" s="211" t="str">
        <f>IFERROR(__xludf.DUMMYFUNCTION("""COMPUTED_VALUE"""),"05250468")</f>
        <v>05250468</v>
      </c>
      <c r="AN174" s="211" t="str">
        <f>IFERROR(__xludf.DUMMYFUNCTION("""COMPUTED_VALUE"""),"7b9d8eba")</f>
        <v>7b9d8eba</v>
      </c>
      <c r="AO174" s="211" t="str">
        <f>IFERROR(__xludf.DUMMYFUNCTION("""COMPUTED_VALUE"""),"PT PELANGI INDOKARYA")</f>
        <v>PT PELANGI INDOKARYA</v>
      </c>
      <c r="AP174" s="215">
        <f>IFERROR(__xludf.DUMMYFUNCTION("""COMPUTED_VALUE"""),45989.64078703704)</f>
        <v>45989.64079</v>
      </c>
      <c r="AQ174" s="218">
        <f>IFERROR(__xludf.DUMMYFUNCTION("""COMPUTED_VALUE"""),45805.0)</f>
        <v>45805</v>
      </c>
      <c r="AR174" s="211"/>
      <c r="AS174" s="211"/>
      <c r="AT174" s="211"/>
      <c r="AU174" s="211"/>
      <c r="AV174" s="211"/>
      <c r="AW174" s="211"/>
      <c r="AX174" s="211"/>
      <c r="AY174" s="211"/>
      <c r="AZ174" s="211"/>
      <c r="BB174" s="211"/>
      <c r="BC174" s="211"/>
      <c r="BD174" s="211"/>
      <c r="BE174" s="211"/>
      <c r="BF174" s="211"/>
      <c r="BG174" s="211"/>
      <c r="BH174" s="211"/>
      <c r="BI174" s="211"/>
    </row>
    <row r="175">
      <c r="A175" s="210" t="str">
        <f>IFERROR(__xludf.DUMMYFUNCTION("""COMPUTED_VALUE"""),"11240081")</f>
        <v>11240081</v>
      </c>
      <c r="B175" s="210" t="str">
        <f>IFERROR(__xludf.DUMMYFUNCTION("""COMPUTED_VALUE"""),"11240081")</f>
        <v>11240081</v>
      </c>
      <c r="C175" s="213">
        <f>IFERROR(__xludf.DUMMYFUNCTION("""COMPUTED_VALUE"""),45603.664814814816)</f>
        <v>45603.66481</v>
      </c>
      <c r="D175" s="211" t="str">
        <f>IFERROR(__xludf.DUMMYFUNCTION("""COMPUTED_VALUE"""),"f8335a53")</f>
        <v>f8335a53</v>
      </c>
      <c r="E175" s="211" t="str">
        <f>IFERROR(__xludf.DUMMYFUNCTION("""COMPUTED_VALUE"""),"CV RAGAM JAYA ENGINEERING")</f>
        <v>CV RAGAM JAYA ENGINEERING</v>
      </c>
      <c r="F175" s="211" t="str">
        <f>IFERROR(__xludf.DUMMYFUNCTION("""COMPUTED_VALUE"""),"8bdbe149")</f>
        <v>8bdbe149</v>
      </c>
      <c r="G175" s="211" t="str">
        <f>IFERROR(__xludf.DUMMYFUNCTION("""COMPUTED_VALUE"""),"Oksigen 6m3")</f>
        <v>Oksigen 6m3</v>
      </c>
      <c r="H175" s="214" t="str">
        <f>IFERROR(__xludf.DUMMYFUNCTION("""COMPUTED_VALUE"""),"OUT")</f>
        <v>OUT</v>
      </c>
      <c r="I175" s="214" t="str">
        <f>IFERROR(__xludf.DUMMYFUNCTION("""COMPUTED_VALUE"""),"NORMAL")</f>
        <v>NORMAL</v>
      </c>
      <c r="J175" s="211">
        <f>IFERROR(__xludf.DUMMYFUNCTION("""COMPUTED_VALUE"""),10.0)</f>
        <v>10</v>
      </c>
      <c r="K175" s="210" t="str">
        <f>IFERROR(__xludf.DUMMYFUNCTION("""COMPUTED_VALUE"""),"5145 1542 5461 5530 5570 1185 5877 1107 1672 5916")</f>
        <v>5145 1542 5461 5530 5570 1185 5877 1107 1672 5916</v>
      </c>
      <c r="L175" s="211">
        <f>IFERROR(__xludf.DUMMYFUNCTION("""COMPUTED_VALUE"""),60000.0)</f>
        <v>60000</v>
      </c>
      <c r="M175" s="211"/>
      <c r="N175" s="211"/>
      <c r="O175" s="211"/>
      <c r="Q175" s="210" t="str">
        <f>IFERROR(__xludf.DUMMYFUNCTION("""COMPUTED_VALUE"""),"11240117")</f>
        <v>11240117</v>
      </c>
      <c r="R175" s="210" t="str">
        <f>IFERROR(__xludf.DUMMYFUNCTION("""COMPUTED_VALUE"""),"11240117")</f>
        <v>11240117</v>
      </c>
      <c r="S175" s="211" t="str">
        <f>IFERROR(__xludf.DUMMYFUNCTION("""COMPUTED_VALUE"""),"f8335a53")</f>
        <v>f8335a53</v>
      </c>
      <c r="T175" s="211" t="str">
        <f>IFERROR(__xludf.DUMMYFUNCTION("""COMPUTED_VALUE"""),"CV RAGAM JAYA ENGINEERING")</f>
        <v>CV RAGAM JAYA ENGINEERING</v>
      </c>
      <c r="U175" s="215">
        <f>IFERROR(__xludf.DUMMYFUNCTION("""COMPUTED_VALUE"""),45617.66458333333)</f>
        <v>45617.66458</v>
      </c>
      <c r="V175" s="211" t="str">
        <f>IFERROR(__xludf.DUMMYFUNCTION("""COMPUTED_VALUE"""),"Jl. Balung wangon, Dadapkuning, Bulurejo, Kec. Benjeng, Kabupaten Gresik, Jawa Timur 61172")</f>
        <v>Jl. Balung wangon, Dadapkuning, Bulurejo, Kec. Benjeng, Kabupaten Gresik, Jawa Timur 61172</v>
      </c>
      <c r="W175" s="211" t="str">
        <f>IFERROR(__xludf.DUMMYFUNCTION("""COMPUTED_VALUE"""),"OUT")</f>
        <v>OUT</v>
      </c>
      <c r="X175" s="211"/>
      <c r="Z175" s="211" t="str">
        <f>IFERROR(__xludf.DUMMYFUNCTION("""COMPUTED_VALUE"""),"022642701")</f>
        <v>022642701</v>
      </c>
      <c r="AC175" s="211"/>
      <c r="AD175" s="211"/>
      <c r="AE175" s="211"/>
      <c r="AF175" s="211"/>
      <c r="AG175" s="211"/>
      <c r="AH175" s="211"/>
      <c r="AI175" s="211"/>
      <c r="AJ175" s="211"/>
      <c r="AL175" s="211" t="str">
        <f>IFERROR(__xludf.DUMMYFUNCTION("""COMPUTED_VALUE"""),"2250126")</f>
        <v>2250126</v>
      </c>
      <c r="AM175" s="211" t="str">
        <f>IFERROR(__xludf.DUMMYFUNCTION("""COMPUTED_VALUE"""),"07250566")</f>
        <v>07250566</v>
      </c>
      <c r="AN175" s="211" t="str">
        <f>IFERROR(__xludf.DUMMYFUNCTION("""COMPUTED_VALUE"""),"7b9d8eba")</f>
        <v>7b9d8eba</v>
      </c>
      <c r="AO175" s="211" t="str">
        <f>IFERROR(__xludf.DUMMYFUNCTION("""COMPUTED_VALUE"""),"PT PELANGI INDOKARYA")</f>
        <v>PT PELANGI INDOKARYA</v>
      </c>
      <c r="AP175" s="215">
        <f>IFERROR(__xludf.DUMMYFUNCTION("""COMPUTED_VALUE"""),45989.64078703704)</f>
        <v>45989.64079</v>
      </c>
      <c r="AQ175" s="218">
        <f>IFERROR(__xludf.DUMMYFUNCTION("""COMPUTED_VALUE"""),45845.0)</f>
        <v>45845</v>
      </c>
      <c r="AR175" s="211"/>
      <c r="AS175" s="211"/>
      <c r="AT175" s="211"/>
      <c r="AU175" s="211"/>
      <c r="AV175" s="211"/>
      <c r="AW175" s="211"/>
      <c r="AX175" s="211"/>
      <c r="AY175" s="211"/>
      <c r="AZ175" s="211"/>
      <c r="BB175" s="211"/>
      <c r="BC175" s="211"/>
      <c r="BD175" s="211"/>
      <c r="BE175" s="211"/>
      <c r="BF175" s="211"/>
      <c r="BG175" s="211"/>
      <c r="BH175" s="211"/>
      <c r="BI175" s="211"/>
    </row>
    <row r="176">
      <c r="A176" s="210" t="str">
        <f>IFERROR(__xludf.DUMMYFUNCTION("""COMPUTED_VALUE"""),"11240081")</f>
        <v>11240081</v>
      </c>
      <c r="B176" s="210" t="str">
        <f>IFERROR(__xludf.DUMMYFUNCTION("""COMPUTED_VALUE"""),"11240081")</f>
        <v>11240081</v>
      </c>
      <c r="C176" s="213">
        <f>IFERROR(__xludf.DUMMYFUNCTION("""COMPUTED_VALUE"""),45603.67125)</f>
        <v>45603.67125</v>
      </c>
      <c r="D176" s="211" t="str">
        <f>IFERROR(__xludf.DUMMYFUNCTION("""COMPUTED_VALUE"""),"f8335a53")</f>
        <v>f8335a53</v>
      </c>
      <c r="E176" s="211" t="str">
        <f>IFERROR(__xludf.DUMMYFUNCTION("""COMPUTED_VALUE"""),"CV RAGAM JAYA ENGINEERING")</f>
        <v>CV RAGAM JAYA ENGINEERING</v>
      </c>
      <c r="F176" s="211" t="str">
        <f>IFERROR(__xludf.DUMMYFUNCTION("""COMPUTED_VALUE"""),"ef306e54")</f>
        <v>ef306e54</v>
      </c>
      <c r="G176" s="211" t="str">
        <f>IFERROR(__xludf.DUMMYFUNCTION("""COMPUTED_VALUE"""),"Karbondioksida")</f>
        <v>Karbondioksida</v>
      </c>
      <c r="H176" s="214" t="str">
        <f>IFERROR(__xludf.DUMMYFUNCTION("""COMPUTED_VALUE"""),"OUT")</f>
        <v>OUT</v>
      </c>
      <c r="I176" s="214" t="str">
        <f>IFERROR(__xludf.DUMMYFUNCTION("""COMPUTED_VALUE"""),"NORMAL")</f>
        <v>NORMAL</v>
      </c>
      <c r="J176" s="211">
        <f>IFERROR(__xludf.DUMMYFUNCTION("""COMPUTED_VALUE"""),5.0)</f>
        <v>5</v>
      </c>
      <c r="K176" s="210" t="str">
        <f>IFERROR(__xludf.DUMMYFUNCTION("""COMPUTED_VALUE"""),"6703 6832 6635 6971 6865")</f>
        <v>6703 6832 6635 6971 6865</v>
      </c>
      <c r="L176" s="211">
        <f>IFERROR(__xludf.DUMMYFUNCTION("""COMPUTED_VALUE"""),160000.0)</f>
        <v>160000</v>
      </c>
      <c r="M176" s="211"/>
      <c r="N176" s="211"/>
      <c r="O176" s="211"/>
      <c r="Q176" s="210" t="str">
        <f>IFERROR(__xludf.DUMMYFUNCTION("""COMPUTED_VALUE"""),"c633a11d")</f>
        <v>c633a11d</v>
      </c>
      <c r="R176" s="210" t="str">
        <f>IFERROR(__xludf.DUMMYFUNCTION("""COMPUTED_VALUE"""),"c633a11d")</f>
        <v>c633a11d</v>
      </c>
      <c r="S176" s="211" t="str">
        <f>IFERROR(__xludf.DUMMYFUNCTION("""COMPUTED_VALUE"""),"72d9a70c")</f>
        <v>72d9a70c</v>
      </c>
      <c r="T176" s="211" t="str">
        <f>IFERROR(__xludf.DUMMYFUNCTION("""COMPUTED_VALUE"""),"PT Beton Prima Indonesia")</f>
        <v>PT Beton Prima Indonesia</v>
      </c>
      <c r="U176" s="215">
        <f>IFERROR(__xludf.DUMMYFUNCTION("""COMPUTED_VALUE"""),45617.448958333334)</f>
        <v>45617.44896</v>
      </c>
      <c r="V176" s="211" t="str">
        <f>IFERROR(__xludf.DUMMYFUNCTION("""COMPUTED_VALUE"""),"KH. Ahmad Dahlan KM.2 Ds. Sumberwono, Kec. Bangsal, Kab. Mojokerto 61381")</f>
        <v>KH. Ahmad Dahlan KM.2 Ds. Sumberwono, Kec. Bangsal, Kab. Mojokerto 61381</v>
      </c>
      <c r="W176" s="211" t="str">
        <f>IFERROR(__xludf.DUMMYFUNCTION("""COMPUTED_VALUE"""),"IN")</f>
        <v>IN</v>
      </c>
      <c r="X176" s="211"/>
      <c r="Z176" s="211" t="str">
        <f>IFERROR(__xludf.DUMMYFUNCTION("""COMPUTED_VALUE"""),"0226892700")</f>
        <v>0226892700</v>
      </c>
      <c r="AC176" s="211"/>
      <c r="AD176" s="211"/>
      <c r="AE176" s="211"/>
      <c r="AF176" s="211"/>
      <c r="AG176" s="211"/>
      <c r="AH176" s="211"/>
      <c r="AI176" s="211"/>
      <c r="AJ176" s="211"/>
      <c r="AL176" s="211" t="str">
        <f>IFERROR(__xludf.DUMMYFUNCTION("""COMPUTED_VALUE"""),"2250126")</f>
        <v>2250126</v>
      </c>
      <c r="AM176" s="211" t="str">
        <f>IFERROR(__xludf.DUMMYFUNCTION("""COMPUTED_VALUE"""),"07250612")</f>
        <v>07250612</v>
      </c>
      <c r="AN176" s="211" t="str">
        <f>IFERROR(__xludf.DUMMYFUNCTION("""COMPUTED_VALUE"""),"7b9d8eba")</f>
        <v>7b9d8eba</v>
      </c>
      <c r="AO176" s="211" t="str">
        <f>IFERROR(__xludf.DUMMYFUNCTION("""COMPUTED_VALUE"""),"PT PELANGI INDOKARYA")</f>
        <v>PT PELANGI INDOKARYA</v>
      </c>
      <c r="AP176" s="215">
        <f>IFERROR(__xludf.DUMMYFUNCTION("""COMPUTED_VALUE"""),45989.64078703704)</f>
        <v>45989.64079</v>
      </c>
      <c r="AQ176" s="218">
        <f>IFERROR(__xludf.DUMMYFUNCTION("""COMPUTED_VALUE"""),45867.0)</f>
        <v>45867</v>
      </c>
      <c r="AR176" s="211"/>
      <c r="AS176" s="211"/>
      <c r="AT176" s="211"/>
      <c r="AU176" s="211"/>
      <c r="AV176" s="211"/>
      <c r="AW176" s="211"/>
      <c r="AX176" s="211"/>
      <c r="AY176" s="211"/>
      <c r="AZ176" s="211"/>
      <c r="BB176" s="211"/>
      <c r="BC176" s="211"/>
      <c r="BD176" s="211"/>
      <c r="BE176" s="211"/>
      <c r="BF176" s="211"/>
      <c r="BG176" s="211"/>
      <c r="BH176" s="211"/>
      <c r="BI176" s="211"/>
    </row>
    <row r="177">
      <c r="A177" s="210" t="str">
        <f>IFERROR(__xludf.DUMMYFUNCTION("""COMPUTED_VALUE"""),"d83f4009")</f>
        <v>d83f4009</v>
      </c>
      <c r="B177" s="210" t="str">
        <f>IFERROR(__xludf.DUMMYFUNCTION("""COMPUTED_VALUE"""),"d83f4009")</f>
        <v>d83f4009</v>
      </c>
      <c r="C177" s="213">
        <f>IFERROR(__xludf.DUMMYFUNCTION("""COMPUTED_VALUE"""),45603.562210648146)</f>
        <v>45603.56221</v>
      </c>
      <c r="D177" s="211" t="str">
        <f>IFERROR(__xludf.DUMMYFUNCTION("""COMPUTED_VALUE"""),"72d9a70c")</f>
        <v>72d9a70c</v>
      </c>
      <c r="E177" s="211" t="str">
        <f>IFERROR(__xludf.DUMMYFUNCTION("""COMPUTED_VALUE"""),"PT Beton Prima Indonesia")</f>
        <v>PT Beton Prima Indonesia</v>
      </c>
      <c r="F177" s="211" t="str">
        <f>IFERROR(__xludf.DUMMYFUNCTION("""COMPUTED_VALUE"""),"8bdbe149")</f>
        <v>8bdbe149</v>
      </c>
      <c r="G177" s="211" t="str">
        <f>IFERROR(__xludf.DUMMYFUNCTION("""COMPUTED_VALUE"""),"Oksigen 6m3")</f>
        <v>Oksigen 6m3</v>
      </c>
      <c r="H177" s="214" t="str">
        <f>IFERROR(__xludf.DUMMYFUNCTION("""COMPUTED_VALUE"""),"IN")</f>
        <v>IN</v>
      </c>
      <c r="I177" s="214" t="str">
        <f>IFERROR(__xludf.DUMMYFUNCTION("""COMPUTED_VALUE"""),"EMPTY")</f>
        <v>EMPTY</v>
      </c>
      <c r="J177" s="211">
        <f>IFERROR(__xludf.DUMMYFUNCTION("""COMPUTED_VALUE"""),9.0)</f>
        <v>9</v>
      </c>
      <c r="K177" s="210" t="str">
        <f>IFERROR(__xludf.DUMMYFUNCTION("""COMPUTED_VALUE"""),"1566 1102 1155 11106 11115 1124 1153 1122 1131")</f>
        <v>1566 1102 1155 11106 11115 1124 1153 1122 1131</v>
      </c>
      <c r="L177" s="211"/>
      <c r="M177" s="211"/>
      <c r="N177" s="211"/>
      <c r="O177" s="211"/>
      <c r="Q177" s="210" t="str">
        <f>IFERROR(__xludf.DUMMYFUNCTION("""COMPUTED_VALUE"""),"11240120")</f>
        <v>11240120</v>
      </c>
      <c r="R177" s="210" t="str">
        <f>IFERROR(__xludf.DUMMYFUNCTION("""COMPUTED_VALUE"""),"11240120")</f>
        <v>11240120</v>
      </c>
      <c r="S177" s="211" t="str">
        <f>IFERROR(__xludf.DUMMYFUNCTION("""COMPUTED_VALUE"""),"8f5ebaea")</f>
        <v>8f5ebaea</v>
      </c>
      <c r="T177" s="211" t="str">
        <f>IFERROR(__xludf.DUMMYFUNCTION("""COMPUTED_VALUE"""),"PT Hua Zong Mesindo")</f>
        <v>PT Hua Zong Mesindo</v>
      </c>
      <c r="U177" s="215">
        <f>IFERROR(__xludf.DUMMYFUNCTION("""COMPUTED_VALUE"""),45617.45196759259)</f>
        <v>45617.45197</v>
      </c>
      <c r="V177" s="211" t="str">
        <f>IFERROR(__xludf.DUMMYFUNCTION("""COMPUTED_VALUE"""),"Jl. Bypass Krian, Sidotemo, Sidomulyo, Kec. Krian, Kabupaten Sidoarjo, Jawa Timur 61262")</f>
        <v>Jl. Bypass Krian, Sidotemo, Sidomulyo, Kec. Krian, Kabupaten Sidoarjo, Jawa Timur 61262</v>
      </c>
      <c r="W177" s="211" t="str">
        <f>IFERROR(__xludf.DUMMYFUNCTION("""COMPUTED_VALUE"""),"OUT")</f>
        <v>OUT</v>
      </c>
      <c r="X177" s="211"/>
      <c r="Z177" s="211" t="str">
        <f>IFERROR(__xludf.DUMMYFUNCTION("""COMPUTED_VALUE"""),"0226142697")</f>
        <v>0226142697</v>
      </c>
      <c r="AC177" s="211"/>
      <c r="AD177" s="211"/>
      <c r="AE177" s="211"/>
      <c r="AF177" s="211"/>
      <c r="AG177" s="211"/>
      <c r="AH177" s="211"/>
      <c r="AI177" s="211"/>
      <c r="AJ177" s="211"/>
      <c r="AL177" s="211" t="str">
        <f>IFERROR(__xludf.DUMMYFUNCTION("""COMPUTED_VALUE"""),"2250126")</f>
        <v>2250126</v>
      </c>
      <c r="AM177" s="211" t="str">
        <f>IFERROR(__xludf.DUMMYFUNCTION("""COMPUTED_VALUE"""),"0825181150")</f>
        <v>0825181150</v>
      </c>
      <c r="AN177" s="211" t="str">
        <f>IFERROR(__xludf.DUMMYFUNCTION("""COMPUTED_VALUE"""),"7b9d8eba")</f>
        <v>7b9d8eba</v>
      </c>
      <c r="AO177" s="211" t="str">
        <f>IFERROR(__xludf.DUMMYFUNCTION("""COMPUTED_VALUE"""),"PT PELANGI INDOKARYA")</f>
        <v>PT PELANGI INDOKARYA</v>
      </c>
      <c r="AP177" s="215">
        <f>IFERROR(__xludf.DUMMYFUNCTION("""COMPUTED_VALUE"""),45989.64078703704)</f>
        <v>45989.64079</v>
      </c>
      <c r="AQ177" s="218">
        <f>IFERROR(__xludf.DUMMYFUNCTION("""COMPUTED_VALUE"""),45890.0)</f>
        <v>45890</v>
      </c>
      <c r="AR177" s="211"/>
      <c r="AS177" s="211"/>
      <c r="AT177" s="211"/>
      <c r="AU177" s="211"/>
      <c r="AV177" s="211"/>
      <c r="AW177" s="211"/>
      <c r="AX177" s="211"/>
      <c r="AY177" s="211"/>
      <c r="AZ177" s="211"/>
      <c r="BB177" s="211"/>
      <c r="BC177" s="211"/>
      <c r="BD177" s="211"/>
      <c r="BE177" s="211"/>
      <c r="BF177" s="211"/>
      <c r="BG177" s="211"/>
      <c r="BH177" s="211"/>
      <c r="BI177" s="211"/>
    </row>
    <row r="178">
      <c r="A178" s="210" t="str">
        <f>IFERROR(__xludf.DUMMYFUNCTION("""COMPUTED_VALUE"""),"11240083")</f>
        <v>11240083</v>
      </c>
      <c r="B178" s="210" t="str">
        <f>IFERROR(__xludf.DUMMYFUNCTION("""COMPUTED_VALUE"""),"11240083")</f>
        <v>11240083</v>
      </c>
      <c r="C178" s="213">
        <f>IFERROR(__xludf.DUMMYFUNCTION("""COMPUTED_VALUE"""),45603.564409722225)</f>
        <v>45603.56441</v>
      </c>
      <c r="D178" s="211" t="str">
        <f>IFERROR(__xludf.DUMMYFUNCTION("""COMPUTED_VALUE"""),"c2f5a4a7")</f>
        <v>c2f5a4a7</v>
      </c>
      <c r="E178" s="211" t="str">
        <f>IFERROR(__xludf.DUMMYFUNCTION("""COMPUTED_VALUE"""),"UD Sumber Berlian")</f>
        <v>UD Sumber Berlian</v>
      </c>
      <c r="F178" s="211" t="str">
        <f>IFERROR(__xludf.DUMMYFUNCTION("""COMPUTED_VALUE"""),"8bdbe149")</f>
        <v>8bdbe149</v>
      </c>
      <c r="G178" s="211" t="str">
        <f>IFERROR(__xludf.DUMMYFUNCTION("""COMPUTED_VALUE"""),"Oksigen 6m3")</f>
        <v>Oksigen 6m3</v>
      </c>
      <c r="H178" s="214" t="str">
        <f>IFERROR(__xludf.DUMMYFUNCTION("""COMPUTED_VALUE"""),"OUT")</f>
        <v>OUT</v>
      </c>
      <c r="I178" s="214" t="str">
        <f>IFERROR(__xludf.DUMMYFUNCTION("""COMPUTED_VALUE"""),"NORMAL")</f>
        <v>NORMAL</v>
      </c>
      <c r="J178" s="211">
        <f>IFERROR(__xludf.DUMMYFUNCTION("""COMPUTED_VALUE"""),15.0)</f>
        <v>15</v>
      </c>
      <c r="K178" s="210" t="str">
        <f>IFERROR(__xludf.DUMMYFUNCTION("""COMPUTED_VALUE"""),"1566 1153 1131 1140 11115 11102 11106 5488 5130 1075 5512 5898 1726 5811 5639")</f>
        <v>1566 1153 1131 1140 11115 11102 11106 5488 5130 1075 5512 5898 1726 5811 5639</v>
      </c>
      <c r="L178" s="211">
        <f>IFERROR(__xludf.DUMMYFUNCTION("""COMPUTED_VALUE"""),70000.0)</f>
        <v>70000</v>
      </c>
      <c r="M178" s="211"/>
      <c r="N178" s="211"/>
      <c r="O178" s="211"/>
      <c r="Q178" s="210" t="str">
        <f>IFERROR(__xludf.DUMMYFUNCTION("""COMPUTED_VALUE"""),"7980caf9")</f>
        <v>7980caf9</v>
      </c>
      <c r="R178" s="210" t="str">
        <f>IFERROR(__xludf.DUMMYFUNCTION("""COMPUTED_VALUE"""),"7980caf9")</f>
        <v>7980caf9</v>
      </c>
      <c r="S178" s="211" t="str">
        <f>IFERROR(__xludf.DUMMYFUNCTION("""COMPUTED_VALUE"""),"f8335a53")</f>
        <v>f8335a53</v>
      </c>
      <c r="T178" s="211" t="str">
        <f>IFERROR(__xludf.DUMMYFUNCTION("""COMPUTED_VALUE"""),"CV RAGAM JAYA ENGINEERING")</f>
        <v>CV RAGAM JAYA ENGINEERING</v>
      </c>
      <c r="U178" s="215">
        <f>IFERROR(__xludf.DUMMYFUNCTION("""COMPUTED_VALUE"""),45617.46548611111)</f>
        <v>45617.46549</v>
      </c>
      <c r="V178" s="211" t="str">
        <f>IFERROR(__xludf.DUMMYFUNCTION("""COMPUTED_VALUE"""),"Jl. Balung wangon, Dadapkuning, Bulurejo, Kec. Benjeng, Kabupaten Gresik, Jawa Timur 61172")</f>
        <v>Jl. Balung wangon, Dadapkuning, Bulurejo, Kec. Benjeng, Kabupaten Gresik, Jawa Timur 61172</v>
      </c>
      <c r="W178" s="211" t="str">
        <f>IFERROR(__xludf.DUMMYFUNCTION("""COMPUTED_VALUE"""),"IN")</f>
        <v>IN</v>
      </c>
      <c r="X178" s="211"/>
      <c r="Z178" s="211" t="str">
        <f>IFERROR(__xludf.DUMMYFUNCTION("""COMPUTED_VALUE"""),"0226172692")</f>
        <v>0226172692</v>
      </c>
      <c r="AC178" s="211"/>
      <c r="AD178" s="211"/>
      <c r="AE178" s="211"/>
      <c r="AF178" s="211"/>
      <c r="AG178" s="211"/>
      <c r="AH178" s="211"/>
      <c r="AI178" s="211"/>
      <c r="AJ178" s="211"/>
      <c r="AL178" s="211" t="str">
        <f>IFERROR(__xludf.DUMMYFUNCTION("""COMPUTED_VALUE"""),"2250126")</f>
        <v>2250126</v>
      </c>
      <c r="AM178" s="211" t="str">
        <f>IFERROR(__xludf.DUMMYFUNCTION("""COMPUTED_VALUE"""),"0925191214")</f>
        <v>0925191214</v>
      </c>
      <c r="AN178" s="211" t="str">
        <f>IFERROR(__xludf.DUMMYFUNCTION("""COMPUTED_VALUE"""),"7b9d8eba")</f>
        <v>7b9d8eba</v>
      </c>
      <c r="AO178" s="211" t="str">
        <f>IFERROR(__xludf.DUMMYFUNCTION("""COMPUTED_VALUE"""),"PT PELANGI INDOKARYA")</f>
        <v>PT PELANGI INDOKARYA</v>
      </c>
      <c r="AP178" s="215">
        <f>IFERROR(__xludf.DUMMYFUNCTION("""COMPUTED_VALUE"""),45989.64078703704)</f>
        <v>45989.64079</v>
      </c>
      <c r="AQ178" s="218">
        <f>IFERROR(__xludf.DUMMYFUNCTION("""COMPUTED_VALUE"""),45903.0)</f>
        <v>45903</v>
      </c>
      <c r="AR178" s="211"/>
      <c r="AS178" s="211"/>
      <c r="AT178" s="211"/>
      <c r="AU178" s="211"/>
      <c r="AV178" s="211"/>
      <c r="AW178" s="211"/>
      <c r="AX178" s="211"/>
      <c r="AY178" s="211"/>
      <c r="AZ178" s="211"/>
      <c r="BB178" s="211"/>
      <c r="BC178" s="211"/>
      <c r="BD178" s="211"/>
      <c r="BE178" s="211"/>
      <c r="BF178" s="211"/>
      <c r="BG178" s="211"/>
      <c r="BH178" s="211"/>
      <c r="BI178" s="211"/>
    </row>
    <row r="179">
      <c r="A179" s="210" t="str">
        <f>IFERROR(__xludf.DUMMYFUNCTION("""COMPUTED_VALUE"""),"11240083")</f>
        <v>11240083</v>
      </c>
      <c r="B179" s="210" t="str">
        <f>IFERROR(__xludf.DUMMYFUNCTION("""COMPUTED_VALUE"""),"11240083")</f>
        <v>11240083</v>
      </c>
      <c r="C179" s="213">
        <f>IFERROR(__xludf.DUMMYFUNCTION("""COMPUTED_VALUE"""),45603.56946759259)</f>
        <v>45603.56947</v>
      </c>
      <c r="D179" s="211" t="str">
        <f>IFERROR(__xludf.DUMMYFUNCTION("""COMPUTED_VALUE"""),"c2f5a4a7")</f>
        <v>c2f5a4a7</v>
      </c>
      <c r="E179" s="211" t="str">
        <f>IFERROR(__xludf.DUMMYFUNCTION("""COMPUTED_VALUE"""),"UD Sumber Berlian")</f>
        <v>UD Sumber Berlian</v>
      </c>
      <c r="F179" s="211" t="str">
        <f>IFERROR(__xludf.DUMMYFUNCTION("""COMPUTED_VALUE"""),"be525f3b")</f>
        <v>be525f3b</v>
      </c>
      <c r="G179" s="211" t="str">
        <f>IFERROR(__xludf.DUMMYFUNCTION("""COMPUTED_VALUE"""),"LPG 12kg")</f>
        <v>LPG 12kg</v>
      </c>
      <c r="H179" s="214" t="str">
        <f>IFERROR(__xludf.DUMMYFUNCTION("""COMPUTED_VALUE"""),"OUT")</f>
        <v>OUT</v>
      </c>
      <c r="I179" s="214" t="str">
        <f>IFERROR(__xludf.DUMMYFUNCTION("""COMPUTED_VALUE"""),"NORMAL")</f>
        <v>NORMAL</v>
      </c>
      <c r="J179" s="211">
        <f>IFERROR(__xludf.DUMMYFUNCTION("""COMPUTED_VALUE"""),2.0)</f>
        <v>2</v>
      </c>
      <c r="K179" s="211"/>
      <c r="L179" s="211">
        <f>IFERROR(__xludf.DUMMYFUNCTION("""COMPUTED_VALUE"""),215000.0)</f>
        <v>215000</v>
      </c>
      <c r="M179" s="211"/>
      <c r="N179" s="211"/>
      <c r="O179" s="211"/>
      <c r="Q179" s="210" t="str">
        <f>IFERROR(__xludf.DUMMYFUNCTION("""COMPUTED_VALUE"""),"11240122")</f>
        <v>11240122</v>
      </c>
      <c r="R179" s="210" t="str">
        <f>IFERROR(__xludf.DUMMYFUNCTION("""COMPUTED_VALUE"""),"11240122")</f>
        <v>11240122</v>
      </c>
      <c r="S179" s="211" t="str">
        <f>IFERROR(__xludf.DUMMYFUNCTION("""COMPUTED_VALUE"""),"4a01ccb6")</f>
        <v>4a01ccb6</v>
      </c>
      <c r="T179" s="211" t="str">
        <f>IFERROR(__xludf.DUMMYFUNCTION("""COMPUTED_VALUE"""),"CV ANUGERAH PERSADA TEKNIK")</f>
        <v>CV ANUGERAH PERSADA TEKNIK</v>
      </c>
      <c r="U179" s="215">
        <f>IFERROR(__xludf.DUMMYFUNCTION("""COMPUTED_VALUE"""),45617.51784722222)</f>
        <v>45617.51785</v>
      </c>
      <c r="V179" s="211" t="str">
        <f>IFERROR(__xludf.DUMMYFUNCTION("""COMPUTED_VALUE"""),"JL. Raya Trosobo, Blok 3/14, Taman Sidoarjo Lingkungan Industri Kecil, Sepanjang, Jawa Timur, 61257")</f>
        <v>JL. Raya Trosobo, Blok 3/14, Taman Sidoarjo Lingkungan Industri Kecil, Sepanjang, Jawa Timur, 61257</v>
      </c>
      <c r="W179" s="211" t="str">
        <f>IFERROR(__xludf.DUMMYFUNCTION("""COMPUTED_VALUE"""),"OUT")</f>
        <v>OUT</v>
      </c>
      <c r="X179" s="211"/>
      <c r="Z179" s="211" t="str">
        <f>IFERROR(__xludf.DUMMYFUNCTION("""COMPUTED_VALUE"""),"0226162691")</f>
        <v>0226162691</v>
      </c>
      <c r="AC179" s="211"/>
      <c r="AD179" s="211"/>
      <c r="AE179" s="211"/>
      <c r="AF179" s="211"/>
      <c r="AG179" s="211"/>
      <c r="AH179" s="211"/>
      <c r="AI179" s="211"/>
      <c r="AJ179" s="211"/>
      <c r="AL179" s="211" t="str">
        <f>IFERROR(__xludf.DUMMYFUNCTION("""COMPUTED_VALUE"""),"2250126")</f>
        <v>2250126</v>
      </c>
      <c r="AM179" s="211" t="str">
        <f>IFERROR(__xludf.DUMMYFUNCTION("""COMPUTED_VALUE"""),"1025201374")</f>
        <v>1025201374</v>
      </c>
      <c r="AN179" s="211" t="str">
        <f>IFERROR(__xludf.DUMMYFUNCTION("""COMPUTED_VALUE"""),"7b9d8eba")</f>
        <v>7b9d8eba</v>
      </c>
      <c r="AO179" s="211" t="str">
        <f>IFERROR(__xludf.DUMMYFUNCTION("""COMPUTED_VALUE"""),"PT PELANGI INDOKARYA")</f>
        <v>PT PELANGI INDOKARYA</v>
      </c>
      <c r="AP179" s="215">
        <f>IFERROR(__xludf.DUMMYFUNCTION("""COMPUTED_VALUE"""),45989.64078703704)</f>
        <v>45989.64079</v>
      </c>
      <c r="AQ179" s="218">
        <f>IFERROR(__xludf.DUMMYFUNCTION("""COMPUTED_VALUE"""),45933.0)</f>
        <v>45933</v>
      </c>
      <c r="AR179" s="211"/>
      <c r="AS179" s="211"/>
      <c r="AT179" s="211"/>
      <c r="AU179" s="211"/>
      <c r="AV179" s="211"/>
      <c r="AW179" s="211"/>
      <c r="AX179" s="211"/>
      <c r="AY179" s="211"/>
      <c r="AZ179" s="211"/>
      <c r="BB179" s="211"/>
      <c r="BC179" s="211"/>
      <c r="BD179" s="211"/>
      <c r="BE179" s="211"/>
      <c r="BF179" s="211"/>
      <c r="BG179" s="211"/>
      <c r="BH179" s="211"/>
      <c r="BI179" s="211"/>
    </row>
    <row r="180">
      <c r="A180" s="210" t="str">
        <f>IFERROR(__xludf.DUMMYFUNCTION("""COMPUTED_VALUE"""),"3754fb94")</f>
        <v>3754fb94</v>
      </c>
      <c r="B180" s="210" t="str">
        <f>IFERROR(__xludf.DUMMYFUNCTION("""COMPUTED_VALUE"""),"3754fb94")</f>
        <v>3754fb94</v>
      </c>
      <c r="C180" s="213">
        <f>IFERROR(__xludf.DUMMYFUNCTION("""COMPUTED_VALUE"""),45603.60037037037)</f>
        <v>45603.60037</v>
      </c>
      <c r="D180" s="211" t="str">
        <f>IFERROR(__xludf.DUMMYFUNCTION("""COMPUTED_VALUE"""),"f8335a53")</f>
        <v>f8335a53</v>
      </c>
      <c r="E180" s="211" t="str">
        <f>IFERROR(__xludf.DUMMYFUNCTION("""COMPUTED_VALUE"""),"CV RAGAM JAYA ENGINEERING")</f>
        <v>CV RAGAM JAYA ENGINEERING</v>
      </c>
      <c r="F180" s="211" t="str">
        <f>IFERROR(__xludf.DUMMYFUNCTION("""COMPUTED_VALUE"""),"ef306e54")</f>
        <v>ef306e54</v>
      </c>
      <c r="G180" s="211" t="str">
        <f>IFERROR(__xludf.DUMMYFUNCTION("""COMPUTED_VALUE"""),"Karbondioksida")</f>
        <v>Karbondioksida</v>
      </c>
      <c r="H180" s="214" t="str">
        <f>IFERROR(__xludf.DUMMYFUNCTION("""COMPUTED_VALUE"""),"IN")</f>
        <v>IN</v>
      </c>
      <c r="I180" s="214" t="str">
        <f>IFERROR(__xludf.DUMMYFUNCTION("""COMPUTED_VALUE"""),"EMPTY")</f>
        <v>EMPTY</v>
      </c>
      <c r="J180" s="211">
        <f>IFERROR(__xludf.DUMMYFUNCTION("""COMPUTED_VALUE"""),6.0)</f>
        <v>6</v>
      </c>
      <c r="K180" s="210" t="str">
        <f>IFERROR(__xludf.DUMMYFUNCTION("""COMPUTED_VALUE"""),"6637 6781 6894 6903 6684 6657")</f>
        <v>6637 6781 6894 6903 6684 6657</v>
      </c>
      <c r="L180" s="211"/>
      <c r="M180" s="211"/>
      <c r="N180" s="211"/>
      <c r="O180" s="211"/>
      <c r="Q180" s="210" t="str">
        <f>IFERROR(__xludf.DUMMYFUNCTION("""COMPUTED_VALUE"""),"cc06dcb8")</f>
        <v>cc06dcb8</v>
      </c>
      <c r="R180" s="210" t="str">
        <f>IFERROR(__xludf.DUMMYFUNCTION("""COMPUTED_VALUE"""),"cc06dcb8")</f>
        <v>cc06dcb8</v>
      </c>
      <c r="S180" s="211" t="str">
        <f>IFERROR(__xludf.DUMMYFUNCTION("""COMPUTED_VALUE"""),"8f5ebaea")</f>
        <v>8f5ebaea</v>
      </c>
      <c r="T180" s="211" t="str">
        <f>IFERROR(__xludf.DUMMYFUNCTION("""COMPUTED_VALUE"""),"PT Hua Zong Mesindo")</f>
        <v>PT Hua Zong Mesindo</v>
      </c>
      <c r="U180" s="215">
        <f>IFERROR(__xludf.DUMMYFUNCTION("""COMPUTED_VALUE"""),45617.53554398148)</f>
        <v>45617.53554</v>
      </c>
      <c r="V180" s="211" t="str">
        <f>IFERROR(__xludf.DUMMYFUNCTION("""COMPUTED_VALUE"""),"Jl. Bypass Krian, Sidotemo, Sidomulyo, Kec. Krian, Kabupaten Sidoarjo, Jawa Timur 61262")</f>
        <v>Jl. Bypass Krian, Sidotemo, Sidomulyo, Kec. Krian, Kabupaten Sidoarjo, Jawa Timur 61262</v>
      </c>
      <c r="W180" s="211" t="str">
        <f>IFERROR(__xludf.DUMMYFUNCTION("""COMPUTED_VALUE"""),"IN")</f>
        <v>IN</v>
      </c>
      <c r="X180" s="211"/>
      <c r="Z180" s="211" t="str">
        <f>IFERROR(__xludf.DUMMYFUNCTION("""COMPUTED_VALUE"""),"022652690")</f>
        <v>022652690</v>
      </c>
      <c r="AC180" s="211"/>
      <c r="AD180" s="211"/>
      <c r="AE180" s="211"/>
      <c r="AF180" s="211"/>
      <c r="AG180" s="211"/>
      <c r="AH180" s="211"/>
      <c r="AI180" s="211"/>
      <c r="AJ180" s="211"/>
      <c r="AL180" s="211" t="str">
        <f>IFERROR(__xludf.DUMMYFUNCTION("""COMPUTED_VALUE"""),"2250126")</f>
        <v>2250126</v>
      </c>
      <c r="AM180" s="211" t="str">
        <f>IFERROR(__xludf.DUMMYFUNCTION("""COMPUTED_VALUE"""),"1125211602")</f>
        <v>1125211602</v>
      </c>
      <c r="AN180" s="211" t="str">
        <f>IFERROR(__xludf.DUMMYFUNCTION("""COMPUTED_VALUE"""),"7b9d8eba")</f>
        <v>7b9d8eba</v>
      </c>
      <c r="AO180" s="211" t="str">
        <f>IFERROR(__xludf.DUMMYFUNCTION("""COMPUTED_VALUE"""),"PT PELANGI INDOKARYA")</f>
        <v>PT PELANGI INDOKARYA</v>
      </c>
      <c r="AP180" s="215">
        <f>IFERROR(__xludf.DUMMYFUNCTION("""COMPUTED_VALUE"""),45989.64078703704)</f>
        <v>45989.64079</v>
      </c>
      <c r="AQ180" s="218">
        <f>IFERROR(__xludf.DUMMYFUNCTION("""COMPUTED_VALUE"""),45965.0)</f>
        <v>45965</v>
      </c>
      <c r="AR180" s="211"/>
      <c r="AS180" s="211"/>
      <c r="AT180" s="211"/>
      <c r="AU180" s="211"/>
      <c r="AV180" s="211"/>
      <c r="AW180" s="211"/>
      <c r="AX180" s="211"/>
      <c r="AY180" s="211"/>
      <c r="AZ180" s="211"/>
      <c r="BB180" s="211"/>
      <c r="BC180" s="211"/>
      <c r="BD180" s="211"/>
      <c r="BE180" s="211"/>
      <c r="BF180" s="211"/>
      <c r="BG180" s="211"/>
      <c r="BH180" s="211"/>
      <c r="BI180" s="211"/>
    </row>
    <row r="181">
      <c r="A181" s="210" t="str">
        <f>IFERROR(__xludf.DUMMYFUNCTION("""COMPUTED_VALUE"""),"3754fb94")</f>
        <v>3754fb94</v>
      </c>
      <c r="B181" s="210" t="str">
        <f>IFERROR(__xludf.DUMMYFUNCTION("""COMPUTED_VALUE"""),"3754fb94")</f>
        <v>3754fb94</v>
      </c>
      <c r="C181" s="213">
        <f>IFERROR(__xludf.DUMMYFUNCTION("""COMPUTED_VALUE"""),45603.601689814815)</f>
        <v>45603.60169</v>
      </c>
      <c r="D181" s="211" t="str">
        <f>IFERROR(__xludf.DUMMYFUNCTION("""COMPUTED_VALUE"""),"f8335a53")</f>
        <v>f8335a53</v>
      </c>
      <c r="E181" s="211" t="str">
        <f>IFERROR(__xludf.DUMMYFUNCTION("""COMPUTED_VALUE"""),"CV RAGAM JAYA ENGINEERING")</f>
        <v>CV RAGAM JAYA ENGINEERING</v>
      </c>
      <c r="F181" s="211" t="str">
        <f>IFERROR(__xludf.DUMMYFUNCTION("""COMPUTED_VALUE"""),"8bdbe149")</f>
        <v>8bdbe149</v>
      </c>
      <c r="G181" s="211" t="str">
        <f>IFERROR(__xludf.DUMMYFUNCTION("""COMPUTED_VALUE"""),"Oksigen 6m3")</f>
        <v>Oksigen 6m3</v>
      </c>
      <c r="H181" s="214" t="str">
        <f>IFERROR(__xludf.DUMMYFUNCTION("""COMPUTED_VALUE"""),"IN")</f>
        <v>IN</v>
      </c>
      <c r="I181" s="214" t="str">
        <f>IFERROR(__xludf.DUMMYFUNCTION("""COMPUTED_VALUE"""),"EMPTY")</f>
        <v>EMPTY</v>
      </c>
      <c r="J181" s="211">
        <f>IFERROR(__xludf.DUMMYFUNCTION("""COMPUTED_VALUE"""),7.0)</f>
        <v>7</v>
      </c>
      <c r="K181" s="210" t="str">
        <f>IFERROR(__xludf.DUMMYFUNCTION("""COMPUTED_VALUE"""),"1106 1113 11102 1186 11111 11112 1140")</f>
        <v>1106 1113 11102 1186 11111 11112 1140</v>
      </c>
      <c r="L181" s="211"/>
      <c r="M181" s="211"/>
      <c r="N181" s="211"/>
      <c r="O181" s="211"/>
      <c r="Q181" s="210" t="str">
        <f>IFERROR(__xludf.DUMMYFUNCTION("""COMPUTED_VALUE"""),"db4cd92c")</f>
        <v>db4cd92c</v>
      </c>
      <c r="R181" s="210" t="str">
        <f>IFERROR(__xludf.DUMMYFUNCTION("""COMPUTED_VALUE"""),"db4cd92c")</f>
        <v>db4cd92c</v>
      </c>
      <c r="S181" s="211" t="str">
        <f>IFERROR(__xludf.DUMMYFUNCTION("""COMPUTED_VALUE"""),"e968afef")</f>
        <v>e968afef</v>
      </c>
      <c r="T181" s="211" t="str">
        <f>IFERROR(__xludf.DUMMYFUNCTION("""COMPUTED_VALUE"""),"Bpk. Agus")</f>
        <v>Bpk. Agus</v>
      </c>
      <c r="U181" s="215">
        <f>IFERROR(__xludf.DUMMYFUNCTION("""COMPUTED_VALUE"""),45617.536099537036)</f>
        <v>45617.5361</v>
      </c>
      <c r="V181" s="211" t="str">
        <f>IFERROR(__xludf.DUMMYFUNCTION("""COMPUTED_VALUE"""),"Jl. Parengan 13, Semawut, Balongbendo, Kec. BalongBendo, Kabupaten Sidoarjo, Jawa Timur 61263")</f>
        <v>Jl. Parengan 13, Semawut, Balongbendo, Kec. BalongBendo, Kabupaten Sidoarjo, Jawa Timur 61263</v>
      </c>
      <c r="W181" s="211" t="str">
        <f>IFERROR(__xludf.DUMMYFUNCTION("""COMPUTED_VALUE"""),"IN")</f>
        <v>IN</v>
      </c>
      <c r="X181" s="211"/>
      <c r="Z181" s="211" t="str">
        <f>IFERROR(__xludf.DUMMYFUNCTION("""COMPUTED_VALUE"""),"0226132693")</f>
        <v>0226132693</v>
      </c>
      <c r="AC181" s="211"/>
      <c r="AD181" s="211"/>
      <c r="AE181" s="211"/>
      <c r="AF181" s="211"/>
      <c r="AG181" s="211"/>
      <c r="AH181" s="211"/>
      <c r="AI181" s="211"/>
      <c r="AJ181" s="211"/>
      <c r="AL181" s="211" t="str">
        <f>IFERROR(__xludf.DUMMYFUNCTION("""COMPUTED_VALUE"""),"2250126")</f>
        <v>2250126</v>
      </c>
      <c r="AM181" s="211" t="str">
        <f>IFERROR(__xludf.DUMMYFUNCTION("""COMPUTED_VALUE"""),"1125221710")</f>
        <v>1125221710</v>
      </c>
      <c r="AN181" s="211" t="str">
        <f>IFERROR(__xludf.DUMMYFUNCTION("""COMPUTED_VALUE"""),"7b9d8eba")</f>
        <v>7b9d8eba</v>
      </c>
      <c r="AO181" s="211" t="str">
        <f>IFERROR(__xludf.DUMMYFUNCTION("""COMPUTED_VALUE"""),"PT PELANGI INDOKARYA")</f>
        <v>PT PELANGI INDOKARYA</v>
      </c>
      <c r="AP181" s="215">
        <f>IFERROR(__xludf.DUMMYFUNCTION("""COMPUTED_VALUE"""),45989.64078703704)</f>
        <v>45989.64079</v>
      </c>
      <c r="AQ181" s="218">
        <f>IFERROR(__xludf.DUMMYFUNCTION("""COMPUTED_VALUE"""),45975.0)</f>
        <v>45975</v>
      </c>
      <c r="AR181" s="211"/>
      <c r="AS181" s="211"/>
      <c r="AT181" s="211"/>
      <c r="AU181" s="211"/>
      <c r="AV181" s="211"/>
      <c r="AW181" s="211"/>
      <c r="AX181" s="211"/>
      <c r="AY181" s="211"/>
      <c r="AZ181" s="211"/>
      <c r="BB181" s="211"/>
      <c r="BC181" s="211"/>
      <c r="BD181" s="211"/>
      <c r="BE181" s="211"/>
      <c r="BF181" s="211"/>
      <c r="BG181" s="211"/>
      <c r="BH181" s="211"/>
      <c r="BI181" s="211"/>
    </row>
    <row r="182">
      <c r="A182" s="210" t="str">
        <f>IFERROR(__xludf.DUMMYFUNCTION("""COMPUTED_VALUE"""),"9cfb2031")</f>
        <v>9cfb2031</v>
      </c>
      <c r="B182" s="210" t="str">
        <f>IFERROR(__xludf.DUMMYFUNCTION("""COMPUTED_VALUE"""),"9cfb2031")</f>
        <v>9cfb2031</v>
      </c>
      <c r="C182" s="213">
        <f>IFERROR(__xludf.DUMMYFUNCTION("""COMPUTED_VALUE"""),45604.42870370371)</f>
        <v>45604.4287</v>
      </c>
      <c r="D182" s="211" t="str">
        <f>IFERROR(__xludf.DUMMYFUNCTION("""COMPUTED_VALUE"""),"c2f5a4a7")</f>
        <v>c2f5a4a7</v>
      </c>
      <c r="E182" s="211" t="str">
        <f>IFERROR(__xludf.DUMMYFUNCTION("""COMPUTED_VALUE"""),"UD Sumber Berlian")</f>
        <v>UD Sumber Berlian</v>
      </c>
      <c r="F182" s="211" t="str">
        <f>IFERROR(__xludf.DUMMYFUNCTION("""COMPUTED_VALUE"""),"8bdbe149")</f>
        <v>8bdbe149</v>
      </c>
      <c r="G182" s="211" t="str">
        <f>IFERROR(__xludf.DUMMYFUNCTION("""COMPUTED_VALUE"""),"Oksigen 6m3")</f>
        <v>Oksigen 6m3</v>
      </c>
      <c r="H182" s="214" t="str">
        <f>IFERROR(__xludf.DUMMYFUNCTION("""COMPUTED_VALUE"""),"IN")</f>
        <v>IN</v>
      </c>
      <c r="I182" s="214" t="str">
        <f>IFERROR(__xludf.DUMMYFUNCTION("""COMPUTED_VALUE"""),"EMPTY")</f>
        <v>EMPTY</v>
      </c>
      <c r="J182" s="211">
        <f>IFERROR(__xludf.DUMMYFUNCTION("""COMPUTED_VALUE"""),10.0)</f>
        <v>10</v>
      </c>
      <c r="K182" s="210" t="str">
        <f>IFERROR(__xludf.DUMMYFUNCTION("""COMPUTED_VALUE"""),"1380 1643 1259 1147 1666 1074 5093 5482 11110 1151")</f>
        <v>1380 1643 1259 1147 1666 1074 5093 5482 11110 1151</v>
      </c>
      <c r="L182" s="211"/>
      <c r="M182" s="211"/>
      <c r="N182" s="211"/>
      <c r="O182" s="211"/>
      <c r="Q182" s="210" t="str">
        <f>IFERROR(__xludf.DUMMYFUNCTION("""COMPUTED_VALUE"""),"3fec40d7")</f>
        <v>3fec40d7</v>
      </c>
      <c r="R182" s="210" t="str">
        <f>IFERROR(__xludf.DUMMYFUNCTION("""COMPUTED_VALUE"""),"3fec40d7")</f>
        <v>3fec40d7</v>
      </c>
      <c r="S182" s="211" t="str">
        <f>IFERROR(__xludf.DUMMYFUNCTION("""COMPUTED_VALUE"""),"17af2683")</f>
        <v>17af2683</v>
      </c>
      <c r="T182" s="211" t="str">
        <f>IFERROR(__xludf.DUMMYFUNCTION("""COMPUTED_VALUE"""),"H. Fatoni")</f>
        <v>H. Fatoni</v>
      </c>
      <c r="U182" s="215">
        <f>IFERROR(__xludf.DUMMYFUNCTION("""COMPUTED_VALUE"""),45617.536574074074)</f>
        <v>45617.53657</v>
      </c>
      <c r="V182" s="211" t="str">
        <f>IFERROR(__xludf.DUMMYFUNCTION("""COMPUTED_VALUE"""),"Watesari 015/003, Watesari, Balongbendo, Sidoarjo, Jawa Timur")</f>
        <v>Watesari 015/003, Watesari, Balongbendo, Sidoarjo, Jawa Timur</v>
      </c>
      <c r="W182" s="211" t="str">
        <f>IFERROR(__xludf.DUMMYFUNCTION("""COMPUTED_VALUE"""),"IN")</f>
        <v>IN</v>
      </c>
      <c r="X182" s="211"/>
      <c r="Z182" s="211" t="str">
        <f>IFERROR(__xludf.DUMMYFUNCTION("""COMPUTED_VALUE"""),"0226262683")</f>
        <v>0226262683</v>
      </c>
      <c r="AC182" s="211"/>
      <c r="AD182" s="211"/>
      <c r="AE182" s="211"/>
      <c r="AF182" s="211"/>
      <c r="AG182" s="211"/>
      <c r="AH182" s="211"/>
      <c r="AI182" s="211"/>
      <c r="AJ182" s="211"/>
      <c r="AL182" s="211" t="str">
        <f>IFERROR(__xludf.DUMMYFUNCTION("""COMPUTED_VALUE"""),"2250126")</f>
        <v>2250126</v>
      </c>
      <c r="AM182" s="211" t="str">
        <f>IFERROR(__xludf.DUMMYFUNCTION("""COMPUTED_VALUE"""),"1125231728")</f>
        <v>1125231728</v>
      </c>
      <c r="AN182" s="211" t="str">
        <f>IFERROR(__xludf.DUMMYFUNCTION("""COMPUTED_VALUE"""),"7b9d8eba")</f>
        <v>7b9d8eba</v>
      </c>
      <c r="AO182" s="211" t="str">
        <f>IFERROR(__xludf.DUMMYFUNCTION("""COMPUTED_VALUE"""),"PT PELANGI INDOKARYA")</f>
        <v>PT PELANGI INDOKARYA</v>
      </c>
      <c r="AP182" s="215">
        <f>IFERROR(__xludf.DUMMYFUNCTION("""COMPUTED_VALUE"""),45989.64078703704)</f>
        <v>45989.64079</v>
      </c>
      <c r="AQ182" s="218">
        <f>IFERROR(__xludf.DUMMYFUNCTION("""COMPUTED_VALUE"""),45978.0)</f>
        <v>45978</v>
      </c>
      <c r="AR182" s="211"/>
      <c r="AS182" s="211"/>
      <c r="AT182" s="211"/>
      <c r="AU182" s="211"/>
      <c r="AV182" s="211"/>
      <c r="AW182" s="211"/>
      <c r="AX182" s="211"/>
      <c r="AY182" s="211"/>
      <c r="AZ182" s="211"/>
      <c r="BB182" s="211"/>
      <c r="BC182" s="211"/>
      <c r="BD182" s="211"/>
      <c r="BE182" s="211"/>
      <c r="BF182" s="211"/>
      <c r="BG182" s="211"/>
      <c r="BH182" s="211"/>
      <c r="BI182" s="211"/>
    </row>
    <row r="183">
      <c r="A183" s="210" t="str">
        <f>IFERROR(__xludf.DUMMYFUNCTION("""COMPUTED_VALUE"""),"9cfb2031")</f>
        <v>9cfb2031</v>
      </c>
      <c r="B183" s="210" t="str">
        <f>IFERROR(__xludf.DUMMYFUNCTION("""COMPUTED_VALUE"""),"9cfb2031")</f>
        <v>9cfb2031</v>
      </c>
      <c r="C183" s="213">
        <f>IFERROR(__xludf.DUMMYFUNCTION("""COMPUTED_VALUE"""),45604.42994212963)</f>
        <v>45604.42994</v>
      </c>
      <c r="D183" s="211" t="str">
        <f>IFERROR(__xludf.DUMMYFUNCTION("""COMPUTED_VALUE"""),"c2f5a4a7")</f>
        <v>c2f5a4a7</v>
      </c>
      <c r="E183" s="211" t="str">
        <f>IFERROR(__xludf.DUMMYFUNCTION("""COMPUTED_VALUE"""),"UD Sumber Berlian")</f>
        <v>UD Sumber Berlian</v>
      </c>
      <c r="F183" s="211" t="str">
        <f>IFERROR(__xludf.DUMMYFUNCTION("""COMPUTED_VALUE"""),"be525f3b")</f>
        <v>be525f3b</v>
      </c>
      <c r="G183" s="211" t="str">
        <f>IFERROR(__xludf.DUMMYFUNCTION("""COMPUTED_VALUE"""),"LPG 12kg")</f>
        <v>LPG 12kg</v>
      </c>
      <c r="H183" s="214" t="str">
        <f>IFERROR(__xludf.DUMMYFUNCTION("""COMPUTED_VALUE"""),"IN")</f>
        <v>IN</v>
      </c>
      <c r="I183" s="214" t="str">
        <f>IFERROR(__xludf.DUMMYFUNCTION("""COMPUTED_VALUE"""),"EMPTY")</f>
        <v>EMPTY</v>
      </c>
      <c r="J183" s="211">
        <f>IFERROR(__xludf.DUMMYFUNCTION("""COMPUTED_VALUE"""),2.0)</f>
        <v>2</v>
      </c>
      <c r="K183" s="211"/>
      <c r="L183" s="211"/>
      <c r="M183" s="211"/>
      <c r="N183" s="211"/>
      <c r="O183" s="211"/>
      <c r="Q183" s="210" t="str">
        <f>IFERROR(__xludf.DUMMYFUNCTION("""COMPUTED_VALUE"""),"a20b4402")</f>
        <v>a20b4402</v>
      </c>
      <c r="R183" s="210" t="str">
        <f>IFERROR(__xludf.DUMMYFUNCTION("""COMPUTED_VALUE"""),"a20b4402")</f>
        <v>a20b4402</v>
      </c>
      <c r="S183" s="211" t="str">
        <f>IFERROR(__xludf.DUMMYFUNCTION("""COMPUTED_VALUE"""),"c2f5a4a7")</f>
        <v>c2f5a4a7</v>
      </c>
      <c r="T183" s="211" t="str">
        <f>IFERROR(__xludf.DUMMYFUNCTION("""COMPUTED_VALUE"""),"UD Sumber Berlian")</f>
        <v>UD Sumber Berlian</v>
      </c>
      <c r="U183" s="215">
        <f>IFERROR(__xludf.DUMMYFUNCTION("""COMPUTED_VALUE"""),45617.53805555556)</f>
        <v>45617.53806</v>
      </c>
      <c r="V183" s="211" t="str">
        <f>IFERROR(__xludf.DUMMYFUNCTION("""COMPUTED_VALUE"""),"Ciro Kulon, Bakungtemenggungan, Kec. BalongBendo, Kabupaten Sidoarjo, Jawa Timur 61263")</f>
        <v>Ciro Kulon, Bakungtemenggungan, Kec. BalongBendo, Kabupaten Sidoarjo, Jawa Timur 61263</v>
      </c>
      <c r="W183" s="211" t="str">
        <f>IFERROR(__xludf.DUMMYFUNCTION("""COMPUTED_VALUE"""),"IN")</f>
        <v>IN</v>
      </c>
      <c r="X183" s="211"/>
      <c r="Z183" s="211" t="str">
        <f>IFERROR(__xludf.DUMMYFUNCTION("""COMPUTED_VALUE"""),"022662681")</f>
        <v>022662681</v>
      </c>
      <c r="AC183" s="211"/>
      <c r="AD183" s="211"/>
      <c r="AE183" s="211"/>
      <c r="AF183" s="211"/>
      <c r="AG183" s="211"/>
      <c r="AH183" s="211"/>
      <c r="AI183" s="211"/>
      <c r="AJ183" s="211"/>
      <c r="AL183" s="211" t="str">
        <f>IFERROR(__xludf.DUMMYFUNCTION("""COMPUTED_VALUE"""),"2250123")</f>
        <v>2250123</v>
      </c>
      <c r="AM183" s="211" t="str">
        <f>IFERROR(__xludf.DUMMYFUNCTION("""COMPUTED_VALUE"""),"102531432")</f>
        <v>102531432</v>
      </c>
      <c r="AN183" s="211" t="str">
        <f>IFERROR(__xludf.DUMMYFUNCTION("""COMPUTED_VALUE"""),"56828503")</f>
        <v>56828503</v>
      </c>
      <c r="AO183" s="211" t="str">
        <f>IFERROR(__xludf.DUMMYFUNCTION("""COMPUTED_VALUE"""),"Bpk. Widodo (Wringinanom)")</f>
        <v>Bpk. Widodo (Wringinanom)</v>
      </c>
      <c r="AP183" s="215">
        <f>IFERROR(__xludf.DUMMYFUNCTION("""COMPUTED_VALUE"""),45989.513703703706)</f>
        <v>45989.5137</v>
      </c>
      <c r="AQ183" s="218">
        <f>IFERROR(__xludf.DUMMYFUNCTION("""COMPUTED_VALUE"""),45943.0)</f>
        <v>45943</v>
      </c>
      <c r="AR183" s="211"/>
      <c r="AS183" s="211"/>
      <c r="AT183" s="211"/>
      <c r="AU183" s="211"/>
      <c r="AV183" s="211"/>
      <c r="AW183" s="211"/>
      <c r="AX183" s="211"/>
      <c r="AY183" s="211"/>
      <c r="AZ183" s="211"/>
      <c r="BB183" s="211"/>
      <c r="BC183" s="211"/>
      <c r="BD183" s="211"/>
      <c r="BE183" s="211"/>
      <c r="BF183" s="211"/>
      <c r="BG183" s="211"/>
      <c r="BH183" s="211"/>
      <c r="BI183" s="211"/>
    </row>
    <row r="184">
      <c r="A184" s="210" t="str">
        <f>IFERROR(__xludf.DUMMYFUNCTION("""COMPUTED_VALUE"""),"11240085")</f>
        <v>11240085</v>
      </c>
      <c r="B184" s="210" t="str">
        <f>IFERROR(__xludf.DUMMYFUNCTION("""COMPUTED_VALUE"""),"11240085")</f>
        <v>11240085</v>
      </c>
      <c r="C184" s="213">
        <f>IFERROR(__xludf.DUMMYFUNCTION("""COMPUTED_VALUE"""),45604.43355324074)</f>
        <v>45604.43355</v>
      </c>
      <c r="D184" s="211" t="str">
        <f>IFERROR(__xludf.DUMMYFUNCTION("""COMPUTED_VALUE"""),"72d9a70c")</f>
        <v>72d9a70c</v>
      </c>
      <c r="E184" s="211" t="str">
        <f>IFERROR(__xludf.DUMMYFUNCTION("""COMPUTED_VALUE"""),"PT Beton Prima Indonesia")</f>
        <v>PT Beton Prima Indonesia</v>
      </c>
      <c r="F184" s="211" t="str">
        <f>IFERROR(__xludf.DUMMYFUNCTION("""COMPUTED_VALUE"""),"8bdbe149")</f>
        <v>8bdbe149</v>
      </c>
      <c r="G184" s="211" t="str">
        <f>IFERROR(__xludf.DUMMYFUNCTION("""COMPUTED_VALUE"""),"Oksigen 6m3")</f>
        <v>Oksigen 6m3</v>
      </c>
      <c r="H184" s="214" t="str">
        <f>IFERROR(__xludf.DUMMYFUNCTION("""COMPUTED_VALUE"""),"OUT")</f>
        <v>OUT</v>
      </c>
      <c r="I184" s="214" t="str">
        <f>IFERROR(__xludf.DUMMYFUNCTION("""COMPUTED_VALUE"""),"NORMAL")</f>
        <v>NORMAL</v>
      </c>
      <c r="J184" s="211">
        <f>IFERROR(__xludf.DUMMYFUNCTION("""COMPUTED_VALUE"""),15.0)</f>
        <v>15</v>
      </c>
      <c r="K184" s="210" t="str">
        <f>IFERROR(__xludf.DUMMYFUNCTION("""COMPUTED_VALUE"""),"11109 1124 1153 11111 1106 5127 5882 1396 5177 5803 1502 1654 1407 5240 1683")</f>
        <v>11109 1124 1153 11111 1106 5127 5882 1396 5177 5803 1502 1654 1407 5240 1683</v>
      </c>
      <c r="L184" s="211">
        <f>IFERROR(__xludf.DUMMYFUNCTION("""COMPUTED_VALUE"""),45045.04505)</f>
        <v>45045.04505</v>
      </c>
      <c r="M184" s="211"/>
      <c r="N184" s="211"/>
      <c r="O184" s="211"/>
      <c r="Q184" s="210" t="str">
        <f>IFERROR(__xludf.DUMMYFUNCTION("""COMPUTED_VALUE"""),"8b7cd51a")</f>
        <v>8b7cd51a</v>
      </c>
      <c r="R184" s="210" t="str">
        <f>IFERROR(__xludf.DUMMYFUNCTION("""COMPUTED_VALUE"""),"8b7cd51a")</f>
        <v>8b7cd51a</v>
      </c>
      <c r="S184" s="211" t="str">
        <f>IFERROR(__xludf.DUMMYFUNCTION("""COMPUTED_VALUE"""),"2d88931c")</f>
        <v>2d88931c</v>
      </c>
      <c r="T184" s="211" t="str">
        <f>IFERROR(__xludf.DUMMYFUNCTION("""COMPUTED_VALUE"""),"PT Dunia Berkat Marga Mulya")</f>
        <v>PT Dunia Berkat Marga Mulya</v>
      </c>
      <c r="U184" s="215">
        <f>IFERROR(__xludf.DUMMYFUNCTION("""COMPUTED_VALUE"""),45617.53837962963)</f>
        <v>45617.53838</v>
      </c>
      <c r="V184" s="211" t="str">
        <f>IFERROR(__xludf.DUMMYFUNCTION("""COMPUTED_VALUE"""),"JL JABARAN, WATESARI, BALONGBENDO, SIDOARJO, JAWA TIMUR")</f>
        <v>JL JABARAN, WATESARI, BALONGBENDO, SIDOARJO, JAWA TIMUR</v>
      </c>
      <c r="W184" s="211" t="str">
        <f>IFERROR(__xludf.DUMMYFUNCTION("""COMPUTED_VALUE"""),"IN")</f>
        <v>IN</v>
      </c>
      <c r="X184" s="211"/>
      <c r="Z184" s="211" t="str">
        <f>IFERROR(__xludf.DUMMYFUNCTION("""COMPUTED_VALUE"""),"022682675")</f>
        <v>022682675</v>
      </c>
      <c r="AC184" s="211"/>
      <c r="AD184" s="211"/>
      <c r="AE184" s="211"/>
      <c r="AF184" s="211"/>
      <c r="AG184" s="211"/>
      <c r="AH184" s="211"/>
      <c r="AI184" s="211"/>
      <c r="AJ184" s="211"/>
      <c r="AL184" s="211" t="str">
        <f>IFERROR(__xludf.DUMMYFUNCTION("""COMPUTED_VALUE"""),"2250123")</f>
        <v>2250123</v>
      </c>
      <c r="AM184" s="211" t="str">
        <f>IFERROR(__xludf.DUMMYFUNCTION("""COMPUTED_VALUE"""),"112541580")</f>
        <v>112541580</v>
      </c>
      <c r="AN184" s="211" t="str">
        <f>IFERROR(__xludf.DUMMYFUNCTION("""COMPUTED_VALUE"""),"56828503")</f>
        <v>56828503</v>
      </c>
      <c r="AO184" s="211" t="str">
        <f>IFERROR(__xludf.DUMMYFUNCTION("""COMPUTED_VALUE"""),"Bpk. Widodo (Wringinanom)")</f>
        <v>Bpk. Widodo (Wringinanom)</v>
      </c>
      <c r="AP184" s="215">
        <f>IFERROR(__xludf.DUMMYFUNCTION("""COMPUTED_VALUE"""),45989.513703703706)</f>
        <v>45989.5137</v>
      </c>
      <c r="AQ184" s="218">
        <f>IFERROR(__xludf.DUMMYFUNCTION("""COMPUTED_VALUE"""),45962.0)</f>
        <v>45962</v>
      </c>
      <c r="AR184" s="211"/>
      <c r="AS184" s="211"/>
      <c r="AT184" s="211"/>
      <c r="AU184" s="211"/>
      <c r="AV184" s="211"/>
      <c r="AW184" s="211"/>
      <c r="AX184" s="211"/>
      <c r="AY184" s="211"/>
      <c r="AZ184" s="211"/>
      <c r="BB184" s="211"/>
      <c r="BC184" s="211"/>
      <c r="BD184" s="211"/>
      <c r="BE184" s="211"/>
      <c r="BF184" s="211"/>
      <c r="BG184" s="211"/>
      <c r="BH184" s="211"/>
      <c r="BI184" s="211"/>
    </row>
    <row r="185">
      <c r="A185" s="210" t="str">
        <f>IFERROR(__xludf.DUMMYFUNCTION("""COMPUTED_VALUE"""),"11240085")</f>
        <v>11240085</v>
      </c>
      <c r="B185" s="210" t="str">
        <f>IFERROR(__xludf.DUMMYFUNCTION("""COMPUTED_VALUE"""),"11240085")</f>
        <v>11240085</v>
      </c>
      <c r="C185" s="213">
        <f>IFERROR(__xludf.DUMMYFUNCTION("""COMPUTED_VALUE"""),45604.43722222222)</f>
        <v>45604.43722</v>
      </c>
      <c r="D185" s="211" t="str">
        <f>IFERROR(__xludf.DUMMYFUNCTION("""COMPUTED_VALUE"""),"72d9a70c")</f>
        <v>72d9a70c</v>
      </c>
      <c r="E185" s="211" t="str">
        <f>IFERROR(__xludf.DUMMYFUNCTION("""COMPUTED_VALUE"""),"PT Beton Prima Indonesia")</f>
        <v>PT Beton Prima Indonesia</v>
      </c>
      <c r="F185" s="211" t="str">
        <f>IFERROR(__xludf.DUMMYFUNCTION("""COMPUTED_VALUE"""),"3b9d6a30")</f>
        <v>3b9d6a30</v>
      </c>
      <c r="G185" s="211" t="str">
        <f>IFERROR(__xludf.DUMMYFUNCTION("""COMPUTED_VALUE"""),"Acetyline")</f>
        <v>Acetyline</v>
      </c>
      <c r="H185" s="214" t="str">
        <f>IFERROR(__xludf.DUMMYFUNCTION("""COMPUTED_VALUE"""),"OUT")</f>
        <v>OUT</v>
      </c>
      <c r="I185" s="214" t="str">
        <f>IFERROR(__xludf.DUMMYFUNCTION("""COMPUTED_VALUE"""),"NORMAL")</f>
        <v>NORMAL</v>
      </c>
      <c r="J185" s="211">
        <f>IFERROR(__xludf.DUMMYFUNCTION("""COMPUTED_VALUE"""),7.0)</f>
        <v>7</v>
      </c>
      <c r="K185" s="210" t="str">
        <f>IFERROR(__xludf.DUMMYFUNCTION("""COMPUTED_VALUE"""),"7839 7833 7836 7841 7843 7840 7838")</f>
        <v>7839 7833 7836 7841 7843 7840 7838</v>
      </c>
      <c r="L185" s="211">
        <f>IFERROR(__xludf.DUMMYFUNCTION("""COMPUTED_VALUE"""),360360.3604)</f>
        <v>360360.3604</v>
      </c>
      <c r="M185" s="211"/>
      <c r="N185" s="211"/>
      <c r="O185" s="211"/>
      <c r="Q185" s="210" t="str">
        <f>IFERROR(__xludf.DUMMYFUNCTION("""COMPUTED_VALUE"""),"4da51aac")</f>
        <v>4da51aac</v>
      </c>
      <c r="R185" s="210" t="str">
        <f>IFERROR(__xludf.DUMMYFUNCTION("""COMPUTED_VALUE"""),"4da51aac")</f>
        <v>4da51aac</v>
      </c>
      <c r="S185" s="211" t="str">
        <f>IFERROR(__xludf.DUMMYFUNCTION("""COMPUTED_VALUE"""),"4ec68cf6")</f>
        <v>4ec68cf6</v>
      </c>
      <c r="T185" s="211" t="str">
        <f>IFERROR(__xludf.DUMMYFUNCTION("""COMPUTED_VALUE"""),"CV Sido Mukti Karya")</f>
        <v>CV Sido Mukti Karya</v>
      </c>
      <c r="U185" s="215">
        <f>IFERROR(__xludf.DUMMYFUNCTION("""COMPUTED_VALUE"""),45617.613483796296)</f>
        <v>45617.61348</v>
      </c>
      <c r="V185" s="211" t="str">
        <f>IFERROR(__xludf.DUMMYFUNCTION("""COMPUTED_VALUE"""),"Pergudangan Center Point no A3, Kemangsen")</f>
        <v>Pergudangan Center Point no A3, Kemangsen</v>
      </c>
      <c r="W185" s="211" t="str">
        <f>IFERROR(__xludf.DUMMYFUNCTION("""COMPUTED_VALUE"""),"IN")</f>
        <v>IN</v>
      </c>
      <c r="X185" s="211"/>
      <c r="Z185" s="211" t="str">
        <f>IFERROR(__xludf.DUMMYFUNCTION("""COMPUTED_VALUE"""),"022672674")</f>
        <v>022672674</v>
      </c>
      <c r="AC185" s="211"/>
      <c r="AD185" s="211"/>
      <c r="AE185" s="211"/>
      <c r="AF185" s="211"/>
      <c r="AG185" s="211"/>
      <c r="AH185" s="211"/>
      <c r="AI185" s="211"/>
      <c r="AJ185" s="211"/>
      <c r="AL185" s="211" t="str">
        <f>IFERROR(__xludf.DUMMYFUNCTION("""COMPUTED_VALUE"""),"2250123")</f>
        <v>2250123</v>
      </c>
      <c r="AM185" s="211" t="str">
        <f>IFERROR(__xludf.DUMMYFUNCTION("""COMPUTED_VALUE"""),"112551617")</f>
        <v>112551617</v>
      </c>
      <c r="AN185" s="211" t="str">
        <f>IFERROR(__xludf.DUMMYFUNCTION("""COMPUTED_VALUE"""),"56828503")</f>
        <v>56828503</v>
      </c>
      <c r="AO185" s="211" t="str">
        <f>IFERROR(__xludf.DUMMYFUNCTION("""COMPUTED_VALUE"""),"Bpk. Widodo (Wringinanom)")</f>
        <v>Bpk. Widodo (Wringinanom)</v>
      </c>
      <c r="AP185" s="215">
        <f>IFERROR(__xludf.DUMMYFUNCTION("""COMPUTED_VALUE"""),45989.513703703706)</f>
        <v>45989.5137</v>
      </c>
      <c r="AQ185" s="218">
        <f>IFERROR(__xludf.DUMMYFUNCTION("""COMPUTED_VALUE"""),45966.0)</f>
        <v>45966</v>
      </c>
      <c r="AR185" s="211"/>
      <c r="AS185" s="211"/>
      <c r="AT185" s="211"/>
      <c r="AU185" s="211"/>
      <c r="AV185" s="211"/>
      <c r="AW185" s="211"/>
      <c r="AX185" s="211"/>
      <c r="AY185" s="211"/>
      <c r="AZ185" s="211"/>
      <c r="BB185" s="211"/>
      <c r="BC185" s="211"/>
      <c r="BD185" s="211"/>
      <c r="BE185" s="211"/>
      <c r="BF185" s="211"/>
      <c r="BG185" s="211"/>
      <c r="BH185" s="211"/>
      <c r="BI185" s="211"/>
    </row>
    <row r="186">
      <c r="A186" s="210" t="str">
        <f>IFERROR(__xludf.DUMMYFUNCTION("""COMPUTED_VALUE"""),"11240087")</f>
        <v>11240087</v>
      </c>
      <c r="B186" s="210" t="str">
        <f>IFERROR(__xludf.DUMMYFUNCTION("""COMPUTED_VALUE"""),"11240087")</f>
        <v>11240087</v>
      </c>
      <c r="C186" s="213">
        <f>IFERROR(__xludf.DUMMYFUNCTION("""COMPUTED_VALUE"""),45604.65200231481)</f>
        <v>45604.652</v>
      </c>
      <c r="D186" s="211" t="str">
        <f>IFERROR(__xludf.DUMMYFUNCTION("""COMPUTED_VALUE"""),"4a01ccb6")</f>
        <v>4a01ccb6</v>
      </c>
      <c r="E186" s="211" t="str">
        <f>IFERROR(__xludf.DUMMYFUNCTION("""COMPUTED_VALUE"""),"CV ANUGERAH PERSADA TEKNIK")</f>
        <v>CV ANUGERAH PERSADA TEKNIK</v>
      </c>
      <c r="F186" s="211" t="str">
        <f>IFERROR(__xludf.DUMMYFUNCTION("""COMPUTED_VALUE"""),"66af7c72")</f>
        <v>66af7c72</v>
      </c>
      <c r="G186" s="211" t="str">
        <f>IFERROR(__xludf.DUMMYFUNCTION("""COMPUTED_VALUE"""),"Argon 6m3")</f>
        <v>Argon 6m3</v>
      </c>
      <c r="H186" s="214" t="str">
        <f>IFERROR(__xludf.DUMMYFUNCTION("""COMPUTED_VALUE"""),"OUT")</f>
        <v>OUT</v>
      </c>
      <c r="I186" s="214" t="str">
        <f>IFERROR(__xludf.DUMMYFUNCTION("""COMPUTED_VALUE"""),"NORMAL")</f>
        <v>NORMAL</v>
      </c>
      <c r="J186" s="211">
        <f>IFERROR(__xludf.DUMMYFUNCTION("""COMPUTED_VALUE"""),3.0)</f>
        <v>3</v>
      </c>
      <c r="K186" s="210" t="str">
        <f>IFERROR(__xludf.DUMMYFUNCTION("""COMPUTED_VALUE"""),"8294 8286 8184")</f>
        <v>8294 8286 8184</v>
      </c>
      <c r="L186" s="211">
        <f>IFERROR(__xludf.DUMMYFUNCTION("""COMPUTED_VALUE"""),190000.0)</f>
        <v>190000</v>
      </c>
      <c r="M186" s="211"/>
      <c r="N186" s="211"/>
      <c r="O186" s="211"/>
      <c r="Q186" s="210" t="str">
        <f>IFERROR(__xludf.DUMMYFUNCTION("""COMPUTED_VALUE"""),"a6458662")</f>
        <v>a6458662</v>
      </c>
      <c r="R186" s="210" t="str">
        <f>IFERROR(__xludf.DUMMYFUNCTION("""COMPUTED_VALUE"""),"a6458662")</f>
        <v>a6458662</v>
      </c>
      <c r="S186" s="211" t="str">
        <f>IFERROR(__xludf.DUMMYFUNCTION("""COMPUTED_VALUE"""),"c2f5a4a7")</f>
        <v>c2f5a4a7</v>
      </c>
      <c r="T186" s="211" t="str">
        <f>IFERROR(__xludf.DUMMYFUNCTION("""COMPUTED_VALUE"""),"UD Sumber Berlian")</f>
        <v>UD Sumber Berlian</v>
      </c>
      <c r="U186" s="215">
        <f>IFERROR(__xludf.DUMMYFUNCTION("""COMPUTED_VALUE"""),45618.45800925926)</f>
        <v>45618.45801</v>
      </c>
      <c r="V186" s="211" t="str">
        <f>IFERROR(__xludf.DUMMYFUNCTION("""COMPUTED_VALUE"""),"Ciro Kulon, Bakungtemenggungan, Kec. BalongBendo, Kabupaten Sidoarjo, Jawa Timur 61263")</f>
        <v>Ciro Kulon, Bakungtemenggungan, Kec. BalongBendo, Kabupaten Sidoarjo, Jawa Timur 61263</v>
      </c>
      <c r="W186" s="211" t="str">
        <f>IFERROR(__xludf.DUMMYFUNCTION("""COMPUTED_VALUE"""),"IN")</f>
        <v>IN</v>
      </c>
      <c r="X186" s="211"/>
      <c r="Z186" s="211" t="str">
        <f>IFERROR(__xludf.DUMMYFUNCTION("""COMPUTED_VALUE"""),"0226122673")</f>
        <v>0226122673</v>
      </c>
      <c r="AC186" s="211"/>
      <c r="AD186" s="211"/>
      <c r="AE186" s="211"/>
      <c r="AF186" s="211"/>
      <c r="AG186" s="211"/>
      <c r="AH186" s="211"/>
      <c r="AI186" s="211"/>
      <c r="AJ186" s="211"/>
      <c r="AL186" s="211" t="str">
        <f>IFERROR(__xludf.DUMMYFUNCTION("""COMPUTED_VALUE"""),"2250119")</f>
        <v>2250119</v>
      </c>
      <c r="AM186" s="211" t="str">
        <f>IFERROR(__xludf.DUMMYFUNCTION("""COMPUTED_VALUE"""),"112511731")</f>
        <v>112511731</v>
      </c>
      <c r="AN186" s="211" t="str">
        <f>IFERROR(__xludf.DUMMYFUNCTION("""COMPUTED_VALUE"""),"63fc688a")</f>
        <v>63fc688a</v>
      </c>
      <c r="AO186" s="211" t="str">
        <f>IFERROR(__xludf.DUMMYFUNCTION("""COMPUTED_VALUE"""),"CV Malik Nusantara")</f>
        <v>CV Malik Nusantara</v>
      </c>
      <c r="AP186" s="215">
        <f>IFERROR(__xludf.DUMMYFUNCTION("""COMPUTED_VALUE"""),45989.51347222222)</f>
        <v>45989.51347</v>
      </c>
      <c r="AQ186" s="218">
        <f>IFERROR(__xludf.DUMMYFUNCTION("""COMPUTED_VALUE"""),45978.0)</f>
        <v>45978</v>
      </c>
      <c r="AR186" s="211"/>
      <c r="AS186" s="211"/>
      <c r="AT186" s="211"/>
      <c r="AU186" s="211"/>
      <c r="AV186" s="211"/>
      <c r="AW186" s="211"/>
      <c r="AX186" s="211"/>
      <c r="AY186" s="211"/>
      <c r="AZ186" s="211"/>
      <c r="BB186" s="211"/>
      <c r="BC186" s="211"/>
      <c r="BD186" s="211"/>
      <c r="BE186" s="211"/>
      <c r="BF186" s="211"/>
      <c r="BG186" s="211"/>
      <c r="BH186" s="211"/>
      <c r="BI186" s="211"/>
    </row>
    <row r="187">
      <c r="A187" s="210" t="str">
        <f>IFERROR(__xludf.DUMMYFUNCTION("""COMPUTED_VALUE"""),"78cb400d")</f>
        <v>78cb400d</v>
      </c>
      <c r="B187" s="210" t="str">
        <f>IFERROR(__xludf.DUMMYFUNCTION("""COMPUTED_VALUE"""),"78cb400d")</f>
        <v>78cb400d</v>
      </c>
      <c r="C187" s="213">
        <f>IFERROR(__xludf.DUMMYFUNCTION("""COMPUTED_VALUE"""),45604.65760416666)</f>
        <v>45604.6576</v>
      </c>
      <c r="D187" s="211" t="str">
        <f>IFERROR(__xludf.DUMMYFUNCTION("""COMPUTED_VALUE"""),"72d9a70c")</f>
        <v>72d9a70c</v>
      </c>
      <c r="E187" s="211" t="str">
        <f>IFERROR(__xludf.DUMMYFUNCTION("""COMPUTED_VALUE"""),"PT Beton Prima Indonesia")</f>
        <v>PT Beton Prima Indonesia</v>
      </c>
      <c r="F187" s="211" t="str">
        <f>IFERROR(__xludf.DUMMYFUNCTION("""COMPUTED_VALUE"""),"8bdbe149")</f>
        <v>8bdbe149</v>
      </c>
      <c r="G187" s="211" t="str">
        <f>IFERROR(__xludf.DUMMYFUNCTION("""COMPUTED_VALUE"""),"Oksigen 6m3")</f>
        <v>Oksigen 6m3</v>
      </c>
      <c r="H187" s="214" t="str">
        <f>IFERROR(__xludf.DUMMYFUNCTION("""COMPUTED_VALUE"""),"IN")</f>
        <v>IN</v>
      </c>
      <c r="I187" s="214" t="str">
        <f>IFERROR(__xludf.DUMMYFUNCTION("""COMPUTED_VALUE"""),"EMPTY")</f>
        <v>EMPTY</v>
      </c>
      <c r="J187" s="211">
        <f>IFERROR(__xludf.DUMMYFUNCTION("""COMPUTED_VALUE"""),1.0)</f>
        <v>1</v>
      </c>
      <c r="K187" s="210" t="str">
        <f>IFERROR(__xludf.DUMMYFUNCTION("""COMPUTED_VALUE"""),"1606")</f>
        <v>1606</v>
      </c>
      <c r="L187" s="211"/>
      <c r="M187" s="211"/>
      <c r="N187" s="211"/>
      <c r="O187" s="211"/>
      <c r="Q187" s="210" t="str">
        <f>IFERROR(__xludf.DUMMYFUNCTION("""COMPUTED_VALUE"""),"11240123")</f>
        <v>11240123</v>
      </c>
      <c r="R187" s="210" t="str">
        <f>IFERROR(__xludf.DUMMYFUNCTION("""COMPUTED_VALUE"""),"11240123")</f>
        <v>11240123</v>
      </c>
      <c r="S187" s="211" t="str">
        <f>IFERROR(__xludf.DUMMYFUNCTION("""COMPUTED_VALUE"""),"e86baf3b")</f>
        <v>e86baf3b</v>
      </c>
      <c r="T187" s="211" t="str">
        <f>IFERROR(__xludf.DUMMYFUNCTION("""COMPUTED_VALUE"""),"PT GEMILANG CIPTA WAWASAN")</f>
        <v>PT GEMILANG CIPTA WAWASAN</v>
      </c>
      <c r="U187" s="215">
        <f>IFERROR(__xludf.DUMMYFUNCTION("""COMPUTED_VALUE"""),45619.72083333333)</f>
        <v>45619.72083</v>
      </c>
      <c r="V187" s="211" t="str">
        <f>IFERROR(__xludf.DUMMYFUNCTION("""COMPUTED_VALUE"""),"JL TEBET RAYA, 2A, TEBET BARAT, TEBET, KOTA ADM, JAKARTA SELATAN, DKI JAKARTA")</f>
        <v>JL TEBET RAYA, 2A, TEBET BARAT, TEBET, KOTA ADM, JAKARTA SELATAN, DKI JAKARTA</v>
      </c>
      <c r="W187" s="211" t="str">
        <f>IFERROR(__xludf.DUMMYFUNCTION("""COMPUTED_VALUE"""),"OUT")</f>
        <v>OUT</v>
      </c>
      <c r="X187" s="211"/>
      <c r="Z187" s="211" t="str">
        <f>IFERROR(__xludf.DUMMYFUNCTION("""COMPUTED_VALUE"""),"0226882672")</f>
        <v>0226882672</v>
      </c>
      <c r="AC187" s="211"/>
      <c r="AD187" s="211"/>
      <c r="AE187" s="211"/>
      <c r="AF187" s="211"/>
      <c r="AG187" s="211"/>
      <c r="AH187" s="211"/>
      <c r="AI187" s="211"/>
      <c r="AJ187" s="211"/>
      <c r="AL187" s="211" t="str">
        <f>IFERROR(__xludf.DUMMYFUNCTION("""COMPUTED_VALUE"""),"2250119")</f>
        <v>2250119</v>
      </c>
      <c r="AM187" s="211" t="str">
        <f>IFERROR(__xludf.DUMMYFUNCTION("""COMPUTED_VALUE"""),"112521743")</f>
        <v>112521743</v>
      </c>
      <c r="AN187" s="211" t="str">
        <f>IFERROR(__xludf.DUMMYFUNCTION("""COMPUTED_VALUE"""),"63fc688a")</f>
        <v>63fc688a</v>
      </c>
      <c r="AO187" s="211" t="str">
        <f>IFERROR(__xludf.DUMMYFUNCTION("""COMPUTED_VALUE"""),"CV Malik Nusantara")</f>
        <v>CV Malik Nusantara</v>
      </c>
      <c r="AP187" s="215">
        <f>IFERROR(__xludf.DUMMYFUNCTION("""COMPUTED_VALUE"""),45989.51347222222)</f>
        <v>45989.51347</v>
      </c>
      <c r="AQ187" s="218">
        <f>IFERROR(__xludf.DUMMYFUNCTION("""COMPUTED_VALUE"""),45979.0)</f>
        <v>45979</v>
      </c>
      <c r="AR187" s="211"/>
      <c r="AS187" s="211"/>
      <c r="AT187" s="211"/>
      <c r="AU187" s="211"/>
      <c r="AV187" s="211"/>
      <c r="AW187" s="211"/>
      <c r="AX187" s="211"/>
      <c r="AY187" s="211"/>
      <c r="AZ187" s="211"/>
      <c r="BB187" s="211"/>
      <c r="BC187" s="211"/>
      <c r="BD187" s="211"/>
      <c r="BE187" s="211"/>
      <c r="BF187" s="211"/>
      <c r="BG187" s="211"/>
      <c r="BH187" s="211"/>
      <c r="BI187" s="211"/>
    </row>
    <row r="188">
      <c r="A188" s="210" t="str">
        <f>IFERROR(__xludf.DUMMYFUNCTION("""COMPUTED_VALUE"""),"78cb400d")</f>
        <v>78cb400d</v>
      </c>
      <c r="B188" s="210" t="str">
        <f>IFERROR(__xludf.DUMMYFUNCTION("""COMPUTED_VALUE"""),"78cb400d")</f>
        <v>78cb400d</v>
      </c>
      <c r="C188" s="213">
        <f>IFERROR(__xludf.DUMMYFUNCTION("""COMPUTED_VALUE"""),45604.65793981482)</f>
        <v>45604.65794</v>
      </c>
      <c r="D188" s="211" t="str">
        <f>IFERROR(__xludf.DUMMYFUNCTION("""COMPUTED_VALUE"""),"72d9a70c")</f>
        <v>72d9a70c</v>
      </c>
      <c r="E188" s="211" t="str">
        <f>IFERROR(__xludf.DUMMYFUNCTION("""COMPUTED_VALUE"""),"PT Beton Prima Indonesia")</f>
        <v>PT Beton Prima Indonesia</v>
      </c>
      <c r="F188" s="211" t="str">
        <f>IFERROR(__xludf.DUMMYFUNCTION("""COMPUTED_VALUE"""),"3b9d6a30")</f>
        <v>3b9d6a30</v>
      </c>
      <c r="G188" s="211" t="str">
        <f>IFERROR(__xludf.DUMMYFUNCTION("""COMPUTED_VALUE"""),"Acetyline")</f>
        <v>Acetyline</v>
      </c>
      <c r="H188" s="214" t="str">
        <f>IFERROR(__xludf.DUMMYFUNCTION("""COMPUTED_VALUE"""),"IN")</f>
        <v>IN</v>
      </c>
      <c r="I188" s="214" t="str">
        <f>IFERROR(__xludf.DUMMYFUNCTION("""COMPUTED_VALUE"""),"EMPTY")</f>
        <v>EMPTY</v>
      </c>
      <c r="J188" s="211">
        <f>IFERROR(__xludf.DUMMYFUNCTION("""COMPUTED_VALUE"""),3.0)</f>
        <v>3</v>
      </c>
      <c r="K188" s="210" t="str">
        <f>IFERROR(__xludf.DUMMYFUNCTION("""COMPUTED_VALUE"""),"6957 7956 7979")</f>
        <v>6957 7956 7979</v>
      </c>
      <c r="L188" s="211"/>
      <c r="M188" s="211"/>
      <c r="N188" s="211"/>
      <c r="O188" s="211"/>
      <c r="Q188" s="210" t="str">
        <f>IFERROR(__xludf.DUMMYFUNCTION("""COMPUTED_VALUE"""),"11240125")</f>
        <v>11240125</v>
      </c>
      <c r="R188" s="210" t="str">
        <f>IFERROR(__xludf.DUMMYFUNCTION("""COMPUTED_VALUE"""),"11240125")</f>
        <v>11240125</v>
      </c>
      <c r="S188" s="211" t="str">
        <f>IFERROR(__xludf.DUMMYFUNCTION("""COMPUTED_VALUE"""),"e968afef")</f>
        <v>e968afef</v>
      </c>
      <c r="T188" s="211" t="str">
        <f>IFERROR(__xludf.DUMMYFUNCTION("""COMPUTED_VALUE"""),"Bpk. Agus")</f>
        <v>Bpk. Agus</v>
      </c>
      <c r="U188" s="215">
        <f>IFERROR(__xludf.DUMMYFUNCTION("""COMPUTED_VALUE"""),45619.32761574074)</f>
        <v>45619.32762</v>
      </c>
      <c r="V188" s="211" t="str">
        <f>IFERROR(__xludf.DUMMYFUNCTION("""COMPUTED_VALUE"""),"Jl. Parengan 13, Semawut, Balongbendo, Kec. BalongBendo, Kabupaten Sidoarjo, Jawa Timur 61263")</f>
        <v>Jl. Parengan 13, Semawut, Balongbendo, Kec. BalongBendo, Kabupaten Sidoarjo, Jawa Timur 61263</v>
      </c>
      <c r="W188" s="211" t="str">
        <f>IFERROR(__xludf.DUMMYFUNCTION("""COMPUTED_VALUE"""),"OUT")</f>
        <v>OUT</v>
      </c>
      <c r="X188" s="211"/>
      <c r="Z188" s="211" t="str">
        <f>IFERROR(__xludf.DUMMYFUNCTION("""COMPUTED_VALUE"""),"022632670")</f>
        <v>022632670</v>
      </c>
      <c r="AC188" s="211"/>
      <c r="AD188" s="211"/>
      <c r="AE188" s="211"/>
      <c r="AF188" s="211"/>
      <c r="AG188" s="211"/>
      <c r="AH188" s="211"/>
      <c r="AI188" s="211"/>
      <c r="AJ188" s="211"/>
      <c r="AL188" s="211" t="str">
        <f>IFERROR(__xludf.DUMMYFUNCTION("""COMPUTED_VALUE"""),"2250119")</f>
        <v>2250119</v>
      </c>
      <c r="AM188" s="211" t="str">
        <f>IFERROR(__xludf.DUMMYFUNCTION("""COMPUTED_VALUE"""),"112531744")</f>
        <v>112531744</v>
      </c>
      <c r="AN188" s="211" t="str">
        <f>IFERROR(__xludf.DUMMYFUNCTION("""COMPUTED_VALUE"""),"63fc688a")</f>
        <v>63fc688a</v>
      </c>
      <c r="AO188" s="211" t="str">
        <f>IFERROR(__xludf.DUMMYFUNCTION("""COMPUTED_VALUE"""),"CV Malik Nusantara")</f>
        <v>CV Malik Nusantara</v>
      </c>
      <c r="AP188" s="215">
        <f>IFERROR(__xludf.DUMMYFUNCTION("""COMPUTED_VALUE"""),45989.51347222222)</f>
        <v>45989.51347</v>
      </c>
      <c r="AQ188" s="218">
        <f>IFERROR(__xludf.DUMMYFUNCTION("""COMPUTED_VALUE"""),45979.0)</f>
        <v>45979</v>
      </c>
      <c r="AR188" s="211"/>
      <c r="AS188" s="211"/>
      <c r="AT188" s="211"/>
      <c r="AU188" s="211"/>
      <c r="AV188" s="211"/>
      <c r="AW188" s="211"/>
      <c r="AX188" s="211"/>
      <c r="AY188" s="211"/>
      <c r="AZ188" s="211"/>
      <c r="BB188" s="211"/>
      <c r="BC188" s="211"/>
      <c r="BD188" s="211"/>
      <c r="BE188" s="211"/>
      <c r="BF188" s="211"/>
      <c r="BG188" s="211"/>
      <c r="BH188" s="211"/>
      <c r="BI188" s="211"/>
    </row>
    <row r="189">
      <c r="A189" s="210" t="str">
        <f>IFERROR(__xludf.DUMMYFUNCTION("""COMPUTED_VALUE"""),"f1558ddd")</f>
        <v>f1558ddd</v>
      </c>
      <c r="B189" s="210" t="str">
        <f>IFERROR(__xludf.DUMMYFUNCTION("""COMPUTED_VALUE"""),"f1558ddd")</f>
        <v>f1558ddd</v>
      </c>
      <c r="C189" s="213">
        <f>IFERROR(__xludf.DUMMYFUNCTION("""COMPUTED_VALUE"""),45604.703888888886)</f>
        <v>45604.70389</v>
      </c>
      <c r="D189" s="211" t="str">
        <f>IFERROR(__xludf.DUMMYFUNCTION("""COMPUTED_VALUE"""),"4a01ccb6")</f>
        <v>4a01ccb6</v>
      </c>
      <c r="E189" s="211" t="str">
        <f>IFERROR(__xludf.DUMMYFUNCTION("""COMPUTED_VALUE"""),"CV ANUGERAH PERSADA TEKNIK")</f>
        <v>CV ANUGERAH PERSADA TEKNIK</v>
      </c>
      <c r="F189" s="211" t="str">
        <f>IFERROR(__xludf.DUMMYFUNCTION("""COMPUTED_VALUE"""),"66af7c72")</f>
        <v>66af7c72</v>
      </c>
      <c r="G189" s="211" t="str">
        <f>IFERROR(__xludf.DUMMYFUNCTION("""COMPUTED_VALUE"""),"Argon 6m3")</f>
        <v>Argon 6m3</v>
      </c>
      <c r="H189" s="214" t="str">
        <f>IFERROR(__xludf.DUMMYFUNCTION("""COMPUTED_VALUE"""),"IN")</f>
        <v>IN</v>
      </c>
      <c r="I189" s="214" t="str">
        <f>IFERROR(__xludf.DUMMYFUNCTION("""COMPUTED_VALUE"""),"EMPTY")</f>
        <v>EMPTY</v>
      </c>
      <c r="J189" s="211">
        <f>IFERROR(__xludf.DUMMYFUNCTION("""COMPUTED_VALUE"""),1.0)</f>
        <v>1</v>
      </c>
      <c r="K189" s="210" t="str">
        <f>IFERROR(__xludf.DUMMYFUNCTION("""COMPUTED_VALUE"""),"12001")</f>
        <v>12001</v>
      </c>
      <c r="L189" s="211"/>
      <c r="M189" s="211"/>
      <c r="N189" s="211"/>
      <c r="O189" s="211"/>
      <c r="Q189" s="210" t="str">
        <f>IFERROR(__xludf.DUMMYFUNCTION("""COMPUTED_VALUE"""),"411240003")</f>
        <v>411240003</v>
      </c>
      <c r="R189" s="210" t="str">
        <f>IFERROR(__xludf.DUMMYFUNCTION("""COMPUTED_VALUE"""),"411240003")</f>
        <v>411240003</v>
      </c>
      <c r="S189" s="211" t="str">
        <f>IFERROR(__xludf.DUMMYFUNCTION("""COMPUTED_VALUE"""),"e968afef")</f>
        <v>e968afef</v>
      </c>
      <c r="T189" s="211" t="str">
        <f>IFERROR(__xludf.DUMMYFUNCTION("""COMPUTED_VALUE"""),"Bpk. Agus")</f>
        <v>Bpk. Agus</v>
      </c>
      <c r="U189" s="215">
        <f>IFERROR(__xludf.DUMMYFUNCTION("""COMPUTED_VALUE"""),45619.32921296296)</f>
        <v>45619.32921</v>
      </c>
      <c r="V189" s="211" t="str">
        <f>IFERROR(__xludf.DUMMYFUNCTION("""COMPUTED_VALUE"""),"Jl. Parengan 13, Semawut, Balongbendo, Kec. BalongBendo, Kabupaten Sidoarjo, Jawa Timur 61263")</f>
        <v>Jl. Parengan 13, Semawut, Balongbendo, Kec. BalongBendo, Kabupaten Sidoarjo, Jawa Timur 61263</v>
      </c>
      <c r="W189" s="211" t="str">
        <f>IFERROR(__xludf.DUMMYFUNCTION("""COMPUTED_VALUE"""),"OTHER")</f>
        <v>OTHER</v>
      </c>
      <c r="X189" s="211"/>
      <c r="Z189" s="211" t="str">
        <f>IFERROR(__xludf.DUMMYFUNCTION("""COMPUTED_VALUE"""),"0226182665")</f>
        <v>0226182665</v>
      </c>
      <c r="AC189" s="211"/>
      <c r="AD189" s="211"/>
      <c r="AE189" s="211"/>
      <c r="AF189" s="211"/>
      <c r="AG189" s="211"/>
      <c r="AH189" s="211"/>
      <c r="AI189" s="211"/>
      <c r="AJ189" s="211"/>
      <c r="AL189" s="211" t="str">
        <f>IFERROR(__xludf.DUMMYFUNCTION("""COMPUTED_VALUE"""),"2250119")</f>
        <v>2250119</v>
      </c>
      <c r="AM189" s="211" t="str">
        <f>IFERROR(__xludf.DUMMYFUNCTION("""COMPUTED_VALUE"""),"112541827")</f>
        <v>112541827</v>
      </c>
      <c r="AN189" s="211" t="str">
        <f>IFERROR(__xludf.DUMMYFUNCTION("""COMPUTED_VALUE"""),"63fc688a")</f>
        <v>63fc688a</v>
      </c>
      <c r="AO189" s="211" t="str">
        <f>IFERROR(__xludf.DUMMYFUNCTION("""COMPUTED_VALUE"""),"CV Malik Nusantara")</f>
        <v>CV Malik Nusantara</v>
      </c>
      <c r="AP189" s="215">
        <f>IFERROR(__xludf.DUMMYFUNCTION("""COMPUTED_VALUE"""),45989.51347222222)</f>
        <v>45989.51347</v>
      </c>
      <c r="AQ189" s="218">
        <f>IFERROR(__xludf.DUMMYFUNCTION("""COMPUTED_VALUE"""),45987.0)</f>
        <v>45987</v>
      </c>
      <c r="AR189" s="211"/>
      <c r="AS189" s="211"/>
      <c r="AT189" s="211"/>
      <c r="AU189" s="211"/>
      <c r="AV189" s="211"/>
      <c r="AW189" s="211"/>
      <c r="AX189" s="211"/>
      <c r="AY189" s="211"/>
      <c r="AZ189" s="211"/>
      <c r="BB189" s="211"/>
      <c r="BC189" s="211"/>
      <c r="BD189" s="211"/>
      <c r="BE189" s="211"/>
      <c r="BF189" s="211"/>
      <c r="BG189" s="211"/>
      <c r="BH189" s="211"/>
      <c r="BI189" s="211"/>
    </row>
    <row r="190">
      <c r="A190" s="210" t="str">
        <f>IFERROR(__xludf.DUMMYFUNCTION("""COMPUTED_VALUE"""),"11240088")</f>
        <v>11240088</v>
      </c>
      <c r="B190" s="210" t="str">
        <f>IFERROR(__xludf.DUMMYFUNCTION("""COMPUTED_VALUE"""),"11240088")</f>
        <v>11240088</v>
      </c>
      <c r="C190" s="213">
        <f>IFERROR(__xludf.DUMMYFUNCTION("""COMPUTED_VALUE"""),45604.70505787037)</f>
        <v>45604.70506</v>
      </c>
      <c r="D190" s="211" t="str">
        <f>IFERROR(__xludf.DUMMYFUNCTION("""COMPUTED_VALUE"""),"e86baf3b")</f>
        <v>e86baf3b</v>
      </c>
      <c r="E190" s="211" t="str">
        <f>IFERROR(__xludf.DUMMYFUNCTION("""COMPUTED_VALUE"""),"PT GEMILANG CIPTA WAWASAN")</f>
        <v>PT GEMILANG CIPTA WAWASAN</v>
      </c>
      <c r="F190" s="211" t="str">
        <f>IFERROR(__xludf.DUMMYFUNCTION("""COMPUTED_VALUE"""),"8bdbe149")</f>
        <v>8bdbe149</v>
      </c>
      <c r="G190" s="211" t="str">
        <f>IFERROR(__xludf.DUMMYFUNCTION("""COMPUTED_VALUE"""),"Oksigen 6m3")</f>
        <v>Oksigen 6m3</v>
      </c>
      <c r="H190" s="214" t="str">
        <f>IFERROR(__xludf.DUMMYFUNCTION("""COMPUTED_VALUE"""),"OUT")</f>
        <v>OUT</v>
      </c>
      <c r="I190" s="214" t="str">
        <f>IFERROR(__xludf.DUMMYFUNCTION("""COMPUTED_VALUE"""),"NORMAL")</f>
        <v>NORMAL</v>
      </c>
      <c r="J190" s="211">
        <f>IFERROR(__xludf.DUMMYFUNCTION("""COMPUTED_VALUE"""),15.0)</f>
        <v>15</v>
      </c>
      <c r="K190" s="210" t="str">
        <f>IFERROR(__xludf.DUMMYFUNCTION("""COMPUTED_VALUE"""),"1666 11110 1151 1147 1113 1122 1155 11112 1186 1102 1107 1138 1137 1142 1148")</f>
        <v>1666 11110 1151 1147 1113 1122 1155 11112 1186 1102 1107 1138 1137 1142 1148</v>
      </c>
      <c r="L190" s="211">
        <f>IFERROR(__xludf.DUMMYFUNCTION("""COMPUTED_VALUE"""),60000.0)</f>
        <v>60000</v>
      </c>
      <c r="M190" s="211"/>
      <c r="N190" s="211"/>
      <c r="O190" s="211"/>
      <c r="Q190" s="210" t="str">
        <f>IFERROR(__xludf.DUMMYFUNCTION("""COMPUTED_VALUE"""),"46d3e288")</f>
        <v>46d3e288</v>
      </c>
      <c r="R190" s="210" t="str">
        <f>IFERROR(__xludf.DUMMYFUNCTION("""COMPUTED_VALUE"""),"46d3e288")</f>
        <v>46d3e288</v>
      </c>
      <c r="S190" s="211" t="str">
        <f>IFERROR(__xludf.DUMMYFUNCTION("""COMPUTED_VALUE"""),"e86baf3b")</f>
        <v>e86baf3b</v>
      </c>
      <c r="T190" s="211" t="str">
        <f>IFERROR(__xludf.DUMMYFUNCTION("""COMPUTED_VALUE"""),"PT GEMILANG CIPTA WAWASAN")</f>
        <v>PT GEMILANG CIPTA WAWASAN</v>
      </c>
      <c r="U190" s="215">
        <f>IFERROR(__xludf.DUMMYFUNCTION("""COMPUTED_VALUE"""),45619.4383912037)</f>
        <v>45619.43839</v>
      </c>
      <c r="V190" s="211" t="str">
        <f>IFERROR(__xludf.DUMMYFUNCTION("""COMPUTED_VALUE"""),"JL TEBET RAYA, 2A, TEBET BARAT, TEBET, KOTA ADM, JAKARTA SELATAN, DKI JAKARTA")</f>
        <v>JL TEBET RAYA, 2A, TEBET BARAT, TEBET, KOTA ADM, JAKARTA SELATAN, DKI JAKARTA</v>
      </c>
      <c r="W190" s="211" t="str">
        <f>IFERROR(__xludf.DUMMYFUNCTION("""COMPUTED_VALUE"""),"IN")</f>
        <v>IN</v>
      </c>
      <c r="X190" s="211"/>
      <c r="Z190" s="211" t="str">
        <f>IFERROR(__xludf.DUMMYFUNCTION("""COMPUTED_VALUE"""),"0226232664")</f>
        <v>0226232664</v>
      </c>
      <c r="AC190" s="211"/>
      <c r="AD190" s="211"/>
      <c r="AE190" s="211"/>
      <c r="AF190" s="211"/>
      <c r="AG190" s="211"/>
      <c r="AH190" s="211"/>
      <c r="AI190" s="211"/>
      <c r="AJ190" s="211"/>
      <c r="AL190" s="211" t="str">
        <f>IFERROR(__xludf.DUMMYFUNCTION("""COMPUTED_VALUE"""),"2250116")</f>
        <v>2250116</v>
      </c>
      <c r="AM190" s="211" t="str">
        <f>IFERROR(__xludf.DUMMYFUNCTION("""COMPUTED_VALUE"""),"112541605")</f>
        <v>112541605</v>
      </c>
      <c r="AN190" s="211" t="str">
        <f>IFERROR(__xludf.DUMMYFUNCTION("""COMPUTED_VALUE"""),"440df1db")</f>
        <v>440df1db</v>
      </c>
      <c r="AO190" s="211" t="str">
        <f>IFERROR(__xludf.DUMMYFUNCTION("""COMPUTED_VALUE"""),"PT. Mecca Abadi Sejahtera")</f>
        <v>PT. Mecca Abadi Sejahtera</v>
      </c>
      <c r="AP190" s="215">
        <f>IFERROR(__xludf.DUMMYFUNCTION("""COMPUTED_VALUE"""),45989.50572916667)</f>
        <v>45989.50573</v>
      </c>
      <c r="AQ190" s="218">
        <f>IFERROR(__xludf.DUMMYFUNCTION("""COMPUTED_VALUE"""),45965.0)</f>
        <v>45965</v>
      </c>
      <c r="AR190" s="211"/>
      <c r="AS190" s="211"/>
      <c r="AT190" s="211"/>
      <c r="AU190" s="211"/>
      <c r="AV190" s="211"/>
      <c r="AW190" s="211"/>
      <c r="AX190" s="211"/>
      <c r="AY190" s="211"/>
      <c r="AZ190" s="211"/>
      <c r="BB190" s="211"/>
      <c r="BC190" s="211"/>
      <c r="BD190" s="211"/>
      <c r="BE190" s="211"/>
      <c r="BF190" s="211"/>
      <c r="BG190" s="211"/>
      <c r="BH190" s="211"/>
      <c r="BI190" s="211"/>
    </row>
    <row r="191">
      <c r="A191" s="210" t="str">
        <f>IFERROR(__xludf.DUMMYFUNCTION("""COMPUTED_VALUE"""),"11240088")</f>
        <v>11240088</v>
      </c>
      <c r="B191" s="210" t="str">
        <f>IFERROR(__xludf.DUMMYFUNCTION("""COMPUTED_VALUE"""),"11240088")</f>
        <v>11240088</v>
      </c>
      <c r="C191" s="213">
        <f>IFERROR(__xludf.DUMMYFUNCTION("""COMPUTED_VALUE"""),45604.706342592595)</f>
        <v>45604.70634</v>
      </c>
      <c r="D191" s="211" t="str">
        <f>IFERROR(__xludf.DUMMYFUNCTION("""COMPUTED_VALUE"""),"e86baf3b")</f>
        <v>e86baf3b</v>
      </c>
      <c r="E191" s="211" t="str">
        <f>IFERROR(__xludf.DUMMYFUNCTION("""COMPUTED_VALUE"""),"PT GEMILANG CIPTA WAWASAN")</f>
        <v>PT GEMILANG CIPTA WAWASAN</v>
      </c>
      <c r="F191" s="211" t="str">
        <f>IFERROR(__xludf.DUMMYFUNCTION("""COMPUTED_VALUE"""),"66af7c72")</f>
        <v>66af7c72</v>
      </c>
      <c r="G191" s="211" t="str">
        <f>IFERROR(__xludf.DUMMYFUNCTION("""COMPUTED_VALUE"""),"Argon 6m3")</f>
        <v>Argon 6m3</v>
      </c>
      <c r="H191" s="214" t="str">
        <f>IFERROR(__xludf.DUMMYFUNCTION("""COMPUTED_VALUE"""),"OUT")</f>
        <v>OUT</v>
      </c>
      <c r="I191" s="214" t="str">
        <f>IFERROR(__xludf.DUMMYFUNCTION("""COMPUTED_VALUE"""),"NORMAL")</f>
        <v>NORMAL</v>
      </c>
      <c r="J191" s="211">
        <f>IFERROR(__xludf.DUMMYFUNCTION("""COMPUTED_VALUE"""),5.0)</f>
        <v>5</v>
      </c>
      <c r="K191" s="210" t="str">
        <f>IFERROR(__xludf.DUMMYFUNCTION("""COMPUTED_VALUE"""),"12003 12006 8316 8267 8187")</f>
        <v>12003 12006 8316 8267 8187</v>
      </c>
      <c r="L191" s="211">
        <f>IFERROR(__xludf.DUMMYFUNCTION("""COMPUTED_VALUE"""),196000.0)</f>
        <v>196000</v>
      </c>
      <c r="M191" s="211"/>
      <c r="N191" s="211"/>
      <c r="O191" s="211"/>
      <c r="Q191" s="210" t="str">
        <f>IFERROR(__xludf.DUMMYFUNCTION("""COMPUTED_VALUE"""),"11240126")</f>
        <v>11240126</v>
      </c>
      <c r="R191" s="210" t="str">
        <f>IFERROR(__xludf.DUMMYFUNCTION("""COMPUTED_VALUE"""),"11240126")</f>
        <v>11240126</v>
      </c>
      <c r="S191" s="211" t="str">
        <f>IFERROR(__xludf.DUMMYFUNCTION("""COMPUTED_VALUE"""),"4a01ccb6")</f>
        <v>4a01ccb6</v>
      </c>
      <c r="T191" s="211" t="str">
        <f>IFERROR(__xludf.DUMMYFUNCTION("""COMPUTED_VALUE"""),"CV ANUGERAH PERSADA TEKNIK")</f>
        <v>CV ANUGERAH PERSADA TEKNIK</v>
      </c>
      <c r="U191" s="215">
        <f>IFERROR(__xludf.DUMMYFUNCTION("""COMPUTED_VALUE"""),45619.44631944444)</f>
        <v>45619.44632</v>
      </c>
      <c r="V191" s="211" t="str">
        <f>IFERROR(__xludf.DUMMYFUNCTION("""COMPUTED_VALUE"""),"JL. Raya Trosobo, Blok 3/14, Taman Sidoarjo Lingkungan Industri Kecil, Sepanjang, Jawa Timur, 61257")</f>
        <v>JL. Raya Trosobo, Blok 3/14, Taman Sidoarjo Lingkungan Industri Kecil, Sepanjang, Jawa Timur, 61257</v>
      </c>
      <c r="W191" s="211" t="str">
        <f>IFERROR(__xludf.DUMMYFUNCTION("""COMPUTED_VALUE"""),"OUT")</f>
        <v>OUT</v>
      </c>
      <c r="X191" s="211"/>
      <c r="Z191" s="211" t="str">
        <f>IFERROR(__xludf.DUMMYFUNCTION("""COMPUTED_VALUE"""),"0226252656")</f>
        <v>0226252656</v>
      </c>
      <c r="AC191" s="211"/>
      <c r="AD191" s="211"/>
      <c r="AE191" s="211"/>
      <c r="AF191" s="211"/>
      <c r="AG191" s="211"/>
      <c r="AH191" s="211"/>
      <c r="AI191" s="211"/>
      <c r="AJ191" s="211"/>
      <c r="AL191" s="211" t="str">
        <f>IFERROR(__xludf.DUMMYFUNCTION("""COMPUTED_VALUE"""),"2250116")</f>
        <v>2250116</v>
      </c>
      <c r="AM191" s="211" t="str">
        <f>IFERROR(__xludf.DUMMYFUNCTION("""COMPUTED_VALUE"""),"112551711")</f>
        <v>112551711</v>
      </c>
      <c r="AN191" s="211" t="str">
        <f>IFERROR(__xludf.DUMMYFUNCTION("""COMPUTED_VALUE"""),"440df1db")</f>
        <v>440df1db</v>
      </c>
      <c r="AO191" s="211" t="str">
        <f>IFERROR(__xludf.DUMMYFUNCTION("""COMPUTED_VALUE"""),"PT. Mecca Abadi Sejahtera")</f>
        <v>PT. Mecca Abadi Sejahtera</v>
      </c>
      <c r="AP191" s="215">
        <f>IFERROR(__xludf.DUMMYFUNCTION("""COMPUTED_VALUE"""),45989.50572916667)</f>
        <v>45989.50573</v>
      </c>
      <c r="AQ191" s="218">
        <f>IFERROR(__xludf.DUMMYFUNCTION("""COMPUTED_VALUE"""),45975.0)</f>
        <v>45975</v>
      </c>
      <c r="AR191" s="211"/>
      <c r="AS191" s="211"/>
      <c r="AT191" s="211"/>
      <c r="AU191" s="211"/>
      <c r="AV191" s="211"/>
      <c r="AW191" s="211"/>
      <c r="AX191" s="211"/>
      <c r="AY191" s="211"/>
      <c r="AZ191" s="211"/>
      <c r="BB191" s="211"/>
      <c r="BC191" s="211"/>
      <c r="BD191" s="211"/>
      <c r="BE191" s="211"/>
      <c r="BF191" s="211"/>
      <c r="BG191" s="211"/>
      <c r="BH191" s="211"/>
      <c r="BI191" s="211"/>
    </row>
    <row r="192">
      <c r="A192" s="210" t="str">
        <f>IFERROR(__xludf.DUMMYFUNCTION("""COMPUTED_VALUE"""),"11240088")</f>
        <v>11240088</v>
      </c>
      <c r="B192" s="210" t="str">
        <f>IFERROR(__xludf.DUMMYFUNCTION("""COMPUTED_VALUE"""),"11240088")</f>
        <v>11240088</v>
      </c>
      <c r="C192" s="213">
        <f>IFERROR(__xludf.DUMMYFUNCTION("""COMPUTED_VALUE"""),45604.70863425926)</f>
        <v>45604.70863</v>
      </c>
      <c r="D192" s="211" t="str">
        <f>IFERROR(__xludf.DUMMYFUNCTION("""COMPUTED_VALUE"""),"e86baf3b")</f>
        <v>e86baf3b</v>
      </c>
      <c r="E192" s="211" t="str">
        <f>IFERROR(__xludf.DUMMYFUNCTION("""COMPUTED_VALUE"""),"PT GEMILANG CIPTA WAWASAN")</f>
        <v>PT GEMILANG CIPTA WAWASAN</v>
      </c>
      <c r="F192" s="211" t="str">
        <f>IFERROR(__xludf.DUMMYFUNCTION("""COMPUTED_VALUE"""),"be525f3b")</f>
        <v>be525f3b</v>
      </c>
      <c r="G192" s="211" t="str">
        <f>IFERROR(__xludf.DUMMYFUNCTION("""COMPUTED_VALUE"""),"LPG 12kg")</f>
        <v>LPG 12kg</v>
      </c>
      <c r="H192" s="214" t="str">
        <f>IFERROR(__xludf.DUMMYFUNCTION("""COMPUTED_VALUE"""),"OUT")</f>
        <v>OUT</v>
      </c>
      <c r="I192" s="214" t="str">
        <f>IFERROR(__xludf.DUMMYFUNCTION("""COMPUTED_VALUE"""),"NORMAL")</f>
        <v>NORMAL</v>
      </c>
      <c r="J192" s="211">
        <f>IFERROR(__xludf.DUMMYFUNCTION("""COMPUTED_VALUE"""),5.0)</f>
        <v>5</v>
      </c>
      <c r="K192" s="211"/>
      <c r="L192" s="211">
        <f>IFERROR(__xludf.DUMMYFUNCTION("""COMPUTED_VALUE"""),210000.0)</f>
        <v>210000</v>
      </c>
      <c r="M192" s="211"/>
      <c r="N192" s="211"/>
      <c r="O192" s="211"/>
      <c r="Q192" s="210" t="str">
        <f>IFERROR(__xludf.DUMMYFUNCTION("""COMPUTED_VALUE"""),"11240127")</f>
        <v>11240127</v>
      </c>
      <c r="R192" s="210" t="str">
        <f>IFERROR(__xludf.DUMMYFUNCTION("""COMPUTED_VALUE"""),"11240127")</f>
        <v>11240127</v>
      </c>
      <c r="S192" s="211" t="str">
        <f>IFERROR(__xludf.DUMMYFUNCTION("""COMPUTED_VALUE"""),"72d9a70c")</f>
        <v>72d9a70c</v>
      </c>
      <c r="T192" s="211" t="str">
        <f>IFERROR(__xludf.DUMMYFUNCTION("""COMPUTED_VALUE"""),"PT Beton Prima Indonesia")</f>
        <v>PT Beton Prima Indonesia</v>
      </c>
      <c r="U192" s="215">
        <f>IFERROR(__xludf.DUMMYFUNCTION("""COMPUTED_VALUE"""),45621.51041666667)</f>
        <v>45621.51042</v>
      </c>
      <c r="V192" s="211" t="str">
        <f>IFERROR(__xludf.DUMMYFUNCTION("""COMPUTED_VALUE"""),"KH. Ahmad Dahlan KM.2 Ds. Sumberwono, Kec. Bangsal, Kab. Mojokerto 61381")</f>
        <v>KH. Ahmad Dahlan KM.2 Ds. Sumberwono, Kec. Bangsal, Kab. Mojokerto 61381</v>
      </c>
      <c r="W192" s="211" t="str">
        <f>IFERROR(__xludf.DUMMYFUNCTION("""COMPUTED_VALUE"""),"OUT")</f>
        <v>OUT</v>
      </c>
      <c r="X192" s="211"/>
      <c r="Z192" s="211" t="str">
        <f>IFERROR(__xludf.DUMMYFUNCTION("""COMPUTED_VALUE"""),"022632655")</f>
        <v>022632655</v>
      </c>
      <c r="AC192" s="211"/>
      <c r="AD192" s="211"/>
      <c r="AE192" s="211"/>
      <c r="AF192" s="211"/>
      <c r="AG192" s="211"/>
      <c r="AH192" s="211"/>
      <c r="AI192" s="211"/>
      <c r="AJ192" s="211"/>
      <c r="AL192" s="211" t="str">
        <f>IFERROR(__xludf.DUMMYFUNCTION("""COMPUTED_VALUE"""),"2250116")</f>
        <v>2250116</v>
      </c>
      <c r="AM192" s="211" t="str">
        <f>IFERROR(__xludf.DUMMYFUNCTION("""COMPUTED_VALUE"""),"112561814")</f>
        <v>112561814</v>
      </c>
      <c r="AN192" s="211" t="str">
        <f>IFERROR(__xludf.DUMMYFUNCTION("""COMPUTED_VALUE"""),"440df1db")</f>
        <v>440df1db</v>
      </c>
      <c r="AO192" s="211" t="str">
        <f>IFERROR(__xludf.DUMMYFUNCTION("""COMPUTED_VALUE"""),"PT. Mecca Abadi Sejahtera")</f>
        <v>PT. Mecca Abadi Sejahtera</v>
      </c>
      <c r="AP192" s="215">
        <f>IFERROR(__xludf.DUMMYFUNCTION("""COMPUTED_VALUE"""),45989.50572916667)</f>
        <v>45989.50573</v>
      </c>
      <c r="AQ192" s="218">
        <f>IFERROR(__xludf.DUMMYFUNCTION("""COMPUTED_VALUE"""),45986.0)</f>
        <v>45986</v>
      </c>
      <c r="AR192" s="211"/>
      <c r="AS192" s="211"/>
      <c r="AT192" s="211"/>
      <c r="AU192" s="211"/>
      <c r="AV192" s="211"/>
      <c r="AW192" s="211"/>
      <c r="AX192" s="211"/>
      <c r="AY192" s="211"/>
      <c r="AZ192" s="211"/>
      <c r="BB192" s="211"/>
      <c r="BC192" s="211"/>
      <c r="BD192" s="211"/>
      <c r="BE192" s="211"/>
      <c r="BF192" s="211"/>
      <c r="BG192" s="211"/>
      <c r="BH192" s="211"/>
      <c r="BI192" s="211"/>
    </row>
    <row r="193">
      <c r="A193" s="210" t="str">
        <f>IFERROR(__xludf.DUMMYFUNCTION("""COMPUTED_VALUE"""),"11240091")</f>
        <v>11240091</v>
      </c>
      <c r="B193" s="210" t="str">
        <f>IFERROR(__xludf.DUMMYFUNCTION("""COMPUTED_VALUE"""),"11240091")</f>
        <v>11240091</v>
      </c>
      <c r="C193" s="213">
        <f>IFERROR(__xludf.DUMMYFUNCTION("""COMPUTED_VALUE"""),45605.38143518518)</f>
        <v>45605.38144</v>
      </c>
      <c r="D193" s="211" t="str">
        <f>IFERROR(__xludf.DUMMYFUNCTION("""COMPUTED_VALUE"""),"c2f5a4a7")</f>
        <v>c2f5a4a7</v>
      </c>
      <c r="E193" s="211" t="str">
        <f>IFERROR(__xludf.DUMMYFUNCTION("""COMPUTED_VALUE"""),"UD Sumber Berlian")</f>
        <v>UD Sumber Berlian</v>
      </c>
      <c r="F193" s="211" t="str">
        <f>IFERROR(__xludf.DUMMYFUNCTION("""COMPUTED_VALUE"""),"8bdbe149")</f>
        <v>8bdbe149</v>
      </c>
      <c r="G193" s="211" t="str">
        <f>IFERROR(__xludf.DUMMYFUNCTION("""COMPUTED_VALUE"""),"Oksigen 6m3")</f>
        <v>Oksigen 6m3</v>
      </c>
      <c r="H193" s="214" t="str">
        <f>IFERROR(__xludf.DUMMYFUNCTION("""COMPUTED_VALUE"""),"OUT")</f>
        <v>OUT</v>
      </c>
      <c r="I193" s="214" t="str">
        <f>IFERROR(__xludf.DUMMYFUNCTION("""COMPUTED_VALUE"""),"NORMAL")</f>
        <v>NORMAL</v>
      </c>
      <c r="J193" s="211">
        <f>IFERROR(__xludf.DUMMYFUNCTION("""COMPUTED_VALUE"""),9.0)</f>
        <v>9</v>
      </c>
      <c r="K193" s="210" t="str">
        <f>IFERROR(__xludf.DUMMYFUNCTION("""COMPUTED_VALUE"""),"5861 1118 1265 5772 1626 5869 1074 5651 5482")</f>
        <v>5861 1118 1265 5772 1626 5869 1074 5651 5482</v>
      </c>
      <c r="L193" s="211">
        <f>IFERROR(__xludf.DUMMYFUNCTION("""COMPUTED_VALUE"""),70000.0)</f>
        <v>70000</v>
      </c>
      <c r="M193" s="211"/>
      <c r="N193" s="211"/>
      <c r="O193" s="211"/>
      <c r="Q193" s="210" t="str">
        <f>IFERROR(__xludf.DUMMYFUNCTION("""COMPUTED_VALUE"""),"11240128")</f>
        <v>11240128</v>
      </c>
      <c r="R193" s="210" t="str">
        <f>IFERROR(__xludf.DUMMYFUNCTION("""COMPUTED_VALUE"""),"11240128")</f>
        <v>11240128</v>
      </c>
      <c r="S193" s="211" t="str">
        <f>IFERROR(__xludf.DUMMYFUNCTION("""COMPUTED_VALUE"""),"f8335a53")</f>
        <v>f8335a53</v>
      </c>
      <c r="T193" s="211" t="str">
        <f>IFERROR(__xludf.DUMMYFUNCTION("""COMPUTED_VALUE"""),"CV RAGAM JAYA ENGINEERING")</f>
        <v>CV RAGAM JAYA ENGINEERING</v>
      </c>
      <c r="U193" s="215">
        <f>IFERROR(__xludf.DUMMYFUNCTION("""COMPUTED_VALUE"""),45621.53047453704)</f>
        <v>45621.53047</v>
      </c>
      <c r="V193" s="211" t="str">
        <f>IFERROR(__xludf.DUMMYFUNCTION("""COMPUTED_VALUE"""),"Jl. Balung wangon, Dadapkuning, Bulurejo, Kec. Benjeng, Kabupaten Gresik, Jawa Timur 61172")</f>
        <v>Jl. Balung wangon, Dadapkuning, Bulurejo, Kec. Benjeng, Kabupaten Gresik, Jawa Timur 61172</v>
      </c>
      <c r="W193" s="211" t="str">
        <f>IFERROR(__xludf.DUMMYFUNCTION("""COMPUTED_VALUE"""),"OUT")</f>
        <v>OUT</v>
      </c>
      <c r="X193" s="211"/>
      <c r="Z193" s="211" t="str">
        <f>IFERROR(__xludf.DUMMYFUNCTION("""COMPUTED_VALUE"""),"022672654")</f>
        <v>022672654</v>
      </c>
      <c r="AC193" s="211"/>
      <c r="AD193" s="211"/>
      <c r="AE193" s="211"/>
      <c r="AF193" s="211"/>
      <c r="AG193" s="211"/>
      <c r="AH193" s="211"/>
      <c r="AI193" s="211"/>
      <c r="AJ193" s="211"/>
      <c r="AL193" s="211" t="str">
        <f>IFERROR(__xludf.DUMMYFUNCTION("""COMPUTED_VALUE"""),"2250115")</f>
        <v>2250115</v>
      </c>
      <c r="AM193" s="211" t="str">
        <f>IFERROR(__xludf.DUMMYFUNCTION("""COMPUTED_VALUE"""),"1125191590")</f>
        <v>1125191590</v>
      </c>
      <c r="AN193" s="211" t="str">
        <f>IFERROR(__xludf.DUMMYFUNCTION("""COMPUTED_VALUE"""),"182fb0fe")</f>
        <v>182fb0fe</v>
      </c>
      <c r="AO193" s="211" t="str">
        <f>IFERROR(__xludf.DUMMYFUNCTION("""COMPUTED_VALUE"""),"PT Amtech")</f>
        <v>PT Amtech</v>
      </c>
      <c r="AP193" s="215">
        <f>IFERROR(__xludf.DUMMYFUNCTION("""COMPUTED_VALUE"""),45989.50393518519)</f>
        <v>45989.50394</v>
      </c>
      <c r="AQ193" s="218">
        <f>IFERROR(__xludf.DUMMYFUNCTION("""COMPUTED_VALUE"""),45964.0)</f>
        <v>45964</v>
      </c>
      <c r="AR193" s="211"/>
      <c r="AS193" s="211"/>
      <c r="AT193" s="211"/>
      <c r="AU193" s="211"/>
      <c r="AV193" s="211"/>
      <c r="AW193" s="211"/>
      <c r="AX193" s="211"/>
      <c r="AY193" s="211"/>
      <c r="AZ193" s="211"/>
      <c r="BB193" s="211"/>
      <c r="BC193" s="211"/>
      <c r="BD193" s="211"/>
      <c r="BE193" s="211"/>
      <c r="BF193" s="211"/>
      <c r="BG193" s="211"/>
      <c r="BH193" s="211"/>
      <c r="BI193" s="211"/>
    </row>
    <row r="194">
      <c r="A194" s="210" t="str">
        <f>IFERROR(__xludf.DUMMYFUNCTION("""COMPUTED_VALUE"""),"e615692d")</f>
        <v>e615692d</v>
      </c>
      <c r="B194" s="210" t="str">
        <f>IFERROR(__xludf.DUMMYFUNCTION("""COMPUTED_VALUE"""),"e615692d")</f>
        <v>e615692d</v>
      </c>
      <c r="C194" s="213">
        <f>IFERROR(__xludf.DUMMYFUNCTION("""COMPUTED_VALUE"""),45607.41091435185)</f>
        <v>45607.41091</v>
      </c>
      <c r="D194" s="211" t="str">
        <f>IFERROR(__xludf.DUMMYFUNCTION("""COMPUTED_VALUE"""),"4ec68cf6")</f>
        <v>4ec68cf6</v>
      </c>
      <c r="E194" s="211" t="str">
        <f>IFERROR(__xludf.DUMMYFUNCTION("""COMPUTED_VALUE"""),"CV Sido Mukti Karya")</f>
        <v>CV Sido Mukti Karya</v>
      </c>
      <c r="F194" s="211" t="str">
        <f>IFERROR(__xludf.DUMMYFUNCTION("""COMPUTED_VALUE"""),"8bdbe149")</f>
        <v>8bdbe149</v>
      </c>
      <c r="G194" s="211" t="str">
        <f>IFERROR(__xludf.DUMMYFUNCTION("""COMPUTED_VALUE"""),"Oksigen 6m3")</f>
        <v>Oksigen 6m3</v>
      </c>
      <c r="H194" s="214" t="str">
        <f>IFERROR(__xludf.DUMMYFUNCTION("""COMPUTED_VALUE"""),"IN")</f>
        <v>IN</v>
      </c>
      <c r="I194" s="214" t="str">
        <f>IFERROR(__xludf.DUMMYFUNCTION("""COMPUTED_VALUE"""),"EMPTY")</f>
        <v>EMPTY</v>
      </c>
      <c r="J194" s="211">
        <f>IFERROR(__xludf.DUMMYFUNCTION("""COMPUTED_VALUE"""),1.0)</f>
        <v>1</v>
      </c>
      <c r="K194" s="210" t="str">
        <f>IFERROR(__xludf.DUMMYFUNCTION("""COMPUTED_VALUE"""),"2056")</f>
        <v>2056</v>
      </c>
      <c r="L194" s="211"/>
      <c r="M194" s="211"/>
      <c r="N194" s="211"/>
      <c r="O194" s="211"/>
      <c r="Q194" s="210" t="str">
        <f>IFERROR(__xludf.DUMMYFUNCTION("""COMPUTED_VALUE"""),"2cc2187d")</f>
        <v>2cc2187d</v>
      </c>
      <c r="R194" s="210" t="str">
        <f>IFERROR(__xludf.DUMMYFUNCTION("""COMPUTED_VALUE"""),"2cc2187d")</f>
        <v>2cc2187d</v>
      </c>
      <c r="S194" s="211" t="str">
        <f>IFERROR(__xludf.DUMMYFUNCTION("""COMPUTED_VALUE"""),"72d9a70c")</f>
        <v>72d9a70c</v>
      </c>
      <c r="T194" s="211" t="str">
        <f>IFERROR(__xludf.DUMMYFUNCTION("""COMPUTED_VALUE"""),"PT Beton Prima Indonesia")</f>
        <v>PT Beton Prima Indonesia</v>
      </c>
      <c r="U194" s="215">
        <f>IFERROR(__xludf.DUMMYFUNCTION("""COMPUTED_VALUE"""),45621.54766203703)</f>
        <v>45621.54766</v>
      </c>
      <c r="V194" s="211" t="str">
        <f>IFERROR(__xludf.DUMMYFUNCTION("""COMPUTED_VALUE"""),"KH. Ahmad Dahlan KM.2 Ds. Sumberwono, Kec. Bangsal, Kab. Mojokerto 61381")</f>
        <v>KH. Ahmad Dahlan KM.2 Ds. Sumberwono, Kec. Bangsal, Kab. Mojokerto 61381</v>
      </c>
      <c r="W194" s="211" t="str">
        <f>IFERROR(__xludf.DUMMYFUNCTION("""COMPUTED_VALUE"""),"IN")</f>
        <v>IN</v>
      </c>
      <c r="X194" s="211"/>
      <c r="Z194" s="211" t="str">
        <f>IFERROR(__xludf.DUMMYFUNCTION("""COMPUTED_VALUE"""),"0226132653")</f>
        <v>0226132653</v>
      </c>
      <c r="AC194" s="211"/>
      <c r="AD194" s="211"/>
      <c r="AE194" s="211"/>
      <c r="AF194" s="211"/>
      <c r="AG194" s="211"/>
      <c r="AH194" s="211"/>
      <c r="AI194" s="211"/>
      <c r="AJ194" s="211"/>
      <c r="AL194" s="211" t="str">
        <f>IFERROR(__xludf.DUMMYFUNCTION("""COMPUTED_VALUE"""),"2250113")</f>
        <v>2250113</v>
      </c>
      <c r="AM194" s="211" t="str">
        <f>IFERROR(__xludf.DUMMYFUNCTION("""COMPUTED_VALUE"""),"1125691720")</f>
        <v>1125691720</v>
      </c>
      <c r="AN194" s="211" t="str">
        <f>IFERROR(__xludf.DUMMYFUNCTION("""COMPUTED_VALUE"""),"e86baf3b")</f>
        <v>e86baf3b</v>
      </c>
      <c r="AO194" s="211" t="str">
        <f>IFERROR(__xludf.DUMMYFUNCTION("""COMPUTED_VALUE"""),"PT GEMILANG CIPTA WAWASAN")</f>
        <v>PT GEMILANG CIPTA WAWASAN</v>
      </c>
      <c r="AP194" s="215">
        <f>IFERROR(__xludf.DUMMYFUNCTION("""COMPUTED_VALUE"""),45983.56271990741)</f>
        <v>45983.56272</v>
      </c>
      <c r="AQ194" s="218">
        <f>IFERROR(__xludf.DUMMYFUNCTION("""COMPUTED_VALUE"""),45976.0)</f>
        <v>45976</v>
      </c>
      <c r="AR194" s="211"/>
      <c r="AS194" s="211"/>
      <c r="AT194" s="211"/>
      <c r="AU194" s="211"/>
      <c r="AV194" s="211"/>
      <c r="AW194" s="211"/>
      <c r="AX194" s="211"/>
      <c r="AY194" s="211"/>
      <c r="AZ194" s="211"/>
      <c r="BB194" s="211"/>
      <c r="BC194" s="211"/>
      <c r="BD194" s="211"/>
      <c r="BE194" s="211"/>
      <c r="BF194" s="211"/>
      <c r="BG194" s="211"/>
      <c r="BH194" s="211"/>
      <c r="BI194" s="211"/>
    </row>
    <row r="195">
      <c r="A195" s="210" t="str">
        <f>IFERROR(__xludf.DUMMYFUNCTION("""COMPUTED_VALUE"""),"9c62c9ef")</f>
        <v>9c62c9ef</v>
      </c>
      <c r="B195" s="210" t="str">
        <f>IFERROR(__xludf.DUMMYFUNCTION("""COMPUTED_VALUE"""),"9c62c9ef")</f>
        <v>9c62c9ef</v>
      </c>
      <c r="C195" s="213">
        <f>IFERROR(__xludf.DUMMYFUNCTION("""COMPUTED_VALUE"""),45607.411261574074)</f>
        <v>45607.41126</v>
      </c>
      <c r="D195" s="211" t="str">
        <f>IFERROR(__xludf.DUMMYFUNCTION("""COMPUTED_VALUE"""),"c2f5a4a7")</f>
        <v>c2f5a4a7</v>
      </c>
      <c r="E195" s="211" t="str">
        <f>IFERROR(__xludf.DUMMYFUNCTION("""COMPUTED_VALUE"""),"UD Sumber Berlian")</f>
        <v>UD Sumber Berlian</v>
      </c>
      <c r="F195" s="211" t="str">
        <f>IFERROR(__xludf.DUMMYFUNCTION("""COMPUTED_VALUE"""),"8bdbe149")</f>
        <v>8bdbe149</v>
      </c>
      <c r="G195" s="211" t="str">
        <f>IFERROR(__xludf.DUMMYFUNCTION("""COMPUTED_VALUE"""),"Oksigen 6m3")</f>
        <v>Oksigen 6m3</v>
      </c>
      <c r="H195" s="214" t="str">
        <f>IFERROR(__xludf.DUMMYFUNCTION("""COMPUTED_VALUE"""),"IN")</f>
        <v>IN</v>
      </c>
      <c r="I195" s="214" t="str">
        <f>IFERROR(__xludf.DUMMYFUNCTION("""COMPUTED_VALUE"""),"EMPTY")</f>
        <v>EMPTY</v>
      </c>
      <c r="J195" s="211">
        <f>IFERROR(__xludf.DUMMYFUNCTION("""COMPUTED_VALUE"""),4.0)</f>
        <v>4</v>
      </c>
      <c r="K195" s="210" t="str">
        <f>IFERROR(__xludf.DUMMYFUNCTION("""COMPUTED_VALUE"""),"1340 11118 1185 11121")</f>
        <v>1340 11118 1185 11121</v>
      </c>
      <c r="L195" s="211"/>
      <c r="M195" s="211"/>
      <c r="N195" s="211"/>
      <c r="O195" s="211"/>
      <c r="Q195" s="210" t="str">
        <f>IFERROR(__xludf.DUMMYFUNCTION("""COMPUTED_VALUE"""),"7e20b08f")</f>
        <v>7e20b08f</v>
      </c>
      <c r="R195" s="210" t="str">
        <f>IFERROR(__xludf.DUMMYFUNCTION("""COMPUTED_VALUE"""),"7e20b08f")</f>
        <v>7e20b08f</v>
      </c>
      <c r="S195" s="211" t="str">
        <f>IFERROR(__xludf.DUMMYFUNCTION("""COMPUTED_VALUE"""),"f8335a53")</f>
        <v>f8335a53</v>
      </c>
      <c r="T195" s="211" t="str">
        <f>IFERROR(__xludf.DUMMYFUNCTION("""COMPUTED_VALUE"""),"CV RAGAM JAYA ENGINEERING")</f>
        <v>CV RAGAM JAYA ENGINEERING</v>
      </c>
      <c r="U195" s="215">
        <f>IFERROR(__xludf.DUMMYFUNCTION("""COMPUTED_VALUE"""),45621.642372685186)</f>
        <v>45621.64237</v>
      </c>
      <c r="V195" s="211" t="str">
        <f>IFERROR(__xludf.DUMMYFUNCTION("""COMPUTED_VALUE"""),"Jl. Balung wangon, Dadapkuning, Bulurejo, Kec. Benjeng, Kabupaten Gresik, Jawa Timur 61172")</f>
        <v>Jl. Balung wangon, Dadapkuning, Bulurejo, Kec. Benjeng, Kabupaten Gresik, Jawa Timur 61172</v>
      </c>
      <c r="W195" s="211" t="str">
        <f>IFERROR(__xludf.DUMMYFUNCTION("""COMPUTED_VALUE"""),"IN")</f>
        <v>IN</v>
      </c>
      <c r="X195" s="211"/>
      <c r="Z195" s="211" t="str">
        <f>IFERROR(__xludf.DUMMYFUNCTION("""COMPUTED_VALUE"""),"0226112652")</f>
        <v>0226112652</v>
      </c>
      <c r="AC195" s="211"/>
      <c r="AD195" s="211"/>
      <c r="AE195" s="211"/>
      <c r="AF195" s="211"/>
      <c r="AG195" s="211"/>
      <c r="AH195" s="211"/>
      <c r="AI195" s="211"/>
      <c r="AJ195" s="211"/>
      <c r="AL195" s="211" t="str">
        <f>IFERROR(__xludf.DUMMYFUNCTION("""COMPUTED_VALUE"""),"2250113")</f>
        <v>2250113</v>
      </c>
      <c r="AM195" s="211" t="str">
        <f>IFERROR(__xludf.DUMMYFUNCTION("""COMPUTED_VALUE"""),"1125701757")</f>
        <v>1125701757</v>
      </c>
      <c r="AN195" s="211" t="str">
        <f>IFERROR(__xludf.DUMMYFUNCTION("""COMPUTED_VALUE"""),"e86baf3b")</f>
        <v>e86baf3b</v>
      </c>
      <c r="AO195" s="211" t="str">
        <f>IFERROR(__xludf.DUMMYFUNCTION("""COMPUTED_VALUE"""),"PT GEMILANG CIPTA WAWASAN")</f>
        <v>PT GEMILANG CIPTA WAWASAN</v>
      </c>
      <c r="AP195" s="215">
        <f>IFERROR(__xludf.DUMMYFUNCTION("""COMPUTED_VALUE"""),45983.56271990741)</f>
        <v>45983.56272</v>
      </c>
      <c r="AQ195" s="218">
        <f>IFERROR(__xludf.DUMMYFUNCTION("""COMPUTED_VALUE"""),45980.0)</f>
        <v>45980</v>
      </c>
      <c r="AR195" s="211"/>
      <c r="AS195" s="211"/>
      <c r="AT195" s="211"/>
      <c r="AU195" s="211"/>
      <c r="AV195" s="211"/>
      <c r="AW195" s="211"/>
      <c r="AX195" s="211"/>
      <c r="AY195" s="211"/>
      <c r="AZ195" s="211"/>
      <c r="BB195" s="211"/>
      <c r="BC195" s="211"/>
      <c r="BD195" s="211"/>
      <c r="BE195" s="211"/>
      <c r="BF195" s="211"/>
      <c r="BG195" s="211"/>
      <c r="BH195" s="211"/>
      <c r="BI195" s="211"/>
    </row>
    <row r="196">
      <c r="A196" s="210" t="str">
        <f>IFERROR(__xludf.DUMMYFUNCTION("""COMPUTED_VALUE"""),"11240092")</f>
        <v>11240092</v>
      </c>
      <c r="B196" s="210" t="str">
        <f>IFERROR(__xludf.DUMMYFUNCTION("""COMPUTED_VALUE"""),"11240092")</f>
        <v>11240092</v>
      </c>
      <c r="C196" s="213">
        <f>IFERROR(__xludf.DUMMYFUNCTION("""COMPUTED_VALUE"""),45607.6362037037)</f>
        <v>45607.6362</v>
      </c>
      <c r="D196" s="211" t="str">
        <f>IFERROR(__xludf.DUMMYFUNCTION("""COMPUTED_VALUE"""),"4a01ccb6")</f>
        <v>4a01ccb6</v>
      </c>
      <c r="E196" s="211" t="str">
        <f>IFERROR(__xludf.DUMMYFUNCTION("""COMPUTED_VALUE"""),"CV ANUGERAH PERSADA TEKNIK")</f>
        <v>CV ANUGERAH PERSADA TEKNIK</v>
      </c>
      <c r="F196" s="211" t="str">
        <f>IFERROR(__xludf.DUMMYFUNCTION("""COMPUTED_VALUE"""),"8bdbe149")</f>
        <v>8bdbe149</v>
      </c>
      <c r="G196" s="211" t="str">
        <f>IFERROR(__xludf.DUMMYFUNCTION("""COMPUTED_VALUE"""),"Oksigen 6m3")</f>
        <v>Oksigen 6m3</v>
      </c>
      <c r="H196" s="214" t="str">
        <f>IFERROR(__xludf.DUMMYFUNCTION("""COMPUTED_VALUE"""),"OUT")</f>
        <v>OUT</v>
      </c>
      <c r="I196" s="214" t="str">
        <f>IFERROR(__xludf.DUMMYFUNCTION("""COMPUTED_VALUE"""),"NORMAL")</f>
        <v>NORMAL</v>
      </c>
      <c r="J196" s="211">
        <f>IFERROR(__xludf.DUMMYFUNCTION("""COMPUTED_VALUE"""),5.0)</f>
        <v>5</v>
      </c>
      <c r="K196" s="210" t="str">
        <f>IFERROR(__xludf.DUMMYFUNCTION("""COMPUTED_VALUE"""),"1185 11124 11118 1149 1130")</f>
        <v>1185 11124 11118 1149 1130</v>
      </c>
      <c r="L196" s="211">
        <f>IFERROR(__xludf.DUMMYFUNCTION("""COMPUTED_VALUE"""),65000.0)</f>
        <v>65000</v>
      </c>
      <c r="M196" s="211"/>
      <c r="N196" s="211"/>
      <c r="O196" s="211"/>
      <c r="Q196" s="210" t="str">
        <f>IFERROR(__xludf.DUMMYFUNCTION("""COMPUTED_VALUE"""),"11240130")</f>
        <v>11240130</v>
      </c>
      <c r="R196" s="210" t="str">
        <f>IFERROR(__xludf.DUMMYFUNCTION("""COMPUTED_VALUE"""),"11240130")</f>
        <v>11240130</v>
      </c>
      <c r="S196" s="211" t="str">
        <f>IFERROR(__xludf.DUMMYFUNCTION("""COMPUTED_VALUE"""),"785e0e07")</f>
        <v>785e0e07</v>
      </c>
      <c r="T196" s="211" t="str">
        <f>IFERROR(__xludf.DUMMYFUNCTION("""COMPUTED_VALUE"""),"Bpk. Sukirno (Bejo)")</f>
        <v>Bpk. Sukirno (Bejo)</v>
      </c>
      <c r="U196" s="215">
        <f>IFERROR(__xludf.DUMMYFUNCTION("""COMPUTED_VALUE"""),45622.64319444445)</f>
        <v>45622.64319</v>
      </c>
      <c r="V196" s="211" t="str">
        <f>IFERROR(__xludf.DUMMYFUNCTION("""COMPUTED_VALUE"""),"Krajan I, Wringinanom, Kec. Wringinanom, Kabupaten Gresik, Jawa Timur 61176")</f>
        <v>Krajan I, Wringinanom, Kec. Wringinanom, Kabupaten Gresik, Jawa Timur 61176</v>
      </c>
      <c r="W196" s="211" t="str">
        <f>IFERROR(__xludf.DUMMYFUNCTION("""COMPUTED_VALUE"""),"OUT")</f>
        <v>OUT</v>
      </c>
      <c r="X196" s="211"/>
      <c r="Z196" s="211" t="str">
        <f>IFERROR(__xludf.DUMMYFUNCTION("""COMPUTED_VALUE"""),"0226772651")</f>
        <v>0226772651</v>
      </c>
      <c r="AC196" s="211"/>
      <c r="AD196" s="211"/>
      <c r="AE196" s="211"/>
      <c r="AF196" s="211"/>
      <c r="AG196" s="211"/>
      <c r="AH196" s="211"/>
      <c r="AI196" s="211"/>
      <c r="AJ196" s="211"/>
      <c r="AL196" s="211" t="str">
        <f>IFERROR(__xludf.DUMMYFUNCTION("""COMPUTED_VALUE"""),"2250108")</f>
        <v>2250108</v>
      </c>
      <c r="AM196" s="211" t="str">
        <f>IFERROR(__xludf.DUMMYFUNCTION("""COMPUTED_VALUE"""),"112511649")</f>
        <v>112511649</v>
      </c>
      <c r="AN196" s="211" t="str">
        <f>IFERROR(__xludf.DUMMYFUNCTION("""COMPUTED_VALUE"""),"9e66ced9")</f>
        <v>9e66ced9</v>
      </c>
      <c r="AO196" s="211" t="str">
        <f>IFERROR(__xludf.DUMMYFUNCTION("""COMPUTED_VALUE"""),"Bapak Angga")</f>
        <v>Bapak Angga</v>
      </c>
      <c r="AP196" s="215">
        <f>IFERROR(__xludf.DUMMYFUNCTION("""COMPUTED_VALUE"""),45981.35371527778)</f>
        <v>45981.35372</v>
      </c>
      <c r="AQ196" s="218">
        <f>IFERROR(__xludf.DUMMYFUNCTION("""COMPUTED_VALUE"""),45968.0)</f>
        <v>45968</v>
      </c>
      <c r="AR196" s="211"/>
      <c r="AS196" s="211"/>
      <c r="AT196" s="211"/>
      <c r="AU196" s="211"/>
      <c r="AV196" s="211"/>
      <c r="AW196" s="211"/>
      <c r="AX196" s="211"/>
      <c r="AY196" s="211"/>
      <c r="AZ196" s="211"/>
      <c r="BB196" s="211"/>
      <c r="BC196" s="211"/>
      <c r="BD196" s="211"/>
      <c r="BE196" s="211"/>
      <c r="BF196" s="211"/>
      <c r="BG196" s="211"/>
      <c r="BH196" s="211"/>
      <c r="BI196" s="211"/>
    </row>
    <row r="197">
      <c r="A197" s="210" t="str">
        <f>IFERROR(__xludf.DUMMYFUNCTION("""COMPUTED_VALUE"""),"11240092")</f>
        <v>11240092</v>
      </c>
      <c r="B197" s="210" t="str">
        <f>IFERROR(__xludf.DUMMYFUNCTION("""COMPUTED_VALUE"""),"11240092")</f>
        <v>11240092</v>
      </c>
      <c r="C197" s="213">
        <f>IFERROR(__xludf.DUMMYFUNCTION("""COMPUTED_VALUE"""),45607.63636574074)</f>
        <v>45607.63637</v>
      </c>
      <c r="D197" s="211" t="str">
        <f>IFERROR(__xludf.DUMMYFUNCTION("""COMPUTED_VALUE"""),"4a01ccb6")</f>
        <v>4a01ccb6</v>
      </c>
      <c r="E197" s="211" t="str">
        <f>IFERROR(__xludf.DUMMYFUNCTION("""COMPUTED_VALUE"""),"CV ANUGERAH PERSADA TEKNIK")</f>
        <v>CV ANUGERAH PERSADA TEKNIK</v>
      </c>
      <c r="F197" s="211" t="str">
        <f>IFERROR(__xludf.DUMMYFUNCTION("""COMPUTED_VALUE"""),"66af7c72")</f>
        <v>66af7c72</v>
      </c>
      <c r="G197" s="211" t="str">
        <f>IFERROR(__xludf.DUMMYFUNCTION("""COMPUTED_VALUE"""),"Argon 6m3")</f>
        <v>Argon 6m3</v>
      </c>
      <c r="H197" s="214" t="str">
        <f>IFERROR(__xludf.DUMMYFUNCTION("""COMPUTED_VALUE"""),"OUT")</f>
        <v>OUT</v>
      </c>
      <c r="I197" s="214" t="str">
        <f>IFERROR(__xludf.DUMMYFUNCTION("""COMPUTED_VALUE"""),"NORMAL")</f>
        <v>NORMAL</v>
      </c>
      <c r="J197" s="211">
        <f>IFERROR(__xludf.DUMMYFUNCTION("""COMPUTED_VALUE"""),3.0)</f>
        <v>3</v>
      </c>
      <c r="K197" s="210" t="str">
        <f>IFERROR(__xludf.DUMMYFUNCTION("""COMPUTED_VALUE"""),"8056 8055 8069")</f>
        <v>8056 8055 8069</v>
      </c>
      <c r="L197" s="211">
        <f>IFERROR(__xludf.DUMMYFUNCTION("""COMPUTED_VALUE"""),190000.0)</f>
        <v>190000</v>
      </c>
      <c r="M197" s="211"/>
      <c r="N197" s="211"/>
      <c r="O197" s="211"/>
      <c r="Q197" s="210" t="str">
        <f>IFERROR(__xludf.DUMMYFUNCTION("""COMPUTED_VALUE"""),"411240004")</f>
        <v>411240004</v>
      </c>
      <c r="R197" s="210" t="str">
        <f>IFERROR(__xludf.DUMMYFUNCTION("""COMPUTED_VALUE"""),"411240004")</f>
        <v>411240004</v>
      </c>
      <c r="S197" s="211" t="str">
        <f>IFERROR(__xludf.DUMMYFUNCTION("""COMPUTED_VALUE"""),"785e0e07")</f>
        <v>785e0e07</v>
      </c>
      <c r="T197" s="211" t="str">
        <f>IFERROR(__xludf.DUMMYFUNCTION("""COMPUTED_VALUE"""),"Bpk. Sukirno (Bejo)")</f>
        <v>Bpk. Sukirno (Bejo)</v>
      </c>
      <c r="U197" s="215">
        <f>IFERROR(__xludf.DUMMYFUNCTION("""COMPUTED_VALUE"""),45622.64319444445)</f>
        <v>45622.64319</v>
      </c>
      <c r="V197" s="211" t="str">
        <f>IFERROR(__xludf.DUMMYFUNCTION("""COMPUTED_VALUE"""),"Krajan I, Wringinanom, Kec. Wringinanom, Kabupaten Gresik, Jawa Timur 61176")</f>
        <v>Krajan I, Wringinanom, Kec. Wringinanom, Kabupaten Gresik, Jawa Timur 61176</v>
      </c>
      <c r="W197" s="211" t="str">
        <f>IFERROR(__xludf.DUMMYFUNCTION("""COMPUTED_VALUE"""),"OTHER")</f>
        <v>OTHER</v>
      </c>
      <c r="X197" s="211"/>
      <c r="Z197" s="211" t="str">
        <f>IFERROR(__xludf.DUMMYFUNCTION("""COMPUTED_VALUE"""),"0226122646")</f>
        <v>0226122646</v>
      </c>
      <c r="AC197" s="211"/>
      <c r="AD197" s="211"/>
      <c r="AE197" s="211"/>
      <c r="AF197" s="211"/>
      <c r="AG197" s="211"/>
      <c r="AH197" s="211"/>
      <c r="AI197" s="211"/>
      <c r="AJ197" s="211"/>
      <c r="AL197" s="211" t="str">
        <f>IFERROR(__xludf.DUMMYFUNCTION("""COMPUTED_VALUE"""),"2250108")</f>
        <v>2250108</v>
      </c>
      <c r="AM197" s="211" t="str">
        <f>IFERROR(__xludf.DUMMYFUNCTION("""COMPUTED_VALUE"""),"112521696")</f>
        <v>112521696</v>
      </c>
      <c r="AN197" s="211" t="str">
        <f>IFERROR(__xludf.DUMMYFUNCTION("""COMPUTED_VALUE"""),"9e66ced9")</f>
        <v>9e66ced9</v>
      </c>
      <c r="AO197" s="211" t="str">
        <f>IFERROR(__xludf.DUMMYFUNCTION("""COMPUTED_VALUE"""),"Bapak Angga")</f>
        <v>Bapak Angga</v>
      </c>
      <c r="AP197" s="215">
        <f>IFERROR(__xludf.DUMMYFUNCTION("""COMPUTED_VALUE"""),45981.35371527778)</f>
        <v>45981.35372</v>
      </c>
      <c r="AQ197" s="218">
        <f>IFERROR(__xludf.DUMMYFUNCTION("""COMPUTED_VALUE"""),45974.0)</f>
        <v>45974</v>
      </c>
      <c r="AR197" s="211"/>
      <c r="AS197" s="211"/>
      <c r="AT197" s="211"/>
      <c r="AU197" s="211"/>
      <c r="AV197" s="211"/>
      <c r="AW197" s="211"/>
      <c r="AX197" s="211"/>
      <c r="AY197" s="211"/>
      <c r="AZ197" s="211"/>
      <c r="BB197" s="211"/>
      <c r="BC197" s="211"/>
      <c r="BD197" s="211"/>
      <c r="BE197" s="211"/>
      <c r="BF197" s="211"/>
      <c r="BG197" s="211"/>
      <c r="BH197" s="211"/>
      <c r="BI197" s="211"/>
    </row>
    <row r="198">
      <c r="A198" s="210" t="str">
        <f>IFERROR(__xludf.DUMMYFUNCTION("""COMPUTED_VALUE"""),"11240094")</f>
        <v>11240094</v>
      </c>
      <c r="B198" s="210" t="str">
        <f>IFERROR(__xludf.DUMMYFUNCTION("""COMPUTED_VALUE"""),"11240094")</f>
        <v>11240094</v>
      </c>
      <c r="C198" s="213">
        <f>IFERROR(__xludf.DUMMYFUNCTION("""COMPUTED_VALUE"""),45607.63998842592)</f>
        <v>45607.63999</v>
      </c>
      <c r="D198" s="211" t="str">
        <f>IFERROR(__xludf.DUMMYFUNCTION("""COMPUTED_VALUE"""),"2d88931c")</f>
        <v>2d88931c</v>
      </c>
      <c r="E198" s="211" t="str">
        <f>IFERROR(__xludf.DUMMYFUNCTION("""COMPUTED_VALUE"""),"PT Dunia Berkat Marga Mulya")</f>
        <v>PT Dunia Berkat Marga Mulya</v>
      </c>
      <c r="F198" s="211" t="str">
        <f>IFERROR(__xludf.DUMMYFUNCTION("""COMPUTED_VALUE"""),"8bdbe149")</f>
        <v>8bdbe149</v>
      </c>
      <c r="G198" s="211" t="str">
        <f>IFERROR(__xludf.DUMMYFUNCTION("""COMPUTED_VALUE"""),"Oksigen 6m3")</f>
        <v>Oksigen 6m3</v>
      </c>
      <c r="H198" s="214" t="str">
        <f>IFERROR(__xludf.DUMMYFUNCTION("""COMPUTED_VALUE"""),"OUT")</f>
        <v>OUT</v>
      </c>
      <c r="I198" s="214" t="str">
        <f>IFERROR(__xludf.DUMMYFUNCTION("""COMPUTED_VALUE"""),"NORMAL")</f>
        <v>NORMAL</v>
      </c>
      <c r="J198" s="211">
        <f>IFERROR(__xludf.DUMMYFUNCTION("""COMPUTED_VALUE"""),2.0)</f>
        <v>2</v>
      </c>
      <c r="K198" s="210" t="str">
        <f>IFERROR(__xludf.DUMMYFUNCTION("""COMPUTED_VALUE"""),"1175 1121")</f>
        <v>1175 1121</v>
      </c>
      <c r="L198" s="211">
        <f>IFERROR(__xludf.DUMMYFUNCTION("""COMPUTED_VALUE"""),60000.0)</f>
        <v>60000</v>
      </c>
      <c r="M198" s="211"/>
      <c r="N198" s="211"/>
      <c r="O198" s="211"/>
      <c r="Q198" s="210" t="str">
        <f>IFERROR(__xludf.DUMMYFUNCTION("""COMPUTED_VALUE"""),"11240132")</f>
        <v>11240132</v>
      </c>
      <c r="R198" s="210" t="str">
        <f>IFERROR(__xludf.DUMMYFUNCTION("""COMPUTED_VALUE"""),"11240132")</f>
        <v>11240132</v>
      </c>
      <c r="S198" s="211" t="str">
        <f>IFERROR(__xludf.DUMMYFUNCTION("""COMPUTED_VALUE"""),"7b9d8eba")</f>
        <v>7b9d8eba</v>
      </c>
      <c r="T198" s="211" t="str">
        <f>IFERROR(__xludf.DUMMYFUNCTION("""COMPUTED_VALUE"""),"PT PELANGI INDOKARYA")</f>
        <v>PT PELANGI INDOKARYA</v>
      </c>
      <c r="U198" s="215">
        <f>IFERROR(__xludf.DUMMYFUNCTION("""COMPUTED_VALUE"""),45622.47986111111)</f>
        <v>45622.47986</v>
      </c>
      <c r="V19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98" s="211" t="str">
        <f>IFERROR(__xludf.DUMMYFUNCTION("""COMPUTED_VALUE"""),"OUT")</f>
        <v>OUT</v>
      </c>
      <c r="X198" s="211"/>
      <c r="Z198" s="211" t="str">
        <f>IFERROR(__xludf.DUMMYFUNCTION("""COMPUTED_VALUE"""),"022692645")</f>
        <v>022692645</v>
      </c>
      <c r="AC198" s="211"/>
      <c r="AD198" s="211"/>
      <c r="AE198" s="211"/>
      <c r="AF198" s="211"/>
      <c r="AG198" s="211"/>
      <c r="AH198" s="211"/>
      <c r="AI198" s="211"/>
      <c r="AJ198" s="211"/>
      <c r="AL198" s="211" t="str">
        <f>IFERROR(__xludf.DUMMYFUNCTION("""COMPUTED_VALUE"""),"2250108")</f>
        <v>2250108</v>
      </c>
      <c r="AM198" s="211" t="str">
        <f>IFERROR(__xludf.DUMMYFUNCTION("""COMPUTED_VALUE"""),"112531718")</f>
        <v>112531718</v>
      </c>
      <c r="AN198" s="211" t="str">
        <f>IFERROR(__xludf.DUMMYFUNCTION("""COMPUTED_VALUE"""),"9e66ced9")</f>
        <v>9e66ced9</v>
      </c>
      <c r="AO198" s="211" t="str">
        <f>IFERROR(__xludf.DUMMYFUNCTION("""COMPUTED_VALUE"""),"Bapak Angga")</f>
        <v>Bapak Angga</v>
      </c>
      <c r="AP198" s="215">
        <f>IFERROR(__xludf.DUMMYFUNCTION("""COMPUTED_VALUE"""),45981.35371527778)</f>
        <v>45981.35372</v>
      </c>
      <c r="AQ198" s="218">
        <f>IFERROR(__xludf.DUMMYFUNCTION("""COMPUTED_VALUE"""),45976.0)</f>
        <v>45976</v>
      </c>
      <c r="AR198" s="211"/>
      <c r="AS198" s="211"/>
      <c r="AT198" s="211"/>
      <c r="AU198" s="211"/>
      <c r="AV198" s="211"/>
      <c r="AW198" s="211"/>
      <c r="AX198" s="211"/>
      <c r="AY198" s="211"/>
      <c r="AZ198" s="211"/>
      <c r="BB198" s="211"/>
      <c r="BC198" s="211"/>
      <c r="BD198" s="211"/>
      <c r="BE198" s="211"/>
      <c r="BF198" s="211"/>
      <c r="BG198" s="211"/>
      <c r="BH198" s="211"/>
      <c r="BI198" s="211"/>
    </row>
    <row r="199">
      <c r="A199" s="210" t="str">
        <f>IFERROR(__xludf.DUMMYFUNCTION("""COMPUTED_VALUE"""),"9e5d6636")</f>
        <v>9e5d6636</v>
      </c>
      <c r="B199" s="210" t="str">
        <f>IFERROR(__xludf.DUMMYFUNCTION("""COMPUTED_VALUE"""),"9e5d6636")</f>
        <v>9e5d6636</v>
      </c>
      <c r="C199" s="213">
        <f>IFERROR(__xludf.DUMMYFUNCTION("""COMPUTED_VALUE"""),45607.64891203704)</f>
        <v>45607.64891</v>
      </c>
      <c r="D199" s="211" t="str">
        <f>IFERROR(__xludf.DUMMYFUNCTION("""COMPUTED_VALUE"""),"2d88931c")</f>
        <v>2d88931c</v>
      </c>
      <c r="E199" s="211" t="str">
        <f>IFERROR(__xludf.DUMMYFUNCTION("""COMPUTED_VALUE"""),"PT Dunia Berkat Marga Mulya")</f>
        <v>PT Dunia Berkat Marga Mulya</v>
      </c>
      <c r="F199" s="211" t="str">
        <f>IFERROR(__xludf.DUMMYFUNCTION("""COMPUTED_VALUE"""),"8bdbe149")</f>
        <v>8bdbe149</v>
      </c>
      <c r="G199" s="211" t="str">
        <f>IFERROR(__xludf.DUMMYFUNCTION("""COMPUTED_VALUE"""),"Oksigen 6m3")</f>
        <v>Oksigen 6m3</v>
      </c>
      <c r="H199" s="214" t="str">
        <f>IFERROR(__xludf.DUMMYFUNCTION("""COMPUTED_VALUE"""),"IN")</f>
        <v>IN</v>
      </c>
      <c r="I199" s="214" t="str">
        <f>IFERROR(__xludf.DUMMYFUNCTION("""COMPUTED_VALUE"""),"EMPTY")</f>
        <v>EMPTY</v>
      </c>
      <c r="J199" s="211">
        <f>IFERROR(__xludf.DUMMYFUNCTION("""COMPUTED_VALUE"""),3.0)</f>
        <v>3</v>
      </c>
      <c r="K199" s="210" t="str">
        <f>IFERROR(__xludf.DUMMYFUNCTION("""COMPUTED_VALUE"""),"1163 1187 11124")</f>
        <v>1163 1187 11124</v>
      </c>
      <c r="L199" s="211">
        <f>IFERROR(__xludf.DUMMYFUNCTION("""COMPUTED_VALUE"""),0.0)</f>
        <v>0</v>
      </c>
      <c r="M199" s="211"/>
      <c r="N199" s="211"/>
      <c r="O199" s="211"/>
      <c r="Q199" s="210" t="str">
        <f>IFERROR(__xludf.DUMMYFUNCTION("""COMPUTED_VALUE"""),"1bc7d071")</f>
        <v>1bc7d071</v>
      </c>
      <c r="R199" s="210" t="str">
        <f>IFERROR(__xludf.DUMMYFUNCTION("""COMPUTED_VALUE"""),"1bc7d071")</f>
        <v>1bc7d071</v>
      </c>
      <c r="S199" s="211" t="str">
        <f>IFERROR(__xludf.DUMMYFUNCTION("""COMPUTED_VALUE"""),"785e0e07")</f>
        <v>785e0e07</v>
      </c>
      <c r="T199" s="211" t="str">
        <f>IFERROR(__xludf.DUMMYFUNCTION("""COMPUTED_VALUE"""),"Bpk. Sukirno (Bejo)")</f>
        <v>Bpk. Sukirno (Bejo)</v>
      </c>
      <c r="U199" s="215">
        <f>IFERROR(__xludf.DUMMYFUNCTION("""COMPUTED_VALUE"""),45622.61666666667)</f>
        <v>45622.61667</v>
      </c>
      <c r="V199" s="211" t="str">
        <f>IFERROR(__xludf.DUMMYFUNCTION("""COMPUTED_VALUE"""),"Krajan I, Wringinanom, Kec. Wringinanom, Kabupaten Gresik, Jawa Timur 61176")</f>
        <v>Krajan I, Wringinanom, Kec. Wringinanom, Kabupaten Gresik, Jawa Timur 61176</v>
      </c>
      <c r="W199" s="211" t="str">
        <f>IFERROR(__xludf.DUMMYFUNCTION("""COMPUTED_VALUE"""),"IN")</f>
        <v>IN</v>
      </c>
      <c r="X199" s="211"/>
      <c r="Z199" s="211" t="str">
        <f>IFERROR(__xludf.DUMMYFUNCTION("""COMPUTED_VALUE"""),"0226122642")</f>
        <v>0226122642</v>
      </c>
      <c r="AC199" s="211"/>
      <c r="AD199" s="211"/>
      <c r="AE199" s="211"/>
      <c r="AF199" s="211"/>
      <c r="AG199" s="211"/>
      <c r="AH199" s="211"/>
      <c r="AI199" s="211"/>
      <c r="AJ199" s="211"/>
      <c r="AL199" s="211" t="str">
        <f>IFERROR(__xludf.DUMMYFUNCTION("""COMPUTED_VALUE"""),"2250108")</f>
        <v>2250108</v>
      </c>
      <c r="AM199" s="211" t="str">
        <f>IFERROR(__xludf.DUMMYFUNCTION("""COMPUTED_VALUE"""),"112541745")</f>
        <v>112541745</v>
      </c>
      <c r="AN199" s="211" t="str">
        <f>IFERROR(__xludf.DUMMYFUNCTION("""COMPUTED_VALUE"""),"9e66ced9")</f>
        <v>9e66ced9</v>
      </c>
      <c r="AO199" s="211" t="str">
        <f>IFERROR(__xludf.DUMMYFUNCTION("""COMPUTED_VALUE"""),"Bapak Angga")</f>
        <v>Bapak Angga</v>
      </c>
      <c r="AP199" s="215">
        <f>IFERROR(__xludf.DUMMYFUNCTION("""COMPUTED_VALUE"""),45981.35371527778)</f>
        <v>45981.35372</v>
      </c>
      <c r="AQ199" s="218">
        <f>IFERROR(__xludf.DUMMYFUNCTION("""COMPUTED_VALUE"""),45979.0)</f>
        <v>45979</v>
      </c>
      <c r="AR199" s="211"/>
      <c r="AS199" s="211"/>
      <c r="AT199" s="211"/>
      <c r="AU199" s="211"/>
      <c r="AV199" s="211"/>
      <c r="AW199" s="211"/>
      <c r="AX199" s="211"/>
      <c r="AY199" s="211"/>
      <c r="AZ199" s="211"/>
      <c r="BB199" s="211"/>
      <c r="BC199" s="211"/>
      <c r="BD199" s="211"/>
      <c r="BE199" s="211"/>
      <c r="BF199" s="211"/>
      <c r="BG199" s="211"/>
      <c r="BH199" s="211"/>
      <c r="BI199" s="211"/>
    </row>
    <row r="200">
      <c r="A200" s="210" t="str">
        <f>IFERROR(__xludf.DUMMYFUNCTION("""COMPUTED_VALUE"""),"93d1698e")</f>
        <v>93d1698e</v>
      </c>
      <c r="B200" s="210" t="str">
        <f>IFERROR(__xludf.DUMMYFUNCTION("""COMPUTED_VALUE"""),"93d1698e")</f>
        <v>93d1698e</v>
      </c>
      <c r="C200" s="213">
        <f>IFERROR(__xludf.DUMMYFUNCTION("""COMPUTED_VALUE"""),45607.649305555555)</f>
        <v>45607.64931</v>
      </c>
      <c r="D200" s="211" t="str">
        <f>IFERROR(__xludf.DUMMYFUNCTION("""COMPUTED_VALUE"""),"72d9a70c")</f>
        <v>72d9a70c</v>
      </c>
      <c r="E200" s="211" t="str">
        <f>IFERROR(__xludf.DUMMYFUNCTION("""COMPUTED_VALUE"""),"PT Beton Prima Indonesia")</f>
        <v>PT Beton Prima Indonesia</v>
      </c>
      <c r="F200" s="211" t="str">
        <f>IFERROR(__xludf.DUMMYFUNCTION("""COMPUTED_VALUE"""),"8bdbe149")</f>
        <v>8bdbe149</v>
      </c>
      <c r="G200" s="211" t="str">
        <f>IFERROR(__xludf.DUMMYFUNCTION("""COMPUTED_VALUE"""),"Oksigen 6m3")</f>
        <v>Oksigen 6m3</v>
      </c>
      <c r="H200" s="214" t="str">
        <f>IFERROR(__xludf.DUMMYFUNCTION("""COMPUTED_VALUE"""),"IN")</f>
        <v>IN</v>
      </c>
      <c r="I200" s="214" t="str">
        <f>IFERROR(__xludf.DUMMYFUNCTION("""COMPUTED_VALUE"""),"EMPTY")</f>
        <v>EMPTY</v>
      </c>
      <c r="J200" s="211">
        <f>IFERROR(__xludf.DUMMYFUNCTION("""COMPUTED_VALUE"""),8.0)</f>
        <v>8</v>
      </c>
      <c r="K200" s="210" t="str">
        <f>IFERROR(__xludf.DUMMYFUNCTION("""COMPUTED_VALUE"""),"1130 1189 1149 1558 1628 5006 1121 1141")</f>
        <v>1130 1189 1149 1558 1628 5006 1121 1141</v>
      </c>
      <c r="L200" s="211"/>
      <c r="M200" s="211"/>
      <c r="N200" s="211"/>
      <c r="O200" s="211"/>
      <c r="Q200" s="210" t="str">
        <f>IFERROR(__xludf.DUMMYFUNCTION("""COMPUTED_VALUE"""),"7a0ab12f")</f>
        <v>7a0ab12f</v>
      </c>
      <c r="R200" s="210" t="str">
        <f>IFERROR(__xludf.DUMMYFUNCTION("""COMPUTED_VALUE"""),"7a0ab12f")</f>
        <v>7a0ab12f</v>
      </c>
      <c r="S200" s="211" t="str">
        <f>IFERROR(__xludf.DUMMYFUNCTION("""COMPUTED_VALUE"""),"37175874")</f>
        <v>37175874</v>
      </c>
      <c r="T200" s="211" t="str">
        <f>IFERROR(__xludf.DUMMYFUNCTION("""COMPUTED_VALUE"""),"PT TERAPAN NILAIOSILASI INDONESIA (TENO)")</f>
        <v>PT TERAPAN NILAIOSILASI INDONESIA (TENO)</v>
      </c>
      <c r="U200" s="215">
        <f>IFERROR(__xludf.DUMMYFUNCTION("""COMPUTED_VALUE"""),45622.618055555555)</f>
        <v>45622.61806</v>
      </c>
      <c r="V200" s="211" t="str">
        <f>IFERROR(__xludf.DUMMYFUNCTION("""COMPUTED_VALUE"""),"JL Raya Kertajaya Indah 153 / P116, Gebang Putih, Sukokilo, Kota Surabaya, Jawa Timur")</f>
        <v>JL Raya Kertajaya Indah 153 / P116, Gebang Putih, Sukokilo, Kota Surabaya, Jawa Timur</v>
      </c>
      <c r="W200" s="211" t="str">
        <f>IFERROR(__xludf.DUMMYFUNCTION("""COMPUTED_VALUE"""),"IN")</f>
        <v>IN</v>
      </c>
      <c r="X200" s="211"/>
      <c r="Z200" s="211" t="str">
        <f>IFERROR(__xludf.DUMMYFUNCTION("""COMPUTED_VALUE"""),"0226122641")</f>
        <v>0226122641</v>
      </c>
      <c r="AC200" s="211"/>
      <c r="AD200" s="211"/>
      <c r="AE200" s="211"/>
      <c r="AF200" s="211"/>
      <c r="AG200" s="211"/>
      <c r="AH200" s="211"/>
      <c r="AI200" s="211"/>
      <c r="AJ200" s="211"/>
      <c r="AL200" s="211" t="str">
        <f>IFERROR(__xludf.DUMMYFUNCTION("""COMPUTED_VALUE"""),"2250108")</f>
        <v>2250108</v>
      </c>
      <c r="AM200" s="211" t="str">
        <f>IFERROR(__xludf.DUMMYFUNCTION("""COMPUTED_VALUE"""),"112551759")</f>
        <v>112551759</v>
      </c>
      <c r="AN200" s="211" t="str">
        <f>IFERROR(__xludf.DUMMYFUNCTION("""COMPUTED_VALUE"""),"9e66ced9")</f>
        <v>9e66ced9</v>
      </c>
      <c r="AO200" s="211" t="str">
        <f>IFERROR(__xludf.DUMMYFUNCTION("""COMPUTED_VALUE"""),"Bapak Angga")</f>
        <v>Bapak Angga</v>
      </c>
      <c r="AP200" s="215">
        <f>IFERROR(__xludf.DUMMYFUNCTION("""COMPUTED_VALUE"""),45981.35371527778)</f>
        <v>45981.35372</v>
      </c>
      <c r="AQ200" s="218">
        <f>IFERROR(__xludf.DUMMYFUNCTION("""COMPUTED_VALUE"""),45980.0)</f>
        <v>45980</v>
      </c>
      <c r="AR200" s="211"/>
      <c r="AS200" s="211"/>
      <c r="AT200" s="211"/>
      <c r="AU200" s="211"/>
      <c r="AV200" s="211"/>
      <c r="AW200" s="211"/>
      <c r="AX200" s="211"/>
      <c r="AY200" s="211"/>
      <c r="AZ200" s="211"/>
      <c r="BB200" s="211"/>
      <c r="BC200" s="211"/>
      <c r="BD200" s="211"/>
      <c r="BE200" s="211"/>
      <c r="BF200" s="211"/>
      <c r="BG200" s="211"/>
      <c r="BH200" s="211"/>
      <c r="BI200" s="211"/>
    </row>
    <row r="201">
      <c r="A201" s="210" t="str">
        <f>IFERROR(__xludf.DUMMYFUNCTION("""COMPUTED_VALUE"""),"93d1698e")</f>
        <v>93d1698e</v>
      </c>
      <c r="B201" s="210" t="str">
        <f>IFERROR(__xludf.DUMMYFUNCTION("""COMPUTED_VALUE"""),"93d1698e")</f>
        <v>93d1698e</v>
      </c>
      <c r="C201" s="213">
        <f>IFERROR(__xludf.DUMMYFUNCTION("""COMPUTED_VALUE"""),45607.65027777778)</f>
        <v>45607.65028</v>
      </c>
      <c r="D201" s="211" t="str">
        <f>IFERROR(__xludf.DUMMYFUNCTION("""COMPUTED_VALUE"""),"72d9a70c")</f>
        <v>72d9a70c</v>
      </c>
      <c r="E201" s="211" t="str">
        <f>IFERROR(__xludf.DUMMYFUNCTION("""COMPUTED_VALUE"""),"PT Beton Prima Indonesia")</f>
        <v>PT Beton Prima Indonesia</v>
      </c>
      <c r="F201" s="211" t="str">
        <f>IFERROR(__xludf.DUMMYFUNCTION("""COMPUTED_VALUE"""),"3b9d6a30")</f>
        <v>3b9d6a30</v>
      </c>
      <c r="G201" s="211" t="str">
        <f>IFERROR(__xludf.DUMMYFUNCTION("""COMPUTED_VALUE"""),"Acetyline")</f>
        <v>Acetyline</v>
      </c>
      <c r="H201" s="214" t="str">
        <f>IFERROR(__xludf.DUMMYFUNCTION("""COMPUTED_VALUE"""),"IN")</f>
        <v>IN</v>
      </c>
      <c r="I201" s="214" t="str">
        <f>IFERROR(__xludf.DUMMYFUNCTION("""COMPUTED_VALUE"""),"EMPTY")</f>
        <v>EMPTY</v>
      </c>
      <c r="J201" s="211">
        <f>IFERROR(__xludf.DUMMYFUNCTION("""COMPUTED_VALUE"""),2.0)</f>
        <v>2</v>
      </c>
      <c r="K201" s="210" t="str">
        <f>IFERROR(__xludf.DUMMYFUNCTION("""COMPUTED_VALUE"""),"7953 7983")</f>
        <v>7953 7983</v>
      </c>
      <c r="L201" s="211"/>
      <c r="M201" s="211"/>
      <c r="N201" s="211"/>
      <c r="O201" s="211"/>
      <c r="Q201" s="210" t="str">
        <f>IFERROR(__xludf.DUMMYFUNCTION("""COMPUTED_VALUE"""),"c2993fd8")</f>
        <v>c2993fd8</v>
      </c>
      <c r="R201" s="210" t="str">
        <f>IFERROR(__xludf.DUMMYFUNCTION("""COMPUTED_VALUE"""),"c2993fd8")</f>
        <v>c2993fd8</v>
      </c>
      <c r="S201" s="211" t="str">
        <f>IFERROR(__xludf.DUMMYFUNCTION("""COMPUTED_VALUE"""),"7b9d8eba")</f>
        <v>7b9d8eba</v>
      </c>
      <c r="T201" s="211" t="str">
        <f>IFERROR(__xludf.DUMMYFUNCTION("""COMPUTED_VALUE"""),"PT PELANGI INDOKARYA")</f>
        <v>PT PELANGI INDOKARYA</v>
      </c>
      <c r="U201" s="215">
        <f>IFERROR(__xludf.DUMMYFUNCTION("""COMPUTED_VALUE"""),45622.61875)</f>
        <v>45622.61875</v>
      </c>
      <c r="V20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01" s="211" t="str">
        <f>IFERROR(__xludf.DUMMYFUNCTION("""COMPUTED_VALUE"""),"IN")</f>
        <v>IN</v>
      </c>
      <c r="X201" s="211"/>
      <c r="Z201" s="211" t="str">
        <f>IFERROR(__xludf.DUMMYFUNCTION("""COMPUTED_VALUE"""),"0226872636")</f>
        <v>0226872636</v>
      </c>
      <c r="AC201" s="211"/>
      <c r="AD201" s="211"/>
      <c r="AE201" s="211"/>
      <c r="AF201" s="211"/>
      <c r="AG201" s="211"/>
      <c r="AH201" s="211"/>
      <c r="AI201" s="211"/>
      <c r="AJ201" s="211"/>
      <c r="AL201" s="211" t="str">
        <f>IFERROR(__xludf.DUMMYFUNCTION("""COMPUTED_VALUE"""),"2250100")</f>
        <v>2250100</v>
      </c>
      <c r="AM201" s="211" t="str">
        <f>IFERROR(__xludf.DUMMYFUNCTION("""COMPUTED_VALUE"""),"112511584")</f>
        <v>112511584</v>
      </c>
      <c r="AN201" s="211" t="str">
        <f>IFERROR(__xludf.DUMMYFUNCTION("""COMPUTED_VALUE"""),"faf71ae5")</f>
        <v>faf71ae5</v>
      </c>
      <c r="AO201" s="211" t="str">
        <f>IFERROR(__xludf.DUMMYFUNCTION("""COMPUTED_VALUE"""),"Bpk. Sampurna")</f>
        <v>Bpk. Sampurna</v>
      </c>
      <c r="AP201" s="215">
        <f>IFERROR(__xludf.DUMMYFUNCTION("""COMPUTED_VALUE"""),45978.36976851852)</f>
        <v>45978.36977</v>
      </c>
      <c r="AQ201" s="218">
        <f>IFERROR(__xludf.DUMMYFUNCTION("""COMPUTED_VALUE"""),45962.0)</f>
        <v>45962</v>
      </c>
      <c r="AR201" s="211"/>
      <c r="AS201" s="211"/>
      <c r="AT201" s="211"/>
      <c r="AU201" s="211"/>
      <c r="AV201" s="211"/>
      <c r="AW201" s="211"/>
      <c r="AX201" s="211"/>
      <c r="AY201" s="211"/>
      <c r="AZ201" s="211"/>
      <c r="BB201" s="211"/>
      <c r="BC201" s="211"/>
      <c r="BD201" s="211"/>
      <c r="BE201" s="211"/>
      <c r="BF201" s="211"/>
      <c r="BG201" s="211"/>
      <c r="BH201" s="211"/>
      <c r="BI201" s="211"/>
    </row>
    <row r="202">
      <c r="A202" s="210" t="str">
        <f>IFERROR(__xludf.DUMMYFUNCTION("""COMPUTED_VALUE"""),"11240095")</f>
        <v>11240095</v>
      </c>
      <c r="B202" s="210" t="str">
        <f>IFERROR(__xludf.DUMMYFUNCTION("""COMPUTED_VALUE"""),"11240095")</f>
        <v>11240095</v>
      </c>
      <c r="C202" s="213">
        <f>IFERROR(__xludf.DUMMYFUNCTION("""COMPUTED_VALUE"""),45608.3875)</f>
        <v>45608.3875</v>
      </c>
      <c r="D202" s="211" t="str">
        <f>IFERROR(__xludf.DUMMYFUNCTION("""COMPUTED_VALUE"""),"37175874")</f>
        <v>37175874</v>
      </c>
      <c r="E202" s="211" t="str">
        <f>IFERROR(__xludf.DUMMYFUNCTION("""COMPUTED_VALUE"""),"PT TERAPAN NILAIOSILASI INDONESIA (TENO)")</f>
        <v>PT TERAPAN NILAIOSILASI INDONESIA (TENO)</v>
      </c>
      <c r="F202" s="211" t="str">
        <f>IFERROR(__xludf.DUMMYFUNCTION("""COMPUTED_VALUE"""),"8bdbe149")</f>
        <v>8bdbe149</v>
      </c>
      <c r="G202" s="211" t="str">
        <f>IFERROR(__xludf.DUMMYFUNCTION("""COMPUTED_VALUE"""),"Oksigen 6m3")</f>
        <v>Oksigen 6m3</v>
      </c>
      <c r="H202" s="214" t="str">
        <f>IFERROR(__xludf.DUMMYFUNCTION("""COMPUTED_VALUE"""),"OUT")</f>
        <v>OUT</v>
      </c>
      <c r="I202" s="214" t="str">
        <f>IFERROR(__xludf.DUMMYFUNCTION("""COMPUTED_VALUE"""),"NORMAL")</f>
        <v>NORMAL</v>
      </c>
      <c r="J202" s="211">
        <f>IFERROR(__xludf.DUMMYFUNCTION("""COMPUTED_VALUE"""),10.0)</f>
        <v>10</v>
      </c>
      <c r="K202" s="210" t="str">
        <f>IFERROR(__xludf.DUMMYFUNCTION("""COMPUTED_VALUE"""),"1340 1707 5782 5258 1365 5211 1675 1368 1657 1021")</f>
        <v>1340 1707 5782 5258 1365 5211 1675 1368 1657 1021</v>
      </c>
      <c r="L202" s="211">
        <f>IFERROR(__xludf.DUMMYFUNCTION("""COMPUTED_VALUE"""),45045.04505)</f>
        <v>45045.04505</v>
      </c>
      <c r="M202" s="211"/>
      <c r="N202" s="211"/>
      <c r="O202" s="211"/>
      <c r="Q202" s="211"/>
      <c r="R202" s="211"/>
      <c r="S202" s="211"/>
      <c r="T202" s="211"/>
      <c r="U202" s="211"/>
      <c r="V202" s="211"/>
      <c r="W202" s="211"/>
      <c r="X202" s="211"/>
      <c r="Z202" s="211" t="str">
        <f>IFERROR(__xludf.DUMMYFUNCTION("""COMPUTED_VALUE"""),"0226122635")</f>
        <v>0226122635</v>
      </c>
      <c r="AC202" s="211"/>
      <c r="AD202" s="211"/>
      <c r="AE202" s="211"/>
      <c r="AF202" s="211"/>
      <c r="AG202" s="211"/>
      <c r="AH202" s="211"/>
      <c r="AI202" s="211"/>
      <c r="AJ202" s="211"/>
      <c r="AL202" s="211" t="str">
        <f>IFERROR(__xludf.DUMMYFUNCTION("""COMPUTED_VALUE"""),"2250100")</f>
        <v>2250100</v>
      </c>
      <c r="AM202" s="211" t="str">
        <f>IFERROR(__xludf.DUMMYFUNCTION("""COMPUTED_VALUE"""),"112521604")</f>
        <v>112521604</v>
      </c>
      <c r="AN202" s="211" t="str">
        <f>IFERROR(__xludf.DUMMYFUNCTION("""COMPUTED_VALUE"""),"faf71ae5")</f>
        <v>faf71ae5</v>
      </c>
      <c r="AO202" s="211" t="str">
        <f>IFERROR(__xludf.DUMMYFUNCTION("""COMPUTED_VALUE"""),"Bpk. Sampurna")</f>
        <v>Bpk. Sampurna</v>
      </c>
      <c r="AP202" s="215">
        <f>IFERROR(__xludf.DUMMYFUNCTION("""COMPUTED_VALUE"""),45978.36976851852)</f>
        <v>45978.36977</v>
      </c>
      <c r="AQ202" s="218">
        <f>IFERROR(__xludf.DUMMYFUNCTION("""COMPUTED_VALUE"""),45965.0)</f>
        <v>45965</v>
      </c>
      <c r="AR202" s="211"/>
      <c r="AS202" s="211"/>
      <c r="AT202" s="211"/>
      <c r="AU202" s="211"/>
      <c r="AV202" s="211"/>
      <c r="AW202" s="211"/>
      <c r="AX202" s="211"/>
      <c r="AY202" s="211"/>
      <c r="AZ202" s="211"/>
      <c r="BB202" s="211"/>
      <c r="BC202" s="211"/>
      <c r="BD202" s="211"/>
      <c r="BE202" s="211"/>
      <c r="BF202" s="211"/>
      <c r="BG202" s="211"/>
      <c r="BH202" s="211"/>
      <c r="BI202" s="211"/>
    </row>
    <row r="203">
      <c r="A203" s="210" t="str">
        <f>IFERROR(__xludf.DUMMYFUNCTION("""COMPUTED_VALUE"""),"cfecd342")</f>
        <v>cfecd342</v>
      </c>
      <c r="B203" s="210" t="str">
        <f>IFERROR(__xludf.DUMMYFUNCTION("""COMPUTED_VALUE"""),"cfecd342")</f>
        <v>cfecd342</v>
      </c>
      <c r="C203" s="213">
        <f>IFERROR(__xludf.DUMMYFUNCTION("""COMPUTED_VALUE"""),45608.424942129626)</f>
        <v>45608.42494</v>
      </c>
      <c r="D203" s="211" t="str">
        <f>IFERROR(__xludf.DUMMYFUNCTION("""COMPUTED_VALUE"""),"37175874")</f>
        <v>37175874</v>
      </c>
      <c r="E203" s="211" t="str">
        <f>IFERROR(__xludf.DUMMYFUNCTION("""COMPUTED_VALUE"""),"PT TERAPAN NILAIOSILASI INDONESIA (TENO)")</f>
        <v>PT TERAPAN NILAIOSILASI INDONESIA (TENO)</v>
      </c>
      <c r="F203" s="211" t="str">
        <f>IFERROR(__xludf.DUMMYFUNCTION("""COMPUTED_VALUE"""),"8bdbe149")</f>
        <v>8bdbe149</v>
      </c>
      <c r="G203" s="211" t="str">
        <f>IFERROR(__xludf.DUMMYFUNCTION("""COMPUTED_VALUE"""),"Oksigen 6m3")</f>
        <v>Oksigen 6m3</v>
      </c>
      <c r="H203" s="214" t="str">
        <f>IFERROR(__xludf.DUMMYFUNCTION("""COMPUTED_VALUE"""),"IN")</f>
        <v>IN</v>
      </c>
      <c r="I203" s="214" t="str">
        <f>IFERROR(__xludf.DUMMYFUNCTION("""COMPUTED_VALUE"""),"EMPTY")</f>
        <v>EMPTY</v>
      </c>
      <c r="J203" s="211">
        <f>IFERROR(__xludf.DUMMYFUNCTION("""COMPUTED_VALUE"""),3.0)</f>
        <v>3</v>
      </c>
      <c r="K203" s="210" t="str">
        <f>IFERROR(__xludf.DUMMYFUNCTION("""COMPUTED_VALUE"""),"1190 1156 1161")</f>
        <v>1190 1156 1161</v>
      </c>
      <c r="L203" s="211"/>
      <c r="M203" s="211"/>
      <c r="N203" s="211"/>
      <c r="O203" s="211"/>
      <c r="Q203" s="210" t="str">
        <f>IFERROR(__xludf.DUMMYFUNCTION("""COMPUTED_VALUE"""),"11240133")</f>
        <v>11240133</v>
      </c>
      <c r="R203" s="210" t="str">
        <f>IFERROR(__xludf.DUMMYFUNCTION("""COMPUTED_VALUE"""),"11240133")</f>
        <v>11240133</v>
      </c>
      <c r="S203" s="211" t="str">
        <f>IFERROR(__xludf.DUMMYFUNCTION("""COMPUTED_VALUE"""),"2d88931c")</f>
        <v>2d88931c</v>
      </c>
      <c r="T203" s="211" t="str">
        <f>IFERROR(__xludf.DUMMYFUNCTION("""COMPUTED_VALUE"""),"PT Dunia Berkat Marga Mulya")</f>
        <v>PT Dunia Berkat Marga Mulya</v>
      </c>
      <c r="U203" s="215">
        <f>IFERROR(__xludf.DUMMYFUNCTION("""COMPUTED_VALUE"""),45624.478472222225)</f>
        <v>45624.47847</v>
      </c>
      <c r="V203" s="211" t="str">
        <f>IFERROR(__xludf.DUMMYFUNCTION("""COMPUTED_VALUE"""),"JL JABARAN, WATESARI, BALONGBENDO, SIDOARJO, JAWA TIMUR")</f>
        <v>JL JABARAN, WATESARI, BALONGBENDO, SIDOARJO, JAWA TIMUR</v>
      </c>
      <c r="W203" s="211" t="str">
        <f>IFERROR(__xludf.DUMMYFUNCTION("""COMPUTED_VALUE"""),"OUT")</f>
        <v>OUT</v>
      </c>
      <c r="X203" s="211"/>
      <c r="Z203" s="211" t="str">
        <f>IFERROR(__xludf.DUMMYFUNCTION("""COMPUTED_VALUE"""),"0226252628")</f>
        <v>0226252628</v>
      </c>
      <c r="AC203" s="211"/>
      <c r="AD203" s="211"/>
      <c r="AE203" s="211"/>
      <c r="AF203" s="211"/>
      <c r="AG203" s="211"/>
      <c r="AH203" s="211"/>
      <c r="AI203" s="211"/>
      <c r="AJ203" s="211"/>
      <c r="AL203" s="211" t="str">
        <f>IFERROR(__xludf.DUMMYFUNCTION("""COMPUTED_VALUE"""),"2250100")</f>
        <v>2250100</v>
      </c>
      <c r="AM203" s="211" t="str">
        <f>IFERROR(__xludf.DUMMYFUNCTION("""COMPUTED_VALUE"""),"112531618")</f>
        <v>112531618</v>
      </c>
      <c r="AN203" s="211" t="str">
        <f>IFERROR(__xludf.DUMMYFUNCTION("""COMPUTED_VALUE"""),"faf71ae5")</f>
        <v>faf71ae5</v>
      </c>
      <c r="AO203" s="211" t="str">
        <f>IFERROR(__xludf.DUMMYFUNCTION("""COMPUTED_VALUE"""),"Bpk. Sampurna")</f>
        <v>Bpk. Sampurna</v>
      </c>
      <c r="AP203" s="215">
        <f>IFERROR(__xludf.DUMMYFUNCTION("""COMPUTED_VALUE"""),45978.36976851852)</f>
        <v>45978.36977</v>
      </c>
      <c r="AQ203" s="218">
        <f>IFERROR(__xludf.DUMMYFUNCTION("""COMPUTED_VALUE"""),45966.0)</f>
        <v>45966</v>
      </c>
      <c r="AR203" s="211"/>
      <c r="AS203" s="211"/>
      <c r="AT203" s="211"/>
      <c r="AU203" s="211"/>
      <c r="AV203" s="211"/>
      <c r="AW203" s="211"/>
      <c r="AX203" s="211"/>
      <c r="AY203" s="211"/>
      <c r="AZ203" s="211"/>
      <c r="BB203" s="211"/>
      <c r="BC203" s="211"/>
      <c r="BD203" s="211"/>
      <c r="BE203" s="211"/>
      <c r="BF203" s="211"/>
      <c r="BG203" s="211"/>
      <c r="BH203" s="211"/>
      <c r="BI203" s="211"/>
    </row>
    <row r="204">
      <c r="A204" s="210" t="str">
        <f>IFERROR(__xludf.DUMMYFUNCTION("""COMPUTED_VALUE"""),"cfecd342")</f>
        <v>cfecd342</v>
      </c>
      <c r="B204" s="210" t="str">
        <f>IFERROR(__xludf.DUMMYFUNCTION("""COMPUTED_VALUE"""),"cfecd342")</f>
        <v>cfecd342</v>
      </c>
      <c r="C204" s="213">
        <f>IFERROR(__xludf.DUMMYFUNCTION("""COMPUTED_VALUE"""),45608.42560185185)</f>
        <v>45608.4256</v>
      </c>
      <c r="D204" s="211" t="str">
        <f>IFERROR(__xludf.DUMMYFUNCTION("""COMPUTED_VALUE"""),"37175874")</f>
        <v>37175874</v>
      </c>
      <c r="E204" s="211" t="str">
        <f>IFERROR(__xludf.DUMMYFUNCTION("""COMPUTED_VALUE"""),"PT TERAPAN NILAIOSILASI INDONESIA (TENO)")</f>
        <v>PT TERAPAN NILAIOSILASI INDONESIA (TENO)</v>
      </c>
      <c r="F204" s="211" t="str">
        <f>IFERROR(__xludf.DUMMYFUNCTION("""COMPUTED_VALUE"""),"ef306e54")</f>
        <v>ef306e54</v>
      </c>
      <c r="G204" s="211" t="str">
        <f>IFERROR(__xludf.DUMMYFUNCTION("""COMPUTED_VALUE"""),"Karbondioksida")</f>
        <v>Karbondioksida</v>
      </c>
      <c r="H204" s="214" t="str">
        <f>IFERROR(__xludf.DUMMYFUNCTION("""COMPUTED_VALUE"""),"IN")</f>
        <v>IN</v>
      </c>
      <c r="I204" s="214" t="str">
        <f>IFERROR(__xludf.DUMMYFUNCTION("""COMPUTED_VALUE"""),"EMPTY")</f>
        <v>EMPTY</v>
      </c>
      <c r="J204" s="211">
        <f>IFERROR(__xludf.DUMMYFUNCTION("""COMPUTED_VALUE"""),2.0)</f>
        <v>2</v>
      </c>
      <c r="K204" s="210" t="str">
        <f>IFERROR(__xludf.DUMMYFUNCTION("""COMPUTED_VALUE"""),"6728 6911")</f>
        <v>6728 6911</v>
      </c>
      <c r="L204" s="211"/>
      <c r="M204" s="211"/>
      <c r="N204" s="211"/>
      <c r="O204" s="211"/>
      <c r="Q204" s="210" t="str">
        <f>IFERROR(__xludf.DUMMYFUNCTION("""COMPUTED_VALUE"""),"a777edb8")</f>
        <v>a777edb8</v>
      </c>
      <c r="R204" s="210" t="str">
        <f>IFERROR(__xludf.DUMMYFUNCTION("""COMPUTED_VALUE"""),"a777edb8")</f>
        <v>a777edb8</v>
      </c>
      <c r="S204" s="211" t="str">
        <f>IFERROR(__xludf.DUMMYFUNCTION("""COMPUTED_VALUE"""),"2d88931c")</f>
        <v>2d88931c</v>
      </c>
      <c r="T204" s="211" t="str">
        <f>IFERROR(__xludf.DUMMYFUNCTION("""COMPUTED_VALUE"""),"PT Dunia Berkat Marga Mulya")</f>
        <v>PT Dunia Berkat Marga Mulya</v>
      </c>
      <c r="U204" s="215">
        <f>IFERROR(__xludf.DUMMYFUNCTION("""COMPUTED_VALUE"""),45624.58472222222)</f>
        <v>45624.58472</v>
      </c>
      <c r="V204" s="211" t="str">
        <f>IFERROR(__xludf.DUMMYFUNCTION("""COMPUTED_VALUE"""),"JL JABARAN, WATESARI, BALONGBENDO, SIDOARJO, JAWA TIMUR")</f>
        <v>JL JABARAN, WATESARI, BALONGBENDO, SIDOARJO, JAWA TIMUR</v>
      </c>
      <c r="W204" s="211" t="str">
        <f>IFERROR(__xludf.DUMMYFUNCTION("""COMPUTED_VALUE"""),"IN")</f>
        <v>IN</v>
      </c>
      <c r="X204" s="211"/>
      <c r="Z204" s="211" t="str">
        <f>IFERROR(__xludf.DUMMYFUNCTION("""COMPUTED_VALUE"""),"0226472627")</f>
        <v>0226472627</v>
      </c>
      <c r="AC204" s="211"/>
      <c r="AD204" s="211"/>
      <c r="AE204" s="211"/>
      <c r="AF204" s="211"/>
      <c r="AG204" s="211"/>
      <c r="AH204" s="211"/>
      <c r="AI204" s="211"/>
      <c r="AJ204" s="211"/>
      <c r="AL204" s="211" t="str">
        <f>IFERROR(__xludf.DUMMYFUNCTION("""COMPUTED_VALUE"""),"2250100")</f>
        <v>2250100</v>
      </c>
      <c r="AM204" s="211" t="str">
        <f>IFERROR(__xludf.DUMMYFUNCTION("""COMPUTED_VALUE"""),"112541641")</f>
        <v>112541641</v>
      </c>
      <c r="AN204" s="211" t="str">
        <f>IFERROR(__xludf.DUMMYFUNCTION("""COMPUTED_VALUE"""),"faf71ae5")</f>
        <v>faf71ae5</v>
      </c>
      <c r="AO204" s="211" t="str">
        <f>IFERROR(__xludf.DUMMYFUNCTION("""COMPUTED_VALUE"""),"Bpk. Sampurna")</f>
        <v>Bpk. Sampurna</v>
      </c>
      <c r="AP204" s="215">
        <f>IFERROR(__xludf.DUMMYFUNCTION("""COMPUTED_VALUE"""),45978.36976851852)</f>
        <v>45978.36977</v>
      </c>
      <c r="AQ204" s="218">
        <f>IFERROR(__xludf.DUMMYFUNCTION("""COMPUTED_VALUE"""),45967.0)</f>
        <v>45967</v>
      </c>
      <c r="AR204" s="211"/>
      <c r="AS204" s="211"/>
      <c r="AT204" s="211"/>
      <c r="AU204" s="211"/>
      <c r="AV204" s="211"/>
      <c r="AW204" s="211"/>
      <c r="AX204" s="211"/>
      <c r="AY204" s="211"/>
      <c r="AZ204" s="211"/>
      <c r="BB204" s="211"/>
      <c r="BC204" s="211"/>
      <c r="BD204" s="211"/>
      <c r="BE204" s="211"/>
      <c r="BF204" s="211"/>
      <c r="BG204" s="211"/>
      <c r="BH204" s="211"/>
      <c r="BI204" s="211"/>
    </row>
    <row r="205">
      <c r="A205" s="210" t="str">
        <f>IFERROR(__xludf.DUMMYFUNCTION("""COMPUTED_VALUE"""),"11240096")</f>
        <v>11240096</v>
      </c>
      <c r="B205" s="210" t="str">
        <f>IFERROR(__xludf.DUMMYFUNCTION("""COMPUTED_VALUE"""),"11240096")</f>
        <v>11240096</v>
      </c>
      <c r="C205" s="213">
        <f>IFERROR(__xludf.DUMMYFUNCTION("""COMPUTED_VALUE"""),45609.634722222225)</f>
        <v>45609.63472</v>
      </c>
      <c r="D205" s="211" t="str">
        <f>IFERROR(__xludf.DUMMYFUNCTION("""COMPUTED_VALUE"""),"72d9a70c")</f>
        <v>72d9a70c</v>
      </c>
      <c r="E205" s="211" t="str">
        <f>IFERROR(__xludf.DUMMYFUNCTION("""COMPUTED_VALUE"""),"PT Beton Prima Indonesia")</f>
        <v>PT Beton Prima Indonesia</v>
      </c>
      <c r="F205" s="211" t="str">
        <f>IFERROR(__xludf.DUMMYFUNCTION("""COMPUTED_VALUE"""),"3b9d6a30")</f>
        <v>3b9d6a30</v>
      </c>
      <c r="G205" s="211" t="str">
        <f>IFERROR(__xludf.DUMMYFUNCTION("""COMPUTED_VALUE"""),"Acetyline")</f>
        <v>Acetyline</v>
      </c>
      <c r="H205" s="214" t="str">
        <f>IFERROR(__xludf.DUMMYFUNCTION("""COMPUTED_VALUE"""),"OUT")</f>
        <v>OUT</v>
      </c>
      <c r="I205" s="214" t="str">
        <f>IFERROR(__xludf.DUMMYFUNCTION("""COMPUTED_VALUE"""),"NORMAL")</f>
        <v>NORMAL</v>
      </c>
      <c r="J205" s="211">
        <f>IFERROR(__xludf.DUMMYFUNCTION("""COMPUTED_VALUE"""),5.0)</f>
        <v>5</v>
      </c>
      <c r="K205" s="210" t="str">
        <f>IFERROR(__xludf.DUMMYFUNCTION("""COMPUTED_VALUE"""),"7937 7957 7822 7968 7975")</f>
        <v>7937 7957 7822 7968 7975</v>
      </c>
      <c r="L205" s="211">
        <f>IFERROR(__xludf.DUMMYFUNCTION("""COMPUTED_VALUE"""),360360.3604)</f>
        <v>360360.3604</v>
      </c>
      <c r="M205" s="211"/>
      <c r="N205" s="211"/>
      <c r="O205" s="211"/>
      <c r="Q205" s="210" t="str">
        <f>IFERROR(__xludf.DUMMYFUNCTION("""COMPUTED_VALUE"""),"4b09798c")</f>
        <v>4b09798c</v>
      </c>
      <c r="R205" s="210" t="str">
        <f>IFERROR(__xludf.DUMMYFUNCTION("""COMPUTED_VALUE"""),"4b09798c")</f>
        <v>4b09798c</v>
      </c>
      <c r="S205" s="211" t="str">
        <f>IFERROR(__xludf.DUMMYFUNCTION("""COMPUTED_VALUE"""),"8f5ebaea")</f>
        <v>8f5ebaea</v>
      </c>
      <c r="T205" s="211" t="str">
        <f>IFERROR(__xludf.DUMMYFUNCTION("""COMPUTED_VALUE"""),"PT Hua Zong Mesindo")</f>
        <v>PT Hua Zong Mesindo</v>
      </c>
      <c r="U205" s="215">
        <f>IFERROR(__xludf.DUMMYFUNCTION("""COMPUTED_VALUE"""),45624.58472222222)</f>
        <v>45624.58472</v>
      </c>
      <c r="V205" s="211" t="str">
        <f>IFERROR(__xludf.DUMMYFUNCTION("""COMPUTED_VALUE"""),"Jl. Bypass Krian, Sidotemo, Sidomulyo, Kec. Krian, Kabupaten Sidoarjo, Jawa Timur 61262")</f>
        <v>Jl. Bypass Krian, Sidotemo, Sidomulyo, Kec. Krian, Kabupaten Sidoarjo, Jawa Timur 61262</v>
      </c>
      <c r="W205" s="211" t="str">
        <f>IFERROR(__xludf.DUMMYFUNCTION("""COMPUTED_VALUE"""),"IN")</f>
        <v>IN</v>
      </c>
      <c r="X205" s="211"/>
      <c r="Z205" s="211" t="str">
        <f>IFERROR(__xludf.DUMMYFUNCTION("""COMPUTED_VALUE"""),"0226762626")</f>
        <v>0226762626</v>
      </c>
      <c r="AC205" s="211"/>
      <c r="AD205" s="211"/>
      <c r="AE205" s="211"/>
      <c r="AF205" s="211"/>
      <c r="AG205" s="211"/>
      <c r="AH205" s="211"/>
      <c r="AI205" s="211"/>
      <c r="AJ205" s="211"/>
      <c r="AL205" s="211" t="str">
        <f>IFERROR(__xludf.DUMMYFUNCTION("""COMPUTED_VALUE"""),"2250100")</f>
        <v>2250100</v>
      </c>
      <c r="AM205" s="211" t="str">
        <f>IFERROR(__xludf.DUMMYFUNCTION("""COMPUTED_VALUE"""),"112551657")</f>
        <v>112551657</v>
      </c>
      <c r="AN205" s="211" t="str">
        <f>IFERROR(__xludf.DUMMYFUNCTION("""COMPUTED_VALUE"""),"faf71ae5")</f>
        <v>faf71ae5</v>
      </c>
      <c r="AO205" s="211" t="str">
        <f>IFERROR(__xludf.DUMMYFUNCTION("""COMPUTED_VALUE"""),"Bpk. Sampurna")</f>
        <v>Bpk. Sampurna</v>
      </c>
      <c r="AP205" s="215">
        <f>IFERROR(__xludf.DUMMYFUNCTION("""COMPUTED_VALUE"""),45978.36976851852)</f>
        <v>45978.36977</v>
      </c>
      <c r="AQ205" s="218">
        <f>IFERROR(__xludf.DUMMYFUNCTION("""COMPUTED_VALUE"""),45971.0)</f>
        <v>45971</v>
      </c>
      <c r="AR205" s="211"/>
      <c r="AS205" s="211"/>
      <c r="AT205" s="211"/>
      <c r="AU205" s="211"/>
      <c r="AV205" s="211"/>
      <c r="AW205" s="211"/>
      <c r="AX205" s="211"/>
      <c r="AY205" s="211"/>
      <c r="AZ205" s="211"/>
      <c r="BB205" s="211"/>
      <c r="BC205" s="211"/>
      <c r="BD205" s="211"/>
      <c r="BE205" s="211"/>
      <c r="BF205" s="211"/>
      <c r="BG205" s="211"/>
      <c r="BH205" s="211"/>
      <c r="BI205" s="211"/>
    </row>
    <row r="206">
      <c r="A206" s="210" t="str">
        <f>IFERROR(__xludf.DUMMYFUNCTION("""COMPUTED_VALUE"""),"6ef77537")</f>
        <v>6ef77537</v>
      </c>
      <c r="B206" s="210" t="str">
        <f>IFERROR(__xludf.DUMMYFUNCTION("""COMPUTED_VALUE"""),"6ef77537")</f>
        <v>6ef77537</v>
      </c>
      <c r="C206" s="213">
        <f>IFERROR(__xludf.DUMMYFUNCTION("""COMPUTED_VALUE"""),45609.44362268518)</f>
        <v>45609.44362</v>
      </c>
      <c r="D206" s="211" t="str">
        <f>IFERROR(__xludf.DUMMYFUNCTION("""COMPUTED_VALUE"""),"e86baf3b")</f>
        <v>e86baf3b</v>
      </c>
      <c r="E206" s="211" t="str">
        <f>IFERROR(__xludf.DUMMYFUNCTION("""COMPUTED_VALUE"""),"PT GEMILANG CIPTA WAWASAN")</f>
        <v>PT GEMILANG CIPTA WAWASAN</v>
      </c>
      <c r="F206" s="211" t="str">
        <f>IFERROR(__xludf.DUMMYFUNCTION("""COMPUTED_VALUE"""),"8bdbe149")</f>
        <v>8bdbe149</v>
      </c>
      <c r="G206" s="211" t="str">
        <f>IFERROR(__xludf.DUMMYFUNCTION("""COMPUTED_VALUE"""),"Oksigen 6m3")</f>
        <v>Oksigen 6m3</v>
      </c>
      <c r="H206" s="214" t="str">
        <f>IFERROR(__xludf.DUMMYFUNCTION("""COMPUTED_VALUE"""),"IN")</f>
        <v>IN</v>
      </c>
      <c r="I206" s="214" t="str">
        <f>IFERROR(__xludf.DUMMYFUNCTION("""COMPUTED_VALUE"""),"EMPTY")</f>
        <v>EMPTY</v>
      </c>
      <c r="J206" s="211">
        <f>IFERROR(__xludf.DUMMYFUNCTION("""COMPUTED_VALUE"""),8.0)</f>
        <v>8</v>
      </c>
      <c r="K206" s="210" t="str">
        <f>IFERROR(__xludf.DUMMYFUNCTION("""COMPUTED_VALUE"""),"1165 1170 1108 1104 1171 1198 11117 1167")</f>
        <v>1165 1170 1108 1104 1171 1198 11117 1167</v>
      </c>
      <c r="L206" s="211"/>
      <c r="M206" s="211"/>
      <c r="N206" s="211"/>
      <c r="O206" s="211"/>
      <c r="Q206" s="210" t="str">
        <f>IFERROR(__xludf.DUMMYFUNCTION("""COMPUTED_VALUE"""),"11240134")</f>
        <v>11240134</v>
      </c>
      <c r="R206" s="210" t="str">
        <f>IFERROR(__xludf.DUMMYFUNCTION("""COMPUTED_VALUE"""),"11240134")</f>
        <v>11240134</v>
      </c>
      <c r="S206" s="211" t="str">
        <f>IFERROR(__xludf.DUMMYFUNCTION("""COMPUTED_VALUE"""),"72d9a70c")</f>
        <v>72d9a70c</v>
      </c>
      <c r="T206" s="211" t="str">
        <f>IFERROR(__xludf.DUMMYFUNCTION("""COMPUTED_VALUE"""),"PT Beton Prima Indonesia")</f>
        <v>PT Beton Prima Indonesia</v>
      </c>
      <c r="U206" s="215">
        <f>IFERROR(__xludf.DUMMYFUNCTION("""COMPUTED_VALUE"""),45625.34513888889)</f>
        <v>45625.34514</v>
      </c>
      <c r="V206" s="211" t="str">
        <f>IFERROR(__xludf.DUMMYFUNCTION("""COMPUTED_VALUE"""),"KH. Ahmad Dahlan KM.2 Ds. Sumberwono, Kec. Bangsal, Kab. Mojokerto 61381")</f>
        <v>KH. Ahmad Dahlan KM.2 Ds. Sumberwono, Kec. Bangsal, Kab. Mojokerto 61381</v>
      </c>
      <c r="W206" s="211" t="str">
        <f>IFERROR(__xludf.DUMMYFUNCTION("""COMPUTED_VALUE"""),"OUT")</f>
        <v>OUT</v>
      </c>
      <c r="X206" s="211"/>
      <c r="Z206" s="211" t="str">
        <f>IFERROR(__xludf.DUMMYFUNCTION("""COMPUTED_VALUE"""),"0226242625")</f>
        <v>0226242625</v>
      </c>
      <c r="AC206" s="211"/>
      <c r="AD206" s="211"/>
      <c r="AE206" s="211"/>
      <c r="AF206" s="211"/>
      <c r="AG206" s="211"/>
      <c r="AH206" s="211"/>
      <c r="AI206" s="211"/>
      <c r="AJ206" s="211"/>
      <c r="AL206" s="211" t="str">
        <f>IFERROR(__xludf.DUMMYFUNCTION("""COMPUTED_VALUE"""),"2250100")</f>
        <v>2250100</v>
      </c>
      <c r="AM206" s="211" t="str">
        <f>IFERROR(__xludf.DUMMYFUNCTION("""COMPUTED_VALUE"""),"112561677")</f>
        <v>112561677</v>
      </c>
      <c r="AN206" s="211" t="str">
        <f>IFERROR(__xludf.DUMMYFUNCTION("""COMPUTED_VALUE"""),"faf71ae5")</f>
        <v>faf71ae5</v>
      </c>
      <c r="AO206" s="211" t="str">
        <f>IFERROR(__xludf.DUMMYFUNCTION("""COMPUTED_VALUE"""),"Bpk. Sampurna")</f>
        <v>Bpk. Sampurna</v>
      </c>
      <c r="AP206" s="215">
        <f>IFERROR(__xludf.DUMMYFUNCTION("""COMPUTED_VALUE"""),45978.36976851852)</f>
        <v>45978.36977</v>
      </c>
      <c r="AQ206" s="218">
        <f>IFERROR(__xludf.DUMMYFUNCTION("""COMPUTED_VALUE"""),45972.0)</f>
        <v>45972</v>
      </c>
      <c r="AR206" s="211"/>
      <c r="AS206" s="211"/>
      <c r="AT206" s="211"/>
      <c r="AU206" s="211"/>
      <c r="AV206" s="211"/>
      <c r="AW206" s="211"/>
      <c r="AX206" s="211"/>
      <c r="AY206" s="211"/>
      <c r="AZ206" s="211"/>
      <c r="BB206" s="211"/>
      <c r="BC206" s="211"/>
      <c r="BD206" s="211"/>
      <c r="BE206" s="211"/>
      <c r="BF206" s="211"/>
      <c r="BG206" s="211"/>
      <c r="BH206" s="211"/>
      <c r="BI206" s="211"/>
    </row>
    <row r="207">
      <c r="A207" s="210" t="str">
        <f>IFERROR(__xludf.DUMMYFUNCTION("""COMPUTED_VALUE"""),"6ef77537")</f>
        <v>6ef77537</v>
      </c>
      <c r="B207" s="210" t="str">
        <f>IFERROR(__xludf.DUMMYFUNCTION("""COMPUTED_VALUE"""),"6ef77537")</f>
        <v>6ef77537</v>
      </c>
      <c r="C207" s="213">
        <f>IFERROR(__xludf.DUMMYFUNCTION("""COMPUTED_VALUE"""),45609.44449074074)</f>
        <v>45609.44449</v>
      </c>
      <c r="D207" s="211" t="str">
        <f>IFERROR(__xludf.DUMMYFUNCTION("""COMPUTED_VALUE"""),"e86baf3b")</f>
        <v>e86baf3b</v>
      </c>
      <c r="E207" s="211" t="str">
        <f>IFERROR(__xludf.DUMMYFUNCTION("""COMPUTED_VALUE"""),"PT GEMILANG CIPTA WAWASAN")</f>
        <v>PT GEMILANG CIPTA WAWASAN</v>
      </c>
      <c r="F207" s="211" t="str">
        <f>IFERROR(__xludf.DUMMYFUNCTION("""COMPUTED_VALUE"""),"be525f3b")</f>
        <v>be525f3b</v>
      </c>
      <c r="G207" s="211" t="str">
        <f>IFERROR(__xludf.DUMMYFUNCTION("""COMPUTED_VALUE"""),"LPG 12kg")</f>
        <v>LPG 12kg</v>
      </c>
      <c r="H207" s="214" t="str">
        <f>IFERROR(__xludf.DUMMYFUNCTION("""COMPUTED_VALUE"""),"IN")</f>
        <v>IN</v>
      </c>
      <c r="I207" s="214" t="str">
        <f>IFERROR(__xludf.DUMMYFUNCTION("""COMPUTED_VALUE"""),"EMPTY")</f>
        <v>EMPTY</v>
      </c>
      <c r="J207" s="211">
        <f>IFERROR(__xludf.DUMMYFUNCTION("""COMPUTED_VALUE"""),6.0)</f>
        <v>6</v>
      </c>
      <c r="K207" s="211"/>
      <c r="L207" s="211"/>
      <c r="M207" s="211"/>
      <c r="N207" s="211"/>
      <c r="O207" s="211"/>
      <c r="Q207" s="210" t="str">
        <f>IFERROR(__xludf.DUMMYFUNCTION("""COMPUTED_VALUE"""),"11240135")</f>
        <v>11240135</v>
      </c>
      <c r="R207" s="210" t="str">
        <f>IFERROR(__xludf.DUMMYFUNCTION("""COMPUTED_VALUE"""),"11240135")</f>
        <v>11240135</v>
      </c>
      <c r="S207" s="211" t="str">
        <f>IFERROR(__xludf.DUMMYFUNCTION("""COMPUTED_VALUE"""),"e968afef")</f>
        <v>e968afef</v>
      </c>
      <c r="T207" s="211" t="str">
        <f>IFERROR(__xludf.DUMMYFUNCTION("""COMPUTED_VALUE"""),"Bpk. Agus")</f>
        <v>Bpk. Agus</v>
      </c>
      <c r="U207" s="215">
        <f>IFERROR(__xludf.DUMMYFUNCTION("""COMPUTED_VALUE"""),45625.433333333334)</f>
        <v>45625.43333</v>
      </c>
      <c r="V207" s="211" t="str">
        <f>IFERROR(__xludf.DUMMYFUNCTION("""COMPUTED_VALUE"""),"Jl. Parengan 13, Semawut, Balongbendo, Kec. BalongBendo, Kabupaten Sidoarjo, Jawa Timur 61263")</f>
        <v>Jl. Parengan 13, Semawut, Balongbendo, Kec. BalongBendo, Kabupaten Sidoarjo, Jawa Timur 61263</v>
      </c>
      <c r="W207" s="211" t="str">
        <f>IFERROR(__xludf.DUMMYFUNCTION("""COMPUTED_VALUE"""),"OUT")</f>
        <v>OUT</v>
      </c>
      <c r="X207" s="211"/>
      <c r="Z207" s="211" t="str">
        <f>IFERROR(__xludf.DUMMYFUNCTION("""COMPUTED_VALUE"""),"0226102622")</f>
        <v>0226102622</v>
      </c>
      <c r="AC207" s="211"/>
      <c r="AD207" s="211"/>
      <c r="AE207" s="211"/>
      <c r="AF207" s="211"/>
      <c r="AG207" s="211"/>
      <c r="AH207" s="211"/>
      <c r="AI207" s="211"/>
      <c r="AJ207" s="211"/>
      <c r="AL207" s="211" t="str">
        <f>IFERROR(__xludf.DUMMYFUNCTION("""COMPUTED_VALUE"""),"2250100")</f>
        <v>2250100</v>
      </c>
      <c r="AM207" s="211" t="str">
        <f>IFERROR(__xludf.DUMMYFUNCTION("""COMPUTED_VALUE"""),"112571690")</f>
        <v>112571690</v>
      </c>
      <c r="AN207" s="211" t="str">
        <f>IFERROR(__xludf.DUMMYFUNCTION("""COMPUTED_VALUE"""),"faf71ae5")</f>
        <v>faf71ae5</v>
      </c>
      <c r="AO207" s="211" t="str">
        <f>IFERROR(__xludf.DUMMYFUNCTION("""COMPUTED_VALUE"""),"Bpk. Sampurna")</f>
        <v>Bpk. Sampurna</v>
      </c>
      <c r="AP207" s="215">
        <f>IFERROR(__xludf.DUMMYFUNCTION("""COMPUTED_VALUE"""),45978.36976851852)</f>
        <v>45978.36977</v>
      </c>
      <c r="AQ207" s="218">
        <f>IFERROR(__xludf.DUMMYFUNCTION("""COMPUTED_VALUE"""),45973.0)</f>
        <v>45973</v>
      </c>
      <c r="AR207" s="211"/>
      <c r="AS207" s="211"/>
      <c r="AT207" s="211"/>
      <c r="AU207" s="211"/>
      <c r="AV207" s="211"/>
      <c r="AW207" s="211"/>
      <c r="AX207" s="211"/>
      <c r="AY207" s="211"/>
      <c r="AZ207" s="211"/>
      <c r="BB207" s="211"/>
      <c r="BC207" s="211"/>
      <c r="BD207" s="211"/>
      <c r="BE207" s="211"/>
      <c r="BF207" s="211"/>
      <c r="BG207" s="211"/>
      <c r="BH207" s="211"/>
      <c r="BI207" s="211"/>
    </row>
    <row r="208">
      <c r="A208" s="210" t="str">
        <f>IFERROR(__xludf.DUMMYFUNCTION("""COMPUTED_VALUE"""),"6ef77537")</f>
        <v>6ef77537</v>
      </c>
      <c r="B208" s="210" t="str">
        <f>IFERROR(__xludf.DUMMYFUNCTION("""COMPUTED_VALUE"""),"6ef77537")</f>
        <v>6ef77537</v>
      </c>
      <c r="C208" s="213">
        <f>IFERROR(__xludf.DUMMYFUNCTION("""COMPUTED_VALUE"""),45609.44474537037)</f>
        <v>45609.44475</v>
      </c>
      <c r="D208" s="211" t="str">
        <f>IFERROR(__xludf.DUMMYFUNCTION("""COMPUTED_VALUE"""),"e86baf3b")</f>
        <v>e86baf3b</v>
      </c>
      <c r="E208" s="211" t="str">
        <f>IFERROR(__xludf.DUMMYFUNCTION("""COMPUTED_VALUE"""),"PT GEMILANG CIPTA WAWASAN")</f>
        <v>PT GEMILANG CIPTA WAWASAN</v>
      </c>
      <c r="F208" s="211" t="str">
        <f>IFERROR(__xludf.DUMMYFUNCTION("""COMPUTED_VALUE"""),"66af7c72")</f>
        <v>66af7c72</v>
      </c>
      <c r="G208" s="211" t="str">
        <f>IFERROR(__xludf.DUMMYFUNCTION("""COMPUTED_VALUE"""),"Argon 6m3")</f>
        <v>Argon 6m3</v>
      </c>
      <c r="H208" s="214" t="str">
        <f>IFERROR(__xludf.DUMMYFUNCTION("""COMPUTED_VALUE"""),"IN")</f>
        <v>IN</v>
      </c>
      <c r="I208" s="214" t="str">
        <f>IFERROR(__xludf.DUMMYFUNCTION("""COMPUTED_VALUE"""),"EMPTY")</f>
        <v>EMPTY</v>
      </c>
      <c r="J208" s="211">
        <f>IFERROR(__xludf.DUMMYFUNCTION("""COMPUTED_VALUE"""),2.0)</f>
        <v>2</v>
      </c>
      <c r="K208" s="210" t="str">
        <f>IFERROR(__xludf.DUMMYFUNCTION("""COMPUTED_VALUE"""),"8119 8094")</f>
        <v>8119 8094</v>
      </c>
      <c r="L208" s="211"/>
      <c r="M208" s="211"/>
      <c r="N208" s="211"/>
      <c r="O208" s="211"/>
      <c r="Q208" s="210" t="str">
        <f>IFERROR(__xludf.DUMMYFUNCTION("""COMPUTED_VALUE"""),"5df12cec")</f>
        <v>5df12cec</v>
      </c>
      <c r="R208" s="210" t="str">
        <f>IFERROR(__xludf.DUMMYFUNCTION("""COMPUTED_VALUE"""),"5df12cec")</f>
        <v>5df12cec</v>
      </c>
      <c r="S208" s="211" t="str">
        <f>IFERROR(__xludf.DUMMYFUNCTION("""COMPUTED_VALUE"""),"72d9a70c")</f>
        <v>72d9a70c</v>
      </c>
      <c r="T208" s="211" t="str">
        <f>IFERROR(__xludf.DUMMYFUNCTION("""COMPUTED_VALUE"""),"PT Beton Prima Indonesia")</f>
        <v>PT Beton Prima Indonesia</v>
      </c>
      <c r="U208" s="215">
        <f>IFERROR(__xludf.DUMMYFUNCTION("""COMPUTED_VALUE"""),45625.43958333333)</f>
        <v>45625.43958</v>
      </c>
      <c r="V208" s="211" t="str">
        <f>IFERROR(__xludf.DUMMYFUNCTION("""COMPUTED_VALUE"""),"KH. Ahmad Dahlan KM.2 Ds. Sumberwono, Kec. Bangsal, Kab. Mojokerto 61381")</f>
        <v>KH. Ahmad Dahlan KM.2 Ds. Sumberwono, Kec. Bangsal, Kab. Mojokerto 61381</v>
      </c>
      <c r="W208" s="211" t="str">
        <f>IFERROR(__xludf.DUMMYFUNCTION("""COMPUTED_VALUE"""),"IN")</f>
        <v>IN</v>
      </c>
      <c r="X208" s="211"/>
      <c r="Z208" s="211" t="str">
        <f>IFERROR(__xludf.DUMMYFUNCTION("""COMPUTED_VALUE"""),"022682621")</f>
        <v>022682621</v>
      </c>
      <c r="AC208" s="211"/>
      <c r="AD208" s="211"/>
      <c r="AE208" s="211"/>
      <c r="AF208" s="211"/>
      <c r="AG208" s="211"/>
      <c r="AH208" s="211"/>
      <c r="AI208" s="211"/>
      <c r="AJ208" s="211"/>
      <c r="AL208" s="211" t="str">
        <f>IFERROR(__xludf.DUMMYFUNCTION("""COMPUTED_VALUE"""),"2250100")</f>
        <v>2250100</v>
      </c>
      <c r="AM208" s="211" t="str">
        <f>IFERROR(__xludf.DUMMYFUNCTION("""COMPUTED_VALUE"""),"112581697")</f>
        <v>112581697</v>
      </c>
      <c r="AN208" s="211" t="str">
        <f>IFERROR(__xludf.DUMMYFUNCTION("""COMPUTED_VALUE"""),"faf71ae5")</f>
        <v>faf71ae5</v>
      </c>
      <c r="AO208" s="211" t="str">
        <f>IFERROR(__xludf.DUMMYFUNCTION("""COMPUTED_VALUE"""),"Bpk. Sampurna")</f>
        <v>Bpk. Sampurna</v>
      </c>
      <c r="AP208" s="215">
        <f>IFERROR(__xludf.DUMMYFUNCTION("""COMPUTED_VALUE"""),45978.36976851852)</f>
        <v>45978.36977</v>
      </c>
      <c r="AQ208" s="218">
        <f>IFERROR(__xludf.DUMMYFUNCTION("""COMPUTED_VALUE"""),45974.0)</f>
        <v>45974</v>
      </c>
      <c r="AR208" s="211"/>
      <c r="AS208" s="211"/>
      <c r="AT208" s="211"/>
      <c r="AU208" s="211"/>
      <c r="AV208" s="211"/>
      <c r="AW208" s="211"/>
      <c r="AX208" s="211"/>
      <c r="AY208" s="211"/>
      <c r="AZ208" s="211"/>
      <c r="BB208" s="211"/>
      <c r="BC208" s="211"/>
      <c r="BD208" s="211"/>
      <c r="BE208" s="211"/>
      <c r="BF208" s="211"/>
      <c r="BG208" s="211"/>
      <c r="BH208" s="211"/>
      <c r="BI208" s="211"/>
    </row>
    <row r="209">
      <c r="A209" s="210" t="str">
        <f>IFERROR(__xludf.DUMMYFUNCTION("""COMPUTED_VALUE"""),"11240097")</f>
        <v>11240097</v>
      </c>
      <c r="B209" s="210" t="str">
        <f>IFERROR(__xludf.DUMMYFUNCTION("""COMPUTED_VALUE"""),"11240097")</f>
        <v>11240097</v>
      </c>
      <c r="C209" s="213">
        <f>IFERROR(__xludf.DUMMYFUNCTION("""COMPUTED_VALUE"""),45610.585)</f>
        <v>45610.585</v>
      </c>
      <c r="D209" s="211" t="str">
        <f>IFERROR(__xludf.DUMMYFUNCTION("""COMPUTED_VALUE"""),"785e0e07")</f>
        <v>785e0e07</v>
      </c>
      <c r="E209" s="211" t="str">
        <f>IFERROR(__xludf.DUMMYFUNCTION("""COMPUTED_VALUE"""),"Bpk. Sukirno (Bejo)")</f>
        <v>Bpk. Sukirno (Bejo)</v>
      </c>
      <c r="F209" s="211" t="str">
        <f>IFERROR(__xludf.DUMMYFUNCTION("""COMPUTED_VALUE"""),"8bdbe149")</f>
        <v>8bdbe149</v>
      </c>
      <c r="G209" s="211" t="str">
        <f>IFERROR(__xludf.DUMMYFUNCTION("""COMPUTED_VALUE"""),"Oksigen 6m3")</f>
        <v>Oksigen 6m3</v>
      </c>
      <c r="H209" s="214" t="str">
        <f>IFERROR(__xludf.DUMMYFUNCTION("""COMPUTED_VALUE"""),"OUT")</f>
        <v>OUT</v>
      </c>
      <c r="I209" s="214" t="str">
        <f>IFERROR(__xludf.DUMMYFUNCTION("""COMPUTED_VALUE"""),"NORMAL")</f>
        <v>NORMAL</v>
      </c>
      <c r="J209" s="211">
        <f>IFERROR(__xludf.DUMMYFUNCTION("""COMPUTED_VALUE"""),30.0)</f>
        <v>30</v>
      </c>
      <c r="K209" s="211"/>
      <c r="L209" s="211">
        <f>IFERROR(__xludf.DUMMYFUNCTION("""COMPUTED_VALUE"""),60000.0)</f>
        <v>60000</v>
      </c>
      <c r="M209" s="211"/>
      <c r="N209" s="211"/>
      <c r="O209" s="211"/>
      <c r="Q209" s="210" t="str">
        <f>IFERROR(__xludf.DUMMYFUNCTION("""COMPUTED_VALUE"""),"4d366a47")</f>
        <v>4d366a47</v>
      </c>
      <c r="R209" s="210" t="str">
        <f>IFERROR(__xludf.DUMMYFUNCTION("""COMPUTED_VALUE"""),"4d366a47")</f>
        <v>4d366a47</v>
      </c>
      <c r="S209" s="211" t="str">
        <f>IFERROR(__xludf.DUMMYFUNCTION("""COMPUTED_VALUE"""),"e968afef")</f>
        <v>e968afef</v>
      </c>
      <c r="T209" s="211" t="str">
        <f>IFERROR(__xludf.DUMMYFUNCTION("""COMPUTED_VALUE"""),"Bpk. Agus")</f>
        <v>Bpk. Agus</v>
      </c>
      <c r="U209" s="215">
        <f>IFERROR(__xludf.DUMMYFUNCTION("""COMPUTED_VALUE"""),45625.51388888889)</f>
        <v>45625.51389</v>
      </c>
      <c r="V209" s="211" t="str">
        <f>IFERROR(__xludf.DUMMYFUNCTION("""COMPUTED_VALUE"""),"Jl. Parengan 13, Semawut, Balongbendo, Kec. BalongBendo, Kabupaten Sidoarjo, Jawa Timur 61263")</f>
        <v>Jl. Parengan 13, Semawut, Balongbendo, Kec. BalongBendo, Kabupaten Sidoarjo, Jawa Timur 61263</v>
      </c>
      <c r="W209" s="211" t="str">
        <f>IFERROR(__xludf.DUMMYFUNCTION("""COMPUTED_VALUE"""),"IN")</f>
        <v>IN</v>
      </c>
      <c r="X209" s="211"/>
      <c r="Z209" s="211" t="str">
        <f>IFERROR(__xludf.DUMMYFUNCTION("""COMPUTED_VALUE"""),"022672619")</f>
        <v>022672619</v>
      </c>
      <c r="AC209" s="211"/>
      <c r="AD209" s="211"/>
      <c r="AE209" s="211"/>
      <c r="AF209" s="211"/>
      <c r="AG209" s="211"/>
      <c r="AH209" s="211"/>
      <c r="AI209" s="211"/>
      <c r="AJ209" s="211"/>
      <c r="AL209" s="211" t="str">
        <f>IFERROR(__xludf.DUMMYFUNCTION("""COMPUTED_VALUE"""),"2250098")</f>
        <v>2250098</v>
      </c>
      <c r="AM209" s="211" t="str">
        <f>IFERROR(__xludf.DUMMYFUNCTION("""COMPUTED_VALUE"""),"1025141427")</f>
        <v>1025141427</v>
      </c>
      <c r="AN209" s="211" t="str">
        <f>IFERROR(__xludf.DUMMYFUNCTION("""COMPUTED_VALUE"""),"d78b2eaf")</f>
        <v>d78b2eaf</v>
      </c>
      <c r="AO209" s="211" t="str">
        <f>IFERROR(__xludf.DUMMYFUNCTION("""COMPUTED_VALUE"""),"PT Sinar Indogreen Kencana")</f>
        <v>PT Sinar Indogreen Kencana</v>
      </c>
      <c r="AP209" s="215">
        <f>IFERROR(__xludf.DUMMYFUNCTION("""COMPUTED_VALUE"""),45974.46246527778)</f>
        <v>45974.46247</v>
      </c>
      <c r="AQ209" s="218">
        <f>IFERROR(__xludf.DUMMYFUNCTION("""COMPUTED_VALUE"""),45943.0)</f>
        <v>45943</v>
      </c>
      <c r="AR209" s="211"/>
      <c r="AS209" s="211"/>
      <c r="AT209" s="211"/>
      <c r="AU209" s="211"/>
      <c r="AV209" s="211"/>
      <c r="AW209" s="211"/>
      <c r="AX209" s="211"/>
      <c r="AY209" s="211"/>
      <c r="AZ209" s="211"/>
      <c r="BB209" s="211"/>
      <c r="BC209" s="211"/>
      <c r="BD209" s="211"/>
      <c r="BE209" s="211"/>
      <c r="BF209" s="211"/>
      <c r="BG209" s="211"/>
      <c r="BH209" s="211"/>
      <c r="BI209" s="211"/>
    </row>
    <row r="210">
      <c r="A210" s="210" t="str">
        <f>IFERROR(__xludf.DUMMYFUNCTION("""COMPUTED_VALUE"""),"11240097")</f>
        <v>11240097</v>
      </c>
      <c r="B210" s="210" t="str">
        <f>IFERROR(__xludf.DUMMYFUNCTION("""COMPUTED_VALUE"""),"11240097")</f>
        <v>11240097</v>
      </c>
      <c r="C210" s="213">
        <f>IFERROR(__xludf.DUMMYFUNCTION("""COMPUTED_VALUE"""),45610.585914351854)</f>
        <v>45610.58591</v>
      </c>
      <c r="D210" s="211" t="str">
        <f>IFERROR(__xludf.DUMMYFUNCTION("""COMPUTED_VALUE"""),"785e0e07")</f>
        <v>785e0e07</v>
      </c>
      <c r="E210" s="211" t="str">
        <f>IFERROR(__xludf.DUMMYFUNCTION("""COMPUTED_VALUE"""),"Bpk. Sukirno (Bejo)")</f>
        <v>Bpk. Sukirno (Bejo)</v>
      </c>
      <c r="F210" s="211" t="str">
        <f>IFERROR(__xludf.DUMMYFUNCTION("""COMPUTED_VALUE"""),"b7a8fff1")</f>
        <v>b7a8fff1</v>
      </c>
      <c r="G210" s="211" t="str">
        <f>IFERROR(__xludf.DUMMYFUNCTION("""COMPUTED_VALUE"""),"LPG 50kg")</f>
        <v>LPG 50kg</v>
      </c>
      <c r="H210" s="214" t="str">
        <f>IFERROR(__xludf.DUMMYFUNCTION("""COMPUTED_VALUE"""),"OUT")</f>
        <v>OUT</v>
      </c>
      <c r="I210" s="214" t="str">
        <f>IFERROR(__xludf.DUMMYFUNCTION("""COMPUTED_VALUE"""),"NORMAL")</f>
        <v>NORMAL</v>
      </c>
      <c r="J210" s="211">
        <f>IFERROR(__xludf.DUMMYFUNCTION("""COMPUTED_VALUE"""),1.0)</f>
        <v>1</v>
      </c>
      <c r="K210" s="211"/>
      <c r="L210" s="211"/>
      <c r="M210" s="211"/>
      <c r="N210" s="211"/>
      <c r="O210" s="211"/>
      <c r="Q210" s="210" t="str">
        <f>IFERROR(__xludf.DUMMYFUNCTION("""COMPUTED_VALUE"""),"11240136")</f>
        <v>11240136</v>
      </c>
      <c r="R210" s="210" t="str">
        <f>IFERROR(__xludf.DUMMYFUNCTION("""COMPUTED_VALUE"""),"11240136")</f>
        <v>11240136</v>
      </c>
      <c r="S210" s="211" t="str">
        <f>IFERROR(__xludf.DUMMYFUNCTION("""COMPUTED_VALUE"""),"f01dab70")</f>
        <v>f01dab70</v>
      </c>
      <c r="T210" s="211" t="str">
        <f>IFERROR(__xludf.DUMMYFUNCTION("""COMPUTED_VALUE"""),"Bpk. Yudi")</f>
        <v>Bpk. Yudi</v>
      </c>
      <c r="U210" s="215">
        <f>IFERROR(__xludf.DUMMYFUNCTION("""COMPUTED_VALUE"""),45625.53472222222)</f>
        <v>45625.53472</v>
      </c>
      <c r="V210" s="211" t="str">
        <f>IFERROR(__xludf.DUMMYFUNCTION("""COMPUTED_VALUE"""),"Bandilan, Simogirang, Kec. Prambon, Kabupaten Sidoarjo, Jawa Timur 61264")</f>
        <v>Bandilan, Simogirang, Kec. Prambon, Kabupaten Sidoarjo, Jawa Timur 61264</v>
      </c>
      <c r="W210" s="211" t="str">
        <f>IFERROR(__xludf.DUMMYFUNCTION("""COMPUTED_VALUE"""),"OUT")</f>
        <v>OUT</v>
      </c>
      <c r="X210" s="211"/>
      <c r="Z210" s="211" t="str">
        <f>IFERROR(__xludf.DUMMYFUNCTION("""COMPUTED_VALUE"""),"022622618")</f>
        <v>022622618</v>
      </c>
      <c r="AC210" s="211"/>
      <c r="AD210" s="211"/>
      <c r="AE210" s="211"/>
      <c r="AF210" s="211"/>
      <c r="AG210" s="211"/>
      <c r="AH210" s="211"/>
      <c r="AI210" s="211"/>
      <c r="AJ210" s="211"/>
      <c r="AL210" s="211" t="str">
        <f>IFERROR(__xludf.DUMMYFUNCTION("""COMPUTED_VALUE"""),"2250098")</f>
        <v>2250098</v>
      </c>
      <c r="AM210" s="211" t="str">
        <f>IFERROR(__xludf.DUMMYFUNCTION("""COMPUTED_VALUE"""),"1025151568")</f>
        <v>1025151568</v>
      </c>
      <c r="AN210" s="211" t="str">
        <f>IFERROR(__xludf.DUMMYFUNCTION("""COMPUTED_VALUE"""),"d78b2eaf")</f>
        <v>d78b2eaf</v>
      </c>
      <c r="AO210" s="211" t="str">
        <f>IFERROR(__xludf.DUMMYFUNCTION("""COMPUTED_VALUE"""),"PT Sinar Indogreen Kencana")</f>
        <v>PT Sinar Indogreen Kencana</v>
      </c>
      <c r="AP210" s="215">
        <f>IFERROR(__xludf.DUMMYFUNCTION("""COMPUTED_VALUE"""),45974.46246527778)</f>
        <v>45974.46247</v>
      </c>
      <c r="AQ210" s="218">
        <f>IFERROR(__xludf.DUMMYFUNCTION("""COMPUTED_VALUE"""),45960.0)</f>
        <v>45960</v>
      </c>
      <c r="AR210" s="211"/>
      <c r="AS210" s="211"/>
      <c r="AT210" s="211"/>
      <c r="AU210" s="211"/>
      <c r="AV210" s="211"/>
      <c r="AW210" s="211"/>
      <c r="AX210" s="211"/>
      <c r="AY210" s="211"/>
      <c r="AZ210" s="211"/>
      <c r="BB210" s="211"/>
      <c r="BC210" s="211"/>
      <c r="BD210" s="211"/>
      <c r="BE210" s="211"/>
      <c r="BF210" s="211"/>
      <c r="BG210" s="211"/>
      <c r="BH210" s="211"/>
      <c r="BI210" s="211"/>
    </row>
    <row r="211">
      <c r="A211" s="210" t="str">
        <f>IFERROR(__xludf.DUMMYFUNCTION("""COMPUTED_VALUE"""),"11240099")</f>
        <v>11240099</v>
      </c>
      <c r="B211" s="210" t="str">
        <f>IFERROR(__xludf.DUMMYFUNCTION("""COMPUTED_VALUE"""),"11240099")</f>
        <v>11240099</v>
      </c>
      <c r="C211" s="213">
        <f>IFERROR(__xludf.DUMMYFUNCTION("""COMPUTED_VALUE"""),45609.65662037037)</f>
        <v>45609.65662</v>
      </c>
      <c r="D211" s="211" t="str">
        <f>IFERROR(__xludf.DUMMYFUNCTION("""COMPUTED_VALUE"""),"c2f5a4a7")</f>
        <v>c2f5a4a7</v>
      </c>
      <c r="E211" s="211" t="str">
        <f>IFERROR(__xludf.DUMMYFUNCTION("""COMPUTED_VALUE"""),"UD Sumber Berlian")</f>
        <v>UD Sumber Berlian</v>
      </c>
      <c r="F211" s="211" t="str">
        <f>IFERROR(__xludf.DUMMYFUNCTION("""COMPUTED_VALUE"""),"8bdbe149")</f>
        <v>8bdbe149</v>
      </c>
      <c r="G211" s="211" t="str">
        <f>IFERROR(__xludf.DUMMYFUNCTION("""COMPUTED_VALUE"""),"Oksigen 6m3")</f>
        <v>Oksigen 6m3</v>
      </c>
      <c r="H211" s="214" t="str">
        <f>IFERROR(__xludf.DUMMYFUNCTION("""COMPUTED_VALUE"""),"OUT")</f>
        <v>OUT</v>
      </c>
      <c r="I211" s="214" t="str">
        <f>IFERROR(__xludf.DUMMYFUNCTION("""COMPUTED_VALUE"""),"NORMAL")</f>
        <v>NORMAL</v>
      </c>
      <c r="J211" s="211">
        <f>IFERROR(__xludf.DUMMYFUNCTION("""COMPUTED_VALUE"""),10.0)</f>
        <v>10</v>
      </c>
      <c r="K211" s="211"/>
      <c r="L211" s="211">
        <f>IFERROR(__xludf.DUMMYFUNCTION("""COMPUTED_VALUE"""),70000.0)</f>
        <v>70000</v>
      </c>
      <c r="M211" s="211"/>
      <c r="N211" s="211"/>
      <c r="O211" s="211"/>
      <c r="Q211" s="210" t="str">
        <f>IFERROR(__xludf.DUMMYFUNCTION("""COMPUTED_VALUE"""),"f3d45380")</f>
        <v>f3d45380</v>
      </c>
      <c r="R211" s="210" t="str">
        <f>IFERROR(__xludf.DUMMYFUNCTION("""COMPUTED_VALUE"""),"f3d45380")</f>
        <v>f3d45380</v>
      </c>
      <c r="S211" s="211" t="str">
        <f>IFERROR(__xludf.DUMMYFUNCTION("""COMPUTED_VALUE"""),"c2f5a4a7")</f>
        <v>c2f5a4a7</v>
      </c>
      <c r="T211" s="211" t="str">
        <f>IFERROR(__xludf.DUMMYFUNCTION("""COMPUTED_VALUE"""),"UD Sumber Berlian")</f>
        <v>UD Sumber Berlian</v>
      </c>
      <c r="U211" s="215">
        <f>IFERROR(__xludf.DUMMYFUNCTION("""COMPUTED_VALUE"""),45625.60277777778)</f>
        <v>45625.60278</v>
      </c>
      <c r="V211" s="211" t="str">
        <f>IFERROR(__xludf.DUMMYFUNCTION("""COMPUTED_VALUE"""),"Ciro Kulon, Bakungtemenggungan, Kec. BalongBendo, Kabupaten Sidoarjo, Jawa Timur 61263")</f>
        <v>Ciro Kulon, Bakungtemenggungan, Kec. BalongBendo, Kabupaten Sidoarjo, Jawa Timur 61263</v>
      </c>
      <c r="W211" s="211" t="str">
        <f>IFERROR(__xludf.DUMMYFUNCTION("""COMPUTED_VALUE"""),"IN")</f>
        <v>IN</v>
      </c>
      <c r="X211" s="211"/>
      <c r="Z211" s="211" t="str">
        <f>IFERROR(__xludf.DUMMYFUNCTION("""COMPUTED_VALUE"""),"0226152615")</f>
        <v>0226152615</v>
      </c>
      <c r="AC211" s="211"/>
      <c r="AD211" s="211"/>
      <c r="AE211" s="211"/>
      <c r="AF211" s="211"/>
      <c r="AG211" s="211"/>
      <c r="AH211" s="211"/>
      <c r="AI211" s="211"/>
      <c r="AJ211" s="211"/>
      <c r="AL211" s="211" t="str">
        <f>IFERROR(__xludf.DUMMYFUNCTION("""COMPUTED_VALUE"""),"2250096")</f>
        <v>2250096</v>
      </c>
      <c r="AM211" s="211" t="str">
        <f>IFERROR(__xludf.DUMMYFUNCTION("""COMPUTED_VALUE"""),"1125671669")</f>
        <v>1125671669</v>
      </c>
      <c r="AN211" s="211" t="str">
        <f>IFERROR(__xludf.DUMMYFUNCTION("""COMPUTED_VALUE"""),"e86baf3b")</f>
        <v>e86baf3b</v>
      </c>
      <c r="AO211" s="211" t="str">
        <f>IFERROR(__xludf.DUMMYFUNCTION("""COMPUTED_VALUE"""),"PT GEMILANG CIPTA WAWASAN")</f>
        <v>PT GEMILANG CIPTA WAWASAN</v>
      </c>
      <c r="AP211" s="215">
        <f>IFERROR(__xludf.DUMMYFUNCTION("""COMPUTED_VALUE"""),45974.46091435185)</f>
        <v>45974.46091</v>
      </c>
      <c r="AQ211" s="218">
        <f>IFERROR(__xludf.DUMMYFUNCTION("""COMPUTED_VALUE"""),45971.0)</f>
        <v>45971</v>
      </c>
      <c r="AR211" s="211"/>
      <c r="AS211" s="211"/>
      <c r="AT211" s="211"/>
      <c r="AU211" s="211"/>
      <c r="AV211" s="211"/>
      <c r="AW211" s="211"/>
      <c r="AX211" s="211"/>
      <c r="AY211" s="211"/>
      <c r="AZ211" s="211"/>
      <c r="BB211" s="211"/>
      <c r="BC211" s="211"/>
      <c r="BD211" s="211"/>
      <c r="BE211" s="211"/>
      <c r="BF211" s="211"/>
      <c r="BG211" s="211"/>
      <c r="BH211" s="211"/>
      <c r="BI211" s="211"/>
    </row>
    <row r="212">
      <c r="A212" s="210" t="str">
        <f>IFERROR(__xludf.DUMMYFUNCTION("""COMPUTED_VALUE"""),"11240099")</f>
        <v>11240099</v>
      </c>
      <c r="B212" s="210" t="str">
        <f>IFERROR(__xludf.DUMMYFUNCTION("""COMPUTED_VALUE"""),"11240099")</f>
        <v>11240099</v>
      </c>
      <c r="C212" s="213">
        <f>IFERROR(__xludf.DUMMYFUNCTION("""COMPUTED_VALUE"""),45609.65662037037)</f>
        <v>45609.65662</v>
      </c>
      <c r="D212" s="211" t="str">
        <f>IFERROR(__xludf.DUMMYFUNCTION("""COMPUTED_VALUE"""),"c2f5a4a7")</f>
        <v>c2f5a4a7</v>
      </c>
      <c r="E212" s="211" t="str">
        <f>IFERROR(__xludf.DUMMYFUNCTION("""COMPUTED_VALUE"""),"UD Sumber Berlian")</f>
        <v>UD Sumber Berlian</v>
      </c>
      <c r="F212" s="211" t="str">
        <f>IFERROR(__xludf.DUMMYFUNCTION("""COMPUTED_VALUE"""),"8bdbe149")</f>
        <v>8bdbe149</v>
      </c>
      <c r="G212" s="211" t="str">
        <f>IFERROR(__xludf.DUMMYFUNCTION("""COMPUTED_VALUE"""),"Oksigen 6m3")</f>
        <v>Oksigen 6m3</v>
      </c>
      <c r="H212" s="214" t="str">
        <f>IFERROR(__xludf.DUMMYFUNCTION("""COMPUTED_VALUE"""),"OUT")</f>
        <v>OUT</v>
      </c>
      <c r="I212" s="214" t="str">
        <f>IFERROR(__xludf.DUMMYFUNCTION("""COMPUTED_VALUE"""),"NORMAL")</f>
        <v>NORMAL</v>
      </c>
      <c r="J212" s="211">
        <f>IFERROR(__xludf.DUMMYFUNCTION("""COMPUTED_VALUE"""),15.0)</f>
        <v>15</v>
      </c>
      <c r="K212" s="211"/>
      <c r="L212" s="211">
        <f>IFERROR(__xludf.DUMMYFUNCTION("""COMPUTED_VALUE"""),70000.0)</f>
        <v>70000</v>
      </c>
      <c r="M212" s="211"/>
      <c r="N212" s="211"/>
      <c r="O212" s="211"/>
      <c r="Q212" s="210" t="str">
        <f>IFERROR(__xludf.DUMMYFUNCTION("""COMPUTED_VALUE"""),"d65dea2b")</f>
        <v>d65dea2b</v>
      </c>
      <c r="R212" s="210" t="str">
        <f>IFERROR(__xludf.DUMMYFUNCTION("""COMPUTED_VALUE"""),"d65dea2b")</f>
        <v>d65dea2b</v>
      </c>
      <c r="S212" s="211" t="str">
        <f>IFERROR(__xludf.DUMMYFUNCTION("""COMPUTED_VALUE"""),"f01dab70")</f>
        <v>f01dab70</v>
      </c>
      <c r="T212" s="211" t="str">
        <f>IFERROR(__xludf.DUMMYFUNCTION("""COMPUTED_VALUE"""),"Bpk. Yudi")</f>
        <v>Bpk. Yudi</v>
      </c>
      <c r="U212" s="215">
        <f>IFERROR(__xludf.DUMMYFUNCTION("""COMPUTED_VALUE"""),45625.61111111111)</f>
        <v>45625.61111</v>
      </c>
      <c r="V212" s="211" t="str">
        <f>IFERROR(__xludf.DUMMYFUNCTION("""COMPUTED_VALUE"""),"Bandilan, Simogirang, Kec. Prambon, Kabupaten Sidoarjo, Jawa Timur 61264")</f>
        <v>Bandilan, Simogirang, Kec. Prambon, Kabupaten Sidoarjo, Jawa Timur 61264</v>
      </c>
      <c r="W212" s="211" t="str">
        <f>IFERROR(__xludf.DUMMYFUNCTION("""COMPUTED_VALUE"""),"IN")</f>
        <v>IN</v>
      </c>
      <c r="X212" s="211"/>
      <c r="Z212" s="211" t="str">
        <f>IFERROR(__xludf.DUMMYFUNCTION("""COMPUTED_VALUE"""),"0226102612")</f>
        <v>0226102612</v>
      </c>
      <c r="AC212" s="211"/>
      <c r="AD212" s="211"/>
      <c r="AE212" s="211"/>
      <c r="AF212" s="211"/>
      <c r="AG212" s="211"/>
      <c r="AH212" s="211"/>
      <c r="AI212" s="211"/>
      <c r="AJ212" s="211"/>
      <c r="AL212" s="211" t="str">
        <f>IFERROR(__xludf.DUMMYFUNCTION("""COMPUTED_VALUE"""),"2250096")</f>
        <v>2250096</v>
      </c>
      <c r="AM212" s="211" t="str">
        <f>IFERROR(__xludf.DUMMYFUNCTION("""COMPUTED_VALUE"""),"1125681678")</f>
        <v>1125681678</v>
      </c>
      <c r="AN212" s="211" t="str">
        <f>IFERROR(__xludf.DUMMYFUNCTION("""COMPUTED_VALUE"""),"e86baf3b")</f>
        <v>e86baf3b</v>
      </c>
      <c r="AO212" s="211" t="str">
        <f>IFERROR(__xludf.DUMMYFUNCTION("""COMPUTED_VALUE"""),"PT GEMILANG CIPTA WAWASAN")</f>
        <v>PT GEMILANG CIPTA WAWASAN</v>
      </c>
      <c r="AP212" s="215">
        <f>IFERROR(__xludf.DUMMYFUNCTION("""COMPUTED_VALUE"""),45974.46091435185)</f>
        <v>45974.46091</v>
      </c>
      <c r="AQ212" s="218">
        <f>IFERROR(__xludf.DUMMYFUNCTION("""COMPUTED_VALUE"""),45973.0)</f>
        <v>45973</v>
      </c>
      <c r="AR212" s="211"/>
      <c r="AS212" s="211"/>
      <c r="AT212" s="211"/>
      <c r="AU212" s="211"/>
      <c r="AV212" s="211"/>
      <c r="AW212" s="211"/>
      <c r="AX212" s="211"/>
      <c r="AY212" s="211"/>
      <c r="AZ212" s="211"/>
      <c r="BB212" s="211"/>
      <c r="BC212" s="211"/>
      <c r="BD212" s="211"/>
      <c r="BE212" s="211"/>
      <c r="BF212" s="211"/>
      <c r="BG212" s="211"/>
      <c r="BH212" s="211"/>
      <c r="BI212" s="211"/>
    </row>
    <row r="213">
      <c r="A213" s="210" t="str">
        <f>IFERROR(__xludf.DUMMYFUNCTION("""COMPUTED_VALUE"""),"11240099")</f>
        <v>11240099</v>
      </c>
      <c r="B213" s="210" t="str">
        <f>IFERROR(__xludf.DUMMYFUNCTION("""COMPUTED_VALUE"""),"11240099")</f>
        <v>11240099</v>
      </c>
      <c r="C213" s="213">
        <f>IFERROR(__xludf.DUMMYFUNCTION("""COMPUTED_VALUE"""),45609.658159722225)</f>
        <v>45609.65816</v>
      </c>
      <c r="D213" s="211" t="str">
        <f>IFERROR(__xludf.DUMMYFUNCTION("""COMPUTED_VALUE"""),"c2f5a4a7")</f>
        <v>c2f5a4a7</v>
      </c>
      <c r="E213" s="211" t="str">
        <f>IFERROR(__xludf.DUMMYFUNCTION("""COMPUTED_VALUE"""),"UD Sumber Berlian")</f>
        <v>UD Sumber Berlian</v>
      </c>
      <c r="F213" s="211" t="str">
        <f>IFERROR(__xludf.DUMMYFUNCTION("""COMPUTED_VALUE"""),"be525f3b")</f>
        <v>be525f3b</v>
      </c>
      <c r="G213" s="211" t="str">
        <f>IFERROR(__xludf.DUMMYFUNCTION("""COMPUTED_VALUE"""),"LPG 12kg")</f>
        <v>LPG 12kg</v>
      </c>
      <c r="H213" s="214" t="str">
        <f>IFERROR(__xludf.DUMMYFUNCTION("""COMPUTED_VALUE"""),"OUT")</f>
        <v>OUT</v>
      </c>
      <c r="I213" s="214" t="str">
        <f>IFERROR(__xludf.DUMMYFUNCTION("""COMPUTED_VALUE"""),"NORMAL")</f>
        <v>NORMAL</v>
      </c>
      <c r="J213" s="211">
        <f>IFERROR(__xludf.DUMMYFUNCTION("""COMPUTED_VALUE"""),2.0)</f>
        <v>2</v>
      </c>
      <c r="K213" s="211"/>
      <c r="L213" s="211">
        <f>IFERROR(__xludf.DUMMYFUNCTION("""COMPUTED_VALUE"""),215000.0)</f>
        <v>215000</v>
      </c>
      <c r="M213" s="211"/>
      <c r="N213" s="211"/>
      <c r="O213" s="211"/>
      <c r="Q213" s="210" t="str">
        <f>IFERROR(__xludf.DUMMYFUNCTION("""COMPUTED_VALUE"""),"11240137")</f>
        <v>11240137</v>
      </c>
      <c r="R213" s="210" t="str">
        <f>IFERROR(__xludf.DUMMYFUNCTION("""COMPUTED_VALUE"""),"11240137")</f>
        <v>11240137</v>
      </c>
      <c r="S213" s="211" t="str">
        <f>IFERROR(__xludf.DUMMYFUNCTION("""COMPUTED_VALUE"""),"2d88931c")</f>
        <v>2d88931c</v>
      </c>
      <c r="T213" s="211" t="str">
        <f>IFERROR(__xludf.DUMMYFUNCTION("""COMPUTED_VALUE"""),"PT Dunia Berkat Marga Mulya")</f>
        <v>PT Dunia Berkat Marga Mulya</v>
      </c>
      <c r="U213" s="215">
        <f>IFERROR(__xludf.DUMMYFUNCTION("""COMPUTED_VALUE"""),45626.45208333334)</f>
        <v>45626.45208</v>
      </c>
      <c r="V213" s="211" t="str">
        <f>IFERROR(__xludf.DUMMYFUNCTION("""COMPUTED_VALUE"""),"JL JABARAN, WATESARI, BALONGBENDO, SIDOARJO, JAWA TIMUR")</f>
        <v>JL JABARAN, WATESARI, BALONGBENDO, SIDOARJO, JAWA TIMUR</v>
      </c>
      <c r="W213" s="211" t="str">
        <f>IFERROR(__xludf.DUMMYFUNCTION("""COMPUTED_VALUE"""),"OUT")</f>
        <v>OUT</v>
      </c>
      <c r="X213" s="211"/>
      <c r="Z213" s="211" t="str">
        <f>IFERROR(__xludf.DUMMYFUNCTION("""COMPUTED_VALUE"""),"0226142608")</f>
        <v>0226142608</v>
      </c>
      <c r="AC213" s="211"/>
      <c r="AD213" s="211"/>
      <c r="AE213" s="211"/>
      <c r="AF213" s="211"/>
      <c r="AG213" s="211"/>
      <c r="AH213" s="211"/>
      <c r="AI213" s="211"/>
      <c r="AJ213" s="211"/>
      <c r="AL213" s="211" t="str">
        <f>IFERROR(__xludf.DUMMYFUNCTION("""COMPUTED_VALUE"""),"2250094")</f>
        <v>2250094</v>
      </c>
      <c r="AM213" s="211" t="str">
        <f>IFERROR(__xludf.DUMMYFUNCTION("""COMPUTED_VALUE"""),"1125651599")</f>
        <v>1125651599</v>
      </c>
      <c r="AN213" s="211" t="str">
        <f>IFERROR(__xludf.DUMMYFUNCTION("""COMPUTED_VALUE"""),"e86baf3b")</f>
        <v>e86baf3b</v>
      </c>
      <c r="AO213" s="211" t="str">
        <f>IFERROR(__xludf.DUMMYFUNCTION("""COMPUTED_VALUE"""),"PT GEMILANG CIPTA WAWASAN")</f>
        <v>PT GEMILANG CIPTA WAWASAN</v>
      </c>
      <c r="AP213" s="215">
        <f>IFERROR(__xludf.DUMMYFUNCTION("""COMPUTED_VALUE"""),45974.460752314815)</f>
        <v>45974.46075</v>
      </c>
      <c r="AQ213" s="218">
        <f>IFERROR(__xludf.DUMMYFUNCTION("""COMPUTED_VALUE"""),45965.0)</f>
        <v>45965</v>
      </c>
      <c r="AR213" s="211"/>
      <c r="AS213" s="211"/>
      <c r="AT213" s="211"/>
      <c r="AU213" s="211"/>
      <c r="AV213" s="211"/>
      <c r="AW213" s="211"/>
      <c r="AX213" s="211"/>
      <c r="AY213" s="211"/>
      <c r="AZ213" s="211"/>
      <c r="BB213" s="211"/>
      <c r="BC213" s="211"/>
      <c r="BD213" s="211"/>
      <c r="BE213" s="211"/>
      <c r="BF213" s="211"/>
      <c r="BG213" s="211"/>
      <c r="BH213" s="211"/>
      <c r="BI213" s="211"/>
    </row>
    <row r="214">
      <c r="A214" s="210" t="str">
        <f>IFERROR(__xludf.DUMMYFUNCTION("""COMPUTED_VALUE"""),"128db52b")</f>
        <v>128db52b</v>
      </c>
      <c r="B214" s="210" t="str">
        <f>IFERROR(__xludf.DUMMYFUNCTION("""COMPUTED_VALUE"""),"128db52b")</f>
        <v>128db52b</v>
      </c>
      <c r="C214" s="213">
        <f>IFERROR(__xludf.DUMMYFUNCTION("""COMPUTED_VALUE"""),45609.66645833333)</f>
        <v>45609.66646</v>
      </c>
      <c r="D214" s="211" t="str">
        <f>IFERROR(__xludf.DUMMYFUNCTION("""COMPUTED_VALUE"""),"c2f5a4a7")</f>
        <v>c2f5a4a7</v>
      </c>
      <c r="E214" s="211" t="str">
        <f>IFERROR(__xludf.DUMMYFUNCTION("""COMPUTED_VALUE"""),"UD Sumber Berlian")</f>
        <v>UD Sumber Berlian</v>
      </c>
      <c r="F214" s="211" t="str">
        <f>IFERROR(__xludf.DUMMYFUNCTION("""COMPUTED_VALUE"""),"8bdbe149")</f>
        <v>8bdbe149</v>
      </c>
      <c r="G214" s="211" t="str">
        <f>IFERROR(__xludf.DUMMYFUNCTION("""COMPUTED_VALUE"""),"Oksigen 6m3")</f>
        <v>Oksigen 6m3</v>
      </c>
      <c r="H214" s="214" t="str">
        <f>IFERROR(__xludf.DUMMYFUNCTION("""COMPUTED_VALUE"""),"IN")</f>
        <v>IN</v>
      </c>
      <c r="I214" s="214" t="str">
        <f>IFERROR(__xludf.DUMMYFUNCTION("""COMPUTED_VALUE"""),"EMPTY")</f>
        <v>EMPTY</v>
      </c>
      <c r="J214" s="211">
        <f>IFERROR(__xludf.DUMMYFUNCTION("""COMPUTED_VALUE"""),8.0)</f>
        <v>8</v>
      </c>
      <c r="K214" s="210" t="str">
        <f>IFERROR(__xludf.DUMMYFUNCTION("""COMPUTED_VALUE"""),"1074 5869 1181 1265 5135 1109 5482 1118")</f>
        <v>1074 5869 1181 1265 5135 1109 5482 1118</v>
      </c>
      <c r="L214" s="211"/>
      <c r="M214" s="211"/>
      <c r="N214" s="211"/>
      <c r="O214" s="211"/>
      <c r="Q214" s="210" t="str">
        <f>IFERROR(__xludf.DUMMYFUNCTION("""COMPUTED_VALUE"""),"11240138")</f>
        <v>11240138</v>
      </c>
      <c r="R214" s="210" t="str">
        <f>IFERROR(__xludf.DUMMYFUNCTION("""COMPUTED_VALUE"""),"11240138")</f>
        <v>11240138</v>
      </c>
      <c r="S214" s="211" t="str">
        <f>IFERROR(__xludf.DUMMYFUNCTION("""COMPUTED_VALUE"""),"4ec68cf6")</f>
        <v>4ec68cf6</v>
      </c>
      <c r="T214" s="211" t="str">
        <f>IFERROR(__xludf.DUMMYFUNCTION("""COMPUTED_VALUE"""),"CV Sido Mukti Karya")</f>
        <v>CV Sido Mukti Karya</v>
      </c>
      <c r="U214" s="215">
        <f>IFERROR(__xludf.DUMMYFUNCTION("""COMPUTED_VALUE"""),45626.47013888889)</f>
        <v>45626.47014</v>
      </c>
      <c r="V214" s="211" t="str">
        <f>IFERROR(__xludf.DUMMYFUNCTION("""COMPUTED_VALUE"""),"Pergudangan Center Point no A3, Kemangsen")</f>
        <v>Pergudangan Center Point no A3, Kemangsen</v>
      </c>
      <c r="W214" s="211" t="str">
        <f>IFERROR(__xludf.DUMMYFUNCTION("""COMPUTED_VALUE"""),"OUT")</f>
        <v>OUT</v>
      </c>
      <c r="X214" s="211"/>
      <c r="Z214" s="211" t="str">
        <f>IFERROR(__xludf.DUMMYFUNCTION("""COMPUTED_VALUE"""),"0226232607")</f>
        <v>0226232607</v>
      </c>
      <c r="AC214" s="211"/>
      <c r="AD214" s="211"/>
      <c r="AE214" s="211"/>
      <c r="AF214" s="211"/>
      <c r="AG214" s="211"/>
      <c r="AH214" s="211"/>
      <c r="AI214" s="211"/>
      <c r="AJ214" s="211"/>
      <c r="AL214" s="211" t="str">
        <f>IFERROR(__xludf.DUMMYFUNCTION("""COMPUTED_VALUE"""),"2250094")</f>
        <v>2250094</v>
      </c>
      <c r="AM214" s="211" t="str">
        <f>IFERROR(__xludf.DUMMYFUNCTION("""COMPUTED_VALUE"""),"1125661632")</f>
        <v>1125661632</v>
      </c>
      <c r="AN214" s="211" t="str">
        <f>IFERROR(__xludf.DUMMYFUNCTION("""COMPUTED_VALUE"""),"e86baf3b")</f>
        <v>e86baf3b</v>
      </c>
      <c r="AO214" s="211" t="str">
        <f>IFERROR(__xludf.DUMMYFUNCTION("""COMPUTED_VALUE"""),"PT GEMILANG CIPTA WAWASAN")</f>
        <v>PT GEMILANG CIPTA WAWASAN</v>
      </c>
      <c r="AP214" s="215">
        <f>IFERROR(__xludf.DUMMYFUNCTION("""COMPUTED_VALUE"""),45974.460752314815)</f>
        <v>45974.46075</v>
      </c>
      <c r="AQ214" s="218">
        <f>IFERROR(__xludf.DUMMYFUNCTION("""COMPUTED_VALUE"""),45967.0)</f>
        <v>45967</v>
      </c>
      <c r="AR214" s="211"/>
      <c r="AS214" s="211"/>
      <c r="AT214" s="211"/>
      <c r="AU214" s="211"/>
      <c r="AV214" s="211"/>
      <c r="AW214" s="211"/>
      <c r="AX214" s="211"/>
      <c r="AY214" s="211"/>
      <c r="AZ214" s="211"/>
      <c r="BB214" s="211"/>
      <c r="BC214" s="211"/>
      <c r="BD214" s="211"/>
      <c r="BE214" s="211"/>
      <c r="BF214" s="211"/>
      <c r="BG214" s="211"/>
      <c r="BH214" s="211"/>
      <c r="BI214" s="211"/>
    </row>
    <row r="215">
      <c r="A215" s="210" t="str">
        <f>IFERROR(__xludf.DUMMYFUNCTION("""COMPUTED_VALUE"""),"f7395418")</f>
        <v>f7395418</v>
      </c>
      <c r="B215" s="210" t="str">
        <f>IFERROR(__xludf.DUMMYFUNCTION("""COMPUTED_VALUE"""),"f7395418")</f>
        <v>f7395418</v>
      </c>
      <c r="C215" s="213">
        <f>IFERROR(__xludf.DUMMYFUNCTION("""COMPUTED_VALUE"""),45609.66736111111)</f>
        <v>45609.66736</v>
      </c>
      <c r="D215" s="211" t="str">
        <f>IFERROR(__xludf.DUMMYFUNCTION("""COMPUTED_VALUE"""),"72d9a70c")</f>
        <v>72d9a70c</v>
      </c>
      <c r="E215" s="211" t="str">
        <f>IFERROR(__xludf.DUMMYFUNCTION("""COMPUTED_VALUE"""),"PT Beton Prima Indonesia")</f>
        <v>PT Beton Prima Indonesia</v>
      </c>
      <c r="F215" s="211" t="str">
        <f>IFERROR(__xludf.DUMMYFUNCTION("""COMPUTED_VALUE"""),"8bdbe149")</f>
        <v>8bdbe149</v>
      </c>
      <c r="G215" s="211" t="str">
        <f>IFERROR(__xludf.DUMMYFUNCTION("""COMPUTED_VALUE"""),"Oksigen 6m3")</f>
        <v>Oksigen 6m3</v>
      </c>
      <c r="H215" s="214" t="str">
        <f>IFERROR(__xludf.DUMMYFUNCTION("""COMPUTED_VALUE"""),"IN")</f>
        <v>IN</v>
      </c>
      <c r="I215" s="214" t="str">
        <f>IFERROR(__xludf.DUMMYFUNCTION("""COMPUTED_VALUE"""),"EMPTY")</f>
        <v>EMPTY</v>
      </c>
      <c r="J215" s="211">
        <f>IFERROR(__xludf.DUMMYFUNCTION("""COMPUTED_VALUE"""),4.0)</f>
        <v>4</v>
      </c>
      <c r="K215" s="210" t="str">
        <f>IFERROR(__xludf.DUMMYFUNCTION("""COMPUTED_VALUE"""),"5391 5037 1146 1115")</f>
        <v>5391 5037 1146 1115</v>
      </c>
      <c r="L215" s="211"/>
      <c r="M215" s="211"/>
      <c r="N215" s="211"/>
      <c r="O215" s="211"/>
      <c r="Q215" s="210" t="str">
        <f>IFERROR(__xludf.DUMMYFUNCTION("""COMPUTED_VALUE"""),"ca3b550f")</f>
        <v>ca3b550f</v>
      </c>
      <c r="R215" s="210" t="str">
        <f>IFERROR(__xludf.DUMMYFUNCTION("""COMPUTED_VALUE"""),"ca3b550f")</f>
        <v>ca3b550f</v>
      </c>
      <c r="S215" s="211" t="str">
        <f>IFERROR(__xludf.DUMMYFUNCTION("""COMPUTED_VALUE"""),"2d88931c")</f>
        <v>2d88931c</v>
      </c>
      <c r="T215" s="211" t="str">
        <f>IFERROR(__xludf.DUMMYFUNCTION("""COMPUTED_VALUE"""),"PT Dunia Berkat Marga Mulya")</f>
        <v>PT Dunia Berkat Marga Mulya</v>
      </c>
      <c r="U215" s="215">
        <f>IFERROR(__xludf.DUMMYFUNCTION("""COMPUTED_VALUE"""),45626.54375)</f>
        <v>45626.54375</v>
      </c>
      <c r="V215" s="211" t="str">
        <f>IFERROR(__xludf.DUMMYFUNCTION("""COMPUTED_VALUE"""),"JL JABARAN, WATESARI, BALONGBENDO, SIDOARJO, JAWA TIMUR")</f>
        <v>JL JABARAN, WATESARI, BALONGBENDO, SIDOARJO, JAWA TIMUR</v>
      </c>
      <c r="W215" s="211" t="str">
        <f>IFERROR(__xludf.DUMMYFUNCTION("""COMPUTED_VALUE"""),"IN")</f>
        <v>IN</v>
      </c>
      <c r="X215" s="211"/>
      <c r="Z215" s="211" t="str">
        <f>IFERROR(__xludf.DUMMYFUNCTION("""COMPUTED_VALUE"""),"0226102606")</f>
        <v>0226102606</v>
      </c>
      <c r="AC215" s="211"/>
      <c r="AD215" s="211"/>
      <c r="AE215" s="211"/>
      <c r="AF215" s="211"/>
      <c r="AG215" s="211"/>
      <c r="AH215" s="211"/>
      <c r="AI215" s="211"/>
      <c r="AJ215" s="211"/>
      <c r="AL215" s="211" t="str">
        <f>IFERROR(__xludf.DUMMYFUNCTION("""COMPUTED_VALUE"""),"2250082")</f>
        <v>2250082</v>
      </c>
      <c r="AM215" s="211" t="str">
        <f>IFERROR(__xludf.DUMMYFUNCTION("""COMPUTED_VALUE"""),"1025141368")</f>
        <v>1025141368</v>
      </c>
      <c r="AN215" s="211" t="str">
        <f>IFERROR(__xludf.DUMMYFUNCTION("""COMPUTED_VALUE"""),"b218b89b")</f>
        <v>b218b89b</v>
      </c>
      <c r="AO215" s="211" t="str">
        <f>IFERROR(__xludf.DUMMYFUNCTION("""COMPUTED_VALUE"""),"PT Harapan Sentosa")</f>
        <v>PT Harapan Sentosa</v>
      </c>
      <c r="AP215" s="215">
        <f>IFERROR(__xludf.DUMMYFUNCTION("""COMPUTED_VALUE"""),45974.0)</f>
        <v>45974</v>
      </c>
      <c r="AQ215" s="218">
        <f>IFERROR(__xludf.DUMMYFUNCTION("""COMPUTED_VALUE"""),45931.0)</f>
        <v>45931</v>
      </c>
      <c r="AR215" s="211"/>
      <c r="AS215" s="211"/>
      <c r="AT215" s="211"/>
      <c r="AU215" s="211"/>
      <c r="AV215" s="211"/>
      <c r="AW215" s="211"/>
      <c r="AX215" s="211"/>
      <c r="AY215" s="211"/>
      <c r="AZ215" s="211"/>
      <c r="BB215" s="211"/>
      <c r="BC215" s="211"/>
      <c r="BD215" s="211"/>
      <c r="BE215" s="211"/>
      <c r="BF215" s="211"/>
      <c r="BG215" s="211"/>
      <c r="BH215" s="211"/>
      <c r="BI215" s="211"/>
    </row>
    <row r="216">
      <c r="A216" s="210" t="str">
        <f>IFERROR(__xludf.DUMMYFUNCTION("""COMPUTED_VALUE"""),"f7395418")</f>
        <v>f7395418</v>
      </c>
      <c r="B216" s="210" t="str">
        <f>IFERROR(__xludf.DUMMYFUNCTION("""COMPUTED_VALUE"""),"f7395418")</f>
        <v>f7395418</v>
      </c>
      <c r="C216" s="213">
        <f>IFERROR(__xludf.DUMMYFUNCTION("""COMPUTED_VALUE"""),45609.66793981481)</f>
        <v>45609.66794</v>
      </c>
      <c r="D216" s="211" t="str">
        <f>IFERROR(__xludf.DUMMYFUNCTION("""COMPUTED_VALUE"""),"72d9a70c")</f>
        <v>72d9a70c</v>
      </c>
      <c r="E216" s="211" t="str">
        <f>IFERROR(__xludf.DUMMYFUNCTION("""COMPUTED_VALUE"""),"PT Beton Prima Indonesia")</f>
        <v>PT Beton Prima Indonesia</v>
      </c>
      <c r="F216" s="211" t="str">
        <f>IFERROR(__xludf.DUMMYFUNCTION("""COMPUTED_VALUE"""),"3b9d6a30")</f>
        <v>3b9d6a30</v>
      </c>
      <c r="G216" s="211" t="str">
        <f>IFERROR(__xludf.DUMMYFUNCTION("""COMPUTED_VALUE"""),"Acetyline")</f>
        <v>Acetyline</v>
      </c>
      <c r="H216" s="214" t="str">
        <f>IFERROR(__xludf.DUMMYFUNCTION("""COMPUTED_VALUE"""),"IN")</f>
        <v>IN</v>
      </c>
      <c r="I216" s="214" t="str">
        <f>IFERROR(__xludf.DUMMYFUNCTION("""COMPUTED_VALUE"""),"EMPTY")</f>
        <v>EMPTY</v>
      </c>
      <c r="J216" s="211">
        <f>IFERROR(__xludf.DUMMYFUNCTION("""COMPUTED_VALUE"""),2.0)</f>
        <v>2</v>
      </c>
      <c r="K216" s="210" t="str">
        <f>IFERROR(__xludf.DUMMYFUNCTION("""COMPUTED_VALUE"""),"7924 7962")</f>
        <v>7924 7962</v>
      </c>
      <c r="L216" s="211"/>
      <c r="M216" s="211"/>
      <c r="N216" s="211"/>
      <c r="O216" s="211"/>
      <c r="Q216" s="210" t="str">
        <f>IFERROR(__xludf.DUMMYFUNCTION("""COMPUTED_VALUE"""),"b4b134c6")</f>
        <v>b4b134c6</v>
      </c>
      <c r="R216" s="210" t="str">
        <f>IFERROR(__xludf.DUMMYFUNCTION("""COMPUTED_VALUE"""),"b4b134c6")</f>
        <v>b4b134c6</v>
      </c>
      <c r="S216" s="211" t="str">
        <f>IFERROR(__xludf.DUMMYFUNCTION("""COMPUTED_VALUE"""),"4ec68cf6")</f>
        <v>4ec68cf6</v>
      </c>
      <c r="T216" s="211" t="str">
        <f>IFERROR(__xludf.DUMMYFUNCTION("""COMPUTED_VALUE"""),"CV Sido Mukti Karya")</f>
        <v>CV Sido Mukti Karya</v>
      </c>
      <c r="U216" s="215">
        <f>IFERROR(__xludf.DUMMYFUNCTION("""COMPUTED_VALUE"""),45626.54375)</f>
        <v>45626.54375</v>
      </c>
      <c r="V216" s="211" t="str">
        <f>IFERROR(__xludf.DUMMYFUNCTION("""COMPUTED_VALUE"""),"Pergudangan Center Point no A3, Kemangsen")</f>
        <v>Pergudangan Center Point no A3, Kemangsen</v>
      </c>
      <c r="W216" s="211" t="str">
        <f>IFERROR(__xludf.DUMMYFUNCTION("""COMPUTED_VALUE"""),"IN")</f>
        <v>IN</v>
      </c>
      <c r="X216" s="211"/>
      <c r="Z216" s="211" t="str">
        <f>IFERROR(__xludf.DUMMYFUNCTION("""COMPUTED_VALUE"""),"0226112605")</f>
        <v>0226112605</v>
      </c>
      <c r="AC216" s="211"/>
      <c r="AD216" s="211"/>
      <c r="AE216" s="211"/>
      <c r="AF216" s="211"/>
      <c r="AG216" s="211"/>
      <c r="AH216" s="211"/>
      <c r="AI216" s="211"/>
      <c r="AJ216" s="211"/>
      <c r="AL216" s="211" t="str">
        <f>IFERROR(__xludf.DUMMYFUNCTION("""COMPUTED_VALUE"""),"2250082")</f>
        <v>2250082</v>
      </c>
      <c r="AM216" s="211" t="str">
        <f>IFERROR(__xludf.DUMMYFUNCTION("""COMPUTED_VALUE"""),"1025151469")</f>
        <v>1025151469</v>
      </c>
      <c r="AN216" s="211" t="str">
        <f>IFERROR(__xludf.DUMMYFUNCTION("""COMPUTED_VALUE"""),"b218b89b")</f>
        <v>b218b89b</v>
      </c>
      <c r="AO216" s="211" t="str">
        <f>IFERROR(__xludf.DUMMYFUNCTION("""COMPUTED_VALUE"""),"PT Harapan Sentosa")</f>
        <v>PT Harapan Sentosa</v>
      </c>
      <c r="AP216" s="215">
        <f>IFERROR(__xludf.DUMMYFUNCTION("""COMPUTED_VALUE"""),45974.0)</f>
        <v>45974</v>
      </c>
      <c r="AQ216" s="218">
        <f>IFERROR(__xludf.DUMMYFUNCTION("""COMPUTED_VALUE"""),45947.0)</f>
        <v>45947</v>
      </c>
      <c r="AR216" s="211"/>
      <c r="AS216" s="211"/>
      <c r="AT216" s="211"/>
      <c r="AU216" s="211"/>
      <c r="AV216" s="211"/>
      <c r="AW216" s="211"/>
      <c r="AX216" s="211"/>
      <c r="AY216" s="211"/>
      <c r="AZ216" s="211"/>
      <c r="BB216" s="211"/>
      <c r="BC216" s="211"/>
      <c r="BD216" s="211"/>
      <c r="BE216" s="211"/>
      <c r="BF216" s="211"/>
      <c r="BG216" s="211"/>
      <c r="BH216" s="211"/>
      <c r="BI216" s="211"/>
    </row>
    <row r="217">
      <c r="A217" s="210" t="str">
        <f>IFERROR(__xludf.DUMMYFUNCTION("""COMPUTED_VALUE"""),"128db52b")</f>
        <v>128db52b</v>
      </c>
      <c r="B217" s="210" t="str">
        <f>IFERROR(__xludf.DUMMYFUNCTION("""COMPUTED_VALUE"""),"128db52b")</f>
        <v>128db52b</v>
      </c>
      <c r="C217" s="213">
        <f>IFERROR(__xludf.DUMMYFUNCTION("""COMPUTED_VALUE"""),45609.46150462963)</f>
        <v>45609.4615</v>
      </c>
      <c r="D217" s="211" t="str">
        <f>IFERROR(__xludf.DUMMYFUNCTION("""COMPUTED_VALUE"""),"c2f5a4a7")</f>
        <v>c2f5a4a7</v>
      </c>
      <c r="E217" s="211" t="str">
        <f>IFERROR(__xludf.DUMMYFUNCTION("""COMPUTED_VALUE"""),"UD Sumber Berlian")</f>
        <v>UD Sumber Berlian</v>
      </c>
      <c r="F217" s="211" t="str">
        <f>IFERROR(__xludf.DUMMYFUNCTION("""COMPUTED_VALUE"""),"8bdbe149")</f>
        <v>8bdbe149</v>
      </c>
      <c r="G217" s="211" t="str">
        <f>IFERROR(__xludf.DUMMYFUNCTION("""COMPUTED_VALUE"""),"Oksigen 6m3")</f>
        <v>Oksigen 6m3</v>
      </c>
      <c r="H217" s="214" t="str">
        <f>IFERROR(__xludf.DUMMYFUNCTION("""COMPUTED_VALUE"""),"IN")</f>
        <v>IN</v>
      </c>
      <c r="I217" s="214" t="str">
        <f>IFERROR(__xludf.DUMMYFUNCTION("""COMPUTED_VALUE"""),"EMPTY")</f>
        <v>EMPTY</v>
      </c>
      <c r="J217" s="211">
        <f>IFERROR(__xludf.DUMMYFUNCTION("""COMPUTED_VALUE"""),22.0)</f>
        <v>22</v>
      </c>
      <c r="K217" s="210" t="str">
        <f>IFERROR(__xludf.DUMMYFUNCTION("""COMPUTED_VALUE"""),"5488 5130 1596 5811 1726 1237 5815 1153 1536 1566 1423 5512 1324 5862 11102 1127 11106 1140 11115 1123 1131 1073")</f>
        <v>5488 5130 1596 5811 1726 1237 5815 1153 1536 1566 1423 5512 1324 5862 11102 1127 11106 1140 11115 1123 1131 1073</v>
      </c>
      <c r="L217" s="211"/>
      <c r="M217" s="211"/>
      <c r="N217" s="211"/>
      <c r="O217" s="211"/>
      <c r="Q217" s="210" t="str">
        <f>IFERROR(__xludf.DUMMYFUNCTION("""COMPUTED_VALUE"""),"12240139")</f>
        <v>12240139</v>
      </c>
      <c r="R217" s="210" t="str">
        <f>IFERROR(__xludf.DUMMYFUNCTION("""COMPUTED_VALUE"""),"12240139")</f>
        <v>12240139</v>
      </c>
      <c r="S217" s="211" t="str">
        <f>IFERROR(__xludf.DUMMYFUNCTION("""COMPUTED_VALUE"""),"e86baf3b")</f>
        <v>e86baf3b</v>
      </c>
      <c r="T217" s="211" t="str">
        <f>IFERROR(__xludf.DUMMYFUNCTION("""COMPUTED_VALUE"""),"PT GEMILANG CIPTA WAWASAN")</f>
        <v>PT GEMILANG CIPTA WAWASAN</v>
      </c>
      <c r="U217" s="215">
        <f>IFERROR(__xludf.DUMMYFUNCTION("""COMPUTED_VALUE"""),45628.45208333334)</f>
        <v>45628.45208</v>
      </c>
      <c r="V217" s="211" t="str">
        <f>IFERROR(__xludf.DUMMYFUNCTION("""COMPUTED_VALUE"""),"JL TEBET RAYA, 2A, TEBET BARAT, TEBET, KOTA ADM, JAKARTA SELATAN, DKI JAKARTA")</f>
        <v>JL TEBET RAYA, 2A, TEBET BARAT, TEBET, KOTA ADM, JAKARTA SELATAN, DKI JAKARTA</v>
      </c>
      <c r="W217" s="211" t="str">
        <f>IFERROR(__xludf.DUMMYFUNCTION("""COMPUTED_VALUE"""),"OUT")</f>
        <v>OUT</v>
      </c>
      <c r="X217" s="211"/>
      <c r="Z217" s="211" t="str">
        <f>IFERROR(__xludf.DUMMYFUNCTION("""COMPUTED_VALUE"""),"0226102602")</f>
        <v>0226102602</v>
      </c>
      <c r="AC217" s="211"/>
      <c r="AD217" s="211"/>
      <c r="AE217" s="211"/>
      <c r="AF217" s="211"/>
      <c r="AG217" s="211"/>
      <c r="AH217" s="211"/>
      <c r="AI217" s="211"/>
      <c r="AJ217" s="211"/>
      <c r="AL217" s="211" t="str">
        <f>IFERROR(__xludf.DUMMYFUNCTION("""COMPUTED_VALUE"""),"2250089")</f>
        <v>2250089</v>
      </c>
      <c r="AM217" s="211" t="str">
        <f>IFERROR(__xludf.DUMMYFUNCTION("""COMPUTED_VALUE"""),"1025141386")</f>
        <v>1025141386</v>
      </c>
      <c r="AN217" s="211" t="str">
        <f>IFERROR(__xludf.DUMMYFUNCTION("""COMPUTED_VALUE"""),"182fb0fe")</f>
        <v>182fb0fe</v>
      </c>
      <c r="AO217" s="211" t="str">
        <f>IFERROR(__xludf.DUMMYFUNCTION("""COMPUTED_VALUE"""),"PT Amtech")</f>
        <v>PT Amtech</v>
      </c>
      <c r="AP217" s="215">
        <f>IFERROR(__xludf.DUMMYFUNCTION("""COMPUTED_VALUE"""),45972.64034722222)</f>
        <v>45972.64035</v>
      </c>
      <c r="AQ217" s="218">
        <f>IFERROR(__xludf.DUMMYFUNCTION("""COMPUTED_VALUE"""),45934.0)</f>
        <v>45934</v>
      </c>
      <c r="AR217" s="211"/>
      <c r="AS217" s="211"/>
      <c r="AT217" s="211"/>
      <c r="AU217" s="211"/>
      <c r="AV217" s="211"/>
      <c r="AW217" s="211"/>
      <c r="AX217" s="211"/>
      <c r="AY217" s="211"/>
      <c r="AZ217" s="211"/>
      <c r="BB217" s="211"/>
      <c r="BC217" s="211"/>
      <c r="BD217" s="211"/>
      <c r="BE217" s="211"/>
      <c r="BF217" s="211"/>
      <c r="BG217" s="211"/>
      <c r="BH217" s="211"/>
      <c r="BI217" s="211"/>
    </row>
    <row r="218">
      <c r="A218" s="210" t="str">
        <f>IFERROR(__xludf.DUMMYFUNCTION("""COMPUTED_VALUE"""),"11240102")</f>
        <v>11240102</v>
      </c>
      <c r="B218" s="210" t="str">
        <f>IFERROR(__xludf.DUMMYFUNCTION("""COMPUTED_VALUE"""),"11240102")</f>
        <v>11240102</v>
      </c>
      <c r="C218" s="213">
        <f>IFERROR(__xludf.DUMMYFUNCTION("""COMPUTED_VALUE"""),45611.43349537037)</f>
        <v>45611.4335</v>
      </c>
      <c r="D218" s="211" t="str">
        <f>IFERROR(__xludf.DUMMYFUNCTION("""COMPUTED_VALUE"""),"f8335a53")</f>
        <v>f8335a53</v>
      </c>
      <c r="E218" s="211" t="str">
        <f>IFERROR(__xludf.DUMMYFUNCTION("""COMPUTED_VALUE"""),"CV RAGAM JAYA ENGINEERING")</f>
        <v>CV RAGAM JAYA ENGINEERING</v>
      </c>
      <c r="F218" s="211" t="str">
        <f>IFERROR(__xludf.DUMMYFUNCTION("""COMPUTED_VALUE"""),"8bdbe149")</f>
        <v>8bdbe149</v>
      </c>
      <c r="G218" s="211" t="str">
        <f>IFERROR(__xludf.DUMMYFUNCTION("""COMPUTED_VALUE"""),"Oksigen 6m3")</f>
        <v>Oksigen 6m3</v>
      </c>
      <c r="H218" s="214" t="str">
        <f>IFERROR(__xludf.DUMMYFUNCTION("""COMPUTED_VALUE"""),"OUT")</f>
        <v>OUT</v>
      </c>
      <c r="I218" s="214" t="str">
        <f>IFERROR(__xludf.DUMMYFUNCTION("""COMPUTED_VALUE"""),"NORMAL")</f>
        <v>NORMAL</v>
      </c>
      <c r="J218" s="211">
        <f>IFERROR(__xludf.DUMMYFUNCTION("""COMPUTED_VALUE"""),5.0)</f>
        <v>5</v>
      </c>
      <c r="K218" s="210" t="str">
        <f>IFERROR(__xludf.DUMMYFUNCTION("""COMPUTED_VALUE"""),"1123 1187 11121 1127 1141")</f>
        <v>1123 1187 11121 1127 1141</v>
      </c>
      <c r="L218" s="211">
        <f>IFERROR(__xludf.DUMMYFUNCTION("""COMPUTED_VALUE"""),60000.0)</f>
        <v>60000</v>
      </c>
      <c r="M218" s="211"/>
      <c r="N218" s="211"/>
      <c r="O218" s="211"/>
      <c r="Q218" s="210" t="str">
        <f>IFERROR(__xludf.DUMMYFUNCTION("""COMPUTED_VALUE"""),"12240142")</f>
        <v>12240142</v>
      </c>
      <c r="R218" s="210" t="str">
        <f>IFERROR(__xludf.DUMMYFUNCTION("""COMPUTED_VALUE"""),"12240142")</f>
        <v>12240142</v>
      </c>
      <c r="S218" s="211" t="str">
        <f>IFERROR(__xludf.DUMMYFUNCTION("""COMPUTED_VALUE"""),"2a67569a")</f>
        <v>2a67569a</v>
      </c>
      <c r="T218" s="211" t="str">
        <f>IFERROR(__xludf.DUMMYFUNCTION("""COMPUTED_VALUE"""),"PT REKAYASA CAHAYA CEMERLANG")</f>
        <v>PT REKAYASA CAHAYA CEMERLANG</v>
      </c>
      <c r="U218" s="215">
        <f>IFERROR(__xludf.DUMMYFUNCTION("""COMPUTED_VALUE"""),45628.48819444445)</f>
        <v>45628.48819</v>
      </c>
      <c r="V218" s="211" t="str">
        <f>IFERROR(__xludf.DUMMYFUNCTION("""COMPUTED_VALUE"""),"Pergudangan Tritan Taman Blok C No. 39 Jemundo, Taman, Kab. Sidoarjo, Jawa Timur 61257")</f>
        <v>Pergudangan Tritan Taman Blok C No. 39 Jemundo, Taman, Kab. Sidoarjo, Jawa Timur 61257</v>
      </c>
      <c r="W218" s="211" t="str">
        <f>IFERROR(__xludf.DUMMYFUNCTION("""COMPUTED_VALUE"""),"OUT")</f>
        <v>OUT</v>
      </c>
      <c r="X218" s="211"/>
      <c r="Z218" s="211" t="str">
        <f>IFERROR(__xludf.DUMMYFUNCTION("""COMPUTED_VALUE"""),"0226452601")</f>
        <v>0226452601</v>
      </c>
      <c r="AC218" s="211"/>
      <c r="AD218" s="211"/>
      <c r="AE218" s="211"/>
      <c r="AF218" s="211"/>
      <c r="AG218" s="211"/>
      <c r="AH218" s="211"/>
      <c r="AI218" s="211"/>
      <c r="AJ218" s="211"/>
      <c r="AL218" s="211" t="str">
        <f>IFERROR(__xludf.DUMMYFUNCTION("""COMPUTED_VALUE"""),"2250089")</f>
        <v>2250089</v>
      </c>
      <c r="AM218" s="211" t="str">
        <f>IFERROR(__xludf.DUMMYFUNCTION("""COMPUTED_VALUE"""),"1025151404")</f>
        <v>1025151404</v>
      </c>
      <c r="AN218" s="211" t="str">
        <f>IFERROR(__xludf.DUMMYFUNCTION("""COMPUTED_VALUE"""),"182fb0fe")</f>
        <v>182fb0fe</v>
      </c>
      <c r="AO218" s="211" t="str">
        <f>IFERROR(__xludf.DUMMYFUNCTION("""COMPUTED_VALUE"""),"PT Amtech")</f>
        <v>PT Amtech</v>
      </c>
      <c r="AP218" s="215">
        <f>IFERROR(__xludf.DUMMYFUNCTION("""COMPUTED_VALUE"""),45972.64034722222)</f>
        <v>45972.64035</v>
      </c>
      <c r="AQ218" s="218">
        <f>IFERROR(__xludf.DUMMYFUNCTION("""COMPUTED_VALUE"""),45938.0)</f>
        <v>45938</v>
      </c>
      <c r="AR218" s="211"/>
      <c r="AS218" s="211"/>
      <c r="AT218" s="211"/>
      <c r="AU218" s="211"/>
      <c r="AV218" s="211"/>
      <c r="AW218" s="211"/>
      <c r="AX218" s="211"/>
      <c r="AY218" s="211"/>
      <c r="AZ218" s="211"/>
      <c r="BB218" s="211"/>
      <c r="BC218" s="211"/>
      <c r="BD218" s="211"/>
      <c r="BE218" s="211"/>
      <c r="BF218" s="211"/>
      <c r="BG218" s="211"/>
      <c r="BH218" s="211"/>
      <c r="BI218" s="211"/>
    </row>
    <row r="219">
      <c r="A219" s="210" t="str">
        <f>IFERROR(__xludf.DUMMYFUNCTION("""COMPUTED_VALUE"""),"11240102")</f>
        <v>11240102</v>
      </c>
      <c r="B219" s="210" t="str">
        <f>IFERROR(__xludf.DUMMYFUNCTION("""COMPUTED_VALUE"""),"11240102")</f>
        <v>11240102</v>
      </c>
      <c r="C219" s="213">
        <f>IFERROR(__xludf.DUMMYFUNCTION("""COMPUTED_VALUE"""),45611.43388888889)</f>
        <v>45611.43389</v>
      </c>
      <c r="D219" s="211" t="str">
        <f>IFERROR(__xludf.DUMMYFUNCTION("""COMPUTED_VALUE"""),"f8335a53")</f>
        <v>f8335a53</v>
      </c>
      <c r="E219" s="211" t="str">
        <f>IFERROR(__xludf.DUMMYFUNCTION("""COMPUTED_VALUE"""),"CV RAGAM JAYA ENGINEERING")</f>
        <v>CV RAGAM JAYA ENGINEERING</v>
      </c>
      <c r="F219" s="211" t="str">
        <f>IFERROR(__xludf.DUMMYFUNCTION("""COMPUTED_VALUE"""),"ef306e54")</f>
        <v>ef306e54</v>
      </c>
      <c r="G219" s="211" t="str">
        <f>IFERROR(__xludf.DUMMYFUNCTION("""COMPUTED_VALUE"""),"Karbondioksida")</f>
        <v>Karbondioksida</v>
      </c>
      <c r="H219" s="214" t="str">
        <f>IFERROR(__xludf.DUMMYFUNCTION("""COMPUTED_VALUE"""),"OUT")</f>
        <v>OUT</v>
      </c>
      <c r="I219" s="214" t="str">
        <f>IFERROR(__xludf.DUMMYFUNCTION("""COMPUTED_VALUE"""),"NORMAL")</f>
        <v>NORMAL</v>
      </c>
      <c r="J219" s="211">
        <f>IFERROR(__xludf.DUMMYFUNCTION("""COMPUTED_VALUE"""),5.0)</f>
        <v>5</v>
      </c>
      <c r="K219" s="210" t="str">
        <f>IFERROR(__xludf.DUMMYFUNCTION("""COMPUTED_VALUE"""),"6975 6820 6606 6929 6731")</f>
        <v>6975 6820 6606 6929 6731</v>
      </c>
      <c r="L219" s="211">
        <f>IFERROR(__xludf.DUMMYFUNCTION("""COMPUTED_VALUE"""),160000.0)</f>
        <v>160000</v>
      </c>
      <c r="M219" s="211"/>
      <c r="N219" s="211"/>
      <c r="O219" s="211"/>
      <c r="Q219" s="210" t="str">
        <f>IFERROR(__xludf.DUMMYFUNCTION("""COMPUTED_VALUE"""),"12240143")</f>
        <v>12240143</v>
      </c>
      <c r="R219" s="210" t="str">
        <f>IFERROR(__xludf.DUMMYFUNCTION("""COMPUTED_VALUE"""),"12240143")</f>
        <v>12240143</v>
      </c>
      <c r="S219" s="211" t="str">
        <f>IFERROR(__xludf.DUMMYFUNCTION("""COMPUTED_VALUE"""),"2a67569a")</f>
        <v>2a67569a</v>
      </c>
      <c r="T219" s="211" t="str">
        <f>IFERROR(__xludf.DUMMYFUNCTION("""COMPUTED_VALUE"""),"PT REKAYASA CAHAYA CEMERLANG")</f>
        <v>PT REKAYASA CAHAYA CEMERLANG</v>
      </c>
      <c r="U219" s="215">
        <f>IFERROR(__xludf.DUMMYFUNCTION("""COMPUTED_VALUE"""),45629.490277777775)</f>
        <v>45629.49028</v>
      </c>
      <c r="V219" s="211" t="str">
        <f>IFERROR(__xludf.DUMMYFUNCTION("""COMPUTED_VALUE"""),"Pergudangan Tritan Taman Blok C No. 39 Jemundo, Taman, Kab. Sidoarjo, Jawa Timur 61257")</f>
        <v>Pergudangan Tritan Taman Blok C No. 39 Jemundo, Taman, Kab. Sidoarjo, Jawa Timur 61257</v>
      </c>
      <c r="W219" s="211" t="str">
        <f>IFERROR(__xludf.DUMMYFUNCTION("""COMPUTED_VALUE"""),"OUT")</f>
        <v>OUT</v>
      </c>
      <c r="X219" s="211"/>
      <c r="Z219" s="211" t="str">
        <f>IFERROR(__xludf.DUMMYFUNCTION("""COMPUTED_VALUE"""),"0226862600")</f>
        <v>0226862600</v>
      </c>
      <c r="AC219" s="211"/>
      <c r="AD219" s="211"/>
      <c r="AE219" s="211"/>
      <c r="AF219" s="211"/>
      <c r="AG219" s="211"/>
      <c r="AH219" s="211"/>
      <c r="AI219" s="211"/>
      <c r="AJ219" s="211"/>
      <c r="AL219" s="211" t="str">
        <f>IFERROR(__xludf.DUMMYFUNCTION("""COMPUTED_VALUE"""),"2250089")</f>
        <v>2250089</v>
      </c>
      <c r="AM219" s="211" t="str">
        <f>IFERROR(__xludf.DUMMYFUNCTION("""COMPUTED_VALUE"""),"1025161451")</f>
        <v>1025161451</v>
      </c>
      <c r="AN219" s="211" t="str">
        <f>IFERROR(__xludf.DUMMYFUNCTION("""COMPUTED_VALUE"""),"182fb0fe")</f>
        <v>182fb0fe</v>
      </c>
      <c r="AO219" s="211" t="str">
        <f>IFERROR(__xludf.DUMMYFUNCTION("""COMPUTED_VALUE"""),"PT Amtech")</f>
        <v>PT Amtech</v>
      </c>
      <c r="AP219" s="215">
        <f>IFERROR(__xludf.DUMMYFUNCTION("""COMPUTED_VALUE"""),45972.64034722222)</f>
        <v>45972.64035</v>
      </c>
      <c r="AQ219" s="218">
        <f>IFERROR(__xludf.DUMMYFUNCTION("""COMPUTED_VALUE"""),45945.0)</f>
        <v>45945</v>
      </c>
      <c r="AR219" s="211"/>
      <c r="AS219" s="211"/>
      <c r="AT219" s="211"/>
      <c r="AU219" s="211"/>
      <c r="AV219" s="211"/>
      <c r="AW219" s="211"/>
      <c r="AX219" s="211"/>
      <c r="AY219" s="211"/>
      <c r="AZ219" s="211"/>
      <c r="BB219" s="211"/>
      <c r="BC219" s="211"/>
      <c r="BD219" s="211"/>
      <c r="BE219" s="211"/>
      <c r="BF219" s="211"/>
      <c r="BG219" s="211"/>
      <c r="BH219" s="211"/>
      <c r="BI219" s="211"/>
    </row>
    <row r="220">
      <c r="A220" s="210" t="str">
        <f>IFERROR(__xludf.DUMMYFUNCTION("""COMPUTED_VALUE"""),"11240104")</f>
        <v>11240104</v>
      </c>
      <c r="B220" s="210" t="str">
        <f>IFERROR(__xludf.DUMMYFUNCTION("""COMPUTED_VALUE"""),"11240104")</f>
        <v>11240104</v>
      </c>
      <c r="C220" s="213">
        <f>IFERROR(__xludf.DUMMYFUNCTION("""COMPUTED_VALUE"""),45611.43462962963)</f>
        <v>45611.43463</v>
      </c>
      <c r="D220" s="211" t="str">
        <f>IFERROR(__xludf.DUMMYFUNCTION("""COMPUTED_VALUE"""),"c2f5a4a7")</f>
        <v>c2f5a4a7</v>
      </c>
      <c r="E220" s="211" t="str">
        <f>IFERROR(__xludf.DUMMYFUNCTION("""COMPUTED_VALUE"""),"UD Sumber Berlian")</f>
        <v>UD Sumber Berlian</v>
      </c>
      <c r="F220" s="211" t="str">
        <f>IFERROR(__xludf.DUMMYFUNCTION("""COMPUTED_VALUE"""),"8bdbe149")</f>
        <v>8bdbe149</v>
      </c>
      <c r="G220" s="211" t="str">
        <f>IFERROR(__xludf.DUMMYFUNCTION("""COMPUTED_VALUE"""),"Oksigen 6m3")</f>
        <v>Oksigen 6m3</v>
      </c>
      <c r="H220" s="214" t="str">
        <f>IFERROR(__xludf.DUMMYFUNCTION("""COMPUTED_VALUE"""),"OUT")</f>
        <v>OUT</v>
      </c>
      <c r="I220" s="214" t="str">
        <f>IFERROR(__xludf.DUMMYFUNCTION("""COMPUTED_VALUE"""),"NORMAL")</f>
        <v>NORMAL</v>
      </c>
      <c r="J220" s="211">
        <f>IFERROR(__xludf.DUMMYFUNCTION("""COMPUTED_VALUE"""),10.0)</f>
        <v>10</v>
      </c>
      <c r="K220" s="210" t="str">
        <f>IFERROR(__xludf.DUMMYFUNCTION("""COMPUTED_VALUE"""),"5296 1598 5181 5311 5441 1732 5543 1346 1065 5319")</f>
        <v>5296 1598 5181 5311 5441 1732 5543 1346 1065 5319</v>
      </c>
      <c r="L220" s="211">
        <f>IFERROR(__xludf.DUMMYFUNCTION("""COMPUTED_VALUE"""),70000.0)</f>
        <v>70000</v>
      </c>
      <c r="M220" s="211"/>
      <c r="N220" s="211"/>
      <c r="O220" s="211"/>
      <c r="Q220" s="210" t="str">
        <f>IFERROR(__xludf.DUMMYFUNCTION("""COMPUTED_VALUE"""),"12240145")</f>
        <v>12240145</v>
      </c>
      <c r="R220" s="210" t="str">
        <f>IFERROR(__xludf.DUMMYFUNCTION("""COMPUTED_VALUE"""),"12240145")</f>
        <v>12240145</v>
      </c>
      <c r="S220" s="211" t="str">
        <f>IFERROR(__xludf.DUMMYFUNCTION("""COMPUTED_VALUE"""),"8f5ebaea")</f>
        <v>8f5ebaea</v>
      </c>
      <c r="T220" s="211" t="str">
        <f>IFERROR(__xludf.DUMMYFUNCTION("""COMPUTED_VALUE"""),"PT Hua Zong Mesindo")</f>
        <v>PT Hua Zong Mesindo</v>
      </c>
      <c r="U220" s="215">
        <f>IFERROR(__xludf.DUMMYFUNCTION("""COMPUTED_VALUE"""),45628.51111111111)</f>
        <v>45628.51111</v>
      </c>
      <c r="V220" s="211" t="str">
        <f>IFERROR(__xludf.DUMMYFUNCTION("""COMPUTED_VALUE"""),"Jl. Bypass Krian, Sidotemo, Sidomulyo, Kec. Krian, Kabupaten Sidoarjo, Jawa Timur 61262")</f>
        <v>Jl. Bypass Krian, Sidotemo, Sidomulyo, Kec. Krian, Kabupaten Sidoarjo, Jawa Timur 61262</v>
      </c>
      <c r="W220" s="211" t="str">
        <f>IFERROR(__xludf.DUMMYFUNCTION("""COMPUTED_VALUE"""),"OUT")</f>
        <v>OUT</v>
      </c>
      <c r="X220" s="211"/>
      <c r="Z220" s="211" t="str">
        <f>IFERROR(__xludf.DUMMYFUNCTION("""COMPUTED_VALUE"""),"0226462599")</f>
        <v>0226462599</v>
      </c>
      <c r="AC220" s="211"/>
      <c r="AD220" s="211"/>
      <c r="AE220" s="211"/>
      <c r="AF220" s="211"/>
      <c r="AG220" s="211"/>
      <c r="AH220" s="211"/>
      <c r="AI220" s="211"/>
      <c r="AJ220" s="211"/>
      <c r="AL220" s="211" t="str">
        <f>IFERROR(__xludf.DUMMYFUNCTION("""COMPUTED_VALUE"""),"2250089")</f>
        <v>2250089</v>
      </c>
      <c r="AM220" s="211" t="str">
        <f>IFERROR(__xludf.DUMMYFUNCTION("""COMPUTED_VALUE"""),"1025171471")</f>
        <v>1025171471</v>
      </c>
      <c r="AN220" s="211" t="str">
        <f>IFERROR(__xludf.DUMMYFUNCTION("""COMPUTED_VALUE"""),"182fb0fe")</f>
        <v>182fb0fe</v>
      </c>
      <c r="AO220" s="211" t="str">
        <f>IFERROR(__xludf.DUMMYFUNCTION("""COMPUTED_VALUE"""),"PT Amtech")</f>
        <v>PT Amtech</v>
      </c>
      <c r="AP220" s="215">
        <f>IFERROR(__xludf.DUMMYFUNCTION("""COMPUTED_VALUE"""),45972.64034722222)</f>
        <v>45972.64035</v>
      </c>
      <c r="AQ220" s="218">
        <f>IFERROR(__xludf.DUMMYFUNCTION("""COMPUTED_VALUE"""),45947.0)</f>
        <v>45947</v>
      </c>
      <c r="AR220" s="211"/>
      <c r="AS220" s="211"/>
      <c r="AT220" s="211"/>
      <c r="AU220" s="211"/>
      <c r="AV220" s="211"/>
      <c r="AW220" s="211"/>
      <c r="AX220" s="211"/>
      <c r="AY220" s="211"/>
      <c r="AZ220" s="211"/>
      <c r="BB220" s="211"/>
      <c r="BC220" s="211"/>
      <c r="BD220" s="211"/>
      <c r="BE220" s="211"/>
      <c r="BF220" s="211"/>
      <c r="BG220" s="211"/>
      <c r="BH220" s="211"/>
      <c r="BI220" s="211"/>
    </row>
    <row r="221">
      <c r="A221" s="210" t="str">
        <f>IFERROR(__xludf.DUMMYFUNCTION("""COMPUTED_VALUE"""),"c62c6533")</f>
        <v>c62c6533</v>
      </c>
      <c r="B221" s="210" t="str">
        <f>IFERROR(__xludf.DUMMYFUNCTION("""COMPUTED_VALUE"""),"c62c6533")</f>
        <v>c62c6533</v>
      </c>
      <c r="C221" s="213">
        <f>IFERROR(__xludf.DUMMYFUNCTION("""COMPUTED_VALUE"""),45611.51111111111)</f>
        <v>45611.51111</v>
      </c>
      <c r="D221" s="211" t="str">
        <f>IFERROR(__xludf.DUMMYFUNCTION("""COMPUTED_VALUE"""),"c2f5a4a7")</f>
        <v>c2f5a4a7</v>
      </c>
      <c r="E221" s="211" t="str">
        <f>IFERROR(__xludf.DUMMYFUNCTION("""COMPUTED_VALUE"""),"UD Sumber Berlian")</f>
        <v>UD Sumber Berlian</v>
      </c>
      <c r="F221" s="211" t="str">
        <f>IFERROR(__xludf.DUMMYFUNCTION("""COMPUTED_VALUE"""),"8bdbe149")</f>
        <v>8bdbe149</v>
      </c>
      <c r="G221" s="211" t="str">
        <f>IFERROR(__xludf.DUMMYFUNCTION("""COMPUTED_VALUE"""),"Oksigen 6m3")</f>
        <v>Oksigen 6m3</v>
      </c>
      <c r="H221" s="214" t="str">
        <f>IFERROR(__xludf.DUMMYFUNCTION("""COMPUTED_VALUE"""),"IN")</f>
        <v>IN</v>
      </c>
      <c r="I221" s="214" t="str">
        <f>IFERROR(__xludf.DUMMYFUNCTION("""COMPUTED_VALUE"""),"EMPTY")</f>
        <v>EMPTY</v>
      </c>
      <c r="J221" s="211">
        <f>IFERROR(__xludf.DUMMYFUNCTION("""COMPUTED_VALUE"""),12.0)</f>
        <v>12</v>
      </c>
      <c r="K221" s="210" t="str">
        <f>IFERROR(__xludf.DUMMYFUNCTION("""COMPUTED_VALUE"""),"1181 1146 1115 5651 1626 5861 5772 001 002 003 004 005")</f>
        <v>1181 1146 1115 5651 1626 5861 5772 001 002 003 004 005</v>
      </c>
      <c r="L221" s="211"/>
      <c r="M221" s="211"/>
      <c r="N221" s="211"/>
      <c r="O221" s="211"/>
      <c r="Q221" s="210" t="str">
        <f>IFERROR(__xludf.DUMMYFUNCTION("""COMPUTED_VALUE"""),"12240146")</f>
        <v>12240146</v>
      </c>
      <c r="R221" s="210" t="str">
        <f>IFERROR(__xludf.DUMMYFUNCTION("""COMPUTED_VALUE"""),"12240146")</f>
        <v>12240146</v>
      </c>
      <c r="S221" s="211" t="str">
        <f>IFERROR(__xludf.DUMMYFUNCTION("""COMPUTED_VALUE"""),"785e0e07")</f>
        <v>785e0e07</v>
      </c>
      <c r="T221" s="211" t="str">
        <f>IFERROR(__xludf.DUMMYFUNCTION("""COMPUTED_VALUE"""),"Bpk. Sukirno (Bejo)")</f>
        <v>Bpk. Sukirno (Bejo)</v>
      </c>
      <c r="U221" s="215">
        <f>IFERROR(__xludf.DUMMYFUNCTION("""COMPUTED_VALUE"""),45628.51111111111)</f>
        <v>45628.51111</v>
      </c>
      <c r="V221" s="211" t="str">
        <f>IFERROR(__xludf.DUMMYFUNCTION("""COMPUTED_VALUE"""),"Krajan I, Wringinanom, Kec. Wringinanom, Kabupaten Gresik, Jawa Timur 61176")</f>
        <v>Krajan I, Wringinanom, Kec. Wringinanom, Kabupaten Gresik, Jawa Timur 61176</v>
      </c>
      <c r="W221" s="211" t="str">
        <f>IFERROR(__xludf.DUMMYFUNCTION("""COMPUTED_VALUE"""),"OUT")</f>
        <v>OUT</v>
      </c>
      <c r="X221" s="211"/>
      <c r="Z221" s="211" t="str">
        <f>IFERROR(__xludf.DUMMYFUNCTION("""COMPUTED_VALUE"""),"0226222594")</f>
        <v>0226222594</v>
      </c>
      <c r="AC221" s="211"/>
      <c r="AD221" s="211"/>
      <c r="AE221" s="211"/>
      <c r="AF221" s="211"/>
      <c r="AG221" s="211"/>
      <c r="AH221" s="211"/>
      <c r="AI221" s="211"/>
      <c r="AJ221" s="211"/>
      <c r="AL221" s="211" t="str">
        <f>IFERROR(__xludf.DUMMYFUNCTION("""COMPUTED_VALUE"""),"2250089")</f>
        <v>2250089</v>
      </c>
      <c r="AM221" s="211" t="str">
        <f>IFERROR(__xludf.DUMMYFUNCTION("""COMPUTED_VALUE"""),"1025181539")</f>
        <v>1025181539</v>
      </c>
      <c r="AN221" s="211" t="str">
        <f>IFERROR(__xludf.DUMMYFUNCTION("""COMPUTED_VALUE"""),"182fb0fe")</f>
        <v>182fb0fe</v>
      </c>
      <c r="AO221" s="211" t="str">
        <f>IFERROR(__xludf.DUMMYFUNCTION("""COMPUTED_VALUE"""),"PT Amtech")</f>
        <v>PT Amtech</v>
      </c>
      <c r="AP221" s="215">
        <f>IFERROR(__xludf.DUMMYFUNCTION("""COMPUTED_VALUE"""),45972.64034722222)</f>
        <v>45972.64035</v>
      </c>
      <c r="AQ221" s="218">
        <f>IFERROR(__xludf.DUMMYFUNCTION("""COMPUTED_VALUE"""),45958.0)</f>
        <v>45958</v>
      </c>
      <c r="AR221" s="211"/>
      <c r="AS221" s="211"/>
      <c r="AT221" s="211"/>
      <c r="AU221" s="211"/>
      <c r="AV221" s="211"/>
      <c r="AW221" s="211"/>
      <c r="AX221" s="211"/>
      <c r="AY221" s="211"/>
      <c r="AZ221" s="211"/>
      <c r="BB221" s="211"/>
      <c r="BC221" s="211"/>
      <c r="BD221" s="211"/>
      <c r="BE221" s="211"/>
      <c r="BF221" s="211"/>
      <c r="BG221" s="211"/>
      <c r="BH221" s="211"/>
      <c r="BI221" s="211"/>
    </row>
    <row r="222">
      <c r="A222" s="210" t="str">
        <f>IFERROR(__xludf.DUMMYFUNCTION("""COMPUTED_VALUE"""),"98b52ea3")</f>
        <v>98b52ea3</v>
      </c>
      <c r="B222" s="210" t="str">
        <f>IFERROR(__xludf.DUMMYFUNCTION("""COMPUTED_VALUE"""),"98b52ea3")</f>
        <v>98b52ea3</v>
      </c>
      <c r="C222" s="213">
        <f>IFERROR(__xludf.DUMMYFUNCTION("""COMPUTED_VALUE"""),45611.58704861111)</f>
        <v>45611.58705</v>
      </c>
      <c r="D222" s="211" t="str">
        <f>IFERROR(__xludf.DUMMYFUNCTION("""COMPUTED_VALUE"""),"f8335a53")</f>
        <v>f8335a53</v>
      </c>
      <c r="E222" s="211" t="str">
        <f>IFERROR(__xludf.DUMMYFUNCTION("""COMPUTED_VALUE"""),"CV RAGAM JAYA ENGINEERING")</f>
        <v>CV RAGAM JAYA ENGINEERING</v>
      </c>
      <c r="F222" s="211" t="str">
        <f>IFERROR(__xludf.DUMMYFUNCTION("""COMPUTED_VALUE"""),"be525f3b")</f>
        <v>be525f3b</v>
      </c>
      <c r="G222" s="211" t="str">
        <f>IFERROR(__xludf.DUMMYFUNCTION("""COMPUTED_VALUE"""),"LPG 12kg")</f>
        <v>LPG 12kg</v>
      </c>
      <c r="H222" s="214" t="str">
        <f>IFERROR(__xludf.DUMMYFUNCTION("""COMPUTED_VALUE"""),"IN")</f>
        <v>IN</v>
      </c>
      <c r="I222" s="214" t="str">
        <f>IFERROR(__xludf.DUMMYFUNCTION("""COMPUTED_VALUE"""),"EMPTY")</f>
        <v>EMPTY</v>
      </c>
      <c r="J222" s="211">
        <f>IFERROR(__xludf.DUMMYFUNCTION("""COMPUTED_VALUE"""),4.0)</f>
        <v>4</v>
      </c>
      <c r="K222" s="211"/>
      <c r="L222" s="211"/>
      <c r="M222" s="211"/>
      <c r="N222" s="211"/>
      <c r="O222" s="211"/>
      <c r="Q222" s="210" t="str">
        <f>IFERROR(__xludf.DUMMYFUNCTION("""COMPUTED_VALUE"""),"681ade5e")</f>
        <v>681ade5e</v>
      </c>
      <c r="R222" s="210" t="str">
        <f>IFERROR(__xludf.DUMMYFUNCTION("""COMPUTED_VALUE"""),"681ade5e")</f>
        <v>681ade5e</v>
      </c>
      <c r="S222" s="211" t="str">
        <f>IFERROR(__xludf.DUMMYFUNCTION("""COMPUTED_VALUE"""),"8f5ebaea")</f>
        <v>8f5ebaea</v>
      </c>
      <c r="T222" s="211" t="str">
        <f>IFERROR(__xludf.DUMMYFUNCTION("""COMPUTED_VALUE"""),"PT Hua Zong Mesindo")</f>
        <v>PT Hua Zong Mesindo</v>
      </c>
      <c r="U222" s="215">
        <f>IFERROR(__xludf.DUMMYFUNCTION("""COMPUTED_VALUE"""),45628.6625)</f>
        <v>45628.6625</v>
      </c>
      <c r="V222" s="211" t="str">
        <f>IFERROR(__xludf.DUMMYFUNCTION("""COMPUTED_VALUE"""),"Jl. Bypass Krian, Sidotemo, Sidomulyo, Kec. Krian, Kabupaten Sidoarjo, Jawa Timur 61262")</f>
        <v>Jl. Bypass Krian, Sidotemo, Sidomulyo, Kec. Krian, Kabupaten Sidoarjo, Jawa Timur 61262</v>
      </c>
      <c r="W222" s="211" t="str">
        <f>IFERROR(__xludf.DUMMYFUNCTION("""COMPUTED_VALUE"""),"IN")</f>
        <v>IN</v>
      </c>
      <c r="X222" s="211"/>
      <c r="Z222" s="211" t="str">
        <f>IFERROR(__xludf.DUMMYFUNCTION("""COMPUTED_VALUE"""),"022642591")</f>
        <v>022642591</v>
      </c>
      <c r="AC222" s="211"/>
      <c r="AD222" s="211"/>
      <c r="AE222" s="211"/>
      <c r="AF222" s="211"/>
      <c r="AG222" s="211"/>
      <c r="AH222" s="211"/>
      <c r="AI222" s="211"/>
      <c r="AJ222" s="211"/>
      <c r="AL222" s="211" t="str">
        <f>IFERROR(__xludf.DUMMYFUNCTION("""COMPUTED_VALUE"""),"2250085")</f>
        <v>2250085</v>
      </c>
      <c r="AM222" s="211" t="str">
        <f>IFERROR(__xludf.DUMMYFUNCTION("""COMPUTED_VALUE"""),"102511518")</f>
        <v>102511518</v>
      </c>
      <c r="AN222" s="211" t="str">
        <f>IFERROR(__xludf.DUMMYFUNCTION("""COMPUTED_VALUE"""),"ba97d58d")</f>
        <v>ba97d58d</v>
      </c>
      <c r="AO222" s="211" t="str">
        <f>IFERROR(__xludf.DUMMYFUNCTION("""COMPUTED_VALUE"""),"Bengkel Citra Mojosari")</f>
        <v>Bengkel Citra Mojosari</v>
      </c>
      <c r="AP222" s="215">
        <f>IFERROR(__xludf.DUMMYFUNCTION("""COMPUTED_VALUE"""),45971.42576388889)</f>
        <v>45971.42576</v>
      </c>
      <c r="AQ222" s="218">
        <f>IFERROR(__xludf.DUMMYFUNCTION("""COMPUTED_VALUE"""),45954.0)</f>
        <v>45954</v>
      </c>
      <c r="AR222" s="211"/>
      <c r="AS222" s="211"/>
      <c r="AT222" s="211"/>
      <c r="AU222" s="211"/>
      <c r="AV222" s="211"/>
      <c r="AW222" s="211"/>
      <c r="AX222" s="211"/>
      <c r="AY222" s="211"/>
      <c r="AZ222" s="211"/>
      <c r="BB222" s="211"/>
      <c r="BC222" s="211"/>
      <c r="BD222" s="211"/>
      <c r="BE222" s="211"/>
      <c r="BF222" s="211"/>
      <c r="BG222" s="211"/>
      <c r="BH222" s="211"/>
      <c r="BI222" s="211"/>
    </row>
    <row r="223">
      <c r="A223" s="210" t="str">
        <f>IFERROR(__xludf.DUMMYFUNCTION("""COMPUTED_VALUE"""),"98b52ea3")</f>
        <v>98b52ea3</v>
      </c>
      <c r="B223" s="210" t="str">
        <f>IFERROR(__xludf.DUMMYFUNCTION("""COMPUTED_VALUE"""),"98b52ea3")</f>
        <v>98b52ea3</v>
      </c>
      <c r="C223" s="213">
        <f>IFERROR(__xludf.DUMMYFUNCTION("""COMPUTED_VALUE"""),45611.587534722225)</f>
        <v>45611.58753</v>
      </c>
      <c r="D223" s="211" t="str">
        <f>IFERROR(__xludf.DUMMYFUNCTION("""COMPUTED_VALUE"""),"f8335a53")</f>
        <v>f8335a53</v>
      </c>
      <c r="E223" s="211" t="str">
        <f>IFERROR(__xludf.DUMMYFUNCTION("""COMPUTED_VALUE"""),"CV RAGAM JAYA ENGINEERING")</f>
        <v>CV RAGAM JAYA ENGINEERING</v>
      </c>
      <c r="F223" s="211" t="str">
        <f>IFERROR(__xludf.DUMMYFUNCTION("""COMPUTED_VALUE"""),"ef306e54")</f>
        <v>ef306e54</v>
      </c>
      <c r="G223" s="211" t="str">
        <f>IFERROR(__xludf.DUMMYFUNCTION("""COMPUTED_VALUE"""),"Karbondioksida")</f>
        <v>Karbondioksida</v>
      </c>
      <c r="H223" s="214" t="str">
        <f>IFERROR(__xludf.DUMMYFUNCTION("""COMPUTED_VALUE"""),"IN")</f>
        <v>IN</v>
      </c>
      <c r="I223" s="214" t="str">
        <f>IFERROR(__xludf.DUMMYFUNCTION("""COMPUTED_VALUE"""),"EMPTY")</f>
        <v>EMPTY</v>
      </c>
      <c r="J223" s="211">
        <f>IFERROR(__xludf.DUMMYFUNCTION("""COMPUTED_VALUE"""),10.0)</f>
        <v>10</v>
      </c>
      <c r="K223" s="211"/>
      <c r="L223" s="211"/>
      <c r="M223" s="211"/>
      <c r="N223" s="211"/>
      <c r="O223" s="211"/>
      <c r="Q223" s="210" t="str">
        <f>IFERROR(__xludf.DUMMYFUNCTION("""COMPUTED_VALUE"""),"c904b1fc")</f>
        <v>c904b1fc</v>
      </c>
      <c r="R223" s="210" t="str">
        <f>IFERROR(__xludf.DUMMYFUNCTION("""COMPUTED_VALUE"""),"c904b1fc")</f>
        <v>c904b1fc</v>
      </c>
      <c r="S223" s="211" t="str">
        <f>IFERROR(__xludf.DUMMYFUNCTION("""COMPUTED_VALUE"""),"2a67569a")</f>
        <v>2a67569a</v>
      </c>
      <c r="T223" s="211" t="str">
        <f>IFERROR(__xludf.DUMMYFUNCTION("""COMPUTED_VALUE"""),"PT REKAYASA CAHAYA CEMERLANG")</f>
        <v>PT REKAYASA CAHAYA CEMERLANG</v>
      </c>
      <c r="U223" s="215">
        <f>IFERROR(__xludf.DUMMYFUNCTION("""COMPUTED_VALUE"""),45628.663194444445)</f>
        <v>45628.66319</v>
      </c>
      <c r="V223" s="211" t="str">
        <f>IFERROR(__xludf.DUMMYFUNCTION("""COMPUTED_VALUE"""),"Pergudangan Tritan Taman Blok C No. 39 Jemundo, Taman, Kab. Sidoarjo, Jawa Timur 61257")</f>
        <v>Pergudangan Tritan Taman Blok C No. 39 Jemundo, Taman, Kab. Sidoarjo, Jawa Timur 61257</v>
      </c>
      <c r="W223" s="211" t="str">
        <f>IFERROR(__xludf.DUMMYFUNCTION("""COMPUTED_VALUE"""),"IN")</f>
        <v>IN</v>
      </c>
      <c r="X223" s="211"/>
      <c r="Z223" s="211" t="str">
        <f>IFERROR(__xludf.DUMMYFUNCTION("""COMPUTED_VALUE"""),"022662590")</f>
        <v>022662590</v>
      </c>
      <c r="AC223" s="211"/>
      <c r="AD223" s="211"/>
      <c r="AE223" s="211"/>
      <c r="AF223" s="211"/>
      <c r="AG223" s="211"/>
      <c r="AH223" s="211"/>
      <c r="AI223" s="211"/>
      <c r="AJ223" s="211"/>
      <c r="AL223" s="211" t="str">
        <f>IFERROR(__xludf.DUMMYFUNCTION("""COMPUTED_VALUE"""),"2250085")</f>
        <v>2250085</v>
      </c>
      <c r="AM223" s="211" t="str">
        <f>IFERROR(__xludf.DUMMYFUNCTION("""COMPUTED_VALUE"""),"112521587")</f>
        <v>112521587</v>
      </c>
      <c r="AN223" s="211" t="str">
        <f>IFERROR(__xludf.DUMMYFUNCTION("""COMPUTED_VALUE"""),"ba97d58d")</f>
        <v>ba97d58d</v>
      </c>
      <c r="AO223" s="211" t="str">
        <f>IFERROR(__xludf.DUMMYFUNCTION("""COMPUTED_VALUE"""),"Bengkel Citra Mojosari")</f>
        <v>Bengkel Citra Mojosari</v>
      </c>
      <c r="AP223" s="215">
        <f>IFERROR(__xludf.DUMMYFUNCTION("""COMPUTED_VALUE"""),45971.42576388889)</f>
        <v>45971.42576</v>
      </c>
      <c r="AQ223" s="218">
        <f>IFERROR(__xludf.DUMMYFUNCTION("""COMPUTED_VALUE"""),45964.0)</f>
        <v>45964</v>
      </c>
      <c r="AR223" s="211"/>
      <c r="AS223" s="211"/>
      <c r="AT223" s="211"/>
      <c r="AU223" s="211"/>
      <c r="AV223" s="211"/>
      <c r="AW223" s="211"/>
      <c r="AX223" s="211"/>
      <c r="AY223" s="211"/>
      <c r="AZ223" s="211"/>
      <c r="BB223" s="211"/>
      <c r="BC223" s="211"/>
      <c r="BD223" s="211"/>
      <c r="BE223" s="211"/>
      <c r="BF223" s="211"/>
      <c r="BG223" s="211"/>
      <c r="BH223" s="211"/>
      <c r="BI223" s="211"/>
    </row>
    <row r="224">
      <c r="A224" s="210" t="str">
        <f>IFERROR(__xludf.DUMMYFUNCTION("""COMPUTED_VALUE"""),"98b52ea3")</f>
        <v>98b52ea3</v>
      </c>
      <c r="B224" s="210" t="str">
        <f>IFERROR(__xludf.DUMMYFUNCTION("""COMPUTED_VALUE"""),"98b52ea3")</f>
        <v>98b52ea3</v>
      </c>
      <c r="C224" s="213">
        <f>IFERROR(__xludf.DUMMYFUNCTION("""COMPUTED_VALUE"""),45611.58765046296)</f>
        <v>45611.58765</v>
      </c>
      <c r="D224" s="211" t="str">
        <f>IFERROR(__xludf.DUMMYFUNCTION("""COMPUTED_VALUE"""),"f8335a53")</f>
        <v>f8335a53</v>
      </c>
      <c r="E224" s="211" t="str">
        <f>IFERROR(__xludf.DUMMYFUNCTION("""COMPUTED_VALUE"""),"CV RAGAM JAYA ENGINEERING")</f>
        <v>CV RAGAM JAYA ENGINEERING</v>
      </c>
      <c r="F224" s="211" t="str">
        <f>IFERROR(__xludf.DUMMYFUNCTION("""COMPUTED_VALUE"""),"8bdbe149")</f>
        <v>8bdbe149</v>
      </c>
      <c r="G224" s="211" t="str">
        <f>IFERROR(__xludf.DUMMYFUNCTION("""COMPUTED_VALUE"""),"Oksigen 6m3")</f>
        <v>Oksigen 6m3</v>
      </c>
      <c r="H224" s="214" t="str">
        <f>IFERROR(__xludf.DUMMYFUNCTION("""COMPUTED_VALUE"""),"IN")</f>
        <v>IN</v>
      </c>
      <c r="I224" s="214" t="str">
        <f>IFERROR(__xludf.DUMMYFUNCTION("""COMPUTED_VALUE"""),"EMPTY")</f>
        <v>EMPTY</v>
      </c>
      <c r="J224" s="211">
        <f>IFERROR(__xludf.DUMMYFUNCTION("""COMPUTED_VALUE"""),9.0)</f>
        <v>9</v>
      </c>
      <c r="K224" s="211"/>
      <c r="L224" s="211"/>
      <c r="M224" s="211"/>
      <c r="N224" s="211"/>
      <c r="O224" s="211"/>
      <c r="Q224" s="210" t="str">
        <f>IFERROR(__xludf.DUMMYFUNCTION("""COMPUTED_VALUE"""),"63446fed")</f>
        <v>63446fed</v>
      </c>
      <c r="R224" s="210" t="str">
        <f>IFERROR(__xludf.DUMMYFUNCTION("""COMPUTED_VALUE"""),"63446fed")</f>
        <v>63446fed</v>
      </c>
      <c r="S224" s="211" t="str">
        <f>IFERROR(__xludf.DUMMYFUNCTION("""COMPUTED_VALUE"""),"785e0e07")</f>
        <v>785e0e07</v>
      </c>
      <c r="T224" s="211" t="str">
        <f>IFERROR(__xludf.DUMMYFUNCTION("""COMPUTED_VALUE"""),"Bpk. Sukirno (Bejo)")</f>
        <v>Bpk. Sukirno (Bejo)</v>
      </c>
      <c r="U224" s="215">
        <f>IFERROR(__xludf.DUMMYFUNCTION("""COMPUTED_VALUE"""),45628.669444444444)</f>
        <v>45628.66944</v>
      </c>
      <c r="V224" s="211" t="str">
        <f>IFERROR(__xludf.DUMMYFUNCTION("""COMPUTED_VALUE"""),"Krajan I, Wringinanom, Kec. Wringinanom, Kabupaten Gresik, Jawa Timur 61176")</f>
        <v>Krajan I, Wringinanom, Kec. Wringinanom, Kabupaten Gresik, Jawa Timur 61176</v>
      </c>
      <c r="W224" s="211" t="str">
        <f>IFERROR(__xludf.DUMMYFUNCTION("""COMPUTED_VALUE"""),"IN")</f>
        <v>IN</v>
      </c>
      <c r="X224" s="211"/>
      <c r="Z224" s="211" t="str">
        <f>IFERROR(__xludf.DUMMYFUNCTION("""COMPUTED_VALUE"""),"022662589")</f>
        <v>022662589</v>
      </c>
      <c r="AC224" s="211"/>
      <c r="AD224" s="211"/>
      <c r="AE224" s="211"/>
      <c r="AF224" s="211"/>
      <c r="AG224" s="211"/>
      <c r="AH224" s="211"/>
      <c r="AI224" s="211"/>
      <c r="AJ224" s="211"/>
      <c r="AL224" s="211" t="str">
        <f>IFERROR(__xludf.DUMMYFUNCTION("""COMPUTED_VALUE"""),"2250085")</f>
        <v>2250085</v>
      </c>
      <c r="AM224" s="211" t="str">
        <f>IFERROR(__xludf.DUMMYFUNCTION("""COMPUTED_VALUE"""),"112531640")</f>
        <v>112531640</v>
      </c>
      <c r="AN224" s="211" t="str">
        <f>IFERROR(__xludf.DUMMYFUNCTION("""COMPUTED_VALUE"""),"ba97d58d")</f>
        <v>ba97d58d</v>
      </c>
      <c r="AO224" s="211" t="str">
        <f>IFERROR(__xludf.DUMMYFUNCTION("""COMPUTED_VALUE"""),"Bengkel Citra Mojosari")</f>
        <v>Bengkel Citra Mojosari</v>
      </c>
      <c r="AP224" s="215">
        <f>IFERROR(__xludf.DUMMYFUNCTION("""COMPUTED_VALUE"""),45971.42576388889)</f>
        <v>45971.42576</v>
      </c>
      <c r="AQ224" s="218">
        <f>IFERROR(__xludf.DUMMYFUNCTION("""COMPUTED_VALUE"""),45967.0)</f>
        <v>45967</v>
      </c>
      <c r="AR224" s="211"/>
      <c r="AS224" s="211"/>
      <c r="AT224" s="211"/>
      <c r="AU224" s="211"/>
      <c r="AV224" s="211"/>
      <c r="AW224" s="211"/>
      <c r="AX224" s="211"/>
      <c r="AY224" s="211"/>
      <c r="AZ224" s="211"/>
      <c r="BB224" s="211"/>
      <c r="BC224" s="211"/>
      <c r="BD224" s="211"/>
      <c r="BE224" s="211"/>
      <c r="BF224" s="211"/>
      <c r="BG224" s="211"/>
      <c r="BH224" s="211"/>
      <c r="BI224" s="211"/>
    </row>
    <row r="225">
      <c r="A225" s="210" t="str">
        <f>IFERROR(__xludf.DUMMYFUNCTION("""COMPUTED_VALUE"""),"11240105")</f>
        <v>11240105</v>
      </c>
      <c r="B225" s="210" t="str">
        <f>IFERROR(__xludf.DUMMYFUNCTION("""COMPUTED_VALUE"""),"11240105")</f>
        <v>11240105</v>
      </c>
      <c r="C225" s="213">
        <f>IFERROR(__xludf.DUMMYFUNCTION("""COMPUTED_VALUE"""),45612.35335648148)</f>
        <v>45612.35336</v>
      </c>
      <c r="D225" s="211" t="str">
        <f>IFERROR(__xludf.DUMMYFUNCTION("""COMPUTED_VALUE"""),"c2f5a4a7")</f>
        <v>c2f5a4a7</v>
      </c>
      <c r="E225" s="211" t="str">
        <f>IFERROR(__xludf.DUMMYFUNCTION("""COMPUTED_VALUE"""),"UD Sumber Berlian")</f>
        <v>UD Sumber Berlian</v>
      </c>
      <c r="F225" s="211" t="str">
        <f>IFERROR(__xludf.DUMMYFUNCTION("""COMPUTED_VALUE"""),"8bdbe149")</f>
        <v>8bdbe149</v>
      </c>
      <c r="G225" s="211" t="str">
        <f>IFERROR(__xludf.DUMMYFUNCTION("""COMPUTED_VALUE"""),"Oksigen 6m3")</f>
        <v>Oksigen 6m3</v>
      </c>
      <c r="H225" s="214" t="str">
        <f>IFERROR(__xludf.DUMMYFUNCTION("""COMPUTED_VALUE"""),"OUT")</f>
        <v>OUT</v>
      </c>
      <c r="I225" s="214" t="str">
        <f>IFERROR(__xludf.DUMMYFUNCTION("""COMPUTED_VALUE"""),"NORMAL")</f>
        <v>NORMAL</v>
      </c>
      <c r="J225" s="211">
        <f>IFERROR(__xludf.DUMMYFUNCTION("""COMPUTED_VALUE"""),15.0)</f>
        <v>15</v>
      </c>
      <c r="K225" s="210" t="str">
        <f>IFERROR(__xludf.DUMMYFUNCTION("""COMPUTED_VALUE"""),"01 02 03 04 05 1101 1124 1110 1157 1115 1169 1163 1234 1580 1808")</f>
        <v>01 02 03 04 05 1101 1124 1110 1157 1115 1169 1163 1234 1580 1808</v>
      </c>
      <c r="L225" s="211">
        <f>IFERROR(__xludf.DUMMYFUNCTION("""COMPUTED_VALUE"""),70000.0)</f>
        <v>70000</v>
      </c>
      <c r="M225" s="211"/>
      <c r="N225" s="211"/>
      <c r="O225" s="211"/>
      <c r="Q225" s="210" t="str">
        <f>IFERROR(__xludf.DUMMYFUNCTION("""COMPUTED_VALUE"""),"ca93019b")</f>
        <v>ca93019b</v>
      </c>
      <c r="R225" s="210" t="str">
        <f>IFERROR(__xludf.DUMMYFUNCTION("""COMPUTED_VALUE"""),"ca93019b")</f>
        <v>ca93019b</v>
      </c>
      <c r="S225" s="211" t="str">
        <f>IFERROR(__xludf.DUMMYFUNCTION("""COMPUTED_VALUE"""),"72d9a70c")</f>
        <v>72d9a70c</v>
      </c>
      <c r="T225" s="211" t="str">
        <f>IFERROR(__xludf.DUMMYFUNCTION("""COMPUTED_VALUE"""),"PT Beton Prima Indonesia")</f>
        <v>PT Beton Prima Indonesia</v>
      </c>
      <c r="U225" s="215">
        <f>IFERROR(__xludf.DUMMYFUNCTION("""COMPUTED_VALUE"""),45629.52083333333)</f>
        <v>45629.52083</v>
      </c>
      <c r="V225" s="211" t="str">
        <f>IFERROR(__xludf.DUMMYFUNCTION("""COMPUTED_VALUE"""),"KH. Ahmad Dahlan KM.2 Ds. Sumberwono, Kec. Bangsal, Kab. Mojokerto 61381")</f>
        <v>KH. Ahmad Dahlan KM.2 Ds. Sumberwono, Kec. Bangsal, Kab. Mojokerto 61381</v>
      </c>
      <c r="W225" s="211" t="str">
        <f>IFERROR(__xludf.DUMMYFUNCTION("""COMPUTED_VALUE"""),"IN")</f>
        <v>IN</v>
      </c>
      <c r="X225" s="211"/>
      <c r="Z225" s="211" t="str">
        <f>IFERROR(__xludf.DUMMYFUNCTION("""COMPUTED_VALUE"""),"022612588")</f>
        <v>022612588</v>
      </c>
      <c r="AC225" s="211"/>
      <c r="AD225" s="211"/>
      <c r="AE225" s="211"/>
      <c r="AF225" s="211"/>
      <c r="AG225" s="211"/>
      <c r="AH225" s="211"/>
      <c r="AI225" s="211"/>
      <c r="AJ225" s="211"/>
      <c r="AL225" s="211" t="str">
        <f>IFERROR(__xludf.DUMMYFUNCTION("""COMPUTED_VALUE"""),"2250051")</f>
        <v>2250051</v>
      </c>
      <c r="AM225" s="211" t="str">
        <f>IFERROR(__xludf.DUMMYFUNCTION("""COMPUTED_VALUE"""),"0925101201")</f>
        <v>0925101201</v>
      </c>
      <c r="AN225" s="211" t="str">
        <f>IFERROR(__xludf.DUMMYFUNCTION("""COMPUTED_VALUE"""),"b218b89b")</f>
        <v>b218b89b</v>
      </c>
      <c r="AO225" s="211" t="str">
        <f>IFERROR(__xludf.DUMMYFUNCTION("""COMPUTED_VALUE"""),"PT Harapan Sentosa")</f>
        <v>PT Harapan Sentosa</v>
      </c>
      <c r="AP225" s="215">
        <f>IFERROR(__xludf.DUMMYFUNCTION("""COMPUTED_VALUE"""),45963.83846064815)</f>
        <v>45963.83846</v>
      </c>
      <c r="AQ225" s="218">
        <f>IFERROR(__xludf.DUMMYFUNCTION("""COMPUTED_VALUE"""),45901.0)</f>
        <v>45901</v>
      </c>
      <c r="AR225" s="211"/>
      <c r="AS225" s="211"/>
      <c r="AT225" s="211"/>
      <c r="AU225" s="211"/>
      <c r="AV225" s="211"/>
      <c r="AW225" s="211"/>
      <c r="AX225" s="211"/>
      <c r="AY225" s="211"/>
      <c r="AZ225" s="211"/>
      <c r="BB225" s="211"/>
      <c r="BC225" s="211"/>
      <c r="BD225" s="211"/>
      <c r="BE225" s="211"/>
      <c r="BF225" s="211"/>
      <c r="BG225" s="211"/>
      <c r="BH225" s="211"/>
      <c r="BI225" s="211"/>
    </row>
    <row r="226">
      <c r="A226" s="210" t="str">
        <f>IFERROR(__xludf.DUMMYFUNCTION("""COMPUTED_VALUE"""),"11240105")</f>
        <v>11240105</v>
      </c>
      <c r="B226" s="210" t="str">
        <f>IFERROR(__xludf.DUMMYFUNCTION("""COMPUTED_VALUE"""),"11240105")</f>
        <v>11240105</v>
      </c>
      <c r="C226" s="213">
        <f>IFERROR(__xludf.DUMMYFUNCTION("""COMPUTED_VALUE"""),45612.35559027778)</f>
        <v>45612.35559</v>
      </c>
      <c r="D226" s="211" t="str">
        <f>IFERROR(__xludf.DUMMYFUNCTION("""COMPUTED_VALUE"""),"c2f5a4a7")</f>
        <v>c2f5a4a7</v>
      </c>
      <c r="E226" s="211" t="str">
        <f>IFERROR(__xludf.DUMMYFUNCTION("""COMPUTED_VALUE"""),"UD Sumber Berlian")</f>
        <v>UD Sumber Berlian</v>
      </c>
      <c r="F226" s="211" t="str">
        <f>IFERROR(__xludf.DUMMYFUNCTION("""COMPUTED_VALUE"""),"be525f3b")</f>
        <v>be525f3b</v>
      </c>
      <c r="G226" s="211" t="str">
        <f>IFERROR(__xludf.DUMMYFUNCTION("""COMPUTED_VALUE"""),"LPG 12kg")</f>
        <v>LPG 12kg</v>
      </c>
      <c r="H226" s="214" t="str">
        <f>IFERROR(__xludf.DUMMYFUNCTION("""COMPUTED_VALUE"""),"OUT")</f>
        <v>OUT</v>
      </c>
      <c r="I226" s="214" t="str">
        <f>IFERROR(__xludf.DUMMYFUNCTION("""COMPUTED_VALUE"""),"NORMAL")</f>
        <v>NORMAL</v>
      </c>
      <c r="J226" s="211">
        <f>IFERROR(__xludf.DUMMYFUNCTION("""COMPUTED_VALUE"""),2.0)</f>
        <v>2</v>
      </c>
      <c r="K226" s="211"/>
      <c r="L226" s="211">
        <f>IFERROR(__xludf.DUMMYFUNCTION("""COMPUTED_VALUE"""),215000.0)</f>
        <v>215000</v>
      </c>
      <c r="M226" s="211"/>
      <c r="N226" s="211"/>
      <c r="O226" s="211"/>
      <c r="Q226" s="210" t="str">
        <f>IFERROR(__xludf.DUMMYFUNCTION("""COMPUTED_VALUE"""),"e2a1802e")</f>
        <v>e2a1802e</v>
      </c>
      <c r="R226" s="210" t="str">
        <f>IFERROR(__xludf.DUMMYFUNCTION("""COMPUTED_VALUE"""),"e2a1802e")</f>
        <v>e2a1802e</v>
      </c>
      <c r="S226" s="211" t="str">
        <f>IFERROR(__xludf.DUMMYFUNCTION("""COMPUTED_VALUE"""),"e86baf3b")</f>
        <v>e86baf3b</v>
      </c>
      <c r="T226" s="211" t="str">
        <f>IFERROR(__xludf.DUMMYFUNCTION("""COMPUTED_VALUE"""),"PT GEMILANG CIPTA WAWASAN")</f>
        <v>PT GEMILANG CIPTA WAWASAN</v>
      </c>
      <c r="U226" s="215">
        <f>IFERROR(__xludf.DUMMYFUNCTION("""COMPUTED_VALUE"""),45628.54166666667)</f>
        <v>45628.54167</v>
      </c>
      <c r="V226" s="211" t="str">
        <f>IFERROR(__xludf.DUMMYFUNCTION("""COMPUTED_VALUE"""),"JL TEBET RAYA, 2A, TEBET BARAT, TEBET, KOTA ADM, JAKARTA SELATAN, DKI JAKARTA")</f>
        <v>JL TEBET RAYA, 2A, TEBET BARAT, TEBET, KOTA ADM, JAKARTA SELATAN, DKI JAKARTA</v>
      </c>
      <c r="W226" s="211" t="str">
        <f>IFERROR(__xludf.DUMMYFUNCTION("""COMPUTED_VALUE"""),"IN")</f>
        <v>IN</v>
      </c>
      <c r="X226" s="211"/>
      <c r="Z226" s="211" t="str">
        <f>IFERROR(__xludf.DUMMYFUNCTION("""COMPUTED_VALUE"""),"022612586")</f>
        <v>022612586</v>
      </c>
      <c r="AC226" s="211"/>
      <c r="AD226" s="211"/>
      <c r="AE226" s="211"/>
      <c r="AF226" s="211"/>
      <c r="AG226" s="211"/>
      <c r="AH226" s="211"/>
      <c r="AI226" s="211"/>
      <c r="AJ226" s="211"/>
      <c r="AL226" s="211" t="str">
        <f>IFERROR(__xludf.DUMMYFUNCTION("""COMPUTED_VALUE"""),"2250051")</f>
        <v>2250051</v>
      </c>
      <c r="AM226" s="211" t="str">
        <f>IFERROR(__xludf.DUMMYFUNCTION("""COMPUTED_VALUE"""),"0925111237")</f>
        <v>0925111237</v>
      </c>
      <c r="AN226" s="211" t="str">
        <f>IFERROR(__xludf.DUMMYFUNCTION("""COMPUTED_VALUE"""),"b218b89b")</f>
        <v>b218b89b</v>
      </c>
      <c r="AO226" s="211" t="str">
        <f>IFERROR(__xludf.DUMMYFUNCTION("""COMPUTED_VALUE"""),"PT Harapan Sentosa")</f>
        <v>PT Harapan Sentosa</v>
      </c>
      <c r="AP226" s="215">
        <f>IFERROR(__xludf.DUMMYFUNCTION("""COMPUTED_VALUE"""),45963.83846064815)</f>
        <v>45963.83846</v>
      </c>
      <c r="AQ226" s="218">
        <f>IFERROR(__xludf.DUMMYFUNCTION("""COMPUTED_VALUE"""),45908.0)</f>
        <v>45908</v>
      </c>
      <c r="AR226" s="211"/>
      <c r="AS226" s="211"/>
      <c r="AT226" s="211"/>
      <c r="AU226" s="211"/>
      <c r="AV226" s="211"/>
      <c r="AW226" s="211"/>
      <c r="AX226" s="211"/>
      <c r="AY226" s="211"/>
      <c r="AZ226" s="211"/>
      <c r="BB226" s="211"/>
      <c r="BC226" s="211"/>
      <c r="BD226" s="211"/>
      <c r="BE226" s="211"/>
      <c r="BF226" s="211"/>
      <c r="BG226" s="211"/>
      <c r="BH226" s="211"/>
      <c r="BI226" s="211"/>
    </row>
    <row r="227">
      <c r="A227" s="210" t="str">
        <f>IFERROR(__xludf.DUMMYFUNCTION("""COMPUTED_VALUE"""),"411240002")</f>
        <v>411240002</v>
      </c>
      <c r="B227" s="210" t="str">
        <f>IFERROR(__xludf.DUMMYFUNCTION("""COMPUTED_VALUE"""),"411240002")</f>
        <v>411240002</v>
      </c>
      <c r="C227" s="213">
        <f>IFERROR(__xludf.DUMMYFUNCTION("""COMPUTED_VALUE"""),45612.35555555556)</f>
        <v>45612.35556</v>
      </c>
      <c r="D227" s="211" t="str">
        <f>IFERROR(__xludf.DUMMYFUNCTION("""COMPUTED_VALUE"""),"c2f5a4a7")</f>
        <v>c2f5a4a7</v>
      </c>
      <c r="E227" s="211" t="str">
        <f>IFERROR(__xludf.DUMMYFUNCTION("""COMPUTED_VALUE"""),"UD Sumber Berlian")</f>
        <v>UD Sumber Berlian</v>
      </c>
      <c r="F227" s="211" t="str">
        <f>IFERROR(__xludf.DUMMYFUNCTION("""COMPUTED_VALUE"""),"8bdbe149")</f>
        <v>8bdbe149</v>
      </c>
      <c r="G227" s="211" t="str">
        <f>IFERROR(__xludf.DUMMYFUNCTION("""COMPUTED_VALUE"""),"Oksigen 6m3")</f>
        <v>Oksigen 6m3</v>
      </c>
      <c r="H227" s="214" t="str">
        <f>IFERROR(__xludf.DUMMYFUNCTION("""COMPUTED_VALUE"""),"OTHER")</f>
        <v>OTHER</v>
      </c>
      <c r="I227" s="214" t="str">
        <f>IFERROR(__xludf.DUMMYFUNCTION("""COMPUTED_VALUE"""),"RETUR CLAIM")</f>
        <v>RETUR CLAIM</v>
      </c>
      <c r="J227" s="211">
        <f>IFERROR(__xludf.DUMMYFUNCTION("""COMPUTED_VALUE"""),2.0)</f>
        <v>2</v>
      </c>
      <c r="K227" s="210" t="str">
        <f>IFERROR(__xludf.DUMMYFUNCTION("""COMPUTED_VALUE"""),"1495 1146")</f>
        <v>1495 1146</v>
      </c>
      <c r="L227" s="211"/>
      <c r="M227" s="211"/>
      <c r="N227" s="211"/>
      <c r="O227" s="211"/>
      <c r="Q227" s="210" t="str">
        <f>IFERROR(__xludf.DUMMYFUNCTION("""COMPUTED_VALUE"""),"12240147")</f>
        <v>12240147</v>
      </c>
      <c r="R227" s="210" t="str">
        <f>IFERROR(__xludf.DUMMYFUNCTION("""COMPUTED_VALUE"""),"12240147")</f>
        <v>12240147</v>
      </c>
      <c r="S227" s="211" t="str">
        <f>IFERROR(__xludf.DUMMYFUNCTION("""COMPUTED_VALUE"""),"4ec68cf6")</f>
        <v>4ec68cf6</v>
      </c>
      <c r="T227" s="211" t="str">
        <f>IFERROR(__xludf.DUMMYFUNCTION("""COMPUTED_VALUE"""),"CV Sido Mukti Karya")</f>
        <v>CV Sido Mukti Karya</v>
      </c>
      <c r="U227" s="215">
        <f>IFERROR(__xludf.DUMMYFUNCTION("""COMPUTED_VALUE"""),45629.59444444445)</f>
        <v>45629.59444</v>
      </c>
      <c r="V227" s="211" t="str">
        <f>IFERROR(__xludf.DUMMYFUNCTION("""COMPUTED_VALUE"""),"Pergudangan Center Point no A3, Kemangsen")</f>
        <v>Pergudangan Center Point no A3, Kemangsen</v>
      </c>
      <c r="W227" s="211" t="str">
        <f>IFERROR(__xludf.DUMMYFUNCTION("""COMPUTED_VALUE"""),"OUT")</f>
        <v>OUT</v>
      </c>
      <c r="X227" s="211"/>
      <c r="Z227" s="211" t="str">
        <f>IFERROR(__xludf.DUMMYFUNCTION("""COMPUTED_VALUE"""),"0226852583")</f>
        <v>0226852583</v>
      </c>
      <c r="AC227" s="211"/>
      <c r="AD227" s="211"/>
      <c r="AE227" s="211"/>
      <c r="AF227" s="211"/>
      <c r="AG227" s="211"/>
      <c r="AH227" s="211"/>
      <c r="AI227" s="211"/>
      <c r="AJ227" s="211"/>
      <c r="AL227" s="211" t="str">
        <f>IFERROR(__xludf.DUMMYFUNCTION("""COMPUTED_VALUE"""),"2250051")</f>
        <v>2250051</v>
      </c>
      <c r="AM227" s="211" t="str">
        <f>IFERROR(__xludf.DUMMYFUNCTION("""COMPUTED_VALUE"""),"0925121240")</f>
        <v>0925121240</v>
      </c>
      <c r="AN227" s="211" t="str">
        <f>IFERROR(__xludf.DUMMYFUNCTION("""COMPUTED_VALUE"""),"b218b89b")</f>
        <v>b218b89b</v>
      </c>
      <c r="AO227" s="211" t="str">
        <f>IFERROR(__xludf.DUMMYFUNCTION("""COMPUTED_VALUE"""),"PT Harapan Sentosa")</f>
        <v>PT Harapan Sentosa</v>
      </c>
      <c r="AP227" s="215">
        <f>IFERROR(__xludf.DUMMYFUNCTION("""COMPUTED_VALUE"""),45963.83846064815)</f>
        <v>45963.83846</v>
      </c>
      <c r="AQ227" s="218">
        <f>IFERROR(__xludf.DUMMYFUNCTION("""COMPUTED_VALUE"""),45909.0)</f>
        <v>45909</v>
      </c>
      <c r="AR227" s="211"/>
      <c r="AS227" s="211"/>
      <c r="AT227" s="211"/>
      <c r="AU227" s="211"/>
      <c r="AV227" s="211"/>
      <c r="AW227" s="211"/>
      <c r="AX227" s="211"/>
      <c r="AY227" s="211"/>
      <c r="AZ227" s="211"/>
      <c r="BB227" s="211"/>
      <c r="BC227" s="211"/>
      <c r="BD227" s="211"/>
      <c r="BE227" s="211"/>
      <c r="BF227" s="211"/>
      <c r="BG227" s="211"/>
      <c r="BH227" s="211"/>
      <c r="BI227" s="211"/>
    </row>
    <row r="228">
      <c r="A228" s="210" t="str">
        <f>IFERROR(__xludf.DUMMYFUNCTION("""COMPUTED_VALUE"""),"647d59bf")</f>
        <v>647d59bf</v>
      </c>
      <c r="B228" s="210" t="str">
        <f>IFERROR(__xludf.DUMMYFUNCTION("""COMPUTED_VALUE"""),"647d59bf")</f>
        <v>647d59bf</v>
      </c>
      <c r="C228" s="213">
        <f>IFERROR(__xludf.DUMMYFUNCTION("""COMPUTED_VALUE"""),45612.4825)</f>
        <v>45612.4825</v>
      </c>
      <c r="D228" s="211" t="str">
        <f>IFERROR(__xludf.DUMMYFUNCTION("""COMPUTED_VALUE"""),"72d9a70c")</f>
        <v>72d9a70c</v>
      </c>
      <c r="E228" s="211" t="str">
        <f>IFERROR(__xludf.DUMMYFUNCTION("""COMPUTED_VALUE"""),"PT Beton Prima Indonesia")</f>
        <v>PT Beton Prima Indonesia</v>
      </c>
      <c r="F228" s="211" t="str">
        <f>IFERROR(__xludf.DUMMYFUNCTION("""COMPUTED_VALUE"""),"8bdbe149")</f>
        <v>8bdbe149</v>
      </c>
      <c r="G228" s="211" t="str">
        <f>IFERROR(__xludf.DUMMYFUNCTION("""COMPUTED_VALUE"""),"Oksigen 6m3")</f>
        <v>Oksigen 6m3</v>
      </c>
      <c r="H228" s="214" t="str">
        <f>IFERROR(__xludf.DUMMYFUNCTION("""COMPUTED_VALUE"""),"IN")</f>
        <v>IN</v>
      </c>
      <c r="I228" s="214" t="str">
        <f>IFERROR(__xludf.DUMMYFUNCTION("""COMPUTED_VALUE"""),"EMPTY")</f>
        <v>EMPTY</v>
      </c>
      <c r="J228" s="211">
        <f>IFERROR(__xludf.DUMMYFUNCTION("""COMPUTED_VALUE"""),8.0)</f>
        <v>8</v>
      </c>
      <c r="K228" s="210" t="str">
        <f>IFERROR(__xludf.DUMMYFUNCTION("""COMPUTED_VALUE"""),"1124 1110 5882 1654 1157 5127 1117 1120")</f>
        <v>1124 1110 5882 1654 1157 5127 1117 1120</v>
      </c>
      <c r="L228" s="211"/>
      <c r="M228" s="211"/>
      <c r="N228" s="211"/>
      <c r="O228" s="211"/>
      <c r="Q228" s="210" t="str">
        <f>IFERROR(__xludf.DUMMYFUNCTION("""COMPUTED_VALUE"""),"2debff3c")</f>
        <v>2debff3c</v>
      </c>
      <c r="R228" s="210" t="str">
        <f>IFERROR(__xludf.DUMMYFUNCTION("""COMPUTED_VALUE"""),"2debff3c")</f>
        <v>2debff3c</v>
      </c>
      <c r="S228" s="211" t="str">
        <f>IFERROR(__xludf.DUMMYFUNCTION("""COMPUTED_VALUE"""),"4ec68cf6")</f>
        <v>4ec68cf6</v>
      </c>
      <c r="T228" s="211" t="str">
        <f>IFERROR(__xludf.DUMMYFUNCTION("""COMPUTED_VALUE"""),"CV Sido Mukti Karya")</f>
        <v>CV Sido Mukti Karya</v>
      </c>
      <c r="U228" s="215">
        <f>IFERROR(__xludf.DUMMYFUNCTION("""COMPUTED_VALUE"""),45629.68680555555)</f>
        <v>45629.68681</v>
      </c>
      <c r="V228" s="211" t="str">
        <f>IFERROR(__xludf.DUMMYFUNCTION("""COMPUTED_VALUE"""),"Pergudangan Center Point no A3, Kemangsen")</f>
        <v>Pergudangan Center Point no A3, Kemangsen</v>
      </c>
      <c r="W228" s="211" t="str">
        <f>IFERROR(__xludf.DUMMYFUNCTION("""COMPUTED_VALUE"""),"IN")</f>
        <v>IN</v>
      </c>
      <c r="X228" s="211"/>
      <c r="Z228" s="211" t="str">
        <f>IFERROR(__xludf.DUMMYFUNCTION("""COMPUTED_VALUE"""),"022662581")</f>
        <v>022662581</v>
      </c>
      <c r="AC228" s="211"/>
      <c r="AD228" s="211"/>
      <c r="AE228" s="211"/>
      <c r="AF228" s="211"/>
      <c r="AG228" s="211"/>
      <c r="AH228" s="211"/>
      <c r="AI228" s="211"/>
      <c r="AJ228" s="211"/>
      <c r="AL228" s="211" t="str">
        <f>IFERROR(__xludf.DUMMYFUNCTION("""COMPUTED_VALUE"""),"2250051")</f>
        <v>2250051</v>
      </c>
      <c r="AM228" s="211" t="str">
        <f>IFERROR(__xludf.DUMMYFUNCTION("""COMPUTED_VALUE"""),"0925131323")</f>
        <v>0925131323</v>
      </c>
      <c r="AN228" s="211" t="str">
        <f>IFERROR(__xludf.DUMMYFUNCTION("""COMPUTED_VALUE"""),"b218b89b")</f>
        <v>b218b89b</v>
      </c>
      <c r="AO228" s="211" t="str">
        <f>IFERROR(__xludf.DUMMYFUNCTION("""COMPUTED_VALUE"""),"PT Harapan Sentosa")</f>
        <v>PT Harapan Sentosa</v>
      </c>
      <c r="AP228" s="215">
        <f>IFERROR(__xludf.DUMMYFUNCTION("""COMPUTED_VALUE"""),45963.83846064815)</f>
        <v>45963.83846</v>
      </c>
      <c r="AQ228" s="218">
        <f>IFERROR(__xludf.DUMMYFUNCTION("""COMPUTED_VALUE"""),45924.0)</f>
        <v>45924</v>
      </c>
      <c r="AR228" s="211"/>
      <c r="AS228" s="211"/>
      <c r="AT228" s="211"/>
      <c r="AU228" s="211"/>
      <c r="AV228" s="211"/>
      <c r="AW228" s="211"/>
      <c r="AX228" s="211"/>
      <c r="AY228" s="211"/>
      <c r="AZ228" s="211"/>
      <c r="BB228" s="211"/>
      <c r="BC228" s="211"/>
      <c r="BD228" s="211"/>
      <c r="BE228" s="211"/>
      <c r="BF228" s="211"/>
      <c r="BG228" s="211"/>
      <c r="BH228" s="211"/>
      <c r="BI228" s="211"/>
    </row>
    <row r="229">
      <c r="A229" s="210" t="str">
        <f>IFERROR(__xludf.DUMMYFUNCTION("""COMPUTED_VALUE"""),"9b970b56")</f>
        <v>9b970b56</v>
      </c>
      <c r="B229" s="210" t="str">
        <f>IFERROR(__xludf.DUMMYFUNCTION("""COMPUTED_VALUE"""),"9b970b56")</f>
        <v>9b970b56</v>
      </c>
      <c r="C229" s="213">
        <f>IFERROR(__xludf.DUMMYFUNCTION("""COMPUTED_VALUE"""),45612.50064814815)</f>
        <v>45612.50065</v>
      </c>
      <c r="D229" s="211" t="str">
        <f>IFERROR(__xludf.DUMMYFUNCTION("""COMPUTED_VALUE"""),"c2f5a4a7")</f>
        <v>c2f5a4a7</v>
      </c>
      <c r="E229" s="211" t="str">
        <f>IFERROR(__xludf.DUMMYFUNCTION("""COMPUTED_VALUE"""),"UD Sumber Berlian")</f>
        <v>UD Sumber Berlian</v>
      </c>
      <c r="F229" s="211" t="str">
        <f>IFERROR(__xludf.DUMMYFUNCTION("""COMPUTED_VALUE"""),"8bdbe149")</f>
        <v>8bdbe149</v>
      </c>
      <c r="G229" s="211" t="str">
        <f>IFERROR(__xludf.DUMMYFUNCTION("""COMPUTED_VALUE"""),"Oksigen 6m3")</f>
        <v>Oksigen 6m3</v>
      </c>
      <c r="H229" s="214" t="str">
        <f>IFERROR(__xludf.DUMMYFUNCTION("""COMPUTED_VALUE"""),"IN")</f>
        <v>IN</v>
      </c>
      <c r="I229" s="214" t="str">
        <f>IFERROR(__xludf.DUMMYFUNCTION("""COMPUTED_VALUE"""),"EMPTY")</f>
        <v>EMPTY</v>
      </c>
      <c r="J229" s="211">
        <f>IFERROR(__xludf.DUMMYFUNCTION("""COMPUTED_VALUE"""),13.0)</f>
        <v>13</v>
      </c>
      <c r="K229" s="210" t="str">
        <f>IFERROR(__xludf.DUMMYFUNCTION("""COMPUTED_VALUE"""),"5898 1189 5639 06 07 08 09 10 11 12 13 14 15")</f>
        <v>5898 1189 5639 06 07 08 09 10 11 12 13 14 15</v>
      </c>
      <c r="L229" s="211"/>
      <c r="M229" s="211"/>
      <c r="N229" s="211"/>
      <c r="O229" s="211"/>
      <c r="Q229" s="210" t="str">
        <f>IFERROR(__xludf.DUMMYFUNCTION("""COMPUTED_VALUE"""),"f6c912b9")</f>
        <v>f6c912b9</v>
      </c>
      <c r="R229" s="210" t="str">
        <f>IFERROR(__xludf.DUMMYFUNCTION("""COMPUTED_VALUE"""),"f6c912b9")</f>
        <v>f6c912b9</v>
      </c>
      <c r="S229" s="211" t="str">
        <f>IFERROR(__xludf.DUMMYFUNCTION("""COMPUTED_VALUE"""),"f8335a53")</f>
        <v>f8335a53</v>
      </c>
      <c r="T229" s="211" t="str">
        <f>IFERROR(__xludf.DUMMYFUNCTION("""COMPUTED_VALUE"""),"CV RAGAM JAYA ENGINEERING")</f>
        <v>CV RAGAM JAYA ENGINEERING</v>
      </c>
      <c r="U229" s="215">
        <f>IFERROR(__xludf.DUMMYFUNCTION("""COMPUTED_VALUE"""),45630.48541666666)</f>
        <v>45630.48542</v>
      </c>
      <c r="V229" s="211" t="str">
        <f>IFERROR(__xludf.DUMMYFUNCTION("""COMPUTED_VALUE"""),"Jl. Balung wangon, Dadapkuning, Bulurejo, Kec. Benjeng, Kabupaten Gresik, Jawa Timur 61172")</f>
        <v>Jl. Balung wangon, Dadapkuning, Bulurejo, Kec. Benjeng, Kabupaten Gresik, Jawa Timur 61172</v>
      </c>
      <c r="W229" s="211" t="str">
        <f>IFERROR(__xludf.DUMMYFUNCTION("""COMPUTED_VALUE"""),"IN")</f>
        <v>IN</v>
      </c>
      <c r="X229" s="211"/>
      <c r="Z229" s="211" t="str">
        <f>IFERROR(__xludf.DUMMYFUNCTION("""COMPUTED_VALUE"""),"022632576")</f>
        <v>022632576</v>
      </c>
      <c r="AC229" s="211"/>
      <c r="AD229" s="211"/>
      <c r="AE229" s="211"/>
      <c r="AF229" s="211"/>
      <c r="AG229" s="211"/>
      <c r="AH229" s="211"/>
      <c r="AI229" s="211"/>
      <c r="AJ229" s="211"/>
      <c r="AL229" s="211" t="str">
        <f>IFERROR(__xludf.DUMMYFUNCTION("""COMPUTED_VALUE"""),"2250079")</f>
        <v>2250079</v>
      </c>
      <c r="AM229" s="211" t="str">
        <f>IFERROR(__xludf.DUMMYFUNCTION("""COMPUTED_VALUE"""),"102511389")</f>
        <v>102511389</v>
      </c>
      <c r="AN229" s="211" t="str">
        <f>IFERROR(__xludf.DUMMYFUNCTION("""COMPUTED_VALUE"""),"440df1db")</f>
        <v>440df1db</v>
      </c>
      <c r="AO229" s="211" t="str">
        <f>IFERROR(__xludf.DUMMYFUNCTION("""COMPUTED_VALUE"""),"PT. Mecca Abadi Sejahtera")</f>
        <v>PT. Mecca Abadi Sejahtera</v>
      </c>
      <c r="AP229" s="215">
        <f>IFERROR(__xludf.DUMMYFUNCTION("""COMPUTED_VALUE"""),45962.83385416667)</f>
        <v>45962.83385</v>
      </c>
      <c r="AQ229" s="218">
        <f>IFERROR(__xludf.DUMMYFUNCTION("""COMPUTED_VALUE"""),45934.0)</f>
        <v>45934</v>
      </c>
      <c r="AR229" s="211"/>
      <c r="AS229" s="211"/>
      <c r="AT229" s="211"/>
      <c r="AU229" s="211"/>
      <c r="AV229" s="211"/>
      <c r="AW229" s="211"/>
      <c r="AX229" s="211"/>
      <c r="AY229" s="211"/>
      <c r="AZ229" s="211"/>
      <c r="BB229" s="211"/>
      <c r="BC229" s="211"/>
      <c r="BD229" s="211"/>
      <c r="BE229" s="211"/>
      <c r="BF229" s="211"/>
      <c r="BG229" s="211"/>
      <c r="BH229" s="211"/>
      <c r="BI229" s="211"/>
    </row>
    <row r="230">
      <c r="A230" s="210" t="str">
        <f>IFERROR(__xludf.DUMMYFUNCTION("""COMPUTED_VALUE"""),"9b970b56")</f>
        <v>9b970b56</v>
      </c>
      <c r="B230" s="210" t="str">
        <f>IFERROR(__xludf.DUMMYFUNCTION("""COMPUTED_VALUE"""),"9b970b56")</f>
        <v>9b970b56</v>
      </c>
      <c r="C230" s="213">
        <f>IFERROR(__xludf.DUMMYFUNCTION("""COMPUTED_VALUE"""),45612.50277777778)</f>
        <v>45612.50278</v>
      </c>
      <c r="D230" s="211" t="str">
        <f>IFERROR(__xludf.DUMMYFUNCTION("""COMPUTED_VALUE"""),"c2f5a4a7")</f>
        <v>c2f5a4a7</v>
      </c>
      <c r="E230" s="211" t="str">
        <f>IFERROR(__xludf.DUMMYFUNCTION("""COMPUTED_VALUE"""),"UD Sumber Berlian")</f>
        <v>UD Sumber Berlian</v>
      </c>
      <c r="F230" s="211" t="str">
        <f>IFERROR(__xludf.DUMMYFUNCTION("""COMPUTED_VALUE"""),"be525f3b")</f>
        <v>be525f3b</v>
      </c>
      <c r="G230" s="211" t="str">
        <f>IFERROR(__xludf.DUMMYFUNCTION("""COMPUTED_VALUE"""),"LPG 12kg")</f>
        <v>LPG 12kg</v>
      </c>
      <c r="H230" s="214" t="str">
        <f>IFERROR(__xludf.DUMMYFUNCTION("""COMPUTED_VALUE"""),"IN")</f>
        <v>IN</v>
      </c>
      <c r="I230" s="214" t="str">
        <f>IFERROR(__xludf.DUMMYFUNCTION("""COMPUTED_VALUE"""),"EMPTY")</f>
        <v>EMPTY</v>
      </c>
      <c r="J230" s="211">
        <f>IFERROR(__xludf.DUMMYFUNCTION("""COMPUTED_VALUE"""),2.0)</f>
        <v>2</v>
      </c>
      <c r="K230" s="211"/>
      <c r="L230" s="211"/>
      <c r="M230" s="211"/>
      <c r="N230" s="211"/>
      <c r="O230" s="211"/>
      <c r="Q230" s="210" t="str">
        <f>IFERROR(__xludf.DUMMYFUNCTION("""COMPUTED_VALUE"""),"12240148")</f>
        <v>12240148</v>
      </c>
      <c r="R230" s="210" t="str">
        <f>IFERROR(__xludf.DUMMYFUNCTION("""COMPUTED_VALUE"""),"12240148")</f>
        <v>12240148</v>
      </c>
      <c r="S230" s="211" t="str">
        <f>IFERROR(__xludf.DUMMYFUNCTION("""COMPUTED_VALUE"""),"785e0e07")</f>
        <v>785e0e07</v>
      </c>
      <c r="T230" s="211" t="str">
        <f>IFERROR(__xludf.DUMMYFUNCTION("""COMPUTED_VALUE"""),"Bpk. Sukirno (Bejo)")</f>
        <v>Bpk. Sukirno (Bejo)</v>
      </c>
      <c r="U230" s="215">
        <f>IFERROR(__xludf.DUMMYFUNCTION("""COMPUTED_VALUE"""),45630.52916666667)</f>
        <v>45630.52917</v>
      </c>
      <c r="V230" s="211" t="str">
        <f>IFERROR(__xludf.DUMMYFUNCTION("""COMPUTED_VALUE"""),"Krajan I, Wringinanom, Kec. Wringinanom, Kabupaten Gresik, Jawa Timur 61176")</f>
        <v>Krajan I, Wringinanom, Kec. Wringinanom, Kabupaten Gresik, Jawa Timur 61176</v>
      </c>
      <c r="W230" s="211" t="str">
        <f>IFERROR(__xludf.DUMMYFUNCTION("""COMPUTED_VALUE"""),"OUT")</f>
        <v>OUT</v>
      </c>
      <c r="X230" s="211"/>
      <c r="Z230" s="211" t="str">
        <f>IFERROR(__xludf.DUMMYFUNCTION("""COMPUTED_VALUE"""),"022662573")</f>
        <v>022662573</v>
      </c>
      <c r="AC230" s="211"/>
      <c r="AD230" s="211"/>
      <c r="AE230" s="211"/>
      <c r="AF230" s="211"/>
      <c r="AG230" s="211"/>
      <c r="AH230" s="211"/>
      <c r="AI230" s="211"/>
      <c r="AJ230" s="211"/>
      <c r="AL230" s="211" t="str">
        <f>IFERROR(__xludf.DUMMYFUNCTION("""COMPUTED_VALUE"""),"2250079")</f>
        <v>2250079</v>
      </c>
      <c r="AM230" s="211" t="str">
        <f>IFERROR(__xludf.DUMMYFUNCTION("""COMPUTED_VALUE"""),"102521507")</f>
        <v>102521507</v>
      </c>
      <c r="AN230" s="211" t="str">
        <f>IFERROR(__xludf.DUMMYFUNCTION("""COMPUTED_VALUE"""),"440df1db")</f>
        <v>440df1db</v>
      </c>
      <c r="AO230" s="211" t="str">
        <f>IFERROR(__xludf.DUMMYFUNCTION("""COMPUTED_VALUE"""),"PT. Mecca Abadi Sejahtera")</f>
        <v>PT. Mecca Abadi Sejahtera</v>
      </c>
      <c r="AP230" s="215">
        <f>IFERROR(__xludf.DUMMYFUNCTION("""COMPUTED_VALUE"""),45962.83385416667)</f>
        <v>45962.83385</v>
      </c>
      <c r="AQ230" s="218">
        <f>IFERROR(__xludf.DUMMYFUNCTION("""COMPUTED_VALUE"""),45952.0)</f>
        <v>45952</v>
      </c>
      <c r="AR230" s="211"/>
      <c r="AS230" s="211"/>
      <c r="AT230" s="211"/>
      <c r="AU230" s="211"/>
      <c r="AV230" s="211"/>
      <c r="AW230" s="211"/>
      <c r="AX230" s="211"/>
      <c r="AY230" s="211"/>
      <c r="AZ230" s="211"/>
      <c r="BB230" s="211"/>
      <c r="BC230" s="211"/>
      <c r="BD230" s="211"/>
      <c r="BE230" s="211"/>
      <c r="BF230" s="211"/>
      <c r="BG230" s="211"/>
      <c r="BH230" s="211"/>
      <c r="BI230" s="211"/>
    </row>
    <row r="231">
      <c r="A231" s="210" t="str">
        <f>IFERROR(__xludf.DUMMYFUNCTION("""COMPUTED_VALUE"""),"11240105")</f>
        <v>11240105</v>
      </c>
      <c r="B231" s="210" t="str">
        <f>IFERROR(__xludf.DUMMYFUNCTION("""COMPUTED_VALUE"""),"11240105")</f>
        <v>11240105</v>
      </c>
      <c r="C231" s="213">
        <f>IFERROR(__xludf.DUMMYFUNCTION("""COMPUTED_VALUE"""),45612.59027777778)</f>
        <v>45612.59028</v>
      </c>
      <c r="D231" s="211" t="str">
        <f>IFERROR(__xludf.DUMMYFUNCTION("""COMPUTED_VALUE"""),"c2f5a4a7")</f>
        <v>c2f5a4a7</v>
      </c>
      <c r="E231" s="211" t="str">
        <f>IFERROR(__xludf.DUMMYFUNCTION("""COMPUTED_VALUE"""),"UD Sumber Berlian")</f>
        <v>UD Sumber Berlian</v>
      </c>
      <c r="F231" s="211" t="str">
        <f>IFERROR(__xludf.DUMMYFUNCTION("""COMPUTED_VALUE"""),"8bdbe149")</f>
        <v>8bdbe149</v>
      </c>
      <c r="G231" s="211" t="str">
        <f>IFERROR(__xludf.DUMMYFUNCTION("""COMPUTED_VALUE"""),"Oksigen 6m3")</f>
        <v>Oksigen 6m3</v>
      </c>
      <c r="H231" s="214" t="str">
        <f>IFERROR(__xludf.DUMMYFUNCTION("""COMPUTED_VALUE"""),"OUT")</f>
        <v>OUT</v>
      </c>
      <c r="I231" s="214" t="str">
        <f>IFERROR(__xludf.DUMMYFUNCTION("""COMPUTED_VALUE"""),"NORMAL")</f>
        <v>NORMAL</v>
      </c>
      <c r="J231" s="211">
        <f>IFERROR(__xludf.DUMMYFUNCTION("""COMPUTED_VALUE"""),5.0)</f>
        <v>5</v>
      </c>
      <c r="K231" s="210" t="str">
        <f>IFERROR(__xludf.DUMMYFUNCTION("""COMPUTED_VALUE"""),"1117 1152 11102 1146 1181")</f>
        <v>1117 1152 11102 1146 1181</v>
      </c>
      <c r="L231" s="211">
        <f>IFERROR(__xludf.DUMMYFUNCTION("""COMPUTED_VALUE"""),70000.0)</f>
        <v>70000</v>
      </c>
      <c r="M231" s="211"/>
      <c r="N231" s="211"/>
      <c r="O231" s="211"/>
      <c r="Q231" s="210" t="str">
        <f>IFERROR(__xludf.DUMMYFUNCTION("""COMPUTED_VALUE"""),"12240149")</f>
        <v>12240149</v>
      </c>
      <c r="R231" s="210" t="str">
        <f>IFERROR(__xludf.DUMMYFUNCTION("""COMPUTED_VALUE"""),"12240149")</f>
        <v>12240149</v>
      </c>
      <c r="S231" s="211" t="str">
        <f>IFERROR(__xludf.DUMMYFUNCTION("""COMPUTED_VALUE"""),"37175874")</f>
        <v>37175874</v>
      </c>
      <c r="T231" s="211" t="str">
        <f>IFERROR(__xludf.DUMMYFUNCTION("""COMPUTED_VALUE"""),"PT TERAPAN NILAIOSILASI INDONESIA (TENO)")</f>
        <v>PT TERAPAN NILAIOSILASI INDONESIA (TENO)</v>
      </c>
      <c r="U231" s="215">
        <f>IFERROR(__xludf.DUMMYFUNCTION("""COMPUTED_VALUE"""),45630.53125)</f>
        <v>45630.53125</v>
      </c>
      <c r="V231" s="211" t="str">
        <f>IFERROR(__xludf.DUMMYFUNCTION("""COMPUTED_VALUE"""),"JL Raya Kertajaya Indah 153 / P116, Gebang Putih, Sukokilo, Kota Surabaya, Jawa Timur")</f>
        <v>JL Raya Kertajaya Indah 153 / P116, Gebang Putih, Sukokilo, Kota Surabaya, Jawa Timur</v>
      </c>
      <c r="W231" s="211" t="str">
        <f>IFERROR(__xludf.DUMMYFUNCTION("""COMPUTED_VALUE"""),"OUT")</f>
        <v>OUT</v>
      </c>
      <c r="X231" s="211"/>
      <c r="Z231" s="211" t="str">
        <f>IFERROR(__xludf.DUMMYFUNCTION("""COMPUTED_VALUE"""),"022652572")</f>
        <v>022652572</v>
      </c>
      <c r="AC231" s="211"/>
      <c r="AD231" s="211"/>
      <c r="AE231" s="211"/>
      <c r="AF231" s="211"/>
      <c r="AG231" s="211"/>
      <c r="AH231" s="211"/>
      <c r="AI231" s="211"/>
      <c r="AJ231" s="211"/>
      <c r="AL231" s="211" t="str">
        <f>IFERROR(__xludf.DUMMYFUNCTION("""COMPUTED_VALUE"""),"2250079")</f>
        <v>2250079</v>
      </c>
      <c r="AM231" s="211" t="str">
        <f>IFERROR(__xludf.DUMMYFUNCTION("""COMPUTED_VALUE"""),"102531522")</f>
        <v>102531522</v>
      </c>
      <c r="AN231" s="211" t="str">
        <f>IFERROR(__xludf.DUMMYFUNCTION("""COMPUTED_VALUE"""),"440df1db")</f>
        <v>440df1db</v>
      </c>
      <c r="AO231" s="211" t="str">
        <f>IFERROR(__xludf.DUMMYFUNCTION("""COMPUTED_VALUE"""),"PT. Mecca Abadi Sejahtera")</f>
        <v>PT. Mecca Abadi Sejahtera</v>
      </c>
      <c r="AP231" s="215">
        <f>IFERROR(__xludf.DUMMYFUNCTION("""COMPUTED_VALUE"""),45962.83385416667)</f>
        <v>45962.83385</v>
      </c>
      <c r="AQ231" s="218">
        <f>IFERROR(__xludf.DUMMYFUNCTION("""COMPUTED_VALUE"""),45954.0)</f>
        <v>45954</v>
      </c>
      <c r="AR231" s="211"/>
      <c r="AS231" s="211"/>
      <c r="AT231" s="211"/>
      <c r="AU231" s="211"/>
      <c r="AV231" s="211"/>
      <c r="AW231" s="211"/>
      <c r="AX231" s="211"/>
      <c r="AY231" s="211"/>
      <c r="AZ231" s="211"/>
      <c r="BB231" s="211"/>
      <c r="BC231" s="211"/>
      <c r="BD231" s="211"/>
      <c r="BE231" s="211"/>
      <c r="BF231" s="211"/>
      <c r="BG231" s="211"/>
      <c r="BH231" s="211"/>
      <c r="BI231" s="211"/>
    </row>
    <row r="232">
      <c r="A232" s="210" t="str">
        <f>IFERROR(__xludf.DUMMYFUNCTION("""COMPUTED_VALUE"""),"11240105")</f>
        <v>11240105</v>
      </c>
      <c r="B232" s="210" t="str">
        <f>IFERROR(__xludf.DUMMYFUNCTION("""COMPUTED_VALUE"""),"11240105")</f>
        <v>11240105</v>
      </c>
      <c r="C232" s="213">
        <f>IFERROR(__xludf.DUMMYFUNCTION("""COMPUTED_VALUE"""),45612.631064814814)</f>
        <v>45612.63106</v>
      </c>
      <c r="D232" s="211" t="str">
        <f>IFERROR(__xludf.DUMMYFUNCTION("""COMPUTED_VALUE"""),"c2f5a4a7")</f>
        <v>c2f5a4a7</v>
      </c>
      <c r="E232" s="211" t="str">
        <f>IFERROR(__xludf.DUMMYFUNCTION("""COMPUTED_VALUE"""),"UD Sumber Berlian")</f>
        <v>UD Sumber Berlian</v>
      </c>
      <c r="F232" s="211" t="str">
        <f>IFERROR(__xludf.DUMMYFUNCTION("""COMPUTED_VALUE"""),"be525f3b")</f>
        <v>be525f3b</v>
      </c>
      <c r="G232" s="211" t="str">
        <f>IFERROR(__xludf.DUMMYFUNCTION("""COMPUTED_VALUE"""),"LPG 12kg")</f>
        <v>LPG 12kg</v>
      </c>
      <c r="H232" s="214" t="str">
        <f>IFERROR(__xludf.DUMMYFUNCTION("""COMPUTED_VALUE"""),"OUT")</f>
        <v>OUT</v>
      </c>
      <c r="I232" s="214" t="str">
        <f>IFERROR(__xludf.DUMMYFUNCTION("""COMPUTED_VALUE"""),"NORMAL")</f>
        <v>NORMAL</v>
      </c>
      <c r="J232" s="211">
        <f>IFERROR(__xludf.DUMMYFUNCTION("""COMPUTED_VALUE"""),2.0)</f>
        <v>2</v>
      </c>
      <c r="K232" s="211"/>
      <c r="L232" s="211">
        <f>IFERROR(__xludf.DUMMYFUNCTION("""COMPUTED_VALUE"""),215000.0)</f>
        <v>215000</v>
      </c>
      <c r="M232" s="211"/>
      <c r="N232" s="211"/>
      <c r="O232" s="211"/>
      <c r="Q232" s="210" t="str">
        <f>IFERROR(__xludf.DUMMYFUNCTION("""COMPUTED_VALUE"""),"12240150")</f>
        <v>12240150</v>
      </c>
      <c r="R232" s="210" t="str">
        <f>IFERROR(__xludf.DUMMYFUNCTION("""COMPUTED_VALUE"""),"12240150")</f>
        <v>12240150</v>
      </c>
      <c r="S232" s="211" t="str">
        <f>IFERROR(__xludf.DUMMYFUNCTION("""COMPUTED_VALUE"""),"4ec68cf6")</f>
        <v>4ec68cf6</v>
      </c>
      <c r="T232" s="211" t="str">
        <f>IFERROR(__xludf.DUMMYFUNCTION("""COMPUTED_VALUE"""),"CV Sido Mukti Karya")</f>
        <v>CV Sido Mukti Karya</v>
      </c>
      <c r="U232" s="215">
        <f>IFERROR(__xludf.DUMMYFUNCTION("""COMPUTED_VALUE"""),45630.55763888889)</f>
        <v>45630.55764</v>
      </c>
      <c r="V232" s="211" t="str">
        <f>IFERROR(__xludf.DUMMYFUNCTION("""COMPUTED_VALUE"""),"Pergudangan Center Point no A3, Kemangsen")</f>
        <v>Pergudangan Center Point no A3, Kemangsen</v>
      </c>
      <c r="W232" s="211" t="str">
        <f>IFERROR(__xludf.DUMMYFUNCTION("""COMPUTED_VALUE"""),"OUT")</f>
        <v>OUT</v>
      </c>
      <c r="X232" s="211"/>
      <c r="Z232" s="211" t="str">
        <f>IFERROR(__xludf.DUMMYFUNCTION("""COMPUTED_VALUE"""),"0226202571")</f>
        <v>0226202571</v>
      </c>
      <c r="AC232" s="211"/>
      <c r="AD232" s="211"/>
      <c r="AE232" s="211"/>
      <c r="AF232" s="211"/>
      <c r="AG232" s="211"/>
      <c r="AH232" s="211"/>
      <c r="AI232" s="211"/>
      <c r="AJ232" s="211"/>
      <c r="AL232" s="211" t="str">
        <f>IFERROR(__xludf.DUMMYFUNCTION("""COMPUTED_VALUE"""),"2250077")</f>
        <v>2250077</v>
      </c>
      <c r="AM232" s="211" t="str">
        <f>IFERROR(__xludf.DUMMYFUNCTION("""COMPUTED_VALUE"""),"1025631547")</f>
        <v>1025631547</v>
      </c>
      <c r="AN232" s="211" t="str">
        <f>IFERROR(__xludf.DUMMYFUNCTION("""COMPUTED_VALUE"""),"e86baf3b")</f>
        <v>e86baf3b</v>
      </c>
      <c r="AO232" s="211" t="str">
        <f>IFERROR(__xludf.DUMMYFUNCTION("""COMPUTED_VALUE"""),"PT GEMILANG CIPTA WAWASAN")</f>
        <v>PT GEMILANG CIPTA WAWASAN</v>
      </c>
      <c r="AP232" s="215">
        <f>IFERROR(__xludf.DUMMYFUNCTION("""COMPUTED_VALUE"""),45961.4874537037)</f>
        <v>45961.48745</v>
      </c>
      <c r="AQ232" s="218">
        <f>IFERROR(__xludf.DUMMYFUNCTION("""COMPUTED_VALUE"""),45958.0)</f>
        <v>45958</v>
      </c>
      <c r="AR232" s="211"/>
      <c r="AS232" s="211"/>
      <c r="AT232" s="211"/>
      <c r="AU232" s="211"/>
      <c r="AV232" s="211"/>
      <c r="AW232" s="211"/>
      <c r="AX232" s="211"/>
      <c r="AY232" s="211"/>
      <c r="AZ232" s="211"/>
      <c r="BB232" s="211"/>
      <c r="BC232" s="211"/>
      <c r="BD232" s="211"/>
      <c r="BE232" s="211"/>
      <c r="BF232" s="211"/>
      <c r="BG232" s="211"/>
      <c r="BH232" s="211"/>
      <c r="BI232" s="211"/>
    </row>
    <row r="233">
      <c r="A233" s="210" t="str">
        <f>IFERROR(__xludf.DUMMYFUNCTION("""COMPUTED_VALUE"""),"9b970b56")</f>
        <v>9b970b56</v>
      </c>
      <c r="B233" s="210" t="str">
        <f>IFERROR(__xludf.DUMMYFUNCTION("""COMPUTED_VALUE"""),"9b970b56")</f>
        <v>9b970b56</v>
      </c>
      <c r="C233" s="213">
        <f>IFERROR(__xludf.DUMMYFUNCTION("""COMPUTED_VALUE"""),45612.695335648146)</f>
        <v>45612.69534</v>
      </c>
      <c r="D233" s="211" t="str">
        <f>IFERROR(__xludf.DUMMYFUNCTION("""COMPUTED_VALUE"""),"c2f5a4a7")</f>
        <v>c2f5a4a7</v>
      </c>
      <c r="E233" s="211" t="str">
        <f>IFERROR(__xludf.DUMMYFUNCTION("""COMPUTED_VALUE"""),"UD Sumber Berlian")</f>
        <v>UD Sumber Berlian</v>
      </c>
      <c r="F233" s="211" t="str">
        <f>IFERROR(__xludf.DUMMYFUNCTION("""COMPUTED_VALUE"""),"8bdbe149")</f>
        <v>8bdbe149</v>
      </c>
      <c r="G233" s="211" t="str">
        <f>IFERROR(__xludf.DUMMYFUNCTION("""COMPUTED_VALUE"""),"Oksigen 6m3")</f>
        <v>Oksigen 6m3</v>
      </c>
      <c r="H233" s="214" t="str">
        <f>IFERROR(__xludf.DUMMYFUNCTION("""COMPUTED_VALUE"""),"IN")</f>
        <v>IN</v>
      </c>
      <c r="I233" s="214" t="str">
        <f>IFERROR(__xludf.DUMMYFUNCTION("""COMPUTED_VALUE"""),"EMPTY")</f>
        <v>EMPTY</v>
      </c>
      <c r="J233" s="211">
        <f>IFERROR(__xludf.DUMMYFUNCTION("""COMPUTED_VALUE"""),9.0)</f>
        <v>9</v>
      </c>
      <c r="K233" s="210" t="str">
        <f>IFERROR(__xludf.DUMMYFUNCTION("""COMPUTED_VALUE"""),"1732 5319 5181 5548 1065 1347 6311 5296 16")</f>
        <v>1732 5319 5181 5548 1065 1347 6311 5296 16</v>
      </c>
      <c r="L233" s="211"/>
      <c r="M233" s="211"/>
      <c r="N233" s="211"/>
      <c r="O233" s="211"/>
      <c r="Q233" s="210" t="str">
        <f>IFERROR(__xludf.DUMMYFUNCTION("""COMPUTED_VALUE"""),"940abfe1")</f>
        <v>940abfe1</v>
      </c>
      <c r="R233" s="210" t="str">
        <f>IFERROR(__xludf.DUMMYFUNCTION("""COMPUTED_VALUE"""),"940abfe1")</f>
        <v>940abfe1</v>
      </c>
      <c r="S233" s="211" t="str">
        <f>IFERROR(__xludf.DUMMYFUNCTION("""COMPUTED_VALUE"""),"37175874")</f>
        <v>37175874</v>
      </c>
      <c r="T233" s="211" t="str">
        <f>IFERROR(__xludf.DUMMYFUNCTION("""COMPUTED_VALUE"""),"PT TERAPAN NILAIOSILASI INDONESIA (TENO)")</f>
        <v>PT TERAPAN NILAIOSILASI INDONESIA (TENO)</v>
      </c>
      <c r="U233" s="215">
        <f>IFERROR(__xludf.DUMMYFUNCTION("""COMPUTED_VALUE"""),45630.61458333333)</f>
        <v>45630.61458</v>
      </c>
      <c r="V233" s="211" t="str">
        <f>IFERROR(__xludf.DUMMYFUNCTION("""COMPUTED_VALUE"""),"JL Raya Kertajaya Indah 153 / P116, Gebang Putih, Sukokilo, Kota Surabaya, Jawa Timur")</f>
        <v>JL Raya Kertajaya Indah 153 / P116, Gebang Putih, Sukokilo, Kota Surabaya, Jawa Timur</v>
      </c>
      <c r="W233" s="211" t="str">
        <f>IFERROR(__xludf.DUMMYFUNCTION("""COMPUTED_VALUE"""),"IN")</f>
        <v>IN</v>
      </c>
      <c r="X233" s="211"/>
      <c r="Z233" s="211" t="str">
        <f>IFERROR(__xludf.DUMMYFUNCTION("""COMPUTED_VALUE"""),"022632567")</f>
        <v>022632567</v>
      </c>
      <c r="AC233" s="211"/>
      <c r="AD233" s="211"/>
      <c r="AE233" s="211"/>
      <c r="AF233" s="211"/>
      <c r="AG233" s="211"/>
      <c r="AH233" s="211"/>
      <c r="AI233" s="211"/>
      <c r="AJ233" s="211"/>
      <c r="AL233" s="211" t="str">
        <f>IFERROR(__xludf.DUMMYFUNCTION("""COMPUTED_VALUE"""),"2250077")</f>
        <v>2250077</v>
      </c>
      <c r="AM233" s="211" t="str">
        <f>IFERROR(__xludf.DUMMYFUNCTION("""COMPUTED_VALUE"""),"1025641567")</f>
        <v>1025641567</v>
      </c>
      <c r="AN233" s="211" t="str">
        <f>IFERROR(__xludf.DUMMYFUNCTION("""COMPUTED_VALUE"""),"e86baf3b")</f>
        <v>e86baf3b</v>
      </c>
      <c r="AO233" s="211" t="str">
        <f>IFERROR(__xludf.DUMMYFUNCTION("""COMPUTED_VALUE"""),"PT GEMILANG CIPTA WAWASAN")</f>
        <v>PT GEMILANG CIPTA WAWASAN</v>
      </c>
      <c r="AP233" s="215">
        <f>IFERROR(__xludf.DUMMYFUNCTION("""COMPUTED_VALUE"""),45961.4874537037)</f>
        <v>45961.48745</v>
      </c>
      <c r="AQ233" s="218">
        <f>IFERROR(__xludf.DUMMYFUNCTION("""COMPUTED_VALUE"""),45960.0)</f>
        <v>45960</v>
      </c>
      <c r="AR233" s="211"/>
      <c r="AS233" s="211"/>
      <c r="AT233" s="211"/>
      <c r="AU233" s="211"/>
      <c r="AV233" s="211"/>
      <c r="AW233" s="211"/>
      <c r="AX233" s="211"/>
      <c r="AY233" s="211"/>
      <c r="AZ233" s="211"/>
      <c r="BB233" s="211"/>
      <c r="BC233" s="211"/>
      <c r="BD233" s="211"/>
      <c r="BE233" s="211"/>
      <c r="BF233" s="211"/>
      <c r="BG233" s="211"/>
      <c r="BH233" s="211"/>
      <c r="BI233" s="211"/>
    </row>
    <row r="234">
      <c r="A234" s="210" t="str">
        <f>IFERROR(__xludf.DUMMYFUNCTION("""COMPUTED_VALUE"""),"11240109")</f>
        <v>11240109</v>
      </c>
      <c r="B234" s="210" t="str">
        <f>IFERROR(__xludf.DUMMYFUNCTION("""COMPUTED_VALUE"""),"11240109")</f>
        <v>11240109</v>
      </c>
      <c r="C234" s="213">
        <f>IFERROR(__xludf.DUMMYFUNCTION("""COMPUTED_VALUE"""),45614.33052083333)</f>
        <v>45614.33052</v>
      </c>
      <c r="D234" s="211" t="str">
        <f>IFERROR(__xludf.DUMMYFUNCTION("""COMPUTED_VALUE"""),"72d9a70c")</f>
        <v>72d9a70c</v>
      </c>
      <c r="E234" s="211" t="str">
        <f>IFERROR(__xludf.DUMMYFUNCTION("""COMPUTED_VALUE"""),"PT Beton Prima Indonesia")</f>
        <v>PT Beton Prima Indonesia</v>
      </c>
      <c r="F234" s="211" t="str">
        <f>IFERROR(__xludf.DUMMYFUNCTION("""COMPUTED_VALUE"""),"8bdbe149")</f>
        <v>8bdbe149</v>
      </c>
      <c r="G234" s="211" t="str">
        <f>IFERROR(__xludf.DUMMYFUNCTION("""COMPUTED_VALUE"""),"Oksigen 6m3")</f>
        <v>Oksigen 6m3</v>
      </c>
      <c r="H234" s="214" t="str">
        <f>IFERROR(__xludf.DUMMYFUNCTION("""COMPUTED_VALUE"""),"OUT")</f>
        <v>OUT</v>
      </c>
      <c r="I234" s="214" t="str">
        <f>IFERROR(__xludf.DUMMYFUNCTION("""COMPUTED_VALUE"""),"NORMAL")</f>
        <v>NORMAL</v>
      </c>
      <c r="J234" s="211">
        <f>IFERROR(__xludf.DUMMYFUNCTION("""COMPUTED_VALUE"""),10.0)</f>
        <v>10</v>
      </c>
      <c r="K234" s="210" t="str">
        <f>IFERROR(__xludf.DUMMYFUNCTION("""COMPUTED_VALUE"""),"1126 11127 11128 11129 11130 11131 11132 11133 11134 1189")</f>
        <v>1126 11127 11128 11129 11130 11131 11132 11133 11134 1189</v>
      </c>
      <c r="L234" s="211">
        <f>IFERROR(__xludf.DUMMYFUNCTION("""COMPUTED_VALUE"""),45045.04505)</f>
        <v>45045.04505</v>
      </c>
      <c r="M234" s="211"/>
      <c r="N234" s="211"/>
      <c r="O234" s="211"/>
      <c r="Q234" s="210" t="str">
        <f>IFERROR(__xludf.DUMMYFUNCTION("""COMPUTED_VALUE"""),"3b5a7e38")</f>
        <v>3b5a7e38</v>
      </c>
      <c r="R234" s="210" t="str">
        <f>IFERROR(__xludf.DUMMYFUNCTION("""COMPUTED_VALUE"""),"3b5a7e38")</f>
        <v>3b5a7e38</v>
      </c>
      <c r="S234" s="211" t="str">
        <f>IFERROR(__xludf.DUMMYFUNCTION("""COMPUTED_VALUE"""),"2d88931c")</f>
        <v>2d88931c</v>
      </c>
      <c r="T234" s="211" t="str">
        <f>IFERROR(__xludf.DUMMYFUNCTION("""COMPUTED_VALUE"""),"PT Dunia Berkat Marga Mulya")</f>
        <v>PT Dunia Berkat Marga Mulya</v>
      </c>
      <c r="U234" s="215">
        <f>IFERROR(__xludf.DUMMYFUNCTION("""COMPUTED_VALUE"""),45630.615277777775)</f>
        <v>45630.61528</v>
      </c>
      <c r="V234" s="211" t="str">
        <f>IFERROR(__xludf.DUMMYFUNCTION("""COMPUTED_VALUE"""),"JL JABARAN, WATESARI, BALONGBENDO, SIDOARJO, JAWA TIMUR")</f>
        <v>JL JABARAN, WATESARI, BALONGBENDO, SIDOARJO, JAWA TIMUR</v>
      </c>
      <c r="W234" s="211" t="str">
        <f>IFERROR(__xludf.DUMMYFUNCTION("""COMPUTED_VALUE"""),"IN")</f>
        <v>IN</v>
      </c>
      <c r="X234" s="211"/>
      <c r="Z234" s="211" t="str">
        <f>IFERROR(__xludf.DUMMYFUNCTION("""COMPUTED_VALUE"""),"0226222569")</f>
        <v>0226222569</v>
      </c>
      <c r="AC234" s="211"/>
      <c r="AD234" s="211"/>
      <c r="AE234" s="211"/>
      <c r="AF234" s="211"/>
      <c r="AG234" s="211"/>
      <c r="AH234" s="211"/>
      <c r="AI234" s="211"/>
      <c r="AJ234" s="211"/>
      <c r="AL234" s="211" t="str">
        <f>IFERROR(__xludf.DUMMYFUNCTION("""COMPUTED_VALUE"""),"2250074")</f>
        <v>2250074</v>
      </c>
      <c r="AM234" s="211" t="str">
        <f>IFERROR(__xludf.DUMMYFUNCTION("""COMPUTED_VALUE"""),"1025601496")</f>
        <v>1025601496</v>
      </c>
      <c r="AN234" s="211" t="str">
        <f>IFERROR(__xludf.DUMMYFUNCTION("""COMPUTED_VALUE"""),"e86baf3b")</f>
        <v>e86baf3b</v>
      </c>
      <c r="AO234" s="211" t="str">
        <f>IFERROR(__xludf.DUMMYFUNCTION("""COMPUTED_VALUE"""),"PT GEMILANG CIPTA WAWASAN")</f>
        <v>PT GEMILANG CIPTA WAWASAN</v>
      </c>
      <c r="AP234" s="215">
        <f>IFERROR(__xludf.DUMMYFUNCTION("""COMPUTED_VALUE"""),45961.48731481482)</f>
        <v>45961.48731</v>
      </c>
      <c r="AQ234" s="218">
        <f>IFERROR(__xludf.DUMMYFUNCTION("""COMPUTED_VALUE"""),45951.0)</f>
        <v>45951</v>
      </c>
      <c r="AR234" s="211"/>
      <c r="AS234" s="211"/>
      <c r="AT234" s="211"/>
      <c r="AU234" s="211"/>
      <c r="AV234" s="211"/>
      <c r="AW234" s="211"/>
      <c r="AX234" s="211"/>
      <c r="AY234" s="211"/>
      <c r="AZ234" s="211"/>
      <c r="BB234" s="211"/>
      <c r="BC234" s="211"/>
      <c r="BD234" s="211"/>
      <c r="BE234" s="211"/>
      <c r="BF234" s="211"/>
      <c r="BG234" s="211"/>
      <c r="BH234" s="211"/>
      <c r="BI234" s="211"/>
    </row>
    <row r="235">
      <c r="A235" s="210" t="str">
        <f>IFERROR(__xludf.DUMMYFUNCTION("""COMPUTED_VALUE"""),"2ed4eef5")</f>
        <v>2ed4eef5</v>
      </c>
      <c r="B235" s="210" t="str">
        <f>IFERROR(__xludf.DUMMYFUNCTION("""COMPUTED_VALUE"""),"2ed4eef5")</f>
        <v>2ed4eef5</v>
      </c>
      <c r="C235" s="213">
        <f>IFERROR(__xludf.DUMMYFUNCTION("""COMPUTED_VALUE"""),45614.62232638889)</f>
        <v>45614.62233</v>
      </c>
      <c r="D235" s="211" t="str">
        <f>IFERROR(__xludf.DUMMYFUNCTION("""COMPUTED_VALUE"""),"72d9a70c")</f>
        <v>72d9a70c</v>
      </c>
      <c r="E235" s="211" t="str">
        <f>IFERROR(__xludf.DUMMYFUNCTION("""COMPUTED_VALUE"""),"PT Beton Prima Indonesia")</f>
        <v>PT Beton Prima Indonesia</v>
      </c>
      <c r="F235" s="211" t="str">
        <f>IFERROR(__xludf.DUMMYFUNCTION("""COMPUTED_VALUE"""),"8bdbe149")</f>
        <v>8bdbe149</v>
      </c>
      <c r="G235" s="211" t="str">
        <f>IFERROR(__xludf.DUMMYFUNCTION("""COMPUTED_VALUE"""),"Oksigen 6m3")</f>
        <v>Oksigen 6m3</v>
      </c>
      <c r="H235" s="214" t="str">
        <f>IFERROR(__xludf.DUMMYFUNCTION("""COMPUTED_VALUE"""),"IN")</f>
        <v>IN</v>
      </c>
      <c r="I235" s="214" t="str">
        <f>IFERROR(__xludf.DUMMYFUNCTION("""COMPUTED_VALUE"""),"EMPTY")</f>
        <v>EMPTY</v>
      </c>
      <c r="J235" s="211">
        <f>IFERROR(__xludf.DUMMYFUNCTION("""COMPUTED_VALUE"""),8.0)</f>
        <v>8</v>
      </c>
      <c r="K235" s="210" t="str">
        <f>IFERROR(__xludf.DUMMYFUNCTION("""COMPUTED_VALUE"""),"1502 1396 1683 1105 11113 11111 1128 1106")</f>
        <v>1502 1396 1683 1105 11113 11111 1128 1106</v>
      </c>
      <c r="L235" s="211"/>
      <c r="M235" s="211"/>
      <c r="N235" s="211"/>
      <c r="O235" s="211"/>
      <c r="Q235" s="210" t="str">
        <f>IFERROR(__xludf.DUMMYFUNCTION("""COMPUTED_VALUE"""),"8821a5ed")</f>
        <v>8821a5ed</v>
      </c>
      <c r="R235" s="210" t="str">
        <f>IFERROR(__xludf.DUMMYFUNCTION("""COMPUTED_VALUE"""),"8821a5ed")</f>
        <v>8821a5ed</v>
      </c>
      <c r="S235" s="211" t="str">
        <f>IFERROR(__xludf.DUMMYFUNCTION("""COMPUTED_VALUE"""),"e968afef")</f>
        <v>e968afef</v>
      </c>
      <c r="T235" s="211" t="str">
        <f>IFERROR(__xludf.DUMMYFUNCTION("""COMPUTED_VALUE"""),"Bpk. Agus")</f>
        <v>Bpk. Agus</v>
      </c>
      <c r="U235" s="215">
        <f>IFERROR(__xludf.DUMMYFUNCTION("""COMPUTED_VALUE"""),45630.61597222222)</f>
        <v>45630.61597</v>
      </c>
      <c r="V235" s="211" t="str">
        <f>IFERROR(__xludf.DUMMYFUNCTION("""COMPUTED_VALUE"""),"Jl. Parengan 13, Semawut, Balongbendo, Kec. BalongBendo, Kabupaten Sidoarjo, Jawa Timur 61263")</f>
        <v>Jl. Parengan 13, Semawut, Balongbendo, Kec. BalongBendo, Kabupaten Sidoarjo, Jawa Timur 61263</v>
      </c>
      <c r="W235" s="211" t="str">
        <f>IFERROR(__xludf.DUMMYFUNCTION("""COMPUTED_VALUE"""),"IN")</f>
        <v>IN</v>
      </c>
      <c r="X235" s="211"/>
      <c r="Z235" s="211" t="str">
        <f>IFERROR(__xludf.DUMMYFUNCTION("""COMPUTED_VALUE"""),"022632568")</f>
        <v>022632568</v>
      </c>
      <c r="AC235" s="211"/>
      <c r="AD235" s="211"/>
      <c r="AE235" s="211"/>
      <c r="AF235" s="211"/>
      <c r="AG235" s="211"/>
      <c r="AH235" s="211"/>
      <c r="AI235" s="211"/>
      <c r="AJ235" s="211"/>
      <c r="AL235" s="211" t="str">
        <f>IFERROR(__xludf.DUMMYFUNCTION("""COMPUTED_VALUE"""),"2250074")</f>
        <v>2250074</v>
      </c>
      <c r="AM235" s="211" t="str">
        <f>IFERROR(__xludf.DUMMYFUNCTION("""COMPUTED_VALUE"""),"1025611511")</f>
        <v>1025611511</v>
      </c>
      <c r="AN235" s="211" t="str">
        <f>IFERROR(__xludf.DUMMYFUNCTION("""COMPUTED_VALUE"""),"e86baf3b")</f>
        <v>e86baf3b</v>
      </c>
      <c r="AO235" s="211" t="str">
        <f>IFERROR(__xludf.DUMMYFUNCTION("""COMPUTED_VALUE"""),"PT GEMILANG CIPTA WAWASAN")</f>
        <v>PT GEMILANG CIPTA WAWASAN</v>
      </c>
      <c r="AP235" s="215">
        <f>IFERROR(__xludf.DUMMYFUNCTION("""COMPUTED_VALUE"""),45961.48731481482)</f>
        <v>45961.48731</v>
      </c>
      <c r="AQ235" s="218">
        <f>IFERROR(__xludf.DUMMYFUNCTION("""COMPUTED_VALUE"""),45952.0)</f>
        <v>45952</v>
      </c>
      <c r="AR235" s="211"/>
      <c r="AS235" s="211"/>
      <c r="AT235" s="211"/>
      <c r="AU235" s="211"/>
      <c r="AV235" s="211"/>
      <c r="AW235" s="211"/>
      <c r="AX235" s="211"/>
      <c r="AY235" s="211"/>
      <c r="AZ235" s="211"/>
      <c r="BB235" s="211"/>
      <c r="BC235" s="211"/>
      <c r="BD235" s="211"/>
      <c r="BE235" s="211"/>
      <c r="BF235" s="211"/>
      <c r="BG235" s="211"/>
      <c r="BH235" s="211"/>
      <c r="BI235" s="211"/>
    </row>
    <row r="236">
      <c r="A236" s="210" t="str">
        <f>IFERROR(__xludf.DUMMYFUNCTION("""COMPUTED_VALUE"""),"2ed4eef5")</f>
        <v>2ed4eef5</v>
      </c>
      <c r="B236" s="210" t="str">
        <f>IFERROR(__xludf.DUMMYFUNCTION("""COMPUTED_VALUE"""),"2ed4eef5")</f>
        <v>2ed4eef5</v>
      </c>
      <c r="C236" s="213">
        <f>IFERROR(__xludf.DUMMYFUNCTION("""COMPUTED_VALUE"""),45614.62359953704)</f>
        <v>45614.6236</v>
      </c>
      <c r="D236" s="211" t="str">
        <f>IFERROR(__xludf.DUMMYFUNCTION("""COMPUTED_VALUE"""),"72d9a70c")</f>
        <v>72d9a70c</v>
      </c>
      <c r="E236" s="211" t="str">
        <f>IFERROR(__xludf.DUMMYFUNCTION("""COMPUTED_VALUE"""),"PT Beton Prima Indonesia")</f>
        <v>PT Beton Prima Indonesia</v>
      </c>
      <c r="F236" s="211" t="str">
        <f>IFERROR(__xludf.DUMMYFUNCTION("""COMPUTED_VALUE"""),"3b9d6a30")</f>
        <v>3b9d6a30</v>
      </c>
      <c r="G236" s="211" t="str">
        <f>IFERROR(__xludf.DUMMYFUNCTION("""COMPUTED_VALUE"""),"Acetyline")</f>
        <v>Acetyline</v>
      </c>
      <c r="H236" s="214" t="str">
        <f>IFERROR(__xludf.DUMMYFUNCTION("""COMPUTED_VALUE"""),"IN")</f>
        <v>IN</v>
      </c>
      <c r="I236" s="214" t="str">
        <f>IFERROR(__xludf.DUMMYFUNCTION("""COMPUTED_VALUE"""),"EMPTY")</f>
        <v>EMPTY</v>
      </c>
      <c r="J236" s="211">
        <f>IFERROR(__xludf.DUMMYFUNCTION("""COMPUTED_VALUE"""),3.0)</f>
        <v>3</v>
      </c>
      <c r="K236" s="210" t="str">
        <f>IFERROR(__xludf.DUMMYFUNCTION("""COMPUTED_VALUE"""),"7833 7840 7937")</f>
        <v>7833 7840 7937</v>
      </c>
      <c r="L236" s="211"/>
      <c r="M236" s="211"/>
      <c r="N236" s="211"/>
      <c r="O236" s="211"/>
      <c r="Q236" s="210" t="str">
        <f>IFERROR(__xludf.DUMMYFUNCTION("""COMPUTED_VALUE"""),"21b97c84")</f>
        <v>21b97c84</v>
      </c>
      <c r="R236" s="210" t="str">
        <f>IFERROR(__xludf.DUMMYFUNCTION("""COMPUTED_VALUE"""),"21b97c84")</f>
        <v>21b97c84</v>
      </c>
      <c r="S236" s="211" t="str">
        <f>IFERROR(__xludf.DUMMYFUNCTION("""COMPUTED_VALUE"""),"4ec68cf6")</f>
        <v>4ec68cf6</v>
      </c>
      <c r="T236" s="211" t="str">
        <f>IFERROR(__xludf.DUMMYFUNCTION("""COMPUTED_VALUE"""),"CV Sido Mukti Karya")</f>
        <v>CV Sido Mukti Karya</v>
      </c>
      <c r="U236" s="215">
        <f>IFERROR(__xludf.DUMMYFUNCTION("""COMPUTED_VALUE"""),45630.67291666666)</f>
        <v>45630.67292</v>
      </c>
      <c r="V236" s="211" t="str">
        <f>IFERROR(__xludf.DUMMYFUNCTION("""COMPUTED_VALUE"""),"Pergudangan Center Point no A3, Kemangsen")</f>
        <v>Pergudangan Center Point no A3, Kemangsen</v>
      </c>
      <c r="W236" s="211" t="str">
        <f>IFERROR(__xludf.DUMMYFUNCTION("""COMPUTED_VALUE"""),"IN")</f>
        <v>IN</v>
      </c>
      <c r="X236" s="211"/>
      <c r="Z236" s="211" t="str">
        <f>IFERROR(__xludf.DUMMYFUNCTION("""COMPUTED_VALUE"""),"0226452567")</f>
        <v>0226452567</v>
      </c>
      <c r="AC236" s="211"/>
      <c r="AD236" s="211"/>
      <c r="AE236" s="211"/>
      <c r="AF236" s="211"/>
      <c r="AG236" s="211"/>
      <c r="AH236" s="211"/>
      <c r="AI236" s="211"/>
      <c r="AJ236" s="211"/>
      <c r="AL236" s="211" t="str">
        <f>IFERROR(__xludf.DUMMYFUNCTION("""COMPUTED_VALUE"""),"2250074")</f>
        <v>2250074</v>
      </c>
      <c r="AM236" s="211" t="str">
        <f>IFERROR(__xludf.DUMMYFUNCTION("""COMPUTED_VALUE"""),"1025621529")</f>
        <v>1025621529</v>
      </c>
      <c r="AN236" s="211" t="str">
        <f>IFERROR(__xludf.DUMMYFUNCTION("""COMPUTED_VALUE"""),"e86baf3b")</f>
        <v>e86baf3b</v>
      </c>
      <c r="AO236" s="211" t="str">
        <f>IFERROR(__xludf.DUMMYFUNCTION("""COMPUTED_VALUE"""),"PT GEMILANG CIPTA WAWASAN")</f>
        <v>PT GEMILANG CIPTA WAWASAN</v>
      </c>
      <c r="AP236" s="215">
        <f>IFERROR(__xludf.DUMMYFUNCTION("""COMPUTED_VALUE"""),45961.48731481482)</f>
        <v>45961.48731</v>
      </c>
      <c r="AQ236" s="218">
        <f>IFERROR(__xludf.DUMMYFUNCTION("""COMPUTED_VALUE"""),45955.0)</f>
        <v>45955</v>
      </c>
      <c r="AR236" s="211"/>
      <c r="AS236" s="211"/>
      <c r="AT236" s="211"/>
      <c r="AU236" s="211"/>
      <c r="AV236" s="211"/>
      <c r="AW236" s="211"/>
      <c r="AX236" s="211"/>
      <c r="AY236" s="211"/>
      <c r="AZ236" s="211"/>
      <c r="BB236" s="211"/>
      <c r="BC236" s="211"/>
      <c r="BD236" s="211"/>
      <c r="BE236" s="211"/>
      <c r="BF236" s="211"/>
      <c r="BG236" s="211"/>
      <c r="BH236" s="211"/>
      <c r="BI236" s="211"/>
    </row>
    <row r="237">
      <c r="A237" s="210" t="str">
        <f>IFERROR(__xludf.DUMMYFUNCTION("""COMPUTED_VALUE"""),"39a4e81d")</f>
        <v>39a4e81d</v>
      </c>
      <c r="B237" s="210" t="str">
        <f>IFERROR(__xludf.DUMMYFUNCTION("""COMPUTED_VALUE"""),"39a4e81d")</f>
        <v>39a4e81d</v>
      </c>
      <c r="C237" s="213">
        <f>IFERROR(__xludf.DUMMYFUNCTION("""COMPUTED_VALUE"""),45614.624398148146)</f>
        <v>45614.6244</v>
      </c>
      <c r="D237" s="211" t="str">
        <f>IFERROR(__xludf.DUMMYFUNCTION("""COMPUTED_VALUE"""),"37175874")</f>
        <v>37175874</v>
      </c>
      <c r="E237" s="211" t="str">
        <f>IFERROR(__xludf.DUMMYFUNCTION("""COMPUTED_VALUE"""),"PT TERAPAN NILAIOSILASI INDONESIA (TENO)")</f>
        <v>PT TERAPAN NILAIOSILASI INDONESIA (TENO)</v>
      </c>
      <c r="F237" s="211" t="str">
        <f>IFERROR(__xludf.DUMMYFUNCTION("""COMPUTED_VALUE"""),"3b9d6a30")</f>
        <v>3b9d6a30</v>
      </c>
      <c r="G237" s="211" t="str">
        <f>IFERROR(__xludf.DUMMYFUNCTION("""COMPUTED_VALUE"""),"Acetyline")</f>
        <v>Acetyline</v>
      </c>
      <c r="H237" s="214" t="str">
        <f>IFERROR(__xludf.DUMMYFUNCTION("""COMPUTED_VALUE"""),"IN")</f>
        <v>IN</v>
      </c>
      <c r="I237" s="214" t="str">
        <f>IFERROR(__xludf.DUMMYFUNCTION("""COMPUTED_VALUE"""),"EMPTY")</f>
        <v>EMPTY</v>
      </c>
      <c r="J237" s="211">
        <f>IFERROR(__xludf.DUMMYFUNCTION("""COMPUTED_VALUE"""),1.0)</f>
        <v>1</v>
      </c>
      <c r="K237" s="210" t="str">
        <f>IFERROR(__xludf.DUMMYFUNCTION("""COMPUTED_VALUE"""),"7806")</f>
        <v>7806</v>
      </c>
      <c r="L237" s="211"/>
      <c r="M237" s="211"/>
      <c r="N237" s="211"/>
      <c r="O237" s="211"/>
      <c r="Q237" s="210" t="str">
        <f>IFERROR(__xludf.DUMMYFUNCTION("""COMPUTED_VALUE"""),"12240151")</f>
        <v>12240151</v>
      </c>
      <c r="R237" s="210" t="str">
        <f>IFERROR(__xludf.DUMMYFUNCTION("""COMPUTED_VALUE"""),"12240151")</f>
        <v>12240151</v>
      </c>
      <c r="S237" s="211" t="str">
        <f>IFERROR(__xludf.DUMMYFUNCTION("""COMPUTED_VALUE"""),"103f3ae7")</f>
        <v>103f3ae7</v>
      </c>
      <c r="T237" s="211" t="str">
        <f>IFERROR(__xludf.DUMMYFUNCTION("""COMPUTED_VALUE"""),"PT ARYANA CAKASANA")</f>
        <v>PT ARYANA CAKASANA</v>
      </c>
      <c r="U237" s="215">
        <f>IFERROR(__xludf.DUMMYFUNCTION("""COMPUTED_VALUE"""),45631.41805555555)</f>
        <v>45631.41806</v>
      </c>
      <c r="V237" s="211" t="str">
        <f>IFERROR(__xludf.DUMMYFUNCTION("""COMPUTED_VALUE"""),"Jl Raya Tarik No. 45, Wonokupang, Bakalan, Balongbendo")</f>
        <v>Jl Raya Tarik No. 45, Wonokupang, Bakalan, Balongbendo</v>
      </c>
      <c r="W237" s="211" t="str">
        <f>IFERROR(__xludf.DUMMYFUNCTION("""COMPUTED_VALUE"""),"OUT")</f>
        <v>OUT</v>
      </c>
      <c r="X237" s="211"/>
      <c r="Z237" s="211" t="str">
        <f>IFERROR(__xludf.DUMMYFUNCTION("""COMPUTED_VALUE"""),"022692562")</f>
        <v>022692562</v>
      </c>
      <c r="AC237" s="211"/>
      <c r="AD237" s="211"/>
      <c r="AE237" s="211"/>
      <c r="AF237" s="211"/>
      <c r="AG237" s="211"/>
      <c r="AH237" s="211"/>
      <c r="AI237" s="211"/>
      <c r="AJ237" s="211"/>
      <c r="AL237" s="211" t="str">
        <f>IFERROR(__xludf.DUMMYFUNCTION("""COMPUTED_VALUE"""),"2250018")</f>
        <v>2250018</v>
      </c>
      <c r="AM237" s="211" t="str">
        <f>IFERROR(__xludf.DUMMYFUNCTION("""COMPUTED_VALUE"""),"082541120")</f>
        <v>082541120</v>
      </c>
      <c r="AN237" s="211" t="str">
        <f>IFERROR(__xludf.DUMMYFUNCTION("""COMPUTED_VALUE"""),"196b24da")</f>
        <v>196b24da</v>
      </c>
      <c r="AO237" s="211" t="str">
        <f>IFERROR(__xludf.DUMMYFUNCTION("""COMPUTED_VALUE"""),"PT Samudra Cipta Enjineering")</f>
        <v>PT Samudra Cipta Enjineering</v>
      </c>
      <c r="AP237" s="215">
        <f>IFERROR(__xludf.DUMMYFUNCTION("""COMPUTED_VALUE"""),45960.46934027778)</f>
        <v>45960.46934</v>
      </c>
      <c r="AQ237" s="218">
        <f>IFERROR(__xludf.DUMMYFUNCTION("""COMPUTED_VALUE"""),45882.0)</f>
        <v>45882</v>
      </c>
      <c r="AR237" s="211"/>
      <c r="AS237" s="211"/>
      <c r="AT237" s="211"/>
      <c r="AU237" s="211"/>
      <c r="AV237" s="211"/>
      <c r="AW237" s="211"/>
      <c r="AX237" s="211"/>
      <c r="AY237" s="211"/>
      <c r="AZ237" s="211"/>
      <c r="BB237" s="211"/>
      <c r="BC237" s="211"/>
      <c r="BD237" s="211"/>
      <c r="BE237" s="211"/>
      <c r="BF237" s="211"/>
      <c r="BG237" s="211"/>
      <c r="BH237" s="211"/>
      <c r="BI237" s="211"/>
    </row>
    <row r="238">
      <c r="A238" s="210" t="str">
        <f>IFERROR(__xludf.DUMMYFUNCTION("""COMPUTED_VALUE"""),"39a4e81d")</f>
        <v>39a4e81d</v>
      </c>
      <c r="B238" s="210" t="str">
        <f>IFERROR(__xludf.DUMMYFUNCTION("""COMPUTED_VALUE"""),"39a4e81d")</f>
        <v>39a4e81d</v>
      </c>
      <c r="C238" s="213">
        <f>IFERROR(__xludf.DUMMYFUNCTION("""COMPUTED_VALUE"""),45614.624768518515)</f>
        <v>45614.62477</v>
      </c>
      <c r="D238" s="211" t="str">
        <f>IFERROR(__xludf.DUMMYFUNCTION("""COMPUTED_VALUE"""),"37175874")</f>
        <v>37175874</v>
      </c>
      <c r="E238" s="211" t="str">
        <f>IFERROR(__xludf.DUMMYFUNCTION("""COMPUTED_VALUE"""),"PT TERAPAN NILAIOSILASI INDONESIA (TENO)")</f>
        <v>PT TERAPAN NILAIOSILASI INDONESIA (TENO)</v>
      </c>
      <c r="F238" s="211" t="str">
        <f>IFERROR(__xludf.DUMMYFUNCTION("""COMPUTED_VALUE"""),"8bdbe149")</f>
        <v>8bdbe149</v>
      </c>
      <c r="G238" s="211" t="str">
        <f>IFERROR(__xludf.DUMMYFUNCTION("""COMPUTED_VALUE"""),"Oksigen 6m3")</f>
        <v>Oksigen 6m3</v>
      </c>
      <c r="H238" s="214" t="str">
        <f>IFERROR(__xludf.DUMMYFUNCTION("""COMPUTED_VALUE"""),"IN")</f>
        <v>IN</v>
      </c>
      <c r="I238" s="214" t="str">
        <f>IFERROR(__xludf.DUMMYFUNCTION("""COMPUTED_VALUE"""),"EMPTY")</f>
        <v>EMPTY</v>
      </c>
      <c r="J238" s="211">
        <f>IFERROR(__xludf.DUMMYFUNCTION("""COMPUTED_VALUE"""),8.0)</f>
        <v>8</v>
      </c>
      <c r="K238" s="210" t="str">
        <f>IFERROR(__xludf.DUMMYFUNCTION("""COMPUTED_VALUE"""),"1197 11119 1160 1164 1162 1168 1157 1134")</f>
        <v>1197 11119 1160 1164 1162 1168 1157 1134</v>
      </c>
      <c r="L238" s="211"/>
      <c r="M238" s="211"/>
      <c r="N238" s="211"/>
      <c r="O238" s="211"/>
      <c r="Q238" s="210" t="str">
        <f>IFERROR(__xludf.DUMMYFUNCTION("""COMPUTED_VALUE"""),"12240152")</f>
        <v>12240152</v>
      </c>
      <c r="R238" s="210" t="str">
        <f>IFERROR(__xludf.DUMMYFUNCTION("""COMPUTED_VALUE"""),"12240152")</f>
        <v>12240152</v>
      </c>
      <c r="S238" s="211" t="str">
        <f>IFERROR(__xludf.DUMMYFUNCTION("""COMPUTED_VALUE"""),"5f23ba17")</f>
        <v>5f23ba17</v>
      </c>
      <c r="T238" s="211" t="str">
        <f>IFERROR(__xludf.DUMMYFUNCTION("""COMPUTED_VALUE"""),"Bpk. Joko (Gresik)")</f>
        <v>Bpk. Joko (Gresik)</v>
      </c>
      <c r="U238" s="215">
        <f>IFERROR(__xludf.DUMMYFUNCTION("""COMPUTED_VALUE"""),45631.430555555555)</f>
        <v>45631.43056</v>
      </c>
      <c r="V238" s="211" t="str">
        <f>IFERROR(__xludf.DUMMYFUNCTION("""COMPUTED_VALUE"""),"Tanggungan, Lebaniwaras, Kec. Wringinanom, Kabupaten Gresik, Jawa Timur")</f>
        <v>Tanggungan, Lebaniwaras, Kec. Wringinanom, Kabupaten Gresik, Jawa Timur</v>
      </c>
      <c r="W238" s="211" t="str">
        <f>IFERROR(__xludf.DUMMYFUNCTION("""COMPUTED_VALUE"""),"OUT")</f>
        <v>OUT</v>
      </c>
      <c r="X238" s="211"/>
      <c r="Z238" s="211" t="str">
        <f>IFERROR(__xludf.DUMMYFUNCTION("""COMPUTED_VALUE"""),"022652561")</f>
        <v>022652561</v>
      </c>
      <c r="AC238" s="211"/>
      <c r="AD238" s="211"/>
      <c r="AE238" s="211"/>
      <c r="AF238" s="211"/>
      <c r="AG238" s="211"/>
      <c r="AH238" s="211"/>
      <c r="AI238" s="211"/>
      <c r="AJ238" s="211"/>
      <c r="AL238" s="211" t="str">
        <f>IFERROR(__xludf.DUMMYFUNCTION("""COMPUTED_VALUE"""),"2250018")</f>
        <v>2250018</v>
      </c>
      <c r="AM238" s="211" t="str">
        <f>IFERROR(__xludf.DUMMYFUNCTION("""COMPUTED_VALUE"""),"082551166")</f>
        <v>082551166</v>
      </c>
      <c r="AN238" s="211" t="str">
        <f>IFERROR(__xludf.DUMMYFUNCTION("""COMPUTED_VALUE"""),"196b24da")</f>
        <v>196b24da</v>
      </c>
      <c r="AO238" s="211" t="str">
        <f>IFERROR(__xludf.DUMMYFUNCTION("""COMPUTED_VALUE"""),"PT Samudra Cipta Enjineering")</f>
        <v>PT Samudra Cipta Enjineering</v>
      </c>
      <c r="AP238" s="215">
        <f>IFERROR(__xludf.DUMMYFUNCTION("""COMPUTED_VALUE"""),45960.46934027778)</f>
        <v>45960.46934</v>
      </c>
      <c r="AQ238" s="218">
        <f>IFERROR(__xludf.DUMMYFUNCTION("""COMPUTED_VALUE"""),45894.0)</f>
        <v>45894</v>
      </c>
      <c r="AR238" s="211"/>
      <c r="AS238" s="211"/>
      <c r="AT238" s="211"/>
      <c r="AU238" s="211"/>
      <c r="AV238" s="211"/>
      <c r="AW238" s="211"/>
      <c r="AX238" s="211"/>
      <c r="AY238" s="211"/>
      <c r="AZ238" s="211"/>
      <c r="BB238" s="211"/>
      <c r="BC238" s="211"/>
      <c r="BD238" s="211"/>
      <c r="BE238" s="211"/>
      <c r="BF238" s="211"/>
      <c r="BG238" s="211"/>
      <c r="BH238" s="211"/>
      <c r="BI238" s="211"/>
    </row>
    <row r="239">
      <c r="A239" s="210" t="str">
        <f>IFERROR(__xludf.DUMMYFUNCTION("""COMPUTED_VALUE"""),"11240110")</f>
        <v>11240110</v>
      </c>
      <c r="B239" s="210" t="str">
        <f>IFERROR(__xludf.DUMMYFUNCTION("""COMPUTED_VALUE"""),"11240110")</f>
        <v>11240110</v>
      </c>
      <c r="C239" s="213">
        <f>IFERROR(__xludf.DUMMYFUNCTION("""COMPUTED_VALUE"""),45615.321747685186)</f>
        <v>45615.32175</v>
      </c>
      <c r="D239" s="211" t="str">
        <f>IFERROR(__xludf.DUMMYFUNCTION("""COMPUTED_VALUE"""),"c2f5a4a7")</f>
        <v>c2f5a4a7</v>
      </c>
      <c r="E239" s="211" t="str">
        <f>IFERROR(__xludf.DUMMYFUNCTION("""COMPUTED_VALUE"""),"UD Sumber Berlian")</f>
        <v>UD Sumber Berlian</v>
      </c>
      <c r="F239" s="211" t="str">
        <f>IFERROR(__xludf.DUMMYFUNCTION("""COMPUTED_VALUE"""),"8bdbe149")</f>
        <v>8bdbe149</v>
      </c>
      <c r="G239" s="211" t="str">
        <f>IFERROR(__xludf.DUMMYFUNCTION("""COMPUTED_VALUE"""),"Oksigen 6m3")</f>
        <v>Oksigen 6m3</v>
      </c>
      <c r="H239" s="214" t="str">
        <f>IFERROR(__xludf.DUMMYFUNCTION("""COMPUTED_VALUE"""),"OUT")</f>
        <v>OUT</v>
      </c>
      <c r="I239" s="214" t="str">
        <f>IFERROR(__xludf.DUMMYFUNCTION("""COMPUTED_VALUE"""),"NORMAL")</f>
        <v>NORMAL</v>
      </c>
      <c r="J239" s="211">
        <f>IFERROR(__xludf.DUMMYFUNCTION("""COMPUTED_VALUE"""),10.0)</f>
        <v>10</v>
      </c>
      <c r="K239" s="210" t="str">
        <f>IFERROR(__xludf.DUMMYFUNCTION("""COMPUTED_VALUE"""),"1183 5426 5326 1330 5819 5236 1487 5096 1754 5238")</f>
        <v>1183 5426 5326 1330 5819 5236 1487 5096 1754 5238</v>
      </c>
      <c r="L239" s="211">
        <f>IFERROR(__xludf.DUMMYFUNCTION("""COMPUTED_VALUE"""),70000.0)</f>
        <v>70000</v>
      </c>
      <c r="M239" s="211"/>
      <c r="N239" s="211"/>
      <c r="O239" s="211"/>
      <c r="Q239" s="210" t="str">
        <f>IFERROR(__xludf.DUMMYFUNCTION("""COMPUTED_VALUE"""),"12240153")</f>
        <v>12240153</v>
      </c>
      <c r="R239" s="210" t="str">
        <f>IFERROR(__xludf.DUMMYFUNCTION("""COMPUTED_VALUE"""),"12240153")</f>
        <v>12240153</v>
      </c>
      <c r="S239" s="211" t="str">
        <f>IFERROR(__xludf.DUMMYFUNCTION("""COMPUTED_VALUE"""),"7b9d8eba")</f>
        <v>7b9d8eba</v>
      </c>
      <c r="T239" s="211" t="str">
        <f>IFERROR(__xludf.DUMMYFUNCTION("""COMPUTED_VALUE"""),"PT PELANGI INDOKARYA")</f>
        <v>PT PELANGI INDOKARYA</v>
      </c>
      <c r="U239" s="215">
        <f>IFERROR(__xludf.DUMMYFUNCTION("""COMPUTED_VALUE"""),45631.56736111111)</f>
        <v>45631.56736</v>
      </c>
      <c r="V239"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39" s="211" t="str">
        <f>IFERROR(__xludf.DUMMYFUNCTION("""COMPUTED_VALUE"""),"OUT")</f>
        <v>OUT</v>
      </c>
      <c r="X239" s="211"/>
      <c r="Z239" s="211" t="str">
        <f>IFERROR(__xludf.DUMMYFUNCTION("""COMPUTED_VALUE"""),"022642560")</f>
        <v>022642560</v>
      </c>
      <c r="AC239" s="211"/>
      <c r="AD239" s="211"/>
      <c r="AE239" s="211"/>
      <c r="AF239" s="211"/>
      <c r="AG239" s="211"/>
      <c r="AH239" s="211"/>
      <c r="AI239" s="211"/>
      <c r="AJ239" s="211"/>
      <c r="AL239" s="211" t="str">
        <f>IFERROR(__xludf.DUMMYFUNCTION("""COMPUTED_VALUE"""),"2250018")</f>
        <v>2250018</v>
      </c>
      <c r="AM239" s="211" t="str">
        <f>IFERROR(__xludf.DUMMYFUNCTION("""COMPUTED_VALUE"""),"092561214")</f>
        <v>092561214</v>
      </c>
      <c r="AN239" s="211" t="str">
        <f>IFERROR(__xludf.DUMMYFUNCTION("""COMPUTED_VALUE"""),"196b24da")</f>
        <v>196b24da</v>
      </c>
      <c r="AO239" s="211" t="str">
        <f>IFERROR(__xludf.DUMMYFUNCTION("""COMPUTED_VALUE"""),"PT Samudra Cipta Enjineering")</f>
        <v>PT Samudra Cipta Enjineering</v>
      </c>
      <c r="AP239" s="215">
        <f>IFERROR(__xludf.DUMMYFUNCTION("""COMPUTED_VALUE"""),45960.46934027778)</f>
        <v>45960.46934</v>
      </c>
      <c r="AQ239" s="218">
        <f>IFERROR(__xludf.DUMMYFUNCTION("""COMPUTED_VALUE"""),45903.0)</f>
        <v>45903</v>
      </c>
      <c r="AR239" s="211"/>
      <c r="AS239" s="211"/>
      <c r="AT239" s="211"/>
      <c r="AU239" s="211"/>
      <c r="AV239" s="211"/>
      <c r="AW239" s="211"/>
      <c r="AX239" s="211"/>
      <c r="AY239" s="211"/>
      <c r="AZ239" s="211"/>
      <c r="BB239" s="211"/>
      <c r="BC239" s="211"/>
      <c r="BD239" s="211"/>
      <c r="BE239" s="211"/>
      <c r="BF239" s="211"/>
      <c r="BG239" s="211"/>
      <c r="BH239" s="211"/>
      <c r="BI239" s="211"/>
    </row>
    <row r="240">
      <c r="A240" s="210" t="str">
        <f>IFERROR(__xludf.DUMMYFUNCTION("""COMPUTED_VALUE"""),"11240111")</f>
        <v>11240111</v>
      </c>
      <c r="B240" s="210" t="str">
        <f>IFERROR(__xludf.DUMMYFUNCTION("""COMPUTED_VALUE"""),"11240111")</f>
        <v>11240111</v>
      </c>
      <c r="C240" s="213">
        <f>IFERROR(__xludf.DUMMYFUNCTION("""COMPUTED_VALUE"""),45615.44127314815)</f>
        <v>45615.44127</v>
      </c>
      <c r="D240" s="211" t="str">
        <f>IFERROR(__xludf.DUMMYFUNCTION("""COMPUTED_VALUE"""),"4a01ccb6")</f>
        <v>4a01ccb6</v>
      </c>
      <c r="E240" s="211" t="str">
        <f>IFERROR(__xludf.DUMMYFUNCTION("""COMPUTED_VALUE"""),"CV ANUGERAH PERSADA TEKNIK")</f>
        <v>CV ANUGERAH PERSADA TEKNIK</v>
      </c>
      <c r="F240" s="211" t="str">
        <f>IFERROR(__xludf.DUMMYFUNCTION("""COMPUTED_VALUE"""),"66af7c72")</f>
        <v>66af7c72</v>
      </c>
      <c r="G240" s="211" t="str">
        <f>IFERROR(__xludf.DUMMYFUNCTION("""COMPUTED_VALUE"""),"Argon 6m3")</f>
        <v>Argon 6m3</v>
      </c>
      <c r="H240" s="214" t="str">
        <f>IFERROR(__xludf.DUMMYFUNCTION("""COMPUTED_VALUE"""),"OUT")</f>
        <v>OUT</v>
      </c>
      <c r="I240" s="214" t="str">
        <f>IFERROR(__xludf.DUMMYFUNCTION("""COMPUTED_VALUE"""),"NORMAL")</f>
        <v>NORMAL</v>
      </c>
      <c r="J240" s="211">
        <f>IFERROR(__xludf.DUMMYFUNCTION("""COMPUTED_VALUE"""),4.0)</f>
        <v>4</v>
      </c>
      <c r="K240" s="210" t="str">
        <f>IFERROR(__xludf.DUMMYFUNCTION("""COMPUTED_VALUE"""),"12001 8276 8224 8243")</f>
        <v>12001 8276 8224 8243</v>
      </c>
      <c r="L240" s="211">
        <f>IFERROR(__xludf.DUMMYFUNCTION("""COMPUTED_VALUE"""),190000.0)</f>
        <v>190000</v>
      </c>
      <c r="M240" s="211"/>
      <c r="N240" s="211"/>
      <c r="O240" s="211"/>
      <c r="Q240" s="210" t="str">
        <f>IFERROR(__xludf.DUMMYFUNCTION("""COMPUTED_VALUE"""),"c388fdec")</f>
        <v>c388fdec</v>
      </c>
      <c r="R240" s="210" t="str">
        <f>IFERROR(__xludf.DUMMYFUNCTION("""COMPUTED_VALUE"""),"c388fdec")</f>
        <v>c388fdec</v>
      </c>
      <c r="S240" s="211" t="str">
        <f>IFERROR(__xludf.DUMMYFUNCTION("""COMPUTED_VALUE"""),"5f23ba17")</f>
        <v>5f23ba17</v>
      </c>
      <c r="T240" s="211" t="str">
        <f>IFERROR(__xludf.DUMMYFUNCTION("""COMPUTED_VALUE"""),"Bpk. Joko (Gresik)")</f>
        <v>Bpk. Joko (Gresik)</v>
      </c>
      <c r="U240" s="215">
        <f>IFERROR(__xludf.DUMMYFUNCTION("""COMPUTED_VALUE"""),45631.57291666667)</f>
        <v>45631.57292</v>
      </c>
      <c r="V240" s="211" t="str">
        <f>IFERROR(__xludf.DUMMYFUNCTION("""COMPUTED_VALUE"""),"Tanggungan, Lebaniwaras, Kec. Wringinanom, Kabupaten Gresik, Jawa Timur")</f>
        <v>Tanggungan, Lebaniwaras, Kec. Wringinanom, Kabupaten Gresik, Jawa Timur</v>
      </c>
      <c r="W240" s="211" t="str">
        <f>IFERROR(__xludf.DUMMYFUNCTION("""COMPUTED_VALUE"""),"IN")</f>
        <v>IN</v>
      </c>
      <c r="X240" s="211"/>
      <c r="Z240" s="211" t="str">
        <f>IFERROR(__xludf.DUMMYFUNCTION("""COMPUTED_VALUE"""),"0226192553")</f>
        <v>0226192553</v>
      </c>
      <c r="AC240" s="211"/>
      <c r="AD240" s="211"/>
      <c r="AE240" s="211"/>
      <c r="AF240" s="211"/>
      <c r="AG240" s="211"/>
      <c r="AH240" s="211"/>
      <c r="AI240" s="211"/>
      <c r="AJ240" s="211"/>
      <c r="AL240" s="211" t="str">
        <f>IFERROR(__xludf.DUMMYFUNCTION("""COMPUTED_VALUE"""),"2250018")</f>
        <v>2250018</v>
      </c>
      <c r="AM240" s="211" t="str">
        <f>IFERROR(__xludf.DUMMYFUNCTION("""COMPUTED_VALUE"""),"07250588")</f>
        <v>07250588</v>
      </c>
      <c r="AN240" s="211" t="str">
        <f>IFERROR(__xludf.DUMMYFUNCTION("""COMPUTED_VALUE"""),"196b24da")</f>
        <v>196b24da</v>
      </c>
      <c r="AO240" s="211" t="str">
        <f>IFERROR(__xludf.DUMMYFUNCTION("""COMPUTED_VALUE"""),"PT Samudra Cipta Enjineering")</f>
        <v>PT Samudra Cipta Enjineering</v>
      </c>
      <c r="AP240" s="215">
        <f>IFERROR(__xludf.DUMMYFUNCTION("""COMPUTED_VALUE"""),45960.46934027778)</f>
        <v>45960.46934</v>
      </c>
      <c r="AQ240" s="218">
        <f>IFERROR(__xludf.DUMMYFUNCTION("""COMPUTED_VALUE"""),45859.0)</f>
        <v>45859</v>
      </c>
      <c r="AR240" s="211"/>
      <c r="AS240" s="211"/>
      <c r="AT240" s="211"/>
      <c r="AU240" s="211"/>
      <c r="AV240" s="211"/>
      <c r="AW240" s="211"/>
      <c r="AX240" s="211"/>
      <c r="AY240" s="211"/>
      <c r="AZ240" s="211"/>
      <c r="BB240" s="211"/>
      <c r="BC240" s="211"/>
      <c r="BD240" s="211"/>
      <c r="BE240" s="211"/>
      <c r="BF240" s="211"/>
      <c r="BG240" s="211"/>
      <c r="BH240" s="211"/>
      <c r="BI240" s="211"/>
    </row>
    <row r="241">
      <c r="A241" s="210" t="str">
        <f>IFERROR(__xludf.DUMMYFUNCTION("""COMPUTED_VALUE"""),"11240111")</f>
        <v>11240111</v>
      </c>
      <c r="B241" s="210" t="str">
        <f>IFERROR(__xludf.DUMMYFUNCTION("""COMPUTED_VALUE"""),"11240111")</f>
        <v>11240111</v>
      </c>
      <c r="C241" s="213">
        <f>IFERROR(__xludf.DUMMYFUNCTION("""COMPUTED_VALUE"""),45615.44278935185)</f>
        <v>45615.44279</v>
      </c>
      <c r="D241" s="211" t="str">
        <f>IFERROR(__xludf.DUMMYFUNCTION("""COMPUTED_VALUE"""),"4a01ccb6")</f>
        <v>4a01ccb6</v>
      </c>
      <c r="E241" s="211" t="str">
        <f>IFERROR(__xludf.DUMMYFUNCTION("""COMPUTED_VALUE"""),"CV ANUGERAH PERSADA TEKNIK")</f>
        <v>CV ANUGERAH PERSADA TEKNIK</v>
      </c>
      <c r="F241" s="211" t="str">
        <f>IFERROR(__xludf.DUMMYFUNCTION("""COMPUTED_VALUE"""),"ef306e54")</f>
        <v>ef306e54</v>
      </c>
      <c r="G241" s="211" t="str">
        <f>IFERROR(__xludf.DUMMYFUNCTION("""COMPUTED_VALUE"""),"Karbondioksida")</f>
        <v>Karbondioksida</v>
      </c>
      <c r="H241" s="214" t="str">
        <f>IFERROR(__xludf.DUMMYFUNCTION("""COMPUTED_VALUE"""),"OUT")</f>
        <v>OUT</v>
      </c>
      <c r="I241" s="214" t="str">
        <f>IFERROR(__xludf.DUMMYFUNCTION("""COMPUTED_VALUE"""),"NORMAL")</f>
        <v>NORMAL</v>
      </c>
      <c r="J241" s="211">
        <f>IFERROR(__xludf.DUMMYFUNCTION("""COMPUTED_VALUE"""),5.0)</f>
        <v>5</v>
      </c>
      <c r="K241" s="210" t="str">
        <f>IFERROR(__xludf.DUMMYFUNCTION("""COMPUTED_VALUE"""),"6609 6610 6900 6627 6769")</f>
        <v>6609 6610 6900 6627 6769</v>
      </c>
      <c r="L241" s="211">
        <f>IFERROR(__xludf.DUMMYFUNCTION("""COMPUTED_VALUE"""),167000.0)</f>
        <v>167000</v>
      </c>
      <c r="M241" s="211"/>
      <c r="N241" s="211"/>
      <c r="O241" s="211"/>
      <c r="Q241" s="210" t="str">
        <f>IFERROR(__xludf.DUMMYFUNCTION("""COMPUTED_VALUE"""),"12240154")</f>
        <v>12240154</v>
      </c>
      <c r="R241" s="210" t="str">
        <f>IFERROR(__xludf.DUMMYFUNCTION("""COMPUTED_VALUE"""),"12240154")</f>
        <v>12240154</v>
      </c>
      <c r="S241" s="211" t="str">
        <f>IFERROR(__xludf.DUMMYFUNCTION("""COMPUTED_VALUE"""),"72d9a70c")</f>
        <v>72d9a70c</v>
      </c>
      <c r="T241" s="211" t="str">
        <f>IFERROR(__xludf.DUMMYFUNCTION("""COMPUTED_VALUE"""),"PT Beton Prima Indonesia")</f>
        <v>PT Beton Prima Indonesia</v>
      </c>
      <c r="U241" s="215">
        <f>IFERROR(__xludf.DUMMYFUNCTION("""COMPUTED_VALUE"""),45632.433333333334)</f>
        <v>45632.43333</v>
      </c>
      <c r="V241" s="211" t="str">
        <f>IFERROR(__xludf.DUMMYFUNCTION("""COMPUTED_VALUE"""),"KH. Ahmad Dahlan KM.2 Ds. Sumberwono, Kec. Bangsal, Kab. Mojokerto 61381")</f>
        <v>KH. Ahmad Dahlan KM.2 Ds. Sumberwono, Kec. Bangsal, Kab. Mojokerto 61381</v>
      </c>
      <c r="W241" s="211" t="str">
        <f>IFERROR(__xludf.DUMMYFUNCTION("""COMPUTED_VALUE"""),"OUT")</f>
        <v>OUT</v>
      </c>
      <c r="X241" s="211"/>
      <c r="Z241" s="211" t="str">
        <f>IFERROR(__xludf.DUMMYFUNCTION("""COMPUTED_VALUE"""),"022652552")</f>
        <v>022652552</v>
      </c>
      <c r="AC241" s="211"/>
      <c r="AD241" s="211"/>
      <c r="AE241" s="211"/>
      <c r="AF241" s="211"/>
      <c r="AG241" s="211"/>
      <c r="AH241" s="211"/>
      <c r="AI241" s="211"/>
      <c r="AJ241" s="211"/>
      <c r="AL241" s="211" t="str">
        <f>IFERROR(__xludf.DUMMYFUNCTION("""COMPUTED_VALUE"""),"2250018")</f>
        <v>2250018</v>
      </c>
      <c r="AM241" s="211" t="str">
        <f>IFERROR(__xludf.DUMMYFUNCTION("""COMPUTED_VALUE"""),"07250610")</f>
        <v>07250610</v>
      </c>
      <c r="AN241" s="211" t="str">
        <f>IFERROR(__xludf.DUMMYFUNCTION("""COMPUTED_VALUE"""),"196b24da")</f>
        <v>196b24da</v>
      </c>
      <c r="AO241" s="211" t="str">
        <f>IFERROR(__xludf.DUMMYFUNCTION("""COMPUTED_VALUE"""),"PT Samudra Cipta Enjineering")</f>
        <v>PT Samudra Cipta Enjineering</v>
      </c>
      <c r="AP241" s="215">
        <f>IFERROR(__xludf.DUMMYFUNCTION("""COMPUTED_VALUE"""),45960.46934027778)</f>
        <v>45960.46934</v>
      </c>
      <c r="AQ241" s="218">
        <f>IFERROR(__xludf.DUMMYFUNCTION("""COMPUTED_VALUE"""),45867.0)</f>
        <v>45867</v>
      </c>
      <c r="AR241" s="211"/>
      <c r="AS241" s="211"/>
      <c r="AT241" s="211"/>
      <c r="AU241" s="211"/>
      <c r="AV241" s="211"/>
      <c r="AW241" s="211"/>
      <c r="AX241" s="211"/>
      <c r="AY241" s="211"/>
      <c r="AZ241" s="211"/>
      <c r="BB241" s="211"/>
      <c r="BC241" s="211"/>
      <c r="BD241" s="211"/>
      <c r="BE241" s="211"/>
      <c r="BF241" s="211"/>
      <c r="BG241" s="211"/>
      <c r="BH241" s="211"/>
      <c r="BI241" s="211"/>
    </row>
    <row r="242">
      <c r="A242" s="210" t="str">
        <f>IFERROR(__xludf.DUMMYFUNCTION("""COMPUTED_VALUE"""),"9049edbc")</f>
        <v>9049edbc</v>
      </c>
      <c r="B242" s="210" t="str">
        <f>IFERROR(__xludf.DUMMYFUNCTION("""COMPUTED_VALUE"""),"9049edbc")</f>
        <v>9049edbc</v>
      </c>
      <c r="C242" s="213">
        <f>IFERROR(__xludf.DUMMYFUNCTION("""COMPUTED_VALUE"""),45615.48768518519)</f>
        <v>45615.48769</v>
      </c>
      <c r="D242" s="211" t="str">
        <f>IFERROR(__xludf.DUMMYFUNCTION("""COMPUTED_VALUE"""),"c2f5a4a7")</f>
        <v>c2f5a4a7</v>
      </c>
      <c r="E242" s="211" t="str">
        <f>IFERROR(__xludf.DUMMYFUNCTION("""COMPUTED_VALUE"""),"UD Sumber Berlian")</f>
        <v>UD Sumber Berlian</v>
      </c>
      <c r="F242" s="211" t="str">
        <f>IFERROR(__xludf.DUMMYFUNCTION("""COMPUTED_VALUE"""),"8bdbe149")</f>
        <v>8bdbe149</v>
      </c>
      <c r="G242" s="211" t="str">
        <f>IFERROR(__xludf.DUMMYFUNCTION("""COMPUTED_VALUE"""),"Oksigen 6m3")</f>
        <v>Oksigen 6m3</v>
      </c>
      <c r="H242" s="214" t="str">
        <f>IFERROR(__xludf.DUMMYFUNCTION("""COMPUTED_VALUE"""),"IN")</f>
        <v>IN</v>
      </c>
      <c r="I242" s="214" t="str">
        <f>IFERROR(__xludf.DUMMYFUNCTION("""COMPUTED_VALUE"""),"EMPTY")</f>
        <v>EMPTY</v>
      </c>
      <c r="J242" s="211">
        <f>IFERROR(__xludf.DUMMYFUNCTION("""COMPUTED_VALUE"""),10.0)</f>
        <v>10</v>
      </c>
      <c r="K242" s="210" t="str">
        <f>IFERROR(__xludf.DUMMYFUNCTION("""COMPUTED_VALUE"""),"1181 1109 11102 1117 1146 1495 1152 1598 5441 *1146")</f>
        <v>1181 1109 11102 1117 1146 1495 1152 1598 5441 *1146</v>
      </c>
      <c r="L242" s="211"/>
      <c r="M242" s="211"/>
      <c r="N242" s="211"/>
      <c r="O242" s="211"/>
      <c r="Q242" s="210" t="str">
        <f>IFERROR(__xludf.DUMMYFUNCTION("""COMPUTED_VALUE"""),"c17bf4af")</f>
        <v>c17bf4af</v>
      </c>
      <c r="R242" s="210" t="str">
        <f>IFERROR(__xludf.DUMMYFUNCTION("""COMPUTED_VALUE"""),"c17bf4af")</f>
        <v>c17bf4af</v>
      </c>
      <c r="S242" s="211" t="str">
        <f>IFERROR(__xludf.DUMMYFUNCTION("""COMPUTED_VALUE"""),"7b9d8eba")</f>
        <v>7b9d8eba</v>
      </c>
      <c r="T242" s="211" t="str">
        <f>IFERROR(__xludf.DUMMYFUNCTION("""COMPUTED_VALUE"""),"PT PELANGI INDOKARYA")</f>
        <v>PT PELANGI INDOKARYA</v>
      </c>
      <c r="U242" s="215">
        <f>IFERROR(__xludf.DUMMYFUNCTION("""COMPUTED_VALUE"""),45632.43888888889)</f>
        <v>45632.43889</v>
      </c>
      <c r="V24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42" s="211" t="str">
        <f>IFERROR(__xludf.DUMMYFUNCTION("""COMPUTED_VALUE"""),"IN")</f>
        <v>IN</v>
      </c>
      <c r="X242" s="211"/>
      <c r="Z242" s="211" t="str">
        <f>IFERROR(__xludf.DUMMYFUNCTION("""COMPUTED_VALUE"""),"022692551")</f>
        <v>022692551</v>
      </c>
      <c r="AC242" s="211"/>
      <c r="AD242" s="211"/>
      <c r="AE242" s="211"/>
      <c r="AF242" s="211"/>
      <c r="AG242" s="211"/>
      <c r="AH242" s="211"/>
      <c r="AI242" s="211"/>
      <c r="AJ242" s="211"/>
      <c r="AL242" s="211" t="str">
        <f>IFERROR(__xludf.DUMMYFUNCTION("""COMPUTED_VALUE"""),"2250018")</f>
        <v>2250018</v>
      </c>
      <c r="AM242" s="211" t="str">
        <f>IFERROR(__xludf.DUMMYFUNCTION("""COMPUTED_VALUE"""),"082531079")</f>
        <v>082531079</v>
      </c>
      <c r="AN242" s="211" t="str">
        <f>IFERROR(__xludf.DUMMYFUNCTION("""COMPUTED_VALUE"""),"196b24da")</f>
        <v>196b24da</v>
      </c>
      <c r="AO242" s="211" t="str">
        <f>IFERROR(__xludf.DUMMYFUNCTION("""COMPUTED_VALUE"""),"PT Samudra Cipta Enjineering")</f>
        <v>PT Samudra Cipta Enjineering</v>
      </c>
      <c r="AP242" s="215">
        <f>IFERROR(__xludf.DUMMYFUNCTION("""COMPUTED_VALUE"""),45960.46934027778)</f>
        <v>45960.46934</v>
      </c>
      <c r="AQ242" s="218">
        <f>IFERROR(__xludf.DUMMYFUNCTION("""COMPUTED_VALUE"""),45873.0)</f>
        <v>45873</v>
      </c>
      <c r="AR242" s="211"/>
      <c r="AS242" s="211"/>
      <c r="AT242" s="211"/>
      <c r="AU242" s="211"/>
      <c r="AV242" s="211"/>
      <c r="AW242" s="211"/>
      <c r="AX242" s="211"/>
      <c r="AY242" s="211"/>
      <c r="AZ242" s="211"/>
      <c r="BB242" s="211"/>
      <c r="BC242" s="211"/>
      <c r="BD242" s="211"/>
      <c r="BE242" s="211"/>
      <c r="BF242" s="211"/>
      <c r="BG242" s="211"/>
      <c r="BH242" s="211"/>
      <c r="BI242" s="211"/>
    </row>
    <row r="243">
      <c r="A243" s="210" t="str">
        <f>IFERROR(__xludf.DUMMYFUNCTION("""COMPUTED_VALUE"""),"11240113")</f>
        <v>11240113</v>
      </c>
      <c r="B243" s="210" t="str">
        <f>IFERROR(__xludf.DUMMYFUNCTION("""COMPUTED_VALUE"""),"11240113")</f>
        <v>11240113</v>
      </c>
      <c r="C243" s="213">
        <f>IFERROR(__xludf.DUMMYFUNCTION("""COMPUTED_VALUE"""),45615.48949074074)</f>
        <v>45615.48949</v>
      </c>
      <c r="D243" s="211" t="str">
        <f>IFERROR(__xludf.DUMMYFUNCTION("""COMPUTED_VALUE"""),"72d9a70c")</f>
        <v>72d9a70c</v>
      </c>
      <c r="E243" s="211" t="str">
        <f>IFERROR(__xludf.DUMMYFUNCTION("""COMPUTED_VALUE"""),"PT Beton Prima Indonesia")</f>
        <v>PT Beton Prima Indonesia</v>
      </c>
      <c r="F243" s="211" t="str">
        <f>IFERROR(__xludf.DUMMYFUNCTION("""COMPUTED_VALUE"""),"8bdbe149")</f>
        <v>8bdbe149</v>
      </c>
      <c r="G243" s="211" t="str">
        <f>IFERROR(__xludf.DUMMYFUNCTION("""COMPUTED_VALUE"""),"Oksigen 6m3")</f>
        <v>Oksigen 6m3</v>
      </c>
      <c r="H243" s="214" t="str">
        <f>IFERROR(__xludf.DUMMYFUNCTION("""COMPUTED_VALUE"""),"OUT")</f>
        <v>OUT</v>
      </c>
      <c r="I243" s="214" t="str">
        <f>IFERROR(__xludf.DUMMYFUNCTION("""COMPUTED_VALUE"""),"NORMAL")</f>
        <v>NORMAL</v>
      </c>
      <c r="J243" s="211">
        <f>IFERROR(__xludf.DUMMYFUNCTION("""COMPUTED_VALUE"""),10.0)</f>
        <v>10</v>
      </c>
      <c r="K243" s="210" t="str">
        <f>IFERROR(__xludf.DUMMYFUNCTION("""COMPUTED_VALUE"""),"1105 11113 11111 1128 1106 1109 11102 1117 1146 1152")</f>
        <v>1105 11113 11111 1128 1106 1109 11102 1117 1146 1152</v>
      </c>
      <c r="L243" s="211">
        <f>IFERROR(__xludf.DUMMYFUNCTION("""COMPUTED_VALUE"""),45045.04505)</f>
        <v>45045.04505</v>
      </c>
      <c r="M243" s="211"/>
      <c r="N243" s="211"/>
      <c r="O243" s="211"/>
      <c r="Q243" s="210" t="str">
        <f>IFERROR(__xludf.DUMMYFUNCTION("""COMPUTED_VALUE"""),"5ac673b0")</f>
        <v>5ac673b0</v>
      </c>
      <c r="R243" s="210" t="str">
        <f>IFERROR(__xludf.DUMMYFUNCTION("""COMPUTED_VALUE"""),"5ac673b0")</f>
        <v>5ac673b0</v>
      </c>
      <c r="S243" s="211" t="str">
        <f>IFERROR(__xludf.DUMMYFUNCTION("""COMPUTED_VALUE"""),"72d9a70c")</f>
        <v>72d9a70c</v>
      </c>
      <c r="T243" s="211" t="str">
        <f>IFERROR(__xludf.DUMMYFUNCTION("""COMPUTED_VALUE"""),"PT Beton Prima Indonesia")</f>
        <v>PT Beton Prima Indonesia</v>
      </c>
      <c r="U243" s="215">
        <f>IFERROR(__xludf.DUMMYFUNCTION("""COMPUTED_VALUE"""),45632.44027777778)</f>
        <v>45632.44028</v>
      </c>
      <c r="V243" s="211" t="str">
        <f>IFERROR(__xludf.DUMMYFUNCTION("""COMPUTED_VALUE"""),"KH. Ahmad Dahlan KM.2 Ds. Sumberwono, Kec. Bangsal, Kab. Mojokerto 61381")</f>
        <v>KH. Ahmad Dahlan KM.2 Ds. Sumberwono, Kec. Bangsal, Kab. Mojokerto 61381</v>
      </c>
      <c r="W243" s="211" t="str">
        <f>IFERROR(__xludf.DUMMYFUNCTION("""COMPUTED_VALUE"""),"IN")</f>
        <v>IN</v>
      </c>
      <c r="X243" s="211"/>
      <c r="Z243" s="211" t="str">
        <f>IFERROR(__xludf.DUMMYFUNCTION("""COMPUTED_VALUE"""),"0226112550")</f>
        <v>0226112550</v>
      </c>
      <c r="AC243" s="211"/>
      <c r="AD243" s="211"/>
      <c r="AE243" s="211"/>
      <c r="AF243" s="211"/>
      <c r="AG243" s="211"/>
      <c r="AH243" s="211"/>
      <c r="AI243" s="211"/>
      <c r="AJ243" s="211"/>
      <c r="AL243" s="211" t="str">
        <f>IFERROR(__xludf.DUMMYFUNCTION("""COMPUTED_VALUE"""),"2250061")</f>
        <v>2250061</v>
      </c>
      <c r="AM243" s="211" t="str">
        <f>IFERROR(__xludf.DUMMYFUNCTION("""COMPUTED_VALUE"""),"092581291")</f>
        <v>092581291</v>
      </c>
      <c r="AN243" s="211" t="str">
        <f>IFERROR(__xludf.DUMMYFUNCTION("""COMPUTED_VALUE"""),"e968afef")</f>
        <v>e968afef</v>
      </c>
      <c r="AO243" s="211" t="str">
        <f>IFERROR(__xludf.DUMMYFUNCTION("""COMPUTED_VALUE"""),"Bpk. Agus")</f>
        <v>Bpk. Agus</v>
      </c>
      <c r="AP243" s="215">
        <f>IFERROR(__xludf.DUMMYFUNCTION("""COMPUTED_VALUE"""),45959.41265046297)</f>
        <v>45959.41265</v>
      </c>
      <c r="AQ243" s="218">
        <f>IFERROR(__xludf.DUMMYFUNCTION("""COMPUTED_VALUE"""),45918.0)</f>
        <v>45918</v>
      </c>
      <c r="AR243" s="211"/>
      <c r="AS243" s="211"/>
      <c r="AT243" s="211"/>
      <c r="AU243" s="211"/>
      <c r="AV243" s="211"/>
      <c r="AW243" s="211"/>
      <c r="AX243" s="211"/>
      <c r="AY243" s="211"/>
      <c r="AZ243" s="211"/>
      <c r="BB243" s="211"/>
      <c r="BC243" s="211"/>
      <c r="BD243" s="211"/>
      <c r="BE243" s="211"/>
      <c r="BF243" s="211"/>
      <c r="BG243" s="211"/>
      <c r="BH243" s="211"/>
      <c r="BI243" s="211"/>
    </row>
    <row r="244">
      <c r="A244" s="210" t="str">
        <f>IFERROR(__xludf.DUMMYFUNCTION("""COMPUTED_VALUE"""),"20d40e95")</f>
        <v>20d40e95</v>
      </c>
      <c r="B244" s="210" t="str">
        <f>IFERROR(__xludf.DUMMYFUNCTION("""COMPUTED_VALUE"""),"20d40e95")</f>
        <v>20d40e95</v>
      </c>
      <c r="C244" s="213">
        <f>IFERROR(__xludf.DUMMYFUNCTION("""COMPUTED_VALUE"""),45615.50586805555)</f>
        <v>45615.50587</v>
      </c>
      <c r="D244" s="211" t="str">
        <f>IFERROR(__xludf.DUMMYFUNCTION("""COMPUTED_VALUE"""),"4a01ccb6")</f>
        <v>4a01ccb6</v>
      </c>
      <c r="E244" s="211" t="str">
        <f>IFERROR(__xludf.DUMMYFUNCTION("""COMPUTED_VALUE"""),"CV ANUGERAH PERSADA TEKNIK")</f>
        <v>CV ANUGERAH PERSADA TEKNIK</v>
      </c>
      <c r="F244" s="211" t="str">
        <f>IFERROR(__xludf.DUMMYFUNCTION("""COMPUTED_VALUE"""),"66af7c72")</f>
        <v>66af7c72</v>
      </c>
      <c r="G244" s="211" t="str">
        <f>IFERROR(__xludf.DUMMYFUNCTION("""COMPUTED_VALUE"""),"Argon 6m3")</f>
        <v>Argon 6m3</v>
      </c>
      <c r="H244" s="214" t="str">
        <f>IFERROR(__xludf.DUMMYFUNCTION("""COMPUTED_VALUE"""),"IN")</f>
        <v>IN</v>
      </c>
      <c r="I244" s="214" t="str">
        <f>IFERROR(__xludf.DUMMYFUNCTION("""COMPUTED_VALUE"""),"EMPTY")</f>
        <v>EMPTY</v>
      </c>
      <c r="J244" s="211">
        <f>IFERROR(__xludf.DUMMYFUNCTION("""COMPUTED_VALUE"""),3.0)</f>
        <v>3</v>
      </c>
      <c r="K244" s="210" t="str">
        <f>IFERROR(__xludf.DUMMYFUNCTION("""COMPUTED_VALUE"""),"12004 8294 8589")</f>
        <v>12004 8294 8589</v>
      </c>
      <c r="L244" s="211"/>
      <c r="M244" s="211"/>
      <c r="N244" s="211"/>
      <c r="O244" s="211"/>
      <c r="Q244" s="210" t="str">
        <f>IFERROR(__xludf.DUMMYFUNCTION("""COMPUTED_VALUE"""),"12240155")</f>
        <v>12240155</v>
      </c>
      <c r="R244" s="210" t="str">
        <f>IFERROR(__xludf.DUMMYFUNCTION("""COMPUTED_VALUE"""),"12240155")</f>
        <v>12240155</v>
      </c>
      <c r="S244" s="211" t="str">
        <f>IFERROR(__xludf.DUMMYFUNCTION("""COMPUTED_VALUE"""),"37175874")</f>
        <v>37175874</v>
      </c>
      <c r="T244" s="211" t="str">
        <f>IFERROR(__xludf.DUMMYFUNCTION("""COMPUTED_VALUE"""),"PT TERAPAN NILAIOSILASI INDONESIA (TENO)")</f>
        <v>PT TERAPAN NILAIOSILASI INDONESIA (TENO)</v>
      </c>
      <c r="U244" s="215">
        <f>IFERROR(__xludf.DUMMYFUNCTION("""COMPUTED_VALUE"""),45632.62291666667)</f>
        <v>45632.62292</v>
      </c>
      <c r="V244" s="211" t="str">
        <f>IFERROR(__xludf.DUMMYFUNCTION("""COMPUTED_VALUE"""),"JL Raya Kertajaya Indah 153 / P116, Gebang Putih, Sukokilo, Kota Surabaya, Jawa Timur")</f>
        <v>JL Raya Kertajaya Indah 153 / P116, Gebang Putih, Sukokilo, Kota Surabaya, Jawa Timur</v>
      </c>
      <c r="W244" s="211" t="str">
        <f>IFERROR(__xludf.DUMMYFUNCTION("""COMPUTED_VALUE"""),"OUT")</f>
        <v>OUT</v>
      </c>
      <c r="X244" s="211"/>
      <c r="Z244" s="211" t="str">
        <f>IFERROR(__xludf.DUMMYFUNCTION("""COMPUTED_VALUE"""),"0226242549")</f>
        <v>0226242549</v>
      </c>
      <c r="AC244" s="211"/>
      <c r="AD244" s="211"/>
      <c r="AE244" s="211"/>
      <c r="AF244" s="211"/>
      <c r="AG244" s="211"/>
      <c r="AH244" s="211"/>
      <c r="AI244" s="211"/>
      <c r="AJ244" s="211"/>
      <c r="AL244" s="211" t="str">
        <f>IFERROR(__xludf.DUMMYFUNCTION("""COMPUTED_VALUE"""),"2250061")</f>
        <v>2250061</v>
      </c>
      <c r="AM244" s="211" t="str">
        <f>IFERROR(__xludf.DUMMYFUNCTION("""COMPUTED_VALUE"""),"092591327")</f>
        <v>092591327</v>
      </c>
      <c r="AN244" s="211" t="str">
        <f>IFERROR(__xludf.DUMMYFUNCTION("""COMPUTED_VALUE"""),"e968afef")</f>
        <v>e968afef</v>
      </c>
      <c r="AO244" s="211" t="str">
        <f>IFERROR(__xludf.DUMMYFUNCTION("""COMPUTED_VALUE"""),"Bpk. Agus")</f>
        <v>Bpk. Agus</v>
      </c>
      <c r="AP244" s="215">
        <f>IFERROR(__xludf.DUMMYFUNCTION("""COMPUTED_VALUE"""),45959.41265046297)</f>
        <v>45959.41265</v>
      </c>
      <c r="AQ244" s="218">
        <f>IFERROR(__xludf.DUMMYFUNCTION("""COMPUTED_VALUE"""),45924.0)</f>
        <v>45924</v>
      </c>
      <c r="AR244" s="211"/>
      <c r="AS244" s="211"/>
      <c r="AT244" s="211"/>
      <c r="AU244" s="211"/>
      <c r="AV244" s="211"/>
      <c r="AW244" s="211"/>
      <c r="AX244" s="211"/>
      <c r="AY244" s="211"/>
      <c r="AZ244" s="211"/>
      <c r="BB244" s="211"/>
      <c r="BC244" s="211"/>
      <c r="BD244" s="211"/>
      <c r="BE244" s="211"/>
      <c r="BF244" s="211"/>
      <c r="BG244" s="211"/>
      <c r="BH244" s="211"/>
      <c r="BI244" s="211"/>
    </row>
    <row r="245">
      <c r="A245" s="210" t="str">
        <f>IFERROR(__xludf.DUMMYFUNCTION("""COMPUTED_VALUE"""),"11240114")</f>
        <v>11240114</v>
      </c>
      <c r="B245" s="210" t="str">
        <f>IFERROR(__xludf.DUMMYFUNCTION("""COMPUTED_VALUE"""),"11240114")</f>
        <v>11240114</v>
      </c>
      <c r="C245" s="213">
        <f>IFERROR(__xludf.DUMMYFUNCTION("""COMPUTED_VALUE"""),45616.319814814815)</f>
        <v>45616.31981</v>
      </c>
      <c r="D245" s="211" t="str">
        <f>IFERROR(__xludf.DUMMYFUNCTION("""COMPUTED_VALUE"""),"c2f5a4a7")</f>
        <v>c2f5a4a7</v>
      </c>
      <c r="E245" s="211" t="str">
        <f>IFERROR(__xludf.DUMMYFUNCTION("""COMPUTED_VALUE"""),"UD Sumber Berlian")</f>
        <v>UD Sumber Berlian</v>
      </c>
      <c r="F245" s="211" t="str">
        <f>IFERROR(__xludf.DUMMYFUNCTION("""COMPUTED_VALUE"""),"8bdbe149")</f>
        <v>8bdbe149</v>
      </c>
      <c r="G245" s="211" t="str">
        <f>IFERROR(__xludf.DUMMYFUNCTION("""COMPUTED_VALUE"""),"Oksigen 6m3")</f>
        <v>Oksigen 6m3</v>
      </c>
      <c r="H245" s="214" t="str">
        <f>IFERROR(__xludf.DUMMYFUNCTION("""COMPUTED_VALUE"""),"OUT")</f>
        <v>OUT</v>
      </c>
      <c r="I245" s="214" t="str">
        <f>IFERROR(__xludf.DUMMYFUNCTION("""COMPUTED_VALUE"""),"NORMAL")</f>
        <v>NORMAL</v>
      </c>
      <c r="J245" s="211">
        <f>IFERROR(__xludf.DUMMYFUNCTION("""COMPUTED_VALUE"""),10.0)</f>
        <v>10</v>
      </c>
      <c r="K245" s="210" t="str">
        <f>IFERROR(__xludf.DUMMYFUNCTION("""COMPUTED_VALUE"""),"11155 11151 11145 11135 11142 11146 11139 11163 11160 11165")</f>
        <v>11155 11151 11145 11135 11142 11146 11139 11163 11160 11165</v>
      </c>
      <c r="L245" s="211">
        <f>IFERROR(__xludf.DUMMYFUNCTION("""COMPUTED_VALUE"""),70000.0)</f>
        <v>70000</v>
      </c>
      <c r="M245" s="211"/>
      <c r="N245" s="211"/>
      <c r="O245" s="211"/>
      <c r="Q245" s="210" t="str">
        <f>IFERROR(__xludf.DUMMYFUNCTION("""COMPUTED_VALUE"""),"1f005e46")</f>
        <v>1f005e46</v>
      </c>
      <c r="R245" s="210" t="str">
        <f>IFERROR(__xludf.DUMMYFUNCTION("""COMPUTED_VALUE"""),"1f005e46")</f>
        <v>1f005e46</v>
      </c>
      <c r="S245" s="211" t="str">
        <f>IFERROR(__xludf.DUMMYFUNCTION("""COMPUTED_VALUE"""),"37175874")</f>
        <v>37175874</v>
      </c>
      <c r="T245" s="211" t="str">
        <f>IFERROR(__xludf.DUMMYFUNCTION("""COMPUTED_VALUE"""),"PT TERAPAN NILAIOSILASI INDONESIA (TENO)")</f>
        <v>PT TERAPAN NILAIOSILASI INDONESIA (TENO)</v>
      </c>
      <c r="U245" s="215">
        <f>IFERROR(__xludf.DUMMYFUNCTION("""COMPUTED_VALUE"""),45632.675)</f>
        <v>45632.675</v>
      </c>
      <c r="V245" s="211" t="str">
        <f>IFERROR(__xludf.DUMMYFUNCTION("""COMPUTED_VALUE"""),"JL Raya Kertajaya Indah 153 / P116, Gebang Putih, Sukokilo, Kota Surabaya, Jawa Timur")</f>
        <v>JL Raya Kertajaya Indah 153 / P116, Gebang Putih, Sukokilo, Kota Surabaya, Jawa Timur</v>
      </c>
      <c r="W245" s="211" t="str">
        <f>IFERROR(__xludf.DUMMYFUNCTION("""COMPUTED_VALUE"""),"IN")</f>
        <v>IN</v>
      </c>
      <c r="X245" s="211"/>
      <c r="Z245" s="211" t="str">
        <f>IFERROR(__xludf.DUMMYFUNCTION("""COMPUTED_VALUE"""),"0226162548")</f>
        <v>0226162548</v>
      </c>
      <c r="AC245" s="211"/>
      <c r="AD245" s="211"/>
      <c r="AE245" s="211"/>
      <c r="AF245" s="211"/>
      <c r="AG245" s="211"/>
      <c r="AH245" s="211"/>
      <c r="AI245" s="211"/>
      <c r="AJ245" s="211"/>
      <c r="AL245" s="211" t="str">
        <f>IFERROR(__xludf.DUMMYFUNCTION("""COMPUTED_VALUE"""),"2250061")</f>
        <v>2250061</v>
      </c>
      <c r="AM245" s="211" t="str">
        <f>IFERROR(__xludf.DUMMYFUNCTION("""COMPUTED_VALUE"""),"0925101346")</f>
        <v>0925101346</v>
      </c>
      <c r="AN245" s="211" t="str">
        <f>IFERROR(__xludf.DUMMYFUNCTION("""COMPUTED_VALUE"""),"e968afef")</f>
        <v>e968afef</v>
      </c>
      <c r="AO245" s="211" t="str">
        <f>IFERROR(__xludf.DUMMYFUNCTION("""COMPUTED_VALUE"""),"Bpk. Agus")</f>
        <v>Bpk. Agus</v>
      </c>
      <c r="AP245" s="215">
        <f>IFERROR(__xludf.DUMMYFUNCTION("""COMPUTED_VALUE"""),45959.41265046297)</f>
        <v>45959.41265</v>
      </c>
      <c r="AQ245" s="218">
        <f>IFERROR(__xludf.DUMMYFUNCTION("""COMPUTED_VALUE"""),45927.0)</f>
        <v>45927</v>
      </c>
      <c r="AR245" s="211"/>
      <c r="AS245" s="211"/>
      <c r="AT245" s="211"/>
      <c r="AU245" s="211"/>
      <c r="AV245" s="211"/>
      <c r="AW245" s="211"/>
      <c r="AX245" s="211"/>
      <c r="AY245" s="211"/>
      <c r="AZ245" s="211"/>
      <c r="BB245" s="211"/>
      <c r="BC245" s="211"/>
      <c r="BD245" s="211"/>
      <c r="BE245" s="211"/>
      <c r="BF245" s="211"/>
      <c r="BG245" s="211"/>
      <c r="BH245" s="211"/>
      <c r="BI245" s="211"/>
    </row>
    <row r="246">
      <c r="A246" s="210" t="str">
        <f>IFERROR(__xludf.DUMMYFUNCTION("""COMPUTED_VALUE"""),"11240115")</f>
        <v>11240115</v>
      </c>
      <c r="B246" s="210" t="str">
        <f>IFERROR(__xludf.DUMMYFUNCTION("""COMPUTED_VALUE"""),"11240115")</f>
        <v>11240115</v>
      </c>
      <c r="C246" s="213">
        <f>IFERROR(__xludf.DUMMYFUNCTION("""COMPUTED_VALUE"""),45616.32665509259)</f>
        <v>45616.32666</v>
      </c>
      <c r="D246" s="211" t="str">
        <f>IFERROR(__xludf.DUMMYFUNCTION("""COMPUTED_VALUE"""),"37175874")</f>
        <v>37175874</v>
      </c>
      <c r="E246" s="211" t="str">
        <f>IFERROR(__xludf.DUMMYFUNCTION("""COMPUTED_VALUE"""),"PT TERAPAN NILAIOSILASI INDONESIA (TENO)")</f>
        <v>PT TERAPAN NILAIOSILASI INDONESIA (TENO)</v>
      </c>
      <c r="F246" s="211" t="str">
        <f>IFERROR(__xludf.DUMMYFUNCTION("""COMPUTED_VALUE"""),"8bdbe149")</f>
        <v>8bdbe149</v>
      </c>
      <c r="G246" s="211" t="str">
        <f>IFERROR(__xludf.DUMMYFUNCTION("""COMPUTED_VALUE"""),"Oksigen 6m3")</f>
        <v>Oksigen 6m3</v>
      </c>
      <c r="H246" s="214" t="str">
        <f>IFERROR(__xludf.DUMMYFUNCTION("""COMPUTED_VALUE"""),"OUT")</f>
        <v>OUT</v>
      </c>
      <c r="I246" s="214" t="str">
        <f>IFERROR(__xludf.DUMMYFUNCTION("""COMPUTED_VALUE"""),"NORMAL")</f>
        <v>NORMAL</v>
      </c>
      <c r="J246" s="211">
        <f>IFERROR(__xludf.DUMMYFUNCTION("""COMPUTED_VALUE"""),15.0)</f>
        <v>15</v>
      </c>
      <c r="K246" s="210" t="str">
        <f>IFERROR(__xludf.DUMMYFUNCTION("""COMPUTED_VALUE"""),"11147 11164 11149 11159 11162 11137 11141 11157 11148 11158 11161 11152 11138 11144 11154")</f>
        <v>11147 11164 11149 11159 11162 11137 11141 11157 11148 11158 11161 11152 11138 11144 11154</v>
      </c>
      <c r="L246" s="211">
        <f>IFERROR(__xludf.DUMMYFUNCTION("""COMPUTED_VALUE"""),45045.04505)</f>
        <v>45045.04505</v>
      </c>
      <c r="M246" s="211"/>
      <c r="N246" s="211"/>
      <c r="O246" s="211"/>
      <c r="Q246" s="210" t="str">
        <f>IFERROR(__xludf.DUMMYFUNCTION("""COMPUTED_VALUE"""),"12240156")</f>
        <v>12240156</v>
      </c>
      <c r="R246" s="210" t="str">
        <f>IFERROR(__xludf.DUMMYFUNCTION("""COMPUTED_VALUE"""),"12240156")</f>
        <v>12240156</v>
      </c>
      <c r="S246" s="211" t="str">
        <f>IFERROR(__xludf.DUMMYFUNCTION("""COMPUTED_VALUE"""),"8ea74d81")</f>
        <v>8ea74d81</v>
      </c>
      <c r="T246" s="211" t="str">
        <f>IFERROR(__xludf.DUMMYFUNCTION("""COMPUTED_VALUE"""),"Bengkel Adi Putra")</f>
        <v>Bengkel Adi Putra</v>
      </c>
      <c r="U246" s="215">
        <f>IFERROR(__xludf.DUMMYFUNCTION("""COMPUTED_VALUE"""),45633.45208333334)</f>
        <v>45633.45208</v>
      </c>
      <c r="V246" s="211" t="str">
        <f>IFERROR(__xludf.DUMMYFUNCTION("""COMPUTED_VALUE"""),"Bypass Balongbendo")</f>
        <v>Bypass Balongbendo</v>
      </c>
      <c r="W246" s="211" t="str">
        <f>IFERROR(__xludf.DUMMYFUNCTION("""COMPUTED_VALUE"""),"OUT")</f>
        <v>OUT</v>
      </c>
      <c r="X246" s="211"/>
      <c r="Z246" s="211" t="str">
        <f>IFERROR(__xludf.DUMMYFUNCTION("""COMPUTED_VALUE"""),"0226442547")</f>
        <v>0226442547</v>
      </c>
      <c r="AC246" s="211"/>
      <c r="AD246" s="211"/>
      <c r="AE246" s="211"/>
      <c r="AF246" s="211"/>
      <c r="AG246" s="211"/>
      <c r="AH246" s="211"/>
      <c r="AI246" s="211"/>
      <c r="AJ246" s="211"/>
      <c r="AL246" s="211" t="str">
        <f>IFERROR(__xludf.DUMMYFUNCTION("""COMPUTED_VALUE"""),"2250061")</f>
        <v>2250061</v>
      </c>
      <c r="AM246" s="211" t="str">
        <f>IFERROR(__xludf.DUMMYFUNCTION("""COMPUTED_VALUE"""),"0925111362")</f>
        <v>0925111362</v>
      </c>
      <c r="AN246" s="211" t="str">
        <f>IFERROR(__xludf.DUMMYFUNCTION("""COMPUTED_VALUE"""),"e968afef")</f>
        <v>e968afef</v>
      </c>
      <c r="AO246" s="211" t="str">
        <f>IFERROR(__xludf.DUMMYFUNCTION("""COMPUTED_VALUE"""),"Bpk. Agus")</f>
        <v>Bpk. Agus</v>
      </c>
      <c r="AP246" s="215">
        <f>IFERROR(__xludf.DUMMYFUNCTION("""COMPUTED_VALUE"""),45959.41265046297)</f>
        <v>45959.41265</v>
      </c>
      <c r="AQ246" s="218">
        <f>IFERROR(__xludf.DUMMYFUNCTION("""COMPUTED_VALUE"""),45930.0)</f>
        <v>45930</v>
      </c>
      <c r="AR246" s="211"/>
      <c r="AS246" s="211"/>
      <c r="AT246" s="211"/>
      <c r="AU246" s="211"/>
      <c r="AV246" s="211"/>
      <c r="AW246" s="211"/>
      <c r="AX246" s="211"/>
      <c r="AY246" s="211"/>
      <c r="AZ246" s="211"/>
      <c r="BB246" s="211"/>
      <c r="BC246" s="211"/>
      <c r="BD246" s="211"/>
      <c r="BE246" s="211"/>
      <c r="BF246" s="211"/>
      <c r="BG246" s="211"/>
      <c r="BH246" s="211"/>
      <c r="BI246" s="211"/>
    </row>
    <row r="247">
      <c r="A247" s="210" t="str">
        <f>IFERROR(__xludf.DUMMYFUNCTION("""COMPUTED_VALUE"""),"b83c098a")</f>
        <v>b83c098a</v>
      </c>
      <c r="B247" s="210" t="str">
        <f>IFERROR(__xludf.DUMMYFUNCTION("""COMPUTED_VALUE"""),"b83c098a")</f>
        <v>b83c098a</v>
      </c>
      <c r="C247" s="213">
        <f>IFERROR(__xludf.DUMMYFUNCTION("""COMPUTED_VALUE"""),45616.470555555556)</f>
        <v>45616.47056</v>
      </c>
      <c r="D247" s="211" t="str">
        <f>IFERROR(__xludf.DUMMYFUNCTION("""COMPUTED_VALUE"""),"37175874")</f>
        <v>37175874</v>
      </c>
      <c r="E247" s="211" t="str">
        <f>IFERROR(__xludf.DUMMYFUNCTION("""COMPUTED_VALUE"""),"PT TERAPAN NILAIOSILASI INDONESIA (TENO)")</f>
        <v>PT TERAPAN NILAIOSILASI INDONESIA (TENO)</v>
      </c>
      <c r="F247" s="211" t="str">
        <f>IFERROR(__xludf.DUMMYFUNCTION("""COMPUTED_VALUE"""),"8bdbe149")</f>
        <v>8bdbe149</v>
      </c>
      <c r="G247" s="211" t="str">
        <f>IFERROR(__xludf.DUMMYFUNCTION("""COMPUTED_VALUE"""),"Oksigen 6m3")</f>
        <v>Oksigen 6m3</v>
      </c>
      <c r="H247" s="214" t="str">
        <f>IFERROR(__xludf.DUMMYFUNCTION("""COMPUTED_VALUE"""),"IN")</f>
        <v>IN</v>
      </c>
      <c r="I247" s="214" t="str">
        <f>IFERROR(__xludf.DUMMYFUNCTION("""COMPUTED_VALUE"""),"EMPTY")</f>
        <v>EMPTY</v>
      </c>
      <c r="J247" s="211">
        <f>IFERROR(__xludf.DUMMYFUNCTION("""COMPUTED_VALUE"""),1.0)</f>
        <v>1</v>
      </c>
      <c r="K247" s="210" t="str">
        <f>IFERROR(__xludf.DUMMYFUNCTION("""COMPUTED_VALUE"""),"5258")</f>
        <v>5258</v>
      </c>
      <c r="L247" s="211"/>
      <c r="M247" s="211"/>
      <c r="N247" s="211"/>
      <c r="O247" s="211"/>
      <c r="Q247" s="210" t="str">
        <f>IFERROR(__xludf.DUMMYFUNCTION("""COMPUTED_VALUE"""),"12240158")</f>
        <v>12240158</v>
      </c>
      <c r="R247" s="210" t="str">
        <f>IFERROR(__xludf.DUMMYFUNCTION("""COMPUTED_VALUE"""),"12240158")</f>
        <v>12240158</v>
      </c>
      <c r="S247" s="211" t="str">
        <f>IFERROR(__xludf.DUMMYFUNCTION("""COMPUTED_VALUE"""),"4ec68cf6")</f>
        <v>4ec68cf6</v>
      </c>
      <c r="T247" s="211" t="str">
        <f>IFERROR(__xludf.DUMMYFUNCTION("""COMPUTED_VALUE"""),"CV Sido Mukti Karya")</f>
        <v>CV Sido Mukti Karya</v>
      </c>
      <c r="U247" s="215">
        <f>IFERROR(__xludf.DUMMYFUNCTION("""COMPUTED_VALUE"""),45633.45277777778)</f>
        <v>45633.45278</v>
      </c>
      <c r="V247" s="211" t="str">
        <f>IFERROR(__xludf.DUMMYFUNCTION("""COMPUTED_VALUE"""),"Pergudangan Center Point no A3, Kemangsen")</f>
        <v>Pergudangan Center Point no A3, Kemangsen</v>
      </c>
      <c r="W247" s="211" t="str">
        <f>IFERROR(__xludf.DUMMYFUNCTION("""COMPUTED_VALUE"""),"OUT")</f>
        <v>OUT</v>
      </c>
      <c r="X247" s="211"/>
      <c r="Z247" s="211" t="str">
        <f>IFERROR(__xludf.DUMMYFUNCTION("""COMPUTED_VALUE"""),"0226212546")</f>
        <v>0226212546</v>
      </c>
      <c r="AC247" s="211"/>
      <c r="AD247" s="211"/>
      <c r="AE247" s="211"/>
      <c r="AF247" s="211"/>
      <c r="AG247" s="211"/>
      <c r="AH247" s="211"/>
      <c r="AI247" s="211"/>
      <c r="AJ247" s="211"/>
      <c r="AL247" s="211" t="str">
        <f>IFERROR(__xludf.DUMMYFUNCTION("""COMPUTED_VALUE"""),"2250061")</f>
        <v>2250061</v>
      </c>
      <c r="AM247" s="211" t="str">
        <f>IFERROR(__xludf.DUMMYFUNCTION("""COMPUTED_VALUE"""),"0925121367")</f>
        <v>0925121367</v>
      </c>
      <c r="AN247" s="211" t="str">
        <f>IFERROR(__xludf.DUMMYFUNCTION("""COMPUTED_VALUE"""),"e968afef")</f>
        <v>e968afef</v>
      </c>
      <c r="AO247" s="211" t="str">
        <f>IFERROR(__xludf.DUMMYFUNCTION("""COMPUTED_VALUE"""),"Bpk. Agus")</f>
        <v>Bpk. Agus</v>
      </c>
      <c r="AP247" s="215">
        <f>IFERROR(__xludf.DUMMYFUNCTION("""COMPUTED_VALUE"""),45959.41265046297)</f>
        <v>45959.41265</v>
      </c>
      <c r="AQ247" s="218">
        <f>IFERROR(__xludf.DUMMYFUNCTION("""COMPUTED_VALUE"""),45930.0)</f>
        <v>45930</v>
      </c>
      <c r="AR247" s="211"/>
      <c r="AS247" s="211"/>
      <c r="AT247" s="211"/>
      <c r="AU247" s="211"/>
      <c r="AV247" s="211"/>
      <c r="AW247" s="211"/>
      <c r="AX247" s="211"/>
      <c r="AY247" s="211"/>
      <c r="AZ247" s="211"/>
      <c r="BB247" s="211"/>
      <c r="BC247" s="211"/>
      <c r="BD247" s="211"/>
      <c r="BE247" s="211"/>
      <c r="BF247" s="211"/>
      <c r="BG247" s="211"/>
      <c r="BH247" s="211"/>
      <c r="BI247" s="211"/>
    </row>
    <row r="248">
      <c r="A248" s="210" t="str">
        <f>IFERROR(__xludf.DUMMYFUNCTION("""COMPUTED_VALUE"""),"33454739")</f>
        <v>33454739</v>
      </c>
      <c r="B248" s="210" t="str">
        <f>IFERROR(__xludf.DUMMYFUNCTION("""COMPUTED_VALUE"""),"33454739")</f>
        <v>33454739</v>
      </c>
      <c r="C248" s="213">
        <f>IFERROR(__xludf.DUMMYFUNCTION("""COMPUTED_VALUE"""),45616.47148148148)</f>
        <v>45616.47148</v>
      </c>
      <c r="D248" s="211" t="str">
        <f>IFERROR(__xludf.DUMMYFUNCTION("""COMPUTED_VALUE"""),"c2f5a4a7")</f>
        <v>c2f5a4a7</v>
      </c>
      <c r="E248" s="211" t="str">
        <f>IFERROR(__xludf.DUMMYFUNCTION("""COMPUTED_VALUE"""),"UD Sumber Berlian")</f>
        <v>UD Sumber Berlian</v>
      </c>
      <c r="F248" s="211" t="str">
        <f>IFERROR(__xludf.DUMMYFUNCTION("""COMPUTED_VALUE"""),"8bdbe149")</f>
        <v>8bdbe149</v>
      </c>
      <c r="G248" s="211" t="str">
        <f>IFERROR(__xludf.DUMMYFUNCTION("""COMPUTED_VALUE"""),"Oksigen 6m3")</f>
        <v>Oksigen 6m3</v>
      </c>
      <c r="H248" s="214" t="str">
        <f>IFERROR(__xludf.DUMMYFUNCTION("""COMPUTED_VALUE"""),"IN")</f>
        <v>IN</v>
      </c>
      <c r="I248" s="214" t="str">
        <f>IFERROR(__xludf.DUMMYFUNCTION("""COMPUTED_VALUE"""),"EMPTY")</f>
        <v>EMPTY</v>
      </c>
      <c r="J248" s="211">
        <f>IFERROR(__xludf.DUMMYFUNCTION("""COMPUTED_VALUE"""),8.0)</f>
        <v>8</v>
      </c>
      <c r="K248" s="210" t="str">
        <f>IFERROR(__xludf.DUMMYFUNCTION("""COMPUTED_VALUE"""),"5236 5238 1330 5426 1487 1103 5819 5096")</f>
        <v>5236 5238 1330 5426 1487 1103 5819 5096</v>
      </c>
      <c r="L248" s="211"/>
      <c r="M248" s="211"/>
      <c r="N248" s="211"/>
      <c r="O248" s="211"/>
      <c r="Q248" s="210" t="str">
        <f>IFERROR(__xludf.DUMMYFUNCTION("""COMPUTED_VALUE"""),"80c81a15")</f>
        <v>80c81a15</v>
      </c>
      <c r="R248" s="210" t="str">
        <f>IFERROR(__xludf.DUMMYFUNCTION("""COMPUTED_VALUE"""),"80c81a15")</f>
        <v>80c81a15</v>
      </c>
      <c r="S248" s="211" t="str">
        <f>IFERROR(__xludf.DUMMYFUNCTION("""COMPUTED_VALUE"""),"4ec68cf6")</f>
        <v>4ec68cf6</v>
      </c>
      <c r="T248" s="211" t="str">
        <f>IFERROR(__xludf.DUMMYFUNCTION("""COMPUTED_VALUE"""),"CV Sido Mukti Karya")</f>
        <v>CV Sido Mukti Karya</v>
      </c>
      <c r="U248" s="215">
        <f>IFERROR(__xludf.DUMMYFUNCTION("""COMPUTED_VALUE"""),45633.524305555555)</f>
        <v>45633.52431</v>
      </c>
      <c r="V248" s="211" t="str">
        <f>IFERROR(__xludf.DUMMYFUNCTION("""COMPUTED_VALUE"""),"Pergudangan Center Point no A3, Kemangsen")</f>
        <v>Pergudangan Center Point no A3, Kemangsen</v>
      </c>
      <c r="W248" s="211" t="str">
        <f>IFERROR(__xludf.DUMMYFUNCTION("""COMPUTED_VALUE"""),"IN")</f>
        <v>IN</v>
      </c>
      <c r="X248" s="211"/>
      <c r="Z248" s="211" t="str">
        <f>IFERROR(__xludf.DUMMYFUNCTION("""COMPUTED_VALUE"""),"0226302545")</f>
        <v>0226302545</v>
      </c>
      <c r="AC248" s="211"/>
      <c r="AD248" s="211"/>
      <c r="AE248" s="211"/>
      <c r="AF248" s="211"/>
      <c r="AG248" s="211"/>
      <c r="AH248" s="211"/>
      <c r="AI248" s="211"/>
      <c r="AJ248" s="211"/>
      <c r="AL248" s="211" t="str">
        <f>IFERROR(__xludf.DUMMYFUNCTION("""COMPUTED_VALUE"""),"2250061")</f>
        <v>2250061</v>
      </c>
      <c r="AM248" s="211" t="str">
        <f>IFERROR(__xludf.DUMMYFUNCTION("""COMPUTED_VALUE"""),"1025131370")</f>
        <v>1025131370</v>
      </c>
      <c r="AN248" s="211" t="str">
        <f>IFERROR(__xludf.DUMMYFUNCTION("""COMPUTED_VALUE"""),"e968afef")</f>
        <v>e968afef</v>
      </c>
      <c r="AO248" s="211" t="str">
        <f>IFERROR(__xludf.DUMMYFUNCTION("""COMPUTED_VALUE"""),"Bpk. Agus")</f>
        <v>Bpk. Agus</v>
      </c>
      <c r="AP248" s="215">
        <f>IFERROR(__xludf.DUMMYFUNCTION("""COMPUTED_VALUE"""),45959.41265046297)</f>
        <v>45959.41265</v>
      </c>
      <c r="AQ248" s="218">
        <f>IFERROR(__xludf.DUMMYFUNCTION("""COMPUTED_VALUE"""),45933.0)</f>
        <v>45933</v>
      </c>
      <c r="AR248" s="211"/>
      <c r="AS248" s="211"/>
      <c r="AT248" s="211"/>
      <c r="AU248" s="211"/>
      <c r="AV248" s="211"/>
      <c r="AW248" s="211"/>
      <c r="AX248" s="211"/>
      <c r="AY248" s="211"/>
      <c r="AZ248" s="211"/>
      <c r="BB248" s="211"/>
      <c r="BC248" s="211"/>
      <c r="BD248" s="211"/>
      <c r="BE248" s="211"/>
      <c r="BF248" s="211"/>
      <c r="BG248" s="211"/>
      <c r="BH248" s="211"/>
      <c r="BI248" s="211"/>
    </row>
    <row r="249">
      <c r="A249" s="210" t="str">
        <f>IFERROR(__xludf.DUMMYFUNCTION("""COMPUTED_VALUE"""),"11240116")</f>
        <v>11240116</v>
      </c>
      <c r="B249" s="210" t="str">
        <f>IFERROR(__xludf.DUMMYFUNCTION("""COMPUTED_VALUE"""),"11240116")</f>
        <v>11240116</v>
      </c>
      <c r="C249" s="213">
        <f>IFERROR(__xludf.DUMMYFUNCTION("""COMPUTED_VALUE"""),45617.65806712963)</f>
        <v>45617.65807</v>
      </c>
      <c r="D249" s="211" t="str">
        <f>IFERROR(__xludf.DUMMYFUNCTION("""COMPUTED_VALUE"""),"72d9a70c")</f>
        <v>72d9a70c</v>
      </c>
      <c r="E249" s="211" t="str">
        <f>IFERROR(__xludf.DUMMYFUNCTION("""COMPUTED_VALUE"""),"PT Beton Prima Indonesia")</f>
        <v>PT Beton Prima Indonesia</v>
      </c>
      <c r="F249" s="211" t="str">
        <f>IFERROR(__xludf.DUMMYFUNCTION("""COMPUTED_VALUE"""),"8bdbe149")</f>
        <v>8bdbe149</v>
      </c>
      <c r="G249" s="211" t="str">
        <f>IFERROR(__xludf.DUMMYFUNCTION("""COMPUTED_VALUE"""),"Oksigen 6m3")</f>
        <v>Oksigen 6m3</v>
      </c>
      <c r="H249" s="214" t="str">
        <f>IFERROR(__xludf.DUMMYFUNCTION("""COMPUTED_VALUE"""),"OUT")</f>
        <v>OUT</v>
      </c>
      <c r="I249" s="214" t="str">
        <f>IFERROR(__xludf.DUMMYFUNCTION("""COMPUTED_VALUE"""),"NORMAL")</f>
        <v>NORMAL</v>
      </c>
      <c r="J249" s="211">
        <f>IFERROR(__xludf.DUMMYFUNCTION("""COMPUTED_VALUE"""),15.0)</f>
        <v>15</v>
      </c>
      <c r="K249" s="210" t="str">
        <f>IFERROR(__xludf.DUMMYFUNCTION("""COMPUTED_VALUE"""),"11166 11167 11168 11169 11170 11171 11172 11173 11174 11175 11140 11153 11136 11150 11143")</f>
        <v>11166 11167 11168 11169 11170 11171 11172 11173 11174 11175 11140 11153 11136 11150 11143</v>
      </c>
      <c r="L249" s="211">
        <f>IFERROR(__xludf.DUMMYFUNCTION("""COMPUTED_VALUE"""),45045.04505)</f>
        <v>45045.04505</v>
      </c>
      <c r="M249" s="211"/>
      <c r="N249" s="211"/>
      <c r="O249" s="211"/>
      <c r="Q249" s="210" t="str">
        <f>IFERROR(__xludf.DUMMYFUNCTION("""COMPUTED_VALUE"""),"12240160")</f>
        <v>12240160</v>
      </c>
      <c r="R249" s="210" t="str">
        <f>IFERROR(__xludf.DUMMYFUNCTION("""COMPUTED_VALUE"""),"12240160")</f>
        <v>12240160</v>
      </c>
      <c r="S249" s="211" t="str">
        <f>IFERROR(__xludf.DUMMYFUNCTION("""COMPUTED_VALUE"""),"01158be1")</f>
        <v>01158be1</v>
      </c>
      <c r="T249" s="211" t="str">
        <f>IFERROR(__xludf.DUMMYFUNCTION("""COMPUTED_VALUE"""),"GYF")</f>
        <v>GYF</v>
      </c>
      <c r="U249" s="215">
        <f>IFERROR(__xludf.DUMMYFUNCTION("""COMPUTED_VALUE"""),45633.53055555555)</f>
        <v>45633.53056</v>
      </c>
      <c r="V249" s="211" t="str">
        <f>IFERROR(__xludf.DUMMYFUNCTION("""COMPUTED_VALUE"""),"Kangkungan, Lengkong, Kec. Mojoanyar, Kabupaten Mojokerto, Jawa Timur")</f>
        <v>Kangkungan, Lengkong, Kec. Mojoanyar, Kabupaten Mojokerto, Jawa Timur</v>
      </c>
      <c r="W249" s="211" t="str">
        <f>IFERROR(__xludf.DUMMYFUNCTION("""COMPUTED_VALUE"""),"OUT")</f>
        <v>OUT</v>
      </c>
      <c r="X249" s="211"/>
      <c r="Z249" s="211" t="str">
        <f>IFERROR(__xludf.DUMMYFUNCTION("""COMPUTED_VALUE"""),"0226452544")</f>
        <v>0226452544</v>
      </c>
      <c r="AC249" s="211"/>
      <c r="AD249" s="211"/>
      <c r="AE249" s="211"/>
      <c r="AF249" s="211"/>
      <c r="AG249" s="211"/>
      <c r="AH249" s="211"/>
      <c r="AI249" s="211"/>
      <c r="AJ249" s="211"/>
      <c r="AL249" s="211" t="str">
        <f>IFERROR(__xludf.DUMMYFUNCTION("""COMPUTED_VALUE"""),"2250061")</f>
        <v>2250061</v>
      </c>
      <c r="AM249" s="211" t="str">
        <f>IFERROR(__xludf.DUMMYFUNCTION("""COMPUTED_VALUE"""),"1025141400")</f>
        <v>1025141400</v>
      </c>
      <c r="AN249" s="211" t="str">
        <f>IFERROR(__xludf.DUMMYFUNCTION("""COMPUTED_VALUE"""),"e968afef")</f>
        <v>e968afef</v>
      </c>
      <c r="AO249" s="211" t="str">
        <f>IFERROR(__xludf.DUMMYFUNCTION("""COMPUTED_VALUE"""),"Bpk. Agus")</f>
        <v>Bpk. Agus</v>
      </c>
      <c r="AP249" s="215">
        <f>IFERROR(__xludf.DUMMYFUNCTION("""COMPUTED_VALUE"""),45959.41265046297)</f>
        <v>45959.41265</v>
      </c>
      <c r="AQ249" s="218">
        <f>IFERROR(__xludf.DUMMYFUNCTION("""COMPUTED_VALUE"""),45937.0)</f>
        <v>45937</v>
      </c>
      <c r="AR249" s="211"/>
      <c r="AS249" s="211"/>
      <c r="AT249" s="211"/>
      <c r="AU249" s="211"/>
      <c r="AV249" s="211"/>
      <c r="AW249" s="211"/>
      <c r="AX249" s="211"/>
      <c r="AY249" s="211"/>
      <c r="AZ249" s="211"/>
      <c r="BB249" s="211"/>
      <c r="BC249" s="211"/>
      <c r="BD249" s="211"/>
      <c r="BE249" s="211"/>
      <c r="BF249" s="211"/>
      <c r="BG249" s="211"/>
      <c r="BH249" s="211"/>
      <c r="BI249" s="211"/>
    </row>
    <row r="250">
      <c r="A250" s="210" t="str">
        <f>IFERROR(__xludf.DUMMYFUNCTION("""COMPUTED_VALUE"""),"11240117")</f>
        <v>11240117</v>
      </c>
      <c r="B250" s="210" t="str">
        <f>IFERROR(__xludf.DUMMYFUNCTION("""COMPUTED_VALUE"""),"11240117")</f>
        <v>11240117</v>
      </c>
      <c r="C250" s="213">
        <f>IFERROR(__xludf.DUMMYFUNCTION("""COMPUTED_VALUE"""),45617.66458333333)</f>
        <v>45617.66458</v>
      </c>
      <c r="D250" s="211" t="str">
        <f>IFERROR(__xludf.DUMMYFUNCTION("""COMPUTED_VALUE"""),"f8335a53")</f>
        <v>f8335a53</v>
      </c>
      <c r="E250" s="211" t="str">
        <f>IFERROR(__xludf.DUMMYFUNCTION("""COMPUTED_VALUE"""),"CV RAGAM JAYA ENGINEERING")</f>
        <v>CV RAGAM JAYA ENGINEERING</v>
      </c>
      <c r="F250" s="211" t="str">
        <f>IFERROR(__xludf.DUMMYFUNCTION("""COMPUTED_VALUE"""),"8bdbe149")</f>
        <v>8bdbe149</v>
      </c>
      <c r="G250" s="211" t="str">
        <f>IFERROR(__xludf.DUMMYFUNCTION("""COMPUTED_VALUE"""),"Oksigen 6m3")</f>
        <v>Oksigen 6m3</v>
      </c>
      <c r="H250" s="214" t="str">
        <f>IFERROR(__xludf.DUMMYFUNCTION("""COMPUTED_VALUE"""),"OUT")</f>
        <v>OUT</v>
      </c>
      <c r="I250" s="214" t="str">
        <f>IFERROR(__xludf.DUMMYFUNCTION("""COMPUTED_VALUE"""),"NORMAL")</f>
        <v>NORMAL</v>
      </c>
      <c r="J250" s="211">
        <f>IFERROR(__xludf.DUMMYFUNCTION("""COMPUTED_VALUE"""),5.0)</f>
        <v>5</v>
      </c>
      <c r="K250" s="210" t="str">
        <f>IFERROR(__xludf.DUMMYFUNCTION("""COMPUTED_VALUE"""),"1162 1164 1168 1160 1157")</f>
        <v>1162 1164 1168 1160 1157</v>
      </c>
      <c r="L250" s="211">
        <f>IFERROR(__xludf.DUMMYFUNCTION("""COMPUTED_VALUE"""),60000.0)</f>
        <v>60000</v>
      </c>
      <c r="M250" s="211"/>
      <c r="N250" s="211"/>
      <c r="O250" s="211"/>
      <c r="Q250" s="210" t="str">
        <f>IFERROR(__xludf.DUMMYFUNCTION("""COMPUTED_VALUE"""),"12240161")</f>
        <v>12240161</v>
      </c>
      <c r="R250" s="210" t="str">
        <f>IFERROR(__xludf.DUMMYFUNCTION("""COMPUTED_VALUE"""),"12240161")</f>
        <v>12240161</v>
      </c>
      <c r="S250" s="211" t="str">
        <f>IFERROR(__xludf.DUMMYFUNCTION("""COMPUTED_VALUE"""),"f8335a53")</f>
        <v>f8335a53</v>
      </c>
      <c r="T250" s="211" t="str">
        <f>IFERROR(__xludf.DUMMYFUNCTION("""COMPUTED_VALUE"""),"CV RAGAM JAYA ENGINEERING")</f>
        <v>CV RAGAM JAYA ENGINEERING</v>
      </c>
      <c r="U250" s="215">
        <f>IFERROR(__xludf.DUMMYFUNCTION("""COMPUTED_VALUE"""),45636.46875)</f>
        <v>45636.46875</v>
      </c>
      <c r="V250" s="211" t="str">
        <f>IFERROR(__xludf.DUMMYFUNCTION("""COMPUTED_VALUE"""),"Jl. Balung wangon, Dadapkuning, Bulurejo, Kec. Benjeng, Kabupaten Gresik, Jawa Timur 61172")</f>
        <v>Jl. Balung wangon, Dadapkuning, Bulurejo, Kec. Benjeng, Kabupaten Gresik, Jawa Timur 61172</v>
      </c>
      <c r="W250" s="211" t="str">
        <f>IFERROR(__xludf.DUMMYFUNCTION("""COMPUTED_VALUE"""),"OUT")</f>
        <v>OUT</v>
      </c>
      <c r="X250" s="211"/>
      <c r="Z250" s="211" t="str">
        <f>IFERROR(__xludf.DUMMYFUNCTION("""COMPUTED_VALUE"""),"0226152538")</f>
        <v>0226152538</v>
      </c>
      <c r="AC250" s="211"/>
      <c r="AD250" s="211"/>
      <c r="AE250" s="211"/>
      <c r="AF250" s="211"/>
      <c r="AG250" s="211"/>
      <c r="AH250" s="211"/>
      <c r="AI250" s="211"/>
      <c r="AJ250" s="211"/>
      <c r="AL250" s="211" t="str">
        <f>IFERROR(__xludf.DUMMYFUNCTION("""COMPUTED_VALUE"""),"2250061")</f>
        <v>2250061</v>
      </c>
      <c r="AM250" s="211" t="str">
        <f>IFERROR(__xludf.DUMMYFUNCTION("""COMPUTED_VALUE"""),"1025151424")</f>
        <v>1025151424</v>
      </c>
      <c r="AN250" s="211" t="str">
        <f>IFERROR(__xludf.DUMMYFUNCTION("""COMPUTED_VALUE"""),"e968afef")</f>
        <v>e968afef</v>
      </c>
      <c r="AO250" s="211" t="str">
        <f>IFERROR(__xludf.DUMMYFUNCTION("""COMPUTED_VALUE"""),"Bpk. Agus")</f>
        <v>Bpk. Agus</v>
      </c>
      <c r="AP250" s="215">
        <f>IFERROR(__xludf.DUMMYFUNCTION("""COMPUTED_VALUE"""),45959.41265046297)</f>
        <v>45959.41265</v>
      </c>
      <c r="AQ250" s="218">
        <f>IFERROR(__xludf.DUMMYFUNCTION("""COMPUTED_VALUE"""),45941.0)</f>
        <v>45941</v>
      </c>
      <c r="AR250" s="211"/>
      <c r="AS250" s="211"/>
      <c r="AT250" s="211"/>
      <c r="AU250" s="211"/>
      <c r="AV250" s="211"/>
      <c r="AW250" s="211"/>
      <c r="AX250" s="211"/>
      <c r="AY250" s="211"/>
      <c r="AZ250" s="211"/>
      <c r="BB250" s="211"/>
      <c r="BC250" s="211"/>
      <c r="BD250" s="211"/>
      <c r="BE250" s="211"/>
      <c r="BF250" s="211"/>
      <c r="BG250" s="211"/>
      <c r="BH250" s="211"/>
      <c r="BI250" s="211"/>
    </row>
    <row r="251">
      <c r="A251" s="210" t="str">
        <f>IFERROR(__xludf.DUMMYFUNCTION("""COMPUTED_VALUE"""),"11240117")</f>
        <v>11240117</v>
      </c>
      <c r="B251" s="210" t="str">
        <f>IFERROR(__xludf.DUMMYFUNCTION("""COMPUTED_VALUE"""),"11240117")</f>
        <v>11240117</v>
      </c>
      <c r="C251" s="213">
        <f>IFERROR(__xludf.DUMMYFUNCTION("""COMPUTED_VALUE"""),45617.66527777778)</f>
        <v>45617.66528</v>
      </c>
      <c r="D251" s="211" t="str">
        <f>IFERROR(__xludf.DUMMYFUNCTION("""COMPUTED_VALUE"""),"f8335a53")</f>
        <v>f8335a53</v>
      </c>
      <c r="E251" s="211" t="str">
        <f>IFERROR(__xludf.DUMMYFUNCTION("""COMPUTED_VALUE"""),"CV RAGAM JAYA ENGINEERING")</f>
        <v>CV RAGAM JAYA ENGINEERING</v>
      </c>
      <c r="F251" s="211" t="str">
        <f>IFERROR(__xludf.DUMMYFUNCTION("""COMPUTED_VALUE"""),"ef306e54")</f>
        <v>ef306e54</v>
      </c>
      <c r="G251" s="211" t="str">
        <f>IFERROR(__xludf.DUMMYFUNCTION("""COMPUTED_VALUE"""),"Karbondioksida")</f>
        <v>Karbondioksida</v>
      </c>
      <c r="H251" s="214" t="str">
        <f>IFERROR(__xludf.DUMMYFUNCTION("""COMPUTED_VALUE"""),"OUT")</f>
        <v>OUT</v>
      </c>
      <c r="I251" s="214" t="str">
        <f>IFERROR(__xludf.DUMMYFUNCTION("""COMPUTED_VALUE"""),"NORMAL")</f>
        <v>NORMAL</v>
      </c>
      <c r="J251" s="211">
        <f>IFERROR(__xludf.DUMMYFUNCTION("""COMPUTED_VALUE"""),5.0)</f>
        <v>5</v>
      </c>
      <c r="K251" s="210" t="str">
        <f>IFERROR(__xludf.DUMMYFUNCTION("""COMPUTED_VALUE"""),"6663 6755 6798 6926 6996")</f>
        <v>6663 6755 6798 6926 6996</v>
      </c>
      <c r="L251" s="211">
        <f>IFERROR(__xludf.DUMMYFUNCTION("""COMPUTED_VALUE"""),160000.0)</f>
        <v>160000</v>
      </c>
      <c r="M251" s="211"/>
      <c r="N251" s="211"/>
      <c r="O251" s="211"/>
      <c r="Q251" s="210" t="str">
        <f>IFERROR(__xludf.DUMMYFUNCTION("""COMPUTED_VALUE"""),"1b38f329")</f>
        <v>1b38f329</v>
      </c>
      <c r="R251" s="210" t="str">
        <f>IFERROR(__xludf.DUMMYFUNCTION("""COMPUTED_VALUE"""),"1b38f329")</f>
        <v>1b38f329</v>
      </c>
      <c r="S251" s="211" t="str">
        <f>IFERROR(__xludf.DUMMYFUNCTION("""COMPUTED_VALUE"""),"37175874")</f>
        <v>37175874</v>
      </c>
      <c r="T251" s="211" t="str">
        <f>IFERROR(__xludf.DUMMYFUNCTION("""COMPUTED_VALUE"""),"PT TERAPAN NILAIOSILASI INDONESIA (TENO)")</f>
        <v>PT TERAPAN NILAIOSILASI INDONESIA (TENO)</v>
      </c>
      <c r="U251" s="215">
        <f>IFERROR(__xludf.DUMMYFUNCTION("""COMPUTED_VALUE"""),45636.47777777778)</f>
        <v>45636.47778</v>
      </c>
      <c r="V251" s="211" t="str">
        <f>IFERROR(__xludf.DUMMYFUNCTION("""COMPUTED_VALUE"""),"JL Raya Kertajaya Indah 153 / P116, Gebang Putih, Sukokilo, Kota Surabaya, Jawa Timur")</f>
        <v>JL Raya Kertajaya Indah 153 / P116, Gebang Putih, Sukokilo, Kota Surabaya, Jawa Timur</v>
      </c>
      <c r="W251" s="211" t="str">
        <f>IFERROR(__xludf.DUMMYFUNCTION("""COMPUTED_VALUE"""),"IN")</f>
        <v>IN</v>
      </c>
      <c r="X251" s="211"/>
      <c r="Z251" s="211" t="str">
        <f>IFERROR(__xludf.DUMMYFUNCTION("""COMPUTED_VALUE"""),"0226442537")</f>
        <v>0226442537</v>
      </c>
      <c r="AC251" s="211"/>
      <c r="AD251" s="211"/>
      <c r="AE251" s="211"/>
      <c r="AF251" s="211"/>
      <c r="AG251" s="211"/>
      <c r="AH251" s="211"/>
      <c r="AI251" s="211"/>
      <c r="AJ251" s="211"/>
      <c r="AL251" s="211" t="str">
        <f>IFERROR(__xludf.DUMMYFUNCTION("""COMPUTED_VALUE"""),"2250060")</f>
        <v>2250060</v>
      </c>
      <c r="AM251" s="211" t="str">
        <f>IFERROR(__xludf.DUMMYFUNCTION("""COMPUTED_VALUE"""),"102571488")</f>
        <v>102571488</v>
      </c>
      <c r="AN251" s="211" t="str">
        <f>IFERROR(__xludf.DUMMYFUNCTION("""COMPUTED_VALUE"""),"196b24da")</f>
        <v>196b24da</v>
      </c>
      <c r="AO251" s="211" t="str">
        <f>IFERROR(__xludf.DUMMYFUNCTION("""COMPUTED_VALUE"""),"PT Samudra Cipta Enjineering")</f>
        <v>PT Samudra Cipta Enjineering</v>
      </c>
      <c r="AP251" s="215">
        <f>IFERROR(__xludf.DUMMYFUNCTION("""COMPUTED_VALUE"""),45955.48163194444)</f>
        <v>45955.48163</v>
      </c>
      <c r="AQ251" s="218">
        <f>IFERROR(__xludf.DUMMYFUNCTION("""COMPUTED_VALUE"""),45950.0)</f>
        <v>45950</v>
      </c>
      <c r="AR251" s="211"/>
      <c r="AS251" s="211"/>
      <c r="AT251" s="211"/>
      <c r="AU251" s="211"/>
      <c r="AV251" s="211"/>
      <c r="AW251" s="211"/>
      <c r="AX251" s="211"/>
      <c r="AY251" s="211"/>
      <c r="AZ251" s="211"/>
      <c r="BB251" s="211"/>
      <c r="BC251" s="211"/>
      <c r="BD251" s="211"/>
      <c r="BE251" s="211"/>
      <c r="BF251" s="211"/>
      <c r="BG251" s="211"/>
      <c r="BH251" s="211"/>
      <c r="BI251" s="211"/>
    </row>
    <row r="252">
      <c r="A252" s="210" t="str">
        <f>IFERROR(__xludf.DUMMYFUNCTION("""COMPUTED_VALUE"""),"11240117")</f>
        <v>11240117</v>
      </c>
      <c r="B252" s="210" t="str">
        <f>IFERROR(__xludf.DUMMYFUNCTION("""COMPUTED_VALUE"""),"11240117")</f>
        <v>11240117</v>
      </c>
      <c r="C252" s="213">
        <f>IFERROR(__xludf.DUMMYFUNCTION("""COMPUTED_VALUE"""),45617.680613425924)</f>
        <v>45617.68061</v>
      </c>
      <c r="D252" s="211" t="str">
        <f>IFERROR(__xludf.DUMMYFUNCTION("""COMPUTED_VALUE"""),"f8335a53")</f>
        <v>f8335a53</v>
      </c>
      <c r="E252" s="211" t="str">
        <f>IFERROR(__xludf.DUMMYFUNCTION("""COMPUTED_VALUE"""),"CV RAGAM JAYA ENGINEERING")</f>
        <v>CV RAGAM JAYA ENGINEERING</v>
      </c>
      <c r="F252" s="211" t="str">
        <f>IFERROR(__xludf.DUMMYFUNCTION("""COMPUTED_VALUE"""),"be525f3b")</f>
        <v>be525f3b</v>
      </c>
      <c r="G252" s="211" t="str">
        <f>IFERROR(__xludf.DUMMYFUNCTION("""COMPUTED_VALUE"""),"LPG 12kg")</f>
        <v>LPG 12kg</v>
      </c>
      <c r="H252" s="214" t="str">
        <f>IFERROR(__xludf.DUMMYFUNCTION("""COMPUTED_VALUE"""),"OUT")</f>
        <v>OUT</v>
      </c>
      <c r="I252" s="214" t="str">
        <f>IFERROR(__xludf.DUMMYFUNCTION("""COMPUTED_VALUE"""),"NORMAL")</f>
        <v>NORMAL</v>
      </c>
      <c r="J252" s="211">
        <f>IFERROR(__xludf.DUMMYFUNCTION("""COMPUTED_VALUE"""),2.0)</f>
        <v>2</v>
      </c>
      <c r="K252" s="211"/>
      <c r="L252" s="211">
        <f>IFERROR(__xludf.DUMMYFUNCTION("""COMPUTED_VALUE"""),225000.0)</f>
        <v>225000</v>
      </c>
      <c r="M252" s="211"/>
      <c r="N252" s="211"/>
      <c r="O252" s="211"/>
      <c r="Q252" s="210" t="str">
        <f>IFERROR(__xludf.DUMMYFUNCTION("""COMPUTED_VALUE"""),"89216099")</f>
        <v>89216099</v>
      </c>
      <c r="R252" s="210" t="str">
        <f>IFERROR(__xludf.DUMMYFUNCTION("""COMPUTED_VALUE"""),"89216099")</f>
        <v>89216099</v>
      </c>
      <c r="S252" s="211" t="str">
        <f>IFERROR(__xludf.DUMMYFUNCTION("""COMPUTED_VALUE"""),"8f5ebaea")</f>
        <v>8f5ebaea</v>
      </c>
      <c r="T252" s="211" t="str">
        <f>IFERROR(__xludf.DUMMYFUNCTION("""COMPUTED_VALUE"""),"PT Hua Zong Mesindo")</f>
        <v>PT Hua Zong Mesindo</v>
      </c>
      <c r="U252" s="215">
        <f>IFERROR(__xludf.DUMMYFUNCTION("""COMPUTED_VALUE"""),45636.478472222225)</f>
        <v>45636.47847</v>
      </c>
      <c r="V252" s="211" t="str">
        <f>IFERROR(__xludf.DUMMYFUNCTION("""COMPUTED_VALUE"""),"Jl. Bypass Krian, Sidotemo, Sidomulyo, Kec. Krian, Kabupaten Sidoarjo, Jawa Timur 61262")</f>
        <v>Jl. Bypass Krian, Sidotemo, Sidomulyo, Kec. Krian, Kabupaten Sidoarjo, Jawa Timur 61262</v>
      </c>
      <c r="W252" s="211" t="str">
        <f>IFERROR(__xludf.DUMMYFUNCTION("""COMPUTED_VALUE"""),"IN")</f>
        <v>IN</v>
      </c>
      <c r="X252" s="211"/>
      <c r="Z252" s="211" t="str">
        <f>IFERROR(__xludf.DUMMYFUNCTION("""COMPUTED_VALUE"""),"022692536")</f>
        <v>022692536</v>
      </c>
      <c r="AC252" s="211"/>
      <c r="AD252" s="211"/>
      <c r="AE252" s="211"/>
      <c r="AF252" s="211"/>
      <c r="AG252" s="211"/>
      <c r="AH252" s="211"/>
      <c r="AI252" s="211"/>
      <c r="AJ252" s="211"/>
      <c r="AL252" s="211" t="str">
        <f>IFERROR(__xludf.DUMMYFUNCTION("""COMPUTED_VALUE"""),"2250058")</f>
        <v>2250058</v>
      </c>
      <c r="AM252" s="211" t="str">
        <f>IFERROR(__xludf.DUMMYFUNCTION("""COMPUTED_VALUE"""),"1025581470")</f>
        <v>1025581470</v>
      </c>
      <c r="AN252" s="211" t="str">
        <f>IFERROR(__xludf.DUMMYFUNCTION("""COMPUTED_VALUE"""),"e86baf3b")</f>
        <v>e86baf3b</v>
      </c>
      <c r="AO252" s="211" t="str">
        <f>IFERROR(__xludf.DUMMYFUNCTION("""COMPUTED_VALUE"""),"PT GEMILANG CIPTA WAWASAN")</f>
        <v>PT GEMILANG CIPTA WAWASAN</v>
      </c>
      <c r="AP252" s="215">
        <f>IFERROR(__xludf.DUMMYFUNCTION("""COMPUTED_VALUE"""),45950.46736111111)</f>
        <v>45950.46736</v>
      </c>
      <c r="AQ252" s="218">
        <f>IFERROR(__xludf.DUMMYFUNCTION("""COMPUTED_VALUE"""),45947.0)</f>
        <v>45947</v>
      </c>
      <c r="AR252" s="211"/>
      <c r="AS252" s="211"/>
      <c r="AT252" s="211"/>
      <c r="AU252" s="211"/>
      <c r="AV252" s="211"/>
      <c r="AW252" s="211"/>
      <c r="AX252" s="211"/>
      <c r="AY252" s="211"/>
      <c r="AZ252" s="211"/>
      <c r="BB252" s="211"/>
      <c r="BC252" s="211"/>
      <c r="BD252" s="211"/>
      <c r="BE252" s="211"/>
      <c r="BF252" s="211"/>
      <c r="BG252" s="211"/>
      <c r="BH252" s="211"/>
      <c r="BI252" s="211"/>
    </row>
    <row r="253">
      <c r="A253" s="210" t="str">
        <f>IFERROR(__xludf.DUMMYFUNCTION("""COMPUTED_VALUE"""),"c633a11d")</f>
        <v>c633a11d</v>
      </c>
      <c r="B253" s="210" t="str">
        <f>IFERROR(__xludf.DUMMYFUNCTION("""COMPUTED_VALUE"""),"c633a11d")</f>
        <v>c633a11d</v>
      </c>
      <c r="C253" s="213">
        <f>IFERROR(__xludf.DUMMYFUNCTION("""COMPUTED_VALUE"""),45617.448958333334)</f>
        <v>45617.44896</v>
      </c>
      <c r="D253" s="211" t="str">
        <f>IFERROR(__xludf.DUMMYFUNCTION("""COMPUTED_VALUE"""),"72d9a70c")</f>
        <v>72d9a70c</v>
      </c>
      <c r="E253" s="211" t="str">
        <f>IFERROR(__xludf.DUMMYFUNCTION("""COMPUTED_VALUE"""),"PT Beton Prima Indonesia")</f>
        <v>PT Beton Prima Indonesia</v>
      </c>
      <c r="F253" s="211" t="str">
        <f>IFERROR(__xludf.DUMMYFUNCTION("""COMPUTED_VALUE"""),"8bdbe149")</f>
        <v>8bdbe149</v>
      </c>
      <c r="G253" s="211" t="str">
        <f>IFERROR(__xludf.DUMMYFUNCTION("""COMPUTED_VALUE"""),"Oksigen 6m3")</f>
        <v>Oksigen 6m3</v>
      </c>
      <c r="H253" s="214" t="str">
        <f>IFERROR(__xludf.DUMMYFUNCTION("""COMPUTED_VALUE"""),"IN")</f>
        <v>IN</v>
      </c>
      <c r="I253" s="214" t="str">
        <f>IFERROR(__xludf.DUMMYFUNCTION("""COMPUTED_VALUE"""),"EMPTY")</f>
        <v>EMPTY</v>
      </c>
      <c r="J253" s="211">
        <f>IFERROR(__xludf.DUMMYFUNCTION("""COMPUTED_VALUE"""),4.0)</f>
        <v>4</v>
      </c>
      <c r="K253" s="210" t="str">
        <f>IFERROR(__xludf.DUMMYFUNCTION("""COMPUTED_VALUE"""),"5493 1407 1189 1152")</f>
        <v>5493 1407 1189 1152</v>
      </c>
      <c r="L253" s="211"/>
      <c r="M253" s="211"/>
      <c r="N253" s="211"/>
      <c r="O253" s="211"/>
      <c r="Q253" s="210" t="str">
        <f>IFERROR(__xludf.DUMMYFUNCTION("""COMPUTED_VALUE"""),"cadad782")</f>
        <v>cadad782</v>
      </c>
      <c r="R253" s="210" t="str">
        <f>IFERROR(__xludf.DUMMYFUNCTION("""COMPUTED_VALUE"""),"cadad782")</f>
        <v>cadad782</v>
      </c>
      <c r="S253" s="211" t="str">
        <f>IFERROR(__xludf.DUMMYFUNCTION("""COMPUTED_VALUE"""),"7b9d8eba")</f>
        <v>7b9d8eba</v>
      </c>
      <c r="T253" s="211" t="str">
        <f>IFERROR(__xludf.DUMMYFUNCTION("""COMPUTED_VALUE"""),"PT PELANGI INDOKARYA")</f>
        <v>PT PELANGI INDOKARYA</v>
      </c>
      <c r="U253" s="215">
        <f>IFERROR(__xludf.DUMMYFUNCTION("""COMPUTED_VALUE"""),45636.48055555555)</f>
        <v>45636.48056</v>
      </c>
      <c r="V25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53" s="211" t="str">
        <f>IFERROR(__xludf.DUMMYFUNCTION("""COMPUTED_VALUE"""),"IN")</f>
        <v>IN</v>
      </c>
      <c r="X253" s="211"/>
      <c r="Z253" s="211" t="str">
        <f>IFERROR(__xludf.DUMMYFUNCTION("""COMPUTED_VALUE"""),"0226852535")</f>
        <v>0226852535</v>
      </c>
      <c r="AC253" s="211"/>
      <c r="AD253" s="211"/>
      <c r="AE253" s="211"/>
      <c r="AF253" s="211"/>
      <c r="AG253" s="211"/>
      <c r="AH253" s="211"/>
      <c r="AI253" s="211"/>
      <c r="AJ253" s="211"/>
      <c r="AL253" s="211" t="str">
        <f>IFERROR(__xludf.DUMMYFUNCTION("""COMPUTED_VALUE"""),"2250058")</f>
        <v>2250058</v>
      </c>
      <c r="AM253" s="211" t="str">
        <f>IFERROR(__xludf.DUMMYFUNCTION("""COMPUTED_VALUE"""),"1025591479")</f>
        <v>1025591479</v>
      </c>
      <c r="AN253" s="211" t="str">
        <f>IFERROR(__xludf.DUMMYFUNCTION("""COMPUTED_VALUE"""),"e86baf3b")</f>
        <v>e86baf3b</v>
      </c>
      <c r="AO253" s="211" t="str">
        <f>IFERROR(__xludf.DUMMYFUNCTION("""COMPUTED_VALUE"""),"PT GEMILANG CIPTA WAWASAN")</f>
        <v>PT GEMILANG CIPTA WAWASAN</v>
      </c>
      <c r="AP253" s="215">
        <f>IFERROR(__xludf.DUMMYFUNCTION("""COMPUTED_VALUE"""),45950.46736111111)</f>
        <v>45950.46736</v>
      </c>
      <c r="AQ253" s="218">
        <f>IFERROR(__xludf.DUMMYFUNCTION("""COMPUTED_VALUE"""),45948.0)</f>
        <v>45948</v>
      </c>
      <c r="AR253" s="211"/>
      <c r="AS253" s="211"/>
      <c r="AT253" s="211"/>
      <c r="AU253" s="211"/>
      <c r="AV253" s="211"/>
      <c r="AW253" s="211"/>
      <c r="AX253" s="211"/>
      <c r="AY253" s="211"/>
      <c r="AZ253" s="211"/>
      <c r="BB253" s="211"/>
      <c r="BC253" s="211"/>
      <c r="BD253" s="211"/>
      <c r="BE253" s="211"/>
      <c r="BF253" s="211"/>
      <c r="BG253" s="211"/>
      <c r="BH253" s="211"/>
      <c r="BI253" s="211"/>
    </row>
    <row r="254">
      <c r="A254" s="210" t="str">
        <f>IFERROR(__xludf.DUMMYFUNCTION("""COMPUTED_VALUE"""),"11240120")</f>
        <v>11240120</v>
      </c>
      <c r="B254" s="210" t="str">
        <f>IFERROR(__xludf.DUMMYFUNCTION("""COMPUTED_VALUE"""),"11240120")</f>
        <v>11240120</v>
      </c>
      <c r="C254" s="213">
        <f>IFERROR(__xludf.DUMMYFUNCTION("""COMPUTED_VALUE"""),45617.45196759259)</f>
        <v>45617.45197</v>
      </c>
      <c r="D254" s="211" t="str">
        <f>IFERROR(__xludf.DUMMYFUNCTION("""COMPUTED_VALUE"""),"8f5ebaea")</f>
        <v>8f5ebaea</v>
      </c>
      <c r="E254" s="211" t="str">
        <f>IFERROR(__xludf.DUMMYFUNCTION("""COMPUTED_VALUE"""),"PT Hua Zong Mesindo")</f>
        <v>PT Hua Zong Mesindo</v>
      </c>
      <c r="F254" s="211" t="str">
        <f>IFERROR(__xludf.DUMMYFUNCTION("""COMPUTED_VALUE"""),"66af7c72")</f>
        <v>66af7c72</v>
      </c>
      <c r="G254" s="211" t="str">
        <f>IFERROR(__xludf.DUMMYFUNCTION("""COMPUTED_VALUE"""),"Argon 6m3")</f>
        <v>Argon 6m3</v>
      </c>
      <c r="H254" s="214" t="str">
        <f>IFERROR(__xludf.DUMMYFUNCTION("""COMPUTED_VALUE"""),"OUT")</f>
        <v>OUT</v>
      </c>
      <c r="I254" s="214" t="str">
        <f>IFERROR(__xludf.DUMMYFUNCTION("""COMPUTED_VALUE"""),"NORMAL")</f>
        <v>NORMAL</v>
      </c>
      <c r="J254" s="211">
        <f>IFERROR(__xludf.DUMMYFUNCTION("""COMPUTED_VALUE"""),3.0)</f>
        <v>3</v>
      </c>
      <c r="K254" s="210" t="str">
        <f>IFERROR(__xludf.DUMMYFUNCTION("""COMPUTED_VALUE"""),"12008 12007 12004")</f>
        <v>12008 12007 12004</v>
      </c>
      <c r="L254" s="211">
        <f>IFERROR(__xludf.DUMMYFUNCTION("""COMPUTED_VALUE"""),190000.0)</f>
        <v>190000</v>
      </c>
      <c r="M254" s="211"/>
      <c r="N254" s="211"/>
      <c r="O254" s="211"/>
      <c r="Q254" s="210" t="str">
        <f>IFERROR(__xludf.DUMMYFUNCTION("""COMPUTED_VALUE"""),"a0f763e4")</f>
        <v>a0f763e4</v>
      </c>
      <c r="R254" s="210" t="str">
        <f>IFERROR(__xludf.DUMMYFUNCTION("""COMPUTED_VALUE"""),"a0f763e4")</f>
        <v>a0f763e4</v>
      </c>
      <c r="S254" s="211" t="str">
        <f>IFERROR(__xludf.DUMMYFUNCTION("""COMPUTED_VALUE"""),"4ec68cf6")</f>
        <v>4ec68cf6</v>
      </c>
      <c r="T254" s="211" t="str">
        <f>IFERROR(__xludf.DUMMYFUNCTION("""COMPUTED_VALUE"""),"CV Sido Mukti Karya")</f>
        <v>CV Sido Mukti Karya</v>
      </c>
      <c r="U254" s="215">
        <f>IFERROR(__xludf.DUMMYFUNCTION("""COMPUTED_VALUE"""),45636.48055555555)</f>
        <v>45636.48056</v>
      </c>
      <c r="V254" s="211" t="str">
        <f>IFERROR(__xludf.DUMMYFUNCTION("""COMPUTED_VALUE"""),"Pergudangan Center Point no A3, Kemangsen")</f>
        <v>Pergudangan Center Point no A3, Kemangsen</v>
      </c>
      <c r="W254" s="211" t="str">
        <f>IFERROR(__xludf.DUMMYFUNCTION("""COMPUTED_VALUE"""),"IN")</f>
        <v>IN</v>
      </c>
      <c r="X254" s="211"/>
      <c r="Z254" s="211" t="str">
        <f>IFERROR(__xludf.DUMMYFUNCTION("""COMPUTED_VALUE"""),"022682528")</f>
        <v>022682528</v>
      </c>
      <c r="AC254" s="211"/>
      <c r="AD254" s="211"/>
      <c r="AE254" s="211"/>
      <c r="AF254" s="211"/>
      <c r="AG254" s="211"/>
      <c r="AH254" s="211"/>
      <c r="AI254" s="211"/>
      <c r="AJ254" s="211"/>
      <c r="AL254" s="211" t="str">
        <f>IFERROR(__xludf.DUMMYFUNCTION("""COMPUTED_VALUE"""),"2250055")</f>
        <v>2250055</v>
      </c>
      <c r="AM254" s="211" t="str">
        <f>IFERROR(__xludf.DUMMYFUNCTION("""COMPUTED_VALUE"""),"1025551394")</f>
        <v>1025551394</v>
      </c>
      <c r="AN254" s="211" t="str">
        <f>IFERROR(__xludf.DUMMYFUNCTION("""COMPUTED_VALUE"""),"e86baf3b")</f>
        <v>e86baf3b</v>
      </c>
      <c r="AO254" s="211" t="str">
        <f>IFERROR(__xludf.DUMMYFUNCTION("""COMPUTED_VALUE"""),"PT GEMILANG CIPTA WAWASAN")</f>
        <v>PT GEMILANG CIPTA WAWASAN</v>
      </c>
      <c r="AP254" s="215">
        <f>IFERROR(__xludf.DUMMYFUNCTION("""COMPUTED_VALUE"""),45950.4672337963)</f>
        <v>45950.46723</v>
      </c>
      <c r="AQ254" s="218">
        <f>IFERROR(__xludf.DUMMYFUNCTION("""COMPUTED_VALUE"""),45936.0)</f>
        <v>45936</v>
      </c>
      <c r="AR254" s="211"/>
      <c r="AS254" s="211"/>
      <c r="AT254" s="211"/>
      <c r="AU254" s="211"/>
      <c r="AV254" s="211"/>
      <c r="AW254" s="211"/>
      <c r="AX254" s="211"/>
      <c r="AY254" s="211"/>
      <c r="AZ254" s="211"/>
      <c r="BB254" s="211"/>
      <c r="BC254" s="211"/>
      <c r="BD254" s="211"/>
      <c r="BE254" s="211"/>
      <c r="BF254" s="211"/>
      <c r="BG254" s="211"/>
      <c r="BH254" s="211"/>
      <c r="BI254" s="211"/>
    </row>
    <row r="255">
      <c r="A255" s="210" t="str">
        <f>IFERROR(__xludf.DUMMYFUNCTION("""COMPUTED_VALUE"""),"11240120")</f>
        <v>11240120</v>
      </c>
      <c r="B255" s="210" t="str">
        <f>IFERROR(__xludf.DUMMYFUNCTION("""COMPUTED_VALUE"""),"11240120")</f>
        <v>11240120</v>
      </c>
      <c r="C255" s="213">
        <f>IFERROR(__xludf.DUMMYFUNCTION("""COMPUTED_VALUE"""),45617.45248842592)</f>
        <v>45617.45249</v>
      </c>
      <c r="D255" s="211" t="str">
        <f>IFERROR(__xludf.DUMMYFUNCTION("""COMPUTED_VALUE"""),"8f5ebaea")</f>
        <v>8f5ebaea</v>
      </c>
      <c r="E255" s="211" t="str">
        <f>IFERROR(__xludf.DUMMYFUNCTION("""COMPUTED_VALUE"""),"PT Hua Zong Mesindo")</f>
        <v>PT Hua Zong Mesindo</v>
      </c>
      <c r="F255" s="211" t="str">
        <f>IFERROR(__xludf.DUMMYFUNCTION("""COMPUTED_VALUE"""),"8bdbe149")</f>
        <v>8bdbe149</v>
      </c>
      <c r="G255" s="211" t="str">
        <f>IFERROR(__xludf.DUMMYFUNCTION("""COMPUTED_VALUE"""),"Oksigen 6m3")</f>
        <v>Oksigen 6m3</v>
      </c>
      <c r="H255" s="214" t="str">
        <f>IFERROR(__xludf.DUMMYFUNCTION("""COMPUTED_VALUE"""),"OUT")</f>
        <v>OUT</v>
      </c>
      <c r="I255" s="214" t="str">
        <f>IFERROR(__xludf.DUMMYFUNCTION("""COMPUTED_VALUE"""),"NORMAL")</f>
        <v>NORMAL</v>
      </c>
      <c r="J255" s="211">
        <f>IFERROR(__xludf.DUMMYFUNCTION("""COMPUTED_VALUE"""),4.0)</f>
        <v>4</v>
      </c>
      <c r="K255" s="210" t="str">
        <f>IFERROR(__xludf.DUMMYFUNCTION("""COMPUTED_VALUE"""),"1134 1120 11103 1181")</f>
        <v>1134 1120 11103 1181</v>
      </c>
      <c r="L255" s="211">
        <f>IFERROR(__xludf.DUMMYFUNCTION("""COMPUTED_VALUE"""),60000.0)</f>
        <v>60000</v>
      </c>
      <c r="M255" s="211"/>
      <c r="N255" s="211"/>
      <c r="O255" s="211"/>
      <c r="Q255" s="210" t="str">
        <f>IFERROR(__xludf.DUMMYFUNCTION("""COMPUTED_VALUE"""),"d21a743e")</f>
        <v>d21a743e</v>
      </c>
      <c r="R255" s="210" t="str">
        <f>IFERROR(__xludf.DUMMYFUNCTION("""COMPUTED_VALUE"""),"d21a743e")</f>
        <v>d21a743e</v>
      </c>
      <c r="S255" s="211" t="str">
        <f>IFERROR(__xludf.DUMMYFUNCTION("""COMPUTED_VALUE"""),"f8335a53")</f>
        <v>f8335a53</v>
      </c>
      <c r="T255" s="211" t="str">
        <f>IFERROR(__xludf.DUMMYFUNCTION("""COMPUTED_VALUE"""),"CV RAGAM JAYA ENGINEERING")</f>
        <v>CV RAGAM JAYA ENGINEERING</v>
      </c>
      <c r="U255" s="215">
        <f>IFERROR(__xludf.DUMMYFUNCTION("""COMPUTED_VALUE"""),45636.64444444445)</f>
        <v>45636.64444</v>
      </c>
      <c r="V255" s="211" t="str">
        <f>IFERROR(__xludf.DUMMYFUNCTION("""COMPUTED_VALUE"""),"Jl. Balung wangon, Dadapkuning, Bulurejo, Kec. Benjeng, Kabupaten Gresik, Jawa Timur 61172")</f>
        <v>Jl. Balung wangon, Dadapkuning, Bulurejo, Kec. Benjeng, Kabupaten Gresik, Jawa Timur 61172</v>
      </c>
      <c r="W255" s="211" t="str">
        <f>IFERROR(__xludf.DUMMYFUNCTION("""COMPUTED_VALUE"""),"IN")</f>
        <v>IN</v>
      </c>
      <c r="X255" s="211"/>
      <c r="Z255" s="211" t="str">
        <f>IFERROR(__xludf.DUMMYFUNCTION("""COMPUTED_VALUE"""),"0226102527")</f>
        <v>0226102527</v>
      </c>
      <c r="AC255" s="211"/>
      <c r="AD255" s="211"/>
      <c r="AE255" s="211"/>
      <c r="AF255" s="211"/>
      <c r="AG255" s="211"/>
      <c r="AH255" s="211"/>
      <c r="AI255" s="211"/>
      <c r="AJ255" s="211"/>
      <c r="AL255" s="211" t="str">
        <f>IFERROR(__xludf.DUMMYFUNCTION("""COMPUTED_VALUE"""),"2250055")</f>
        <v>2250055</v>
      </c>
      <c r="AM255" s="211" t="str">
        <f>IFERROR(__xludf.DUMMYFUNCTION("""COMPUTED_VALUE"""),"1025561409")</f>
        <v>1025561409</v>
      </c>
      <c r="AN255" s="211" t="str">
        <f>IFERROR(__xludf.DUMMYFUNCTION("""COMPUTED_VALUE"""),"e86baf3b")</f>
        <v>e86baf3b</v>
      </c>
      <c r="AO255" s="211" t="str">
        <f>IFERROR(__xludf.DUMMYFUNCTION("""COMPUTED_VALUE"""),"PT GEMILANG CIPTA WAWASAN")</f>
        <v>PT GEMILANG CIPTA WAWASAN</v>
      </c>
      <c r="AP255" s="215">
        <f>IFERROR(__xludf.DUMMYFUNCTION("""COMPUTED_VALUE"""),45950.4672337963)</f>
        <v>45950.46723</v>
      </c>
      <c r="AQ255" s="218">
        <f>IFERROR(__xludf.DUMMYFUNCTION("""COMPUTED_VALUE"""),45938.0)</f>
        <v>45938</v>
      </c>
      <c r="AR255" s="211"/>
      <c r="AS255" s="211"/>
      <c r="AT255" s="211"/>
      <c r="AU255" s="211"/>
      <c r="AV255" s="211"/>
      <c r="AW255" s="211"/>
      <c r="AX255" s="211"/>
      <c r="AY255" s="211"/>
      <c r="AZ255" s="211"/>
      <c r="BB255" s="211"/>
      <c r="BC255" s="211"/>
      <c r="BD255" s="211"/>
      <c r="BE255" s="211"/>
      <c r="BF255" s="211"/>
      <c r="BG255" s="211"/>
      <c r="BH255" s="211"/>
      <c r="BI255" s="211"/>
    </row>
    <row r="256">
      <c r="A256" s="210" t="str">
        <f>IFERROR(__xludf.DUMMYFUNCTION("""COMPUTED_VALUE"""),"c633a11d")</f>
        <v>c633a11d</v>
      </c>
      <c r="B256" s="210" t="str">
        <f>IFERROR(__xludf.DUMMYFUNCTION("""COMPUTED_VALUE"""),"c633a11d")</f>
        <v>c633a11d</v>
      </c>
      <c r="C256" s="213">
        <f>IFERROR(__xludf.DUMMYFUNCTION("""COMPUTED_VALUE"""),45617.447916666664)</f>
        <v>45617.44792</v>
      </c>
      <c r="D256" s="211" t="str">
        <f>IFERROR(__xludf.DUMMYFUNCTION("""COMPUTED_VALUE"""),"72d9a70c")</f>
        <v>72d9a70c</v>
      </c>
      <c r="E256" s="211" t="str">
        <f>IFERROR(__xludf.DUMMYFUNCTION("""COMPUTED_VALUE"""),"PT Beton Prima Indonesia")</f>
        <v>PT Beton Prima Indonesia</v>
      </c>
      <c r="F256" s="211" t="str">
        <f>IFERROR(__xludf.DUMMYFUNCTION("""COMPUTED_VALUE"""),"3b9d6a30")</f>
        <v>3b9d6a30</v>
      </c>
      <c r="G256" s="211" t="str">
        <f>IFERROR(__xludf.DUMMYFUNCTION("""COMPUTED_VALUE"""),"Acetyline")</f>
        <v>Acetyline</v>
      </c>
      <c r="H256" s="214" t="str">
        <f>IFERROR(__xludf.DUMMYFUNCTION("""COMPUTED_VALUE"""),"IN")</f>
        <v>IN</v>
      </c>
      <c r="I256" s="214" t="str">
        <f>IFERROR(__xludf.DUMMYFUNCTION("""COMPUTED_VALUE"""),"EMPTY")</f>
        <v>EMPTY</v>
      </c>
      <c r="J256" s="211">
        <f>IFERROR(__xludf.DUMMYFUNCTION("""COMPUTED_VALUE"""),5.0)</f>
        <v>5</v>
      </c>
      <c r="K256" s="210" t="str">
        <f>IFERROR(__xludf.DUMMYFUNCTION("""COMPUTED_VALUE"""),"7938 7975 7843 7836 7968")</f>
        <v>7938 7975 7843 7836 7968</v>
      </c>
      <c r="L256" s="211"/>
      <c r="M256" s="211"/>
      <c r="N256" s="211"/>
      <c r="O256" s="211"/>
      <c r="Q256" s="210" t="str">
        <f>IFERROR(__xludf.DUMMYFUNCTION("""COMPUTED_VALUE"""),"dc84ecc4")</f>
        <v>dc84ecc4</v>
      </c>
      <c r="R256" s="210" t="str">
        <f>IFERROR(__xludf.DUMMYFUNCTION("""COMPUTED_VALUE"""),"dc84ecc4")</f>
        <v>dc84ecc4</v>
      </c>
      <c r="S256" s="211" t="str">
        <f>IFERROR(__xludf.DUMMYFUNCTION("""COMPUTED_VALUE"""),"72d9a70c")</f>
        <v>72d9a70c</v>
      </c>
      <c r="T256" s="211" t="str">
        <f>IFERROR(__xludf.DUMMYFUNCTION("""COMPUTED_VALUE"""),"PT Beton Prima Indonesia")</f>
        <v>PT Beton Prima Indonesia</v>
      </c>
      <c r="U256" s="215">
        <f>IFERROR(__xludf.DUMMYFUNCTION("""COMPUTED_VALUE"""),45636.77013888889)</f>
        <v>45636.77014</v>
      </c>
      <c r="V256" s="211" t="str">
        <f>IFERROR(__xludf.DUMMYFUNCTION("""COMPUTED_VALUE"""),"KH. Ahmad Dahlan KM.2 Ds. Sumberwono, Kec. Bangsal, Kab. Mojokerto 61381")</f>
        <v>KH. Ahmad Dahlan KM.2 Ds. Sumberwono, Kec. Bangsal, Kab. Mojokerto 61381</v>
      </c>
      <c r="W256" s="211" t="str">
        <f>IFERROR(__xludf.DUMMYFUNCTION("""COMPUTED_VALUE"""),"IN")</f>
        <v>IN</v>
      </c>
      <c r="X256" s="211"/>
      <c r="Z256" s="211" t="str">
        <f>IFERROR(__xludf.DUMMYFUNCTION("""COMPUTED_VALUE"""),"022642526")</f>
        <v>022642526</v>
      </c>
      <c r="AC256" s="211"/>
      <c r="AD256" s="211"/>
      <c r="AE256" s="211"/>
      <c r="AF256" s="211"/>
      <c r="AG256" s="211"/>
      <c r="AH256" s="211"/>
      <c r="AI256" s="211"/>
      <c r="AJ256" s="211"/>
      <c r="AL256" s="211" t="str">
        <f>IFERROR(__xludf.DUMMYFUNCTION("""COMPUTED_VALUE"""),"2250055")</f>
        <v>2250055</v>
      </c>
      <c r="AM256" s="211" t="str">
        <f>IFERROR(__xludf.DUMMYFUNCTION("""COMPUTED_VALUE"""),"1025571423")</f>
        <v>1025571423</v>
      </c>
      <c r="AN256" s="211" t="str">
        <f>IFERROR(__xludf.DUMMYFUNCTION("""COMPUTED_VALUE"""),"e86baf3b")</f>
        <v>e86baf3b</v>
      </c>
      <c r="AO256" s="211" t="str">
        <f>IFERROR(__xludf.DUMMYFUNCTION("""COMPUTED_VALUE"""),"PT GEMILANG CIPTA WAWASAN")</f>
        <v>PT GEMILANG CIPTA WAWASAN</v>
      </c>
      <c r="AP256" s="215">
        <f>IFERROR(__xludf.DUMMYFUNCTION("""COMPUTED_VALUE"""),45950.4672337963)</f>
        <v>45950.46723</v>
      </c>
      <c r="AQ256" s="218">
        <f>IFERROR(__xludf.DUMMYFUNCTION("""COMPUTED_VALUE"""),45941.0)</f>
        <v>45941</v>
      </c>
      <c r="AR256" s="211"/>
      <c r="AS256" s="211"/>
      <c r="AT256" s="211"/>
      <c r="AU256" s="211"/>
      <c r="AV256" s="211"/>
      <c r="AW256" s="211"/>
      <c r="AX256" s="211"/>
      <c r="AY256" s="211"/>
      <c r="AZ256" s="211"/>
      <c r="BB256" s="211"/>
      <c r="BC256" s="211"/>
      <c r="BD256" s="211"/>
      <c r="BE256" s="211"/>
      <c r="BF256" s="211"/>
      <c r="BG256" s="211"/>
      <c r="BH256" s="211"/>
      <c r="BI256" s="211"/>
    </row>
    <row r="257">
      <c r="A257" s="210" t="str">
        <f>IFERROR(__xludf.DUMMYFUNCTION("""COMPUTED_VALUE"""),"7980caf9")</f>
        <v>7980caf9</v>
      </c>
      <c r="B257" s="210" t="str">
        <f>IFERROR(__xludf.DUMMYFUNCTION("""COMPUTED_VALUE"""),"7980caf9")</f>
        <v>7980caf9</v>
      </c>
      <c r="C257" s="213">
        <f>IFERROR(__xludf.DUMMYFUNCTION("""COMPUTED_VALUE"""),45617.46548611111)</f>
        <v>45617.46549</v>
      </c>
      <c r="D257" s="211" t="str">
        <f>IFERROR(__xludf.DUMMYFUNCTION("""COMPUTED_VALUE"""),"f8335a53")</f>
        <v>f8335a53</v>
      </c>
      <c r="E257" s="211" t="str">
        <f>IFERROR(__xludf.DUMMYFUNCTION("""COMPUTED_VALUE"""),"CV RAGAM JAYA ENGINEERING")</f>
        <v>CV RAGAM JAYA ENGINEERING</v>
      </c>
      <c r="F257" s="211" t="str">
        <f>IFERROR(__xludf.DUMMYFUNCTION("""COMPUTED_VALUE"""),"8bdbe149")</f>
        <v>8bdbe149</v>
      </c>
      <c r="G257" s="211" t="str">
        <f>IFERROR(__xludf.DUMMYFUNCTION("""COMPUTED_VALUE"""),"Oksigen 6m3")</f>
        <v>Oksigen 6m3</v>
      </c>
      <c r="H257" s="214" t="str">
        <f>IFERROR(__xludf.DUMMYFUNCTION("""COMPUTED_VALUE"""),"IN")</f>
        <v>IN</v>
      </c>
      <c r="I257" s="214" t="str">
        <f>IFERROR(__xludf.DUMMYFUNCTION("""COMPUTED_VALUE"""),"EMPTY")</f>
        <v>EMPTY</v>
      </c>
      <c r="J257" s="211">
        <f>IFERROR(__xludf.DUMMYFUNCTION("""COMPUTED_VALUE"""),9.0)</f>
        <v>9</v>
      </c>
      <c r="K257" s="210" t="str">
        <f>IFERROR(__xludf.DUMMYFUNCTION("""COMPUTED_VALUE"""),"1107 11125 1127 1132 5916 1542 5570 5461 5877")</f>
        <v>1107 11125 1127 1132 5916 1542 5570 5461 5877</v>
      </c>
      <c r="L257" s="211"/>
      <c r="M257" s="211"/>
      <c r="N257" s="211"/>
      <c r="O257" s="211"/>
      <c r="Q257" s="210" t="str">
        <f>IFERROR(__xludf.DUMMYFUNCTION("""COMPUTED_VALUE"""),"12240163")</f>
        <v>12240163</v>
      </c>
      <c r="R257" s="210" t="str">
        <f>IFERROR(__xludf.DUMMYFUNCTION("""COMPUTED_VALUE"""),"12240163")</f>
        <v>12240163</v>
      </c>
      <c r="S257" s="211" t="str">
        <f>IFERROR(__xludf.DUMMYFUNCTION("""COMPUTED_VALUE"""),"f8335a53")</f>
        <v>f8335a53</v>
      </c>
      <c r="T257" s="211" t="str">
        <f>IFERROR(__xludf.DUMMYFUNCTION("""COMPUTED_VALUE"""),"CV RAGAM JAYA ENGINEERING")</f>
        <v>CV RAGAM JAYA ENGINEERING</v>
      </c>
      <c r="U257" s="215">
        <f>IFERROR(__xludf.DUMMYFUNCTION("""COMPUTED_VALUE"""),45638.57152777778)</f>
        <v>45638.57153</v>
      </c>
      <c r="V257" s="211" t="str">
        <f>IFERROR(__xludf.DUMMYFUNCTION("""COMPUTED_VALUE"""),"Jl. Balung wangon, Dadapkuning, Bulurejo, Kec. Benjeng, Kabupaten Gresik, Jawa Timur 61172")</f>
        <v>Jl. Balung wangon, Dadapkuning, Bulurejo, Kec. Benjeng, Kabupaten Gresik, Jawa Timur 61172</v>
      </c>
      <c r="W257" s="211" t="str">
        <f>IFERROR(__xludf.DUMMYFUNCTION("""COMPUTED_VALUE"""),"OUT")</f>
        <v>OUT</v>
      </c>
      <c r="X257" s="211"/>
      <c r="Z257" s="211" t="str">
        <f>IFERROR(__xludf.DUMMYFUNCTION("""COMPUTED_VALUE"""),"022642525")</f>
        <v>022642525</v>
      </c>
      <c r="AC257" s="211"/>
      <c r="AD257" s="211"/>
      <c r="AE257" s="211"/>
      <c r="AF257" s="211"/>
      <c r="AG257" s="211"/>
      <c r="AH257" s="211"/>
      <c r="AI257" s="211"/>
      <c r="AJ257" s="211"/>
      <c r="AL257" s="211" t="str">
        <f>IFERROR(__xludf.DUMMYFUNCTION("""COMPUTED_VALUE"""),"2250049")</f>
        <v>2250049</v>
      </c>
      <c r="AM257" s="211" t="str">
        <f>IFERROR(__xludf.DUMMYFUNCTION("""COMPUTED_VALUE"""),"0925531344")</f>
        <v>0925531344</v>
      </c>
      <c r="AN257" s="211" t="str">
        <f>IFERROR(__xludf.DUMMYFUNCTION("""COMPUTED_VALUE"""),"e86baf3b")</f>
        <v>e86baf3b</v>
      </c>
      <c r="AO257" s="211" t="str">
        <f>IFERROR(__xludf.DUMMYFUNCTION("""COMPUTED_VALUE"""),"PT GEMILANG CIPTA WAWASAN")</f>
        <v>PT GEMILANG CIPTA WAWASAN</v>
      </c>
      <c r="AP257" s="215">
        <f>IFERROR(__xludf.DUMMYFUNCTION("""COMPUTED_VALUE"""),45938.56055555555)</f>
        <v>45938.56056</v>
      </c>
      <c r="AQ257" s="218">
        <f>IFERROR(__xludf.DUMMYFUNCTION("""COMPUTED_VALUE"""),45927.0)</f>
        <v>45927</v>
      </c>
      <c r="AR257" s="211"/>
      <c r="AS257" s="211"/>
      <c r="AT257" s="211"/>
      <c r="AU257" s="211"/>
      <c r="AV257" s="211"/>
      <c r="AW257" s="211"/>
      <c r="AX257" s="211"/>
      <c r="AY257" s="211"/>
      <c r="AZ257" s="211"/>
      <c r="BB257" s="211"/>
      <c r="BC257" s="211"/>
      <c r="BD257" s="211"/>
      <c r="BE257" s="211"/>
      <c r="BF257" s="211"/>
      <c r="BG257" s="211"/>
      <c r="BH257" s="211"/>
      <c r="BI257" s="211"/>
    </row>
    <row r="258">
      <c r="A258" s="210" t="str">
        <f>IFERROR(__xludf.DUMMYFUNCTION("""COMPUTED_VALUE"""),"7980caf9")</f>
        <v>7980caf9</v>
      </c>
      <c r="B258" s="210" t="str">
        <f>IFERROR(__xludf.DUMMYFUNCTION("""COMPUTED_VALUE"""),"7980caf9")</f>
        <v>7980caf9</v>
      </c>
      <c r="C258" s="213">
        <f>IFERROR(__xludf.DUMMYFUNCTION("""COMPUTED_VALUE"""),45617.46655092593)</f>
        <v>45617.46655</v>
      </c>
      <c r="D258" s="211" t="str">
        <f>IFERROR(__xludf.DUMMYFUNCTION("""COMPUTED_VALUE"""),"f8335a53")</f>
        <v>f8335a53</v>
      </c>
      <c r="E258" s="211" t="str">
        <f>IFERROR(__xludf.DUMMYFUNCTION("""COMPUTED_VALUE"""),"CV RAGAM JAYA ENGINEERING")</f>
        <v>CV RAGAM JAYA ENGINEERING</v>
      </c>
      <c r="F258" s="211" t="str">
        <f>IFERROR(__xludf.DUMMYFUNCTION("""COMPUTED_VALUE"""),"ef306e54")</f>
        <v>ef306e54</v>
      </c>
      <c r="G258" s="211" t="str">
        <f>IFERROR(__xludf.DUMMYFUNCTION("""COMPUTED_VALUE"""),"Karbondioksida")</f>
        <v>Karbondioksida</v>
      </c>
      <c r="H258" s="214" t="str">
        <f>IFERROR(__xludf.DUMMYFUNCTION("""COMPUTED_VALUE"""),"IN")</f>
        <v>IN</v>
      </c>
      <c r="I258" s="214" t="str">
        <f>IFERROR(__xludf.DUMMYFUNCTION("""COMPUTED_VALUE"""),"EMPTY")</f>
        <v>EMPTY</v>
      </c>
      <c r="J258" s="211">
        <f>IFERROR(__xludf.DUMMYFUNCTION("""COMPUTED_VALUE"""),2.0)</f>
        <v>2</v>
      </c>
      <c r="K258" s="210" t="str">
        <f>IFERROR(__xludf.DUMMYFUNCTION("""COMPUTED_VALUE"""),"6929 6971")</f>
        <v>6929 6971</v>
      </c>
      <c r="L258" s="211"/>
      <c r="M258" s="211"/>
      <c r="N258" s="211"/>
      <c r="O258" s="211"/>
      <c r="Q258" s="210" t="str">
        <f>IFERROR(__xludf.DUMMYFUNCTION("""COMPUTED_VALUE"""),"83b4e844")</f>
        <v>83b4e844</v>
      </c>
      <c r="R258" s="210" t="str">
        <f>IFERROR(__xludf.DUMMYFUNCTION("""COMPUTED_VALUE"""),"83b4e844")</f>
        <v>83b4e844</v>
      </c>
      <c r="S258" s="211" t="str">
        <f>IFERROR(__xludf.DUMMYFUNCTION("""COMPUTED_VALUE"""),"f8335a53")</f>
        <v>f8335a53</v>
      </c>
      <c r="T258" s="211" t="str">
        <f>IFERROR(__xludf.DUMMYFUNCTION("""COMPUTED_VALUE"""),"CV RAGAM JAYA ENGINEERING")</f>
        <v>CV RAGAM JAYA ENGINEERING</v>
      </c>
      <c r="U258" s="215">
        <f>IFERROR(__xludf.DUMMYFUNCTION("""COMPUTED_VALUE"""),45638.66875)</f>
        <v>45638.66875</v>
      </c>
      <c r="V258" s="211" t="str">
        <f>IFERROR(__xludf.DUMMYFUNCTION("""COMPUTED_VALUE"""),"Jl. Balung wangon, Dadapkuning, Bulurejo, Kec. Benjeng, Kabupaten Gresik, Jawa Timur 61172")</f>
        <v>Jl. Balung wangon, Dadapkuning, Bulurejo, Kec. Benjeng, Kabupaten Gresik, Jawa Timur 61172</v>
      </c>
      <c r="W258" s="211" t="str">
        <f>IFERROR(__xludf.DUMMYFUNCTION("""COMPUTED_VALUE"""),"IN")</f>
        <v>IN</v>
      </c>
      <c r="X258" s="211"/>
      <c r="Z258" s="211" t="str">
        <f>IFERROR(__xludf.DUMMYFUNCTION("""COMPUTED_VALUE"""),"0226142524")</f>
        <v>0226142524</v>
      </c>
      <c r="AC258" s="211"/>
      <c r="AD258" s="211"/>
      <c r="AE258" s="211"/>
      <c r="AF258" s="211"/>
      <c r="AG258" s="211"/>
      <c r="AH258" s="211"/>
      <c r="AI258" s="211"/>
      <c r="AJ258" s="211"/>
      <c r="AL258" s="211" t="str">
        <f>IFERROR(__xludf.DUMMYFUNCTION("""COMPUTED_VALUE"""),"2250049")</f>
        <v>2250049</v>
      </c>
      <c r="AM258" s="211" t="str">
        <f>IFERROR(__xludf.DUMMYFUNCTION("""COMPUTED_VALUE"""),"0925541361")</f>
        <v>0925541361</v>
      </c>
      <c r="AN258" s="211" t="str">
        <f>IFERROR(__xludf.DUMMYFUNCTION("""COMPUTED_VALUE"""),"e86baf3b")</f>
        <v>e86baf3b</v>
      </c>
      <c r="AO258" s="211" t="str">
        <f>IFERROR(__xludf.DUMMYFUNCTION("""COMPUTED_VALUE"""),"PT GEMILANG CIPTA WAWASAN")</f>
        <v>PT GEMILANG CIPTA WAWASAN</v>
      </c>
      <c r="AP258" s="215">
        <f>IFERROR(__xludf.DUMMYFUNCTION("""COMPUTED_VALUE"""),45938.56055555555)</f>
        <v>45938.56056</v>
      </c>
      <c r="AQ258" s="218">
        <f>IFERROR(__xludf.DUMMYFUNCTION("""COMPUTED_VALUE"""),45930.0)</f>
        <v>45930</v>
      </c>
      <c r="AR258" s="211"/>
      <c r="AS258" s="211"/>
      <c r="AT258" s="211"/>
      <c r="AU258" s="211"/>
      <c r="AV258" s="211"/>
      <c r="AW258" s="211"/>
      <c r="AX258" s="211"/>
      <c r="AY258" s="211"/>
      <c r="AZ258" s="211"/>
      <c r="BB258" s="211"/>
      <c r="BC258" s="211"/>
      <c r="BD258" s="211"/>
      <c r="BE258" s="211"/>
      <c r="BF258" s="211"/>
      <c r="BG258" s="211"/>
      <c r="BH258" s="211"/>
      <c r="BI258" s="211"/>
    </row>
    <row r="259">
      <c r="A259" s="210" t="str">
        <f>IFERROR(__xludf.DUMMYFUNCTION("""COMPUTED_VALUE"""),"7980caf9")</f>
        <v>7980caf9</v>
      </c>
      <c r="B259" s="210" t="str">
        <f>IFERROR(__xludf.DUMMYFUNCTION("""COMPUTED_VALUE"""),"7980caf9")</f>
        <v>7980caf9</v>
      </c>
      <c r="C259" s="213">
        <f>IFERROR(__xludf.DUMMYFUNCTION("""COMPUTED_VALUE"""),45617.46697916667)</f>
        <v>45617.46698</v>
      </c>
      <c r="D259" s="211" t="str">
        <f>IFERROR(__xludf.DUMMYFUNCTION("""COMPUTED_VALUE"""),"f8335a53")</f>
        <v>f8335a53</v>
      </c>
      <c r="E259" s="211" t="str">
        <f>IFERROR(__xludf.DUMMYFUNCTION("""COMPUTED_VALUE"""),"CV RAGAM JAYA ENGINEERING")</f>
        <v>CV RAGAM JAYA ENGINEERING</v>
      </c>
      <c r="F259" s="211" t="str">
        <f>IFERROR(__xludf.DUMMYFUNCTION("""COMPUTED_VALUE"""),"be525f3b")</f>
        <v>be525f3b</v>
      </c>
      <c r="G259" s="211" t="str">
        <f>IFERROR(__xludf.DUMMYFUNCTION("""COMPUTED_VALUE"""),"LPG 12kg")</f>
        <v>LPG 12kg</v>
      </c>
      <c r="H259" s="214" t="str">
        <f>IFERROR(__xludf.DUMMYFUNCTION("""COMPUTED_VALUE"""),"IN")</f>
        <v>IN</v>
      </c>
      <c r="I259" s="214" t="str">
        <f>IFERROR(__xludf.DUMMYFUNCTION("""COMPUTED_VALUE"""),"EMPTY")</f>
        <v>EMPTY</v>
      </c>
      <c r="J259" s="211">
        <f>IFERROR(__xludf.DUMMYFUNCTION("""COMPUTED_VALUE"""),1.0)</f>
        <v>1</v>
      </c>
      <c r="K259" s="211"/>
      <c r="L259" s="211"/>
      <c r="M259" s="211"/>
      <c r="N259" s="211"/>
      <c r="O259" s="211"/>
      <c r="Q259" s="210" t="str">
        <f>IFERROR(__xludf.DUMMYFUNCTION("""COMPUTED_VALUE"""),"12240166")</f>
        <v>12240166</v>
      </c>
      <c r="R259" s="210" t="str">
        <f>IFERROR(__xludf.DUMMYFUNCTION("""COMPUTED_VALUE"""),"12240166")</f>
        <v>12240166</v>
      </c>
      <c r="S259" s="211" t="str">
        <f>IFERROR(__xludf.DUMMYFUNCTION("""COMPUTED_VALUE"""),"2d88931c")</f>
        <v>2d88931c</v>
      </c>
      <c r="T259" s="211" t="str">
        <f>IFERROR(__xludf.DUMMYFUNCTION("""COMPUTED_VALUE"""),"PT Dunia Berkat Marga Mulya")</f>
        <v>PT Dunia Berkat Marga Mulya</v>
      </c>
      <c r="U259" s="215">
        <f>IFERROR(__xludf.DUMMYFUNCTION("""COMPUTED_VALUE"""),45639.51527777778)</f>
        <v>45639.51528</v>
      </c>
      <c r="V259" s="211" t="str">
        <f>IFERROR(__xludf.DUMMYFUNCTION("""COMPUTED_VALUE"""),"JL JABARAN, WATESARI, BALONGBENDO, SIDOARJO, JAWA TIMUR")</f>
        <v>JL JABARAN, WATESARI, BALONGBENDO, SIDOARJO, JAWA TIMUR</v>
      </c>
      <c r="W259" s="211" t="str">
        <f>IFERROR(__xludf.DUMMYFUNCTION("""COMPUTED_VALUE"""),"OUT")</f>
        <v>OUT</v>
      </c>
      <c r="X259" s="211"/>
      <c r="Z259" s="211" t="str">
        <f>IFERROR(__xludf.DUMMYFUNCTION("""COMPUTED_VALUE"""),"0226122522")</f>
        <v>0226122522</v>
      </c>
      <c r="AC259" s="211"/>
      <c r="AD259" s="211"/>
      <c r="AE259" s="211"/>
      <c r="AF259" s="211"/>
      <c r="AG259" s="211"/>
      <c r="AH259" s="211"/>
      <c r="AI259" s="211"/>
      <c r="AJ259" s="211"/>
      <c r="AL259" s="211" t="str">
        <f>IFERROR(__xludf.DUMMYFUNCTION("""COMPUTED_VALUE"""),"2250047")</f>
        <v>2250047</v>
      </c>
      <c r="AM259" s="211" t="str">
        <f>IFERROR(__xludf.DUMMYFUNCTION("""COMPUTED_VALUE"""),"0925511307")</f>
        <v>0925511307</v>
      </c>
      <c r="AN259" s="211" t="str">
        <f>IFERROR(__xludf.DUMMYFUNCTION("""COMPUTED_VALUE"""),"e86baf3b")</f>
        <v>e86baf3b</v>
      </c>
      <c r="AO259" s="211" t="str">
        <f>IFERROR(__xludf.DUMMYFUNCTION("""COMPUTED_VALUE"""),"PT GEMILANG CIPTA WAWASAN")</f>
        <v>PT GEMILANG CIPTA WAWASAN</v>
      </c>
      <c r="AP259" s="215">
        <f>IFERROR(__xludf.DUMMYFUNCTION("""COMPUTED_VALUE"""),45938.56041666667)</f>
        <v>45938.56042</v>
      </c>
      <c r="AQ259" s="218">
        <f>IFERROR(__xludf.DUMMYFUNCTION("""COMPUTED_VALUE"""),45922.0)</f>
        <v>45922</v>
      </c>
      <c r="AR259" s="211"/>
      <c r="AS259" s="211"/>
      <c r="AT259" s="211"/>
      <c r="AU259" s="211"/>
      <c r="AV259" s="211"/>
      <c r="AW259" s="211"/>
      <c r="AX259" s="211"/>
      <c r="AY259" s="211"/>
      <c r="AZ259" s="211"/>
      <c r="BB259" s="211"/>
      <c r="BC259" s="211"/>
      <c r="BD259" s="211"/>
      <c r="BE259" s="211"/>
      <c r="BF259" s="211"/>
      <c r="BG259" s="211"/>
      <c r="BH259" s="211"/>
      <c r="BI259" s="211"/>
    </row>
    <row r="260">
      <c r="A260" s="210" t="str">
        <f>IFERROR(__xludf.DUMMYFUNCTION("""COMPUTED_VALUE"""),"11240122")</f>
        <v>11240122</v>
      </c>
      <c r="B260" s="210" t="str">
        <f>IFERROR(__xludf.DUMMYFUNCTION("""COMPUTED_VALUE"""),"11240122")</f>
        <v>11240122</v>
      </c>
      <c r="C260" s="213">
        <f>IFERROR(__xludf.DUMMYFUNCTION("""COMPUTED_VALUE"""),45617.517847222225)</f>
        <v>45617.51785</v>
      </c>
      <c r="D260" s="211" t="str">
        <f>IFERROR(__xludf.DUMMYFUNCTION("""COMPUTED_VALUE"""),"4a01ccb6")</f>
        <v>4a01ccb6</v>
      </c>
      <c r="E260" s="211" t="str">
        <f>IFERROR(__xludf.DUMMYFUNCTION("""COMPUTED_VALUE"""),"CV ANUGERAH PERSADA TEKNIK")</f>
        <v>CV ANUGERAH PERSADA TEKNIK</v>
      </c>
      <c r="F260" s="211" t="str">
        <f>IFERROR(__xludf.DUMMYFUNCTION("""COMPUTED_VALUE"""),"8bdbe149")</f>
        <v>8bdbe149</v>
      </c>
      <c r="G260" s="211" t="str">
        <f>IFERROR(__xludf.DUMMYFUNCTION("""COMPUTED_VALUE"""),"Oksigen 6m3")</f>
        <v>Oksigen 6m3</v>
      </c>
      <c r="H260" s="214" t="str">
        <f>IFERROR(__xludf.DUMMYFUNCTION("""COMPUTED_VALUE"""),"OUT")</f>
        <v>OUT</v>
      </c>
      <c r="I260" s="214" t="str">
        <f>IFERROR(__xludf.DUMMYFUNCTION("""COMPUTED_VALUE"""),"NORMAL")</f>
        <v>NORMAL</v>
      </c>
      <c r="J260" s="211">
        <f>IFERROR(__xludf.DUMMYFUNCTION("""COMPUTED_VALUE"""),5.0)</f>
        <v>5</v>
      </c>
      <c r="K260" s="210" t="str">
        <f>IFERROR(__xludf.DUMMYFUNCTION("""COMPUTED_VALUE"""),"1827 1826 1490 5033 5044")</f>
        <v>1827 1826 1490 5033 5044</v>
      </c>
      <c r="L260" s="211">
        <f>IFERROR(__xludf.DUMMYFUNCTION("""COMPUTED_VALUE"""),65000.0)</f>
        <v>65000</v>
      </c>
      <c r="M260" s="211"/>
      <c r="N260" s="211"/>
      <c r="O260" s="211"/>
      <c r="Q260" s="210" t="str">
        <f>IFERROR(__xludf.DUMMYFUNCTION("""COMPUTED_VALUE"""),"928eabd1")</f>
        <v>928eabd1</v>
      </c>
      <c r="R260" s="210" t="str">
        <f>IFERROR(__xludf.DUMMYFUNCTION("""COMPUTED_VALUE"""),"928eabd1")</f>
        <v>928eabd1</v>
      </c>
      <c r="S260" s="211" t="str">
        <f>IFERROR(__xludf.DUMMYFUNCTION("""COMPUTED_VALUE"""),"785e0e07")</f>
        <v>785e0e07</v>
      </c>
      <c r="T260" s="211" t="str">
        <f>IFERROR(__xludf.DUMMYFUNCTION("""COMPUTED_VALUE"""),"Bpk. Sukirno (Bejo)")</f>
        <v>Bpk. Sukirno (Bejo)</v>
      </c>
      <c r="U260" s="215">
        <f>IFERROR(__xludf.DUMMYFUNCTION("""COMPUTED_VALUE"""),45639.51736111111)</f>
        <v>45639.51736</v>
      </c>
      <c r="V260" s="211" t="str">
        <f>IFERROR(__xludf.DUMMYFUNCTION("""COMPUTED_VALUE"""),"Krajan I, Wringinanom, Kec. Wringinanom, Kabupaten Gresik, Jawa Timur 61176")</f>
        <v>Krajan I, Wringinanom, Kec. Wringinanom, Kabupaten Gresik, Jawa Timur 61176</v>
      </c>
      <c r="W260" s="211" t="str">
        <f>IFERROR(__xludf.DUMMYFUNCTION("""COMPUTED_VALUE"""),"IN")</f>
        <v>IN</v>
      </c>
      <c r="X260" s="211"/>
      <c r="Z260" s="211" t="str">
        <f>IFERROR(__xludf.DUMMYFUNCTION("""COMPUTED_VALUE"""),"0226212516")</f>
        <v>0226212516</v>
      </c>
      <c r="AC260" s="211"/>
      <c r="AD260" s="211"/>
      <c r="AE260" s="211"/>
      <c r="AF260" s="211"/>
      <c r="AG260" s="211"/>
      <c r="AH260" s="211"/>
      <c r="AI260" s="211"/>
      <c r="AJ260" s="211"/>
      <c r="AL260" s="211" t="str">
        <f>IFERROR(__xludf.DUMMYFUNCTION("""COMPUTED_VALUE"""),"2250047")</f>
        <v>2250047</v>
      </c>
      <c r="AM260" s="211" t="str">
        <f>IFERROR(__xludf.DUMMYFUNCTION("""COMPUTED_VALUE"""),"0925521326")</f>
        <v>0925521326</v>
      </c>
      <c r="AN260" s="211" t="str">
        <f>IFERROR(__xludf.DUMMYFUNCTION("""COMPUTED_VALUE"""),"e86baf3b")</f>
        <v>e86baf3b</v>
      </c>
      <c r="AO260" s="211" t="str">
        <f>IFERROR(__xludf.DUMMYFUNCTION("""COMPUTED_VALUE"""),"PT GEMILANG CIPTA WAWASAN")</f>
        <v>PT GEMILANG CIPTA WAWASAN</v>
      </c>
      <c r="AP260" s="215">
        <f>IFERROR(__xludf.DUMMYFUNCTION("""COMPUTED_VALUE"""),45938.56041666667)</f>
        <v>45938.56042</v>
      </c>
      <c r="AQ260" s="218">
        <f>IFERROR(__xludf.DUMMYFUNCTION("""COMPUTED_VALUE"""),45924.0)</f>
        <v>45924</v>
      </c>
      <c r="AR260" s="211"/>
      <c r="AS260" s="211"/>
      <c r="AT260" s="211"/>
      <c r="AU260" s="211"/>
      <c r="AV260" s="211"/>
      <c r="AW260" s="211"/>
      <c r="AX260" s="211"/>
      <c r="AY260" s="211"/>
      <c r="AZ260" s="211"/>
      <c r="BB260" s="211"/>
      <c r="BC260" s="211"/>
      <c r="BD260" s="211"/>
      <c r="BE260" s="211"/>
      <c r="BF260" s="211"/>
      <c r="BG260" s="211"/>
      <c r="BH260" s="211"/>
      <c r="BI260" s="211"/>
    </row>
    <row r="261">
      <c r="A261" s="210" t="str">
        <f>IFERROR(__xludf.DUMMYFUNCTION("""COMPUTED_VALUE"""),"cc06dcb8")</f>
        <v>cc06dcb8</v>
      </c>
      <c r="B261" s="210" t="str">
        <f>IFERROR(__xludf.DUMMYFUNCTION("""COMPUTED_VALUE"""),"cc06dcb8")</f>
        <v>cc06dcb8</v>
      </c>
      <c r="C261" s="213">
        <f>IFERROR(__xludf.DUMMYFUNCTION("""COMPUTED_VALUE"""),45617.53554398148)</f>
        <v>45617.53554</v>
      </c>
      <c r="D261" s="211" t="str">
        <f>IFERROR(__xludf.DUMMYFUNCTION("""COMPUTED_VALUE"""),"8f5ebaea")</f>
        <v>8f5ebaea</v>
      </c>
      <c r="E261" s="211" t="str">
        <f>IFERROR(__xludf.DUMMYFUNCTION("""COMPUTED_VALUE"""),"PT Hua Zong Mesindo")</f>
        <v>PT Hua Zong Mesindo</v>
      </c>
      <c r="F261" s="211" t="str">
        <f>IFERROR(__xludf.DUMMYFUNCTION("""COMPUTED_VALUE"""),"8bdbe149")</f>
        <v>8bdbe149</v>
      </c>
      <c r="G261" s="211" t="str">
        <f>IFERROR(__xludf.DUMMYFUNCTION("""COMPUTED_VALUE"""),"Oksigen 6m3")</f>
        <v>Oksigen 6m3</v>
      </c>
      <c r="H261" s="214" t="str">
        <f>IFERROR(__xludf.DUMMYFUNCTION("""COMPUTED_VALUE"""),"IN")</f>
        <v>IN</v>
      </c>
      <c r="I261" s="214" t="str">
        <f>IFERROR(__xludf.DUMMYFUNCTION("""COMPUTED_VALUE"""),"EMPTY")</f>
        <v>EMPTY</v>
      </c>
      <c r="J261" s="211">
        <f>IFERROR(__xludf.DUMMYFUNCTION("""COMPUTED_VALUE"""),2.0)</f>
        <v>2</v>
      </c>
      <c r="K261" s="210" t="str">
        <f>IFERROR(__xludf.DUMMYFUNCTION("""COMPUTED_VALUE"""),"1188 1133")</f>
        <v>1188 1133</v>
      </c>
      <c r="L261" s="211"/>
      <c r="M261" s="211"/>
      <c r="N261" s="211"/>
      <c r="O261" s="211"/>
      <c r="Q261" s="210" t="str">
        <f>IFERROR(__xludf.DUMMYFUNCTION("""COMPUTED_VALUE"""),"405d1a28")</f>
        <v>405d1a28</v>
      </c>
      <c r="R261" s="210" t="str">
        <f>IFERROR(__xludf.DUMMYFUNCTION("""COMPUTED_VALUE"""),"405d1a28")</f>
        <v>405d1a28</v>
      </c>
      <c r="S261" s="211" t="str">
        <f>IFERROR(__xludf.DUMMYFUNCTION("""COMPUTED_VALUE"""),"37175874")</f>
        <v>37175874</v>
      </c>
      <c r="T261" s="211" t="str">
        <f>IFERROR(__xludf.DUMMYFUNCTION("""COMPUTED_VALUE"""),"PT TERAPAN NILAIOSILASI INDONESIA (TENO)")</f>
        <v>PT TERAPAN NILAIOSILASI INDONESIA (TENO)</v>
      </c>
      <c r="U261" s="215">
        <f>IFERROR(__xludf.DUMMYFUNCTION("""COMPUTED_VALUE"""),45639.518055555556)</f>
        <v>45639.51806</v>
      </c>
      <c r="V261" s="211" t="str">
        <f>IFERROR(__xludf.DUMMYFUNCTION("""COMPUTED_VALUE"""),"JL Raya Kertajaya Indah 153 / P116, Gebang Putih, Sukokilo, Kota Surabaya, Jawa Timur")</f>
        <v>JL Raya Kertajaya Indah 153 / P116, Gebang Putih, Sukokilo, Kota Surabaya, Jawa Timur</v>
      </c>
      <c r="W261" s="211" t="str">
        <f>IFERROR(__xludf.DUMMYFUNCTION("""COMPUTED_VALUE"""),"IN")</f>
        <v>IN</v>
      </c>
      <c r="X261" s="211"/>
      <c r="Z261" s="211" t="str">
        <f>IFERROR(__xludf.DUMMYFUNCTION("""COMPUTED_VALUE"""),"022612515")</f>
        <v>022612515</v>
      </c>
      <c r="AC261" s="211"/>
      <c r="AD261" s="211"/>
      <c r="AE261" s="211"/>
      <c r="AF261" s="211"/>
      <c r="AG261" s="211"/>
      <c r="AH261" s="211"/>
      <c r="AI261" s="211"/>
      <c r="AJ261" s="211"/>
      <c r="AL261" s="211" t="str">
        <f>IFERROR(__xludf.DUMMYFUNCTION("""COMPUTED_VALUE"""),"2250045")</f>
        <v>2250045</v>
      </c>
      <c r="AM261" s="211" t="str">
        <f>IFERROR(__xludf.DUMMYFUNCTION("""COMPUTED_VALUE"""),"0925121250")</f>
        <v>0925121250</v>
      </c>
      <c r="AN261" s="211" t="str">
        <f>IFERROR(__xludf.DUMMYFUNCTION("""COMPUTED_VALUE"""),"182fb0fe")</f>
        <v>182fb0fe</v>
      </c>
      <c r="AO261" s="211" t="str">
        <f>IFERROR(__xludf.DUMMYFUNCTION("""COMPUTED_VALUE"""),"PT Amtech")</f>
        <v>PT Amtech</v>
      </c>
      <c r="AP261" s="215">
        <f>IFERROR(__xludf.DUMMYFUNCTION("""COMPUTED_VALUE"""),45926.399143518516)</f>
        <v>45926.39914</v>
      </c>
      <c r="AQ261" s="218">
        <f>IFERROR(__xludf.DUMMYFUNCTION("""COMPUTED_VALUE"""),45911.0)</f>
        <v>45911</v>
      </c>
      <c r="AR261" s="211"/>
      <c r="AS261" s="211"/>
      <c r="AT261" s="211"/>
      <c r="AU261" s="211"/>
      <c r="AV261" s="211"/>
      <c r="AW261" s="211"/>
      <c r="AX261" s="211"/>
      <c r="AY261" s="211"/>
      <c r="AZ261" s="211"/>
      <c r="BB261" s="211"/>
      <c r="BC261" s="211"/>
      <c r="BD261" s="211"/>
      <c r="BE261" s="211"/>
      <c r="BF261" s="211"/>
      <c r="BG261" s="211"/>
      <c r="BH261" s="211"/>
      <c r="BI261" s="211"/>
    </row>
    <row r="262">
      <c r="A262" s="210" t="str">
        <f>IFERROR(__xludf.DUMMYFUNCTION("""COMPUTED_VALUE"""),"cc06dcb8")</f>
        <v>cc06dcb8</v>
      </c>
      <c r="B262" s="210" t="str">
        <f>IFERROR(__xludf.DUMMYFUNCTION("""COMPUTED_VALUE"""),"cc06dcb8")</f>
        <v>cc06dcb8</v>
      </c>
      <c r="C262" s="213">
        <f>IFERROR(__xludf.DUMMYFUNCTION("""COMPUTED_VALUE"""),45617.53575231481)</f>
        <v>45617.53575</v>
      </c>
      <c r="D262" s="211" t="str">
        <f>IFERROR(__xludf.DUMMYFUNCTION("""COMPUTED_VALUE"""),"8f5ebaea")</f>
        <v>8f5ebaea</v>
      </c>
      <c r="E262" s="211" t="str">
        <f>IFERROR(__xludf.DUMMYFUNCTION("""COMPUTED_VALUE"""),"PT Hua Zong Mesindo")</f>
        <v>PT Hua Zong Mesindo</v>
      </c>
      <c r="F262" s="211" t="str">
        <f>IFERROR(__xludf.DUMMYFUNCTION("""COMPUTED_VALUE"""),"66af7c72")</f>
        <v>66af7c72</v>
      </c>
      <c r="G262" s="211" t="str">
        <f>IFERROR(__xludf.DUMMYFUNCTION("""COMPUTED_VALUE"""),"Argon 6m3")</f>
        <v>Argon 6m3</v>
      </c>
      <c r="H262" s="214" t="str">
        <f>IFERROR(__xludf.DUMMYFUNCTION("""COMPUTED_VALUE"""),"IN")</f>
        <v>IN</v>
      </c>
      <c r="I262" s="214" t="str">
        <f>IFERROR(__xludf.DUMMYFUNCTION("""COMPUTED_VALUE"""),"EMPTY")</f>
        <v>EMPTY</v>
      </c>
      <c r="J262" s="211">
        <f>IFERROR(__xludf.DUMMYFUNCTION("""COMPUTED_VALUE"""),3.0)</f>
        <v>3</v>
      </c>
      <c r="K262" s="210" t="str">
        <f>IFERROR(__xludf.DUMMYFUNCTION("""COMPUTED_VALUE"""),"8025 8015 8183")</f>
        <v>8025 8015 8183</v>
      </c>
      <c r="L262" s="211"/>
      <c r="M262" s="211"/>
      <c r="N262" s="211"/>
      <c r="O262" s="211"/>
      <c r="Q262" s="210" t="str">
        <f>IFERROR(__xludf.DUMMYFUNCTION("""COMPUTED_VALUE"""),"af8745e2")</f>
        <v>af8745e2</v>
      </c>
      <c r="R262" s="210" t="str">
        <f>IFERROR(__xludf.DUMMYFUNCTION("""COMPUTED_VALUE"""),"af8745e2")</f>
        <v>af8745e2</v>
      </c>
      <c r="S262" s="211" t="str">
        <f>IFERROR(__xludf.DUMMYFUNCTION("""COMPUTED_VALUE"""),"2d88931c")</f>
        <v>2d88931c</v>
      </c>
      <c r="T262" s="211" t="str">
        <f>IFERROR(__xludf.DUMMYFUNCTION("""COMPUTED_VALUE"""),"PT Dunia Berkat Marga Mulya")</f>
        <v>PT Dunia Berkat Marga Mulya</v>
      </c>
      <c r="U262" s="215">
        <f>IFERROR(__xludf.DUMMYFUNCTION("""COMPUTED_VALUE"""),45639.51944444445)</f>
        <v>45639.51944</v>
      </c>
      <c r="V262" s="211" t="str">
        <f>IFERROR(__xludf.DUMMYFUNCTION("""COMPUTED_VALUE"""),"JL JABARAN, WATESARI, BALONGBENDO, SIDOARJO, JAWA TIMUR")</f>
        <v>JL JABARAN, WATESARI, BALONGBENDO, SIDOARJO, JAWA TIMUR</v>
      </c>
      <c r="W262" s="211" t="str">
        <f>IFERROR(__xludf.DUMMYFUNCTION("""COMPUTED_VALUE"""),"IN")</f>
        <v>IN</v>
      </c>
      <c r="X262" s="211"/>
      <c r="Z262" s="211" t="str">
        <f>IFERROR(__xludf.DUMMYFUNCTION("""COMPUTED_VALUE"""),"0226832514")</f>
        <v>0226832514</v>
      </c>
      <c r="AC262" s="211"/>
      <c r="AD262" s="211"/>
      <c r="AE262" s="211"/>
      <c r="AF262" s="211"/>
      <c r="AG262" s="211"/>
      <c r="AH262" s="211"/>
      <c r="AI262" s="211"/>
      <c r="AJ262" s="211"/>
      <c r="AL262" s="211" t="str">
        <f>IFERROR(__xludf.DUMMYFUNCTION("""COMPUTED_VALUE"""),"2250045")</f>
        <v>2250045</v>
      </c>
      <c r="AM262" s="211" t="str">
        <f>IFERROR(__xludf.DUMMYFUNCTION("""COMPUTED_VALUE"""),"0925131334")</f>
        <v>0925131334</v>
      </c>
      <c r="AN262" s="211" t="str">
        <f>IFERROR(__xludf.DUMMYFUNCTION("""COMPUTED_VALUE"""),"182fb0fe")</f>
        <v>182fb0fe</v>
      </c>
      <c r="AO262" s="211" t="str">
        <f>IFERROR(__xludf.DUMMYFUNCTION("""COMPUTED_VALUE"""),"PT Amtech")</f>
        <v>PT Amtech</v>
      </c>
      <c r="AP262" s="215">
        <f>IFERROR(__xludf.DUMMYFUNCTION("""COMPUTED_VALUE"""),45926.399143518516)</f>
        <v>45926.39914</v>
      </c>
      <c r="AQ262" s="218">
        <f>IFERROR(__xludf.DUMMYFUNCTION("""COMPUTED_VALUE"""),45925.0)</f>
        <v>45925</v>
      </c>
      <c r="AR262" s="211"/>
      <c r="AS262" s="211"/>
      <c r="AT262" s="211"/>
      <c r="AU262" s="211"/>
      <c r="AV262" s="211"/>
      <c r="AW262" s="211"/>
      <c r="AX262" s="211"/>
      <c r="AY262" s="211"/>
      <c r="AZ262" s="211"/>
      <c r="BB262" s="211"/>
      <c r="BC262" s="211"/>
      <c r="BD262" s="211"/>
      <c r="BE262" s="211"/>
      <c r="BF262" s="211"/>
      <c r="BG262" s="211"/>
      <c r="BH262" s="211"/>
      <c r="BI262" s="211"/>
    </row>
    <row r="263">
      <c r="A263" s="210" t="str">
        <f>IFERROR(__xludf.DUMMYFUNCTION("""COMPUTED_VALUE"""),"db4cd92c")</f>
        <v>db4cd92c</v>
      </c>
      <c r="B263" s="210" t="str">
        <f>IFERROR(__xludf.DUMMYFUNCTION("""COMPUTED_VALUE"""),"db4cd92c")</f>
        <v>db4cd92c</v>
      </c>
      <c r="C263" s="213">
        <f>IFERROR(__xludf.DUMMYFUNCTION("""COMPUTED_VALUE"""),45617.536099537036)</f>
        <v>45617.5361</v>
      </c>
      <c r="D263" s="211" t="str">
        <f>IFERROR(__xludf.DUMMYFUNCTION("""COMPUTED_VALUE"""),"e968afef")</f>
        <v>e968afef</v>
      </c>
      <c r="E263" s="211" t="str">
        <f>IFERROR(__xludf.DUMMYFUNCTION("""COMPUTED_VALUE"""),"Bpk. Agus")</f>
        <v>Bpk. Agus</v>
      </c>
      <c r="F263" s="211" t="str">
        <f>IFERROR(__xludf.DUMMYFUNCTION("""COMPUTED_VALUE"""),"8bdbe149")</f>
        <v>8bdbe149</v>
      </c>
      <c r="G263" s="211" t="str">
        <f>IFERROR(__xludf.DUMMYFUNCTION("""COMPUTED_VALUE"""),"Oksigen 6m3")</f>
        <v>Oksigen 6m3</v>
      </c>
      <c r="H263" s="214" t="str">
        <f>IFERROR(__xludf.DUMMYFUNCTION("""COMPUTED_VALUE"""),"IN")</f>
        <v>IN</v>
      </c>
      <c r="I263" s="214" t="str">
        <f>IFERROR(__xludf.DUMMYFUNCTION("""COMPUTED_VALUE"""),"CLAIM")</f>
        <v>CLAIM</v>
      </c>
      <c r="J263" s="211">
        <f>IFERROR(__xludf.DUMMYFUNCTION("""COMPUTED_VALUE"""),1.0)</f>
        <v>1</v>
      </c>
      <c r="K263" s="210" t="str">
        <f>IFERROR(__xludf.DUMMYFUNCTION("""COMPUTED_VALUE"""),"1136")</f>
        <v>1136</v>
      </c>
      <c r="L263" s="211"/>
      <c r="M263" s="211"/>
      <c r="N263" s="211"/>
      <c r="O263" s="211"/>
      <c r="Q263" s="210" t="str">
        <f>IFERROR(__xludf.DUMMYFUNCTION("""COMPUTED_VALUE"""),"12240167")</f>
        <v>12240167</v>
      </c>
      <c r="R263" s="210" t="str">
        <f>IFERROR(__xludf.DUMMYFUNCTION("""COMPUTED_VALUE"""),"12240167")</f>
        <v>12240167</v>
      </c>
      <c r="S263" s="211" t="str">
        <f>IFERROR(__xludf.DUMMYFUNCTION("""COMPUTED_VALUE"""),"103f3ae7")</f>
        <v>103f3ae7</v>
      </c>
      <c r="T263" s="211" t="str">
        <f>IFERROR(__xludf.DUMMYFUNCTION("""COMPUTED_VALUE"""),"PT ARYANA CAKASANA")</f>
        <v>PT ARYANA CAKASANA</v>
      </c>
      <c r="U263" s="215">
        <f>IFERROR(__xludf.DUMMYFUNCTION("""COMPUTED_VALUE"""),45640.84930555556)</f>
        <v>45640.84931</v>
      </c>
      <c r="V263" s="211" t="str">
        <f>IFERROR(__xludf.DUMMYFUNCTION("""COMPUTED_VALUE"""),"Jl Raya Tarik No. 45, Wonokupang, Bakalan, Balongbendo")</f>
        <v>Jl Raya Tarik No. 45, Wonokupang, Bakalan, Balongbendo</v>
      </c>
      <c r="W263" s="211" t="str">
        <f>IFERROR(__xludf.DUMMYFUNCTION("""COMPUTED_VALUE"""),"OUT")</f>
        <v>OUT</v>
      </c>
      <c r="X263" s="211"/>
      <c r="Z263" s="211" t="str">
        <f>IFERROR(__xludf.DUMMYFUNCTION("""COMPUTED_VALUE"""),"022672509")</f>
        <v>022672509</v>
      </c>
      <c r="AC263" s="211"/>
      <c r="AD263" s="211"/>
      <c r="AE263" s="211"/>
      <c r="AF263" s="211"/>
      <c r="AG263" s="211"/>
      <c r="AH263" s="211"/>
      <c r="AI263" s="211"/>
      <c r="AJ263" s="211"/>
      <c r="AL263" s="211" t="str">
        <f>IFERROR(__xludf.DUMMYFUNCTION("""COMPUTED_VALUE"""),"2250042")</f>
        <v>2250042</v>
      </c>
      <c r="AM263" s="211" t="str">
        <f>IFERROR(__xludf.DUMMYFUNCTION("""COMPUTED_VALUE"""),"07250593")</f>
        <v>07250593</v>
      </c>
      <c r="AN263" s="211" t="str">
        <f>IFERROR(__xludf.DUMMYFUNCTION("""COMPUTED_VALUE"""),"d78b2eaf")</f>
        <v>d78b2eaf</v>
      </c>
      <c r="AO263" s="211" t="str">
        <f>IFERROR(__xludf.DUMMYFUNCTION("""COMPUTED_VALUE"""),"PT Sinar Indogreen Kencana")</f>
        <v>PT Sinar Indogreen Kencana</v>
      </c>
      <c r="AP263" s="215">
        <f>IFERROR(__xludf.DUMMYFUNCTION("""COMPUTED_VALUE"""),45917.55827546296)</f>
        <v>45917.55828</v>
      </c>
      <c r="AQ263" s="218">
        <f>IFERROR(__xludf.DUMMYFUNCTION("""COMPUTED_VALUE"""),45859.0)</f>
        <v>45859</v>
      </c>
      <c r="AR263" s="211"/>
      <c r="AS263" s="211"/>
      <c r="AT263" s="211"/>
      <c r="AU263" s="211"/>
      <c r="AV263" s="211"/>
      <c r="AW263" s="211"/>
      <c r="AX263" s="211"/>
      <c r="AY263" s="211"/>
      <c r="AZ263" s="211"/>
      <c r="BB263" s="211"/>
      <c r="BC263" s="211"/>
      <c r="BD263" s="211"/>
      <c r="BE263" s="211"/>
      <c r="BF263" s="211"/>
      <c r="BG263" s="211"/>
      <c r="BH263" s="211"/>
      <c r="BI263" s="211"/>
    </row>
    <row r="264">
      <c r="A264" s="210" t="str">
        <f>IFERROR(__xludf.DUMMYFUNCTION("""COMPUTED_VALUE"""),"3fec40d7")</f>
        <v>3fec40d7</v>
      </c>
      <c r="B264" s="210" t="str">
        <f>IFERROR(__xludf.DUMMYFUNCTION("""COMPUTED_VALUE"""),"3fec40d7")</f>
        <v>3fec40d7</v>
      </c>
      <c r="C264" s="213">
        <f>IFERROR(__xludf.DUMMYFUNCTION("""COMPUTED_VALUE"""),45617.536574074074)</f>
        <v>45617.53657</v>
      </c>
      <c r="D264" s="211" t="str">
        <f>IFERROR(__xludf.DUMMYFUNCTION("""COMPUTED_VALUE"""),"17af2683")</f>
        <v>17af2683</v>
      </c>
      <c r="E264" s="211" t="str">
        <f>IFERROR(__xludf.DUMMYFUNCTION("""COMPUTED_VALUE"""),"H. Fatoni")</f>
        <v>H. Fatoni</v>
      </c>
      <c r="F264" s="211" t="str">
        <f>IFERROR(__xludf.DUMMYFUNCTION("""COMPUTED_VALUE"""),"8bdbe149")</f>
        <v>8bdbe149</v>
      </c>
      <c r="G264" s="211" t="str">
        <f>IFERROR(__xludf.DUMMYFUNCTION("""COMPUTED_VALUE"""),"Oksigen 6m3")</f>
        <v>Oksigen 6m3</v>
      </c>
      <c r="H264" s="214" t="str">
        <f>IFERROR(__xludf.DUMMYFUNCTION("""COMPUTED_VALUE"""),"IN")</f>
        <v>IN</v>
      </c>
      <c r="I264" s="214" t="str">
        <f>IFERROR(__xludf.DUMMYFUNCTION("""COMPUTED_VALUE"""),"EMPTY")</f>
        <v>EMPTY</v>
      </c>
      <c r="J264" s="211">
        <f>IFERROR(__xludf.DUMMYFUNCTION("""COMPUTED_VALUE"""),1.0)</f>
        <v>1</v>
      </c>
      <c r="K264" s="210" t="str">
        <f>IFERROR(__xludf.DUMMYFUNCTION("""COMPUTED_VALUE"""),"1145")</f>
        <v>1145</v>
      </c>
      <c r="L264" s="211"/>
      <c r="M264" s="211"/>
      <c r="N264" s="211"/>
      <c r="O264" s="211"/>
      <c r="Q264" s="210" t="str">
        <f>IFERROR(__xludf.DUMMYFUNCTION("""COMPUTED_VALUE"""),"59dea732")</f>
        <v>59dea732</v>
      </c>
      <c r="R264" s="210" t="str">
        <f>IFERROR(__xludf.DUMMYFUNCTION("""COMPUTED_VALUE"""),"59dea732")</f>
        <v>59dea732</v>
      </c>
      <c r="S264" s="211" t="str">
        <f>IFERROR(__xludf.DUMMYFUNCTION("""COMPUTED_VALUE"""),"72d9a70c")</f>
        <v>72d9a70c</v>
      </c>
      <c r="T264" s="211" t="str">
        <f>IFERROR(__xludf.DUMMYFUNCTION("""COMPUTED_VALUE"""),"PT Beton Prima Indonesia")</f>
        <v>PT Beton Prima Indonesia</v>
      </c>
      <c r="U264" s="215">
        <f>IFERROR(__xludf.DUMMYFUNCTION("""COMPUTED_VALUE"""),45640.51458333334)</f>
        <v>45640.51458</v>
      </c>
      <c r="V264" s="211" t="str">
        <f>IFERROR(__xludf.DUMMYFUNCTION("""COMPUTED_VALUE"""),"KH. Ahmad Dahlan KM.2 Ds. Sumberwono, Kec. Bangsal, Kab. Mojokerto 61381")</f>
        <v>KH. Ahmad Dahlan KM.2 Ds. Sumberwono, Kec. Bangsal, Kab. Mojokerto 61381</v>
      </c>
      <c r="W264" s="211" t="str">
        <f>IFERROR(__xludf.DUMMYFUNCTION("""COMPUTED_VALUE"""),"IN")</f>
        <v>IN</v>
      </c>
      <c r="X264" s="211"/>
      <c r="Z264" s="211" t="str">
        <f>IFERROR(__xludf.DUMMYFUNCTION("""COMPUTED_VALUE"""),"022622508")</f>
        <v>022622508</v>
      </c>
      <c r="AC264" s="211"/>
      <c r="AD264" s="211"/>
      <c r="AE264" s="211"/>
      <c r="AF264" s="211"/>
      <c r="AG264" s="211"/>
      <c r="AH264" s="211"/>
      <c r="AI264" s="211"/>
      <c r="AJ264" s="211"/>
      <c r="AL264" s="211" t="str">
        <f>IFERROR(__xludf.DUMMYFUNCTION("""COMPUTED_VALUE"""),"2250042")</f>
        <v>2250042</v>
      </c>
      <c r="AM264" s="211" t="str">
        <f>IFERROR(__xludf.DUMMYFUNCTION("""COMPUTED_VALUE"""),"0825121111")</f>
        <v>0825121111</v>
      </c>
      <c r="AN264" s="211" t="str">
        <f>IFERROR(__xludf.DUMMYFUNCTION("""COMPUTED_VALUE"""),"d78b2eaf")</f>
        <v>d78b2eaf</v>
      </c>
      <c r="AO264" s="211" t="str">
        <f>IFERROR(__xludf.DUMMYFUNCTION("""COMPUTED_VALUE"""),"PT Sinar Indogreen Kencana")</f>
        <v>PT Sinar Indogreen Kencana</v>
      </c>
      <c r="AP264" s="215">
        <f>IFERROR(__xludf.DUMMYFUNCTION("""COMPUTED_VALUE"""),45917.55827546296)</f>
        <v>45917.55828</v>
      </c>
      <c r="AQ264" s="218">
        <f>IFERROR(__xludf.DUMMYFUNCTION("""COMPUTED_VALUE"""),45880.0)</f>
        <v>45880</v>
      </c>
      <c r="AR264" s="211"/>
      <c r="AS264" s="211"/>
      <c r="AT264" s="211"/>
      <c r="AU264" s="211"/>
      <c r="AV264" s="211"/>
      <c r="AW264" s="211"/>
      <c r="AX264" s="211"/>
      <c r="AY264" s="211"/>
      <c r="AZ264" s="211"/>
      <c r="BB264" s="211"/>
      <c r="BC264" s="211"/>
      <c r="BD264" s="211"/>
      <c r="BE264" s="211"/>
      <c r="BF264" s="211"/>
      <c r="BG264" s="211"/>
      <c r="BH264" s="211"/>
      <c r="BI264" s="211"/>
    </row>
    <row r="265">
      <c r="A265" s="210" t="str">
        <f>IFERROR(__xludf.DUMMYFUNCTION("""COMPUTED_VALUE"""),"a20b4402")</f>
        <v>a20b4402</v>
      </c>
      <c r="B265" s="210" t="str">
        <f>IFERROR(__xludf.DUMMYFUNCTION("""COMPUTED_VALUE"""),"a20b4402")</f>
        <v>a20b4402</v>
      </c>
      <c r="C265" s="213">
        <f>IFERROR(__xludf.DUMMYFUNCTION("""COMPUTED_VALUE"""),45617.53805555555)</f>
        <v>45617.53806</v>
      </c>
      <c r="D265" s="211" t="str">
        <f>IFERROR(__xludf.DUMMYFUNCTION("""COMPUTED_VALUE"""),"c2f5a4a7")</f>
        <v>c2f5a4a7</v>
      </c>
      <c r="E265" s="211" t="str">
        <f>IFERROR(__xludf.DUMMYFUNCTION("""COMPUTED_VALUE"""),"UD Sumber Berlian")</f>
        <v>UD Sumber Berlian</v>
      </c>
      <c r="F265" s="211" t="str">
        <f>IFERROR(__xludf.DUMMYFUNCTION("""COMPUTED_VALUE"""),"8bdbe149")</f>
        <v>8bdbe149</v>
      </c>
      <c r="G265" s="211" t="str">
        <f>IFERROR(__xludf.DUMMYFUNCTION("""COMPUTED_VALUE"""),"Oksigen 6m3")</f>
        <v>Oksigen 6m3</v>
      </c>
      <c r="H265" s="214" t="str">
        <f>IFERROR(__xludf.DUMMYFUNCTION("""COMPUTED_VALUE"""),"IN")</f>
        <v>IN</v>
      </c>
      <c r="I265" s="214" t="str">
        <f>IFERROR(__xludf.DUMMYFUNCTION("""COMPUTED_VALUE"""),"EMPTY")</f>
        <v>EMPTY</v>
      </c>
      <c r="J265" s="211">
        <f>IFERROR(__xludf.DUMMYFUNCTION("""COMPUTED_VALUE"""),3.0)</f>
        <v>3</v>
      </c>
      <c r="K265" s="210" t="str">
        <f>IFERROR(__xludf.DUMMYFUNCTION("""COMPUTED_VALUE"""),"1114 1159 1182")</f>
        <v>1114 1159 1182</v>
      </c>
      <c r="L265" s="211"/>
      <c r="M265" s="211"/>
      <c r="N265" s="211"/>
      <c r="O265" s="211"/>
      <c r="Q265" s="210" t="str">
        <f>IFERROR(__xludf.DUMMYFUNCTION("""COMPUTED_VALUE"""),"12240168")</f>
        <v>12240168</v>
      </c>
      <c r="R265" s="210" t="str">
        <f>IFERROR(__xludf.DUMMYFUNCTION("""COMPUTED_VALUE"""),"12240168")</f>
        <v>12240168</v>
      </c>
      <c r="S265" s="211" t="str">
        <f>IFERROR(__xludf.DUMMYFUNCTION("""COMPUTED_VALUE"""),"4bef3bbf")</f>
        <v>4bef3bbf</v>
      </c>
      <c r="T265" s="211" t="str">
        <f>IFERROR(__xludf.DUMMYFUNCTION("""COMPUTED_VALUE"""),"PT Dingsheng Metal Indonesia (Ngoro)")</f>
        <v>PT Dingsheng Metal Indonesia (Ngoro)</v>
      </c>
      <c r="U265" s="215">
        <f>IFERROR(__xludf.DUMMYFUNCTION("""COMPUTED_VALUE"""),45642.441666666666)</f>
        <v>45642.44167</v>
      </c>
      <c r="V265" s="211" t="str">
        <f>IFERROR(__xludf.DUMMYFUNCTION("""COMPUTED_VALUE"""),"Kri Kilan, Watesnegoro, Kec. Ngoro, Kabupaten Mojokerto, Jawa Timur 61385")</f>
        <v>Kri Kilan, Watesnegoro, Kec. Ngoro, Kabupaten Mojokerto, Jawa Timur 61385</v>
      </c>
      <c r="W265" s="211" t="str">
        <f>IFERROR(__xludf.DUMMYFUNCTION("""COMPUTED_VALUE"""),"OUT")</f>
        <v>OUT</v>
      </c>
      <c r="X265" s="211"/>
      <c r="Z265" s="211" t="str">
        <f>IFERROR(__xludf.DUMMYFUNCTION("""COMPUTED_VALUE"""),"0226262507")</f>
        <v>0226262507</v>
      </c>
      <c r="AC265" s="211"/>
      <c r="AD265" s="211"/>
      <c r="AE265" s="211"/>
      <c r="AF265" s="211"/>
      <c r="AG265" s="211"/>
      <c r="AH265" s="211"/>
      <c r="AI265" s="211"/>
      <c r="AJ265" s="211"/>
      <c r="AL265" s="211" t="str">
        <f>IFERROR(__xludf.DUMMYFUNCTION("""COMPUTED_VALUE"""),"2250042")</f>
        <v>2250042</v>
      </c>
      <c r="AM265" s="211" t="str">
        <f>IFERROR(__xludf.DUMMYFUNCTION("""COMPUTED_VALUE"""),"0825131141")</f>
        <v>0825131141</v>
      </c>
      <c r="AN265" s="211" t="str">
        <f>IFERROR(__xludf.DUMMYFUNCTION("""COMPUTED_VALUE"""),"d78b2eaf")</f>
        <v>d78b2eaf</v>
      </c>
      <c r="AO265" s="211" t="str">
        <f>IFERROR(__xludf.DUMMYFUNCTION("""COMPUTED_VALUE"""),"PT Sinar Indogreen Kencana")</f>
        <v>PT Sinar Indogreen Kencana</v>
      </c>
      <c r="AP265" s="215">
        <f>IFERROR(__xludf.DUMMYFUNCTION("""COMPUTED_VALUE"""),45917.55827546296)</f>
        <v>45917.55828</v>
      </c>
      <c r="AQ265" s="218">
        <f>IFERROR(__xludf.DUMMYFUNCTION("""COMPUTED_VALUE"""),45888.0)</f>
        <v>45888</v>
      </c>
      <c r="AR265" s="211"/>
      <c r="AS265" s="211"/>
      <c r="AT265" s="211"/>
      <c r="AU265" s="211"/>
      <c r="AV265" s="211"/>
      <c r="AW265" s="211"/>
      <c r="AX265" s="211"/>
      <c r="AY265" s="211"/>
      <c r="AZ265" s="211"/>
      <c r="BB265" s="211"/>
      <c r="BC265" s="211"/>
      <c r="BD265" s="211"/>
      <c r="BE265" s="211"/>
      <c r="BF265" s="211"/>
      <c r="BG265" s="211"/>
      <c r="BH265" s="211"/>
      <c r="BI265" s="211"/>
    </row>
    <row r="266">
      <c r="A266" s="210" t="str">
        <f>IFERROR(__xludf.DUMMYFUNCTION("""COMPUTED_VALUE"""),"8b7cd51a")</f>
        <v>8b7cd51a</v>
      </c>
      <c r="B266" s="210" t="str">
        <f>IFERROR(__xludf.DUMMYFUNCTION("""COMPUTED_VALUE"""),"8b7cd51a")</f>
        <v>8b7cd51a</v>
      </c>
      <c r="C266" s="213">
        <f>IFERROR(__xludf.DUMMYFUNCTION("""COMPUTED_VALUE"""),45617.53837962963)</f>
        <v>45617.53838</v>
      </c>
      <c r="D266" s="211" t="str">
        <f>IFERROR(__xludf.DUMMYFUNCTION("""COMPUTED_VALUE"""),"2d88931c")</f>
        <v>2d88931c</v>
      </c>
      <c r="E266" s="211" t="str">
        <f>IFERROR(__xludf.DUMMYFUNCTION("""COMPUTED_VALUE"""),"PT Dunia Berkat Marga Mulya")</f>
        <v>PT Dunia Berkat Marga Mulya</v>
      </c>
      <c r="F266" s="211" t="str">
        <f>IFERROR(__xludf.DUMMYFUNCTION("""COMPUTED_VALUE"""),"8bdbe149")</f>
        <v>8bdbe149</v>
      </c>
      <c r="G266" s="211" t="str">
        <f>IFERROR(__xludf.DUMMYFUNCTION("""COMPUTED_VALUE"""),"Oksigen 6m3")</f>
        <v>Oksigen 6m3</v>
      </c>
      <c r="H266" s="214" t="str">
        <f>IFERROR(__xludf.DUMMYFUNCTION("""COMPUTED_VALUE"""),"IN")</f>
        <v>IN</v>
      </c>
      <c r="I266" s="214" t="str">
        <f>IFERROR(__xludf.DUMMYFUNCTION("""COMPUTED_VALUE"""),"EMPTY")</f>
        <v>EMPTY</v>
      </c>
      <c r="J266" s="211">
        <f>IFERROR(__xludf.DUMMYFUNCTION("""COMPUTED_VALUE"""),1.0)</f>
        <v>1</v>
      </c>
      <c r="K266" s="210" t="str">
        <f>IFERROR(__xludf.DUMMYFUNCTION("""COMPUTED_VALUE"""),"11122")</f>
        <v>11122</v>
      </c>
      <c r="L266" s="211"/>
      <c r="M266" s="211"/>
      <c r="N266" s="211"/>
      <c r="O266" s="211"/>
      <c r="Q266" s="210" t="str">
        <f>IFERROR(__xludf.DUMMYFUNCTION("""COMPUTED_VALUE"""),"12240169")</f>
        <v>12240169</v>
      </c>
      <c r="R266" s="210" t="str">
        <f>IFERROR(__xludf.DUMMYFUNCTION("""COMPUTED_VALUE"""),"12240169")</f>
        <v>12240169</v>
      </c>
      <c r="S266" s="211" t="str">
        <f>IFERROR(__xludf.DUMMYFUNCTION("""COMPUTED_VALUE"""),"3fec37df")</f>
        <v>3fec37df</v>
      </c>
      <c r="T266" s="211" t="str">
        <f>IFERROR(__xludf.DUMMYFUNCTION("""COMPUTED_VALUE"""),"PT Jatim Abadi Perkasa Steel")</f>
        <v>PT Jatim Abadi Perkasa Steel</v>
      </c>
      <c r="U266" s="215">
        <f>IFERROR(__xludf.DUMMYFUNCTION("""COMPUTED_VALUE"""),45643.37013888889)</f>
        <v>45643.37014</v>
      </c>
      <c r="V266" s="211" t="str">
        <f>IFERROR(__xludf.DUMMYFUNCTION("""COMPUTED_VALUE"""),"Dsn. Bulak Sempuh, Jatirejo, Kab. Mojokerto, Jawa Timur")</f>
        <v>Dsn. Bulak Sempuh, Jatirejo, Kab. Mojokerto, Jawa Timur</v>
      </c>
      <c r="W266" s="211" t="str">
        <f>IFERROR(__xludf.DUMMYFUNCTION("""COMPUTED_VALUE"""),"OUT")</f>
        <v>OUT</v>
      </c>
      <c r="X266" s="211"/>
      <c r="Z266" s="211" t="str">
        <f>IFERROR(__xludf.DUMMYFUNCTION("""COMPUTED_VALUE"""),"022692505")</f>
        <v>022692505</v>
      </c>
      <c r="AC266" s="211"/>
      <c r="AD266" s="211"/>
      <c r="AE266" s="211"/>
      <c r="AF266" s="211"/>
      <c r="AG266" s="211"/>
      <c r="AH266" s="211"/>
      <c r="AI266" s="211"/>
      <c r="AJ266" s="211"/>
      <c r="AL266" s="211" t="str">
        <f>IFERROR(__xludf.DUMMYFUNCTION("""COMPUTED_VALUE"""),"2250038")</f>
        <v>2250038</v>
      </c>
      <c r="AM266" s="211" t="str">
        <f>IFERROR(__xludf.DUMMYFUNCTION("""COMPUTED_VALUE"""),"0925471248")</f>
        <v>0925471248</v>
      </c>
      <c r="AN266" s="211" t="str">
        <f>IFERROR(__xludf.DUMMYFUNCTION("""COMPUTED_VALUE"""),"e86baf3b")</f>
        <v>e86baf3b</v>
      </c>
      <c r="AO266" s="211" t="str">
        <f>IFERROR(__xludf.DUMMYFUNCTION("""COMPUTED_VALUE"""),"PT GEMILANG CIPTA WAWASAN")</f>
        <v>PT GEMILANG CIPTA WAWASAN</v>
      </c>
      <c r="AP266" s="215">
        <f>IFERROR(__xludf.DUMMYFUNCTION("""COMPUTED_VALUE"""),45917.503541666665)</f>
        <v>45917.50354</v>
      </c>
      <c r="AQ266" s="218">
        <f>IFERROR(__xludf.DUMMYFUNCTION("""COMPUTED_VALUE"""),45911.0)</f>
        <v>45911</v>
      </c>
      <c r="AR266" s="211"/>
      <c r="AS266" s="211"/>
      <c r="AT266" s="211"/>
      <c r="AU266" s="211"/>
      <c r="AV266" s="211"/>
      <c r="AW266" s="211"/>
      <c r="AX266" s="211"/>
      <c r="AY266" s="211"/>
      <c r="AZ266" s="211"/>
      <c r="BB266" s="211"/>
      <c r="BC266" s="211"/>
      <c r="BD266" s="211"/>
      <c r="BE266" s="211"/>
      <c r="BF266" s="211"/>
      <c r="BG266" s="211"/>
      <c r="BH266" s="211"/>
      <c r="BI266" s="211"/>
    </row>
    <row r="267">
      <c r="A267" s="210" t="str">
        <f>IFERROR(__xludf.DUMMYFUNCTION("""COMPUTED_VALUE"""),"4da51aac")</f>
        <v>4da51aac</v>
      </c>
      <c r="B267" s="210" t="str">
        <f>IFERROR(__xludf.DUMMYFUNCTION("""COMPUTED_VALUE"""),"4da51aac")</f>
        <v>4da51aac</v>
      </c>
      <c r="C267" s="213">
        <f>IFERROR(__xludf.DUMMYFUNCTION("""COMPUTED_VALUE"""),45617.613483796296)</f>
        <v>45617.61348</v>
      </c>
      <c r="D267" s="211" t="str">
        <f>IFERROR(__xludf.DUMMYFUNCTION("""COMPUTED_VALUE"""),"4ec68cf6")</f>
        <v>4ec68cf6</v>
      </c>
      <c r="E267" s="211" t="str">
        <f>IFERROR(__xludf.DUMMYFUNCTION("""COMPUTED_VALUE"""),"CV Sido Mukti Karya")</f>
        <v>CV Sido Mukti Karya</v>
      </c>
      <c r="F267" s="211" t="str">
        <f>IFERROR(__xludf.DUMMYFUNCTION("""COMPUTED_VALUE"""),"8bdbe149")</f>
        <v>8bdbe149</v>
      </c>
      <c r="G267" s="211" t="str">
        <f>IFERROR(__xludf.DUMMYFUNCTION("""COMPUTED_VALUE"""),"Oksigen 6m3")</f>
        <v>Oksigen 6m3</v>
      </c>
      <c r="H267" s="214" t="str">
        <f>IFERROR(__xludf.DUMMYFUNCTION("""COMPUTED_VALUE"""),"IN")</f>
        <v>IN</v>
      </c>
      <c r="I267" s="214" t="str">
        <f>IFERROR(__xludf.DUMMYFUNCTION("""COMPUTED_VALUE"""),"EMPTY")</f>
        <v>EMPTY</v>
      </c>
      <c r="J267" s="211">
        <f>IFERROR(__xludf.DUMMYFUNCTION("""COMPUTED_VALUE"""),3.0)</f>
        <v>3</v>
      </c>
      <c r="K267" s="210" t="str">
        <f>IFERROR(__xludf.DUMMYFUNCTION("""COMPUTED_VALUE"""),"5489 1232 5627")</f>
        <v>5489 1232 5627</v>
      </c>
      <c r="L267" s="211"/>
      <c r="M267" s="211"/>
      <c r="N267" s="211"/>
      <c r="O267" s="211"/>
      <c r="Q267" s="210" t="str">
        <f>IFERROR(__xludf.DUMMYFUNCTION("""COMPUTED_VALUE"""),"12240170")</f>
        <v>12240170</v>
      </c>
      <c r="R267" s="210" t="str">
        <f>IFERROR(__xludf.DUMMYFUNCTION("""COMPUTED_VALUE"""),"12240170")</f>
        <v>12240170</v>
      </c>
      <c r="S267" s="211" t="str">
        <f>IFERROR(__xludf.DUMMYFUNCTION("""COMPUTED_VALUE"""),"3a48b432")</f>
        <v>3a48b432</v>
      </c>
      <c r="T267" s="211" t="str">
        <f>IFERROR(__xludf.DUMMYFUNCTION("""COMPUTED_VALUE"""),"Dio")</f>
        <v>Dio</v>
      </c>
      <c r="U267" s="215">
        <f>IFERROR(__xludf.DUMMYFUNCTION("""COMPUTED_VALUE"""),45643.55347222222)</f>
        <v>45643.55347</v>
      </c>
      <c r="V267" s="211" t="str">
        <f>IFERROR(__xludf.DUMMYFUNCTION("""COMPUTED_VALUE"""),"#N/A")</f>
        <v>#N/A</v>
      </c>
      <c r="W267" s="211" t="str">
        <f>IFERROR(__xludf.DUMMYFUNCTION("""COMPUTED_VALUE"""),"OUT")</f>
        <v>OUT</v>
      </c>
      <c r="X267" s="211"/>
      <c r="Z267" s="211" t="str">
        <f>IFERROR(__xludf.DUMMYFUNCTION("""COMPUTED_VALUE"""),"0226202503")</f>
        <v>0226202503</v>
      </c>
      <c r="AC267" s="211"/>
      <c r="AD267" s="211"/>
      <c r="AE267" s="211"/>
      <c r="AF267" s="211"/>
      <c r="AG267" s="211"/>
      <c r="AH267" s="211"/>
      <c r="AI267" s="211"/>
      <c r="AJ267" s="211"/>
      <c r="AL267" s="211" t="str">
        <f>IFERROR(__xludf.DUMMYFUNCTION("""COMPUTED_VALUE"""),"2250038")</f>
        <v>2250038</v>
      </c>
      <c r="AM267" s="211" t="str">
        <f>IFERROR(__xludf.DUMMYFUNCTION("""COMPUTED_VALUE"""),"0925481265")</f>
        <v>0925481265</v>
      </c>
      <c r="AN267" s="211" t="str">
        <f>IFERROR(__xludf.DUMMYFUNCTION("""COMPUTED_VALUE"""),"e86baf3b")</f>
        <v>e86baf3b</v>
      </c>
      <c r="AO267" s="211" t="str">
        <f>IFERROR(__xludf.DUMMYFUNCTION("""COMPUTED_VALUE"""),"PT GEMILANG CIPTA WAWASAN")</f>
        <v>PT GEMILANG CIPTA WAWASAN</v>
      </c>
      <c r="AP267" s="215">
        <f>IFERROR(__xludf.DUMMYFUNCTION("""COMPUTED_VALUE"""),45917.503541666665)</f>
        <v>45917.50354</v>
      </c>
      <c r="AQ267" s="218">
        <f>IFERROR(__xludf.DUMMYFUNCTION("""COMPUTED_VALUE"""),45913.0)</f>
        <v>45913</v>
      </c>
      <c r="AR267" s="211"/>
      <c r="AS267" s="211"/>
      <c r="AT267" s="211"/>
      <c r="AU267" s="211"/>
      <c r="AV267" s="211"/>
      <c r="AW267" s="211"/>
      <c r="AX267" s="211"/>
      <c r="AY267" s="211"/>
      <c r="AZ267" s="211"/>
      <c r="BB267" s="211"/>
      <c r="BC267" s="211"/>
      <c r="BD267" s="211"/>
      <c r="BE267" s="211"/>
      <c r="BF267" s="211"/>
      <c r="BG267" s="211"/>
      <c r="BH267" s="211"/>
      <c r="BI267" s="211"/>
    </row>
    <row r="268">
      <c r="A268" s="210" t="str">
        <f>IFERROR(__xludf.DUMMYFUNCTION("""COMPUTED_VALUE"""),"a6458662")</f>
        <v>a6458662</v>
      </c>
      <c r="B268" s="210" t="str">
        <f>IFERROR(__xludf.DUMMYFUNCTION("""COMPUTED_VALUE"""),"a6458662")</f>
        <v>a6458662</v>
      </c>
      <c r="C268" s="213">
        <f>IFERROR(__xludf.DUMMYFUNCTION("""COMPUTED_VALUE"""),45618.45800925926)</f>
        <v>45618.45801</v>
      </c>
      <c r="D268" s="211" t="str">
        <f>IFERROR(__xludf.DUMMYFUNCTION("""COMPUTED_VALUE"""),"c2f5a4a7")</f>
        <v>c2f5a4a7</v>
      </c>
      <c r="E268" s="211" t="str">
        <f>IFERROR(__xludf.DUMMYFUNCTION("""COMPUTED_VALUE"""),"UD Sumber Berlian")</f>
        <v>UD Sumber Berlian</v>
      </c>
      <c r="F268" s="211" t="str">
        <f>IFERROR(__xludf.DUMMYFUNCTION("""COMPUTED_VALUE"""),"8bdbe149")</f>
        <v>8bdbe149</v>
      </c>
      <c r="G268" s="211" t="str">
        <f>IFERROR(__xludf.DUMMYFUNCTION("""COMPUTED_VALUE"""),"Oksigen 6m3")</f>
        <v>Oksigen 6m3</v>
      </c>
      <c r="H268" s="214" t="str">
        <f>IFERROR(__xludf.DUMMYFUNCTION("""COMPUTED_VALUE"""),"IN")</f>
        <v>IN</v>
      </c>
      <c r="I268" s="214" t="str">
        <f>IFERROR(__xludf.DUMMYFUNCTION("""COMPUTED_VALUE"""),"EMPTY")</f>
        <v>EMPTY</v>
      </c>
      <c r="J268" s="211">
        <f>IFERROR(__xludf.DUMMYFUNCTION("""COMPUTED_VALUE"""),26.0)</f>
        <v>26</v>
      </c>
      <c r="K268" s="210" t="str">
        <f>IFERROR(__xludf.DUMMYFUNCTION("""COMPUTED_VALUE"""),"1101 11101 001 005 004 003 002 1754 11155 1169 1115 1163 1580 1808 11142 11135 1157 1110 1144 1118 1191 1125 006 007 008 009")</f>
        <v>1101 11101 001 005 004 003 002 1754 11155 1169 1115 1163 1580 1808 11142 11135 1157 1110 1144 1118 1191 1125 006 007 008 009</v>
      </c>
      <c r="L268" s="211"/>
      <c r="M268" s="211"/>
      <c r="N268" s="211"/>
      <c r="O268" s="211"/>
      <c r="Q268" s="210" t="str">
        <f>IFERROR(__xludf.DUMMYFUNCTION("""COMPUTED_VALUE"""),"1f321d81")</f>
        <v>1f321d81</v>
      </c>
      <c r="R268" s="210" t="str">
        <f>IFERROR(__xludf.DUMMYFUNCTION("""COMPUTED_VALUE"""),"1f321d81")</f>
        <v>1f321d81</v>
      </c>
      <c r="S268" s="211" t="str">
        <f>IFERROR(__xludf.DUMMYFUNCTION("""COMPUTED_VALUE"""),"3fec37df")</f>
        <v>3fec37df</v>
      </c>
      <c r="T268" s="211" t="str">
        <f>IFERROR(__xludf.DUMMYFUNCTION("""COMPUTED_VALUE"""),"PT Jatim Abadi Perkasa Steel")</f>
        <v>PT Jatim Abadi Perkasa Steel</v>
      </c>
      <c r="U268" s="215">
        <f>IFERROR(__xludf.DUMMYFUNCTION("""COMPUTED_VALUE"""),45643.60763888889)</f>
        <v>45643.60764</v>
      </c>
      <c r="V268" s="211" t="str">
        <f>IFERROR(__xludf.DUMMYFUNCTION("""COMPUTED_VALUE"""),"Dsn. Bulak Sempuh, Jatirejo, Kab. Mojokerto, Jawa Timur")</f>
        <v>Dsn. Bulak Sempuh, Jatirejo, Kab. Mojokerto, Jawa Timur</v>
      </c>
      <c r="W268" s="211" t="str">
        <f>IFERROR(__xludf.DUMMYFUNCTION("""COMPUTED_VALUE"""),"IN")</f>
        <v>IN</v>
      </c>
      <c r="X268" s="211"/>
      <c r="Z268" s="211" t="str">
        <f>IFERROR(__xludf.DUMMYFUNCTION("""COMPUTED_VALUE"""),"0226112502")</f>
        <v>0226112502</v>
      </c>
      <c r="AC268" s="211"/>
      <c r="AD268" s="211"/>
      <c r="AE268" s="211"/>
      <c r="AF268" s="211"/>
      <c r="AG268" s="211"/>
      <c r="AH268" s="211"/>
      <c r="AI268" s="211"/>
      <c r="AJ268" s="211"/>
      <c r="AL268" s="211" t="str">
        <f>IFERROR(__xludf.DUMMYFUNCTION("""COMPUTED_VALUE"""),"2250038")</f>
        <v>2250038</v>
      </c>
      <c r="AM268" s="211" t="str">
        <f>IFERROR(__xludf.DUMMYFUNCTION("""COMPUTED_VALUE"""),"0925491276")</f>
        <v>0925491276</v>
      </c>
      <c r="AN268" s="211" t="str">
        <f>IFERROR(__xludf.DUMMYFUNCTION("""COMPUTED_VALUE"""),"e86baf3b")</f>
        <v>e86baf3b</v>
      </c>
      <c r="AO268" s="211" t="str">
        <f>IFERROR(__xludf.DUMMYFUNCTION("""COMPUTED_VALUE"""),"PT GEMILANG CIPTA WAWASAN")</f>
        <v>PT GEMILANG CIPTA WAWASAN</v>
      </c>
      <c r="AP268" s="215">
        <f>IFERROR(__xludf.DUMMYFUNCTION("""COMPUTED_VALUE"""),45917.503541666665)</f>
        <v>45917.50354</v>
      </c>
      <c r="AQ268" s="218">
        <f>IFERROR(__xludf.DUMMYFUNCTION("""COMPUTED_VALUE"""),45915.0)</f>
        <v>45915</v>
      </c>
      <c r="AR268" s="211"/>
      <c r="AS268" s="211"/>
      <c r="AT268" s="211"/>
      <c r="AU268" s="211"/>
      <c r="AV268" s="211"/>
      <c r="AW268" s="211"/>
      <c r="AX268" s="211"/>
      <c r="AY268" s="211"/>
      <c r="AZ268" s="211"/>
      <c r="BB268" s="211"/>
      <c r="BC268" s="211"/>
      <c r="BD268" s="211"/>
      <c r="BE268" s="211"/>
      <c r="BF268" s="211"/>
      <c r="BG268" s="211"/>
      <c r="BH268" s="211"/>
      <c r="BI268" s="211"/>
    </row>
    <row r="269">
      <c r="A269" s="210" t="str">
        <f>IFERROR(__xludf.DUMMYFUNCTION("""COMPUTED_VALUE"""),"a6458662")</f>
        <v>a6458662</v>
      </c>
      <c r="B269" s="210" t="str">
        <f>IFERROR(__xludf.DUMMYFUNCTION("""COMPUTED_VALUE"""),"a6458662")</f>
        <v>a6458662</v>
      </c>
      <c r="C269" s="213">
        <f>IFERROR(__xludf.DUMMYFUNCTION("""COMPUTED_VALUE"""),45618.46576388889)</f>
        <v>45618.46576</v>
      </c>
      <c r="D269" s="211" t="str">
        <f>IFERROR(__xludf.DUMMYFUNCTION("""COMPUTED_VALUE"""),"c2f5a4a7")</f>
        <v>c2f5a4a7</v>
      </c>
      <c r="E269" s="211" t="str">
        <f>IFERROR(__xludf.DUMMYFUNCTION("""COMPUTED_VALUE"""),"UD Sumber Berlian")</f>
        <v>UD Sumber Berlian</v>
      </c>
      <c r="F269" s="211" t="str">
        <f>IFERROR(__xludf.DUMMYFUNCTION("""COMPUTED_VALUE"""),"be525f3b")</f>
        <v>be525f3b</v>
      </c>
      <c r="G269" s="211" t="str">
        <f>IFERROR(__xludf.DUMMYFUNCTION("""COMPUTED_VALUE"""),"LPG 12kg")</f>
        <v>LPG 12kg</v>
      </c>
      <c r="H269" s="214" t="str">
        <f>IFERROR(__xludf.DUMMYFUNCTION("""COMPUTED_VALUE"""),"IN")</f>
        <v>IN</v>
      </c>
      <c r="I269" s="214" t="str">
        <f>IFERROR(__xludf.DUMMYFUNCTION("""COMPUTED_VALUE"""),"EMPTY")</f>
        <v>EMPTY</v>
      </c>
      <c r="J269" s="211">
        <f>IFERROR(__xludf.DUMMYFUNCTION("""COMPUTED_VALUE"""),2.0)</f>
        <v>2</v>
      </c>
      <c r="K269" s="211"/>
      <c r="L269" s="211"/>
      <c r="M269" s="211"/>
      <c r="N269" s="211"/>
      <c r="O269" s="211"/>
      <c r="Q269" s="210" t="str">
        <f>IFERROR(__xludf.DUMMYFUNCTION("""COMPUTED_VALUE"""),"4d620c45")</f>
        <v>4d620c45</v>
      </c>
      <c r="R269" s="210" t="str">
        <f>IFERROR(__xludf.DUMMYFUNCTION("""COMPUTED_VALUE"""),"4d620c45")</f>
        <v>4d620c45</v>
      </c>
      <c r="S269" s="211" t="str">
        <f>IFERROR(__xludf.DUMMYFUNCTION("""COMPUTED_VALUE"""),"f8335a53")</f>
        <v>f8335a53</v>
      </c>
      <c r="T269" s="211" t="str">
        <f>IFERROR(__xludf.DUMMYFUNCTION("""COMPUTED_VALUE"""),"CV RAGAM JAYA ENGINEERING")</f>
        <v>CV RAGAM JAYA ENGINEERING</v>
      </c>
      <c r="U269" s="215">
        <f>IFERROR(__xludf.DUMMYFUNCTION("""COMPUTED_VALUE"""),45644.43680555555)</f>
        <v>45644.43681</v>
      </c>
      <c r="V269" s="211" t="str">
        <f>IFERROR(__xludf.DUMMYFUNCTION("""COMPUTED_VALUE"""),"Jl. Balung wangon, Dadapkuning, Bulurejo, Kec. Benjeng, Kabupaten Gresik, Jawa Timur 61172")</f>
        <v>Jl. Balung wangon, Dadapkuning, Bulurejo, Kec. Benjeng, Kabupaten Gresik, Jawa Timur 61172</v>
      </c>
      <c r="W269" s="211" t="str">
        <f>IFERROR(__xludf.DUMMYFUNCTION("""COMPUTED_VALUE"""),"IN")</f>
        <v>IN</v>
      </c>
      <c r="X269" s="211"/>
      <c r="Z269" s="211" t="str">
        <f>IFERROR(__xludf.DUMMYFUNCTION("""COMPUTED_VALUE"""),"022642501")</f>
        <v>022642501</v>
      </c>
      <c r="AC269" s="211"/>
      <c r="AD269" s="211"/>
      <c r="AE269" s="211"/>
      <c r="AF269" s="211"/>
      <c r="AG269" s="211"/>
      <c r="AH269" s="211"/>
      <c r="AI269" s="211"/>
      <c r="AJ269" s="211"/>
      <c r="AL269" s="211" t="str">
        <f>IFERROR(__xludf.DUMMYFUNCTION("""COMPUTED_VALUE"""),"2250038")</f>
        <v>2250038</v>
      </c>
      <c r="AM269" s="211" t="str">
        <f>IFERROR(__xludf.DUMMYFUNCTION("""COMPUTED_VALUE"""),"0925501278")</f>
        <v>0925501278</v>
      </c>
      <c r="AN269" s="211" t="str">
        <f>IFERROR(__xludf.DUMMYFUNCTION("""COMPUTED_VALUE"""),"e86baf3b")</f>
        <v>e86baf3b</v>
      </c>
      <c r="AO269" s="211" t="str">
        <f>IFERROR(__xludf.DUMMYFUNCTION("""COMPUTED_VALUE"""),"PT GEMILANG CIPTA WAWASAN")</f>
        <v>PT GEMILANG CIPTA WAWASAN</v>
      </c>
      <c r="AP269" s="215">
        <f>IFERROR(__xludf.DUMMYFUNCTION("""COMPUTED_VALUE"""),45917.503541666665)</f>
        <v>45917.50354</v>
      </c>
      <c r="AQ269" s="218">
        <f>IFERROR(__xludf.DUMMYFUNCTION("""COMPUTED_VALUE"""),45916.0)</f>
        <v>45916</v>
      </c>
      <c r="AR269" s="211"/>
      <c r="AS269" s="211"/>
      <c r="AT269" s="211"/>
      <c r="AU269" s="211"/>
      <c r="AV269" s="211"/>
      <c r="AW269" s="211"/>
      <c r="AX269" s="211"/>
      <c r="AY269" s="211"/>
      <c r="AZ269" s="211"/>
      <c r="BB269" s="211"/>
      <c r="BC269" s="211"/>
      <c r="BD269" s="211"/>
      <c r="BE269" s="211"/>
      <c r="BF269" s="211"/>
      <c r="BG269" s="211"/>
      <c r="BH269" s="211"/>
      <c r="BI269" s="211"/>
    </row>
    <row r="270">
      <c r="A270" s="210" t="str">
        <f>IFERROR(__xludf.DUMMYFUNCTION("""COMPUTED_VALUE"""),"11240123")</f>
        <v>11240123</v>
      </c>
      <c r="B270" s="210" t="str">
        <f>IFERROR(__xludf.DUMMYFUNCTION("""COMPUTED_VALUE"""),"11240123")</f>
        <v>11240123</v>
      </c>
      <c r="C270" s="213">
        <f>IFERROR(__xludf.DUMMYFUNCTION("""COMPUTED_VALUE"""),45619.72083333333)</f>
        <v>45619.72083</v>
      </c>
      <c r="D270" s="211" t="str">
        <f>IFERROR(__xludf.DUMMYFUNCTION("""COMPUTED_VALUE"""),"e86baf3b")</f>
        <v>e86baf3b</v>
      </c>
      <c r="E270" s="211" t="str">
        <f>IFERROR(__xludf.DUMMYFUNCTION("""COMPUTED_VALUE"""),"PT GEMILANG CIPTA WAWASAN")</f>
        <v>PT GEMILANG CIPTA WAWASAN</v>
      </c>
      <c r="F270" s="211" t="str">
        <f>IFERROR(__xludf.DUMMYFUNCTION("""COMPUTED_VALUE"""),"8bdbe149")</f>
        <v>8bdbe149</v>
      </c>
      <c r="G270" s="211" t="str">
        <f>IFERROR(__xludf.DUMMYFUNCTION("""COMPUTED_VALUE"""),"Oksigen 6m3")</f>
        <v>Oksigen 6m3</v>
      </c>
      <c r="H270" s="214" t="str">
        <f>IFERROR(__xludf.DUMMYFUNCTION("""COMPUTED_VALUE"""),"OUT")</f>
        <v>OUT</v>
      </c>
      <c r="I270" s="214" t="str">
        <f>IFERROR(__xludf.DUMMYFUNCTION("""COMPUTED_VALUE"""),"NORMAL")</f>
        <v>NORMAL</v>
      </c>
      <c r="J270" s="211">
        <f>IFERROR(__xludf.DUMMYFUNCTION("""COMPUTED_VALUE"""),15.0)</f>
        <v>15</v>
      </c>
      <c r="K270" s="210" t="str">
        <f>IFERROR(__xludf.DUMMYFUNCTION("""COMPUTED_VALUE"""),"11178 1118 1163 1101 1157 1144 11101 1125 11180 1115 1191 1169 11179 1110 1182")</f>
        <v>11178 1118 1163 1101 1157 1144 11101 1125 11180 1115 1191 1169 11179 1110 1182</v>
      </c>
      <c r="L270" s="211">
        <f>IFERROR(__xludf.DUMMYFUNCTION("""COMPUTED_VALUE"""),60000.0)</f>
        <v>60000</v>
      </c>
      <c r="M270" s="211"/>
      <c r="N270" s="211"/>
      <c r="O270" s="211"/>
      <c r="Q270" s="210" t="str">
        <f>IFERROR(__xludf.DUMMYFUNCTION("""COMPUTED_VALUE"""),"817bd58f")</f>
        <v>817bd58f</v>
      </c>
      <c r="R270" s="210" t="str">
        <f>IFERROR(__xludf.DUMMYFUNCTION("""COMPUTED_VALUE"""),"817bd58f")</f>
        <v>817bd58f</v>
      </c>
      <c r="S270" s="211" t="str">
        <f>IFERROR(__xludf.DUMMYFUNCTION("""COMPUTED_VALUE"""),"785e0e07")</f>
        <v>785e0e07</v>
      </c>
      <c r="T270" s="211" t="str">
        <f>IFERROR(__xludf.DUMMYFUNCTION("""COMPUTED_VALUE"""),"Bpk. Sukirno (Bejo)")</f>
        <v>Bpk. Sukirno (Bejo)</v>
      </c>
      <c r="U270" s="215">
        <f>IFERROR(__xludf.DUMMYFUNCTION("""COMPUTED_VALUE"""),45644.620833333334)</f>
        <v>45644.62083</v>
      </c>
      <c r="V270" s="211" t="str">
        <f>IFERROR(__xludf.DUMMYFUNCTION("""COMPUTED_VALUE"""),"Krajan I, Wringinanom, Kec. Wringinanom, Kabupaten Gresik, Jawa Timur 61176")</f>
        <v>Krajan I, Wringinanom, Kec. Wringinanom, Kabupaten Gresik, Jawa Timur 61176</v>
      </c>
      <c r="W270" s="211" t="str">
        <f>IFERROR(__xludf.DUMMYFUNCTION("""COMPUTED_VALUE"""),"IN")</f>
        <v>IN</v>
      </c>
      <c r="X270" s="211"/>
      <c r="Z270" s="211" t="str">
        <f>IFERROR(__xludf.DUMMYFUNCTION("""COMPUTED_VALUE"""),"022682496")</f>
        <v>022682496</v>
      </c>
      <c r="AC270" s="211"/>
      <c r="AD270" s="211"/>
      <c r="AE270" s="211"/>
      <c r="AF270" s="211"/>
      <c r="AG270" s="211"/>
      <c r="AH270" s="211"/>
      <c r="AI270" s="211"/>
      <c r="AJ270" s="211"/>
      <c r="AL270" s="211" t="str">
        <f>IFERROR(__xludf.DUMMYFUNCTION("""COMPUTED_VALUE"""),"2250036")</f>
        <v>2250036</v>
      </c>
      <c r="AM270" s="211" t="str">
        <f>IFERROR(__xludf.DUMMYFUNCTION("""COMPUTED_VALUE"""),"0925451213")</f>
        <v>0925451213</v>
      </c>
      <c r="AN270" s="211" t="str">
        <f>IFERROR(__xludf.DUMMYFUNCTION("""COMPUTED_VALUE"""),"e86baf3b")</f>
        <v>e86baf3b</v>
      </c>
      <c r="AO270" s="211" t="str">
        <f>IFERROR(__xludf.DUMMYFUNCTION("""COMPUTED_VALUE"""),"PT GEMILANG CIPTA WAWASAN")</f>
        <v>PT GEMILANG CIPTA WAWASAN</v>
      </c>
      <c r="AP270" s="215">
        <f>IFERROR(__xludf.DUMMYFUNCTION("""COMPUTED_VALUE"""),45917.50325231481)</f>
        <v>45917.50325</v>
      </c>
      <c r="AQ270" s="218">
        <f>IFERROR(__xludf.DUMMYFUNCTION("""COMPUTED_VALUE"""),45902.0)</f>
        <v>45902</v>
      </c>
      <c r="AR270" s="211"/>
      <c r="AS270" s="211"/>
      <c r="AT270" s="211"/>
      <c r="AU270" s="211"/>
      <c r="AV270" s="211"/>
      <c r="AW270" s="211"/>
      <c r="AX270" s="211"/>
      <c r="AY270" s="211"/>
      <c r="AZ270" s="211"/>
      <c r="BB270" s="211"/>
      <c r="BC270" s="211"/>
      <c r="BD270" s="211"/>
      <c r="BE270" s="211"/>
      <c r="BF270" s="211"/>
      <c r="BG270" s="211"/>
      <c r="BH270" s="211"/>
      <c r="BI270" s="211"/>
    </row>
    <row r="271">
      <c r="A271" s="210" t="str">
        <f>IFERROR(__xludf.DUMMYFUNCTION("""COMPUTED_VALUE"""),"11240123")</f>
        <v>11240123</v>
      </c>
      <c r="B271" s="210" t="str">
        <f>IFERROR(__xludf.DUMMYFUNCTION("""COMPUTED_VALUE"""),"11240123")</f>
        <v>11240123</v>
      </c>
      <c r="C271" s="213">
        <f>IFERROR(__xludf.DUMMYFUNCTION("""COMPUTED_VALUE"""),45619.72222222222)</f>
        <v>45619.72222</v>
      </c>
      <c r="D271" s="211" t="str">
        <f>IFERROR(__xludf.DUMMYFUNCTION("""COMPUTED_VALUE"""),"e86baf3b")</f>
        <v>e86baf3b</v>
      </c>
      <c r="E271" s="211" t="str">
        <f>IFERROR(__xludf.DUMMYFUNCTION("""COMPUTED_VALUE"""),"PT GEMILANG CIPTA WAWASAN")</f>
        <v>PT GEMILANG CIPTA WAWASAN</v>
      </c>
      <c r="F271" s="211" t="str">
        <f>IFERROR(__xludf.DUMMYFUNCTION("""COMPUTED_VALUE"""),"be525f3b")</f>
        <v>be525f3b</v>
      </c>
      <c r="G271" s="211" t="str">
        <f>IFERROR(__xludf.DUMMYFUNCTION("""COMPUTED_VALUE"""),"LPG 12kg")</f>
        <v>LPG 12kg</v>
      </c>
      <c r="H271" s="214" t="str">
        <f>IFERROR(__xludf.DUMMYFUNCTION("""COMPUTED_VALUE"""),"OUT")</f>
        <v>OUT</v>
      </c>
      <c r="I271" s="214" t="str">
        <f>IFERROR(__xludf.DUMMYFUNCTION("""COMPUTED_VALUE"""),"NORMAL")</f>
        <v>NORMAL</v>
      </c>
      <c r="J271" s="211">
        <f>IFERROR(__xludf.DUMMYFUNCTION("""COMPUTED_VALUE"""),3.0)</f>
        <v>3</v>
      </c>
      <c r="K271" s="211"/>
      <c r="L271" s="211">
        <f>IFERROR(__xludf.DUMMYFUNCTION("""COMPUTED_VALUE"""),210000.0)</f>
        <v>210000</v>
      </c>
      <c r="M271" s="211"/>
      <c r="N271" s="211"/>
      <c r="O271" s="211"/>
      <c r="Q271" s="210" t="str">
        <f>IFERROR(__xludf.DUMMYFUNCTION("""COMPUTED_VALUE"""),"6af2d5e9")</f>
        <v>6af2d5e9</v>
      </c>
      <c r="R271" s="210" t="str">
        <f>IFERROR(__xludf.DUMMYFUNCTION("""COMPUTED_VALUE"""),"6af2d5e9")</f>
        <v>6af2d5e9</v>
      </c>
      <c r="S271" s="211" t="str">
        <f>IFERROR(__xludf.DUMMYFUNCTION("""COMPUTED_VALUE"""),"37175874")</f>
        <v>37175874</v>
      </c>
      <c r="T271" s="211" t="str">
        <f>IFERROR(__xludf.DUMMYFUNCTION("""COMPUTED_VALUE"""),"PT TERAPAN NILAIOSILASI INDONESIA (TENO)")</f>
        <v>PT TERAPAN NILAIOSILASI INDONESIA (TENO)</v>
      </c>
      <c r="U271" s="215">
        <f>IFERROR(__xludf.DUMMYFUNCTION("""COMPUTED_VALUE"""),45644.62222222222)</f>
        <v>45644.62222</v>
      </c>
      <c r="V271" s="211" t="str">
        <f>IFERROR(__xludf.DUMMYFUNCTION("""COMPUTED_VALUE"""),"JL Raya Kertajaya Indah 153 / P116, Gebang Putih, Sukokilo, Kota Surabaya, Jawa Timur")</f>
        <v>JL Raya Kertajaya Indah 153 / P116, Gebang Putih, Sukokilo, Kota Surabaya, Jawa Timur</v>
      </c>
      <c r="W271" s="211" t="str">
        <f>IFERROR(__xludf.DUMMYFUNCTION("""COMPUTED_VALUE"""),"IN")</f>
        <v>IN</v>
      </c>
      <c r="X271" s="211"/>
      <c r="Z271" s="211" t="str">
        <f>IFERROR(__xludf.DUMMYFUNCTION("""COMPUTED_VALUE"""),"0226132495")</f>
        <v>0226132495</v>
      </c>
      <c r="AC271" s="211"/>
      <c r="AD271" s="211"/>
      <c r="AE271" s="211"/>
      <c r="AF271" s="211"/>
      <c r="AG271" s="211"/>
      <c r="AH271" s="211"/>
      <c r="AI271" s="211"/>
      <c r="AJ271" s="211"/>
      <c r="AL271" s="211" t="str">
        <f>IFERROR(__xludf.DUMMYFUNCTION("""COMPUTED_VALUE"""),"2250036")</f>
        <v>2250036</v>
      </c>
      <c r="AM271" s="211" t="str">
        <f>IFERROR(__xludf.DUMMYFUNCTION("""COMPUTED_VALUE"""),"0925461244")</f>
        <v>0925461244</v>
      </c>
      <c r="AN271" s="211" t="str">
        <f>IFERROR(__xludf.DUMMYFUNCTION("""COMPUTED_VALUE"""),"e86baf3b")</f>
        <v>e86baf3b</v>
      </c>
      <c r="AO271" s="211" t="str">
        <f>IFERROR(__xludf.DUMMYFUNCTION("""COMPUTED_VALUE"""),"PT GEMILANG CIPTA WAWASAN")</f>
        <v>PT GEMILANG CIPTA WAWASAN</v>
      </c>
      <c r="AP271" s="215">
        <f>IFERROR(__xludf.DUMMYFUNCTION("""COMPUTED_VALUE"""),45917.50325231481)</f>
        <v>45917.50325</v>
      </c>
      <c r="AQ271" s="218">
        <f>IFERROR(__xludf.DUMMYFUNCTION("""COMPUTED_VALUE"""),45909.0)</f>
        <v>45909</v>
      </c>
      <c r="AR271" s="211"/>
      <c r="AS271" s="211"/>
      <c r="AT271" s="211"/>
      <c r="AU271" s="211"/>
      <c r="AV271" s="211"/>
      <c r="AW271" s="211"/>
      <c r="AX271" s="211"/>
      <c r="AY271" s="211"/>
      <c r="AZ271" s="211"/>
      <c r="BB271" s="211"/>
      <c r="BC271" s="211"/>
      <c r="BD271" s="211"/>
      <c r="BE271" s="211"/>
      <c r="BF271" s="211"/>
      <c r="BG271" s="211"/>
      <c r="BH271" s="211"/>
      <c r="BI271" s="211"/>
    </row>
    <row r="272">
      <c r="A272" s="210" t="str">
        <f>IFERROR(__xludf.DUMMYFUNCTION("""COMPUTED_VALUE"""),"11240125")</f>
        <v>11240125</v>
      </c>
      <c r="B272" s="210" t="str">
        <f>IFERROR(__xludf.DUMMYFUNCTION("""COMPUTED_VALUE"""),"11240125")</f>
        <v>11240125</v>
      </c>
      <c r="C272" s="213">
        <f>IFERROR(__xludf.DUMMYFUNCTION("""COMPUTED_VALUE"""),45619.32761574074)</f>
        <v>45619.32762</v>
      </c>
      <c r="D272" s="211" t="str">
        <f>IFERROR(__xludf.DUMMYFUNCTION("""COMPUTED_VALUE"""),"e968afef")</f>
        <v>e968afef</v>
      </c>
      <c r="E272" s="211" t="str">
        <f>IFERROR(__xludf.DUMMYFUNCTION("""COMPUTED_VALUE"""),"Bpk. Agus")</f>
        <v>Bpk. Agus</v>
      </c>
      <c r="F272" s="211" t="str">
        <f>IFERROR(__xludf.DUMMYFUNCTION("""COMPUTED_VALUE"""),"8bdbe149")</f>
        <v>8bdbe149</v>
      </c>
      <c r="G272" s="211" t="str">
        <f>IFERROR(__xludf.DUMMYFUNCTION("""COMPUTED_VALUE"""),"Oksigen 6m3")</f>
        <v>Oksigen 6m3</v>
      </c>
      <c r="H272" s="214" t="str">
        <f>IFERROR(__xludf.DUMMYFUNCTION("""COMPUTED_VALUE"""),"OUT")</f>
        <v>OUT</v>
      </c>
      <c r="I272" s="214" t="str">
        <f>IFERROR(__xludf.DUMMYFUNCTION("""COMPUTED_VALUE"""),"NORMAL")</f>
        <v>NORMAL</v>
      </c>
      <c r="J272" s="211">
        <f>IFERROR(__xludf.DUMMYFUNCTION("""COMPUTED_VALUE"""),3.0)</f>
        <v>3</v>
      </c>
      <c r="K272" s="210" t="str">
        <f>IFERROR(__xludf.DUMMYFUNCTION("""COMPUTED_VALUE"""),"11125 1133 11119")</f>
        <v>11125 1133 11119</v>
      </c>
      <c r="L272" s="211">
        <f>IFERROR(__xludf.DUMMYFUNCTION("""COMPUTED_VALUE"""),60000.0)</f>
        <v>60000</v>
      </c>
      <c r="M272" s="211"/>
      <c r="N272" s="211"/>
      <c r="O272" s="211"/>
      <c r="Q272" s="210" t="str">
        <f>IFERROR(__xludf.DUMMYFUNCTION("""COMPUTED_VALUE"""),"b482711f")</f>
        <v>b482711f</v>
      </c>
      <c r="R272" s="210" t="str">
        <f>IFERROR(__xludf.DUMMYFUNCTION("""COMPUTED_VALUE"""),"b482711f")</f>
        <v>b482711f</v>
      </c>
      <c r="S272" s="211" t="str">
        <f>IFERROR(__xludf.DUMMYFUNCTION("""COMPUTED_VALUE"""),"8f5ebaea")</f>
        <v>8f5ebaea</v>
      </c>
      <c r="T272" s="211" t="str">
        <f>IFERROR(__xludf.DUMMYFUNCTION("""COMPUTED_VALUE"""),"PT Hua Zong Mesindo")</f>
        <v>PT Hua Zong Mesindo</v>
      </c>
      <c r="U272" s="215">
        <f>IFERROR(__xludf.DUMMYFUNCTION("""COMPUTED_VALUE"""),45644.62361111111)</f>
        <v>45644.62361</v>
      </c>
      <c r="V272" s="211" t="str">
        <f>IFERROR(__xludf.DUMMYFUNCTION("""COMPUTED_VALUE"""),"Jl. Bypass Krian, Sidotemo, Sidomulyo, Kec. Krian, Kabupaten Sidoarjo, Jawa Timur 61262")</f>
        <v>Jl. Bypass Krian, Sidotemo, Sidomulyo, Kec. Krian, Kabupaten Sidoarjo, Jawa Timur 61262</v>
      </c>
      <c r="W272" s="211" t="str">
        <f>IFERROR(__xludf.DUMMYFUNCTION("""COMPUTED_VALUE"""),"IN")</f>
        <v>IN</v>
      </c>
      <c r="X272" s="211"/>
      <c r="Z272" s="211" t="str">
        <f>IFERROR(__xludf.DUMMYFUNCTION("""COMPUTED_VALUE"""),"0226172494")</f>
        <v>0226172494</v>
      </c>
      <c r="AC272" s="211"/>
      <c r="AD272" s="211"/>
      <c r="AE272" s="211"/>
      <c r="AF272" s="211"/>
      <c r="AG272" s="211"/>
      <c r="AH272" s="211"/>
      <c r="AI272" s="211"/>
      <c r="AJ272" s="211"/>
      <c r="AL272" s="211" t="str">
        <f>IFERROR(__xludf.DUMMYFUNCTION("""COMPUTED_VALUE"""),"2250033")</f>
        <v>2250033</v>
      </c>
      <c r="AM272" s="211" t="str">
        <f>IFERROR(__xludf.DUMMYFUNCTION("""COMPUTED_VALUE"""),"07250602")</f>
        <v>07250602</v>
      </c>
      <c r="AN272" s="211" t="str">
        <f>IFERROR(__xludf.DUMMYFUNCTION("""COMPUTED_VALUE"""),"eec2e801")</f>
        <v>eec2e801</v>
      </c>
      <c r="AO272" s="211" t="str">
        <f>IFERROR(__xludf.DUMMYFUNCTION("""COMPUTED_VALUE"""),"Mitra Wood Sejahtera")</f>
        <v>Mitra Wood Sejahtera</v>
      </c>
      <c r="AP272" s="215">
        <f>IFERROR(__xludf.DUMMYFUNCTION("""COMPUTED_VALUE"""),45906.546215277776)</f>
        <v>45906.54622</v>
      </c>
      <c r="AQ272" s="218">
        <f>IFERROR(__xludf.DUMMYFUNCTION("""COMPUTED_VALUE"""),45861.0)</f>
        <v>45861</v>
      </c>
      <c r="AR272" s="211"/>
      <c r="AS272" s="211"/>
      <c r="AT272" s="211"/>
      <c r="AU272" s="211"/>
      <c r="AV272" s="211"/>
      <c r="AW272" s="211"/>
      <c r="AX272" s="211"/>
      <c r="AY272" s="211"/>
      <c r="AZ272" s="211"/>
      <c r="BB272" s="211"/>
      <c r="BC272" s="211"/>
      <c r="BD272" s="211"/>
      <c r="BE272" s="211"/>
      <c r="BF272" s="211"/>
      <c r="BG272" s="211"/>
      <c r="BH272" s="211"/>
      <c r="BI272" s="211"/>
    </row>
    <row r="273">
      <c r="A273" s="210" t="str">
        <f>IFERROR(__xludf.DUMMYFUNCTION("""COMPUTED_VALUE"""),"411240003")</f>
        <v>411240003</v>
      </c>
      <c r="B273" s="210" t="str">
        <f>IFERROR(__xludf.DUMMYFUNCTION("""COMPUTED_VALUE"""),"411240003")</f>
        <v>411240003</v>
      </c>
      <c r="C273" s="213">
        <f>IFERROR(__xludf.DUMMYFUNCTION("""COMPUTED_VALUE"""),45619.32921296296)</f>
        <v>45619.32921</v>
      </c>
      <c r="D273" s="211" t="str">
        <f>IFERROR(__xludf.DUMMYFUNCTION("""COMPUTED_VALUE"""),"e968afef")</f>
        <v>e968afef</v>
      </c>
      <c r="E273" s="211" t="str">
        <f>IFERROR(__xludf.DUMMYFUNCTION("""COMPUTED_VALUE"""),"Bpk. Agus")</f>
        <v>Bpk. Agus</v>
      </c>
      <c r="F273" s="211" t="str">
        <f>IFERROR(__xludf.DUMMYFUNCTION("""COMPUTED_VALUE"""),"8bdbe149")</f>
        <v>8bdbe149</v>
      </c>
      <c r="G273" s="211" t="str">
        <f>IFERROR(__xludf.DUMMYFUNCTION("""COMPUTED_VALUE"""),"Oksigen 6m3")</f>
        <v>Oksigen 6m3</v>
      </c>
      <c r="H273" s="214" t="str">
        <f>IFERROR(__xludf.DUMMYFUNCTION("""COMPUTED_VALUE"""),"OTHER")</f>
        <v>OTHER</v>
      </c>
      <c r="I273" s="214" t="str">
        <f>IFERROR(__xludf.DUMMYFUNCTION("""COMPUTED_VALUE"""),"RETUR CLAIM")</f>
        <v>RETUR CLAIM</v>
      </c>
      <c r="J273" s="211">
        <f>IFERROR(__xludf.DUMMYFUNCTION("""COMPUTED_VALUE"""),1.0)</f>
        <v>1</v>
      </c>
      <c r="K273" s="210" t="str">
        <f>IFERROR(__xludf.DUMMYFUNCTION("""COMPUTED_VALUE"""),"1197")</f>
        <v>1197</v>
      </c>
      <c r="L273" s="211"/>
      <c r="M273" s="211"/>
      <c r="N273" s="211"/>
      <c r="O273" s="211"/>
      <c r="Q273" s="210" t="str">
        <f>IFERROR(__xludf.DUMMYFUNCTION("""COMPUTED_VALUE"""),"2f10572d")</f>
        <v>2f10572d</v>
      </c>
      <c r="R273" s="210" t="str">
        <f>IFERROR(__xludf.DUMMYFUNCTION("""COMPUTED_VALUE"""),"2f10572d")</f>
        <v>2f10572d</v>
      </c>
      <c r="S273" s="211" t="str">
        <f>IFERROR(__xludf.DUMMYFUNCTION("""COMPUTED_VALUE"""),"4ec68cf6")</f>
        <v>4ec68cf6</v>
      </c>
      <c r="T273" s="211" t="str">
        <f>IFERROR(__xludf.DUMMYFUNCTION("""COMPUTED_VALUE"""),"CV Sido Mukti Karya")</f>
        <v>CV Sido Mukti Karya</v>
      </c>
      <c r="U273" s="215">
        <f>IFERROR(__xludf.DUMMYFUNCTION("""COMPUTED_VALUE"""),45644.62430555555)</f>
        <v>45644.62431</v>
      </c>
      <c r="V273" s="211" t="str">
        <f>IFERROR(__xludf.DUMMYFUNCTION("""COMPUTED_VALUE"""),"Pergudangan Center Point no A3, Kemangsen")</f>
        <v>Pergudangan Center Point no A3, Kemangsen</v>
      </c>
      <c r="W273" s="211" t="str">
        <f>IFERROR(__xludf.DUMMYFUNCTION("""COMPUTED_VALUE"""),"IN")</f>
        <v>IN</v>
      </c>
      <c r="X273" s="211"/>
      <c r="Z273" s="211" t="str">
        <f>IFERROR(__xludf.DUMMYFUNCTION("""COMPUTED_VALUE"""),"022662492")</f>
        <v>022662492</v>
      </c>
      <c r="AC273" s="211"/>
      <c r="AD273" s="211"/>
      <c r="AE273" s="211"/>
      <c r="AF273" s="211"/>
      <c r="AG273" s="211"/>
      <c r="AH273" s="211"/>
      <c r="AI273" s="211"/>
      <c r="AJ273" s="211"/>
      <c r="AL273" s="211" t="str">
        <f>IFERROR(__xludf.DUMMYFUNCTION("""COMPUTED_VALUE"""),"2250033")</f>
        <v>2250033</v>
      </c>
      <c r="AM273" s="211" t="str">
        <f>IFERROR(__xludf.DUMMYFUNCTION("""COMPUTED_VALUE"""),"07250604")</f>
        <v>07250604</v>
      </c>
      <c r="AN273" s="211" t="str">
        <f>IFERROR(__xludf.DUMMYFUNCTION("""COMPUTED_VALUE"""),"eec2e801")</f>
        <v>eec2e801</v>
      </c>
      <c r="AO273" s="211" t="str">
        <f>IFERROR(__xludf.DUMMYFUNCTION("""COMPUTED_VALUE"""),"Mitra Wood Sejahtera")</f>
        <v>Mitra Wood Sejahtera</v>
      </c>
      <c r="AP273" s="215">
        <f>IFERROR(__xludf.DUMMYFUNCTION("""COMPUTED_VALUE"""),45906.546215277776)</f>
        <v>45906.54622</v>
      </c>
      <c r="AQ273" s="218">
        <f>IFERROR(__xludf.DUMMYFUNCTION("""COMPUTED_VALUE"""),45861.0)</f>
        <v>45861</v>
      </c>
      <c r="AR273" s="211"/>
      <c r="AS273" s="211"/>
      <c r="AT273" s="211"/>
      <c r="AU273" s="211"/>
      <c r="AV273" s="211"/>
      <c r="AW273" s="211"/>
      <c r="AX273" s="211"/>
      <c r="AY273" s="211"/>
      <c r="AZ273" s="211"/>
      <c r="BB273" s="211"/>
      <c r="BC273" s="211"/>
      <c r="BD273" s="211"/>
      <c r="BE273" s="211"/>
      <c r="BF273" s="211"/>
      <c r="BG273" s="211"/>
      <c r="BH273" s="211"/>
      <c r="BI273" s="211"/>
    </row>
    <row r="274">
      <c r="A274" s="210" t="str">
        <f>IFERROR(__xludf.DUMMYFUNCTION("""COMPUTED_VALUE"""),"46d3e288")</f>
        <v>46d3e288</v>
      </c>
      <c r="B274" s="210" t="str">
        <f>IFERROR(__xludf.DUMMYFUNCTION("""COMPUTED_VALUE"""),"46d3e288")</f>
        <v>46d3e288</v>
      </c>
      <c r="C274" s="213">
        <f>IFERROR(__xludf.DUMMYFUNCTION("""COMPUTED_VALUE"""),45619.4383912037)</f>
        <v>45619.43839</v>
      </c>
      <c r="D274" s="211" t="str">
        <f>IFERROR(__xludf.DUMMYFUNCTION("""COMPUTED_VALUE"""),"e86baf3b")</f>
        <v>e86baf3b</v>
      </c>
      <c r="E274" s="211" t="str">
        <f>IFERROR(__xludf.DUMMYFUNCTION("""COMPUTED_VALUE"""),"PT GEMILANG CIPTA WAWASAN")</f>
        <v>PT GEMILANG CIPTA WAWASAN</v>
      </c>
      <c r="F274" s="211" t="str">
        <f>IFERROR(__xludf.DUMMYFUNCTION("""COMPUTED_VALUE"""),"66af7c72")</f>
        <v>66af7c72</v>
      </c>
      <c r="G274" s="211" t="str">
        <f>IFERROR(__xludf.DUMMYFUNCTION("""COMPUTED_VALUE"""),"Argon 6m3")</f>
        <v>Argon 6m3</v>
      </c>
      <c r="H274" s="214" t="str">
        <f>IFERROR(__xludf.DUMMYFUNCTION("""COMPUTED_VALUE"""),"IN")</f>
        <v>IN</v>
      </c>
      <c r="I274" s="214" t="str">
        <f>IFERROR(__xludf.DUMMYFUNCTION("""COMPUTED_VALUE"""),"EMPTY")</f>
        <v>EMPTY</v>
      </c>
      <c r="J274" s="211">
        <f>IFERROR(__xludf.DUMMYFUNCTION("""COMPUTED_VALUE"""),10.0)</f>
        <v>10</v>
      </c>
      <c r="K274" s="210" t="str">
        <f>IFERROR(__xludf.DUMMYFUNCTION("""COMPUTED_VALUE"""),"8096 81 8267 8012 8009 8316 8051 8091 12003 12006")</f>
        <v>8096 81 8267 8012 8009 8316 8051 8091 12003 12006</v>
      </c>
      <c r="L274" s="211"/>
      <c r="M274" s="211"/>
      <c r="N274" s="211"/>
      <c r="O274" s="211"/>
      <c r="Q274" s="210" t="str">
        <f>IFERROR(__xludf.DUMMYFUNCTION("""COMPUTED_VALUE"""),"12240171")</f>
        <v>12240171</v>
      </c>
      <c r="R274" s="210" t="str">
        <f>IFERROR(__xludf.DUMMYFUNCTION("""COMPUTED_VALUE"""),"12240171")</f>
        <v>12240171</v>
      </c>
      <c r="S274" s="211" t="str">
        <f>IFERROR(__xludf.DUMMYFUNCTION("""COMPUTED_VALUE"""),"103f3ae7")</f>
        <v>103f3ae7</v>
      </c>
      <c r="T274" s="211" t="str">
        <f>IFERROR(__xludf.DUMMYFUNCTION("""COMPUTED_VALUE"""),"PT ARYANA CAKASANA")</f>
        <v>PT ARYANA CAKASANA</v>
      </c>
      <c r="U274" s="215">
        <f>IFERROR(__xludf.DUMMYFUNCTION("""COMPUTED_VALUE"""),45645.43125)</f>
        <v>45645.43125</v>
      </c>
      <c r="V274" s="211" t="str">
        <f>IFERROR(__xludf.DUMMYFUNCTION("""COMPUTED_VALUE"""),"Jl Raya Tarik No. 45, Wonokupang, Bakalan, Balongbendo")</f>
        <v>Jl Raya Tarik No. 45, Wonokupang, Bakalan, Balongbendo</v>
      </c>
      <c r="W274" s="211" t="str">
        <f>IFERROR(__xludf.DUMMYFUNCTION("""COMPUTED_VALUE"""),"OUT")</f>
        <v>OUT</v>
      </c>
      <c r="X274" s="211"/>
      <c r="Z274" s="211" t="str">
        <f>IFERROR(__xludf.DUMMYFUNCTION("""COMPUTED_VALUE"""),"0226822490")</f>
        <v>0226822490</v>
      </c>
      <c r="AC274" s="211"/>
      <c r="AD274" s="211"/>
      <c r="AE274" s="211"/>
      <c r="AF274" s="211"/>
      <c r="AG274" s="211"/>
      <c r="AH274" s="211"/>
      <c r="AI274" s="211"/>
      <c r="AJ274" s="211"/>
      <c r="AL274" s="211" t="str">
        <f>IFERROR(__xludf.DUMMYFUNCTION("""COMPUTED_VALUE"""),"2250029")</f>
        <v>2250029</v>
      </c>
      <c r="AM274" s="211" t="str">
        <f>IFERROR(__xludf.DUMMYFUNCTION("""COMPUTED_VALUE"""),"07250554")</f>
        <v>07250554</v>
      </c>
      <c r="AN274" s="211" t="str">
        <f>IFERROR(__xludf.DUMMYFUNCTION("""COMPUTED_VALUE"""),"182fb0fe")</f>
        <v>182fb0fe</v>
      </c>
      <c r="AO274" s="211" t="str">
        <f>IFERROR(__xludf.DUMMYFUNCTION("""COMPUTED_VALUE"""),"PT Amtech")</f>
        <v>PT Amtech</v>
      </c>
      <c r="AP274" s="215">
        <f>IFERROR(__xludf.DUMMYFUNCTION("""COMPUTED_VALUE"""),45901.848275462966)</f>
        <v>45901.84828</v>
      </c>
      <c r="AQ274" s="218">
        <f>IFERROR(__xludf.DUMMYFUNCTION("""COMPUTED_VALUE"""),45840.0)</f>
        <v>45840</v>
      </c>
      <c r="AR274" s="211"/>
      <c r="AS274" s="211"/>
      <c r="AT274" s="211"/>
      <c r="AU274" s="211"/>
      <c r="AV274" s="211"/>
      <c r="AW274" s="211"/>
      <c r="AX274" s="211"/>
      <c r="AY274" s="211"/>
      <c r="AZ274" s="211"/>
      <c r="BB274" s="211"/>
      <c r="BC274" s="211"/>
      <c r="BD274" s="211"/>
      <c r="BE274" s="211"/>
      <c r="BF274" s="211"/>
      <c r="BG274" s="211"/>
      <c r="BH274" s="211"/>
      <c r="BI274" s="211"/>
    </row>
    <row r="275">
      <c r="A275" s="210" t="str">
        <f>IFERROR(__xludf.DUMMYFUNCTION("""COMPUTED_VALUE"""),"46d3e288")</f>
        <v>46d3e288</v>
      </c>
      <c r="B275" s="210" t="str">
        <f>IFERROR(__xludf.DUMMYFUNCTION("""COMPUTED_VALUE"""),"46d3e288")</f>
        <v>46d3e288</v>
      </c>
      <c r="C275" s="213">
        <f>IFERROR(__xludf.DUMMYFUNCTION("""COMPUTED_VALUE"""),45619.442291666666)</f>
        <v>45619.44229</v>
      </c>
      <c r="D275" s="211" t="str">
        <f>IFERROR(__xludf.DUMMYFUNCTION("""COMPUTED_VALUE"""),"e86baf3b")</f>
        <v>e86baf3b</v>
      </c>
      <c r="E275" s="211" t="str">
        <f>IFERROR(__xludf.DUMMYFUNCTION("""COMPUTED_VALUE"""),"PT GEMILANG CIPTA WAWASAN")</f>
        <v>PT GEMILANG CIPTA WAWASAN</v>
      </c>
      <c r="F275" s="211" t="str">
        <f>IFERROR(__xludf.DUMMYFUNCTION("""COMPUTED_VALUE"""),"8bdbe149")</f>
        <v>8bdbe149</v>
      </c>
      <c r="G275" s="211" t="str">
        <f>IFERROR(__xludf.DUMMYFUNCTION("""COMPUTED_VALUE"""),"Oksigen 6m3")</f>
        <v>Oksigen 6m3</v>
      </c>
      <c r="H275" s="214" t="str">
        <f>IFERROR(__xludf.DUMMYFUNCTION("""COMPUTED_VALUE"""),"IN")</f>
        <v>IN</v>
      </c>
      <c r="I275" s="214" t="str">
        <f>IFERROR(__xludf.DUMMYFUNCTION("""COMPUTED_VALUE"""),"EMPTY")</f>
        <v>EMPTY</v>
      </c>
      <c r="J275" s="211">
        <f>IFERROR(__xludf.DUMMYFUNCTION("""COMPUTED_VALUE"""),5.0)</f>
        <v>5</v>
      </c>
      <c r="K275" s="210" t="str">
        <f>IFERROR(__xludf.DUMMYFUNCTION("""COMPUTED_VALUE"""),"1173 1193 11108 1111 11123")</f>
        <v>1173 1193 11108 1111 11123</v>
      </c>
      <c r="L275" s="211"/>
      <c r="M275" s="211"/>
      <c r="N275" s="211"/>
      <c r="O275" s="211"/>
      <c r="Q275" s="210" t="str">
        <f>IFERROR(__xludf.DUMMYFUNCTION("""COMPUTED_VALUE"""),"12240172")</f>
        <v>12240172</v>
      </c>
      <c r="R275" s="210" t="str">
        <f>IFERROR(__xludf.DUMMYFUNCTION("""COMPUTED_VALUE"""),"12240172")</f>
        <v>12240172</v>
      </c>
      <c r="S275" s="211" t="str">
        <f>IFERROR(__xludf.DUMMYFUNCTION("""COMPUTED_VALUE"""),"37175874")</f>
        <v>37175874</v>
      </c>
      <c r="T275" s="211" t="str">
        <f>IFERROR(__xludf.DUMMYFUNCTION("""COMPUTED_VALUE"""),"PT TERAPAN NILAIOSILASI INDONESIA (TENO)")</f>
        <v>PT TERAPAN NILAIOSILASI INDONESIA (TENO)</v>
      </c>
      <c r="U275" s="215">
        <f>IFERROR(__xludf.DUMMYFUNCTION("""COMPUTED_VALUE"""),45645.43680555555)</f>
        <v>45645.43681</v>
      </c>
      <c r="V275" s="211" t="str">
        <f>IFERROR(__xludf.DUMMYFUNCTION("""COMPUTED_VALUE"""),"JL Raya Kertajaya Indah 153 / P116, Gebang Putih, Sukokilo, Kota Surabaya, Jawa Timur")</f>
        <v>JL Raya Kertajaya Indah 153 / P116, Gebang Putih, Sukokilo, Kota Surabaya, Jawa Timur</v>
      </c>
      <c r="W275" s="211" t="str">
        <f>IFERROR(__xludf.DUMMYFUNCTION("""COMPUTED_VALUE"""),"OUT")</f>
        <v>OUT</v>
      </c>
      <c r="X275" s="211"/>
      <c r="Z275" s="211" t="str">
        <f>IFERROR(__xludf.DUMMYFUNCTION("""COMPUTED_VALUE"""),"022692485")</f>
        <v>022692485</v>
      </c>
      <c r="AC275" s="211"/>
      <c r="AD275" s="211"/>
      <c r="AE275" s="211"/>
      <c r="AF275" s="211"/>
      <c r="AG275" s="211"/>
      <c r="AH275" s="211"/>
      <c r="AI275" s="211"/>
      <c r="AJ275" s="211"/>
      <c r="AL275" s="211" t="str">
        <f>IFERROR(__xludf.DUMMYFUNCTION("""COMPUTED_VALUE"""),"2250029")</f>
        <v>2250029</v>
      </c>
      <c r="AM275" s="211" t="str">
        <f>IFERROR(__xludf.DUMMYFUNCTION("""COMPUTED_VALUE"""),"0825101094")</f>
        <v>0825101094</v>
      </c>
      <c r="AN275" s="211" t="str">
        <f>IFERROR(__xludf.DUMMYFUNCTION("""COMPUTED_VALUE"""),"182fb0fe")</f>
        <v>182fb0fe</v>
      </c>
      <c r="AO275" s="211" t="str">
        <f>IFERROR(__xludf.DUMMYFUNCTION("""COMPUTED_VALUE"""),"PT Amtech")</f>
        <v>PT Amtech</v>
      </c>
      <c r="AP275" s="215">
        <f>IFERROR(__xludf.DUMMYFUNCTION("""COMPUTED_VALUE"""),45901.848275462966)</f>
        <v>45901.84828</v>
      </c>
      <c r="AQ275" s="218">
        <f>IFERROR(__xludf.DUMMYFUNCTION("""COMPUTED_VALUE"""),45875.0)</f>
        <v>45875</v>
      </c>
      <c r="AR275" s="211"/>
      <c r="AS275" s="211"/>
      <c r="AT275" s="211"/>
      <c r="AU275" s="211"/>
      <c r="AV275" s="211"/>
      <c r="AW275" s="211"/>
      <c r="AX275" s="211"/>
      <c r="AY275" s="211"/>
      <c r="AZ275" s="211"/>
      <c r="BB275" s="211"/>
      <c r="BC275" s="211"/>
      <c r="BD275" s="211"/>
      <c r="BE275" s="211"/>
      <c r="BF275" s="211"/>
      <c r="BG275" s="211"/>
      <c r="BH275" s="211"/>
      <c r="BI275" s="211"/>
    </row>
    <row r="276">
      <c r="A276" s="210" t="str">
        <f>IFERROR(__xludf.DUMMYFUNCTION("""COMPUTED_VALUE"""),"11240126")</f>
        <v>11240126</v>
      </c>
      <c r="B276" s="210" t="str">
        <f>IFERROR(__xludf.DUMMYFUNCTION("""COMPUTED_VALUE"""),"11240126")</f>
        <v>11240126</v>
      </c>
      <c r="C276" s="213">
        <f>IFERROR(__xludf.DUMMYFUNCTION("""COMPUTED_VALUE"""),45619.44631944445)</f>
        <v>45619.44632</v>
      </c>
      <c r="D276" s="211" t="str">
        <f>IFERROR(__xludf.DUMMYFUNCTION("""COMPUTED_VALUE"""),"4a01ccb6")</f>
        <v>4a01ccb6</v>
      </c>
      <c r="E276" s="211" t="str">
        <f>IFERROR(__xludf.DUMMYFUNCTION("""COMPUTED_VALUE"""),"CV ANUGERAH PERSADA TEKNIK")</f>
        <v>CV ANUGERAH PERSADA TEKNIK</v>
      </c>
      <c r="F276" s="211" t="str">
        <f>IFERROR(__xludf.DUMMYFUNCTION("""COMPUTED_VALUE"""),"8bdbe149")</f>
        <v>8bdbe149</v>
      </c>
      <c r="G276" s="211" t="str">
        <f>IFERROR(__xludf.DUMMYFUNCTION("""COMPUTED_VALUE"""),"Oksigen 6m3")</f>
        <v>Oksigen 6m3</v>
      </c>
      <c r="H276" s="214" t="str">
        <f>IFERROR(__xludf.DUMMYFUNCTION("""COMPUTED_VALUE"""),"OUT")</f>
        <v>OUT</v>
      </c>
      <c r="I276" s="214" t="str">
        <f>IFERROR(__xludf.DUMMYFUNCTION("""COMPUTED_VALUE"""),"NORMAL")</f>
        <v>NORMAL</v>
      </c>
      <c r="J276" s="211">
        <f>IFERROR(__xludf.DUMMYFUNCTION("""COMPUTED_VALUE"""),10.0)</f>
        <v>10</v>
      </c>
      <c r="K276" s="210" t="str">
        <f>IFERROR(__xludf.DUMMYFUNCTION("""COMPUTED_VALUE"""),"11181 11182 11177 1114 1152 1159 1132 1127 1136 1189")</f>
        <v>11181 11182 11177 1114 1152 1159 1132 1127 1136 1189</v>
      </c>
      <c r="L276" s="211">
        <f>IFERROR(__xludf.DUMMYFUNCTION("""COMPUTED_VALUE"""),65000.0)</f>
        <v>65000</v>
      </c>
      <c r="M276" s="211"/>
      <c r="N276" s="211"/>
      <c r="O276" s="211"/>
      <c r="Q276" s="210" t="str">
        <f>IFERROR(__xludf.DUMMYFUNCTION("""COMPUTED_VALUE"""),"5c82b874")</f>
        <v>5c82b874</v>
      </c>
      <c r="R276" s="210" t="str">
        <f>IFERROR(__xludf.DUMMYFUNCTION("""COMPUTED_VALUE"""),"5c82b874")</f>
        <v>5c82b874</v>
      </c>
      <c r="S276" s="211" t="str">
        <f>IFERROR(__xludf.DUMMYFUNCTION("""COMPUTED_VALUE"""),"37175874")</f>
        <v>37175874</v>
      </c>
      <c r="T276" s="211" t="str">
        <f>IFERROR(__xludf.DUMMYFUNCTION("""COMPUTED_VALUE"""),"PT TERAPAN NILAIOSILASI INDONESIA (TENO)")</f>
        <v>PT TERAPAN NILAIOSILASI INDONESIA (TENO)</v>
      </c>
      <c r="U276" s="215">
        <f>IFERROR(__xludf.DUMMYFUNCTION("""COMPUTED_VALUE"""),45645.632638888885)</f>
        <v>45645.63264</v>
      </c>
      <c r="V276" s="211" t="str">
        <f>IFERROR(__xludf.DUMMYFUNCTION("""COMPUTED_VALUE"""),"JL Raya Kertajaya Indah 153 / P116, Gebang Putih, Sukokilo, Kota Surabaya, Jawa Timur")</f>
        <v>JL Raya Kertajaya Indah 153 / P116, Gebang Putih, Sukokilo, Kota Surabaya, Jawa Timur</v>
      </c>
      <c r="W276" s="211" t="str">
        <f>IFERROR(__xludf.DUMMYFUNCTION("""COMPUTED_VALUE"""),"IN")</f>
        <v>IN</v>
      </c>
      <c r="X276" s="211"/>
      <c r="Z276" s="211" t="str">
        <f>IFERROR(__xludf.DUMMYFUNCTION("""COMPUTED_VALUE"""),"022622484")</f>
        <v>022622484</v>
      </c>
      <c r="AC276" s="211"/>
      <c r="AD276" s="211"/>
      <c r="AE276" s="211"/>
      <c r="AF276" s="211"/>
      <c r="AG276" s="211"/>
      <c r="AH276" s="211"/>
      <c r="AI276" s="211"/>
      <c r="AJ276" s="211"/>
      <c r="AL276" s="211" t="str">
        <f>IFERROR(__xludf.DUMMYFUNCTION("""COMPUTED_VALUE"""),"2250029")</f>
        <v>2250029</v>
      </c>
      <c r="AM276" s="211" t="str">
        <f>IFERROR(__xludf.DUMMYFUNCTION("""COMPUTED_VALUE"""),"0825101138")</f>
        <v>0825101138</v>
      </c>
      <c r="AN276" s="211" t="str">
        <f>IFERROR(__xludf.DUMMYFUNCTION("""COMPUTED_VALUE"""),"182fb0fe")</f>
        <v>182fb0fe</v>
      </c>
      <c r="AO276" s="211" t="str">
        <f>IFERROR(__xludf.DUMMYFUNCTION("""COMPUTED_VALUE"""),"PT Amtech")</f>
        <v>PT Amtech</v>
      </c>
      <c r="AP276" s="215">
        <f>IFERROR(__xludf.DUMMYFUNCTION("""COMPUTED_VALUE"""),45901.848275462966)</f>
        <v>45901.84828</v>
      </c>
      <c r="AQ276" s="218">
        <f>IFERROR(__xludf.DUMMYFUNCTION("""COMPUTED_VALUE"""),45888.0)</f>
        <v>45888</v>
      </c>
      <c r="AR276" s="211"/>
      <c r="AS276" s="211"/>
      <c r="AT276" s="211"/>
      <c r="AU276" s="211"/>
      <c r="AV276" s="211"/>
      <c r="AW276" s="211"/>
      <c r="AX276" s="211"/>
      <c r="AY276" s="211"/>
      <c r="AZ276" s="211"/>
      <c r="BB276" s="211"/>
      <c r="BC276" s="211"/>
      <c r="BD276" s="211"/>
      <c r="BE276" s="211"/>
      <c r="BF276" s="211"/>
      <c r="BG276" s="211"/>
      <c r="BH276" s="211"/>
      <c r="BI276" s="211"/>
    </row>
    <row r="277">
      <c r="A277" s="210" t="str">
        <f>IFERROR(__xludf.DUMMYFUNCTION("""COMPUTED_VALUE"""),"11240127")</f>
        <v>11240127</v>
      </c>
      <c r="B277" s="210" t="str">
        <f>IFERROR(__xludf.DUMMYFUNCTION("""COMPUTED_VALUE"""),"11240127")</f>
        <v>11240127</v>
      </c>
      <c r="C277" s="213">
        <f>IFERROR(__xludf.DUMMYFUNCTION("""COMPUTED_VALUE"""),45621.510416666664)</f>
        <v>45621.51042</v>
      </c>
      <c r="D277" s="211" t="str">
        <f>IFERROR(__xludf.DUMMYFUNCTION("""COMPUTED_VALUE"""),"72d9a70c")</f>
        <v>72d9a70c</v>
      </c>
      <c r="E277" s="211" t="str">
        <f>IFERROR(__xludf.DUMMYFUNCTION("""COMPUTED_VALUE"""),"PT Beton Prima Indonesia")</f>
        <v>PT Beton Prima Indonesia</v>
      </c>
      <c r="F277" s="211" t="str">
        <f>IFERROR(__xludf.DUMMYFUNCTION("""COMPUTED_VALUE"""),"8bdbe149")</f>
        <v>8bdbe149</v>
      </c>
      <c r="G277" s="211" t="str">
        <f>IFERROR(__xludf.DUMMYFUNCTION("""COMPUTED_VALUE"""),"Oksigen 6m3")</f>
        <v>Oksigen 6m3</v>
      </c>
      <c r="H277" s="214" t="str">
        <f>IFERROR(__xludf.DUMMYFUNCTION("""COMPUTED_VALUE"""),"OUT")</f>
        <v>OUT</v>
      </c>
      <c r="I277" s="214" t="str">
        <f>IFERROR(__xludf.DUMMYFUNCTION("""COMPUTED_VALUE"""),"NORMAL")</f>
        <v>NORMAL</v>
      </c>
      <c r="J277" s="211">
        <f>IFERROR(__xludf.DUMMYFUNCTION("""COMPUTED_VALUE"""),5.0)</f>
        <v>5</v>
      </c>
      <c r="K277" s="210" t="str">
        <f>IFERROR(__xludf.DUMMYFUNCTION("""COMPUTED_VALUE"""),"11135 11142 11155 1154 11122")</f>
        <v>11135 11142 11155 1154 11122</v>
      </c>
      <c r="L277" s="211">
        <f>IFERROR(__xludf.DUMMYFUNCTION("""COMPUTED_VALUE"""),45045.04505)</f>
        <v>45045.04505</v>
      </c>
      <c r="M277" s="211"/>
      <c r="N277" s="211"/>
      <c r="O277" s="211"/>
      <c r="Q277" s="210" t="str">
        <f>IFERROR(__xludf.DUMMYFUNCTION("""COMPUTED_VALUE"""),"12240173")</f>
        <v>12240173</v>
      </c>
      <c r="R277" s="210" t="str">
        <f>IFERROR(__xludf.DUMMYFUNCTION("""COMPUTED_VALUE"""),"12240173")</f>
        <v>12240173</v>
      </c>
      <c r="S277" s="211" t="str">
        <f>IFERROR(__xludf.DUMMYFUNCTION("""COMPUTED_VALUE"""),"4bef3bbf")</f>
        <v>4bef3bbf</v>
      </c>
      <c r="T277" s="211" t="str">
        <f>IFERROR(__xludf.DUMMYFUNCTION("""COMPUTED_VALUE"""),"PT Dingsheng Metal Indonesia (Ngoro)")</f>
        <v>PT Dingsheng Metal Indonesia (Ngoro)</v>
      </c>
      <c r="U277" s="215">
        <f>IFERROR(__xludf.DUMMYFUNCTION("""COMPUTED_VALUE"""),45646.35)</f>
        <v>45646.35</v>
      </c>
      <c r="V277" s="211" t="str">
        <f>IFERROR(__xludf.DUMMYFUNCTION("""COMPUTED_VALUE"""),"Kri Kilan, Watesnegoro, Kec. Ngoro, Kabupaten Mojokerto, Jawa Timur 61385")</f>
        <v>Kri Kilan, Watesnegoro, Kec. Ngoro, Kabupaten Mojokerto, Jawa Timur 61385</v>
      </c>
      <c r="W277" s="211" t="str">
        <f>IFERROR(__xludf.DUMMYFUNCTION("""COMPUTED_VALUE"""),"OUT")</f>
        <v>OUT</v>
      </c>
      <c r="X277" s="211"/>
      <c r="Z277" s="211" t="str">
        <f>IFERROR(__xludf.DUMMYFUNCTION("""COMPUTED_VALUE"""),"0226202480")</f>
        <v>0226202480</v>
      </c>
      <c r="AC277" s="211"/>
      <c r="AD277" s="211"/>
      <c r="AE277" s="211"/>
      <c r="AF277" s="211"/>
      <c r="AG277" s="211"/>
      <c r="AH277" s="211"/>
      <c r="AI277" s="211"/>
      <c r="AJ277" s="211"/>
      <c r="AL277" s="211" t="str">
        <f>IFERROR(__xludf.DUMMYFUNCTION("""COMPUTED_VALUE"""),"2250029")</f>
        <v>2250029</v>
      </c>
      <c r="AM277" s="211" t="str">
        <f>IFERROR(__xludf.DUMMYFUNCTION("""COMPUTED_VALUE"""),"0825111183")</f>
        <v>0825111183</v>
      </c>
      <c r="AN277" s="211" t="str">
        <f>IFERROR(__xludf.DUMMYFUNCTION("""COMPUTED_VALUE"""),"182fb0fe")</f>
        <v>182fb0fe</v>
      </c>
      <c r="AO277" s="211" t="str">
        <f>IFERROR(__xludf.DUMMYFUNCTION("""COMPUTED_VALUE"""),"PT Amtech")</f>
        <v>PT Amtech</v>
      </c>
      <c r="AP277" s="215">
        <f>IFERROR(__xludf.DUMMYFUNCTION("""COMPUTED_VALUE"""),45901.848275462966)</f>
        <v>45901.84828</v>
      </c>
      <c r="AQ277" s="218">
        <f>IFERROR(__xludf.DUMMYFUNCTION("""COMPUTED_VALUE"""),45897.0)</f>
        <v>45897</v>
      </c>
      <c r="AR277" s="211"/>
      <c r="AS277" s="211"/>
      <c r="AT277" s="211"/>
      <c r="AU277" s="211"/>
      <c r="AV277" s="211"/>
      <c r="AW277" s="211"/>
      <c r="AX277" s="211"/>
      <c r="AY277" s="211"/>
      <c r="AZ277" s="211"/>
      <c r="BB277" s="211"/>
      <c r="BC277" s="211"/>
      <c r="BD277" s="211"/>
      <c r="BE277" s="211"/>
      <c r="BF277" s="211"/>
      <c r="BG277" s="211"/>
      <c r="BH277" s="211"/>
      <c r="BI277" s="211"/>
    </row>
    <row r="278">
      <c r="A278" s="210" t="str">
        <f>IFERROR(__xludf.DUMMYFUNCTION("""COMPUTED_VALUE"""),"11240128")</f>
        <v>11240128</v>
      </c>
      <c r="B278" s="210" t="str">
        <f>IFERROR(__xludf.DUMMYFUNCTION("""COMPUTED_VALUE"""),"11240128")</f>
        <v>11240128</v>
      </c>
      <c r="C278" s="213">
        <f>IFERROR(__xludf.DUMMYFUNCTION("""COMPUTED_VALUE"""),45621.53047453704)</f>
        <v>45621.53047</v>
      </c>
      <c r="D278" s="211" t="str">
        <f>IFERROR(__xludf.DUMMYFUNCTION("""COMPUTED_VALUE"""),"f8335a53")</f>
        <v>f8335a53</v>
      </c>
      <c r="E278" s="211" t="str">
        <f>IFERROR(__xludf.DUMMYFUNCTION("""COMPUTED_VALUE"""),"CV RAGAM JAYA ENGINEERING")</f>
        <v>CV RAGAM JAYA ENGINEERING</v>
      </c>
      <c r="F278" s="211" t="str">
        <f>IFERROR(__xludf.DUMMYFUNCTION("""COMPUTED_VALUE"""),"8bdbe149")</f>
        <v>8bdbe149</v>
      </c>
      <c r="G278" s="211" t="str">
        <f>IFERROR(__xludf.DUMMYFUNCTION("""COMPUTED_VALUE"""),"Oksigen 6m3")</f>
        <v>Oksigen 6m3</v>
      </c>
      <c r="H278" s="214" t="str">
        <f>IFERROR(__xludf.DUMMYFUNCTION("""COMPUTED_VALUE"""),"OUT")</f>
        <v>OUT</v>
      </c>
      <c r="I278" s="214" t="str">
        <f>IFERROR(__xludf.DUMMYFUNCTION("""COMPUTED_VALUE"""),"NORMAL")</f>
        <v>NORMAL</v>
      </c>
      <c r="J278" s="211">
        <f>IFERROR(__xludf.DUMMYFUNCTION("""COMPUTED_VALUE"""),10.0)</f>
        <v>10</v>
      </c>
      <c r="K278" s="210" t="str">
        <f>IFERROR(__xludf.DUMMYFUNCTION("""COMPUTED_VALUE"""),"1431 1829 1069 1598 5589 5006 1824 5753 5461 1006")</f>
        <v>1431 1829 1069 1598 5589 5006 1824 5753 5461 1006</v>
      </c>
      <c r="L278" s="211">
        <f>IFERROR(__xludf.DUMMYFUNCTION("""COMPUTED_VALUE"""),60000.0)</f>
        <v>60000</v>
      </c>
      <c r="M278" s="211"/>
      <c r="N278" s="211"/>
      <c r="O278" s="211"/>
      <c r="Q278" s="210" t="str">
        <f>IFERROR(__xludf.DUMMYFUNCTION("""COMPUTED_VALUE"""),"12240174")</f>
        <v>12240174</v>
      </c>
      <c r="R278" s="210" t="str">
        <f>IFERROR(__xludf.DUMMYFUNCTION("""COMPUTED_VALUE"""),"12240174")</f>
        <v>12240174</v>
      </c>
      <c r="S278" s="211" t="str">
        <f>IFERROR(__xludf.DUMMYFUNCTION("""COMPUTED_VALUE"""),"01158be1")</f>
        <v>01158be1</v>
      </c>
      <c r="T278" s="211" t="str">
        <f>IFERROR(__xludf.DUMMYFUNCTION("""COMPUTED_VALUE"""),"GYF")</f>
        <v>GYF</v>
      </c>
      <c r="U278" s="215">
        <f>IFERROR(__xludf.DUMMYFUNCTION("""COMPUTED_VALUE"""),45646.43888888889)</f>
        <v>45646.43889</v>
      </c>
      <c r="V278" s="211" t="str">
        <f>IFERROR(__xludf.DUMMYFUNCTION("""COMPUTED_VALUE"""),"Kangkungan, Lengkong, Kec. Mojoanyar, Kabupaten Mojokerto, Jawa Timur")</f>
        <v>Kangkungan, Lengkong, Kec. Mojoanyar, Kabupaten Mojokerto, Jawa Timur</v>
      </c>
      <c r="W278" s="211" t="str">
        <f>IFERROR(__xludf.DUMMYFUNCTION("""COMPUTED_VALUE"""),"OUT")</f>
        <v>OUT</v>
      </c>
      <c r="X278" s="211"/>
      <c r="Z278" s="211" t="str">
        <f>IFERROR(__xludf.DUMMYFUNCTION("""COMPUTED_VALUE"""),"022662478")</f>
        <v>022662478</v>
      </c>
      <c r="AC278" s="211"/>
      <c r="AD278" s="211"/>
      <c r="AE278" s="211"/>
      <c r="AF278" s="211"/>
      <c r="AG278" s="211"/>
      <c r="AH278" s="211"/>
      <c r="AI278" s="211"/>
      <c r="AJ278" s="211"/>
      <c r="AL278" s="211" t="str">
        <f>IFERROR(__xludf.DUMMYFUNCTION("""COMPUTED_VALUE"""),"2250007")</f>
        <v>2250007</v>
      </c>
      <c r="AM278" s="211" t="str">
        <f>IFERROR(__xludf.DUMMYFUNCTION("""COMPUTED_VALUE"""),"07250607")</f>
        <v>07250607</v>
      </c>
      <c r="AN278" s="211" t="str">
        <f>IFERROR(__xludf.DUMMYFUNCTION("""COMPUTED_VALUE"""),"a343b84d")</f>
        <v>a343b84d</v>
      </c>
      <c r="AO278" s="211" t="str">
        <f>IFERROR(__xludf.DUMMYFUNCTION("""COMPUTED_VALUE"""),"PT Utama Alim Sejahtera")</f>
        <v>PT Utama Alim Sejahtera</v>
      </c>
      <c r="AP278" s="215">
        <f>IFERROR(__xludf.DUMMYFUNCTION("""COMPUTED_VALUE"""),45901.84395833334)</f>
        <v>45901.84396</v>
      </c>
      <c r="AQ278" s="218">
        <f>IFERROR(__xludf.DUMMYFUNCTION("""COMPUTED_VALUE"""),45863.0)</f>
        <v>45863</v>
      </c>
      <c r="AR278" s="211"/>
      <c r="AS278" s="211"/>
      <c r="AT278" s="211"/>
      <c r="AU278" s="211"/>
      <c r="AV278" s="211"/>
      <c r="AW278" s="211"/>
      <c r="AX278" s="211"/>
      <c r="AY278" s="211"/>
      <c r="AZ278" s="211"/>
      <c r="BB278" s="211"/>
      <c r="BC278" s="211"/>
      <c r="BD278" s="211"/>
      <c r="BE278" s="211"/>
      <c r="BF278" s="211"/>
      <c r="BG278" s="211"/>
      <c r="BH278" s="211"/>
      <c r="BI278" s="211"/>
    </row>
    <row r="279">
      <c r="A279" s="210" t="str">
        <f>IFERROR(__xludf.DUMMYFUNCTION("""COMPUTED_VALUE"""),"11240128")</f>
        <v>11240128</v>
      </c>
      <c r="B279" s="210" t="str">
        <f>IFERROR(__xludf.DUMMYFUNCTION("""COMPUTED_VALUE"""),"11240128")</f>
        <v>11240128</v>
      </c>
      <c r="C279" s="213">
        <f>IFERROR(__xludf.DUMMYFUNCTION("""COMPUTED_VALUE"""),45621.53083333333)</f>
        <v>45621.53083</v>
      </c>
      <c r="D279" s="211" t="str">
        <f>IFERROR(__xludf.DUMMYFUNCTION("""COMPUTED_VALUE"""),"f8335a53")</f>
        <v>f8335a53</v>
      </c>
      <c r="E279" s="211" t="str">
        <f>IFERROR(__xludf.DUMMYFUNCTION("""COMPUTED_VALUE"""),"CV RAGAM JAYA ENGINEERING")</f>
        <v>CV RAGAM JAYA ENGINEERING</v>
      </c>
      <c r="F279" s="211" t="str">
        <f>IFERROR(__xludf.DUMMYFUNCTION("""COMPUTED_VALUE"""),"ef306e54")</f>
        <v>ef306e54</v>
      </c>
      <c r="G279" s="211" t="str">
        <f>IFERROR(__xludf.DUMMYFUNCTION("""COMPUTED_VALUE"""),"Karbondioksida")</f>
        <v>Karbondioksida</v>
      </c>
      <c r="H279" s="214" t="str">
        <f>IFERROR(__xludf.DUMMYFUNCTION("""COMPUTED_VALUE"""),"OUT")</f>
        <v>OUT</v>
      </c>
      <c r="I279" s="214" t="str">
        <f>IFERROR(__xludf.DUMMYFUNCTION("""COMPUTED_VALUE"""),"NORMAL")</f>
        <v>NORMAL</v>
      </c>
      <c r="J279" s="211">
        <f>IFERROR(__xludf.DUMMYFUNCTION("""COMPUTED_VALUE"""),10.0)</f>
        <v>10</v>
      </c>
      <c r="K279" s="210" t="str">
        <f>IFERROR(__xludf.DUMMYFUNCTION("""COMPUTED_VALUE"""),"6648 6683 6875 6651 6808 6894 6694 6668 6667 6774")</f>
        <v>6648 6683 6875 6651 6808 6894 6694 6668 6667 6774</v>
      </c>
      <c r="L279" s="211">
        <f>IFERROR(__xludf.DUMMYFUNCTION("""COMPUTED_VALUE"""),160000.0)</f>
        <v>160000</v>
      </c>
      <c r="M279" s="211"/>
      <c r="N279" s="211"/>
      <c r="O279" s="211"/>
      <c r="Q279" s="210" t="str">
        <f>IFERROR(__xludf.DUMMYFUNCTION("""COMPUTED_VALUE"""),"12240175")</f>
        <v>12240175</v>
      </c>
      <c r="R279" s="210" t="str">
        <f>IFERROR(__xludf.DUMMYFUNCTION("""COMPUTED_VALUE"""),"12240175")</f>
        <v>12240175</v>
      </c>
      <c r="S279" s="211" t="str">
        <f>IFERROR(__xludf.DUMMYFUNCTION("""COMPUTED_VALUE"""),"556931a6")</f>
        <v>556931a6</v>
      </c>
      <c r="T279" s="211" t="str">
        <f>IFERROR(__xludf.DUMMYFUNCTION("""COMPUTED_VALUE"""),"Bpk. Agus (Trowulan)")</f>
        <v>Bpk. Agus (Trowulan)</v>
      </c>
      <c r="U279" s="215">
        <f>IFERROR(__xludf.DUMMYFUNCTION("""COMPUTED_VALUE"""),45646.43958333333)</f>
        <v>45646.43958</v>
      </c>
      <c r="V279" s="211" t="str">
        <f>IFERROR(__xludf.DUMMYFUNCTION("""COMPUTED_VALUE"""),"Temborong, Domas, Kec. Trowulan, Kabupaten Mojokerto, Jawa Timur")</f>
        <v>Temborong, Domas, Kec. Trowulan, Kabupaten Mojokerto, Jawa Timur</v>
      </c>
      <c r="W279" s="211" t="str">
        <f>IFERROR(__xludf.DUMMYFUNCTION("""COMPUTED_VALUE"""),"OUT")</f>
        <v>OUT</v>
      </c>
      <c r="X279" s="211"/>
      <c r="Z279" s="211" t="str">
        <f>IFERROR(__xludf.DUMMYFUNCTION("""COMPUTED_VALUE"""),"0226362475")</f>
        <v>0226362475</v>
      </c>
      <c r="AC279" s="211"/>
      <c r="AD279" s="211"/>
      <c r="AE279" s="211"/>
      <c r="AF279" s="211"/>
      <c r="AG279" s="211"/>
      <c r="AH279" s="211"/>
      <c r="AI279" s="211"/>
      <c r="AJ279" s="211"/>
      <c r="AL279" s="211" t="str">
        <f>IFERROR(__xludf.DUMMYFUNCTION("""COMPUTED_VALUE"""),"2250007")</f>
        <v>2250007</v>
      </c>
      <c r="AM279" s="211" t="str">
        <f>IFERROR(__xludf.DUMMYFUNCTION("""COMPUTED_VALUE"""),"07250618")</f>
        <v>07250618</v>
      </c>
      <c r="AN279" s="211" t="str">
        <f>IFERROR(__xludf.DUMMYFUNCTION("""COMPUTED_VALUE"""),"a343b84d")</f>
        <v>a343b84d</v>
      </c>
      <c r="AO279" s="211" t="str">
        <f>IFERROR(__xludf.DUMMYFUNCTION("""COMPUTED_VALUE"""),"PT Utama Alim Sejahtera")</f>
        <v>PT Utama Alim Sejahtera</v>
      </c>
      <c r="AP279" s="215">
        <f>IFERROR(__xludf.DUMMYFUNCTION("""COMPUTED_VALUE"""),45901.84395833334)</f>
        <v>45901.84396</v>
      </c>
      <c r="AQ279" s="218">
        <f>IFERROR(__xludf.DUMMYFUNCTION("""COMPUTED_VALUE"""),45869.0)</f>
        <v>45869</v>
      </c>
      <c r="AR279" s="211"/>
      <c r="AS279" s="211"/>
      <c r="AT279" s="211"/>
      <c r="AU279" s="211"/>
      <c r="AV279" s="211"/>
      <c r="AW279" s="211"/>
      <c r="AX279" s="211"/>
      <c r="AY279" s="211"/>
      <c r="AZ279" s="211"/>
      <c r="BB279" s="211"/>
      <c r="BC279" s="211"/>
      <c r="BD279" s="211"/>
      <c r="BE279" s="211"/>
      <c r="BF279" s="211"/>
      <c r="BG279" s="211"/>
      <c r="BH279" s="211"/>
      <c r="BI279" s="211"/>
    </row>
    <row r="280">
      <c r="A280" s="210" t="str">
        <f>IFERROR(__xludf.DUMMYFUNCTION("""COMPUTED_VALUE"""),"2cc2187d")</f>
        <v>2cc2187d</v>
      </c>
      <c r="B280" s="210" t="str">
        <f>IFERROR(__xludf.DUMMYFUNCTION("""COMPUTED_VALUE"""),"2cc2187d")</f>
        <v>2cc2187d</v>
      </c>
      <c r="C280" s="213">
        <f>IFERROR(__xludf.DUMMYFUNCTION("""COMPUTED_VALUE"""),45621.54766203704)</f>
        <v>45621.54766</v>
      </c>
      <c r="D280" s="211" t="str">
        <f>IFERROR(__xludf.DUMMYFUNCTION("""COMPUTED_VALUE"""),"72d9a70c")</f>
        <v>72d9a70c</v>
      </c>
      <c r="E280" s="211" t="str">
        <f>IFERROR(__xludf.DUMMYFUNCTION("""COMPUTED_VALUE"""),"PT Beton Prima Indonesia")</f>
        <v>PT Beton Prima Indonesia</v>
      </c>
      <c r="F280" s="211" t="str">
        <f>IFERROR(__xludf.DUMMYFUNCTION("""COMPUTED_VALUE"""),"8bdbe149")</f>
        <v>8bdbe149</v>
      </c>
      <c r="G280" s="211" t="str">
        <f>IFERROR(__xludf.DUMMYFUNCTION("""COMPUTED_VALUE"""),"Oksigen 6m3")</f>
        <v>Oksigen 6m3</v>
      </c>
      <c r="H280" s="214" t="str">
        <f>IFERROR(__xludf.DUMMYFUNCTION("""COMPUTED_VALUE"""),"IN")</f>
        <v>IN</v>
      </c>
      <c r="I280" s="214" t="str">
        <f>IFERROR(__xludf.DUMMYFUNCTION("""COMPUTED_VALUE"""),"EMPTY")</f>
        <v>EMPTY</v>
      </c>
      <c r="J280" s="211">
        <f>IFERROR(__xludf.DUMMYFUNCTION("""COMPUTED_VALUE"""),8.0)</f>
        <v>8</v>
      </c>
      <c r="K280" s="210" t="str">
        <f>IFERROR(__xludf.DUMMYFUNCTION("""COMPUTED_VALUE"""),"11133 1153 11132 11127 11131 5803 5127 5240")</f>
        <v>11133 1153 11132 11127 11131 5803 5127 5240</v>
      </c>
      <c r="L280" s="211"/>
      <c r="M280" s="211"/>
      <c r="N280" s="211"/>
      <c r="O280" s="211"/>
      <c r="Q280" s="210" t="str">
        <f>IFERROR(__xludf.DUMMYFUNCTION("""COMPUTED_VALUE"""),"bdc8d89e")</f>
        <v>bdc8d89e</v>
      </c>
      <c r="R280" s="210" t="str">
        <f>IFERROR(__xludf.DUMMYFUNCTION("""COMPUTED_VALUE"""),"bdc8d89e")</f>
        <v>bdc8d89e</v>
      </c>
      <c r="S280" s="211" t="str">
        <f>IFERROR(__xludf.DUMMYFUNCTION("""COMPUTED_VALUE"""),"72d9a70c")</f>
        <v>72d9a70c</v>
      </c>
      <c r="T280" s="211" t="str">
        <f>IFERROR(__xludf.DUMMYFUNCTION("""COMPUTED_VALUE"""),"PT Beton Prima Indonesia")</f>
        <v>PT Beton Prima Indonesia</v>
      </c>
      <c r="U280" s="215">
        <f>IFERROR(__xludf.DUMMYFUNCTION("""COMPUTED_VALUE"""),45646.46944444445)</f>
        <v>45646.46944</v>
      </c>
      <c r="V280" s="211" t="str">
        <f>IFERROR(__xludf.DUMMYFUNCTION("""COMPUTED_VALUE"""),"KH. Ahmad Dahlan KM.2 Ds. Sumberwono, Kec. Bangsal, Kab. Mojokerto 61381")</f>
        <v>KH. Ahmad Dahlan KM.2 Ds. Sumberwono, Kec. Bangsal, Kab. Mojokerto 61381</v>
      </c>
      <c r="W280" s="211" t="str">
        <f>IFERROR(__xludf.DUMMYFUNCTION("""COMPUTED_VALUE"""),"IN")</f>
        <v>IN</v>
      </c>
      <c r="X280" s="211"/>
      <c r="Z280" s="211" t="str">
        <f>IFERROR(__xludf.DUMMYFUNCTION("""COMPUTED_VALUE"""),"022682472")</f>
        <v>022682472</v>
      </c>
      <c r="AC280" s="211"/>
      <c r="AD280" s="211"/>
      <c r="AE280" s="211"/>
      <c r="AF280" s="211"/>
      <c r="AG280" s="211"/>
      <c r="AH280" s="211"/>
      <c r="AI280" s="211"/>
      <c r="AJ280" s="211"/>
      <c r="AL280" s="211" t="str">
        <f>IFERROR(__xludf.DUMMYFUNCTION("""COMPUTED_VALUE"""),"2250017")</f>
        <v>2250017</v>
      </c>
      <c r="AM280" s="211" t="str">
        <f>IFERROR(__xludf.DUMMYFUNCTION("""COMPUTED_VALUE"""),"0825391131")</f>
        <v>0825391131</v>
      </c>
      <c r="AN280" s="211" t="str">
        <f>IFERROR(__xludf.DUMMYFUNCTION("""COMPUTED_VALUE"""),"e86baf3b")</f>
        <v>e86baf3b</v>
      </c>
      <c r="AO280" s="211" t="str">
        <f>IFERROR(__xludf.DUMMYFUNCTION("""COMPUTED_VALUE"""),"PT GEMILANG CIPTA WAWASAN")</f>
        <v>PT GEMILANG CIPTA WAWASAN</v>
      </c>
      <c r="AP280" s="215">
        <f>IFERROR(__xludf.DUMMYFUNCTION("""COMPUTED_VALUE"""),45901.83283564815)</f>
        <v>45901.83284</v>
      </c>
      <c r="AQ280" s="218">
        <f>IFERROR(__xludf.DUMMYFUNCTION("""COMPUTED_VALUE"""),45885.0)</f>
        <v>45885</v>
      </c>
      <c r="AR280" s="211"/>
      <c r="AS280" s="211"/>
      <c r="AT280" s="211"/>
      <c r="AU280" s="211"/>
      <c r="AV280" s="211"/>
      <c r="AW280" s="211"/>
      <c r="AX280" s="211"/>
      <c r="AY280" s="211"/>
      <c r="AZ280" s="211"/>
      <c r="BB280" s="211"/>
      <c r="BC280" s="211"/>
      <c r="BD280" s="211"/>
      <c r="BE280" s="211"/>
      <c r="BF280" s="211"/>
      <c r="BG280" s="211"/>
      <c r="BH280" s="211"/>
      <c r="BI280" s="211"/>
    </row>
    <row r="281">
      <c r="A281" s="210" t="str">
        <f>IFERROR(__xludf.DUMMYFUNCTION("""COMPUTED_VALUE"""),"2cc2187d")</f>
        <v>2cc2187d</v>
      </c>
      <c r="B281" s="210" t="str">
        <f>IFERROR(__xludf.DUMMYFUNCTION("""COMPUTED_VALUE"""),"2cc2187d")</f>
        <v>2cc2187d</v>
      </c>
      <c r="C281" s="213">
        <f>IFERROR(__xludf.DUMMYFUNCTION("""COMPUTED_VALUE"""),45621.54991898148)</f>
        <v>45621.54992</v>
      </c>
      <c r="D281" s="211" t="str">
        <f>IFERROR(__xludf.DUMMYFUNCTION("""COMPUTED_VALUE"""),"72d9a70c")</f>
        <v>72d9a70c</v>
      </c>
      <c r="E281" s="211" t="str">
        <f>IFERROR(__xludf.DUMMYFUNCTION("""COMPUTED_VALUE"""),"PT Beton Prima Indonesia")</f>
        <v>PT Beton Prima Indonesia</v>
      </c>
      <c r="F281" s="211" t="str">
        <f>IFERROR(__xludf.DUMMYFUNCTION("""COMPUTED_VALUE"""),"3b9d6a30")</f>
        <v>3b9d6a30</v>
      </c>
      <c r="G281" s="211" t="str">
        <f>IFERROR(__xludf.DUMMYFUNCTION("""COMPUTED_VALUE"""),"Acetyline")</f>
        <v>Acetyline</v>
      </c>
      <c r="H281" s="214" t="str">
        <f>IFERROR(__xludf.DUMMYFUNCTION("""COMPUTED_VALUE"""),"IN")</f>
        <v>IN</v>
      </c>
      <c r="I281" s="214" t="str">
        <f>IFERROR(__xludf.DUMMYFUNCTION("""COMPUTED_VALUE"""),"EMPTY")</f>
        <v>EMPTY</v>
      </c>
      <c r="J281" s="211">
        <f>IFERROR(__xludf.DUMMYFUNCTION("""COMPUTED_VALUE"""),2.0)</f>
        <v>2</v>
      </c>
      <c r="K281" s="210" t="str">
        <f>IFERROR(__xludf.DUMMYFUNCTION("""COMPUTED_VALUE"""),"7822 7957")</f>
        <v>7822 7957</v>
      </c>
      <c r="L281" s="211"/>
      <c r="M281" s="211"/>
      <c r="N281" s="211"/>
      <c r="O281" s="211"/>
      <c r="Q281" s="210" t="str">
        <f>IFERROR(__xludf.DUMMYFUNCTION("""COMPUTED_VALUE"""),"3920bc7e")</f>
        <v>3920bc7e</v>
      </c>
      <c r="R281" s="210" t="str">
        <f>IFERROR(__xludf.DUMMYFUNCTION("""COMPUTED_VALUE"""),"3920bc7e")</f>
        <v>3920bc7e</v>
      </c>
      <c r="S281" s="211" t="str">
        <f>IFERROR(__xludf.DUMMYFUNCTION("""COMPUTED_VALUE"""),"01158be1")</f>
        <v>01158be1</v>
      </c>
      <c r="T281" s="211" t="str">
        <f>IFERROR(__xludf.DUMMYFUNCTION("""COMPUTED_VALUE"""),"GYF")</f>
        <v>GYF</v>
      </c>
      <c r="U281" s="215">
        <f>IFERROR(__xludf.DUMMYFUNCTION("""COMPUTED_VALUE"""),45646.43611111111)</f>
        <v>45646.43611</v>
      </c>
      <c r="V281" s="211" t="str">
        <f>IFERROR(__xludf.DUMMYFUNCTION("""COMPUTED_VALUE"""),"Kangkungan, Lengkong, Kec. Mojoanyar, Kabupaten Mojokerto, Jawa Timur")</f>
        <v>Kangkungan, Lengkong, Kec. Mojoanyar, Kabupaten Mojokerto, Jawa Timur</v>
      </c>
      <c r="W281" s="211" t="str">
        <f>IFERROR(__xludf.DUMMYFUNCTION("""COMPUTED_VALUE"""),"IN")</f>
        <v>IN</v>
      </c>
      <c r="X281" s="211"/>
      <c r="Z281" s="211" t="str">
        <f>IFERROR(__xludf.DUMMYFUNCTION("""COMPUTED_VALUE"""),"022642468")</f>
        <v>022642468</v>
      </c>
      <c r="AC281" s="211"/>
      <c r="AD281" s="211"/>
      <c r="AE281" s="211"/>
      <c r="AF281" s="211"/>
      <c r="AG281" s="211"/>
      <c r="AH281" s="211"/>
      <c r="AI281" s="211"/>
      <c r="AJ281" s="211"/>
      <c r="AL281" s="211" t="str">
        <f>IFERROR(__xludf.DUMMYFUNCTION("""COMPUTED_VALUE"""),"2250017")</f>
        <v>2250017</v>
      </c>
      <c r="AM281" s="211" t="str">
        <f>IFERROR(__xludf.DUMMYFUNCTION("""COMPUTED_VALUE"""),"0825401152")</f>
        <v>0825401152</v>
      </c>
      <c r="AN281" s="211" t="str">
        <f>IFERROR(__xludf.DUMMYFUNCTION("""COMPUTED_VALUE"""),"e86baf3b")</f>
        <v>e86baf3b</v>
      </c>
      <c r="AO281" s="211" t="str">
        <f>IFERROR(__xludf.DUMMYFUNCTION("""COMPUTED_VALUE"""),"PT GEMILANG CIPTA WAWASAN")</f>
        <v>PT GEMILANG CIPTA WAWASAN</v>
      </c>
      <c r="AP281" s="215">
        <f>IFERROR(__xludf.DUMMYFUNCTION("""COMPUTED_VALUE"""),45901.83283564815)</f>
        <v>45901.83284</v>
      </c>
      <c r="AQ281" s="218">
        <f>IFERROR(__xludf.DUMMYFUNCTION("""COMPUTED_VALUE"""),45890.0)</f>
        <v>45890</v>
      </c>
      <c r="AR281" s="211"/>
      <c r="AS281" s="211"/>
      <c r="AT281" s="211"/>
      <c r="AU281" s="211"/>
      <c r="AV281" s="211"/>
      <c r="AW281" s="211"/>
      <c r="AX281" s="211"/>
      <c r="AY281" s="211"/>
      <c r="AZ281" s="211"/>
      <c r="BB281" s="211"/>
      <c r="BC281" s="211"/>
      <c r="BD281" s="211"/>
      <c r="BE281" s="211"/>
      <c r="BF281" s="211"/>
      <c r="BG281" s="211"/>
      <c r="BH281" s="211"/>
      <c r="BI281" s="211"/>
    </row>
    <row r="282">
      <c r="A282" s="210" t="str">
        <f>IFERROR(__xludf.DUMMYFUNCTION("""COMPUTED_VALUE"""),"7e20b08f")</f>
        <v>7e20b08f</v>
      </c>
      <c r="B282" s="210" t="str">
        <f>IFERROR(__xludf.DUMMYFUNCTION("""COMPUTED_VALUE"""),"7e20b08f")</f>
        <v>7e20b08f</v>
      </c>
      <c r="C282" s="213">
        <f>IFERROR(__xludf.DUMMYFUNCTION("""COMPUTED_VALUE"""),45621.642372685186)</f>
        <v>45621.64237</v>
      </c>
      <c r="D282" s="211" t="str">
        <f>IFERROR(__xludf.DUMMYFUNCTION("""COMPUTED_VALUE"""),"f8335a53")</f>
        <v>f8335a53</v>
      </c>
      <c r="E282" s="211" t="str">
        <f>IFERROR(__xludf.DUMMYFUNCTION("""COMPUTED_VALUE"""),"CV RAGAM JAYA ENGINEERING")</f>
        <v>CV RAGAM JAYA ENGINEERING</v>
      </c>
      <c r="F282" s="211" t="str">
        <f>IFERROR(__xludf.DUMMYFUNCTION("""COMPUTED_VALUE"""),"8bdbe149")</f>
        <v>8bdbe149</v>
      </c>
      <c r="G282" s="211" t="str">
        <f>IFERROR(__xludf.DUMMYFUNCTION("""COMPUTED_VALUE"""),"Oksigen 6m3")</f>
        <v>Oksigen 6m3</v>
      </c>
      <c r="H282" s="214" t="str">
        <f>IFERROR(__xludf.DUMMYFUNCTION("""COMPUTED_VALUE"""),"IN")</f>
        <v>IN</v>
      </c>
      <c r="I282" s="214" t="str">
        <f>IFERROR(__xludf.DUMMYFUNCTION("""COMPUTED_VALUE"""),"EMPTY")</f>
        <v>EMPTY</v>
      </c>
      <c r="J282" s="211">
        <f>IFERROR(__xludf.DUMMYFUNCTION("""COMPUTED_VALUE"""),4.0)</f>
        <v>4</v>
      </c>
      <c r="K282" s="210" t="str">
        <f>IFERROR(__xludf.DUMMYFUNCTION("""COMPUTED_VALUE"""),"1187 11121 1123 1168")</f>
        <v>1187 11121 1123 1168</v>
      </c>
      <c r="L282" s="211"/>
      <c r="M282" s="211"/>
      <c r="N282" s="211"/>
      <c r="O282" s="211"/>
      <c r="Q282" s="210" t="str">
        <f>IFERROR(__xludf.DUMMYFUNCTION("""COMPUTED_VALUE"""),"12240177")</f>
        <v>12240177</v>
      </c>
      <c r="R282" s="210" t="str">
        <f>IFERROR(__xludf.DUMMYFUNCTION("""COMPUTED_VALUE"""),"12240177")</f>
        <v>12240177</v>
      </c>
      <c r="S282" s="211" t="str">
        <f>IFERROR(__xludf.DUMMYFUNCTION("""COMPUTED_VALUE"""),"69d002bb")</f>
        <v>69d002bb</v>
      </c>
      <c r="T282" s="211" t="str">
        <f>IFERROR(__xludf.DUMMYFUNCTION("""COMPUTED_VALUE"""),"Bengkel Putra Sanjaya (Bpk. Amin)")</f>
        <v>Bengkel Putra Sanjaya (Bpk. Amin)</v>
      </c>
      <c r="U282" s="215">
        <f>IFERROR(__xludf.DUMMYFUNCTION("""COMPUTED_VALUE"""),45647.45277777778)</f>
        <v>45647.45278</v>
      </c>
      <c r="V282" s="211" t="str">
        <f>IFERROR(__xludf.DUMMYFUNCTION("""COMPUTED_VALUE"""),"Sidomukti, Kraton, Kec. Krian, Kabupaten Sidoarjo, Jawa Timur 61262")</f>
        <v>Sidomukti, Kraton, Kec. Krian, Kabupaten Sidoarjo, Jawa Timur 61262</v>
      </c>
      <c r="W282" s="211" t="str">
        <f>IFERROR(__xludf.DUMMYFUNCTION("""COMPUTED_VALUE"""),"OUT")</f>
        <v>OUT</v>
      </c>
      <c r="X282" s="211"/>
      <c r="Z282" s="211" t="str">
        <f>IFERROR(__xludf.DUMMYFUNCTION("""COMPUTED_VALUE"""),"0226812465")</f>
        <v>0226812465</v>
      </c>
      <c r="AC282" s="211"/>
      <c r="AD282" s="211"/>
      <c r="AE282" s="211"/>
      <c r="AF282" s="211"/>
      <c r="AG282" s="211"/>
      <c r="AH282" s="211"/>
      <c r="AI282" s="211"/>
      <c r="AJ282" s="211"/>
      <c r="AL282" s="211" t="str">
        <f>IFERROR(__xludf.DUMMYFUNCTION("""COMPUTED_VALUE"""),"2250027")</f>
        <v>2250027</v>
      </c>
      <c r="AM282" s="211" t="str">
        <f>IFERROR(__xludf.DUMMYFUNCTION("""COMPUTED_VALUE"""),"0825431179")</f>
        <v>0825431179</v>
      </c>
      <c r="AN282" s="211" t="str">
        <f>IFERROR(__xludf.DUMMYFUNCTION("""COMPUTED_VALUE"""),"e86baf3b")</f>
        <v>e86baf3b</v>
      </c>
      <c r="AO282" s="211" t="str">
        <f>IFERROR(__xludf.DUMMYFUNCTION("""COMPUTED_VALUE"""),"PT GEMILANG CIPTA WAWASAN")</f>
        <v>PT GEMILANG CIPTA WAWASAN</v>
      </c>
      <c r="AP282" s="215">
        <f>IFERROR(__xludf.DUMMYFUNCTION("""COMPUTED_VALUE"""),45901.82925925926)</f>
        <v>45901.82926</v>
      </c>
      <c r="AQ282" s="218">
        <f>IFERROR(__xludf.DUMMYFUNCTION("""COMPUTED_VALUE"""),45897.0)</f>
        <v>45897</v>
      </c>
      <c r="AR282" s="211"/>
      <c r="AS282" s="211"/>
      <c r="AT282" s="211"/>
      <c r="AU282" s="211"/>
      <c r="AV282" s="211"/>
      <c r="AW282" s="211"/>
      <c r="AX282" s="211"/>
      <c r="AY282" s="211"/>
      <c r="AZ282" s="211"/>
      <c r="BB282" s="211"/>
      <c r="BC282" s="211"/>
      <c r="BD282" s="211"/>
      <c r="BE282" s="211"/>
      <c r="BF282" s="211"/>
      <c r="BG282" s="211"/>
      <c r="BH282" s="211"/>
      <c r="BI282" s="211"/>
    </row>
    <row r="283">
      <c r="A283" s="210" t="str">
        <f>IFERROR(__xludf.DUMMYFUNCTION("""COMPUTED_VALUE"""),"7e20b08f")</f>
        <v>7e20b08f</v>
      </c>
      <c r="B283" s="210" t="str">
        <f>IFERROR(__xludf.DUMMYFUNCTION("""COMPUTED_VALUE"""),"7e20b08f")</f>
        <v>7e20b08f</v>
      </c>
      <c r="C283" s="213">
        <f>IFERROR(__xludf.DUMMYFUNCTION("""COMPUTED_VALUE"""),45621.64318287037)</f>
        <v>45621.64318</v>
      </c>
      <c r="D283" s="211" t="str">
        <f>IFERROR(__xludf.DUMMYFUNCTION("""COMPUTED_VALUE"""),"f8335a53")</f>
        <v>f8335a53</v>
      </c>
      <c r="E283" s="211" t="str">
        <f>IFERROR(__xludf.DUMMYFUNCTION("""COMPUTED_VALUE"""),"CV RAGAM JAYA ENGINEERING")</f>
        <v>CV RAGAM JAYA ENGINEERING</v>
      </c>
      <c r="F283" s="211" t="str">
        <f>IFERROR(__xludf.DUMMYFUNCTION("""COMPUTED_VALUE"""),"ef306e54")</f>
        <v>ef306e54</v>
      </c>
      <c r="G283" s="211" t="str">
        <f>IFERROR(__xludf.DUMMYFUNCTION("""COMPUTED_VALUE"""),"Karbondioksida")</f>
        <v>Karbondioksida</v>
      </c>
      <c r="H283" s="214" t="str">
        <f>IFERROR(__xludf.DUMMYFUNCTION("""COMPUTED_VALUE"""),"IN")</f>
        <v>IN</v>
      </c>
      <c r="I283" s="214" t="str">
        <f>IFERROR(__xludf.DUMMYFUNCTION("""COMPUTED_VALUE"""),"EMPTY")</f>
        <v>EMPTY</v>
      </c>
      <c r="J283" s="211">
        <f>IFERROR(__xludf.DUMMYFUNCTION("""COMPUTED_VALUE"""),6.0)</f>
        <v>6</v>
      </c>
      <c r="K283" s="210" t="str">
        <f>IFERROR(__xludf.DUMMYFUNCTION("""COMPUTED_VALUE"""),"6820 6975 6663 6731 6703 6606")</f>
        <v>6820 6975 6663 6731 6703 6606</v>
      </c>
      <c r="L283" s="211"/>
      <c r="M283" s="211"/>
      <c r="N283" s="211"/>
      <c r="O283" s="211"/>
      <c r="Q283" s="210" t="str">
        <f>IFERROR(__xludf.DUMMYFUNCTION("""COMPUTED_VALUE"""),"12240178")</f>
        <v>12240178</v>
      </c>
      <c r="R283" s="210" t="str">
        <f>IFERROR(__xludf.DUMMYFUNCTION("""COMPUTED_VALUE"""),"12240178")</f>
        <v>12240178</v>
      </c>
      <c r="S283" s="211" t="str">
        <f>IFERROR(__xludf.DUMMYFUNCTION("""COMPUTED_VALUE"""),"3fec37df")</f>
        <v>3fec37df</v>
      </c>
      <c r="T283" s="211" t="str">
        <f>IFERROR(__xludf.DUMMYFUNCTION("""COMPUTED_VALUE"""),"PT Jatim Abadi Perkasa Steel")</f>
        <v>PT Jatim Abadi Perkasa Steel</v>
      </c>
      <c r="U283" s="215">
        <f>IFERROR(__xludf.DUMMYFUNCTION("""COMPUTED_VALUE"""),45649.367361111115)</f>
        <v>45649.36736</v>
      </c>
      <c r="V283" s="211" t="str">
        <f>IFERROR(__xludf.DUMMYFUNCTION("""COMPUTED_VALUE"""),"Dsn. Bulak Sempuh, Jatirejo, Kab. Mojokerto, Jawa Timur")</f>
        <v>Dsn. Bulak Sempuh, Jatirejo, Kab. Mojokerto, Jawa Timur</v>
      </c>
      <c r="W283" s="211" t="str">
        <f>IFERROR(__xludf.DUMMYFUNCTION("""COMPUTED_VALUE"""),"OUT")</f>
        <v>OUT</v>
      </c>
      <c r="X283" s="211"/>
      <c r="Z283" s="211" t="str">
        <f>IFERROR(__xludf.DUMMYFUNCTION("""COMPUTED_VALUE"""),"0226122463")</f>
        <v>0226122463</v>
      </c>
      <c r="AC283" s="211"/>
      <c r="AD283" s="211"/>
      <c r="AE283" s="211"/>
      <c r="AF283" s="211"/>
      <c r="AG283" s="211"/>
      <c r="AH283" s="211"/>
      <c r="AI283" s="211"/>
      <c r="AJ283" s="211"/>
      <c r="AL283" s="211" t="str">
        <f>IFERROR(__xludf.DUMMYFUNCTION("""COMPUTED_VALUE"""),"2250027")</f>
        <v>2250027</v>
      </c>
      <c r="AM283" s="211" t="str">
        <f>IFERROR(__xludf.DUMMYFUNCTION("""COMPUTED_VALUE"""),"0825441191")</f>
        <v>0825441191</v>
      </c>
      <c r="AN283" s="211" t="str">
        <f>IFERROR(__xludf.DUMMYFUNCTION("""COMPUTED_VALUE"""),"e86baf3b")</f>
        <v>e86baf3b</v>
      </c>
      <c r="AO283" s="211" t="str">
        <f>IFERROR(__xludf.DUMMYFUNCTION("""COMPUTED_VALUE"""),"PT GEMILANG CIPTA WAWASAN")</f>
        <v>PT GEMILANG CIPTA WAWASAN</v>
      </c>
      <c r="AP283" s="215">
        <f>IFERROR(__xludf.DUMMYFUNCTION("""COMPUTED_VALUE"""),45901.82925925926)</f>
        <v>45901.82926</v>
      </c>
      <c r="AQ283" s="218">
        <f>IFERROR(__xludf.DUMMYFUNCTION("""COMPUTED_VALUE"""),45899.0)</f>
        <v>45899</v>
      </c>
      <c r="AR283" s="211"/>
      <c r="AS283" s="211"/>
      <c r="AT283" s="211"/>
      <c r="AU283" s="211"/>
      <c r="AV283" s="211"/>
      <c r="AW283" s="211"/>
      <c r="AX283" s="211"/>
      <c r="AY283" s="211"/>
      <c r="AZ283" s="211"/>
      <c r="BB283" s="211"/>
      <c r="BC283" s="211"/>
      <c r="BD283" s="211"/>
      <c r="BE283" s="211"/>
      <c r="BF283" s="211"/>
      <c r="BG283" s="211"/>
      <c r="BH283" s="211"/>
      <c r="BI283" s="211"/>
    </row>
    <row r="284">
      <c r="A284" s="210" t="str">
        <f>IFERROR(__xludf.DUMMYFUNCTION("""COMPUTED_VALUE"""),"11240130")</f>
        <v>11240130</v>
      </c>
      <c r="B284" s="210" t="str">
        <f>IFERROR(__xludf.DUMMYFUNCTION("""COMPUTED_VALUE"""),"11240130")</f>
        <v>11240130</v>
      </c>
      <c r="C284" s="213">
        <f>IFERROR(__xludf.DUMMYFUNCTION("""COMPUTED_VALUE"""),45622.64319444444)</f>
        <v>45622.64319</v>
      </c>
      <c r="D284" s="211" t="str">
        <f>IFERROR(__xludf.DUMMYFUNCTION("""COMPUTED_VALUE"""),"785e0e07")</f>
        <v>785e0e07</v>
      </c>
      <c r="E284" s="211" t="str">
        <f>IFERROR(__xludf.DUMMYFUNCTION("""COMPUTED_VALUE"""),"Bpk. Sukirno (Bejo)")</f>
        <v>Bpk. Sukirno (Bejo)</v>
      </c>
      <c r="F284" s="211" t="str">
        <f>IFERROR(__xludf.DUMMYFUNCTION("""COMPUTED_VALUE"""),"8bdbe149")</f>
        <v>8bdbe149</v>
      </c>
      <c r="G284" s="211" t="str">
        <f>IFERROR(__xludf.DUMMYFUNCTION("""COMPUTED_VALUE"""),"Oksigen 6m3")</f>
        <v>Oksigen 6m3</v>
      </c>
      <c r="H284" s="214" t="str">
        <f>IFERROR(__xludf.DUMMYFUNCTION("""COMPUTED_VALUE"""),"OUT")</f>
        <v>OUT</v>
      </c>
      <c r="I284" s="214" t="str">
        <f>IFERROR(__xludf.DUMMYFUNCTION("""COMPUTED_VALUE"""),"NORMAL")</f>
        <v>NORMAL</v>
      </c>
      <c r="J284" s="211">
        <f>IFERROR(__xludf.DUMMYFUNCTION("""COMPUTED_VALUE"""),15.0)</f>
        <v>15</v>
      </c>
      <c r="K284" s="210" t="str">
        <f>IFERROR(__xludf.DUMMYFUNCTION("""COMPUTED_VALUE"""),"1502 1132 1113 11131 1117 1193 11108 1111 11127 1173 11123 1057 5750 5298 1532")</f>
        <v>1502 1132 1113 11131 1117 1193 11108 1111 11127 1173 11123 1057 5750 5298 1532</v>
      </c>
      <c r="L284" s="211">
        <f>IFERROR(__xludf.DUMMYFUNCTION("""COMPUTED_VALUE"""),60000.0)</f>
        <v>60000</v>
      </c>
      <c r="M284" s="211"/>
      <c r="N284" s="211"/>
      <c r="O284" s="211"/>
      <c r="Q284" s="210" t="str">
        <f>IFERROR(__xludf.DUMMYFUNCTION("""COMPUTED_VALUE"""),"125ac596")</f>
        <v>125ac596</v>
      </c>
      <c r="R284" s="210" t="str">
        <f>IFERROR(__xludf.DUMMYFUNCTION("""COMPUTED_VALUE"""),"125ac596")</f>
        <v>125ac596</v>
      </c>
      <c r="S284" s="211" t="str">
        <f>IFERROR(__xludf.DUMMYFUNCTION("""COMPUTED_VALUE"""),"3fec37df")</f>
        <v>3fec37df</v>
      </c>
      <c r="T284" s="211" t="str">
        <f>IFERROR(__xludf.DUMMYFUNCTION("""COMPUTED_VALUE"""),"PT Jatim Abadi Perkasa Steel")</f>
        <v>PT Jatim Abadi Perkasa Steel</v>
      </c>
      <c r="U284" s="215">
        <f>IFERROR(__xludf.DUMMYFUNCTION("""COMPUTED_VALUE"""),45649.56041666667)</f>
        <v>45649.56042</v>
      </c>
      <c r="V284" s="211" t="str">
        <f>IFERROR(__xludf.DUMMYFUNCTION("""COMPUTED_VALUE"""),"Dsn. Bulak Sempuh, Jatirejo, Kab. Mojokerto, Jawa Timur")</f>
        <v>Dsn. Bulak Sempuh, Jatirejo, Kab. Mojokerto, Jawa Timur</v>
      </c>
      <c r="W284" s="211" t="str">
        <f>IFERROR(__xludf.DUMMYFUNCTION("""COMPUTED_VALUE"""),"IN")</f>
        <v>IN</v>
      </c>
      <c r="X284" s="211"/>
      <c r="Z284" s="211" t="str">
        <f>IFERROR(__xludf.DUMMYFUNCTION("""COMPUTED_VALUE"""),"0226112458")</f>
        <v>0226112458</v>
      </c>
      <c r="AC284" s="211"/>
      <c r="AD284" s="211"/>
      <c r="AE284" s="211"/>
      <c r="AF284" s="211"/>
      <c r="AG284" s="211"/>
      <c r="AH284" s="211"/>
      <c r="AI284" s="211"/>
      <c r="AJ284" s="211"/>
      <c r="AL284" s="211" t="str">
        <f>IFERROR(__xludf.DUMMYFUNCTION("""COMPUTED_VALUE"""),"2250025")</f>
        <v>2250025</v>
      </c>
      <c r="AM284" s="211" t="str">
        <f>IFERROR(__xludf.DUMMYFUNCTION("""COMPUTED_VALUE"""),"0825411165")</f>
        <v>0825411165</v>
      </c>
      <c r="AN284" s="211" t="str">
        <f>IFERROR(__xludf.DUMMYFUNCTION("""COMPUTED_VALUE"""),"e86baf3b")</f>
        <v>e86baf3b</v>
      </c>
      <c r="AO284" s="211" t="str">
        <f>IFERROR(__xludf.DUMMYFUNCTION("""COMPUTED_VALUE"""),"PT GEMILANG CIPTA WAWASAN")</f>
        <v>PT GEMILANG CIPTA WAWASAN</v>
      </c>
      <c r="AP284" s="215">
        <f>IFERROR(__xludf.DUMMYFUNCTION("""COMPUTED_VALUE"""),45901.827002314814)</f>
        <v>45901.827</v>
      </c>
      <c r="AQ284" s="218">
        <f>IFERROR(__xludf.DUMMYFUNCTION("""COMPUTED_VALUE"""),45894.0)</f>
        <v>45894</v>
      </c>
      <c r="AR284" s="211"/>
      <c r="AS284" s="211"/>
      <c r="AT284" s="211"/>
      <c r="AU284" s="211"/>
      <c r="AV284" s="211"/>
      <c r="AW284" s="211"/>
      <c r="AX284" s="211"/>
      <c r="AY284" s="211"/>
      <c r="AZ284" s="211"/>
      <c r="BB284" s="211"/>
      <c r="BC284" s="211"/>
      <c r="BD284" s="211"/>
      <c r="BE284" s="211"/>
      <c r="BF284" s="211"/>
      <c r="BG284" s="211"/>
      <c r="BH284" s="211"/>
      <c r="BI284" s="211"/>
    </row>
    <row r="285">
      <c r="A285" s="210" t="str">
        <f>IFERROR(__xludf.DUMMYFUNCTION("""COMPUTED_VALUE"""),"11240130")</f>
        <v>11240130</v>
      </c>
      <c r="B285" s="210" t="str">
        <f>IFERROR(__xludf.DUMMYFUNCTION("""COMPUTED_VALUE"""),"11240130")</f>
        <v>11240130</v>
      </c>
      <c r="C285" s="213">
        <f>IFERROR(__xludf.DUMMYFUNCTION("""COMPUTED_VALUE"""),45622.64319444444)</f>
        <v>45622.64319</v>
      </c>
      <c r="D285" s="211" t="str">
        <f>IFERROR(__xludf.DUMMYFUNCTION("""COMPUTED_VALUE"""),"785e0e07")</f>
        <v>785e0e07</v>
      </c>
      <c r="E285" s="211" t="str">
        <f>IFERROR(__xludf.DUMMYFUNCTION("""COMPUTED_VALUE"""),"Bpk. Sukirno (Bejo)")</f>
        <v>Bpk. Sukirno (Bejo)</v>
      </c>
      <c r="F285" s="211" t="str">
        <f>IFERROR(__xludf.DUMMYFUNCTION("""COMPUTED_VALUE"""),"b7a8fff1")</f>
        <v>b7a8fff1</v>
      </c>
      <c r="G285" s="211" t="str">
        <f>IFERROR(__xludf.DUMMYFUNCTION("""COMPUTED_VALUE"""),"LPG 50kg")</f>
        <v>LPG 50kg</v>
      </c>
      <c r="H285" s="214" t="str">
        <f>IFERROR(__xludf.DUMMYFUNCTION("""COMPUTED_VALUE"""),"OUT")</f>
        <v>OUT</v>
      </c>
      <c r="I285" s="214" t="str">
        <f>IFERROR(__xludf.DUMMYFUNCTION("""COMPUTED_VALUE"""),"NORMAL")</f>
        <v>NORMAL</v>
      </c>
      <c r="J285" s="211">
        <f>IFERROR(__xludf.DUMMYFUNCTION("""COMPUTED_VALUE"""),2.0)</f>
        <v>2</v>
      </c>
      <c r="K285" s="211"/>
      <c r="L285" s="211"/>
      <c r="M285" s="211"/>
      <c r="N285" s="211"/>
      <c r="O285" s="211"/>
      <c r="Q285" s="210" t="str">
        <f>IFERROR(__xludf.DUMMYFUNCTION("""COMPUTED_VALUE"""),"12240180")</f>
        <v>12240180</v>
      </c>
      <c r="R285" s="210" t="str">
        <f>IFERROR(__xludf.DUMMYFUNCTION("""COMPUTED_VALUE"""),"12240180")</f>
        <v>12240180</v>
      </c>
      <c r="S285" s="211" t="str">
        <f>IFERROR(__xludf.DUMMYFUNCTION("""COMPUTED_VALUE"""),"a9fe1bea")</f>
        <v>a9fe1bea</v>
      </c>
      <c r="T285" s="211" t="str">
        <f>IFERROR(__xludf.DUMMYFUNCTION("""COMPUTED_VALUE"""),"H. Suheiri")</f>
        <v>H. Suheiri</v>
      </c>
      <c r="U285" s="215">
        <f>IFERROR(__xludf.DUMMYFUNCTION("""COMPUTED_VALUE"""),45650.85416666667)</f>
        <v>45650.85417</v>
      </c>
      <c r="V285"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285" s="211" t="str">
        <f>IFERROR(__xludf.DUMMYFUNCTION("""COMPUTED_VALUE"""),"OUT")</f>
        <v>OUT</v>
      </c>
      <c r="X285" s="211"/>
      <c r="Z285" s="211" t="str">
        <f>IFERROR(__xludf.DUMMYFUNCTION("""COMPUTED_VALUE"""),"0226232457")</f>
        <v>0226232457</v>
      </c>
      <c r="AC285" s="211"/>
      <c r="AD285" s="211"/>
      <c r="AE285" s="211"/>
      <c r="AF285" s="211"/>
      <c r="AG285" s="211"/>
      <c r="AH285" s="211"/>
      <c r="AI285" s="211"/>
      <c r="AJ285" s="211"/>
      <c r="AL285" s="211" t="str">
        <f>IFERROR(__xludf.DUMMYFUNCTION("""COMPUTED_VALUE"""),"2250025")</f>
        <v>2250025</v>
      </c>
      <c r="AM285" s="211" t="str">
        <f>IFERROR(__xludf.DUMMYFUNCTION("""COMPUTED_VALUE"""),"0825421168")</f>
        <v>0825421168</v>
      </c>
      <c r="AN285" s="211" t="str">
        <f>IFERROR(__xludf.DUMMYFUNCTION("""COMPUTED_VALUE"""),"e86baf3b")</f>
        <v>e86baf3b</v>
      </c>
      <c r="AO285" s="211" t="str">
        <f>IFERROR(__xludf.DUMMYFUNCTION("""COMPUTED_VALUE"""),"PT GEMILANG CIPTA WAWASAN")</f>
        <v>PT GEMILANG CIPTA WAWASAN</v>
      </c>
      <c r="AP285" s="215">
        <f>IFERROR(__xludf.DUMMYFUNCTION("""COMPUTED_VALUE"""),45901.827002314814)</f>
        <v>45901.827</v>
      </c>
      <c r="AQ285" s="218">
        <f>IFERROR(__xludf.DUMMYFUNCTION("""COMPUTED_VALUE"""),45895.0)</f>
        <v>45895</v>
      </c>
      <c r="AR285" s="211"/>
      <c r="AS285" s="211"/>
      <c r="AT285" s="211"/>
      <c r="AU285" s="211"/>
      <c r="AV285" s="211"/>
      <c r="AW285" s="211"/>
      <c r="AX285" s="211"/>
      <c r="AY285" s="211"/>
      <c r="AZ285" s="211"/>
      <c r="BB285" s="211"/>
      <c r="BC285" s="211"/>
      <c r="BD285" s="211"/>
      <c r="BE285" s="211"/>
      <c r="BF285" s="211"/>
      <c r="BG285" s="211"/>
      <c r="BH285" s="211"/>
      <c r="BI285" s="211"/>
    </row>
    <row r="286">
      <c r="A286" s="210" t="str">
        <f>IFERROR(__xludf.DUMMYFUNCTION("""COMPUTED_VALUE"""),"411240004")</f>
        <v>411240004</v>
      </c>
      <c r="B286" s="210" t="str">
        <f>IFERROR(__xludf.DUMMYFUNCTION("""COMPUTED_VALUE"""),"411240004")</f>
        <v>411240004</v>
      </c>
      <c r="C286" s="213">
        <f>IFERROR(__xludf.DUMMYFUNCTION("""COMPUTED_VALUE"""),45622.64319444444)</f>
        <v>45622.64319</v>
      </c>
      <c r="D286" s="211" t="str">
        <f>IFERROR(__xludf.DUMMYFUNCTION("""COMPUTED_VALUE"""),"785e0e07")</f>
        <v>785e0e07</v>
      </c>
      <c r="E286" s="211" t="str">
        <f>IFERROR(__xludf.DUMMYFUNCTION("""COMPUTED_VALUE"""),"Bpk. Sukirno (Bejo)")</f>
        <v>Bpk. Sukirno (Bejo)</v>
      </c>
      <c r="F286" s="211" t="str">
        <f>IFERROR(__xludf.DUMMYFUNCTION("""COMPUTED_VALUE"""),"b7a8fff1")</f>
        <v>b7a8fff1</v>
      </c>
      <c r="G286" s="211" t="str">
        <f>IFERROR(__xludf.DUMMYFUNCTION("""COMPUTED_VALUE"""),"LPG 50kg")</f>
        <v>LPG 50kg</v>
      </c>
      <c r="H286" s="214" t="str">
        <f>IFERROR(__xludf.DUMMYFUNCTION("""COMPUTED_VALUE"""),"OTHER")</f>
        <v>OTHER</v>
      </c>
      <c r="I286" s="214" t="str">
        <f>IFERROR(__xludf.DUMMYFUNCTION("""COMPUTED_VALUE"""),"RETUR CLAIM")</f>
        <v>RETUR CLAIM</v>
      </c>
      <c r="J286" s="211">
        <f>IFERROR(__xludf.DUMMYFUNCTION("""COMPUTED_VALUE"""),1.0)</f>
        <v>1</v>
      </c>
      <c r="K286" s="211"/>
      <c r="L286" s="211"/>
      <c r="M286" s="211"/>
      <c r="N286" s="211"/>
      <c r="O286" s="211"/>
      <c r="Q286" s="210" t="str">
        <f>IFERROR(__xludf.DUMMYFUNCTION("""COMPUTED_VALUE"""),"a043d723")</f>
        <v>a043d723</v>
      </c>
      <c r="R286" s="210" t="str">
        <f>IFERROR(__xludf.DUMMYFUNCTION("""COMPUTED_VALUE"""),"a043d723")</f>
        <v>a043d723</v>
      </c>
      <c r="S286" s="211" t="str">
        <f>IFERROR(__xludf.DUMMYFUNCTION("""COMPUTED_VALUE"""),"785e0e07")</f>
        <v>785e0e07</v>
      </c>
      <c r="T286" s="211" t="str">
        <f>IFERROR(__xludf.DUMMYFUNCTION("""COMPUTED_VALUE"""),"Bpk. Sukirno (Bejo)")</f>
        <v>Bpk. Sukirno (Bejo)</v>
      </c>
      <c r="U286" s="215">
        <f>IFERROR(__xludf.DUMMYFUNCTION("""COMPUTED_VALUE"""),45649.6875)</f>
        <v>45649.6875</v>
      </c>
      <c r="V286" s="211" t="str">
        <f>IFERROR(__xludf.DUMMYFUNCTION("""COMPUTED_VALUE"""),"Krajan I, Wringinanom, Kec. Wringinanom, Kabupaten Gresik, Jawa Timur 61176")</f>
        <v>Krajan I, Wringinanom, Kec. Wringinanom, Kabupaten Gresik, Jawa Timur 61176</v>
      </c>
      <c r="W286" s="211" t="str">
        <f>IFERROR(__xludf.DUMMYFUNCTION("""COMPUTED_VALUE"""),"IN")</f>
        <v>IN</v>
      </c>
      <c r="X286" s="211"/>
      <c r="Z286" s="211" t="str">
        <f>IFERROR(__xludf.DUMMYFUNCTION("""COMPUTED_VALUE"""),"022622456")</f>
        <v>022622456</v>
      </c>
      <c r="AC286" s="211"/>
      <c r="AD286" s="211"/>
      <c r="AE286" s="211"/>
      <c r="AF286" s="211"/>
      <c r="AG286" s="211"/>
      <c r="AH286" s="211"/>
      <c r="AI286" s="211"/>
      <c r="AJ286" s="211"/>
      <c r="AL286" s="211" t="str">
        <f>IFERROR(__xludf.DUMMYFUNCTION("""COMPUTED_VALUE"""),"2250020")</f>
        <v>2250020</v>
      </c>
      <c r="AM286" s="211" t="str">
        <f>IFERROR(__xludf.DUMMYFUNCTION("""COMPUTED_VALUE"""),"082561080")</f>
        <v>082561080</v>
      </c>
      <c r="AN286" s="211" t="str">
        <f>IFERROR(__xludf.DUMMYFUNCTION("""COMPUTED_VALUE"""),"b218b89b")</f>
        <v>b218b89b</v>
      </c>
      <c r="AO286" s="211" t="str">
        <f>IFERROR(__xludf.DUMMYFUNCTION("""COMPUTED_VALUE"""),"PT Harapan Sentosa")</f>
        <v>PT Harapan Sentosa</v>
      </c>
      <c r="AP286" s="215">
        <f>IFERROR(__xludf.DUMMYFUNCTION("""COMPUTED_VALUE"""),45901.77443287037)</f>
        <v>45901.77443</v>
      </c>
      <c r="AQ286" s="218">
        <f>IFERROR(__xludf.DUMMYFUNCTION("""COMPUTED_VALUE"""),45873.0)</f>
        <v>45873</v>
      </c>
      <c r="AR286" s="211"/>
      <c r="AS286" s="211"/>
      <c r="AT286" s="211"/>
      <c r="AU286" s="211"/>
      <c r="AV286" s="211"/>
      <c r="AW286" s="211"/>
      <c r="AX286" s="211"/>
      <c r="AY286" s="211"/>
      <c r="AZ286" s="211"/>
      <c r="BB286" s="211"/>
      <c r="BC286" s="211"/>
      <c r="BD286" s="211"/>
      <c r="BE286" s="211"/>
      <c r="BF286" s="211"/>
      <c r="BG286" s="211"/>
      <c r="BH286" s="211"/>
      <c r="BI286" s="211"/>
    </row>
    <row r="287">
      <c r="A287" s="210" t="str">
        <f>IFERROR(__xludf.DUMMYFUNCTION("""COMPUTED_VALUE"""),"11240132")</f>
        <v>11240132</v>
      </c>
      <c r="B287" s="210" t="str">
        <f>IFERROR(__xludf.DUMMYFUNCTION("""COMPUTED_VALUE"""),"11240132")</f>
        <v>11240132</v>
      </c>
      <c r="C287" s="213">
        <f>IFERROR(__xludf.DUMMYFUNCTION("""COMPUTED_VALUE"""),45622.47986111111)</f>
        <v>45622.47986</v>
      </c>
      <c r="D287" s="211" t="str">
        <f>IFERROR(__xludf.DUMMYFUNCTION("""COMPUTED_VALUE"""),"7b9d8eba")</f>
        <v>7b9d8eba</v>
      </c>
      <c r="E287" s="211" t="str">
        <f>IFERROR(__xludf.DUMMYFUNCTION("""COMPUTED_VALUE"""),"PT PELANGI INDOKARYA")</f>
        <v>PT PELANGI INDOKARYA</v>
      </c>
      <c r="F287" s="211" t="str">
        <f>IFERROR(__xludf.DUMMYFUNCTION("""COMPUTED_VALUE"""),"8bdbe149")</f>
        <v>8bdbe149</v>
      </c>
      <c r="G287" s="211" t="str">
        <f>IFERROR(__xludf.DUMMYFUNCTION("""COMPUTED_VALUE"""),"Oksigen 6m3")</f>
        <v>Oksigen 6m3</v>
      </c>
      <c r="H287" s="214" t="str">
        <f>IFERROR(__xludf.DUMMYFUNCTION("""COMPUTED_VALUE"""),"OUT")</f>
        <v>OUT</v>
      </c>
      <c r="I287" s="214" t="str">
        <f>IFERROR(__xludf.DUMMYFUNCTION("""COMPUTED_VALUE"""),"NORMAL")</f>
        <v>NORMAL</v>
      </c>
      <c r="J287" s="211">
        <f>IFERROR(__xludf.DUMMYFUNCTION("""COMPUTED_VALUE"""),5.0)</f>
        <v>5</v>
      </c>
      <c r="K287" s="210" t="str">
        <f>IFERROR(__xludf.DUMMYFUNCTION("""COMPUTED_VALUE"""),"1153 1188 1834 5015 1419")</f>
        <v>1153 1188 1834 5015 1419</v>
      </c>
      <c r="L287" s="211">
        <f>IFERROR(__xludf.DUMMYFUNCTION("""COMPUTED_VALUE"""),60000.0)</f>
        <v>60000</v>
      </c>
      <c r="M287" s="211"/>
      <c r="N287" s="211"/>
      <c r="O287" s="211"/>
      <c r="Q287" s="210" t="str">
        <f>IFERROR(__xludf.DUMMYFUNCTION("""COMPUTED_VALUE"""),"0b7b5f21")</f>
        <v>0b7b5f21</v>
      </c>
      <c r="R287" s="210" t="str">
        <f>IFERROR(__xludf.DUMMYFUNCTION("""COMPUTED_VALUE"""),"0b7b5f21")</f>
        <v>0b7b5f21</v>
      </c>
      <c r="S287" s="211" t="str">
        <f>IFERROR(__xludf.DUMMYFUNCTION("""COMPUTED_VALUE"""),"2d88931c")</f>
        <v>2d88931c</v>
      </c>
      <c r="T287" s="211" t="str">
        <f>IFERROR(__xludf.DUMMYFUNCTION("""COMPUTED_VALUE"""),"PT Dunia Berkat Marga Mulya")</f>
        <v>PT Dunia Berkat Marga Mulya</v>
      </c>
      <c r="U287" s="215">
        <f>IFERROR(__xludf.DUMMYFUNCTION("""COMPUTED_VALUE"""),45649.68819444445)</f>
        <v>45649.68819</v>
      </c>
      <c r="V287" s="211" t="str">
        <f>IFERROR(__xludf.DUMMYFUNCTION("""COMPUTED_VALUE"""),"JL JABARAN, WATESARI, BALONGBENDO, SIDOARJO, JAWA TIMUR")</f>
        <v>JL JABARAN, WATESARI, BALONGBENDO, SIDOARJO, JAWA TIMUR</v>
      </c>
      <c r="W287" s="211" t="str">
        <f>IFERROR(__xludf.DUMMYFUNCTION("""COMPUTED_VALUE"""),"IN")</f>
        <v>IN</v>
      </c>
      <c r="X287" s="211"/>
      <c r="Z287" s="211" t="str">
        <f>IFERROR(__xludf.DUMMYFUNCTION("""COMPUTED_VALUE"""),"022612453")</f>
        <v>022612453</v>
      </c>
      <c r="AC287" s="211"/>
      <c r="AD287" s="211"/>
      <c r="AE287" s="211"/>
      <c r="AF287" s="211"/>
      <c r="AG287" s="211"/>
      <c r="AH287" s="211"/>
      <c r="AI287" s="211"/>
      <c r="AJ287" s="211"/>
      <c r="AL287" s="211" t="str">
        <f>IFERROR(__xludf.DUMMYFUNCTION("""COMPUTED_VALUE"""),"2250020")</f>
        <v>2250020</v>
      </c>
      <c r="AM287" s="211" t="str">
        <f>IFERROR(__xludf.DUMMYFUNCTION("""COMPUTED_VALUE"""),"082571116")</f>
        <v>082571116</v>
      </c>
      <c r="AN287" s="211" t="str">
        <f>IFERROR(__xludf.DUMMYFUNCTION("""COMPUTED_VALUE"""),"b218b89b")</f>
        <v>b218b89b</v>
      </c>
      <c r="AO287" s="211" t="str">
        <f>IFERROR(__xludf.DUMMYFUNCTION("""COMPUTED_VALUE"""),"PT Harapan Sentosa")</f>
        <v>PT Harapan Sentosa</v>
      </c>
      <c r="AP287" s="215">
        <f>IFERROR(__xludf.DUMMYFUNCTION("""COMPUTED_VALUE"""),45901.77443287037)</f>
        <v>45901.77443</v>
      </c>
      <c r="AQ287" s="218">
        <f>IFERROR(__xludf.DUMMYFUNCTION("""COMPUTED_VALUE"""),45880.0)</f>
        <v>45880</v>
      </c>
      <c r="AR287" s="211"/>
      <c r="AS287" s="211"/>
      <c r="AT287" s="211"/>
      <c r="AU287" s="211"/>
      <c r="AV287" s="211"/>
      <c r="AW287" s="211"/>
      <c r="AX287" s="211"/>
      <c r="AY287" s="211"/>
      <c r="AZ287" s="211"/>
      <c r="BB287" s="211"/>
      <c r="BC287" s="211"/>
      <c r="BD287" s="211"/>
      <c r="BE287" s="211"/>
      <c r="BF287" s="211"/>
      <c r="BG287" s="211"/>
      <c r="BH287" s="211"/>
      <c r="BI287" s="211"/>
    </row>
    <row r="288">
      <c r="A288" s="210" t="str">
        <f>IFERROR(__xludf.DUMMYFUNCTION("""COMPUTED_VALUE"""),"1bc7d071")</f>
        <v>1bc7d071</v>
      </c>
      <c r="B288" s="210" t="str">
        <f>IFERROR(__xludf.DUMMYFUNCTION("""COMPUTED_VALUE"""),"1bc7d071")</f>
        <v>1bc7d071</v>
      </c>
      <c r="C288" s="213">
        <f>IFERROR(__xludf.DUMMYFUNCTION("""COMPUTED_VALUE"""),45622.61666666667)</f>
        <v>45622.61667</v>
      </c>
      <c r="D288" s="211" t="str">
        <f>IFERROR(__xludf.DUMMYFUNCTION("""COMPUTED_VALUE"""),"785e0e07")</f>
        <v>785e0e07</v>
      </c>
      <c r="E288" s="211" t="str">
        <f>IFERROR(__xludf.DUMMYFUNCTION("""COMPUTED_VALUE"""),"Bpk. Sukirno (Bejo)")</f>
        <v>Bpk. Sukirno (Bejo)</v>
      </c>
      <c r="F288" s="211" t="str">
        <f>IFERROR(__xludf.DUMMYFUNCTION("""COMPUTED_VALUE"""),"8bdbe149")</f>
        <v>8bdbe149</v>
      </c>
      <c r="G288" s="211" t="str">
        <f>IFERROR(__xludf.DUMMYFUNCTION("""COMPUTED_VALUE"""),"Oksigen 6m3")</f>
        <v>Oksigen 6m3</v>
      </c>
      <c r="H288" s="214" t="str">
        <f>IFERROR(__xludf.DUMMYFUNCTION("""COMPUTED_VALUE"""),"IN")</f>
        <v>IN</v>
      </c>
      <c r="I288" s="214" t="str">
        <f>IFERROR(__xludf.DUMMYFUNCTION("""COMPUTED_VALUE"""),"EMPTY")</f>
        <v>EMPTY</v>
      </c>
      <c r="J288" s="211">
        <f>IFERROR(__xludf.DUMMYFUNCTION("""COMPUTED_VALUE"""),14.0)</f>
        <v>14</v>
      </c>
      <c r="K288" s="210" t="str">
        <f>IFERROR(__xludf.DUMMYFUNCTION("""COMPUTED_VALUE"""),"1073 1566 1198 1131 11106 1190 5815 5862 1596 5512 5130 1167 1140 11115")</f>
        <v>1073 1566 1198 1131 11106 1190 5815 5862 1596 5512 5130 1167 1140 11115</v>
      </c>
      <c r="L288" s="211"/>
      <c r="M288" s="211"/>
      <c r="N288" s="211"/>
      <c r="O288" s="211"/>
      <c r="Q288" s="210" t="str">
        <f>IFERROR(__xludf.DUMMYFUNCTION("""COMPUTED_VALUE"""),"12240181")</f>
        <v>12240181</v>
      </c>
      <c r="R288" s="210" t="str">
        <f>IFERROR(__xludf.DUMMYFUNCTION("""COMPUTED_VALUE"""),"12240181")</f>
        <v>12240181</v>
      </c>
      <c r="S288" s="211" t="str">
        <f>IFERROR(__xludf.DUMMYFUNCTION("""COMPUTED_VALUE"""),"3fec37df")</f>
        <v>3fec37df</v>
      </c>
      <c r="T288" s="211" t="str">
        <f>IFERROR(__xludf.DUMMYFUNCTION("""COMPUTED_VALUE"""),"PT Jatim Abadi Perkasa Steel")</f>
        <v>PT Jatim Abadi Perkasa Steel</v>
      </c>
      <c r="U288" s="215">
        <f>IFERROR(__xludf.DUMMYFUNCTION("""COMPUTED_VALUE"""),45650.36111111111)</f>
        <v>45650.36111</v>
      </c>
      <c r="V288" s="211" t="str">
        <f>IFERROR(__xludf.DUMMYFUNCTION("""COMPUTED_VALUE"""),"Dsn. Bulak Sempuh, Jatirejo, Kab. Mojokerto, Jawa Timur")</f>
        <v>Dsn. Bulak Sempuh, Jatirejo, Kab. Mojokerto, Jawa Timur</v>
      </c>
      <c r="W288" s="211" t="str">
        <f>IFERROR(__xludf.DUMMYFUNCTION("""COMPUTED_VALUE"""),"OUT")</f>
        <v>OUT</v>
      </c>
      <c r="X288" s="211"/>
      <c r="Z288" s="211" t="str">
        <f>IFERROR(__xludf.DUMMYFUNCTION("""COMPUTED_VALUE"""),"0226212451")</f>
        <v>0226212451</v>
      </c>
      <c r="AC288" s="211"/>
      <c r="AD288" s="211"/>
      <c r="AE288" s="211"/>
      <c r="AF288" s="211"/>
      <c r="AG288" s="211"/>
      <c r="AH288" s="211"/>
      <c r="AI288" s="211"/>
      <c r="AJ288" s="211"/>
      <c r="AL288" s="211" t="str">
        <f>IFERROR(__xludf.DUMMYFUNCTION("""COMPUTED_VALUE"""),"2250020")</f>
        <v>2250020</v>
      </c>
      <c r="AM288" s="211" t="str">
        <f>IFERROR(__xludf.DUMMYFUNCTION("""COMPUTED_VALUE"""),"082591182")</f>
        <v>082591182</v>
      </c>
      <c r="AN288" s="211" t="str">
        <f>IFERROR(__xludf.DUMMYFUNCTION("""COMPUTED_VALUE"""),"b218b89b")</f>
        <v>b218b89b</v>
      </c>
      <c r="AO288" s="211" t="str">
        <f>IFERROR(__xludf.DUMMYFUNCTION("""COMPUTED_VALUE"""),"PT Harapan Sentosa")</f>
        <v>PT Harapan Sentosa</v>
      </c>
      <c r="AP288" s="215">
        <f>IFERROR(__xludf.DUMMYFUNCTION("""COMPUTED_VALUE"""),45901.77443287037)</f>
        <v>45901.77443</v>
      </c>
      <c r="AQ288" s="218">
        <f>IFERROR(__xludf.DUMMYFUNCTION("""COMPUTED_VALUE"""),45897.0)</f>
        <v>45897</v>
      </c>
      <c r="AR288" s="211"/>
      <c r="AS288" s="211"/>
      <c r="AT288" s="211"/>
      <c r="AU288" s="211"/>
      <c r="AV288" s="211"/>
      <c r="AW288" s="211"/>
      <c r="AX288" s="211"/>
      <c r="AY288" s="211"/>
      <c r="AZ288" s="211"/>
      <c r="BB288" s="211"/>
      <c r="BC288" s="211"/>
      <c r="BD288" s="211"/>
      <c r="BE288" s="211"/>
      <c r="BF288" s="211"/>
      <c r="BG288" s="211"/>
      <c r="BH288" s="211"/>
      <c r="BI288" s="211"/>
    </row>
    <row r="289">
      <c r="A289" s="210" t="str">
        <f>IFERROR(__xludf.DUMMYFUNCTION("""COMPUTED_VALUE"""),"1bc7d071")</f>
        <v>1bc7d071</v>
      </c>
      <c r="B289" s="210" t="str">
        <f>IFERROR(__xludf.DUMMYFUNCTION("""COMPUTED_VALUE"""),"1bc7d071")</f>
        <v>1bc7d071</v>
      </c>
      <c r="C289" s="213">
        <f>IFERROR(__xludf.DUMMYFUNCTION("""COMPUTED_VALUE"""),45622.61736111111)</f>
        <v>45622.61736</v>
      </c>
      <c r="D289" s="211" t="str">
        <f>IFERROR(__xludf.DUMMYFUNCTION("""COMPUTED_VALUE"""),"785e0e07")</f>
        <v>785e0e07</v>
      </c>
      <c r="E289" s="211" t="str">
        <f>IFERROR(__xludf.DUMMYFUNCTION("""COMPUTED_VALUE"""),"Bpk. Sukirno (Bejo)")</f>
        <v>Bpk. Sukirno (Bejo)</v>
      </c>
      <c r="F289" s="211" t="str">
        <f>IFERROR(__xludf.DUMMYFUNCTION("""COMPUTED_VALUE"""),"b7a8fff1")</f>
        <v>b7a8fff1</v>
      </c>
      <c r="G289" s="211" t="str">
        <f>IFERROR(__xludf.DUMMYFUNCTION("""COMPUTED_VALUE"""),"LPG 50kg")</f>
        <v>LPG 50kg</v>
      </c>
      <c r="H289" s="214" t="str">
        <f>IFERROR(__xludf.DUMMYFUNCTION("""COMPUTED_VALUE"""),"IN")</f>
        <v>IN</v>
      </c>
      <c r="I289" s="214" t="str">
        <f>IFERROR(__xludf.DUMMYFUNCTION("""COMPUTED_VALUE"""),"CLAIM")</f>
        <v>CLAIM</v>
      </c>
      <c r="J289" s="211">
        <f>IFERROR(__xludf.DUMMYFUNCTION("""COMPUTED_VALUE"""),1.0)</f>
        <v>1</v>
      </c>
      <c r="K289" s="211"/>
      <c r="L289" s="211"/>
      <c r="M289" s="211"/>
      <c r="N289" s="211"/>
      <c r="O289" s="211"/>
      <c r="Q289" s="210" t="str">
        <f>IFERROR(__xludf.DUMMYFUNCTION("""COMPUTED_VALUE"""),"12240182")</f>
        <v>12240182</v>
      </c>
      <c r="R289" s="210" t="str">
        <f>IFERROR(__xludf.DUMMYFUNCTION("""COMPUTED_VALUE"""),"12240182")</f>
        <v>12240182</v>
      </c>
      <c r="S289" s="211" t="str">
        <f>IFERROR(__xludf.DUMMYFUNCTION("""COMPUTED_VALUE"""),"5449a0b8")</f>
        <v>5449a0b8</v>
      </c>
      <c r="T289" s="211" t="str">
        <f>IFERROR(__xludf.DUMMYFUNCTION("""COMPUTED_VALUE"""),"Bpk. Supar")</f>
        <v>Bpk. Supar</v>
      </c>
      <c r="U289" s="215">
        <f>IFERROR(__xludf.DUMMYFUNCTION("""COMPUTED_VALUE"""),45650.35416666667)</f>
        <v>45650.35417</v>
      </c>
      <c r="V289" s="211" t="str">
        <f>IFERROR(__xludf.DUMMYFUNCTION("""COMPUTED_VALUE"""),"Ciro Kulon, Bakungtemenggungan, Kec. BalongBendo, Kabupaten Sidoarjo, Jawa Timur")</f>
        <v>Ciro Kulon, Bakungtemenggungan, Kec. BalongBendo, Kabupaten Sidoarjo, Jawa Timur</v>
      </c>
      <c r="W289" s="211" t="str">
        <f>IFERROR(__xludf.DUMMYFUNCTION("""COMPUTED_VALUE"""),"OUT")</f>
        <v>OUT</v>
      </c>
      <c r="X289" s="211"/>
      <c r="Z289" s="211" t="str">
        <f>IFERROR(__xludf.DUMMYFUNCTION("""COMPUTED_VALUE"""),"022682450")</f>
        <v>022682450</v>
      </c>
      <c r="AC289" s="211"/>
      <c r="AD289" s="211"/>
      <c r="AE289" s="211"/>
      <c r="AF289" s="211"/>
      <c r="AG289" s="211"/>
      <c r="AH289" s="211"/>
      <c r="AI289" s="211"/>
      <c r="AJ289" s="211"/>
      <c r="AL289" s="211" t="str">
        <f>IFERROR(__xludf.DUMMYFUNCTION("""COMPUTED_VALUE"""),"2250020")</f>
        <v>2250020</v>
      </c>
      <c r="AM289" s="211" t="str">
        <f>IFERROR(__xludf.DUMMYFUNCTION("""COMPUTED_VALUE"""),"082581137")</f>
        <v>082581137</v>
      </c>
      <c r="AN289" s="211" t="str">
        <f>IFERROR(__xludf.DUMMYFUNCTION("""COMPUTED_VALUE"""),"b218b89b")</f>
        <v>b218b89b</v>
      </c>
      <c r="AO289" s="211" t="str">
        <f>IFERROR(__xludf.DUMMYFUNCTION("""COMPUTED_VALUE"""),"PT Harapan Sentosa")</f>
        <v>PT Harapan Sentosa</v>
      </c>
      <c r="AP289" s="215">
        <f>IFERROR(__xludf.DUMMYFUNCTION("""COMPUTED_VALUE"""),45901.77443287037)</f>
        <v>45901.77443</v>
      </c>
      <c r="AQ289" s="218">
        <f>IFERROR(__xludf.DUMMYFUNCTION("""COMPUTED_VALUE"""),45888.0)</f>
        <v>45888</v>
      </c>
      <c r="AR289" s="211"/>
      <c r="AS289" s="211"/>
      <c r="AT289" s="211"/>
      <c r="AU289" s="211"/>
      <c r="AV289" s="211"/>
      <c r="AW289" s="211"/>
      <c r="AX289" s="211"/>
      <c r="AY289" s="211"/>
      <c r="AZ289" s="211"/>
      <c r="BB289" s="211"/>
      <c r="BC289" s="211"/>
      <c r="BD289" s="211"/>
      <c r="BE289" s="211"/>
      <c r="BF289" s="211"/>
      <c r="BG289" s="211"/>
      <c r="BH289" s="211"/>
      <c r="BI289" s="211"/>
    </row>
    <row r="290">
      <c r="A290" s="210" t="str">
        <f>IFERROR(__xludf.DUMMYFUNCTION("""COMPUTED_VALUE"""),"7a0ab12f")</f>
        <v>7a0ab12f</v>
      </c>
      <c r="B290" s="210" t="str">
        <f>IFERROR(__xludf.DUMMYFUNCTION("""COMPUTED_VALUE"""),"7a0ab12f")</f>
        <v>7a0ab12f</v>
      </c>
      <c r="C290" s="213">
        <f>IFERROR(__xludf.DUMMYFUNCTION("""COMPUTED_VALUE"""),45622.618055555555)</f>
        <v>45622.61806</v>
      </c>
      <c r="D290" s="211" t="str">
        <f>IFERROR(__xludf.DUMMYFUNCTION("""COMPUTED_VALUE"""),"37175874")</f>
        <v>37175874</v>
      </c>
      <c r="E290" s="211" t="str">
        <f>IFERROR(__xludf.DUMMYFUNCTION("""COMPUTED_VALUE"""),"PT TERAPAN NILAIOSILASI INDONESIA (TENO)")</f>
        <v>PT TERAPAN NILAIOSILASI INDONESIA (TENO)</v>
      </c>
      <c r="F290" s="211" t="str">
        <f>IFERROR(__xludf.DUMMYFUNCTION("""COMPUTED_VALUE"""),"8bdbe149")</f>
        <v>8bdbe149</v>
      </c>
      <c r="G290" s="211" t="str">
        <f>IFERROR(__xludf.DUMMYFUNCTION("""COMPUTED_VALUE"""),"Oksigen 6m3")</f>
        <v>Oksigen 6m3</v>
      </c>
      <c r="H290" s="214" t="str">
        <f>IFERROR(__xludf.DUMMYFUNCTION("""COMPUTED_VALUE"""),"IN")</f>
        <v>IN</v>
      </c>
      <c r="I290" s="214" t="str">
        <f>IFERROR(__xludf.DUMMYFUNCTION("""COMPUTED_VALUE"""),"EMPTY")</f>
        <v>EMPTY</v>
      </c>
      <c r="J290" s="211">
        <f>IFERROR(__xludf.DUMMYFUNCTION("""COMPUTED_VALUE"""),3.0)</f>
        <v>3</v>
      </c>
      <c r="K290" s="210" t="str">
        <f>IFERROR(__xludf.DUMMYFUNCTION("""COMPUTED_VALUE"""),"1707 1340 1368")</f>
        <v>1707 1340 1368</v>
      </c>
      <c r="L290" s="211"/>
      <c r="M290" s="211"/>
      <c r="N290" s="211"/>
      <c r="O290" s="211"/>
      <c r="Q290" s="210" t="str">
        <f>IFERROR(__xludf.DUMMYFUNCTION("""COMPUTED_VALUE"""),"231d48f3")</f>
        <v>231d48f3</v>
      </c>
      <c r="R290" s="210" t="str">
        <f>IFERROR(__xludf.DUMMYFUNCTION("""COMPUTED_VALUE"""),"231d48f3")</f>
        <v>231d48f3</v>
      </c>
      <c r="S290" s="211" t="str">
        <f>IFERROR(__xludf.DUMMYFUNCTION("""COMPUTED_VALUE"""),"72d9a70c")</f>
        <v>72d9a70c</v>
      </c>
      <c r="T290" s="211" t="str">
        <f>IFERROR(__xludf.DUMMYFUNCTION("""COMPUTED_VALUE"""),"PT Beton Prima Indonesia")</f>
        <v>PT Beton Prima Indonesia</v>
      </c>
      <c r="U290" s="215">
        <f>IFERROR(__xludf.DUMMYFUNCTION("""COMPUTED_VALUE"""),45650.59583333333)</f>
        <v>45650.59583</v>
      </c>
      <c r="V290" s="211" t="str">
        <f>IFERROR(__xludf.DUMMYFUNCTION("""COMPUTED_VALUE"""),"KH. Ahmad Dahlan KM.2 Ds. Sumberwono, Kec. Bangsal, Kab. Mojokerto 61381")</f>
        <v>KH. Ahmad Dahlan KM.2 Ds. Sumberwono, Kec. Bangsal, Kab. Mojokerto 61381</v>
      </c>
      <c r="W290" s="211" t="str">
        <f>IFERROR(__xludf.DUMMYFUNCTION("""COMPUTED_VALUE"""),"IN")</f>
        <v>IN</v>
      </c>
      <c r="X290" s="211"/>
      <c r="Z290" s="211" t="str">
        <f>IFERROR(__xludf.DUMMYFUNCTION("""COMPUTED_VALUE"""),"022652450")</f>
        <v>022652450</v>
      </c>
      <c r="AC290" s="211"/>
      <c r="AD290" s="211"/>
      <c r="AE290" s="211"/>
      <c r="AF290" s="211"/>
      <c r="AG290" s="211"/>
      <c r="AH290" s="211"/>
      <c r="AI290" s="211"/>
      <c r="AJ290" s="211"/>
      <c r="AL290" s="211" t="str">
        <f>IFERROR(__xludf.DUMMYFUNCTION("""COMPUTED_VALUE"""),"2250016")</f>
        <v>2250016</v>
      </c>
      <c r="AM290" s="211" t="str">
        <f>IFERROR(__xludf.DUMMYFUNCTION("""COMPUTED_VALUE"""),"0825381122")</f>
        <v>0825381122</v>
      </c>
      <c r="AN290" s="211" t="str">
        <f>IFERROR(__xludf.DUMMYFUNCTION("""COMPUTED_VALUE"""),"e86baf3b")</f>
        <v>e86baf3b</v>
      </c>
      <c r="AO290" s="211" t="str">
        <f>IFERROR(__xludf.DUMMYFUNCTION("""COMPUTED_VALUE"""),"PT GEMILANG CIPTA WAWASAN")</f>
        <v>PT GEMILANG CIPTA WAWASAN</v>
      </c>
      <c r="AP290" s="215">
        <f>IFERROR(__xludf.DUMMYFUNCTION("""COMPUTED_VALUE"""),45895.510104166664)</f>
        <v>45895.5101</v>
      </c>
      <c r="AQ290" s="218">
        <f>IFERROR(__xludf.DUMMYFUNCTION("""COMPUTED_VALUE"""),45882.0)</f>
        <v>45882</v>
      </c>
      <c r="AR290" s="211"/>
      <c r="AS290" s="211"/>
      <c r="AT290" s="211"/>
      <c r="AU290" s="211"/>
      <c r="AV290" s="211"/>
      <c r="AW290" s="211"/>
      <c r="AX290" s="211"/>
      <c r="AY290" s="211"/>
      <c r="AZ290" s="211"/>
      <c r="BB290" s="211"/>
      <c r="BC290" s="211"/>
      <c r="BD290" s="211"/>
      <c r="BE290" s="211"/>
      <c r="BF290" s="211"/>
      <c r="BG290" s="211"/>
      <c r="BH290" s="211"/>
      <c r="BI290" s="211"/>
    </row>
    <row r="291">
      <c r="A291" s="210" t="str">
        <f>IFERROR(__xludf.DUMMYFUNCTION("""COMPUTED_VALUE"""),"7a0ab12f")</f>
        <v>7a0ab12f</v>
      </c>
      <c r="B291" s="210" t="str">
        <f>IFERROR(__xludf.DUMMYFUNCTION("""COMPUTED_VALUE"""),"7a0ab12f")</f>
        <v>7a0ab12f</v>
      </c>
      <c r="C291" s="213">
        <f>IFERROR(__xludf.DUMMYFUNCTION("""COMPUTED_VALUE"""),45622.61875)</f>
        <v>45622.61875</v>
      </c>
      <c r="D291" s="211" t="str">
        <f>IFERROR(__xludf.DUMMYFUNCTION("""COMPUTED_VALUE"""),"37175874")</f>
        <v>37175874</v>
      </c>
      <c r="E291" s="211" t="str">
        <f>IFERROR(__xludf.DUMMYFUNCTION("""COMPUTED_VALUE"""),"PT TERAPAN NILAIOSILASI INDONESIA (TENO)")</f>
        <v>PT TERAPAN NILAIOSILASI INDONESIA (TENO)</v>
      </c>
      <c r="F291" s="211" t="str">
        <f>IFERROR(__xludf.DUMMYFUNCTION("""COMPUTED_VALUE"""),"ef306e54")</f>
        <v>ef306e54</v>
      </c>
      <c r="G291" s="211" t="str">
        <f>IFERROR(__xludf.DUMMYFUNCTION("""COMPUTED_VALUE"""),"Karbondioksida")</f>
        <v>Karbondioksida</v>
      </c>
      <c r="H291" s="214" t="str">
        <f>IFERROR(__xludf.DUMMYFUNCTION("""COMPUTED_VALUE"""),"IN")</f>
        <v>IN</v>
      </c>
      <c r="I291" s="214" t="str">
        <f>IFERROR(__xludf.DUMMYFUNCTION("""COMPUTED_VALUE"""),"EMPTY")</f>
        <v>EMPTY</v>
      </c>
      <c r="J291" s="211">
        <f>IFERROR(__xludf.DUMMYFUNCTION("""COMPUTED_VALUE"""),1.0)</f>
        <v>1</v>
      </c>
      <c r="K291" s="210" t="str">
        <f>IFERROR(__xludf.DUMMYFUNCTION("""COMPUTED_VALUE"""),"6948")</f>
        <v>6948</v>
      </c>
      <c r="L291" s="211"/>
      <c r="M291" s="211"/>
      <c r="N291" s="211"/>
      <c r="O291" s="211"/>
      <c r="Q291" s="210" t="str">
        <f>IFERROR(__xludf.DUMMYFUNCTION("""COMPUTED_VALUE"""),"68bfe6e4")</f>
        <v>68bfe6e4</v>
      </c>
      <c r="R291" s="210" t="str">
        <f>IFERROR(__xludf.DUMMYFUNCTION("""COMPUTED_VALUE"""),"68bfe6e4")</f>
        <v>68bfe6e4</v>
      </c>
      <c r="S291" s="211" t="str">
        <f>IFERROR(__xludf.DUMMYFUNCTION("""COMPUTED_VALUE"""),"3fec37df")</f>
        <v>3fec37df</v>
      </c>
      <c r="T291" s="211" t="str">
        <f>IFERROR(__xludf.DUMMYFUNCTION("""COMPUTED_VALUE"""),"PT Jatim Abadi Perkasa Steel")</f>
        <v>PT Jatim Abadi Perkasa Steel</v>
      </c>
      <c r="U291" s="215">
        <f>IFERROR(__xludf.DUMMYFUNCTION("""COMPUTED_VALUE"""),45650.606944444444)</f>
        <v>45650.60694</v>
      </c>
      <c r="V291" s="211" t="str">
        <f>IFERROR(__xludf.DUMMYFUNCTION("""COMPUTED_VALUE"""),"Dsn. Bulak Sempuh, Jatirejo, Kab. Mojokerto, Jawa Timur")</f>
        <v>Dsn. Bulak Sempuh, Jatirejo, Kab. Mojokerto, Jawa Timur</v>
      </c>
      <c r="W291" s="211" t="str">
        <f>IFERROR(__xludf.DUMMYFUNCTION("""COMPUTED_VALUE"""),"IN")</f>
        <v>IN</v>
      </c>
      <c r="X291" s="211"/>
      <c r="Z291" s="211" t="str">
        <f>IFERROR(__xludf.DUMMYFUNCTION("""COMPUTED_VALUE"""),"022632449")</f>
        <v>022632449</v>
      </c>
      <c r="AC291" s="211"/>
      <c r="AD291" s="211"/>
      <c r="AE291" s="211"/>
      <c r="AF291" s="211"/>
      <c r="AG291" s="211"/>
      <c r="AH291" s="211"/>
      <c r="AI291" s="211"/>
      <c r="AJ291" s="211"/>
      <c r="AL291" s="211" t="str">
        <f>IFERROR(__xludf.DUMMYFUNCTION("""COMPUTED_VALUE"""),"2250015")</f>
        <v>2250015</v>
      </c>
      <c r="AM291" s="211" t="str">
        <f>IFERROR(__xludf.DUMMYFUNCTION("""COMPUTED_VALUE"""),"0825371077")</f>
        <v>0825371077</v>
      </c>
      <c r="AN291" s="211" t="str">
        <f>IFERROR(__xludf.DUMMYFUNCTION("""COMPUTED_VALUE"""),"e86baf3b")</f>
        <v>e86baf3b</v>
      </c>
      <c r="AO291" s="211" t="str">
        <f>IFERROR(__xludf.DUMMYFUNCTION("""COMPUTED_VALUE"""),"PT GEMILANG CIPTA WAWASAN")</f>
        <v>PT GEMILANG CIPTA WAWASAN</v>
      </c>
      <c r="AP291" s="215">
        <f>IFERROR(__xludf.DUMMYFUNCTION("""COMPUTED_VALUE"""),45895.51002314815)</f>
        <v>45895.51002</v>
      </c>
      <c r="AQ291" s="218">
        <f>IFERROR(__xludf.DUMMYFUNCTION("""COMPUTED_VALUE"""),45873.0)</f>
        <v>45873</v>
      </c>
      <c r="AR291" s="211"/>
      <c r="AS291" s="211"/>
      <c r="AT291" s="211"/>
      <c r="AU291" s="211"/>
      <c r="AV291" s="211"/>
      <c r="AW291" s="211"/>
      <c r="AX291" s="211"/>
      <c r="AY291" s="211"/>
      <c r="AZ291" s="211"/>
      <c r="BB291" s="211"/>
      <c r="BC291" s="211"/>
      <c r="BD291" s="211"/>
      <c r="BE291" s="211"/>
      <c r="BF291" s="211"/>
      <c r="BG291" s="211"/>
      <c r="BH291" s="211"/>
      <c r="BI291" s="211"/>
    </row>
    <row r="292">
      <c r="A292" s="210" t="str">
        <f>IFERROR(__xludf.DUMMYFUNCTION("""COMPUTED_VALUE"""),"c2993fd8")</f>
        <v>c2993fd8</v>
      </c>
      <c r="B292" s="210" t="str">
        <f>IFERROR(__xludf.DUMMYFUNCTION("""COMPUTED_VALUE"""),"c2993fd8")</f>
        <v>c2993fd8</v>
      </c>
      <c r="C292" s="213">
        <f>IFERROR(__xludf.DUMMYFUNCTION("""COMPUTED_VALUE"""),45622.61875)</f>
        <v>45622.61875</v>
      </c>
      <c r="D292" s="211" t="str">
        <f>IFERROR(__xludf.DUMMYFUNCTION("""COMPUTED_VALUE"""),"7b9d8eba")</f>
        <v>7b9d8eba</v>
      </c>
      <c r="E292" s="211" t="str">
        <f>IFERROR(__xludf.DUMMYFUNCTION("""COMPUTED_VALUE"""),"PT PELANGI INDOKARYA")</f>
        <v>PT PELANGI INDOKARYA</v>
      </c>
      <c r="F292" s="211" t="str">
        <f>IFERROR(__xludf.DUMMYFUNCTION("""COMPUTED_VALUE"""),"8bdbe149")</f>
        <v>8bdbe149</v>
      </c>
      <c r="G292" s="211" t="str">
        <f>IFERROR(__xludf.DUMMYFUNCTION("""COMPUTED_VALUE"""),"Oksigen 6m3")</f>
        <v>Oksigen 6m3</v>
      </c>
      <c r="H292" s="214" t="str">
        <f>IFERROR(__xludf.DUMMYFUNCTION("""COMPUTED_VALUE"""),"IN")</f>
        <v>IN</v>
      </c>
      <c r="I292" s="214" t="str">
        <f>IFERROR(__xludf.DUMMYFUNCTION("""COMPUTED_VALUE"""),"EMPTY")</f>
        <v>EMPTY</v>
      </c>
      <c r="J292" s="211">
        <f>IFERROR(__xludf.DUMMYFUNCTION("""COMPUTED_VALUE"""),3.0)</f>
        <v>3</v>
      </c>
      <c r="K292" s="210" t="str">
        <f>IFERROR(__xludf.DUMMYFUNCTION("""COMPUTED_VALUE"""),"1129 11104 11120")</f>
        <v>1129 11104 11120</v>
      </c>
      <c r="L292" s="211"/>
      <c r="M292" s="211"/>
      <c r="N292" s="211"/>
      <c r="O292" s="211"/>
      <c r="Q292" s="210" t="str">
        <f>IFERROR(__xludf.DUMMYFUNCTION("""COMPUTED_VALUE"""),"12240183")</f>
        <v>12240183</v>
      </c>
      <c r="R292" s="210" t="str">
        <f>IFERROR(__xludf.DUMMYFUNCTION("""COMPUTED_VALUE"""),"12240183")</f>
        <v>12240183</v>
      </c>
      <c r="S292" s="211" t="str">
        <f>IFERROR(__xludf.DUMMYFUNCTION("""COMPUTED_VALUE"""),"8f5ebaea")</f>
        <v>8f5ebaea</v>
      </c>
      <c r="T292" s="211" t="str">
        <f>IFERROR(__xludf.DUMMYFUNCTION("""COMPUTED_VALUE"""),"PT Hua Zong Mesindo")</f>
        <v>PT Hua Zong Mesindo</v>
      </c>
      <c r="U292" s="215">
        <f>IFERROR(__xludf.DUMMYFUNCTION("""COMPUTED_VALUE"""),45650.674305555556)</f>
        <v>45650.67431</v>
      </c>
      <c r="V292" s="211" t="str">
        <f>IFERROR(__xludf.DUMMYFUNCTION("""COMPUTED_VALUE"""),"Jl. Bypass Krian, Sidotemo, Sidomulyo, Kec. Krian, Kabupaten Sidoarjo, Jawa Timur 61262")</f>
        <v>Jl. Bypass Krian, Sidotemo, Sidomulyo, Kec. Krian, Kabupaten Sidoarjo, Jawa Timur 61262</v>
      </c>
      <c r="W292" s="211" t="str">
        <f>IFERROR(__xludf.DUMMYFUNCTION("""COMPUTED_VALUE"""),"OUT")</f>
        <v>OUT</v>
      </c>
      <c r="X292" s="211"/>
      <c r="Z292" s="211" t="str">
        <f>IFERROR(__xludf.DUMMYFUNCTION("""COMPUTED_VALUE"""),"022622448")</f>
        <v>022622448</v>
      </c>
      <c r="AC292" s="211"/>
      <c r="AD292" s="211"/>
      <c r="AE292" s="211"/>
      <c r="AF292" s="211"/>
      <c r="AG292" s="211"/>
      <c r="AH292" s="211"/>
      <c r="AI292" s="211"/>
      <c r="AJ292" s="211"/>
      <c r="AL292" s="211" t="str">
        <f>IFERROR(__xludf.DUMMYFUNCTION("""COMPUTED_VALUE"""),"2250010")</f>
        <v>2250010</v>
      </c>
      <c r="AM292" s="211" t="str">
        <f>IFERROR(__xludf.DUMMYFUNCTION("""COMPUTED_VALUE"""),"07250615")</f>
        <v>07250615</v>
      </c>
      <c r="AN292" s="211" t="str">
        <f>IFERROR(__xludf.DUMMYFUNCTION("""COMPUTED_VALUE"""),"ce83e171")</f>
        <v>ce83e171</v>
      </c>
      <c r="AO292" s="211" t="str">
        <f>IFERROR(__xludf.DUMMYFUNCTION("""COMPUTED_VALUE"""),"Bpk. Sulaiman")</f>
        <v>Bpk. Sulaiman</v>
      </c>
      <c r="AP292" s="215">
        <f>IFERROR(__xludf.DUMMYFUNCTION("""COMPUTED_VALUE"""),45891.48484953704)</f>
        <v>45891.48485</v>
      </c>
      <c r="AQ292" s="218">
        <f>IFERROR(__xludf.DUMMYFUNCTION("""COMPUTED_VALUE"""),45868.0)</f>
        <v>45868</v>
      </c>
      <c r="AR292" s="211"/>
      <c r="AS292" s="211"/>
      <c r="AT292" s="211"/>
      <c r="AU292" s="211"/>
      <c r="AV292" s="211"/>
      <c r="AW292" s="211"/>
      <c r="AX292" s="211"/>
      <c r="AY292" s="211"/>
      <c r="AZ292" s="211"/>
      <c r="BB292" s="211"/>
      <c r="BC292" s="211"/>
      <c r="BD292" s="211"/>
      <c r="BE292" s="211"/>
      <c r="BF292" s="211"/>
      <c r="BG292" s="211"/>
      <c r="BH292" s="211"/>
      <c r="BI292" s="211"/>
    </row>
    <row r="293">
      <c r="A293" s="211"/>
      <c r="B293" s="211"/>
      <c r="C293" s="211"/>
      <c r="D293" s="211"/>
      <c r="E293" s="211"/>
      <c r="F293" s="211"/>
      <c r="G293" s="211"/>
      <c r="H293" s="211"/>
      <c r="I293" s="211"/>
      <c r="J293" s="211"/>
      <c r="K293" s="211"/>
      <c r="L293" s="211"/>
      <c r="M293" s="211"/>
      <c r="N293" s="211"/>
      <c r="O293" s="211"/>
      <c r="Q293" s="210" t="str">
        <f>IFERROR(__xludf.DUMMYFUNCTION("""COMPUTED_VALUE"""),"12240185")</f>
        <v>12240185</v>
      </c>
      <c r="R293" s="210" t="str">
        <f>IFERROR(__xludf.DUMMYFUNCTION("""COMPUTED_VALUE"""),"12240185")</f>
        <v>12240185</v>
      </c>
      <c r="S293" s="211" t="str">
        <f>IFERROR(__xludf.DUMMYFUNCTION("""COMPUTED_VALUE"""),"01158be1")</f>
        <v>01158be1</v>
      </c>
      <c r="T293" s="211" t="str">
        <f>IFERROR(__xludf.DUMMYFUNCTION("""COMPUTED_VALUE"""),"GYF")</f>
        <v>GYF</v>
      </c>
      <c r="U293" s="215">
        <f>IFERROR(__xludf.DUMMYFUNCTION("""COMPUTED_VALUE"""),45651.34513888889)</f>
        <v>45651.34514</v>
      </c>
      <c r="V293" s="211" t="str">
        <f>IFERROR(__xludf.DUMMYFUNCTION("""COMPUTED_VALUE"""),"Kangkungan, Lengkong, Kec. Mojoanyar, Kabupaten Mojokerto, Jawa Timur")</f>
        <v>Kangkungan, Lengkong, Kec. Mojoanyar, Kabupaten Mojokerto, Jawa Timur</v>
      </c>
      <c r="W293" s="211" t="str">
        <f>IFERROR(__xludf.DUMMYFUNCTION("""COMPUTED_VALUE"""),"OUT")</f>
        <v>OUT</v>
      </c>
      <c r="X293" s="211"/>
      <c r="Z293" s="211" t="str">
        <f>IFERROR(__xludf.DUMMYFUNCTION("""COMPUTED_VALUE"""),"022682447")</f>
        <v>022682447</v>
      </c>
      <c r="AC293" s="211"/>
      <c r="AD293" s="211"/>
      <c r="AE293" s="211"/>
      <c r="AF293" s="211"/>
      <c r="AG293" s="211"/>
      <c r="AH293" s="211"/>
      <c r="AI293" s="211"/>
      <c r="AJ293" s="211"/>
      <c r="AL293" s="211" t="str">
        <f>IFERROR(__xludf.DUMMYFUNCTION("""COMPUTED_VALUE"""),"2250010")</f>
        <v>2250010</v>
      </c>
      <c r="AM293" s="211" t="str">
        <f>IFERROR(__xludf.DUMMYFUNCTION("""COMPUTED_VALUE"""),"0825251140")</f>
        <v>0825251140</v>
      </c>
      <c r="AN293" s="211" t="str">
        <f>IFERROR(__xludf.DUMMYFUNCTION("""COMPUTED_VALUE"""),"ce83e171")</f>
        <v>ce83e171</v>
      </c>
      <c r="AO293" s="211" t="str">
        <f>IFERROR(__xludf.DUMMYFUNCTION("""COMPUTED_VALUE"""),"Bpk. Sulaiman")</f>
        <v>Bpk. Sulaiman</v>
      </c>
      <c r="AP293" s="215">
        <f>IFERROR(__xludf.DUMMYFUNCTION("""COMPUTED_VALUE"""),45891.48484953704)</f>
        <v>45891.48485</v>
      </c>
      <c r="AQ293" s="218">
        <f>IFERROR(__xludf.DUMMYFUNCTION("""COMPUTED_VALUE"""),45888.0)</f>
        <v>45888</v>
      </c>
      <c r="AR293" s="211"/>
      <c r="AS293" s="211"/>
      <c r="AT293" s="211"/>
      <c r="AU293" s="211"/>
      <c r="AV293" s="211"/>
      <c r="AW293" s="211"/>
      <c r="AX293" s="211"/>
      <c r="AY293" s="211"/>
      <c r="AZ293" s="211"/>
      <c r="BB293" s="211"/>
      <c r="BC293" s="211"/>
      <c r="BD293" s="211"/>
      <c r="BE293" s="211"/>
      <c r="BF293" s="211"/>
      <c r="BG293" s="211"/>
      <c r="BH293" s="211"/>
      <c r="BI293" s="211"/>
    </row>
    <row r="294">
      <c r="A294" s="210" t="str">
        <f>IFERROR(__xludf.DUMMYFUNCTION("""COMPUTED_VALUE"""),"11240133")</f>
        <v>11240133</v>
      </c>
      <c r="B294" s="210" t="str">
        <f>IFERROR(__xludf.DUMMYFUNCTION("""COMPUTED_VALUE"""),"11240133")</f>
        <v>11240133</v>
      </c>
      <c r="C294" s="213">
        <f>IFERROR(__xludf.DUMMYFUNCTION("""COMPUTED_VALUE"""),45624.478472222225)</f>
        <v>45624.47847</v>
      </c>
      <c r="D294" s="211" t="str">
        <f>IFERROR(__xludf.DUMMYFUNCTION("""COMPUTED_VALUE"""),"2d88931c")</f>
        <v>2d88931c</v>
      </c>
      <c r="E294" s="211" t="str">
        <f>IFERROR(__xludf.DUMMYFUNCTION("""COMPUTED_VALUE"""),"PT Dunia Berkat Marga Mulya")</f>
        <v>PT Dunia Berkat Marga Mulya</v>
      </c>
      <c r="F294" s="211" t="str">
        <f>IFERROR(__xludf.DUMMYFUNCTION("""COMPUTED_VALUE"""),"8bdbe149")</f>
        <v>8bdbe149</v>
      </c>
      <c r="G294" s="211" t="str">
        <f>IFERROR(__xludf.DUMMYFUNCTION("""COMPUTED_VALUE"""),"Oksigen 6m3")</f>
        <v>Oksigen 6m3</v>
      </c>
      <c r="H294" s="214" t="str">
        <f>IFERROR(__xludf.DUMMYFUNCTION("""COMPUTED_VALUE"""),"OUT")</f>
        <v>OUT</v>
      </c>
      <c r="I294" s="214" t="str">
        <f>IFERROR(__xludf.DUMMYFUNCTION("""COMPUTED_VALUE"""),"NORMAL")</f>
        <v>NORMAL</v>
      </c>
      <c r="J294" s="211">
        <f>IFERROR(__xludf.DUMMYFUNCTION("""COMPUTED_VALUE"""),3.0)</f>
        <v>3</v>
      </c>
      <c r="K294" s="210" t="str">
        <f>IFERROR(__xludf.DUMMYFUNCTION("""COMPUTED_VALUE"""),"1187 1123 11120")</f>
        <v>1187 1123 11120</v>
      </c>
      <c r="L294" s="211">
        <f>IFERROR(__xludf.DUMMYFUNCTION("""COMPUTED_VALUE"""),60000.0)</f>
        <v>60000</v>
      </c>
      <c r="M294" s="211"/>
      <c r="N294" s="211"/>
      <c r="O294" s="211"/>
      <c r="Q294" s="210" t="str">
        <f>IFERROR(__xludf.DUMMYFUNCTION("""COMPUTED_VALUE"""),"12240186")</f>
        <v>12240186</v>
      </c>
      <c r="R294" s="210" t="str">
        <f>IFERROR(__xludf.DUMMYFUNCTION("""COMPUTED_VALUE"""),"12240186")</f>
        <v>12240186</v>
      </c>
      <c r="S294" s="211" t="str">
        <f>IFERROR(__xludf.DUMMYFUNCTION("""COMPUTED_VALUE"""),"785e0e07")</f>
        <v>785e0e07</v>
      </c>
      <c r="T294" s="211" t="str">
        <f>IFERROR(__xludf.DUMMYFUNCTION("""COMPUTED_VALUE"""),"Bpk. Sukirno (Bejo)")</f>
        <v>Bpk. Sukirno (Bejo)</v>
      </c>
      <c r="U294" s="215">
        <f>IFERROR(__xludf.DUMMYFUNCTION("""COMPUTED_VALUE"""),45653.6375)</f>
        <v>45653.6375</v>
      </c>
      <c r="V294" s="211" t="str">
        <f>IFERROR(__xludf.DUMMYFUNCTION("""COMPUTED_VALUE"""),"Krajan I, Wringinanom, Kec. Wringinanom, Kabupaten Gresik, Jawa Timur 61176")</f>
        <v>Krajan I, Wringinanom, Kec. Wringinanom, Kabupaten Gresik, Jawa Timur 61176</v>
      </c>
      <c r="W294" s="211" t="str">
        <f>IFERROR(__xludf.DUMMYFUNCTION("""COMPUTED_VALUE"""),"OUT")</f>
        <v>OUT</v>
      </c>
      <c r="X294" s="211"/>
      <c r="Z294" s="211" t="str">
        <f>IFERROR(__xludf.DUMMYFUNCTION("""COMPUTED_VALUE"""),"022652440")</f>
        <v>022652440</v>
      </c>
      <c r="AC294" s="211"/>
      <c r="AD294" s="211"/>
      <c r="AE294" s="211"/>
      <c r="AF294" s="211"/>
      <c r="AG294" s="211"/>
      <c r="AH294" s="211"/>
      <c r="AI294" s="211"/>
      <c r="AJ294" s="211"/>
      <c r="AL294" s="211" t="str">
        <f>IFERROR(__xludf.DUMMYFUNCTION("""COMPUTED_VALUE"""),"2250010")</f>
        <v>2250010</v>
      </c>
      <c r="AM294" s="211" t="str">
        <f>IFERROR(__xludf.DUMMYFUNCTION("""COMPUTED_VALUE"""),"0825221082")</f>
        <v>0825221082</v>
      </c>
      <c r="AN294" s="211" t="str">
        <f>IFERROR(__xludf.DUMMYFUNCTION("""COMPUTED_VALUE"""),"ce83e171")</f>
        <v>ce83e171</v>
      </c>
      <c r="AO294" s="211" t="str">
        <f>IFERROR(__xludf.DUMMYFUNCTION("""COMPUTED_VALUE"""),"Bpk. Sulaiman")</f>
        <v>Bpk. Sulaiman</v>
      </c>
      <c r="AP294" s="215">
        <f>IFERROR(__xludf.DUMMYFUNCTION("""COMPUTED_VALUE"""),45891.48484953704)</f>
        <v>45891.48485</v>
      </c>
      <c r="AQ294" s="218">
        <f>IFERROR(__xludf.DUMMYFUNCTION("""COMPUTED_VALUE"""),45874.0)</f>
        <v>45874</v>
      </c>
      <c r="AR294" s="211"/>
      <c r="AS294" s="211"/>
      <c r="AT294" s="211"/>
      <c r="AU294" s="211"/>
      <c r="AV294" s="211"/>
      <c r="AW294" s="211"/>
      <c r="AX294" s="211"/>
      <c r="AY294" s="211"/>
      <c r="AZ294" s="211"/>
      <c r="BB294" s="211"/>
      <c r="BC294" s="211"/>
      <c r="BD294" s="211"/>
      <c r="BE294" s="211"/>
      <c r="BF294" s="211"/>
      <c r="BG294" s="211"/>
      <c r="BH294" s="211"/>
      <c r="BI294" s="211"/>
    </row>
    <row r="295">
      <c r="A295" s="210" t="str">
        <f>IFERROR(__xludf.DUMMYFUNCTION("""COMPUTED_VALUE"""),"a777edb8")</f>
        <v>a777edb8</v>
      </c>
      <c r="B295" s="210" t="str">
        <f>IFERROR(__xludf.DUMMYFUNCTION("""COMPUTED_VALUE"""),"a777edb8")</f>
        <v>a777edb8</v>
      </c>
      <c r="C295" s="213">
        <f>IFERROR(__xludf.DUMMYFUNCTION("""COMPUTED_VALUE"""),45624.58472222222)</f>
        <v>45624.58472</v>
      </c>
      <c r="D295" s="211" t="str">
        <f>IFERROR(__xludf.DUMMYFUNCTION("""COMPUTED_VALUE"""),"2d88931c")</f>
        <v>2d88931c</v>
      </c>
      <c r="E295" s="211" t="str">
        <f>IFERROR(__xludf.DUMMYFUNCTION("""COMPUTED_VALUE"""),"PT Dunia Berkat Marga Mulya")</f>
        <v>PT Dunia Berkat Marga Mulya</v>
      </c>
      <c r="F295" s="211" t="str">
        <f>IFERROR(__xludf.DUMMYFUNCTION("""COMPUTED_VALUE"""),"8bdbe149")</f>
        <v>8bdbe149</v>
      </c>
      <c r="G295" s="211" t="str">
        <f>IFERROR(__xludf.DUMMYFUNCTION("""COMPUTED_VALUE"""),"Oksigen 6m3")</f>
        <v>Oksigen 6m3</v>
      </c>
      <c r="H295" s="214" t="str">
        <f>IFERROR(__xludf.DUMMYFUNCTION("""COMPUTED_VALUE"""),"IN")</f>
        <v>IN</v>
      </c>
      <c r="I295" s="214" t="str">
        <f>IFERROR(__xludf.DUMMYFUNCTION("""COMPUTED_VALUE"""),"EMPTY")</f>
        <v>EMPTY</v>
      </c>
      <c r="J295" s="211">
        <f>IFERROR(__xludf.DUMMYFUNCTION("""COMPUTED_VALUE"""),2.0)</f>
        <v>2</v>
      </c>
      <c r="K295" s="210" t="str">
        <f>IFERROR(__xludf.DUMMYFUNCTION("""COMPUTED_VALUE"""),"1196 1121")</f>
        <v>1196 1121</v>
      </c>
      <c r="L295" s="211"/>
      <c r="M295" s="211"/>
      <c r="N295" s="211"/>
      <c r="O295" s="211"/>
      <c r="Q295" s="210" t="str">
        <f>IFERROR(__xludf.DUMMYFUNCTION("""COMPUTED_VALUE"""),"12240187")</f>
        <v>12240187</v>
      </c>
      <c r="R295" s="210" t="str">
        <f>IFERROR(__xludf.DUMMYFUNCTION("""COMPUTED_VALUE"""),"12240187")</f>
        <v>12240187</v>
      </c>
      <c r="S295" s="211" t="str">
        <f>IFERROR(__xludf.DUMMYFUNCTION("""COMPUTED_VALUE"""),"06d600f6")</f>
        <v>06d600f6</v>
      </c>
      <c r="T295" s="211" t="str">
        <f>IFERROR(__xludf.DUMMYFUNCTION("""COMPUTED_VALUE"""),"Ibu Ida")</f>
        <v>Ibu Ida</v>
      </c>
      <c r="U295" s="215">
        <f>IFERROR(__xludf.DUMMYFUNCTION("""COMPUTED_VALUE"""),45654.36111111111)</f>
        <v>45654.36111</v>
      </c>
      <c r="V295" s="211" t="str">
        <f>IFERROR(__xludf.DUMMYFUNCTION("""COMPUTED_VALUE"""),"Wonoayu rt 1 rw 4, Kec wonoayu, Kab. Sidoarjo")</f>
        <v>Wonoayu rt 1 rw 4, Kec wonoayu, Kab. Sidoarjo</v>
      </c>
      <c r="W295" s="211" t="str">
        <f>IFERROR(__xludf.DUMMYFUNCTION("""COMPUTED_VALUE"""),"OUT")</f>
        <v>OUT</v>
      </c>
      <c r="X295" s="211"/>
      <c r="Z295" s="211" t="str">
        <f>IFERROR(__xludf.DUMMYFUNCTION("""COMPUTED_VALUE"""),"0226432439")</f>
        <v>0226432439</v>
      </c>
      <c r="AC295" s="211"/>
      <c r="AD295" s="211"/>
      <c r="AE295" s="211"/>
      <c r="AF295" s="211"/>
      <c r="AG295" s="211"/>
      <c r="AH295" s="211"/>
      <c r="AI295" s="211"/>
      <c r="AJ295" s="211"/>
      <c r="AL295" s="211" t="str">
        <f>IFERROR(__xludf.DUMMYFUNCTION("""COMPUTED_VALUE"""),"2250010")</f>
        <v>2250010</v>
      </c>
      <c r="AM295" s="211" t="str">
        <f>IFERROR(__xludf.DUMMYFUNCTION("""COMPUTED_VALUE"""),"0825251153")</f>
        <v>0825251153</v>
      </c>
      <c r="AN295" s="211" t="str">
        <f>IFERROR(__xludf.DUMMYFUNCTION("""COMPUTED_VALUE"""),"ce83e171")</f>
        <v>ce83e171</v>
      </c>
      <c r="AO295" s="211" t="str">
        <f>IFERROR(__xludf.DUMMYFUNCTION("""COMPUTED_VALUE"""),"Bpk. Sulaiman")</f>
        <v>Bpk. Sulaiman</v>
      </c>
      <c r="AP295" s="215">
        <f>IFERROR(__xludf.DUMMYFUNCTION("""COMPUTED_VALUE"""),45891.48484953704)</f>
        <v>45891.48485</v>
      </c>
      <c r="AQ295" s="218">
        <f>IFERROR(__xludf.DUMMYFUNCTION("""COMPUTED_VALUE"""),45891.0)</f>
        <v>45891</v>
      </c>
      <c r="AR295" s="211"/>
      <c r="AS295" s="211"/>
      <c r="AT295" s="211"/>
      <c r="AU295" s="211"/>
      <c r="AV295" s="211"/>
      <c r="AW295" s="211"/>
      <c r="AX295" s="211"/>
      <c r="AY295" s="211"/>
      <c r="AZ295" s="211"/>
      <c r="BB295" s="211"/>
      <c r="BC295" s="211"/>
      <c r="BD295" s="211"/>
      <c r="BE295" s="211"/>
      <c r="BF295" s="211"/>
      <c r="BG295" s="211"/>
      <c r="BH295" s="211"/>
      <c r="BI295" s="211"/>
    </row>
    <row r="296">
      <c r="A296" s="210" t="str">
        <f>IFERROR(__xludf.DUMMYFUNCTION("""COMPUTED_VALUE"""),"4b09798c")</f>
        <v>4b09798c</v>
      </c>
      <c r="B296" s="210" t="str">
        <f>IFERROR(__xludf.DUMMYFUNCTION("""COMPUTED_VALUE"""),"4b09798c")</f>
        <v>4b09798c</v>
      </c>
      <c r="C296" s="213">
        <f>IFERROR(__xludf.DUMMYFUNCTION("""COMPUTED_VALUE"""),45624.58472222222)</f>
        <v>45624.58472</v>
      </c>
      <c r="D296" s="211" t="str">
        <f>IFERROR(__xludf.DUMMYFUNCTION("""COMPUTED_VALUE"""),"8f5ebaea")</f>
        <v>8f5ebaea</v>
      </c>
      <c r="E296" s="211" t="str">
        <f>IFERROR(__xludf.DUMMYFUNCTION("""COMPUTED_VALUE"""),"PT Hua Zong Mesindo")</f>
        <v>PT Hua Zong Mesindo</v>
      </c>
      <c r="F296" s="211" t="str">
        <f>IFERROR(__xludf.DUMMYFUNCTION("""COMPUTED_VALUE"""),"8bdbe149")</f>
        <v>8bdbe149</v>
      </c>
      <c r="G296" s="211" t="str">
        <f>IFERROR(__xludf.DUMMYFUNCTION("""COMPUTED_VALUE"""),"Oksigen 6m3")</f>
        <v>Oksigen 6m3</v>
      </c>
      <c r="H296" s="214" t="str">
        <f>IFERROR(__xludf.DUMMYFUNCTION("""COMPUTED_VALUE"""),"IN")</f>
        <v>IN</v>
      </c>
      <c r="I296" s="214" t="str">
        <f>IFERROR(__xludf.DUMMYFUNCTION("""COMPUTED_VALUE"""),"EMPTY")</f>
        <v>EMPTY</v>
      </c>
      <c r="J296" s="211">
        <f>IFERROR(__xludf.DUMMYFUNCTION("""COMPUTED_VALUE"""),2.0)</f>
        <v>2</v>
      </c>
      <c r="K296" s="210" t="str">
        <f>IFERROR(__xludf.DUMMYFUNCTION("""COMPUTED_VALUE"""),"1103 1112")</f>
        <v>1103 1112</v>
      </c>
      <c r="L296" s="211"/>
      <c r="M296" s="211"/>
      <c r="N296" s="211"/>
      <c r="O296" s="211"/>
      <c r="Q296" s="210" t="str">
        <f>IFERROR(__xludf.DUMMYFUNCTION("""COMPUTED_VALUE"""),"12240189")</f>
        <v>12240189</v>
      </c>
      <c r="R296" s="210" t="str">
        <f>IFERROR(__xludf.DUMMYFUNCTION("""COMPUTED_VALUE"""),"12240189")</f>
        <v>12240189</v>
      </c>
      <c r="S296" s="211" t="str">
        <f>IFERROR(__xludf.DUMMYFUNCTION("""COMPUTED_VALUE"""),"6b737895")</f>
        <v>6b737895</v>
      </c>
      <c r="T296" s="211" t="str">
        <f>IFERROR(__xludf.DUMMYFUNCTION("""COMPUTED_VALUE"""),"Ibu Yanti")</f>
        <v>Ibu Yanti</v>
      </c>
      <c r="U296" s="215">
        <f>IFERROR(__xludf.DUMMYFUNCTION("""COMPUTED_VALUE"""),45654.36875)</f>
        <v>45654.36875</v>
      </c>
      <c r="V296" s="211" t="str">
        <f>IFERROR(__xludf.DUMMYFUNCTION("""COMPUTED_VALUE"""),"Klutuk, Kramat Jegu, Kec. Taman, Kabupaten Sidoarjo, Jawa Timur 61257")</f>
        <v>Klutuk, Kramat Jegu, Kec. Taman, Kabupaten Sidoarjo, Jawa Timur 61257</v>
      </c>
      <c r="W296" s="211" t="str">
        <f>IFERROR(__xludf.DUMMYFUNCTION("""COMPUTED_VALUE"""),"OUT")</f>
        <v>OUT</v>
      </c>
      <c r="X296" s="211"/>
      <c r="Z296" s="211" t="str">
        <f>IFERROR(__xludf.DUMMYFUNCTION("""COMPUTED_VALUE"""),"022672438")</f>
        <v>022672438</v>
      </c>
      <c r="AC296" s="211"/>
      <c r="AD296" s="211"/>
      <c r="AE296" s="211"/>
      <c r="AF296" s="211"/>
      <c r="AG296" s="211"/>
      <c r="AH296" s="211"/>
      <c r="AI296" s="211"/>
      <c r="AJ296" s="211"/>
      <c r="AL296" s="211" t="str">
        <f>IFERROR(__xludf.DUMMYFUNCTION("""COMPUTED_VALUE"""),"2250011")</f>
        <v>2250011</v>
      </c>
      <c r="AM296" s="211" t="str">
        <f>IFERROR(__xludf.DUMMYFUNCTION("""COMPUTED_VALUE"""),"0825231094")</f>
        <v>0825231094</v>
      </c>
      <c r="AN296" s="211" t="str">
        <f>IFERROR(__xludf.DUMMYFUNCTION("""COMPUTED_VALUE"""),"ce83e171")</f>
        <v>ce83e171</v>
      </c>
      <c r="AO296" s="211" t="str">
        <f>IFERROR(__xludf.DUMMYFUNCTION("""COMPUTED_VALUE"""),"Bpk. Sulaiman")</f>
        <v>Bpk. Sulaiman</v>
      </c>
      <c r="AP296" s="215">
        <f>IFERROR(__xludf.DUMMYFUNCTION("""COMPUTED_VALUE"""),45891.47793981481)</f>
        <v>45891.47794</v>
      </c>
      <c r="AQ296" s="218">
        <f>IFERROR(__xludf.DUMMYFUNCTION("""COMPUTED_VALUE"""),45876.0)</f>
        <v>45876</v>
      </c>
      <c r="AR296" s="211"/>
      <c r="AS296" s="211"/>
      <c r="AT296" s="211"/>
      <c r="AU296" s="211"/>
      <c r="AV296" s="211"/>
      <c r="AW296" s="211"/>
      <c r="AX296" s="211"/>
      <c r="AY296" s="211"/>
      <c r="AZ296" s="211"/>
      <c r="BB296" s="211"/>
      <c r="BC296" s="211"/>
      <c r="BD296" s="211"/>
      <c r="BE296" s="211"/>
      <c r="BF296" s="211"/>
      <c r="BG296" s="211"/>
      <c r="BH296" s="211"/>
      <c r="BI296" s="211"/>
    </row>
    <row r="297">
      <c r="A297" s="210" t="str">
        <f>IFERROR(__xludf.DUMMYFUNCTION("""COMPUTED_VALUE"""),"11240134")</f>
        <v>11240134</v>
      </c>
      <c r="B297" s="210" t="str">
        <f>IFERROR(__xludf.DUMMYFUNCTION("""COMPUTED_VALUE"""),"11240134")</f>
        <v>11240134</v>
      </c>
      <c r="C297" s="213">
        <f>IFERROR(__xludf.DUMMYFUNCTION("""COMPUTED_VALUE"""),45625.345138888886)</f>
        <v>45625.34514</v>
      </c>
      <c r="D297" s="211" t="str">
        <f>IFERROR(__xludf.DUMMYFUNCTION("""COMPUTED_VALUE"""),"72d9a70c")</f>
        <v>72d9a70c</v>
      </c>
      <c r="E297" s="211" t="str">
        <f>IFERROR(__xludf.DUMMYFUNCTION("""COMPUTED_VALUE"""),"PT Beton Prima Indonesia")</f>
        <v>PT Beton Prima Indonesia</v>
      </c>
      <c r="F297" s="211" t="str">
        <f>IFERROR(__xludf.DUMMYFUNCTION("""COMPUTED_VALUE"""),"8bdbe149")</f>
        <v>8bdbe149</v>
      </c>
      <c r="G297" s="211" t="str">
        <f>IFERROR(__xludf.DUMMYFUNCTION("""COMPUTED_VALUE"""),"Oksigen 6m3")</f>
        <v>Oksigen 6m3</v>
      </c>
      <c r="H297" s="214" t="str">
        <f>IFERROR(__xludf.DUMMYFUNCTION("""COMPUTED_VALUE"""),"OUT")</f>
        <v>OUT</v>
      </c>
      <c r="I297" s="214" t="str">
        <f>IFERROR(__xludf.DUMMYFUNCTION("""COMPUTED_VALUE"""),"NORMAL")</f>
        <v>NORMAL</v>
      </c>
      <c r="J297" s="211">
        <f>IFERROR(__xludf.DUMMYFUNCTION("""COMPUTED_VALUE"""),10.0)</f>
        <v>10</v>
      </c>
      <c r="K297" s="210" t="str">
        <f>IFERROR(__xludf.DUMMYFUNCTION("""COMPUTED_VALUE"""),"1707 5512 5862 1596 5709 1566 5904 1825 1073 5130")</f>
        <v>1707 5512 5862 1596 5709 1566 5904 1825 1073 5130</v>
      </c>
      <c r="L297" s="211">
        <f>IFERROR(__xludf.DUMMYFUNCTION("""COMPUTED_VALUE"""),45045.04505)</f>
        <v>45045.04505</v>
      </c>
      <c r="M297" s="211"/>
      <c r="N297" s="211"/>
      <c r="O297" s="211"/>
      <c r="Q297" s="210" t="str">
        <f>IFERROR(__xludf.DUMMYFUNCTION("""COMPUTED_VALUE"""),"12240190")</f>
        <v>12240190</v>
      </c>
      <c r="R297" s="210" t="str">
        <f>IFERROR(__xludf.DUMMYFUNCTION("""COMPUTED_VALUE"""),"12240190")</f>
        <v>12240190</v>
      </c>
      <c r="S297" s="211" t="str">
        <f>IFERROR(__xludf.DUMMYFUNCTION("""COMPUTED_VALUE"""),"5f23ba17")</f>
        <v>5f23ba17</v>
      </c>
      <c r="T297" s="211" t="str">
        <f>IFERROR(__xludf.DUMMYFUNCTION("""COMPUTED_VALUE"""),"Bpk. Joko (Gresik)")</f>
        <v>Bpk. Joko (Gresik)</v>
      </c>
      <c r="U297" s="215">
        <f>IFERROR(__xludf.DUMMYFUNCTION("""COMPUTED_VALUE"""),45654.62013888889)</f>
        <v>45654.62014</v>
      </c>
      <c r="V297" s="211" t="str">
        <f>IFERROR(__xludf.DUMMYFUNCTION("""COMPUTED_VALUE"""),"Tanggungan, Lebaniwaras, Kec. Wringinanom, Kabupaten Gresik, Jawa Timur")</f>
        <v>Tanggungan, Lebaniwaras, Kec. Wringinanom, Kabupaten Gresik, Jawa Timur</v>
      </c>
      <c r="W297" s="211" t="str">
        <f>IFERROR(__xludf.DUMMYFUNCTION("""COMPUTED_VALUE"""),"OUT")</f>
        <v>OUT</v>
      </c>
      <c r="X297" s="211"/>
      <c r="Z297" s="211" t="str">
        <f>IFERROR(__xludf.DUMMYFUNCTION("""COMPUTED_VALUE"""),"022622430")</f>
        <v>022622430</v>
      </c>
      <c r="AC297" s="211"/>
      <c r="AD297" s="211"/>
      <c r="AE297" s="211"/>
      <c r="AF297" s="211"/>
      <c r="AG297" s="211"/>
      <c r="AH297" s="211"/>
      <c r="AI297" s="211"/>
      <c r="AJ297" s="211"/>
      <c r="AL297" s="211" t="str">
        <f>IFERROR(__xludf.DUMMYFUNCTION("""COMPUTED_VALUE"""),"2250009")</f>
        <v>2250009</v>
      </c>
      <c r="AM297" s="211" t="str">
        <f>IFERROR(__xludf.DUMMYFUNCTION("""COMPUTED_VALUE"""),"06250481")</f>
        <v>06250481</v>
      </c>
      <c r="AN297" s="211" t="str">
        <f>IFERROR(__xludf.DUMMYFUNCTION("""COMPUTED_VALUE"""),"0411d86e")</f>
        <v>0411d86e</v>
      </c>
      <c r="AO297" s="211" t="str">
        <f>IFERROR(__xludf.DUMMYFUNCTION("""COMPUTED_VALUE"""),"Bpk. Subiantoro (Parengan)")</f>
        <v>Bpk. Subiantoro (Parengan)</v>
      </c>
      <c r="AP297" s="215">
        <f>IFERROR(__xludf.DUMMYFUNCTION("""COMPUTED_VALUE"""),45889.57982638889)</f>
        <v>45889.57983</v>
      </c>
      <c r="AQ297" s="218">
        <f>IFERROR(__xludf.DUMMYFUNCTION("""COMPUTED_VALUE"""),45810.0)</f>
        <v>45810</v>
      </c>
      <c r="AR297" s="211"/>
      <c r="AS297" s="211"/>
      <c r="AT297" s="211"/>
      <c r="AU297" s="211"/>
      <c r="AV297" s="211"/>
      <c r="AW297" s="211"/>
      <c r="AX297" s="211"/>
      <c r="AY297" s="211"/>
      <c r="AZ297" s="211"/>
      <c r="BB297" s="211"/>
      <c r="BC297" s="211"/>
      <c r="BD297" s="211"/>
      <c r="BE297" s="211"/>
      <c r="BF297" s="211"/>
      <c r="BG297" s="211"/>
      <c r="BH297" s="211"/>
      <c r="BI297" s="211"/>
    </row>
    <row r="298">
      <c r="A298" s="210" t="str">
        <f>IFERROR(__xludf.DUMMYFUNCTION("""COMPUTED_VALUE"""),"11240135")</f>
        <v>11240135</v>
      </c>
      <c r="B298" s="210" t="str">
        <f>IFERROR(__xludf.DUMMYFUNCTION("""COMPUTED_VALUE"""),"11240135")</f>
        <v>11240135</v>
      </c>
      <c r="C298" s="213">
        <f>IFERROR(__xludf.DUMMYFUNCTION("""COMPUTED_VALUE"""),45625.433333333334)</f>
        <v>45625.43333</v>
      </c>
      <c r="D298" s="211" t="str">
        <f>IFERROR(__xludf.DUMMYFUNCTION("""COMPUTED_VALUE"""),"e968afef")</f>
        <v>e968afef</v>
      </c>
      <c r="E298" s="211" t="str">
        <f>IFERROR(__xludf.DUMMYFUNCTION("""COMPUTED_VALUE"""),"Bpk. Agus")</f>
        <v>Bpk. Agus</v>
      </c>
      <c r="F298" s="211" t="str">
        <f>IFERROR(__xludf.DUMMYFUNCTION("""COMPUTED_VALUE"""),"8bdbe149")</f>
        <v>8bdbe149</v>
      </c>
      <c r="G298" s="211" t="str">
        <f>IFERROR(__xludf.DUMMYFUNCTION("""COMPUTED_VALUE"""),"Oksigen 6m3")</f>
        <v>Oksigen 6m3</v>
      </c>
      <c r="H298" s="214" t="str">
        <f>IFERROR(__xludf.DUMMYFUNCTION("""COMPUTED_VALUE"""),"OUT")</f>
        <v>OUT</v>
      </c>
      <c r="I298" s="214" t="str">
        <f>IFERROR(__xludf.DUMMYFUNCTION("""COMPUTED_VALUE"""),"NORMAL")</f>
        <v>NORMAL</v>
      </c>
      <c r="J298" s="211">
        <f>IFERROR(__xludf.DUMMYFUNCTION("""COMPUTED_VALUE"""),2.0)</f>
        <v>2</v>
      </c>
      <c r="K298" s="210" t="str">
        <f>IFERROR(__xludf.DUMMYFUNCTION("""COMPUTED_VALUE"""),"1168 1198")</f>
        <v>1168 1198</v>
      </c>
      <c r="L298" s="211">
        <f>IFERROR(__xludf.DUMMYFUNCTION("""COMPUTED_VALUE"""),60000.0)</f>
        <v>60000</v>
      </c>
      <c r="M298" s="211"/>
      <c r="N298" s="211"/>
      <c r="O298" s="211"/>
      <c r="Q298" s="210" t="str">
        <f>IFERROR(__xludf.DUMMYFUNCTION("""COMPUTED_VALUE"""),"12240192")</f>
        <v>12240192</v>
      </c>
      <c r="R298" s="210" t="str">
        <f>IFERROR(__xludf.DUMMYFUNCTION("""COMPUTED_VALUE"""),"12240192")</f>
        <v>12240192</v>
      </c>
      <c r="S298" s="211" t="str">
        <f>IFERROR(__xludf.DUMMYFUNCTION("""COMPUTED_VALUE"""),"a9fe1bea")</f>
        <v>a9fe1bea</v>
      </c>
      <c r="T298" s="211" t="str">
        <f>IFERROR(__xludf.DUMMYFUNCTION("""COMPUTED_VALUE"""),"H. Suheiri")</f>
        <v>H. Suheiri</v>
      </c>
      <c r="U298" s="215">
        <f>IFERROR(__xludf.DUMMYFUNCTION("""COMPUTED_VALUE"""),45655.35833333334)</f>
        <v>45655.35833</v>
      </c>
      <c r="V298"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298" s="211" t="str">
        <f>IFERROR(__xludf.DUMMYFUNCTION("""COMPUTED_VALUE"""),"OUT")</f>
        <v>OUT</v>
      </c>
      <c r="X298" s="211"/>
      <c r="Z298" s="211" t="str">
        <f>IFERROR(__xludf.DUMMYFUNCTION("""COMPUTED_VALUE"""),"0226802429")</f>
        <v>0226802429</v>
      </c>
      <c r="AC298" s="211"/>
      <c r="AD298" s="211"/>
      <c r="AE298" s="211"/>
      <c r="AF298" s="211"/>
      <c r="AG298" s="211"/>
      <c r="AH298" s="211"/>
      <c r="AI298" s="211"/>
      <c r="AJ298" s="211"/>
      <c r="AL298" s="211" t="str">
        <f>IFERROR(__xludf.DUMMYFUNCTION("""COMPUTED_VALUE"""),"2250004")</f>
        <v>2250004</v>
      </c>
      <c r="AM298" s="211" t="str">
        <f>IFERROR(__xludf.DUMMYFUNCTION("""COMPUTED_VALUE"""),"07250569")</f>
        <v>07250569</v>
      </c>
      <c r="AN298" s="211" t="str">
        <f>IFERROR(__xludf.DUMMYFUNCTION("""COMPUTED_VALUE"""),"b218b89b")</f>
        <v>b218b89b</v>
      </c>
      <c r="AO298" s="211" t="str">
        <f>IFERROR(__xludf.DUMMYFUNCTION("""COMPUTED_VALUE"""),"PT Harapan Sentosa")</f>
        <v>PT Harapan Sentosa</v>
      </c>
      <c r="AP298" s="215">
        <f>IFERROR(__xludf.DUMMYFUNCTION("""COMPUTED_VALUE"""),45889.557233796295)</f>
        <v>45889.55723</v>
      </c>
      <c r="AQ298" s="218">
        <f>IFERROR(__xludf.DUMMYFUNCTION("""COMPUTED_VALUE"""),45846.0)</f>
        <v>45846</v>
      </c>
      <c r="AR298" s="211"/>
      <c r="AS298" s="211"/>
      <c r="AT298" s="211"/>
      <c r="AU298" s="211"/>
      <c r="AV298" s="211"/>
      <c r="AW298" s="211"/>
      <c r="AX298" s="211"/>
      <c r="AY298" s="211"/>
      <c r="AZ298" s="211"/>
      <c r="BB298" s="211"/>
      <c r="BC298" s="211"/>
      <c r="BD298" s="211"/>
      <c r="BE298" s="211"/>
      <c r="BF298" s="211"/>
      <c r="BG298" s="211"/>
      <c r="BH298" s="211"/>
      <c r="BI298" s="211"/>
    </row>
    <row r="299">
      <c r="A299" s="210" t="str">
        <f>IFERROR(__xludf.DUMMYFUNCTION("""COMPUTED_VALUE"""),"5df12cec")</f>
        <v>5df12cec</v>
      </c>
      <c r="B299" s="210" t="str">
        <f>IFERROR(__xludf.DUMMYFUNCTION("""COMPUTED_VALUE"""),"5df12cec")</f>
        <v>5df12cec</v>
      </c>
      <c r="C299" s="213">
        <f>IFERROR(__xludf.DUMMYFUNCTION("""COMPUTED_VALUE"""),45625.43958333333)</f>
        <v>45625.43958</v>
      </c>
      <c r="D299" s="211" t="str">
        <f>IFERROR(__xludf.DUMMYFUNCTION("""COMPUTED_VALUE"""),"72d9a70c")</f>
        <v>72d9a70c</v>
      </c>
      <c r="E299" s="211" t="str">
        <f>IFERROR(__xludf.DUMMYFUNCTION("""COMPUTED_VALUE"""),"PT Beton Prima Indonesia")</f>
        <v>PT Beton Prima Indonesia</v>
      </c>
      <c r="F299" s="211" t="str">
        <f>IFERROR(__xludf.DUMMYFUNCTION("""COMPUTED_VALUE"""),"8bdbe149")</f>
        <v>8bdbe149</v>
      </c>
      <c r="G299" s="211" t="str">
        <f>IFERROR(__xludf.DUMMYFUNCTION("""COMPUTED_VALUE"""),"Oksigen 6m3")</f>
        <v>Oksigen 6m3</v>
      </c>
      <c r="H299" s="214" t="str">
        <f>IFERROR(__xludf.DUMMYFUNCTION("""COMPUTED_VALUE"""),"IN")</f>
        <v>IN</v>
      </c>
      <c r="I299" s="214" t="str">
        <f>IFERROR(__xludf.DUMMYFUNCTION("""COMPUTED_VALUE"""),"EMPTY")</f>
        <v>EMPTY</v>
      </c>
      <c r="J299" s="211">
        <f>IFERROR(__xludf.DUMMYFUNCTION("""COMPUTED_VALUE"""),4.0)</f>
        <v>4</v>
      </c>
      <c r="K299" s="210" t="str">
        <f>IFERROR(__xludf.DUMMYFUNCTION("""COMPUTED_VALUE"""),"1154 11134 1109 1105")</f>
        <v>1154 11134 1109 1105</v>
      </c>
      <c r="L299" s="211"/>
      <c r="M299" s="211"/>
      <c r="N299" s="211"/>
      <c r="O299" s="211"/>
      <c r="Q299" s="210" t="str">
        <f>IFERROR(__xludf.DUMMYFUNCTION("""COMPUTED_VALUE"""),"412240006")</f>
        <v>412240006</v>
      </c>
      <c r="R299" s="210" t="str">
        <f>IFERROR(__xludf.DUMMYFUNCTION("""COMPUTED_VALUE"""),"412240006")</f>
        <v>412240006</v>
      </c>
      <c r="S299" s="211" t="str">
        <f>IFERROR(__xludf.DUMMYFUNCTION("""COMPUTED_VALUE"""),"785e0e07")</f>
        <v>785e0e07</v>
      </c>
      <c r="T299" s="211" t="str">
        <f>IFERROR(__xludf.DUMMYFUNCTION("""COMPUTED_VALUE"""),"Bpk. Sukirno (Bejo)")</f>
        <v>Bpk. Sukirno (Bejo)</v>
      </c>
      <c r="U299" s="215">
        <f>IFERROR(__xludf.DUMMYFUNCTION("""COMPUTED_VALUE"""),45656.56597222222)</f>
        <v>45656.56597</v>
      </c>
      <c r="V299" s="211" t="str">
        <f>IFERROR(__xludf.DUMMYFUNCTION("""COMPUTED_VALUE"""),"Krajan I, Wringinanom, Kec. Wringinanom, Kabupaten Gresik, Jawa Timur 61176")</f>
        <v>Krajan I, Wringinanom, Kec. Wringinanom, Kabupaten Gresik, Jawa Timur 61176</v>
      </c>
      <c r="W299" s="211" t="str">
        <f>IFERROR(__xludf.DUMMYFUNCTION("""COMPUTED_VALUE"""),"OTHER")</f>
        <v>OTHER</v>
      </c>
      <c r="X299" s="211"/>
      <c r="Z299" s="211" t="str">
        <f>IFERROR(__xludf.DUMMYFUNCTION("""COMPUTED_VALUE"""),"0226192428")</f>
        <v>0226192428</v>
      </c>
      <c r="AC299" s="211"/>
      <c r="AD299" s="211"/>
      <c r="AE299" s="211"/>
      <c r="AF299" s="211"/>
      <c r="AG299" s="211"/>
      <c r="AH299" s="211"/>
      <c r="AI299" s="211"/>
      <c r="AJ299" s="211"/>
      <c r="AL299" s="211" t="str">
        <f>IFERROR(__xludf.DUMMYFUNCTION("""COMPUTED_VALUE"""),"2250004")</f>
        <v>2250004</v>
      </c>
      <c r="AM299" s="211" t="str">
        <f>IFERROR(__xludf.DUMMYFUNCTION("""COMPUTED_VALUE"""),"07250595")</f>
        <v>07250595</v>
      </c>
      <c r="AN299" s="211" t="str">
        <f>IFERROR(__xludf.DUMMYFUNCTION("""COMPUTED_VALUE"""),"b218b89b")</f>
        <v>b218b89b</v>
      </c>
      <c r="AO299" s="211" t="str">
        <f>IFERROR(__xludf.DUMMYFUNCTION("""COMPUTED_VALUE"""),"PT Harapan Sentosa")</f>
        <v>PT Harapan Sentosa</v>
      </c>
      <c r="AP299" s="215">
        <f>IFERROR(__xludf.DUMMYFUNCTION("""COMPUTED_VALUE"""),45889.557233796295)</f>
        <v>45889.55723</v>
      </c>
      <c r="AQ299" s="218">
        <f>IFERROR(__xludf.DUMMYFUNCTION("""COMPUTED_VALUE"""),45860.0)</f>
        <v>45860</v>
      </c>
      <c r="AR299" s="211"/>
      <c r="AS299" s="211"/>
      <c r="AT299" s="211"/>
      <c r="AU299" s="211"/>
      <c r="AV299" s="211"/>
      <c r="AW299" s="211"/>
      <c r="AX299" s="211"/>
      <c r="AY299" s="211"/>
      <c r="AZ299" s="211"/>
      <c r="BB299" s="211"/>
      <c r="BC299" s="211"/>
      <c r="BD299" s="211"/>
      <c r="BE299" s="211"/>
      <c r="BF299" s="211"/>
      <c r="BG299" s="211"/>
      <c r="BH299" s="211"/>
      <c r="BI299" s="211"/>
    </row>
    <row r="300">
      <c r="A300" s="210" t="str">
        <f>IFERROR(__xludf.DUMMYFUNCTION("""COMPUTED_VALUE"""),"5df12cec")</f>
        <v>5df12cec</v>
      </c>
      <c r="B300" s="210" t="str">
        <f>IFERROR(__xludf.DUMMYFUNCTION("""COMPUTED_VALUE"""),"5df12cec")</f>
        <v>5df12cec</v>
      </c>
      <c r="C300" s="213">
        <f>IFERROR(__xludf.DUMMYFUNCTION("""COMPUTED_VALUE"""),45625.44027777778)</f>
        <v>45625.44028</v>
      </c>
      <c r="D300" s="211" t="str">
        <f>IFERROR(__xludf.DUMMYFUNCTION("""COMPUTED_VALUE"""),"72d9a70c")</f>
        <v>72d9a70c</v>
      </c>
      <c r="E300" s="211" t="str">
        <f>IFERROR(__xludf.DUMMYFUNCTION("""COMPUTED_VALUE"""),"PT Beton Prima Indonesia")</f>
        <v>PT Beton Prima Indonesia</v>
      </c>
      <c r="F300" s="211" t="str">
        <f>IFERROR(__xludf.DUMMYFUNCTION("""COMPUTED_VALUE"""),"3b9d6a30")</f>
        <v>3b9d6a30</v>
      </c>
      <c r="G300" s="211" t="str">
        <f>IFERROR(__xludf.DUMMYFUNCTION("""COMPUTED_VALUE"""),"Acetyline")</f>
        <v>Acetyline</v>
      </c>
      <c r="H300" s="214" t="str">
        <f>IFERROR(__xludf.DUMMYFUNCTION("""COMPUTED_VALUE"""),"IN")</f>
        <v>IN</v>
      </c>
      <c r="I300" s="214" t="str">
        <f>IFERROR(__xludf.DUMMYFUNCTION("""COMPUTED_VALUE"""),"EMPTY")</f>
        <v>EMPTY</v>
      </c>
      <c r="J300" s="211">
        <f>IFERROR(__xludf.DUMMYFUNCTION("""COMPUTED_VALUE"""),1.0)</f>
        <v>1</v>
      </c>
      <c r="K300" s="210" t="str">
        <f>IFERROR(__xludf.DUMMYFUNCTION("""COMPUTED_VALUE"""),"7839")</f>
        <v>7839</v>
      </c>
      <c r="L300" s="211"/>
      <c r="M300" s="211"/>
      <c r="N300" s="211"/>
      <c r="O300" s="211"/>
      <c r="Q300" s="210" t="str">
        <f>IFERROR(__xludf.DUMMYFUNCTION("""COMPUTED_VALUE"""),"12240193")</f>
        <v>12240193</v>
      </c>
      <c r="R300" s="210" t="str">
        <f>IFERROR(__xludf.DUMMYFUNCTION("""COMPUTED_VALUE"""),"12240193")</f>
        <v>12240193</v>
      </c>
      <c r="S300" s="211" t="str">
        <f>IFERROR(__xludf.DUMMYFUNCTION("""COMPUTED_VALUE"""),"785e0e07")</f>
        <v>785e0e07</v>
      </c>
      <c r="T300" s="211" t="str">
        <f>IFERROR(__xludf.DUMMYFUNCTION("""COMPUTED_VALUE"""),"Bpk. Sukirno (Bejo)")</f>
        <v>Bpk. Sukirno (Bejo)</v>
      </c>
      <c r="U300" s="215">
        <f>IFERROR(__xludf.DUMMYFUNCTION("""COMPUTED_VALUE"""),45656.56597222222)</f>
        <v>45656.56597</v>
      </c>
      <c r="V300" s="211" t="str">
        <f>IFERROR(__xludf.DUMMYFUNCTION("""COMPUTED_VALUE"""),"Krajan I, Wringinanom, Kec. Wringinanom, Kabupaten Gresik, Jawa Timur 61176")</f>
        <v>Krajan I, Wringinanom, Kec. Wringinanom, Kabupaten Gresik, Jawa Timur 61176</v>
      </c>
      <c r="W300" s="211" t="str">
        <f>IFERROR(__xludf.DUMMYFUNCTION("""COMPUTED_VALUE"""),"OUT")</f>
        <v>OUT</v>
      </c>
      <c r="X300" s="211"/>
      <c r="Z300" s="211" t="str">
        <f>IFERROR(__xludf.DUMMYFUNCTION("""COMPUTED_VALUE"""),"0226132425")</f>
        <v>0226132425</v>
      </c>
      <c r="AC300" s="211"/>
      <c r="AD300" s="211"/>
      <c r="AE300" s="211"/>
      <c r="AF300" s="211"/>
      <c r="AG300" s="211"/>
      <c r="AH300" s="211"/>
      <c r="AI300" s="211"/>
      <c r="AJ300" s="211"/>
      <c r="AL300" s="211" t="str">
        <f>IFERROR(__xludf.DUMMYFUNCTION("""COMPUTED_VALUE"""),"2250004")</f>
        <v>2250004</v>
      </c>
      <c r="AM300" s="211" t="str">
        <f>IFERROR(__xludf.DUMMYFUNCTION("""COMPUTED_VALUE"""),"07250606")</f>
        <v>07250606</v>
      </c>
      <c r="AN300" s="211" t="str">
        <f>IFERROR(__xludf.DUMMYFUNCTION("""COMPUTED_VALUE"""),"b218b89b")</f>
        <v>b218b89b</v>
      </c>
      <c r="AO300" s="211" t="str">
        <f>IFERROR(__xludf.DUMMYFUNCTION("""COMPUTED_VALUE"""),"PT Harapan Sentosa")</f>
        <v>PT Harapan Sentosa</v>
      </c>
      <c r="AP300" s="215">
        <f>IFERROR(__xludf.DUMMYFUNCTION("""COMPUTED_VALUE"""),45889.557233796295)</f>
        <v>45889.55723</v>
      </c>
      <c r="AQ300" s="218">
        <f>IFERROR(__xludf.DUMMYFUNCTION("""COMPUTED_VALUE"""),45862.0)</f>
        <v>45862</v>
      </c>
      <c r="AR300" s="211"/>
      <c r="AS300" s="211"/>
      <c r="AT300" s="211"/>
      <c r="AU300" s="211"/>
      <c r="AV300" s="211"/>
      <c r="AW300" s="211"/>
      <c r="AX300" s="211"/>
      <c r="AY300" s="211"/>
      <c r="AZ300" s="211"/>
      <c r="BB300" s="211"/>
      <c r="BC300" s="211"/>
      <c r="BD300" s="211"/>
      <c r="BE300" s="211"/>
      <c r="BF300" s="211"/>
      <c r="BG300" s="211"/>
      <c r="BH300" s="211"/>
      <c r="BI300" s="211"/>
    </row>
    <row r="301">
      <c r="A301" s="210" t="str">
        <f>IFERROR(__xludf.DUMMYFUNCTION("""COMPUTED_VALUE"""),"4d366a47")</f>
        <v>4d366a47</v>
      </c>
      <c r="B301" s="210" t="str">
        <f>IFERROR(__xludf.DUMMYFUNCTION("""COMPUTED_VALUE"""),"4d366a47")</f>
        <v>4d366a47</v>
      </c>
      <c r="C301" s="213">
        <f>IFERROR(__xludf.DUMMYFUNCTION("""COMPUTED_VALUE"""),45625.51388888889)</f>
        <v>45625.51389</v>
      </c>
      <c r="D301" s="211" t="str">
        <f>IFERROR(__xludf.DUMMYFUNCTION("""COMPUTED_VALUE"""),"e968afef")</f>
        <v>e968afef</v>
      </c>
      <c r="E301" s="211" t="str">
        <f>IFERROR(__xludf.DUMMYFUNCTION("""COMPUTED_VALUE"""),"Bpk. Agus")</f>
        <v>Bpk. Agus</v>
      </c>
      <c r="F301" s="211" t="str">
        <f>IFERROR(__xludf.DUMMYFUNCTION("""COMPUTED_VALUE"""),"8bdbe149")</f>
        <v>8bdbe149</v>
      </c>
      <c r="G301" s="211" t="str">
        <f>IFERROR(__xludf.DUMMYFUNCTION("""COMPUTED_VALUE"""),"Oksigen 6m3")</f>
        <v>Oksigen 6m3</v>
      </c>
      <c r="H301" s="214" t="str">
        <f>IFERROR(__xludf.DUMMYFUNCTION("""COMPUTED_VALUE"""),"IN")</f>
        <v>IN</v>
      </c>
      <c r="I301" s="214" t="str">
        <f>IFERROR(__xludf.DUMMYFUNCTION("""COMPUTED_VALUE"""),"EMPTY")</f>
        <v>EMPTY</v>
      </c>
      <c r="J301" s="211">
        <f>IFERROR(__xludf.DUMMYFUNCTION("""COMPUTED_VALUE"""),2.0)</f>
        <v>2</v>
      </c>
      <c r="K301" s="210" t="str">
        <f>IFERROR(__xludf.DUMMYFUNCTION("""COMPUTED_VALUE"""),"1133 11125")</f>
        <v>1133 11125</v>
      </c>
      <c r="L301" s="211"/>
      <c r="M301" s="211"/>
      <c r="N301" s="211"/>
      <c r="O301" s="211"/>
      <c r="Q301" s="210" t="str">
        <f>IFERROR(__xludf.DUMMYFUNCTION("""COMPUTED_VALUE"""),"12240194")</f>
        <v>12240194</v>
      </c>
      <c r="R301" s="210" t="str">
        <f>IFERROR(__xludf.DUMMYFUNCTION("""COMPUTED_VALUE"""),"12240194")</f>
        <v>12240194</v>
      </c>
      <c r="S301" s="211" t="str">
        <f>IFERROR(__xludf.DUMMYFUNCTION("""COMPUTED_VALUE"""),"3fec37df")</f>
        <v>3fec37df</v>
      </c>
      <c r="T301" s="211" t="str">
        <f>IFERROR(__xludf.DUMMYFUNCTION("""COMPUTED_VALUE"""),"PT Jatim Abadi Perkasa Steel")</f>
        <v>PT Jatim Abadi Perkasa Steel</v>
      </c>
      <c r="U301" s="215">
        <f>IFERROR(__xludf.DUMMYFUNCTION("""COMPUTED_VALUE"""),45657.34930555556)</f>
        <v>45657.34931</v>
      </c>
      <c r="V301" s="211" t="str">
        <f>IFERROR(__xludf.DUMMYFUNCTION("""COMPUTED_VALUE"""),"Dsn. Bulak Sempuh, Jatirejo, Kab. Mojokerto, Jawa Timur")</f>
        <v>Dsn. Bulak Sempuh, Jatirejo, Kab. Mojokerto, Jawa Timur</v>
      </c>
      <c r="W301" s="211" t="str">
        <f>IFERROR(__xludf.DUMMYFUNCTION("""COMPUTED_VALUE"""),"OUT")</f>
        <v>OUT</v>
      </c>
      <c r="X301" s="211"/>
      <c r="Z301" s="211" t="str">
        <f>IFERROR(__xludf.DUMMYFUNCTION("""COMPUTED_VALUE"""),"0126192424")</f>
        <v>0126192424</v>
      </c>
      <c r="AC301" s="211"/>
      <c r="AD301" s="211"/>
      <c r="AE301" s="211"/>
      <c r="AF301" s="211"/>
      <c r="AG301" s="211"/>
      <c r="AH301" s="211"/>
      <c r="AI301" s="211"/>
      <c r="AJ301" s="211"/>
      <c r="AL301" s="211" t="str">
        <f>IFERROR(__xludf.DUMMYFUNCTION("""COMPUTED_VALUE"""),"2250003")</f>
        <v>2250003</v>
      </c>
      <c r="AM301" s="211" t="str">
        <f>IFERROR(__xludf.DUMMYFUNCTION("""COMPUTED_VALUE"""),"07250599")</f>
        <v>07250599</v>
      </c>
      <c r="AN301" s="211" t="str">
        <f>IFERROR(__xludf.DUMMYFUNCTION("""COMPUTED_VALUE"""),"e86baf3b")</f>
        <v>e86baf3b</v>
      </c>
      <c r="AO301" s="211" t="str">
        <f>IFERROR(__xludf.DUMMYFUNCTION("""COMPUTED_VALUE"""),"PT GEMILANG CIPTA WAWASAN")</f>
        <v>PT GEMILANG CIPTA WAWASAN</v>
      </c>
      <c r="AP301" s="215">
        <f>IFERROR(__xludf.DUMMYFUNCTION("""COMPUTED_VALUE"""),45887.94540509259)</f>
        <v>45887.94541</v>
      </c>
      <c r="AQ301" s="218">
        <f>IFERROR(__xludf.DUMMYFUNCTION("""COMPUTED_VALUE"""),45861.0)</f>
        <v>45861</v>
      </c>
      <c r="AR301" s="211"/>
      <c r="AS301" s="211"/>
      <c r="AT301" s="211"/>
      <c r="AU301" s="211"/>
      <c r="AV301" s="211"/>
      <c r="AW301" s="211"/>
      <c r="AX301" s="211"/>
      <c r="AY301" s="211"/>
      <c r="AZ301" s="211"/>
      <c r="BB301" s="211"/>
      <c r="BC301" s="211"/>
      <c r="BD301" s="211"/>
      <c r="BE301" s="211"/>
      <c r="BF301" s="211"/>
      <c r="BG301" s="211"/>
      <c r="BH301" s="211"/>
      <c r="BI301" s="211"/>
    </row>
    <row r="302">
      <c r="A302" s="210" t="str">
        <f>IFERROR(__xludf.DUMMYFUNCTION("""COMPUTED_VALUE"""),"11240136")</f>
        <v>11240136</v>
      </c>
      <c r="B302" s="210" t="str">
        <f>IFERROR(__xludf.DUMMYFUNCTION("""COMPUTED_VALUE"""),"11240136")</f>
        <v>11240136</v>
      </c>
      <c r="C302" s="213">
        <f>IFERROR(__xludf.DUMMYFUNCTION("""COMPUTED_VALUE"""),45625.53472222222)</f>
        <v>45625.53472</v>
      </c>
      <c r="D302" s="211" t="str">
        <f>IFERROR(__xludf.DUMMYFUNCTION("""COMPUTED_VALUE"""),"f01dab70")</f>
        <v>f01dab70</v>
      </c>
      <c r="E302" s="211" t="str">
        <f>IFERROR(__xludf.DUMMYFUNCTION("""COMPUTED_VALUE"""),"Bpk. Yudi")</f>
        <v>Bpk. Yudi</v>
      </c>
      <c r="F302" s="211" t="str">
        <f>IFERROR(__xludf.DUMMYFUNCTION("""COMPUTED_VALUE"""),"66af7c72")</f>
        <v>66af7c72</v>
      </c>
      <c r="G302" s="211" t="str">
        <f>IFERROR(__xludf.DUMMYFUNCTION("""COMPUTED_VALUE"""),"Argon 6m3")</f>
        <v>Argon 6m3</v>
      </c>
      <c r="H302" s="214" t="str">
        <f>IFERROR(__xludf.DUMMYFUNCTION("""COMPUTED_VALUE"""),"OUT")</f>
        <v>OUT</v>
      </c>
      <c r="I302" s="214" t="str">
        <f>IFERROR(__xludf.DUMMYFUNCTION("""COMPUTED_VALUE"""),"NORMAL")</f>
        <v>NORMAL</v>
      </c>
      <c r="J302" s="211">
        <f>IFERROR(__xludf.DUMMYFUNCTION("""COMPUTED_VALUE"""),2.0)</f>
        <v>2</v>
      </c>
      <c r="K302" s="210" t="str">
        <f>IFERROR(__xludf.DUMMYFUNCTION("""COMPUTED_VALUE"""),"12009 12010")</f>
        <v>12009 12010</v>
      </c>
      <c r="L302" s="211">
        <f>IFERROR(__xludf.DUMMYFUNCTION("""COMPUTED_VALUE"""),270000.0)</f>
        <v>270000</v>
      </c>
      <c r="M302" s="211"/>
      <c r="N302" s="211"/>
      <c r="O302" s="211"/>
      <c r="Q302" s="210" t="str">
        <f>IFERROR(__xludf.DUMMYFUNCTION("""COMPUTED_VALUE"""),"01250195")</f>
        <v>01250195</v>
      </c>
      <c r="R302" s="210" t="str">
        <f>IFERROR(__xludf.DUMMYFUNCTION("""COMPUTED_VALUE"""),"01250195")</f>
        <v>01250195</v>
      </c>
      <c r="S302" s="211" t="str">
        <f>IFERROR(__xludf.DUMMYFUNCTION("""COMPUTED_VALUE"""),"785e0e07")</f>
        <v>785e0e07</v>
      </c>
      <c r="T302" s="211" t="str">
        <f>IFERROR(__xludf.DUMMYFUNCTION("""COMPUTED_VALUE"""),"Bpk. Sukirno (Bejo)")</f>
        <v>Bpk. Sukirno (Bejo)</v>
      </c>
      <c r="U302" s="215">
        <f>IFERROR(__xludf.DUMMYFUNCTION("""COMPUTED_VALUE"""),45659.38541666667)</f>
        <v>45659.38542</v>
      </c>
      <c r="V302" s="211" t="str">
        <f>IFERROR(__xludf.DUMMYFUNCTION("""COMPUTED_VALUE"""),"Krajan I, Wringinanom, Kec. Wringinanom, Kabupaten Gresik, Jawa Timur 61176")</f>
        <v>Krajan I, Wringinanom, Kec. Wringinanom, Kabupaten Gresik, Jawa Timur 61176</v>
      </c>
      <c r="W302" s="211" t="str">
        <f>IFERROR(__xludf.DUMMYFUNCTION("""COMPUTED_VALUE"""),"OUT")</f>
        <v>OUT</v>
      </c>
      <c r="X302" s="211"/>
      <c r="Z302" s="211" t="str">
        <f>IFERROR(__xludf.DUMMYFUNCTION("""COMPUTED_VALUE"""),"012642422")</f>
        <v>012642422</v>
      </c>
      <c r="AC302" s="211"/>
      <c r="AD302" s="211"/>
      <c r="AE302" s="211"/>
      <c r="AF302" s="211"/>
      <c r="AG302" s="211"/>
      <c r="AH302" s="211"/>
      <c r="AI302" s="211"/>
      <c r="AJ302" s="211"/>
      <c r="AL302" s="211" t="str">
        <f>IFERROR(__xludf.DUMMYFUNCTION("""COMPUTED_VALUE"""),"2250001")</f>
        <v>2250001</v>
      </c>
      <c r="AM302" s="211" t="str">
        <f>IFERROR(__xludf.DUMMYFUNCTION("""COMPUTED_VALUE"""),"07250559")</f>
        <v>07250559</v>
      </c>
      <c r="AN302" s="211" t="str">
        <f>IFERROR(__xludf.DUMMYFUNCTION("""COMPUTED_VALUE"""),"e86baf3b")</f>
        <v>e86baf3b</v>
      </c>
      <c r="AO302" s="211" t="str">
        <f>IFERROR(__xludf.DUMMYFUNCTION("""COMPUTED_VALUE"""),"PT GEMILANG CIPTA WAWASAN")</f>
        <v>PT GEMILANG CIPTA WAWASAN</v>
      </c>
      <c r="AP302" s="215">
        <f>IFERROR(__xludf.DUMMYFUNCTION("""COMPUTED_VALUE"""),45887.945)</f>
        <v>45887.945</v>
      </c>
      <c r="AQ302" s="218">
        <f>IFERROR(__xludf.DUMMYFUNCTION("""COMPUTED_VALUE"""),45841.0)</f>
        <v>45841</v>
      </c>
      <c r="AR302" s="211"/>
      <c r="AS302" s="211"/>
      <c r="AT302" s="211"/>
      <c r="AU302" s="211"/>
      <c r="AV302" s="211"/>
      <c r="AW302" s="211"/>
      <c r="AX302" s="211"/>
      <c r="AY302" s="211"/>
      <c r="AZ302" s="211"/>
      <c r="BB302" s="211"/>
      <c r="BC302" s="211"/>
      <c r="BD302" s="211"/>
      <c r="BE302" s="211"/>
      <c r="BF302" s="211"/>
      <c r="BG302" s="211"/>
      <c r="BH302" s="211"/>
      <c r="BI302" s="211"/>
    </row>
    <row r="303">
      <c r="A303" s="210" t="str">
        <f>IFERROR(__xludf.DUMMYFUNCTION("""COMPUTED_VALUE"""),"f3d45380")</f>
        <v>f3d45380</v>
      </c>
      <c r="B303" s="210" t="str">
        <f>IFERROR(__xludf.DUMMYFUNCTION("""COMPUTED_VALUE"""),"f3d45380")</f>
        <v>f3d45380</v>
      </c>
      <c r="C303" s="213">
        <f>IFERROR(__xludf.DUMMYFUNCTION("""COMPUTED_VALUE"""),45625.60277777778)</f>
        <v>45625.60278</v>
      </c>
      <c r="D303" s="211" t="str">
        <f>IFERROR(__xludf.DUMMYFUNCTION("""COMPUTED_VALUE"""),"c2f5a4a7")</f>
        <v>c2f5a4a7</v>
      </c>
      <c r="E303" s="211" t="str">
        <f>IFERROR(__xludf.DUMMYFUNCTION("""COMPUTED_VALUE"""),"UD Sumber Berlian")</f>
        <v>UD Sumber Berlian</v>
      </c>
      <c r="F303" s="211" t="str">
        <f>IFERROR(__xludf.DUMMYFUNCTION("""COMPUTED_VALUE"""),"be525f3b")</f>
        <v>be525f3b</v>
      </c>
      <c r="G303" s="211" t="str">
        <f>IFERROR(__xludf.DUMMYFUNCTION("""COMPUTED_VALUE"""),"LPG 12kg")</f>
        <v>LPG 12kg</v>
      </c>
      <c r="H303" s="214" t="str">
        <f>IFERROR(__xludf.DUMMYFUNCTION("""COMPUTED_VALUE"""),"IN")</f>
        <v>IN</v>
      </c>
      <c r="I303" s="214" t="str">
        <f>IFERROR(__xludf.DUMMYFUNCTION("""COMPUTED_VALUE"""),"EMPTY")</f>
        <v>EMPTY</v>
      </c>
      <c r="J303" s="211">
        <f>IFERROR(__xludf.DUMMYFUNCTION("""COMPUTED_VALUE"""),2.0)</f>
        <v>2</v>
      </c>
      <c r="K303" s="211"/>
      <c r="L303" s="211"/>
      <c r="M303" s="211"/>
      <c r="N303" s="211"/>
      <c r="O303" s="211"/>
      <c r="Q303" s="210" t="str">
        <f>IFERROR(__xludf.DUMMYFUNCTION("""COMPUTED_VALUE"""),"4c0266ef")</f>
        <v>4c0266ef</v>
      </c>
      <c r="R303" s="210" t="str">
        <f>IFERROR(__xludf.DUMMYFUNCTION("""COMPUTED_VALUE"""),"4c0266ef")</f>
        <v>4c0266ef</v>
      </c>
      <c r="S303" s="211" t="str">
        <f>IFERROR(__xludf.DUMMYFUNCTION("""COMPUTED_VALUE"""),"6b737895")</f>
        <v>6b737895</v>
      </c>
      <c r="T303" s="211" t="str">
        <f>IFERROR(__xludf.DUMMYFUNCTION("""COMPUTED_VALUE"""),"Ibu Yanti")</f>
        <v>Ibu Yanti</v>
      </c>
      <c r="U303" s="215">
        <f>IFERROR(__xludf.DUMMYFUNCTION("""COMPUTED_VALUE"""),45654.49722222222)</f>
        <v>45654.49722</v>
      </c>
      <c r="V303" s="211" t="str">
        <f>IFERROR(__xludf.DUMMYFUNCTION("""COMPUTED_VALUE"""),"Klutuk, Kramat Jegu, Kec. Taman, Kabupaten Sidoarjo, Jawa Timur 61257")</f>
        <v>Klutuk, Kramat Jegu, Kec. Taman, Kabupaten Sidoarjo, Jawa Timur 61257</v>
      </c>
      <c r="W303" s="211" t="str">
        <f>IFERROR(__xludf.DUMMYFUNCTION("""COMPUTED_VALUE"""),"IN")</f>
        <v>IN</v>
      </c>
      <c r="X303" s="211"/>
      <c r="Z303" s="211" t="str">
        <f>IFERROR(__xludf.DUMMYFUNCTION("""COMPUTED_VALUE"""),"0126132419")</f>
        <v>0126132419</v>
      </c>
      <c r="AC303" s="211"/>
      <c r="AD303" s="211"/>
      <c r="AE303" s="211"/>
      <c r="AF303" s="211"/>
      <c r="AG303" s="211"/>
      <c r="AH303" s="211"/>
      <c r="AI303" s="211"/>
      <c r="AJ303" s="211"/>
      <c r="AL303" s="211" t="str">
        <f>IFERROR(__xludf.DUMMYFUNCTION("""COMPUTED_VALUE"""),"2250001")</f>
        <v>2250001</v>
      </c>
      <c r="AM303" s="211" t="str">
        <f>IFERROR(__xludf.DUMMYFUNCTION("""COMPUTED_VALUE"""),"07250571")</f>
        <v>07250571</v>
      </c>
      <c r="AN303" s="211" t="str">
        <f>IFERROR(__xludf.DUMMYFUNCTION("""COMPUTED_VALUE"""),"e86baf3b")</f>
        <v>e86baf3b</v>
      </c>
      <c r="AO303" s="211" t="str">
        <f>IFERROR(__xludf.DUMMYFUNCTION("""COMPUTED_VALUE"""),"PT GEMILANG CIPTA WAWASAN")</f>
        <v>PT GEMILANG CIPTA WAWASAN</v>
      </c>
      <c r="AP303" s="215">
        <f>IFERROR(__xludf.DUMMYFUNCTION("""COMPUTED_VALUE"""),45887.945)</f>
        <v>45887.945</v>
      </c>
      <c r="AQ303" s="218">
        <f>IFERROR(__xludf.DUMMYFUNCTION("""COMPUTED_VALUE"""),45846.0)</f>
        <v>45846</v>
      </c>
      <c r="AR303" s="211"/>
      <c r="AS303" s="211"/>
      <c r="AT303" s="211"/>
      <c r="AU303" s="211"/>
      <c r="AV303" s="211"/>
      <c r="AW303" s="211"/>
      <c r="AX303" s="211"/>
      <c r="AY303" s="211"/>
      <c r="AZ303" s="211"/>
      <c r="BB303" s="211"/>
      <c r="BC303" s="211"/>
      <c r="BD303" s="211"/>
      <c r="BE303" s="211"/>
      <c r="BF303" s="211"/>
      <c r="BG303" s="211"/>
      <c r="BH303" s="211"/>
      <c r="BI303" s="211"/>
    </row>
    <row r="304">
      <c r="A304" s="210" t="str">
        <f>IFERROR(__xludf.DUMMYFUNCTION("""COMPUTED_VALUE"""),"f3d45380")</f>
        <v>f3d45380</v>
      </c>
      <c r="B304" s="210" t="str">
        <f>IFERROR(__xludf.DUMMYFUNCTION("""COMPUTED_VALUE"""),"f3d45380")</f>
        <v>f3d45380</v>
      </c>
      <c r="C304" s="213">
        <f>IFERROR(__xludf.DUMMYFUNCTION("""COMPUTED_VALUE"""),45625.603472222225)</f>
        <v>45625.60347</v>
      </c>
      <c r="D304" s="211" t="str">
        <f>IFERROR(__xludf.DUMMYFUNCTION("""COMPUTED_VALUE"""),"c2f5a4a7")</f>
        <v>c2f5a4a7</v>
      </c>
      <c r="E304" s="211" t="str">
        <f>IFERROR(__xludf.DUMMYFUNCTION("""COMPUTED_VALUE"""),"UD Sumber Berlian")</f>
        <v>UD Sumber Berlian</v>
      </c>
      <c r="F304" s="211" t="str">
        <f>IFERROR(__xludf.DUMMYFUNCTION("""COMPUTED_VALUE"""),"8bdbe149")</f>
        <v>8bdbe149</v>
      </c>
      <c r="G304" s="211" t="str">
        <f>IFERROR(__xludf.DUMMYFUNCTION("""COMPUTED_VALUE"""),"Oksigen 6m3")</f>
        <v>Oksigen 6m3</v>
      </c>
      <c r="H304" s="214" t="str">
        <f>IFERROR(__xludf.DUMMYFUNCTION("""COMPUTED_VALUE"""),"IN")</f>
        <v>IN</v>
      </c>
      <c r="I304" s="214" t="str">
        <f>IFERROR(__xludf.DUMMYFUNCTION("""COMPUTED_VALUE"""),"EMPTY")</f>
        <v>EMPTY</v>
      </c>
      <c r="J304" s="211">
        <f>IFERROR(__xludf.DUMMYFUNCTION("""COMPUTED_VALUE"""),10.0)</f>
        <v>10</v>
      </c>
      <c r="K304" s="210" t="str">
        <f>IFERROR(__xludf.DUMMYFUNCTION("""COMPUTED_VALUE"""),"11146 11165 5326 11160 11163 11139 1234 11151 11145 1124")</f>
        <v>11146 11165 5326 11160 11163 11139 1234 11151 11145 1124</v>
      </c>
      <c r="L304" s="211"/>
      <c r="M304" s="211"/>
      <c r="N304" s="211"/>
      <c r="O304" s="211"/>
      <c r="Q304" s="210" t="str">
        <f>IFERROR(__xludf.DUMMYFUNCTION("""COMPUTED_VALUE"""),"be0d58ab")</f>
        <v>be0d58ab</v>
      </c>
      <c r="R304" s="210" t="str">
        <f>IFERROR(__xludf.DUMMYFUNCTION("""COMPUTED_VALUE"""),"be0d58ab")</f>
        <v>be0d58ab</v>
      </c>
      <c r="S304" s="211" t="str">
        <f>IFERROR(__xludf.DUMMYFUNCTION("""COMPUTED_VALUE"""),"01158be1")</f>
        <v>01158be1</v>
      </c>
      <c r="T304" s="211" t="str">
        <f>IFERROR(__xludf.DUMMYFUNCTION("""COMPUTED_VALUE"""),"GYF")</f>
        <v>GYF</v>
      </c>
      <c r="U304" s="215">
        <f>IFERROR(__xludf.DUMMYFUNCTION("""COMPUTED_VALUE"""),45654.49791666667)</f>
        <v>45654.49792</v>
      </c>
      <c r="V304" s="211" t="str">
        <f>IFERROR(__xludf.DUMMYFUNCTION("""COMPUTED_VALUE"""),"Kangkungan, Lengkong, Kec. Mojoanyar, Kabupaten Mojokerto, Jawa Timur")</f>
        <v>Kangkungan, Lengkong, Kec. Mojoanyar, Kabupaten Mojokerto, Jawa Timur</v>
      </c>
      <c r="W304" s="211" t="str">
        <f>IFERROR(__xludf.DUMMYFUNCTION("""COMPUTED_VALUE"""),"IN")</f>
        <v>IN</v>
      </c>
      <c r="X304" s="211"/>
      <c r="Z304" s="211" t="str">
        <f>IFERROR(__xludf.DUMMYFUNCTION("""COMPUTED_VALUE"""),"0126792418")</f>
        <v>0126792418</v>
      </c>
      <c r="AC304" s="211"/>
      <c r="AD304" s="211"/>
      <c r="AE304" s="211"/>
      <c r="AF304" s="211"/>
      <c r="AG304" s="211"/>
      <c r="AH304" s="211"/>
      <c r="AI304" s="211"/>
      <c r="AJ304" s="211"/>
      <c r="AL304" s="211"/>
      <c r="AM304" s="211"/>
      <c r="AN304" s="211"/>
      <c r="AO304" s="211"/>
      <c r="AP304" s="215"/>
      <c r="AQ304" s="218"/>
      <c r="AR304" s="211"/>
      <c r="AS304" s="211"/>
      <c r="AT304" s="211"/>
      <c r="AU304" s="211"/>
      <c r="AV304" s="211"/>
      <c r="AW304" s="211"/>
      <c r="AX304" s="211"/>
      <c r="AY304" s="211"/>
      <c r="AZ304" s="211"/>
      <c r="BB304" s="211"/>
      <c r="BC304" s="211"/>
      <c r="BD304" s="211"/>
      <c r="BE304" s="211"/>
      <c r="BF304" s="211"/>
      <c r="BG304" s="211"/>
      <c r="BH304" s="211"/>
      <c r="BI304" s="211"/>
    </row>
    <row r="305">
      <c r="A305" s="210" t="str">
        <f>IFERROR(__xludf.DUMMYFUNCTION("""COMPUTED_VALUE"""),"d65dea2b")</f>
        <v>d65dea2b</v>
      </c>
      <c r="B305" s="210" t="str">
        <f>IFERROR(__xludf.DUMMYFUNCTION("""COMPUTED_VALUE"""),"d65dea2b")</f>
        <v>d65dea2b</v>
      </c>
      <c r="C305" s="213">
        <f>IFERROR(__xludf.DUMMYFUNCTION("""COMPUTED_VALUE"""),45625.61111111111)</f>
        <v>45625.61111</v>
      </c>
      <c r="D305" s="211" t="str">
        <f>IFERROR(__xludf.DUMMYFUNCTION("""COMPUTED_VALUE"""),"f01dab70")</f>
        <v>f01dab70</v>
      </c>
      <c r="E305" s="211" t="str">
        <f>IFERROR(__xludf.DUMMYFUNCTION("""COMPUTED_VALUE"""),"Bpk. Yudi")</f>
        <v>Bpk. Yudi</v>
      </c>
      <c r="F305" s="211" t="str">
        <f>IFERROR(__xludf.DUMMYFUNCTION("""COMPUTED_VALUE"""),"66af7c72")</f>
        <v>66af7c72</v>
      </c>
      <c r="G305" s="211" t="str">
        <f>IFERROR(__xludf.DUMMYFUNCTION("""COMPUTED_VALUE"""),"Argon 6m3")</f>
        <v>Argon 6m3</v>
      </c>
      <c r="H305" s="214" t="str">
        <f>IFERROR(__xludf.DUMMYFUNCTION("""COMPUTED_VALUE"""),"IN")</f>
        <v>IN</v>
      </c>
      <c r="I305" s="214" t="str">
        <f>IFERROR(__xludf.DUMMYFUNCTION("""COMPUTED_VALUE"""),"EMPTY")</f>
        <v>EMPTY</v>
      </c>
      <c r="J305" s="211">
        <f>IFERROR(__xludf.DUMMYFUNCTION("""COMPUTED_VALUE"""),1.0)</f>
        <v>1</v>
      </c>
      <c r="K305" s="210" t="str">
        <f>IFERROR(__xludf.DUMMYFUNCTION("""COMPUTED_VALUE"""),"87")</f>
        <v>87</v>
      </c>
      <c r="L305" s="211"/>
      <c r="M305" s="211"/>
      <c r="N305" s="211"/>
      <c r="O305" s="211"/>
      <c r="Q305" s="210" t="str">
        <f>IFERROR(__xludf.DUMMYFUNCTION("""COMPUTED_VALUE"""),"2cfed8a0")</f>
        <v>2cfed8a0</v>
      </c>
      <c r="R305" s="210" t="str">
        <f>IFERROR(__xludf.DUMMYFUNCTION("""COMPUTED_VALUE"""),"2cfed8a0")</f>
        <v>2cfed8a0</v>
      </c>
      <c r="S305" s="211" t="str">
        <f>IFERROR(__xludf.DUMMYFUNCTION("""COMPUTED_VALUE"""),"01158be1")</f>
        <v>01158be1</v>
      </c>
      <c r="T305" s="211" t="str">
        <f>IFERROR(__xludf.DUMMYFUNCTION("""COMPUTED_VALUE"""),"GYF")</f>
        <v>GYF</v>
      </c>
      <c r="U305" s="215">
        <f>IFERROR(__xludf.DUMMYFUNCTION("""COMPUTED_VALUE"""),45651.49930555555)</f>
        <v>45651.49931</v>
      </c>
      <c r="V305" s="211" t="str">
        <f>IFERROR(__xludf.DUMMYFUNCTION("""COMPUTED_VALUE"""),"Kangkungan, Lengkong, Kec. Mojoanyar, Kabupaten Mojokerto, Jawa Timur")</f>
        <v>Kangkungan, Lengkong, Kec. Mojoanyar, Kabupaten Mojokerto, Jawa Timur</v>
      </c>
      <c r="W305" s="211" t="str">
        <f>IFERROR(__xludf.DUMMYFUNCTION("""COMPUTED_VALUE"""),"IN")</f>
        <v>IN</v>
      </c>
      <c r="X305" s="211"/>
      <c r="Z305" s="211" t="str">
        <f>IFERROR(__xludf.DUMMYFUNCTION("""COMPUTED_VALUE"""),"012672417")</f>
        <v>012672417</v>
      </c>
      <c r="AC305" s="211"/>
      <c r="AD305" s="211"/>
      <c r="AE305" s="211"/>
      <c r="AF305" s="211"/>
      <c r="AG305" s="211"/>
      <c r="AH305" s="211"/>
      <c r="AI305" s="211"/>
      <c r="AJ305" s="211"/>
      <c r="AL305" s="211"/>
      <c r="AM305" s="211"/>
      <c r="AN305" s="211"/>
      <c r="AO305" s="211"/>
      <c r="AP305" s="215"/>
      <c r="AQ305" s="218"/>
      <c r="AR305" s="211"/>
      <c r="AS305" s="211"/>
      <c r="AT305" s="211"/>
      <c r="AU305" s="211"/>
      <c r="AV305" s="211"/>
      <c r="AW305" s="211"/>
      <c r="AX305" s="211"/>
      <c r="AY305" s="211"/>
      <c r="AZ305" s="211"/>
      <c r="BB305" s="211"/>
      <c r="BC305" s="211"/>
      <c r="BD305" s="211"/>
      <c r="BE305" s="211"/>
      <c r="BF305" s="211"/>
      <c r="BG305" s="211"/>
      <c r="BH305" s="211"/>
      <c r="BI305" s="211"/>
    </row>
    <row r="306">
      <c r="A306" s="210" t="str">
        <f>IFERROR(__xludf.DUMMYFUNCTION("""COMPUTED_VALUE"""),"128db52b")</f>
        <v>128db52b</v>
      </c>
      <c r="B306" s="210" t="str">
        <f>IFERROR(__xludf.DUMMYFUNCTION("""COMPUTED_VALUE"""),"128db52b")</f>
        <v>128db52b</v>
      </c>
      <c r="C306" s="213">
        <f>IFERROR(__xludf.DUMMYFUNCTION("""COMPUTED_VALUE"""),45609.65416666667)</f>
        <v>45609.65417</v>
      </c>
      <c r="D306" s="211" t="str">
        <f>IFERROR(__xludf.DUMMYFUNCTION("""COMPUTED_VALUE"""),"c2f5a4a7")</f>
        <v>c2f5a4a7</v>
      </c>
      <c r="E306" s="211" t="str">
        <f>IFERROR(__xludf.DUMMYFUNCTION("""COMPUTED_VALUE"""),"UD Sumber Berlian")</f>
        <v>UD Sumber Berlian</v>
      </c>
      <c r="F306" s="211" t="str">
        <f>IFERROR(__xludf.DUMMYFUNCTION("""COMPUTED_VALUE"""),"be525f3b")</f>
        <v>be525f3b</v>
      </c>
      <c r="G306" s="211" t="str">
        <f>IFERROR(__xludf.DUMMYFUNCTION("""COMPUTED_VALUE"""),"LPG 12kg")</f>
        <v>LPG 12kg</v>
      </c>
      <c r="H306" s="214" t="str">
        <f>IFERROR(__xludf.DUMMYFUNCTION("""COMPUTED_VALUE"""),"IN")</f>
        <v>IN</v>
      </c>
      <c r="I306" s="214" t="str">
        <f>IFERROR(__xludf.DUMMYFUNCTION("""COMPUTED_VALUE"""),"EMPTY")</f>
        <v>EMPTY</v>
      </c>
      <c r="J306" s="211">
        <f>IFERROR(__xludf.DUMMYFUNCTION("""COMPUTED_VALUE"""),2.0)</f>
        <v>2</v>
      </c>
      <c r="K306" s="211"/>
      <c r="L306" s="211"/>
      <c r="M306" s="211"/>
      <c r="N306" s="211"/>
      <c r="O306" s="211"/>
      <c r="Q306" s="210" t="str">
        <f>IFERROR(__xludf.DUMMYFUNCTION("""COMPUTED_VALUE"""),"27df010e")</f>
        <v>27df010e</v>
      </c>
      <c r="R306" s="210" t="str">
        <f>IFERROR(__xludf.DUMMYFUNCTION("""COMPUTED_VALUE"""),"27df010e")</f>
        <v>27df010e</v>
      </c>
      <c r="S306" s="211" t="str">
        <f>IFERROR(__xludf.DUMMYFUNCTION("""COMPUTED_VALUE"""),"785e0e07")</f>
        <v>785e0e07</v>
      </c>
      <c r="T306" s="211" t="str">
        <f>IFERROR(__xludf.DUMMYFUNCTION("""COMPUTED_VALUE"""),"Bpk. Sukirno (Bejo)")</f>
        <v>Bpk. Sukirno (Bejo)</v>
      </c>
      <c r="U306" s="215">
        <f>IFERROR(__xludf.DUMMYFUNCTION("""COMPUTED_VALUE"""),45653.50138888889)</f>
        <v>45653.50139</v>
      </c>
      <c r="V306" s="211" t="str">
        <f>IFERROR(__xludf.DUMMYFUNCTION("""COMPUTED_VALUE"""),"Krajan I, Wringinanom, Kec. Wringinanom, Kabupaten Gresik, Jawa Timur 61176")</f>
        <v>Krajan I, Wringinanom, Kec. Wringinanom, Kabupaten Gresik, Jawa Timur 61176</v>
      </c>
      <c r="W306" s="211" t="str">
        <f>IFERROR(__xludf.DUMMYFUNCTION("""COMPUTED_VALUE"""),"IN")</f>
        <v>IN</v>
      </c>
      <c r="X306" s="211"/>
      <c r="Z306" s="211" t="str">
        <f>IFERROR(__xludf.DUMMYFUNCTION("""COMPUTED_VALUE"""),"0126422416")</f>
        <v>0126422416</v>
      </c>
      <c r="AC306" s="211"/>
      <c r="AD306" s="211"/>
      <c r="AE306" s="211"/>
      <c r="AF306" s="211"/>
      <c r="AG306" s="211"/>
      <c r="AH306" s="211"/>
      <c r="AI306" s="211"/>
      <c r="AJ306" s="211"/>
      <c r="AL306" s="211"/>
      <c r="AM306" s="211"/>
      <c r="AN306" s="211"/>
      <c r="AO306" s="211"/>
      <c r="AP306" s="215"/>
      <c r="AQ306" s="218"/>
      <c r="AR306" s="211"/>
      <c r="AS306" s="211"/>
      <c r="AT306" s="211"/>
      <c r="AU306" s="211"/>
      <c r="AV306" s="211"/>
      <c r="AW306" s="211"/>
      <c r="AX306" s="211"/>
      <c r="AY306" s="211"/>
      <c r="AZ306" s="211"/>
      <c r="BB306" s="211"/>
      <c r="BC306" s="211"/>
      <c r="BD306" s="211"/>
      <c r="BE306" s="211"/>
      <c r="BF306" s="211"/>
      <c r="BG306" s="211"/>
      <c r="BH306" s="211"/>
      <c r="BI306" s="211"/>
    </row>
    <row r="307">
      <c r="A307" s="210" t="str">
        <f>IFERROR(__xludf.DUMMYFUNCTION("""COMPUTED_VALUE"""),"11240137")</f>
        <v>11240137</v>
      </c>
      <c r="B307" s="210" t="str">
        <f>IFERROR(__xludf.DUMMYFUNCTION("""COMPUTED_VALUE"""),"11240137")</f>
        <v>11240137</v>
      </c>
      <c r="C307" s="213">
        <f>IFERROR(__xludf.DUMMYFUNCTION("""COMPUTED_VALUE"""),45626.45208333333)</f>
        <v>45626.45208</v>
      </c>
      <c r="D307" s="211" t="str">
        <f>IFERROR(__xludf.DUMMYFUNCTION("""COMPUTED_VALUE"""),"2d88931c")</f>
        <v>2d88931c</v>
      </c>
      <c r="E307" s="211" t="str">
        <f>IFERROR(__xludf.DUMMYFUNCTION("""COMPUTED_VALUE"""),"PT Dunia Berkat Marga Mulya")</f>
        <v>PT Dunia Berkat Marga Mulya</v>
      </c>
      <c r="F307" s="211" t="str">
        <f>IFERROR(__xludf.DUMMYFUNCTION("""COMPUTED_VALUE"""),"8bdbe149")</f>
        <v>8bdbe149</v>
      </c>
      <c r="G307" s="211" t="str">
        <f>IFERROR(__xludf.DUMMYFUNCTION("""COMPUTED_VALUE"""),"Oksigen 6m3")</f>
        <v>Oksigen 6m3</v>
      </c>
      <c r="H307" s="214" t="str">
        <f>IFERROR(__xludf.DUMMYFUNCTION("""COMPUTED_VALUE"""),"OUT")</f>
        <v>OUT</v>
      </c>
      <c r="I307" s="214" t="str">
        <f>IFERROR(__xludf.DUMMYFUNCTION("""COMPUTED_VALUE"""),"NORMAL")</f>
        <v>NORMAL</v>
      </c>
      <c r="J307" s="211">
        <f>IFERROR(__xludf.DUMMYFUNCTION("""COMPUTED_VALUE"""),5.0)</f>
        <v>5</v>
      </c>
      <c r="K307" s="210" t="str">
        <f>IFERROR(__xludf.DUMMYFUNCTION("""COMPUTED_VALUE"""),"1121 1105 11134 11125 11106")</f>
        <v>1121 1105 11134 11125 11106</v>
      </c>
      <c r="L307" s="211">
        <f>IFERROR(__xludf.DUMMYFUNCTION("""COMPUTED_VALUE"""),60000.0)</f>
        <v>60000</v>
      </c>
      <c r="M307" s="211"/>
      <c r="N307" s="211"/>
      <c r="O307" s="211"/>
      <c r="Q307" s="210" t="str">
        <f>IFERROR(__xludf.DUMMYFUNCTION("""COMPUTED_VALUE"""),"52c6cc73")</f>
        <v>52c6cc73</v>
      </c>
      <c r="R307" s="210" t="str">
        <f>IFERROR(__xludf.DUMMYFUNCTION("""COMPUTED_VALUE"""),"52c6cc73")</f>
        <v>52c6cc73</v>
      </c>
      <c r="S307" s="211" t="str">
        <f>IFERROR(__xludf.DUMMYFUNCTION("""COMPUTED_VALUE"""),"e86baf3b")</f>
        <v>e86baf3b</v>
      </c>
      <c r="T307" s="211" t="str">
        <f>IFERROR(__xludf.DUMMYFUNCTION("""COMPUTED_VALUE"""),"PT GEMILANG CIPTA WAWASAN")</f>
        <v>PT GEMILANG CIPTA WAWASAN</v>
      </c>
      <c r="U307" s="215">
        <f>IFERROR(__xludf.DUMMYFUNCTION("""COMPUTED_VALUE"""),45653.50208333333)</f>
        <v>45653.50208</v>
      </c>
      <c r="V307" s="211" t="str">
        <f>IFERROR(__xludf.DUMMYFUNCTION("""COMPUTED_VALUE"""),"JL TEBET RAYA, 2A, TEBET BARAT, TEBET, KOTA ADM, JAKARTA SELATAN, DKI JAKARTA")</f>
        <v>JL TEBET RAYA, 2A, TEBET BARAT, TEBET, KOTA ADM, JAKARTA SELATAN, DKI JAKARTA</v>
      </c>
      <c r="W307" s="211" t="str">
        <f>IFERROR(__xludf.DUMMYFUNCTION("""COMPUTED_VALUE"""),"IN")</f>
        <v>IN</v>
      </c>
      <c r="X307" s="211"/>
      <c r="Z307" s="211" t="str">
        <f>IFERROR(__xludf.DUMMYFUNCTION("""COMPUTED_VALUE"""),"0126392413")</f>
        <v>0126392413</v>
      </c>
      <c r="AC307" s="211"/>
      <c r="AD307" s="211"/>
      <c r="AE307" s="211"/>
      <c r="AF307" s="211"/>
      <c r="AG307" s="211"/>
      <c r="AH307" s="211"/>
      <c r="AI307" s="211"/>
      <c r="AJ307" s="211"/>
      <c r="AL307" s="211"/>
      <c r="AM307" s="211"/>
      <c r="AN307" s="211"/>
      <c r="AO307" s="211"/>
      <c r="AP307" s="215"/>
      <c r="AQ307" s="218"/>
      <c r="AR307" s="211"/>
      <c r="AS307" s="211"/>
      <c r="AT307" s="211"/>
      <c r="AU307" s="211"/>
      <c r="AV307" s="211"/>
      <c r="AW307" s="211"/>
      <c r="AX307" s="211"/>
      <c r="AY307" s="211"/>
      <c r="AZ307" s="211"/>
      <c r="BB307" s="211"/>
      <c r="BC307" s="211"/>
      <c r="BD307" s="211"/>
      <c r="BE307" s="211"/>
      <c r="BF307" s="211"/>
      <c r="BG307" s="211"/>
      <c r="BH307" s="211"/>
      <c r="BI307" s="211"/>
    </row>
    <row r="308">
      <c r="A308" s="210" t="str">
        <f>IFERROR(__xludf.DUMMYFUNCTION("""COMPUTED_VALUE"""),"11240138")</f>
        <v>11240138</v>
      </c>
      <c r="B308" s="210" t="str">
        <f>IFERROR(__xludf.DUMMYFUNCTION("""COMPUTED_VALUE"""),"11240138")</f>
        <v>11240138</v>
      </c>
      <c r="C308" s="213">
        <f>IFERROR(__xludf.DUMMYFUNCTION("""COMPUTED_VALUE"""),45626.470138888886)</f>
        <v>45626.47014</v>
      </c>
      <c r="D308" s="211" t="str">
        <f>IFERROR(__xludf.DUMMYFUNCTION("""COMPUTED_VALUE"""),"4ec68cf6")</f>
        <v>4ec68cf6</v>
      </c>
      <c r="E308" s="211" t="str">
        <f>IFERROR(__xludf.DUMMYFUNCTION("""COMPUTED_VALUE"""),"CV Sido Mukti Karya")</f>
        <v>CV Sido Mukti Karya</v>
      </c>
      <c r="F308" s="211" t="str">
        <f>IFERROR(__xludf.DUMMYFUNCTION("""COMPUTED_VALUE"""),"ef306e54")</f>
        <v>ef306e54</v>
      </c>
      <c r="G308" s="211" t="str">
        <f>IFERROR(__xludf.DUMMYFUNCTION("""COMPUTED_VALUE"""),"Karbondioksida")</f>
        <v>Karbondioksida</v>
      </c>
      <c r="H308" s="214" t="str">
        <f>IFERROR(__xludf.DUMMYFUNCTION("""COMPUTED_VALUE"""),"OUT")</f>
        <v>OUT</v>
      </c>
      <c r="I308" s="214" t="str">
        <f>IFERROR(__xludf.DUMMYFUNCTION("""COMPUTED_VALUE"""),"NORMAL")</f>
        <v>NORMAL</v>
      </c>
      <c r="J308" s="211">
        <f>IFERROR(__xludf.DUMMYFUNCTION("""COMPUTED_VALUE"""),1.0)</f>
        <v>1</v>
      </c>
      <c r="K308" s="210" t="str">
        <f>IFERROR(__xludf.DUMMYFUNCTION("""COMPUTED_VALUE"""),"6696")</f>
        <v>6696</v>
      </c>
      <c r="L308" s="211">
        <f>IFERROR(__xludf.DUMMYFUNCTION("""COMPUTED_VALUE"""),170000.0)</f>
        <v>170000</v>
      </c>
      <c r="M308" s="211"/>
      <c r="N308" s="211"/>
      <c r="O308" s="211"/>
      <c r="Q308" s="210" t="str">
        <f>IFERROR(__xludf.DUMMYFUNCTION("""COMPUTED_VALUE"""),"9a983ea6")</f>
        <v>9a983ea6</v>
      </c>
      <c r="R308" s="210" t="str">
        <f>IFERROR(__xludf.DUMMYFUNCTION("""COMPUTED_VALUE"""),"9a983ea6")</f>
        <v>9a983ea6</v>
      </c>
      <c r="S308" s="211" t="str">
        <f>IFERROR(__xludf.DUMMYFUNCTION("""COMPUTED_VALUE"""),"37175874")</f>
        <v>37175874</v>
      </c>
      <c r="T308" s="211" t="str">
        <f>IFERROR(__xludf.DUMMYFUNCTION("""COMPUTED_VALUE"""),"PT TERAPAN NILAIOSILASI INDONESIA (TENO)")</f>
        <v>PT TERAPAN NILAIOSILASI INDONESIA (TENO)</v>
      </c>
      <c r="U308" s="215">
        <f>IFERROR(__xludf.DUMMYFUNCTION("""COMPUTED_VALUE"""),45653.50347222222)</f>
        <v>45653.50347</v>
      </c>
      <c r="V308" s="211" t="str">
        <f>IFERROR(__xludf.DUMMYFUNCTION("""COMPUTED_VALUE"""),"JL Raya Kertajaya Indah 153 / P116, Gebang Putih, Sukokilo, Kota Surabaya, Jawa Timur")</f>
        <v>JL Raya Kertajaya Indah 153 / P116, Gebang Putih, Sukokilo, Kota Surabaya, Jawa Timur</v>
      </c>
      <c r="W308" s="211" t="str">
        <f>IFERROR(__xludf.DUMMYFUNCTION("""COMPUTED_VALUE"""),"IN")</f>
        <v>IN</v>
      </c>
      <c r="X308" s="211"/>
      <c r="Z308" s="211" t="str">
        <f>IFERROR(__xludf.DUMMYFUNCTION("""COMPUTED_VALUE"""),"012612412")</f>
        <v>012612412</v>
      </c>
      <c r="AC308" s="211"/>
      <c r="AD308" s="211"/>
      <c r="AE308" s="211"/>
      <c r="AF308" s="211"/>
      <c r="AG308" s="211"/>
      <c r="AH308" s="211"/>
      <c r="AI308" s="211"/>
      <c r="AJ308" s="211"/>
      <c r="AL308" s="211"/>
      <c r="AM308" s="211"/>
      <c r="AN308" s="211"/>
      <c r="AO308" s="211"/>
      <c r="AP308" s="215"/>
      <c r="AQ308" s="218"/>
      <c r="AR308" s="211"/>
      <c r="AS308" s="211"/>
      <c r="AT308" s="211"/>
      <c r="AU308" s="211"/>
      <c r="AV308" s="211"/>
      <c r="AW308" s="211"/>
      <c r="AX308" s="211"/>
      <c r="AY308" s="211"/>
      <c r="AZ308" s="211"/>
      <c r="BB308" s="211"/>
      <c r="BC308" s="211"/>
      <c r="BD308" s="211"/>
      <c r="BE308" s="211"/>
      <c r="BF308" s="211"/>
      <c r="BG308" s="211"/>
      <c r="BH308" s="211"/>
      <c r="BI308" s="211"/>
    </row>
    <row r="309">
      <c r="A309" s="210" t="str">
        <f>IFERROR(__xludf.DUMMYFUNCTION("""COMPUTED_VALUE"""),"128db52b")</f>
        <v>128db52b</v>
      </c>
      <c r="B309" s="210" t="str">
        <f>IFERROR(__xludf.DUMMYFUNCTION("""COMPUTED_VALUE"""),"128db52b")</f>
        <v>128db52b</v>
      </c>
      <c r="C309" s="213">
        <f>IFERROR(__xludf.DUMMYFUNCTION("""COMPUTED_VALUE"""),45609.53055555555)</f>
        <v>45609.53056</v>
      </c>
      <c r="D309" s="211" t="str">
        <f>IFERROR(__xludf.DUMMYFUNCTION("""COMPUTED_VALUE"""),"c2f5a4a7")</f>
        <v>c2f5a4a7</v>
      </c>
      <c r="E309" s="211" t="str">
        <f>IFERROR(__xludf.DUMMYFUNCTION("""COMPUTED_VALUE"""),"UD Sumber Berlian")</f>
        <v>UD Sumber Berlian</v>
      </c>
      <c r="F309" s="211" t="str">
        <f>IFERROR(__xludf.DUMMYFUNCTION("""COMPUTED_VALUE"""),"be525f3b")</f>
        <v>be525f3b</v>
      </c>
      <c r="G309" s="211" t="str">
        <f>IFERROR(__xludf.DUMMYFUNCTION("""COMPUTED_VALUE"""),"LPG 12kg")</f>
        <v>LPG 12kg</v>
      </c>
      <c r="H309" s="214" t="str">
        <f>IFERROR(__xludf.DUMMYFUNCTION("""COMPUTED_VALUE"""),"IN")</f>
        <v>IN</v>
      </c>
      <c r="I309" s="214" t="str">
        <f>IFERROR(__xludf.DUMMYFUNCTION("""COMPUTED_VALUE"""),"EMPTY")</f>
        <v>EMPTY</v>
      </c>
      <c r="J309" s="211">
        <f>IFERROR(__xludf.DUMMYFUNCTION("""COMPUTED_VALUE"""),2.0)</f>
        <v>2</v>
      </c>
      <c r="K309" s="211"/>
      <c r="L309" s="211"/>
      <c r="M309" s="211"/>
      <c r="N309" s="211"/>
      <c r="O309" s="211"/>
      <c r="Q309" s="210" t="str">
        <f>IFERROR(__xludf.DUMMYFUNCTION("""COMPUTED_VALUE"""),"94ef72cb")</f>
        <v>94ef72cb</v>
      </c>
      <c r="R309" s="210" t="str">
        <f>IFERROR(__xludf.DUMMYFUNCTION("""COMPUTED_VALUE"""),"94ef72cb")</f>
        <v>94ef72cb</v>
      </c>
      <c r="S309" s="211" t="str">
        <f>IFERROR(__xludf.DUMMYFUNCTION("""COMPUTED_VALUE"""),"4ec68cf6")</f>
        <v>4ec68cf6</v>
      </c>
      <c r="T309" s="211" t="str">
        <f>IFERROR(__xludf.DUMMYFUNCTION("""COMPUTED_VALUE"""),"CV Sido Mukti Karya")</f>
        <v>CV Sido Mukti Karya</v>
      </c>
      <c r="U309" s="215">
        <f>IFERROR(__xludf.DUMMYFUNCTION("""COMPUTED_VALUE"""),45654.50486111111)</f>
        <v>45654.50486</v>
      </c>
      <c r="V309" s="211" t="str">
        <f>IFERROR(__xludf.DUMMYFUNCTION("""COMPUTED_VALUE"""),"Pergudangan Center Point no A3, Kemangsen")</f>
        <v>Pergudangan Center Point no A3, Kemangsen</v>
      </c>
      <c r="W309" s="211" t="str">
        <f>IFERROR(__xludf.DUMMYFUNCTION("""COMPUTED_VALUE"""),"IN")</f>
        <v>IN</v>
      </c>
      <c r="X309" s="211"/>
      <c r="Z309" s="211" t="str">
        <f>IFERROR(__xludf.DUMMYFUNCTION("""COMPUTED_VALUE"""),"0126412409")</f>
        <v>0126412409</v>
      </c>
      <c r="AC309" s="211"/>
      <c r="AD309" s="211"/>
      <c r="AE309" s="211"/>
      <c r="AF309" s="211"/>
      <c r="AG309" s="211"/>
      <c r="AH309" s="211"/>
      <c r="AI309" s="211"/>
      <c r="AJ309" s="211"/>
      <c r="AL309" s="211"/>
      <c r="AM309" s="211"/>
      <c r="AN309" s="211"/>
      <c r="AO309" s="211"/>
      <c r="AP309" s="215"/>
      <c r="AQ309" s="218"/>
      <c r="AR309" s="211"/>
      <c r="AS309" s="211"/>
      <c r="AT309" s="211"/>
      <c r="AU309" s="211"/>
      <c r="AV309" s="211"/>
      <c r="AW309" s="211"/>
      <c r="AX309" s="211"/>
      <c r="AY309" s="211"/>
      <c r="AZ309" s="211"/>
      <c r="BB309" s="211"/>
      <c r="BC309" s="211"/>
      <c r="BD309" s="211"/>
      <c r="BE309" s="211"/>
      <c r="BF309" s="211"/>
      <c r="BG309" s="211"/>
      <c r="BH309" s="211"/>
      <c r="BI309" s="211"/>
    </row>
    <row r="310">
      <c r="A310" s="210" t="str">
        <f>IFERROR(__xludf.DUMMYFUNCTION("""COMPUTED_VALUE"""),"ca3b550f")</f>
        <v>ca3b550f</v>
      </c>
      <c r="B310" s="210" t="str">
        <f>IFERROR(__xludf.DUMMYFUNCTION("""COMPUTED_VALUE"""),"ca3b550f")</f>
        <v>ca3b550f</v>
      </c>
      <c r="C310" s="213">
        <f>IFERROR(__xludf.DUMMYFUNCTION("""COMPUTED_VALUE"""),45626.54375)</f>
        <v>45626.54375</v>
      </c>
      <c r="D310" s="211" t="str">
        <f>IFERROR(__xludf.DUMMYFUNCTION("""COMPUTED_VALUE"""),"2d88931c")</f>
        <v>2d88931c</v>
      </c>
      <c r="E310" s="211" t="str">
        <f>IFERROR(__xludf.DUMMYFUNCTION("""COMPUTED_VALUE"""),"PT Dunia Berkat Marga Mulya")</f>
        <v>PT Dunia Berkat Marga Mulya</v>
      </c>
      <c r="F310" s="211" t="str">
        <f>IFERROR(__xludf.DUMMYFUNCTION("""COMPUTED_VALUE"""),"8bdbe149")</f>
        <v>8bdbe149</v>
      </c>
      <c r="G310" s="211" t="str">
        <f>IFERROR(__xludf.DUMMYFUNCTION("""COMPUTED_VALUE"""),"Oksigen 6m3")</f>
        <v>Oksigen 6m3</v>
      </c>
      <c r="H310" s="214" t="str">
        <f>IFERROR(__xludf.DUMMYFUNCTION("""COMPUTED_VALUE"""),"IN")</f>
        <v>IN</v>
      </c>
      <c r="I310" s="214" t="str">
        <f>IFERROR(__xludf.DUMMYFUNCTION("""COMPUTED_VALUE"""),"EMPTY")</f>
        <v>EMPTY</v>
      </c>
      <c r="J310" s="211">
        <f>IFERROR(__xludf.DUMMYFUNCTION("""COMPUTED_VALUE"""),3.0)</f>
        <v>3</v>
      </c>
      <c r="K310" s="210" t="str">
        <f>IFERROR(__xludf.DUMMYFUNCTION("""COMPUTED_VALUE"""),"11120 1184 1175")</f>
        <v>11120 1184 1175</v>
      </c>
      <c r="L310" s="211">
        <f>IFERROR(__xludf.DUMMYFUNCTION("""COMPUTED_VALUE"""),0.0)</f>
        <v>0</v>
      </c>
      <c r="M310" s="211"/>
      <c r="N310" s="211"/>
      <c r="O310" s="211"/>
      <c r="Q310" s="210" t="str">
        <f>IFERROR(__xludf.DUMMYFUNCTION("""COMPUTED_VALUE"""),"af98e8f0")</f>
        <v>af98e8f0</v>
      </c>
      <c r="R310" s="210" t="str">
        <f>IFERROR(__xludf.DUMMYFUNCTION("""COMPUTED_VALUE"""),"af98e8f0")</f>
        <v>af98e8f0</v>
      </c>
      <c r="S310" s="211" t="str">
        <f>IFERROR(__xludf.DUMMYFUNCTION("""COMPUTED_VALUE"""),"06d600f6")</f>
        <v>06d600f6</v>
      </c>
      <c r="T310" s="211" t="str">
        <f>IFERROR(__xludf.DUMMYFUNCTION("""COMPUTED_VALUE"""),"Ibu Ida")</f>
        <v>Ibu Ida</v>
      </c>
      <c r="U310" s="215">
        <f>IFERROR(__xludf.DUMMYFUNCTION("""COMPUTED_VALUE"""),45653.50625)</f>
        <v>45653.50625</v>
      </c>
      <c r="V310" s="211" t="str">
        <f>IFERROR(__xludf.DUMMYFUNCTION("""COMPUTED_VALUE"""),"Wonoayu rt 1 rw 4, Kec wonoayu, Kab. Sidoarjo")</f>
        <v>Wonoayu rt 1 rw 4, Kec wonoayu, Kab. Sidoarjo</v>
      </c>
      <c r="W310" s="211" t="str">
        <f>IFERROR(__xludf.DUMMYFUNCTION("""COMPUTED_VALUE"""),"IN")</f>
        <v>IN</v>
      </c>
      <c r="X310" s="211"/>
      <c r="Z310" s="211" t="str">
        <f>IFERROR(__xludf.DUMMYFUNCTION("""COMPUTED_VALUE"""),"0126102408")</f>
        <v>0126102408</v>
      </c>
      <c r="AC310" s="211"/>
      <c r="AD310" s="211"/>
      <c r="AE310" s="211"/>
      <c r="AF310" s="211"/>
      <c r="AG310" s="211"/>
      <c r="AH310" s="211"/>
      <c r="AI310" s="211"/>
      <c r="AJ310" s="211"/>
      <c r="AL310" s="211"/>
      <c r="AM310" s="211"/>
      <c r="AN310" s="211"/>
      <c r="AO310" s="211"/>
      <c r="AP310" s="215"/>
      <c r="AQ310" s="218"/>
      <c r="AR310" s="211"/>
      <c r="AS310" s="211"/>
      <c r="AT310" s="211"/>
      <c r="AU310" s="211"/>
      <c r="AV310" s="211"/>
      <c r="AW310" s="211"/>
      <c r="AX310" s="211"/>
      <c r="AY310" s="211"/>
      <c r="AZ310" s="211"/>
      <c r="BB310" s="211"/>
      <c r="BC310" s="211"/>
      <c r="BD310" s="211"/>
      <c r="BE310" s="211"/>
      <c r="BF310" s="211"/>
      <c r="BG310" s="211"/>
      <c r="BH310" s="211"/>
      <c r="BI310" s="211"/>
    </row>
    <row r="311">
      <c r="A311" s="210" t="str">
        <f>IFERROR(__xludf.DUMMYFUNCTION("""COMPUTED_VALUE"""),"b4b134c6")</f>
        <v>b4b134c6</v>
      </c>
      <c r="B311" s="210" t="str">
        <f>IFERROR(__xludf.DUMMYFUNCTION("""COMPUTED_VALUE"""),"b4b134c6")</f>
        <v>b4b134c6</v>
      </c>
      <c r="C311" s="213">
        <f>IFERROR(__xludf.DUMMYFUNCTION("""COMPUTED_VALUE"""),45626.54375)</f>
        <v>45626.54375</v>
      </c>
      <c r="D311" s="211" t="str">
        <f>IFERROR(__xludf.DUMMYFUNCTION("""COMPUTED_VALUE"""),"4ec68cf6")</f>
        <v>4ec68cf6</v>
      </c>
      <c r="E311" s="211" t="str">
        <f>IFERROR(__xludf.DUMMYFUNCTION("""COMPUTED_VALUE"""),"CV Sido Mukti Karya")</f>
        <v>CV Sido Mukti Karya</v>
      </c>
      <c r="F311" s="211" t="str">
        <f>IFERROR(__xludf.DUMMYFUNCTION("""COMPUTED_VALUE"""),"8bdbe149")</f>
        <v>8bdbe149</v>
      </c>
      <c r="G311" s="211" t="str">
        <f>IFERROR(__xludf.DUMMYFUNCTION("""COMPUTED_VALUE"""),"Oksigen 6m3")</f>
        <v>Oksigen 6m3</v>
      </c>
      <c r="H311" s="214" t="str">
        <f>IFERROR(__xludf.DUMMYFUNCTION("""COMPUTED_VALUE"""),"IN")</f>
        <v>IN</v>
      </c>
      <c r="I311" s="214" t="str">
        <f>IFERROR(__xludf.DUMMYFUNCTION("""COMPUTED_VALUE"""),"EMPTY")</f>
        <v>EMPTY</v>
      </c>
      <c r="J311" s="211">
        <f>IFERROR(__xludf.DUMMYFUNCTION("""COMPUTED_VALUE"""),1.0)</f>
        <v>1</v>
      </c>
      <c r="K311" s="210" t="str">
        <f>IFERROR(__xludf.DUMMYFUNCTION("""COMPUTED_VALUE"""),"1282")</f>
        <v>1282</v>
      </c>
      <c r="L311" s="211"/>
      <c r="M311" s="211"/>
      <c r="N311" s="211"/>
      <c r="O311" s="211"/>
      <c r="Q311" s="210" t="str">
        <f>IFERROR(__xludf.DUMMYFUNCTION("""COMPUTED_VALUE"""),"300a9e0e")</f>
        <v>300a9e0e</v>
      </c>
      <c r="R311" s="210" t="str">
        <f>IFERROR(__xludf.DUMMYFUNCTION("""COMPUTED_VALUE"""),"300a9e0e")</f>
        <v>300a9e0e</v>
      </c>
      <c r="S311" s="211" t="str">
        <f>IFERROR(__xludf.DUMMYFUNCTION("""COMPUTED_VALUE"""),"5f23ba17")</f>
        <v>5f23ba17</v>
      </c>
      <c r="T311" s="211" t="str">
        <f>IFERROR(__xludf.DUMMYFUNCTION("""COMPUTED_VALUE"""),"Bpk. Joko (Gresik)")</f>
        <v>Bpk. Joko (Gresik)</v>
      </c>
      <c r="U311" s="215">
        <f>IFERROR(__xludf.DUMMYFUNCTION("""COMPUTED_VALUE"""),45654.507638888885)</f>
        <v>45654.50764</v>
      </c>
      <c r="V311" s="211" t="str">
        <f>IFERROR(__xludf.DUMMYFUNCTION("""COMPUTED_VALUE"""),"Tanggungan, Lebaniwaras, Kec. Wringinanom, Kabupaten Gresik, Jawa Timur")</f>
        <v>Tanggungan, Lebaniwaras, Kec. Wringinanom, Kabupaten Gresik, Jawa Timur</v>
      </c>
      <c r="W311" s="211" t="str">
        <f>IFERROR(__xludf.DUMMYFUNCTION("""COMPUTED_VALUE"""),"IN")</f>
        <v>IN</v>
      </c>
      <c r="X311" s="211"/>
      <c r="Z311" s="211" t="str">
        <f>IFERROR(__xludf.DUMMYFUNCTION("""COMPUTED_VALUE"""),"0126782407")</f>
        <v>0126782407</v>
      </c>
      <c r="AC311" s="211"/>
      <c r="AD311" s="211"/>
      <c r="AE311" s="211"/>
      <c r="AF311" s="211"/>
      <c r="AG311" s="211"/>
      <c r="AH311" s="211"/>
      <c r="AI311" s="211"/>
      <c r="AJ311" s="211"/>
      <c r="AL311" s="211"/>
      <c r="AM311" s="211"/>
      <c r="AN311" s="211"/>
      <c r="AO311" s="211"/>
      <c r="AP311" s="215"/>
      <c r="AQ311" s="218"/>
      <c r="AR311" s="211"/>
      <c r="AS311" s="211"/>
      <c r="AT311" s="211"/>
      <c r="AU311" s="211"/>
      <c r="AV311" s="211"/>
      <c r="AW311" s="211"/>
      <c r="AX311" s="211"/>
      <c r="AY311" s="211"/>
      <c r="AZ311" s="211"/>
      <c r="BB311" s="211"/>
      <c r="BC311" s="211"/>
      <c r="BD311" s="211"/>
      <c r="BE311" s="211"/>
      <c r="BF311" s="211"/>
      <c r="BG311" s="211"/>
      <c r="BH311" s="211"/>
      <c r="BI311" s="211"/>
    </row>
    <row r="312">
      <c r="A312" s="210" t="str">
        <f>IFERROR(__xludf.DUMMYFUNCTION("""COMPUTED_VALUE"""),"12240139")</f>
        <v>12240139</v>
      </c>
      <c r="B312" s="210" t="str">
        <f>IFERROR(__xludf.DUMMYFUNCTION("""COMPUTED_VALUE"""),"12240139")</f>
        <v>12240139</v>
      </c>
      <c r="C312" s="213">
        <f>IFERROR(__xludf.DUMMYFUNCTION("""COMPUTED_VALUE"""),45628.45208333333)</f>
        <v>45628.45208</v>
      </c>
      <c r="D312" s="211" t="str">
        <f>IFERROR(__xludf.DUMMYFUNCTION("""COMPUTED_VALUE"""),"e86baf3b")</f>
        <v>e86baf3b</v>
      </c>
      <c r="E312" s="211" t="str">
        <f>IFERROR(__xludf.DUMMYFUNCTION("""COMPUTED_VALUE"""),"PT GEMILANG CIPTA WAWASAN")</f>
        <v>PT GEMILANG CIPTA WAWASAN</v>
      </c>
      <c r="F312" s="211" t="str">
        <f>IFERROR(__xludf.DUMMYFUNCTION("""COMPUTED_VALUE"""),"8bdbe149")</f>
        <v>8bdbe149</v>
      </c>
      <c r="G312" s="211" t="str">
        <f>IFERROR(__xludf.DUMMYFUNCTION("""COMPUTED_VALUE"""),"Oksigen 6m3")</f>
        <v>Oksigen 6m3</v>
      </c>
      <c r="H312" s="214" t="str">
        <f>IFERROR(__xludf.DUMMYFUNCTION("""COMPUTED_VALUE"""),"OUT")</f>
        <v>OUT</v>
      </c>
      <c r="I312" s="214" t="str">
        <f>IFERROR(__xludf.DUMMYFUNCTION("""COMPUTED_VALUE"""),"NORMAL")</f>
        <v>NORMAL</v>
      </c>
      <c r="J312" s="211">
        <f>IFERROR(__xludf.DUMMYFUNCTION("""COMPUTED_VALUE"""),5.0)</f>
        <v>5</v>
      </c>
      <c r="K312" s="210" t="str">
        <f>IFERROR(__xludf.DUMMYFUNCTION("""COMPUTED_VALUE"""),"1133 1196 1103 1154 1109")</f>
        <v>1133 1196 1103 1154 1109</v>
      </c>
      <c r="L312" s="211">
        <f>IFERROR(__xludf.DUMMYFUNCTION("""COMPUTED_VALUE"""),60000.0)</f>
        <v>60000</v>
      </c>
      <c r="M312" s="211"/>
      <c r="N312" s="211"/>
      <c r="O312" s="211"/>
      <c r="Q312" s="210" t="str">
        <f>IFERROR(__xludf.DUMMYFUNCTION("""COMPUTED_VALUE"""),"6498e8af")</f>
        <v>6498e8af</v>
      </c>
      <c r="R312" s="210" t="str">
        <f>IFERROR(__xludf.DUMMYFUNCTION("""COMPUTED_VALUE"""),"6498e8af")</f>
        <v>6498e8af</v>
      </c>
      <c r="S312" s="211" t="str">
        <f>IFERROR(__xludf.DUMMYFUNCTION("""COMPUTED_VALUE"""),"a9fe1bea")</f>
        <v>a9fe1bea</v>
      </c>
      <c r="T312" s="211" t="str">
        <f>IFERROR(__xludf.DUMMYFUNCTION("""COMPUTED_VALUE"""),"H. Suheiri")</f>
        <v>H. Suheiri</v>
      </c>
      <c r="U312" s="215">
        <f>IFERROR(__xludf.DUMMYFUNCTION("""COMPUTED_VALUE"""),45657.509722222225)</f>
        <v>45657.50972</v>
      </c>
      <c r="V312"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12" s="211" t="str">
        <f>IFERROR(__xludf.DUMMYFUNCTION("""COMPUTED_VALUE"""),"IN")</f>
        <v>IN</v>
      </c>
      <c r="X312" s="211"/>
      <c r="Z312" s="211" t="str">
        <f>IFERROR(__xludf.DUMMYFUNCTION("""COMPUTED_VALUE"""),"0126152404")</f>
        <v>0126152404</v>
      </c>
      <c r="AC312" s="211"/>
      <c r="AD312" s="211"/>
      <c r="AE312" s="211"/>
      <c r="AF312" s="211"/>
      <c r="AG312" s="211"/>
      <c r="AH312" s="211"/>
      <c r="AI312" s="211"/>
      <c r="AJ312" s="211"/>
      <c r="AL312" s="211"/>
      <c r="AM312" s="211"/>
      <c r="AN312" s="211"/>
      <c r="AO312" s="211"/>
      <c r="AP312" s="215"/>
      <c r="AQ312" s="218"/>
      <c r="AR312" s="211"/>
      <c r="AS312" s="211"/>
      <c r="AT312" s="211"/>
      <c r="AU312" s="211"/>
      <c r="AV312" s="211"/>
      <c r="AW312" s="211"/>
      <c r="AX312" s="211"/>
      <c r="AY312" s="211"/>
      <c r="AZ312" s="211"/>
      <c r="BB312" s="211"/>
      <c r="BC312" s="211"/>
      <c r="BD312" s="211"/>
      <c r="BE312" s="211"/>
      <c r="BF312" s="211"/>
      <c r="BG312" s="211"/>
      <c r="BH312" s="211"/>
      <c r="BI312" s="211"/>
    </row>
    <row r="313">
      <c r="A313" s="210" t="str">
        <f>IFERROR(__xludf.DUMMYFUNCTION("""COMPUTED_VALUE"""),"12240139")</f>
        <v>12240139</v>
      </c>
      <c r="B313" s="210" t="str">
        <f>IFERROR(__xludf.DUMMYFUNCTION("""COMPUTED_VALUE"""),"12240139")</f>
        <v>12240139</v>
      </c>
      <c r="C313" s="213">
        <f>IFERROR(__xludf.DUMMYFUNCTION("""COMPUTED_VALUE"""),45628.45277777778)</f>
        <v>45628.45278</v>
      </c>
      <c r="D313" s="211" t="str">
        <f>IFERROR(__xludf.DUMMYFUNCTION("""COMPUTED_VALUE"""),"e86baf3b")</f>
        <v>e86baf3b</v>
      </c>
      <c r="E313" s="211" t="str">
        <f>IFERROR(__xludf.DUMMYFUNCTION("""COMPUTED_VALUE"""),"PT GEMILANG CIPTA WAWASAN")</f>
        <v>PT GEMILANG CIPTA WAWASAN</v>
      </c>
      <c r="F313" s="211" t="str">
        <f>IFERROR(__xludf.DUMMYFUNCTION("""COMPUTED_VALUE"""),"ef306e54")</f>
        <v>ef306e54</v>
      </c>
      <c r="G313" s="211" t="str">
        <f>IFERROR(__xludf.DUMMYFUNCTION("""COMPUTED_VALUE"""),"Karbondioksida")</f>
        <v>Karbondioksida</v>
      </c>
      <c r="H313" s="214" t="str">
        <f>IFERROR(__xludf.DUMMYFUNCTION("""COMPUTED_VALUE"""),"OUT")</f>
        <v>OUT</v>
      </c>
      <c r="I313" s="214" t="str">
        <f>IFERROR(__xludf.DUMMYFUNCTION("""COMPUTED_VALUE"""),"NORMAL")</f>
        <v>NORMAL</v>
      </c>
      <c r="J313" s="211">
        <f>IFERROR(__xludf.DUMMYFUNCTION("""COMPUTED_VALUE"""),4.0)</f>
        <v>4</v>
      </c>
      <c r="K313" s="210" t="str">
        <f>IFERROR(__xludf.DUMMYFUNCTION("""COMPUTED_VALUE"""),"6642 6715 6759 6712")</f>
        <v>6642 6715 6759 6712</v>
      </c>
      <c r="L313" s="211">
        <f>IFERROR(__xludf.DUMMYFUNCTION("""COMPUTED_VALUE"""),167000.0)</f>
        <v>167000</v>
      </c>
      <c r="M313" s="211"/>
      <c r="N313" s="211"/>
      <c r="O313" s="211"/>
      <c r="Q313" s="210" t="str">
        <f>IFERROR(__xludf.DUMMYFUNCTION("""COMPUTED_VALUE"""),"b8dcd78f")</f>
        <v>b8dcd78f</v>
      </c>
      <c r="R313" s="210" t="str">
        <f>IFERROR(__xludf.DUMMYFUNCTION("""COMPUTED_VALUE"""),"b8dcd78f")</f>
        <v>b8dcd78f</v>
      </c>
      <c r="S313" s="211" t="str">
        <f>IFERROR(__xludf.DUMMYFUNCTION("""COMPUTED_VALUE"""),"72d9a70c")</f>
        <v>72d9a70c</v>
      </c>
      <c r="T313" s="211" t="str">
        <f>IFERROR(__xludf.DUMMYFUNCTION("""COMPUTED_VALUE"""),"PT Beton Prima Indonesia")</f>
        <v>PT Beton Prima Indonesia</v>
      </c>
      <c r="U313" s="215">
        <f>IFERROR(__xludf.DUMMYFUNCTION("""COMPUTED_VALUE"""),45656.51388888889)</f>
        <v>45656.51389</v>
      </c>
      <c r="V313" s="211" t="str">
        <f>IFERROR(__xludf.DUMMYFUNCTION("""COMPUTED_VALUE"""),"KH. Ahmad Dahlan KM.2 Ds. Sumberwono, Kec. Bangsal, Kab. Mojokerto 61381")</f>
        <v>KH. Ahmad Dahlan KM.2 Ds. Sumberwono, Kec. Bangsal, Kab. Mojokerto 61381</v>
      </c>
      <c r="W313" s="211" t="str">
        <f>IFERROR(__xludf.DUMMYFUNCTION("""COMPUTED_VALUE"""),"IN")</f>
        <v>IN</v>
      </c>
      <c r="X313" s="211"/>
      <c r="Z313" s="211" t="str">
        <f>IFERROR(__xludf.DUMMYFUNCTION("""COMPUTED_VALUE"""),"0126352403")</f>
        <v>0126352403</v>
      </c>
      <c r="AC313" s="211"/>
      <c r="AD313" s="211"/>
      <c r="AE313" s="211"/>
      <c r="AF313" s="211"/>
      <c r="AG313" s="211"/>
      <c r="AH313" s="211"/>
      <c r="AI313" s="211"/>
      <c r="AJ313" s="211"/>
      <c r="AL313" s="211"/>
      <c r="AM313" s="211"/>
      <c r="AN313" s="211"/>
      <c r="AO313" s="211"/>
      <c r="AP313" s="215"/>
      <c r="AQ313" s="218"/>
      <c r="AR313" s="211"/>
      <c r="AS313" s="211"/>
      <c r="AT313" s="211"/>
      <c r="AU313" s="211"/>
      <c r="AV313" s="211"/>
      <c r="AW313" s="211"/>
      <c r="AX313" s="211"/>
      <c r="AY313" s="211"/>
      <c r="AZ313" s="211"/>
      <c r="BB313" s="211"/>
      <c r="BC313" s="211"/>
      <c r="BD313" s="211"/>
      <c r="BE313" s="211"/>
      <c r="BF313" s="211"/>
      <c r="BG313" s="211"/>
      <c r="BH313" s="211"/>
      <c r="BI313" s="211"/>
    </row>
    <row r="314">
      <c r="A314" s="210" t="str">
        <f>IFERROR(__xludf.DUMMYFUNCTION("""COMPUTED_VALUE"""),"12240139")</f>
        <v>12240139</v>
      </c>
      <c r="B314" s="210" t="str">
        <f>IFERROR(__xludf.DUMMYFUNCTION("""COMPUTED_VALUE"""),"12240139")</f>
        <v>12240139</v>
      </c>
      <c r="C314" s="213">
        <f>IFERROR(__xludf.DUMMYFUNCTION("""COMPUTED_VALUE"""),45628.45416666667)</f>
        <v>45628.45417</v>
      </c>
      <c r="D314" s="211" t="str">
        <f>IFERROR(__xludf.DUMMYFUNCTION("""COMPUTED_VALUE"""),"e86baf3b")</f>
        <v>e86baf3b</v>
      </c>
      <c r="E314" s="211" t="str">
        <f>IFERROR(__xludf.DUMMYFUNCTION("""COMPUTED_VALUE"""),"PT GEMILANG CIPTA WAWASAN")</f>
        <v>PT GEMILANG CIPTA WAWASAN</v>
      </c>
      <c r="F314" s="211" t="str">
        <f>IFERROR(__xludf.DUMMYFUNCTION("""COMPUTED_VALUE"""),"66af7c72")</f>
        <v>66af7c72</v>
      </c>
      <c r="G314" s="211" t="str">
        <f>IFERROR(__xludf.DUMMYFUNCTION("""COMPUTED_VALUE"""),"Argon 6m3")</f>
        <v>Argon 6m3</v>
      </c>
      <c r="H314" s="214" t="str">
        <f>IFERROR(__xludf.DUMMYFUNCTION("""COMPUTED_VALUE"""),"OUT")</f>
        <v>OUT</v>
      </c>
      <c r="I314" s="214" t="str">
        <f>IFERROR(__xludf.DUMMYFUNCTION("""COMPUTED_VALUE"""),"NORMAL")</f>
        <v>NORMAL</v>
      </c>
      <c r="J314" s="211">
        <f>IFERROR(__xludf.DUMMYFUNCTION("""COMPUTED_VALUE"""),5.0)</f>
        <v>5</v>
      </c>
      <c r="K314" s="210" t="str">
        <f>IFERROR(__xludf.DUMMYFUNCTION("""COMPUTED_VALUE"""),"8215 8339 8256 8322 8239")</f>
        <v>8215 8339 8256 8322 8239</v>
      </c>
      <c r="L314" s="211">
        <f>IFERROR(__xludf.DUMMYFUNCTION("""COMPUTED_VALUE"""),196000.0)</f>
        <v>196000</v>
      </c>
      <c r="M314" s="211"/>
      <c r="N314" s="211"/>
      <c r="O314" s="211"/>
      <c r="Q314" s="210" t="str">
        <f>IFERROR(__xludf.DUMMYFUNCTION("""COMPUTED_VALUE"""),"3ac84745")</f>
        <v>3ac84745</v>
      </c>
      <c r="R314" s="210" t="str">
        <f>IFERROR(__xludf.DUMMYFUNCTION("""COMPUTED_VALUE"""),"3ac84745")</f>
        <v>3ac84745</v>
      </c>
      <c r="S314" s="211" t="str">
        <f>IFERROR(__xludf.DUMMYFUNCTION("""COMPUTED_VALUE"""),"785e0e07")</f>
        <v>785e0e07</v>
      </c>
      <c r="T314" s="211" t="str">
        <f>IFERROR(__xludf.DUMMYFUNCTION("""COMPUTED_VALUE"""),"Bpk. Sukirno (Bejo)")</f>
        <v>Bpk. Sukirno (Bejo)</v>
      </c>
      <c r="U314" s="215">
        <f>IFERROR(__xludf.DUMMYFUNCTION("""COMPUTED_VALUE"""),45656.51458333334)</f>
        <v>45656.51458</v>
      </c>
      <c r="V314" s="211" t="str">
        <f>IFERROR(__xludf.DUMMYFUNCTION("""COMPUTED_VALUE"""),"Krajan I, Wringinanom, Kec. Wringinanom, Kabupaten Gresik, Jawa Timur 61176")</f>
        <v>Krajan I, Wringinanom, Kec. Wringinanom, Kabupaten Gresik, Jawa Timur 61176</v>
      </c>
      <c r="W314" s="211" t="str">
        <f>IFERROR(__xludf.DUMMYFUNCTION("""COMPUTED_VALUE"""),"IN")</f>
        <v>IN</v>
      </c>
      <c r="X314" s="211"/>
      <c r="Z314" s="211" t="str">
        <f>IFERROR(__xludf.DUMMYFUNCTION("""COMPUTED_VALUE"""),"0126182397")</f>
        <v>0126182397</v>
      </c>
      <c r="AC314" s="211"/>
      <c r="AD314" s="211"/>
      <c r="AE314" s="211"/>
      <c r="AF314" s="211"/>
      <c r="AG314" s="211"/>
      <c r="AH314" s="211"/>
      <c r="AI314" s="211"/>
      <c r="AJ314" s="211"/>
      <c r="AL314" s="211"/>
      <c r="AM314" s="211"/>
      <c r="AN314" s="211"/>
      <c r="AO314" s="211"/>
      <c r="AP314" s="215"/>
      <c r="AQ314" s="218"/>
      <c r="AR314" s="211"/>
      <c r="AS314" s="211"/>
      <c r="AT314" s="211"/>
      <c r="AU314" s="211"/>
      <c r="AV314" s="211"/>
      <c r="AW314" s="211"/>
      <c r="AX314" s="211"/>
      <c r="AY314" s="211"/>
      <c r="AZ314" s="211"/>
      <c r="BB314" s="211"/>
      <c r="BC314" s="211"/>
      <c r="BD314" s="211"/>
      <c r="BE314" s="211"/>
      <c r="BF314" s="211"/>
      <c r="BG314" s="211"/>
      <c r="BH314" s="211"/>
      <c r="BI314" s="211"/>
    </row>
    <row r="315">
      <c r="A315" s="210" t="str">
        <f>IFERROR(__xludf.DUMMYFUNCTION("""COMPUTED_VALUE"""),"12240142")</f>
        <v>12240142</v>
      </c>
      <c r="B315" s="210" t="str">
        <f>IFERROR(__xludf.DUMMYFUNCTION("""COMPUTED_VALUE"""),"12240142")</f>
        <v>12240142</v>
      </c>
      <c r="C315" s="213">
        <f>IFERROR(__xludf.DUMMYFUNCTION("""COMPUTED_VALUE"""),45628.48819444444)</f>
        <v>45628.48819</v>
      </c>
      <c r="D315" s="211" t="str">
        <f>IFERROR(__xludf.DUMMYFUNCTION("""COMPUTED_VALUE"""),"2a67569a")</f>
        <v>2a67569a</v>
      </c>
      <c r="E315" s="211" t="str">
        <f>IFERROR(__xludf.DUMMYFUNCTION("""COMPUTED_VALUE"""),"PT REKAYASA CAHAYA CEMERLANG")</f>
        <v>PT REKAYASA CAHAYA CEMERLANG</v>
      </c>
      <c r="F315" s="211" t="str">
        <f>IFERROR(__xludf.DUMMYFUNCTION("""COMPUTED_VALUE"""),"f3208f5d")</f>
        <v>f3208f5d</v>
      </c>
      <c r="G315" s="211" t="str">
        <f>IFERROR(__xludf.DUMMYFUNCTION("""COMPUTED_VALUE"""),"Tabung 6m3 + O2")</f>
        <v>Tabung 6m3 + O2</v>
      </c>
      <c r="H315" s="214" t="str">
        <f>IFERROR(__xludf.DUMMYFUNCTION("""COMPUTED_VALUE"""),"OUT")</f>
        <v>OUT</v>
      </c>
      <c r="I315" s="214" t="str">
        <f>IFERROR(__xludf.DUMMYFUNCTION("""COMPUTED_VALUE"""),"NORMAL")</f>
        <v>NORMAL</v>
      </c>
      <c r="J315" s="211">
        <f>IFERROR(__xludf.DUMMYFUNCTION("""COMPUTED_VALUE"""),2.0)</f>
        <v>2</v>
      </c>
      <c r="K315" s="210" t="str">
        <f>IFERROR(__xludf.DUMMYFUNCTION("""COMPUTED_VALUE"""),"02 01")</f>
        <v>02 01</v>
      </c>
      <c r="L315" s="211"/>
      <c r="M315" s="211"/>
      <c r="N315" s="211"/>
      <c r="O315" s="211"/>
      <c r="Q315" s="210" t="str">
        <f>IFERROR(__xludf.DUMMYFUNCTION("""COMPUTED_VALUE"""),"1c93a136")</f>
        <v>1c93a136</v>
      </c>
      <c r="R315" s="210" t="str">
        <f>IFERROR(__xludf.DUMMYFUNCTION("""COMPUTED_VALUE"""),"1c93a136")</f>
        <v>1c93a136</v>
      </c>
      <c r="S315" s="211" t="str">
        <f>IFERROR(__xludf.DUMMYFUNCTION("""COMPUTED_VALUE"""),"37175874")</f>
        <v>37175874</v>
      </c>
      <c r="T315" s="211" t="str">
        <f>IFERROR(__xludf.DUMMYFUNCTION("""COMPUTED_VALUE"""),"PT TERAPAN NILAIOSILASI INDONESIA (TENO)")</f>
        <v>PT TERAPAN NILAIOSILASI INDONESIA (TENO)</v>
      </c>
      <c r="U315" s="215">
        <f>IFERROR(__xludf.DUMMYFUNCTION("""COMPUTED_VALUE"""),45656.52083333333)</f>
        <v>45656.52083</v>
      </c>
      <c r="V315" s="211" t="str">
        <f>IFERROR(__xludf.DUMMYFUNCTION("""COMPUTED_VALUE"""),"JL Raya Kertajaya Indah 153 / P116, Gebang Putih, Sukokilo, Kota Surabaya, Jawa Timur")</f>
        <v>JL Raya Kertajaya Indah 153 / P116, Gebang Putih, Sukokilo, Kota Surabaya, Jawa Timur</v>
      </c>
      <c r="W315" s="211" t="str">
        <f>IFERROR(__xludf.DUMMYFUNCTION("""COMPUTED_VALUE"""),"IN")</f>
        <v>IN</v>
      </c>
      <c r="X315" s="211"/>
      <c r="Z315" s="211" t="str">
        <f>IFERROR(__xludf.DUMMYFUNCTION("""COMPUTED_VALUE"""),"0126122396")</f>
        <v>0126122396</v>
      </c>
      <c r="AC315" s="211"/>
      <c r="AD315" s="211"/>
      <c r="AE315" s="211"/>
      <c r="AF315" s="211"/>
      <c r="AG315" s="211"/>
      <c r="AH315" s="211"/>
      <c r="AI315" s="211"/>
      <c r="AJ315" s="211"/>
      <c r="AL315" s="211"/>
      <c r="AM315" s="211"/>
      <c r="AN315" s="211"/>
      <c r="AO315" s="211"/>
      <c r="AP315" s="215"/>
      <c r="AQ315" s="218"/>
      <c r="AR315" s="211"/>
      <c r="AS315" s="211"/>
      <c r="AT315" s="211"/>
      <c r="AU315" s="211"/>
      <c r="AV315" s="211"/>
      <c r="AW315" s="211"/>
      <c r="AX315" s="211"/>
      <c r="AY315" s="211"/>
      <c r="AZ315" s="211"/>
      <c r="BB315" s="211"/>
      <c r="BC315" s="211"/>
      <c r="BD315" s="211"/>
      <c r="BE315" s="211"/>
      <c r="BF315" s="211"/>
      <c r="BG315" s="211"/>
      <c r="BH315" s="211"/>
      <c r="BI315" s="211"/>
    </row>
    <row r="316">
      <c r="A316" s="210" t="str">
        <f>IFERROR(__xludf.DUMMYFUNCTION("""COMPUTED_VALUE"""),"12240143")</f>
        <v>12240143</v>
      </c>
      <c r="B316" s="210" t="str">
        <f>IFERROR(__xludf.DUMMYFUNCTION("""COMPUTED_VALUE"""),"12240143")</f>
        <v>12240143</v>
      </c>
      <c r="C316" s="213">
        <f>IFERROR(__xludf.DUMMYFUNCTION("""COMPUTED_VALUE"""),45629.490277777775)</f>
        <v>45629.49028</v>
      </c>
      <c r="D316" s="211" t="str">
        <f>IFERROR(__xludf.DUMMYFUNCTION("""COMPUTED_VALUE"""),"2a67569a")</f>
        <v>2a67569a</v>
      </c>
      <c r="E316" s="211" t="str">
        <f>IFERROR(__xludf.DUMMYFUNCTION("""COMPUTED_VALUE"""),"PT REKAYASA CAHAYA CEMERLANG")</f>
        <v>PT REKAYASA CAHAYA CEMERLANG</v>
      </c>
      <c r="F316" s="211" t="str">
        <f>IFERROR(__xludf.DUMMYFUNCTION("""COMPUTED_VALUE"""),"63a8dbcf")</f>
        <v>63a8dbcf</v>
      </c>
      <c r="G316" s="211" t="str">
        <f>IFERROR(__xludf.DUMMYFUNCTION("""COMPUTED_VALUE"""),"Tabung 6m3 + CO2")</f>
        <v>Tabung 6m3 + CO2</v>
      </c>
      <c r="H316" s="214" t="str">
        <f>IFERROR(__xludf.DUMMYFUNCTION("""COMPUTED_VALUE"""),"OUT")</f>
        <v>OUT</v>
      </c>
      <c r="I316" s="214" t="str">
        <f>IFERROR(__xludf.DUMMYFUNCTION("""COMPUTED_VALUE"""),"NORMAL")</f>
        <v>NORMAL</v>
      </c>
      <c r="J316" s="211">
        <f>IFERROR(__xludf.DUMMYFUNCTION("""COMPUTED_VALUE"""),1.0)</f>
        <v>1</v>
      </c>
      <c r="K316" s="210" t="str">
        <f>IFERROR(__xludf.DUMMYFUNCTION("""COMPUTED_VALUE"""),"6001")</f>
        <v>6001</v>
      </c>
      <c r="L316" s="211"/>
      <c r="M316" s="211"/>
      <c r="N316" s="211"/>
      <c r="O316" s="211"/>
      <c r="Q316" s="210" t="str">
        <f>IFERROR(__xludf.DUMMYFUNCTION("""COMPUTED_VALUE"""),"08a39cf1")</f>
        <v>08a39cf1</v>
      </c>
      <c r="R316" s="210" t="str">
        <f>IFERROR(__xludf.DUMMYFUNCTION("""COMPUTED_VALUE"""),"08a39cf1")</f>
        <v>08a39cf1</v>
      </c>
      <c r="S316" s="211" t="str">
        <f>IFERROR(__xludf.DUMMYFUNCTION("""COMPUTED_VALUE"""),"3fec37df")</f>
        <v>3fec37df</v>
      </c>
      <c r="T316" s="211" t="str">
        <f>IFERROR(__xludf.DUMMYFUNCTION("""COMPUTED_VALUE"""),"PT Jatim Abadi Perkasa Steel")</f>
        <v>PT Jatim Abadi Perkasa Steel</v>
      </c>
      <c r="U316" s="215">
        <f>IFERROR(__xludf.DUMMYFUNCTION("""COMPUTED_VALUE"""),45657.523611111115)</f>
        <v>45657.52361</v>
      </c>
      <c r="V316" s="211" t="str">
        <f>IFERROR(__xludf.DUMMYFUNCTION("""COMPUTED_VALUE"""),"Dsn. Bulak Sempuh, Jatirejo, Kab. Mojokerto, Jawa Timur")</f>
        <v>Dsn. Bulak Sempuh, Jatirejo, Kab. Mojokerto, Jawa Timur</v>
      </c>
      <c r="W316" s="211" t="str">
        <f>IFERROR(__xludf.DUMMYFUNCTION("""COMPUTED_VALUE"""),"IN")</f>
        <v>IN</v>
      </c>
      <c r="X316" s="211"/>
      <c r="Z316" s="211" t="str">
        <f>IFERROR(__xludf.DUMMYFUNCTION("""COMPUTED_VALUE"""),"012642393")</f>
        <v>012642393</v>
      </c>
      <c r="AC316" s="211"/>
      <c r="AD316" s="211"/>
      <c r="AE316" s="211"/>
      <c r="AF316" s="211"/>
      <c r="AG316" s="211"/>
      <c r="AH316" s="211"/>
      <c r="AI316" s="211"/>
      <c r="AJ316" s="211"/>
      <c r="AL316" s="211"/>
      <c r="AM316" s="211"/>
      <c r="AN316" s="211"/>
      <c r="AO316" s="211"/>
      <c r="AP316" s="215"/>
      <c r="AQ316" s="218"/>
      <c r="AR316" s="211"/>
      <c r="AS316" s="211"/>
      <c r="AT316" s="211"/>
      <c r="AU316" s="211"/>
      <c r="AV316" s="211"/>
      <c r="AW316" s="211"/>
      <c r="AX316" s="211"/>
      <c r="AY316" s="211"/>
      <c r="AZ316" s="211"/>
      <c r="BB316" s="211"/>
      <c r="BC316" s="211"/>
      <c r="BD316" s="211"/>
      <c r="BE316" s="211"/>
      <c r="BF316" s="211"/>
      <c r="BG316" s="211"/>
      <c r="BH316" s="211"/>
      <c r="BI316" s="211"/>
    </row>
    <row r="317">
      <c r="A317" s="210" t="str">
        <f>IFERROR(__xludf.DUMMYFUNCTION("""COMPUTED_VALUE"""),"12240142")</f>
        <v>12240142</v>
      </c>
      <c r="B317" s="210" t="str">
        <f>IFERROR(__xludf.DUMMYFUNCTION("""COMPUTED_VALUE"""),"12240142")</f>
        <v>12240142</v>
      </c>
      <c r="C317" s="213">
        <f>IFERROR(__xludf.DUMMYFUNCTION("""COMPUTED_VALUE"""),45628.49166666667)</f>
        <v>45628.49167</v>
      </c>
      <c r="D317" s="211" t="str">
        <f>IFERROR(__xludf.DUMMYFUNCTION("""COMPUTED_VALUE"""),"2a67569a")</f>
        <v>2a67569a</v>
      </c>
      <c r="E317" s="211" t="str">
        <f>IFERROR(__xludf.DUMMYFUNCTION("""COMPUTED_VALUE"""),"PT REKAYASA CAHAYA CEMERLANG")</f>
        <v>PT REKAYASA CAHAYA CEMERLANG</v>
      </c>
      <c r="F317" s="211" t="str">
        <f>IFERROR(__xludf.DUMMYFUNCTION("""COMPUTED_VALUE"""),"be525f3b")</f>
        <v>be525f3b</v>
      </c>
      <c r="G317" s="211" t="str">
        <f>IFERROR(__xludf.DUMMYFUNCTION("""COMPUTED_VALUE"""),"LPG 12kg")</f>
        <v>LPG 12kg</v>
      </c>
      <c r="H317" s="214" t="str">
        <f>IFERROR(__xludf.DUMMYFUNCTION("""COMPUTED_VALUE"""),"OUT")</f>
        <v>OUT</v>
      </c>
      <c r="I317" s="214" t="str">
        <f>IFERROR(__xludf.DUMMYFUNCTION("""COMPUTED_VALUE"""),"NORMAL")</f>
        <v>NORMAL</v>
      </c>
      <c r="J317" s="211">
        <f>IFERROR(__xludf.DUMMYFUNCTION("""COMPUTED_VALUE"""),2.0)</f>
        <v>2</v>
      </c>
      <c r="K317" s="211"/>
      <c r="L317" s="211">
        <f>IFERROR(__xludf.DUMMYFUNCTION("""COMPUTED_VALUE"""),193693.69)</f>
        <v>193693.69</v>
      </c>
      <c r="M317" s="211"/>
      <c r="N317" s="211"/>
      <c r="O317" s="211"/>
      <c r="Q317" s="210" t="str">
        <f>IFERROR(__xludf.DUMMYFUNCTION("""COMPUTED_VALUE"""),"92cf32e7")</f>
        <v>92cf32e7</v>
      </c>
      <c r="R317" s="210" t="str">
        <f>IFERROR(__xludf.DUMMYFUNCTION("""COMPUTED_VALUE"""),"92cf32e7")</f>
        <v>92cf32e7</v>
      </c>
      <c r="S317" s="211" t="str">
        <f>IFERROR(__xludf.DUMMYFUNCTION("""COMPUTED_VALUE"""),"785e0e07")</f>
        <v>785e0e07</v>
      </c>
      <c r="T317" s="211" t="str">
        <f>IFERROR(__xludf.DUMMYFUNCTION("""COMPUTED_VALUE"""),"Bpk. Sukirno (Bejo)")</f>
        <v>Bpk. Sukirno (Bejo)</v>
      </c>
      <c r="U317" s="215">
        <f>IFERROR(__xludf.DUMMYFUNCTION("""COMPUTED_VALUE"""),45659.65763888889)</f>
        <v>45659.65764</v>
      </c>
      <c r="V317" s="211" t="str">
        <f>IFERROR(__xludf.DUMMYFUNCTION("""COMPUTED_VALUE"""),"Krajan I, Wringinanom, Kec. Wringinanom, Kabupaten Gresik, Jawa Timur 61176")</f>
        <v>Krajan I, Wringinanom, Kec. Wringinanom, Kabupaten Gresik, Jawa Timur 61176</v>
      </c>
      <c r="W317" s="211" t="str">
        <f>IFERROR(__xludf.DUMMYFUNCTION("""COMPUTED_VALUE"""),"IN")</f>
        <v>IN</v>
      </c>
      <c r="X317" s="211"/>
      <c r="Z317" s="211" t="str">
        <f>IFERROR(__xludf.DUMMYFUNCTION("""COMPUTED_VALUE"""),"012632391")</f>
        <v>012632391</v>
      </c>
      <c r="AC317" s="211"/>
      <c r="AD317" s="211"/>
      <c r="AE317" s="211"/>
      <c r="AF317" s="211"/>
      <c r="AG317" s="211"/>
      <c r="AH317" s="211"/>
      <c r="AI317" s="211"/>
      <c r="AJ317" s="211"/>
      <c r="AL317" s="211"/>
      <c r="AM317" s="211"/>
      <c r="AN317" s="211"/>
      <c r="AO317" s="211"/>
      <c r="AP317" s="215"/>
      <c r="AQ317" s="218"/>
      <c r="AR317" s="211"/>
      <c r="AS317" s="211"/>
      <c r="AT317" s="211"/>
      <c r="AU317" s="211"/>
      <c r="AV317" s="211"/>
      <c r="AW317" s="211"/>
      <c r="AX317" s="211"/>
      <c r="AY317" s="211"/>
      <c r="AZ317" s="211"/>
      <c r="BB317" s="211"/>
      <c r="BC317" s="211"/>
      <c r="BD317" s="211"/>
      <c r="BE317" s="211"/>
      <c r="BF317" s="211"/>
      <c r="BG317" s="211"/>
      <c r="BH317" s="211"/>
      <c r="BI317" s="211"/>
    </row>
    <row r="318">
      <c r="A318" s="210" t="str">
        <f>IFERROR(__xludf.DUMMYFUNCTION("""COMPUTED_VALUE"""),"12240145")</f>
        <v>12240145</v>
      </c>
      <c r="B318" s="210" t="str">
        <f>IFERROR(__xludf.DUMMYFUNCTION("""COMPUTED_VALUE"""),"12240145")</f>
        <v>12240145</v>
      </c>
      <c r="C318" s="213">
        <f>IFERROR(__xludf.DUMMYFUNCTION("""COMPUTED_VALUE"""),45628.51111111111)</f>
        <v>45628.51111</v>
      </c>
      <c r="D318" s="211" t="str">
        <f>IFERROR(__xludf.DUMMYFUNCTION("""COMPUTED_VALUE"""),"8f5ebaea")</f>
        <v>8f5ebaea</v>
      </c>
      <c r="E318" s="211" t="str">
        <f>IFERROR(__xludf.DUMMYFUNCTION("""COMPUTED_VALUE"""),"PT Hua Zong Mesindo")</f>
        <v>PT Hua Zong Mesindo</v>
      </c>
      <c r="F318" s="211" t="str">
        <f>IFERROR(__xludf.DUMMYFUNCTION("""COMPUTED_VALUE"""),"8bdbe149")</f>
        <v>8bdbe149</v>
      </c>
      <c r="G318" s="211" t="str">
        <f>IFERROR(__xludf.DUMMYFUNCTION("""COMPUTED_VALUE"""),"Oksigen 6m3")</f>
        <v>Oksigen 6m3</v>
      </c>
      <c r="H318" s="214" t="str">
        <f>IFERROR(__xludf.DUMMYFUNCTION("""COMPUTED_VALUE"""),"OUT")</f>
        <v>OUT</v>
      </c>
      <c r="I318" s="214" t="str">
        <f>IFERROR(__xludf.DUMMYFUNCTION("""COMPUTED_VALUE"""),"NORMAL")</f>
        <v>NORMAL</v>
      </c>
      <c r="J318" s="211">
        <f>IFERROR(__xludf.DUMMYFUNCTION("""COMPUTED_VALUE"""),4.0)</f>
        <v>4</v>
      </c>
      <c r="K318" s="210" t="str">
        <f>IFERROR(__xludf.DUMMYFUNCTION("""COMPUTED_VALUE"""),"11121 1190 1131 1112")</f>
        <v>11121 1190 1131 1112</v>
      </c>
      <c r="L318" s="211">
        <f>IFERROR(__xludf.DUMMYFUNCTION("""COMPUTED_VALUE"""),60000.0)</f>
        <v>60000</v>
      </c>
      <c r="M318" s="211"/>
      <c r="N318" s="211"/>
      <c r="O318" s="211"/>
      <c r="Q318" s="210" t="str">
        <f>IFERROR(__xludf.DUMMYFUNCTION("""COMPUTED_VALUE"""),"99bde67c")</f>
        <v>99bde67c</v>
      </c>
      <c r="R318" s="210" t="str">
        <f>IFERROR(__xludf.DUMMYFUNCTION("""COMPUTED_VALUE"""),"99bde67c")</f>
        <v>99bde67c</v>
      </c>
      <c r="S318" s="211" t="str">
        <f>IFERROR(__xludf.DUMMYFUNCTION("""COMPUTED_VALUE"""),"7b9d8eba")</f>
        <v>7b9d8eba</v>
      </c>
      <c r="T318" s="211" t="str">
        <f>IFERROR(__xludf.DUMMYFUNCTION("""COMPUTED_VALUE"""),"PT PELANGI INDOKARYA")</f>
        <v>PT PELANGI INDOKARYA</v>
      </c>
      <c r="U318" s="215">
        <f>IFERROR(__xludf.DUMMYFUNCTION("""COMPUTED_VALUE"""),45659.65833333333)</f>
        <v>45659.65833</v>
      </c>
      <c r="V31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318" s="211" t="str">
        <f>IFERROR(__xludf.DUMMYFUNCTION("""COMPUTED_VALUE"""),"IN")</f>
        <v>IN</v>
      </c>
      <c r="X318" s="211"/>
      <c r="Z318" s="211" t="str">
        <f>IFERROR(__xludf.DUMMYFUNCTION("""COMPUTED_VALUE"""),"012672390")</f>
        <v>012672390</v>
      </c>
      <c r="AC318" s="211"/>
      <c r="AD318" s="211"/>
      <c r="AE318" s="211"/>
      <c r="AF318" s="211"/>
      <c r="AG318" s="211"/>
      <c r="AH318" s="211"/>
      <c r="AI318" s="211"/>
      <c r="AJ318" s="211"/>
      <c r="AL318" s="211"/>
      <c r="AM318" s="211"/>
      <c r="AN318" s="211"/>
      <c r="AO318" s="211"/>
      <c r="AP318" s="215"/>
      <c r="AQ318" s="218"/>
      <c r="AR318" s="211"/>
      <c r="AS318" s="211"/>
      <c r="AT318" s="211"/>
      <c r="AU318" s="211"/>
      <c r="AV318" s="211"/>
      <c r="AW318" s="211"/>
      <c r="AX318" s="211"/>
      <c r="AY318" s="211"/>
      <c r="AZ318" s="211"/>
      <c r="BB318" s="211"/>
      <c r="BC318" s="211"/>
      <c r="BD318" s="211"/>
      <c r="BE318" s="211"/>
      <c r="BF318" s="211"/>
      <c r="BG318" s="211"/>
      <c r="BH318" s="211"/>
      <c r="BI318" s="211"/>
    </row>
    <row r="319">
      <c r="A319" s="210" t="str">
        <f>IFERROR(__xludf.DUMMYFUNCTION("""COMPUTED_VALUE"""),"12240146")</f>
        <v>12240146</v>
      </c>
      <c r="B319" s="210" t="str">
        <f>IFERROR(__xludf.DUMMYFUNCTION("""COMPUTED_VALUE"""),"12240146")</f>
        <v>12240146</v>
      </c>
      <c r="C319" s="213">
        <f>IFERROR(__xludf.DUMMYFUNCTION("""COMPUTED_VALUE"""),45628.51111111111)</f>
        <v>45628.51111</v>
      </c>
      <c r="D319" s="211" t="str">
        <f>IFERROR(__xludf.DUMMYFUNCTION("""COMPUTED_VALUE"""),"785e0e07")</f>
        <v>785e0e07</v>
      </c>
      <c r="E319" s="211" t="str">
        <f>IFERROR(__xludf.DUMMYFUNCTION("""COMPUTED_VALUE"""),"Bpk. Sukirno (Bejo)")</f>
        <v>Bpk. Sukirno (Bejo)</v>
      </c>
      <c r="F319" s="211" t="str">
        <f>IFERROR(__xludf.DUMMYFUNCTION("""COMPUTED_VALUE"""),"8bdbe149")</f>
        <v>8bdbe149</v>
      </c>
      <c r="G319" s="211" t="str">
        <f>IFERROR(__xludf.DUMMYFUNCTION("""COMPUTED_VALUE"""),"Oksigen 6m3")</f>
        <v>Oksigen 6m3</v>
      </c>
      <c r="H319" s="214" t="str">
        <f>IFERROR(__xludf.DUMMYFUNCTION("""COMPUTED_VALUE"""),"OUT")</f>
        <v>OUT</v>
      </c>
      <c r="I319" s="214" t="str">
        <f>IFERROR(__xludf.DUMMYFUNCTION("""COMPUTED_VALUE"""),"NORMAL")</f>
        <v>NORMAL</v>
      </c>
      <c r="J319" s="211">
        <f>IFERROR(__xludf.DUMMYFUNCTION("""COMPUTED_VALUE"""),15.0)</f>
        <v>15</v>
      </c>
      <c r="K319" s="210" t="str">
        <f>IFERROR(__xludf.DUMMYFUNCTION("""COMPUTED_VALUE"""),"1129 11115 1124 5815 1167 1368 11104 1140 11163 11145 11160 11151 11165 11146 11139")</f>
        <v>1129 11115 1124 5815 1167 1368 11104 1140 11163 11145 11160 11151 11165 11146 11139</v>
      </c>
      <c r="L319" s="211">
        <f>IFERROR(__xludf.DUMMYFUNCTION("""COMPUTED_VALUE"""),60000.0)</f>
        <v>60000</v>
      </c>
      <c r="M319" s="211"/>
      <c r="N319" s="211"/>
      <c r="O319" s="211"/>
      <c r="Q319" s="210" t="str">
        <f>IFERROR(__xludf.DUMMYFUNCTION("""COMPUTED_VALUE"""),"fa4e8691")</f>
        <v>fa4e8691</v>
      </c>
      <c r="R319" s="210" t="str">
        <f>IFERROR(__xludf.DUMMYFUNCTION("""COMPUTED_VALUE"""),"fa4e8691")</f>
        <v>fa4e8691</v>
      </c>
      <c r="S319" s="211" t="str">
        <f>IFERROR(__xludf.DUMMYFUNCTION("""COMPUTED_VALUE"""),"f8335a53")</f>
        <v>f8335a53</v>
      </c>
      <c r="T319" s="211" t="str">
        <f>IFERROR(__xludf.DUMMYFUNCTION("""COMPUTED_VALUE"""),"CV RAGAM JAYA ENGINEERING")</f>
        <v>CV RAGAM JAYA ENGINEERING</v>
      </c>
      <c r="U319" s="215">
        <f>IFERROR(__xludf.DUMMYFUNCTION("""COMPUTED_VALUE"""),45659.65833333333)</f>
        <v>45659.65833</v>
      </c>
      <c r="V319" s="211" t="str">
        <f>IFERROR(__xludf.DUMMYFUNCTION("""COMPUTED_VALUE"""),"Jl. Balung wangon, Dadapkuning, Bulurejo, Kec. Benjeng, Kabupaten Gresik, Jawa Timur 61172")</f>
        <v>Jl. Balung wangon, Dadapkuning, Bulurejo, Kec. Benjeng, Kabupaten Gresik, Jawa Timur 61172</v>
      </c>
      <c r="W319" s="211" t="str">
        <f>IFERROR(__xludf.DUMMYFUNCTION("""COMPUTED_VALUE"""),"IN")</f>
        <v>IN</v>
      </c>
      <c r="X319" s="211"/>
      <c r="Z319" s="211" t="str">
        <f>IFERROR(__xludf.DUMMYFUNCTION("""COMPUTED_VALUE"""),"0126182382")</f>
        <v>0126182382</v>
      </c>
      <c r="AC319" s="211"/>
      <c r="AD319" s="211"/>
      <c r="AE319" s="211"/>
      <c r="AF319" s="211"/>
      <c r="AG319" s="211"/>
      <c r="AH319" s="211"/>
      <c r="AI319" s="211"/>
      <c r="AJ319" s="211"/>
      <c r="AL319" s="211"/>
      <c r="AM319" s="211"/>
      <c r="AN319" s="211"/>
      <c r="AO319" s="211"/>
      <c r="AP319" s="215"/>
      <c r="AQ319" s="218"/>
      <c r="AR319" s="211"/>
      <c r="AS319" s="211"/>
      <c r="AT319" s="211"/>
      <c r="AU319" s="211"/>
      <c r="AV319" s="211"/>
      <c r="AW319" s="211"/>
      <c r="AX319" s="211"/>
      <c r="AY319" s="211"/>
      <c r="AZ319" s="211"/>
      <c r="BB319" s="211"/>
      <c r="BC319" s="211"/>
      <c r="BD319" s="211"/>
      <c r="BE319" s="211"/>
      <c r="BF319" s="211"/>
      <c r="BG319" s="211"/>
      <c r="BH319" s="211"/>
      <c r="BI319" s="211"/>
    </row>
    <row r="320">
      <c r="A320" s="210" t="str">
        <f>IFERROR(__xludf.DUMMYFUNCTION("""COMPUTED_VALUE"""),"681ade5e")</f>
        <v>681ade5e</v>
      </c>
      <c r="B320" s="210" t="str">
        <f>IFERROR(__xludf.DUMMYFUNCTION("""COMPUTED_VALUE"""),"681ade5e")</f>
        <v>681ade5e</v>
      </c>
      <c r="C320" s="213">
        <f>IFERROR(__xludf.DUMMYFUNCTION("""COMPUTED_VALUE"""),45628.6625)</f>
        <v>45628.6625</v>
      </c>
      <c r="D320" s="211" t="str">
        <f>IFERROR(__xludf.DUMMYFUNCTION("""COMPUTED_VALUE"""),"8f5ebaea")</f>
        <v>8f5ebaea</v>
      </c>
      <c r="E320" s="211" t="str">
        <f>IFERROR(__xludf.DUMMYFUNCTION("""COMPUTED_VALUE"""),"PT Hua Zong Mesindo")</f>
        <v>PT Hua Zong Mesindo</v>
      </c>
      <c r="F320" s="211" t="str">
        <f>IFERROR(__xludf.DUMMYFUNCTION("""COMPUTED_VALUE"""),"66af7c72")</f>
        <v>66af7c72</v>
      </c>
      <c r="G320" s="211" t="str">
        <f>IFERROR(__xludf.DUMMYFUNCTION("""COMPUTED_VALUE"""),"Argon 6m3")</f>
        <v>Argon 6m3</v>
      </c>
      <c r="H320" s="214" t="str">
        <f>IFERROR(__xludf.DUMMYFUNCTION("""COMPUTED_VALUE"""),"IN")</f>
        <v>IN</v>
      </c>
      <c r="I320" s="214" t="str">
        <f>IFERROR(__xludf.DUMMYFUNCTION("""COMPUTED_VALUE"""),"EMPTY")</f>
        <v>EMPTY</v>
      </c>
      <c r="J320" s="211">
        <f>IFERROR(__xludf.DUMMYFUNCTION("""COMPUTED_VALUE"""),1.0)</f>
        <v>1</v>
      </c>
      <c r="K320" s="210" t="str">
        <f>IFERROR(__xludf.DUMMYFUNCTION("""COMPUTED_VALUE"""),"8247")</f>
        <v>8247</v>
      </c>
      <c r="L320" s="211"/>
      <c r="M320" s="211"/>
      <c r="N320" s="211"/>
      <c r="O320" s="211"/>
      <c r="Q320" s="210" t="str">
        <f>IFERROR(__xludf.DUMMYFUNCTION("""COMPUTED_VALUE"""),"01250196")</f>
        <v>01250196</v>
      </c>
      <c r="R320" s="210" t="str">
        <f>IFERROR(__xludf.DUMMYFUNCTION("""COMPUTED_VALUE"""),"01250196")</f>
        <v>01250196</v>
      </c>
      <c r="S320" s="211" t="str">
        <f>IFERROR(__xludf.DUMMYFUNCTION("""COMPUTED_VALUE"""),"4bef3bbf")</f>
        <v>4bef3bbf</v>
      </c>
      <c r="T320" s="211" t="str">
        <f>IFERROR(__xludf.DUMMYFUNCTION("""COMPUTED_VALUE"""),"PT Dingsheng Metal Indonesia (Ngoro)")</f>
        <v>PT Dingsheng Metal Indonesia (Ngoro)</v>
      </c>
      <c r="U320" s="215">
        <f>IFERROR(__xludf.DUMMYFUNCTION("""COMPUTED_VALUE"""),45660.35555555555)</f>
        <v>45660.35556</v>
      </c>
      <c r="V320" s="211" t="str">
        <f>IFERROR(__xludf.DUMMYFUNCTION("""COMPUTED_VALUE"""),"Kri Kilan, Watesnegoro, Kec. Ngoro, Kabupaten Mojokerto, Jawa Timur 61385")</f>
        <v>Kri Kilan, Watesnegoro, Kec. Ngoro, Kabupaten Mojokerto, Jawa Timur 61385</v>
      </c>
      <c r="W320" s="211" t="str">
        <f>IFERROR(__xludf.DUMMYFUNCTION("""COMPUTED_VALUE"""),"OUT")</f>
        <v>OUT</v>
      </c>
      <c r="X320" s="211"/>
      <c r="Z320" s="211" t="str">
        <f>IFERROR(__xludf.DUMMYFUNCTION("""COMPUTED_VALUE"""),"0126222381")</f>
        <v>0126222381</v>
      </c>
      <c r="AC320" s="211"/>
      <c r="AD320" s="211"/>
      <c r="AE320" s="211"/>
      <c r="AF320" s="211"/>
      <c r="AG320" s="211"/>
      <c r="AH320" s="211"/>
      <c r="AI320" s="211"/>
      <c r="AJ320" s="211"/>
      <c r="AL320" s="211"/>
      <c r="AM320" s="211"/>
      <c r="AN320" s="211"/>
      <c r="AO320" s="211"/>
      <c r="AP320" s="215"/>
      <c r="AQ320" s="218"/>
      <c r="AR320" s="211"/>
      <c r="AS320" s="211"/>
      <c r="AT320" s="211"/>
      <c r="AU320" s="211"/>
      <c r="AV320" s="211"/>
      <c r="AW320" s="211"/>
      <c r="AX320" s="211"/>
      <c r="AY320" s="211"/>
      <c r="AZ320" s="211"/>
      <c r="BB320" s="211"/>
      <c r="BC320" s="211"/>
      <c r="BD320" s="211"/>
      <c r="BE320" s="211"/>
      <c r="BF320" s="211"/>
      <c r="BG320" s="211"/>
      <c r="BH320" s="211"/>
      <c r="BI320" s="211"/>
    </row>
    <row r="321">
      <c r="A321" s="210" t="str">
        <f>IFERROR(__xludf.DUMMYFUNCTION("""COMPUTED_VALUE"""),"681ade5e")</f>
        <v>681ade5e</v>
      </c>
      <c r="B321" s="210" t="str">
        <f>IFERROR(__xludf.DUMMYFUNCTION("""COMPUTED_VALUE"""),"681ade5e")</f>
        <v>681ade5e</v>
      </c>
      <c r="C321" s="213">
        <f>IFERROR(__xludf.DUMMYFUNCTION("""COMPUTED_VALUE"""),45628.6625)</f>
        <v>45628.6625</v>
      </c>
      <c r="D321" s="211" t="str">
        <f>IFERROR(__xludf.DUMMYFUNCTION("""COMPUTED_VALUE"""),"8f5ebaea")</f>
        <v>8f5ebaea</v>
      </c>
      <c r="E321" s="211" t="str">
        <f>IFERROR(__xludf.DUMMYFUNCTION("""COMPUTED_VALUE"""),"PT Hua Zong Mesindo")</f>
        <v>PT Hua Zong Mesindo</v>
      </c>
      <c r="F321" s="211" t="str">
        <f>IFERROR(__xludf.DUMMYFUNCTION("""COMPUTED_VALUE"""),"8bdbe149")</f>
        <v>8bdbe149</v>
      </c>
      <c r="G321" s="211" t="str">
        <f>IFERROR(__xludf.DUMMYFUNCTION("""COMPUTED_VALUE"""),"Oksigen 6m3")</f>
        <v>Oksigen 6m3</v>
      </c>
      <c r="H321" s="214" t="str">
        <f>IFERROR(__xludf.DUMMYFUNCTION("""COMPUTED_VALUE"""),"IN")</f>
        <v>IN</v>
      </c>
      <c r="I321" s="214" t="str">
        <f>IFERROR(__xludf.DUMMYFUNCTION("""COMPUTED_VALUE"""),"EMPTY")</f>
        <v>EMPTY</v>
      </c>
      <c r="J321" s="211">
        <f>IFERROR(__xludf.DUMMYFUNCTION("""COMPUTED_VALUE"""),3.0)</f>
        <v>3</v>
      </c>
      <c r="K321" s="210" t="str">
        <f>IFERROR(__xludf.DUMMYFUNCTION("""COMPUTED_VALUE"""),"1181 1134 11103")</f>
        <v>1181 1134 11103</v>
      </c>
      <c r="L321" s="211"/>
      <c r="M321" s="211"/>
      <c r="N321" s="211"/>
      <c r="O321" s="211"/>
      <c r="Q321" s="210" t="str">
        <f>IFERROR(__xludf.DUMMYFUNCTION("""COMPUTED_VALUE"""),"01250197")</f>
        <v>01250197</v>
      </c>
      <c r="R321" s="210" t="str">
        <f>IFERROR(__xludf.DUMMYFUNCTION("""COMPUTED_VALUE"""),"01250197")</f>
        <v>01250197</v>
      </c>
      <c r="S321" s="211" t="str">
        <f>IFERROR(__xludf.DUMMYFUNCTION("""COMPUTED_VALUE"""),"01158be1")</f>
        <v>01158be1</v>
      </c>
      <c r="T321" s="211" t="str">
        <f>IFERROR(__xludf.DUMMYFUNCTION("""COMPUTED_VALUE"""),"GYF")</f>
        <v>GYF</v>
      </c>
      <c r="U321" s="215">
        <f>IFERROR(__xludf.DUMMYFUNCTION("""COMPUTED_VALUE"""),45660.46319444444)</f>
        <v>45660.46319</v>
      </c>
      <c r="V321" s="211" t="str">
        <f>IFERROR(__xludf.DUMMYFUNCTION("""COMPUTED_VALUE"""),"Kangkungan, Lengkong, Kec. Mojoanyar, Kabupaten Mojokerto, Jawa Timur")</f>
        <v>Kangkungan, Lengkong, Kec. Mojoanyar, Kabupaten Mojokerto, Jawa Timur</v>
      </c>
      <c r="W321" s="211" t="str">
        <f>IFERROR(__xludf.DUMMYFUNCTION("""COMPUTED_VALUE"""),"OUT")</f>
        <v>OUT</v>
      </c>
      <c r="X321" s="211"/>
      <c r="Z321" s="211" t="str">
        <f>IFERROR(__xludf.DUMMYFUNCTION("""COMPUTED_VALUE"""),"0126202380")</f>
        <v>0126202380</v>
      </c>
      <c r="AC321" s="211"/>
      <c r="AD321" s="211"/>
      <c r="AE321" s="211"/>
      <c r="AF321" s="211"/>
      <c r="AG321" s="211"/>
      <c r="AH321" s="211"/>
      <c r="AI321" s="211"/>
      <c r="AJ321" s="211"/>
      <c r="AL321" s="211"/>
      <c r="AM321" s="211"/>
      <c r="AN321" s="211"/>
      <c r="AO321" s="211"/>
      <c r="AP321" s="215"/>
      <c r="AQ321" s="218"/>
      <c r="AR321" s="211"/>
      <c r="AS321" s="211"/>
      <c r="AT321" s="211"/>
      <c r="AU321" s="211"/>
      <c r="AV321" s="211"/>
      <c r="AW321" s="211"/>
      <c r="AX321" s="211"/>
      <c r="AY321" s="211"/>
      <c r="AZ321" s="211"/>
      <c r="BB321" s="211"/>
      <c r="BC321" s="211"/>
      <c r="BD321" s="211"/>
      <c r="BE321" s="211"/>
      <c r="BF321" s="211"/>
      <c r="BG321" s="211"/>
      <c r="BH321" s="211"/>
      <c r="BI321" s="211"/>
    </row>
    <row r="322">
      <c r="A322" s="210" t="str">
        <f>IFERROR(__xludf.DUMMYFUNCTION("""COMPUTED_VALUE"""),"c904b1fc")</f>
        <v>c904b1fc</v>
      </c>
      <c r="B322" s="210" t="str">
        <f>IFERROR(__xludf.DUMMYFUNCTION("""COMPUTED_VALUE"""),"c904b1fc")</f>
        <v>c904b1fc</v>
      </c>
      <c r="C322" s="213">
        <f>IFERROR(__xludf.DUMMYFUNCTION("""COMPUTED_VALUE"""),45628.663194444445)</f>
        <v>45628.66319</v>
      </c>
      <c r="D322" s="211" t="str">
        <f>IFERROR(__xludf.DUMMYFUNCTION("""COMPUTED_VALUE"""),"2a67569a")</f>
        <v>2a67569a</v>
      </c>
      <c r="E322" s="211" t="str">
        <f>IFERROR(__xludf.DUMMYFUNCTION("""COMPUTED_VALUE"""),"PT REKAYASA CAHAYA CEMERLANG")</f>
        <v>PT REKAYASA CAHAYA CEMERLANG</v>
      </c>
      <c r="F322" s="211" t="str">
        <f>IFERROR(__xludf.DUMMYFUNCTION("""COMPUTED_VALUE"""),"be525f3b")</f>
        <v>be525f3b</v>
      </c>
      <c r="G322" s="211" t="str">
        <f>IFERROR(__xludf.DUMMYFUNCTION("""COMPUTED_VALUE"""),"LPG 12kg")</f>
        <v>LPG 12kg</v>
      </c>
      <c r="H322" s="214" t="str">
        <f>IFERROR(__xludf.DUMMYFUNCTION("""COMPUTED_VALUE"""),"IN")</f>
        <v>IN</v>
      </c>
      <c r="I322" s="214" t="str">
        <f>IFERROR(__xludf.DUMMYFUNCTION("""COMPUTED_VALUE"""),"EMPTY")</f>
        <v>EMPTY</v>
      </c>
      <c r="J322" s="211">
        <f>IFERROR(__xludf.DUMMYFUNCTION("""COMPUTED_VALUE"""),2.0)</f>
        <v>2</v>
      </c>
      <c r="K322" s="211"/>
      <c r="L322" s="211"/>
      <c r="M322" s="211"/>
      <c r="N322" s="211"/>
      <c r="O322" s="211"/>
      <c r="Q322" s="210" t="str">
        <f>IFERROR(__xludf.DUMMYFUNCTION("""COMPUTED_VALUE"""),"0c7c697b")</f>
        <v>0c7c697b</v>
      </c>
      <c r="R322" s="210" t="str">
        <f>IFERROR(__xludf.DUMMYFUNCTION("""COMPUTED_VALUE"""),"0c7c697b")</f>
        <v>0c7c697b</v>
      </c>
      <c r="S322" s="211" t="str">
        <f>IFERROR(__xludf.DUMMYFUNCTION("""COMPUTED_VALUE"""),"f01dab70")</f>
        <v>f01dab70</v>
      </c>
      <c r="T322" s="211" t="str">
        <f>IFERROR(__xludf.DUMMYFUNCTION("""COMPUTED_VALUE"""),"Bpk. Yudi")</f>
        <v>Bpk. Yudi</v>
      </c>
      <c r="U322" s="215">
        <f>IFERROR(__xludf.DUMMYFUNCTION("""COMPUTED_VALUE"""),45660.49722222222)</f>
        <v>45660.49722</v>
      </c>
      <c r="V322" s="211" t="str">
        <f>IFERROR(__xludf.DUMMYFUNCTION("""COMPUTED_VALUE"""),"Bandilan, Simogirang, Kec. Prambon, Kabupaten Sidoarjo, Jawa Timur 61264")</f>
        <v>Bandilan, Simogirang, Kec. Prambon, Kabupaten Sidoarjo, Jawa Timur 61264</v>
      </c>
      <c r="W322" s="211" t="str">
        <f>IFERROR(__xludf.DUMMYFUNCTION("""COMPUTED_VALUE"""),"IN")</f>
        <v>IN</v>
      </c>
      <c r="X322" s="211"/>
      <c r="Z322" s="211" t="str">
        <f>IFERROR(__xludf.DUMMYFUNCTION("""COMPUTED_VALUE"""),"012632379")</f>
        <v>012632379</v>
      </c>
      <c r="AC322" s="211"/>
      <c r="AD322" s="211"/>
      <c r="AE322" s="211"/>
      <c r="AF322" s="211"/>
      <c r="AG322" s="211"/>
      <c r="AH322" s="211"/>
      <c r="AI322" s="211"/>
      <c r="AJ322" s="211"/>
      <c r="AL322" s="211"/>
      <c r="AM322" s="211"/>
      <c r="AN322" s="211"/>
      <c r="AO322" s="211"/>
      <c r="AP322" s="215"/>
      <c r="AQ322" s="218"/>
      <c r="AR322" s="211"/>
      <c r="AS322" s="211"/>
      <c r="AT322" s="211"/>
      <c r="AU322" s="211"/>
      <c r="AV322" s="211"/>
      <c r="AW322" s="211"/>
      <c r="AX322" s="211"/>
      <c r="AY322" s="211"/>
      <c r="AZ322" s="211"/>
      <c r="BB322" s="211"/>
      <c r="BC322" s="211"/>
      <c r="BD322" s="211"/>
      <c r="BE322" s="211"/>
      <c r="BF322" s="211"/>
      <c r="BG322" s="211"/>
      <c r="BH322" s="211"/>
      <c r="BI322" s="211"/>
    </row>
    <row r="323">
      <c r="A323" s="210" t="str">
        <f>IFERROR(__xludf.DUMMYFUNCTION("""COMPUTED_VALUE"""),"63446fed")</f>
        <v>63446fed</v>
      </c>
      <c r="B323" s="210" t="str">
        <f>IFERROR(__xludf.DUMMYFUNCTION("""COMPUTED_VALUE"""),"63446fed")</f>
        <v>63446fed</v>
      </c>
      <c r="C323" s="213">
        <f>IFERROR(__xludf.DUMMYFUNCTION("""COMPUTED_VALUE"""),45628.669444444444)</f>
        <v>45628.66944</v>
      </c>
      <c r="D323" s="211" t="str">
        <f>IFERROR(__xludf.DUMMYFUNCTION("""COMPUTED_VALUE"""),"785e0e07")</f>
        <v>785e0e07</v>
      </c>
      <c r="E323" s="211" t="str">
        <f>IFERROR(__xludf.DUMMYFUNCTION("""COMPUTED_VALUE"""),"Bpk. Sukirno (Bejo)")</f>
        <v>Bpk. Sukirno (Bejo)</v>
      </c>
      <c r="F323" s="211" t="str">
        <f>IFERROR(__xludf.DUMMYFUNCTION("""COMPUTED_VALUE"""),"8bdbe149")</f>
        <v>8bdbe149</v>
      </c>
      <c r="G323" s="211" t="str">
        <f>IFERROR(__xludf.DUMMYFUNCTION("""COMPUTED_VALUE"""),"Oksigen 6m3")</f>
        <v>Oksigen 6m3</v>
      </c>
      <c r="H323" s="214" t="str">
        <f>IFERROR(__xludf.DUMMYFUNCTION("""COMPUTED_VALUE"""),"IN")</f>
        <v>IN</v>
      </c>
      <c r="I323" s="214" t="str">
        <f>IFERROR(__xludf.DUMMYFUNCTION("""COMPUTED_VALUE"""),"EMPTY")</f>
        <v>EMPTY</v>
      </c>
      <c r="J323" s="211">
        <f>IFERROR(__xludf.DUMMYFUNCTION("""COMPUTED_VALUE"""),17.0)</f>
        <v>17</v>
      </c>
      <c r="K323" s="210" t="str">
        <f>IFERROR(__xludf.DUMMYFUNCTION("""COMPUTED_VALUE"""),"1536 1324 1532 5298 5750 1057 1502 11133 1173 1193 1165 1111 11123 11108 11127 11131")</f>
        <v>1536 1324 1532 5298 5750 1057 1502 11133 1173 1193 1165 1111 11123 11108 11127 11131</v>
      </c>
      <c r="L323" s="211"/>
      <c r="M323" s="211"/>
      <c r="N323" s="211"/>
      <c r="O323" s="211"/>
      <c r="Q323" s="210" t="str">
        <f>IFERROR(__xludf.DUMMYFUNCTION("""COMPUTED_VALUE"""),"01250198")</f>
        <v>01250198</v>
      </c>
      <c r="R323" s="210" t="str">
        <f>IFERROR(__xludf.DUMMYFUNCTION("""COMPUTED_VALUE"""),"01250198")</f>
        <v>01250198</v>
      </c>
      <c r="S323" s="211" t="str">
        <f>IFERROR(__xludf.DUMMYFUNCTION("""COMPUTED_VALUE"""),"2d88931c")</f>
        <v>2d88931c</v>
      </c>
      <c r="T323" s="211" t="str">
        <f>IFERROR(__xludf.DUMMYFUNCTION("""COMPUTED_VALUE"""),"PT Dunia Berkat Marga Mulya")</f>
        <v>PT Dunia Berkat Marga Mulya</v>
      </c>
      <c r="U323" s="215">
        <f>IFERROR(__xludf.DUMMYFUNCTION("""COMPUTED_VALUE"""),45660.524305555555)</f>
        <v>45660.52431</v>
      </c>
      <c r="V323" s="211" t="str">
        <f>IFERROR(__xludf.DUMMYFUNCTION("""COMPUTED_VALUE"""),"JL JABARAN, WATESARI, BALONGBENDO, SIDOARJO, JAWA TIMUR")</f>
        <v>JL JABARAN, WATESARI, BALONGBENDO, SIDOARJO, JAWA TIMUR</v>
      </c>
      <c r="W323" s="211" t="str">
        <f>IFERROR(__xludf.DUMMYFUNCTION("""COMPUTED_VALUE"""),"OUT")</f>
        <v>OUT</v>
      </c>
      <c r="X323" s="211"/>
      <c r="Z323" s="211" t="str">
        <f>IFERROR(__xludf.DUMMYFUNCTION("""COMPUTED_VALUE"""),"012662377")</f>
        <v>012662377</v>
      </c>
      <c r="AC323" s="211"/>
      <c r="AD323" s="211"/>
      <c r="AE323" s="211"/>
      <c r="AF323" s="211"/>
      <c r="AG323" s="211"/>
      <c r="AH323" s="211"/>
      <c r="AI323" s="211"/>
      <c r="AJ323" s="211"/>
      <c r="AL323" s="211"/>
      <c r="AM323" s="211"/>
      <c r="AN323" s="211"/>
      <c r="AO323" s="211"/>
      <c r="AP323" s="215"/>
      <c r="AQ323" s="218"/>
      <c r="AR323" s="211"/>
      <c r="AS323" s="211"/>
      <c r="AT323" s="211"/>
      <c r="AU323" s="211"/>
      <c r="AV323" s="211"/>
      <c r="AW323" s="211"/>
      <c r="AX323" s="211"/>
      <c r="AY323" s="211"/>
      <c r="AZ323" s="211"/>
      <c r="BB323" s="211"/>
      <c r="BC323" s="211"/>
      <c r="BD323" s="211"/>
      <c r="BE323" s="211"/>
      <c r="BF323" s="211"/>
      <c r="BG323" s="211"/>
      <c r="BH323" s="211"/>
      <c r="BI323" s="211"/>
    </row>
    <row r="324">
      <c r="A324" s="210" t="str">
        <f>IFERROR(__xludf.DUMMYFUNCTION("""COMPUTED_VALUE"""),"ca93019b")</f>
        <v>ca93019b</v>
      </c>
      <c r="B324" s="210" t="str">
        <f>IFERROR(__xludf.DUMMYFUNCTION("""COMPUTED_VALUE"""),"ca93019b")</f>
        <v>ca93019b</v>
      </c>
      <c r="C324" s="213">
        <f>IFERROR(__xludf.DUMMYFUNCTION("""COMPUTED_VALUE"""),45629.520833333336)</f>
        <v>45629.52083</v>
      </c>
      <c r="D324" s="211" t="str">
        <f>IFERROR(__xludf.DUMMYFUNCTION("""COMPUTED_VALUE"""),"72d9a70c")</f>
        <v>72d9a70c</v>
      </c>
      <c r="E324" s="211" t="str">
        <f>IFERROR(__xludf.DUMMYFUNCTION("""COMPUTED_VALUE"""),"PT Beton Prima Indonesia")</f>
        <v>PT Beton Prima Indonesia</v>
      </c>
      <c r="F324" s="211" t="str">
        <f>IFERROR(__xludf.DUMMYFUNCTION("""COMPUTED_VALUE"""),"8bdbe149")</f>
        <v>8bdbe149</v>
      </c>
      <c r="G324" s="211" t="str">
        <f>IFERROR(__xludf.DUMMYFUNCTION("""COMPUTED_VALUE"""),"Oksigen 6m3")</f>
        <v>Oksigen 6m3</v>
      </c>
      <c r="H324" s="214" t="str">
        <f>IFERROR(__xludf.DUMMYFUNCTION("""COMPUTED_VALUE"""),"IN")</f>
        <v>IN</v>
      </c>
      <c r="I324" s="214" t="str">
        <f>IFERROR(__xludf.DUMMYFUNCTION("""COMPUTED_VALUE"""),"EMPTY")</f>
        <v>EMPTY</v>
      </c>
      <c r="J324" s="211">
        <f>IFERROR(__xludf.DUMMYFUNCTION("""COMPUTED_VALUE"""),15.0)</f>
        <v>15</v>
      </c>
      <c r="K324" s="210" t="str">
        <f>IFERROR(__xludf.DUMMYFUNCTION("""COMPUTED_VALUE"""),"11129 11135 11142 11111 1117 11170 11172 11173 11136 11140 11113 11143 1168 1128 11109")</f>
        <v>11129 11135 11142 11111 1117 11170 11172 11173 11136 11140 11113 11143 1168 1128 11109</v>
      </c>
      <c r="L324" s="211"/>
      <c r="M324" s="211"/>
      <c r="N324" s="211"/>
      <c r="O324" s="211"/>
      <c r="Q324" s="210" t="str">
        <f>IFERROR(__xludf.DUMMYFUNCTION("""COMPUTED_VALUE"""),"8bdd2522")</f>
        <v>8bdd2522</v>
      </c>
      <c r="R324" s="210" t="str">
        <f>IFERROR(__xludf.DUMMYFUNCTION("""COMPUTED_VALUE"""),"8bdd2522")</f>
        <v>8bdd2522</v>
      </c>
      <c r="S324" s="211" t="str">
        <f>IFERROR(__xludf.DUMMYFUNCTION("""COMPUTED_VALUE"""),"17af2683")</f>
        <v>17af2683</v>
      </c>
      <c r="T324" s="211" t="str">
        <f>IFERROR(__xludf.DUMMYFUNCTION("""COMPUTED_VALUE"""),"H. Fatoni")</f>
        <v>H. Fatoni</v>
      </c>
      <c r="U324" s="215">
        <f>IFERROR(__xludf.DUMMYFUNCTION("""COMPUTED_VALUE"""),45660.58263888889)</f>
        <v>45660.58264</v>
      </c>
      <c r="V324" s="211" t="str">
        <f>IFERROR(__xludf.DUMMYFUNCTION("""COMPUTED_VALUE"""),"Watesari 015/003, Watesari, Balongbendo, Sidoarjo, Jawa Timur")</f>
        <v>Watesari 015/003, Watesari, Balongbendo, Sidoarjo, Jawa Timur</v>
      </c>
      <c r="W324" s="211" t="str">
        <f>IFERROR(__xludf.DUMMYFUNCTION("""COMPUTED_VALUE"""),"IN")</f>
        <v>IN</v>
      </c>
      <c r="X324" s="211"/>
      <c r="Z324" s="211" t="str">
        <f>IFERROR(__xludf.DUMMYFUNCTION("""COMPUTED_VALUE"""),"0126172376")</f>
        <v>0126172376</v>
      </c>
      <c r="AC324" s="211"/>
      <c r="AD324" s="211"/>
      <c r="AE324" s="211"/>
      <c r="AF324" s="211"/>
      <c r="AG324" s="211"/>
      <c r="AH324" s="211"/>
      <c r="AI324" s="211"/>
      <c r="AJ324" s="211"/>
      <c r="AL324" s="211"/>
      <c r="AM324" s="211"/>
      <c r="AN324" s="211"/>
      <c r="AO324" s="211"/>
      <c r="AP324" s="215"/>
      <c r="AQ324" s="218"/>
      <c r="AR324" s="211"/>
      <c r="AS324" s="211"/>
      <c r="AT324" s="211"/>
      <c r="AU324" s="211"/>
      <c r="AV324" s="211"/>
      <c r="AW324" s="211"/>
      <c r="AX324" s="211"/>
      <c r="AY324" s="211"/>
      <c r="AZ324" s="211"/>
      <c r="BB324" s="211"/>
      <c r="BC324" s="211"/>
      <c r="BD324" s="211"/>
      <c r="BE324" s="211"/>
      <c r="BF324" s="211"/>
      <c r="BG324" s="211"/>
      <c r="BH324" s="211"/>
      <c r="BI324" s="211"/>
    </row>
    <row r="325">
      <c r="A325" s="210" t="str">
        <f>IFERROR(__xludf.DUMMYFUNCTION("""COMPUTED_VALUE"""),"ca93019b")</f>
        <v>ca93019b</v>
      </c>
      <c r="B325" s="210" t="str">
        <f>IFERROR(__xludf.DUMMYFUNCTION("""COMPUTED_VALUE"""),"ca93019b")</f>
        <v>ca93019b</v>
      </c>
      <c r="C325" s="213">
        <f>IFERROR(__xludf.DUMMYFUNCTION("""COMPUTED_VALUE"""),45629.529861111114)</f>
        <v>45629.52986</v>
      </c>
      <c r="D325" s="211" t="str">
        <f>IFERROR(__xludf.DUMMYFUNCTION("""COMPUTED_VALUE"""),"72d9a70c")</f>
        <v>72d9a70c</v>
      </c>
      <c r="E325" s="211" t="str">
        <f>IFERROR(__xludf.DUMMYFUNCTION("""COMPUTED_VALUE"""),"PT Beton Prima Indonesia")</f>
        <v>PT Beton Prima Indonesia</v>
      </c>
      <c r="F325" s="211" t="str">
        <f>IFERROR(__xludf.DUMMYFUNCTION("""COMPUTED_VALUE"""),"3b9d6a30")</f>
        <v>3b9d6a30</v>
      </c>
      <c r="G325" s="211" t="str">
        <f>IFERROR(__xludf.DUMMYFUNCTION("""COMPUTED_VALUE"""),"Acetyline")</f>
        <v>Acetyline</v>
      </c>
      <c r="H325" s="214" t="str">
        <f>IFERROR(__xludf.DUMMYFUNCTION("""COMPUTED_VALUE"""),"IN")</f>
        <v>IN</v>
      </c>
      <c r="I325" s="214" t="str">
        <f>IFERROR(__xludf.DUMMYFUNCTION("""COMPUTED_VALUE"""),"EMPTY")</f>
        <v>EMPTY</v>
      </c>
      <c r="J325" s="211">
        <f>IFERROR(__xludf.DUMMYFUNCTION("""COMPUTED_VALUE"""),2.0)</f>
        <v>2</v>
      </c>
      <c r="K325" s="210" t="str">
        <f>IFERROR(__xludf.DUMMYFUNCTION("""COMPUTED_VALUE"""),"7838 7841")</f>
        <v>7838 7841</v>
      </c>
      <c r="L325" s="211"/>
      <c r="M325" s="211"/>
      <c r="N325" s="211"/>
      <c r="O325" s="211"/>
      <c r="Q325" s="210" t="str">
        <f>IFERROR(__xludf.DUMMYFUNCTION("""COMPUTED_VALUE"""),"dcde37f1")</f>
        <v>dcde37f1</v>
      </c>
      <c r="R325" s="210" t="str">
        <f>IFERROR(__xludf.DUMMYFUNCTION("""COMPUTED_VALUE"""),"dcde37f1")</f>
        <v>dcde37f1</v>
      </c>
      <c r="S325" s="211" t="str">
        <f>IFERROR(__xludf.DUMMYFUNCTION("""COMPUTED_VALUE"""),"2d88931c")</f>
        <v>2d88931c</v>
      </c>
      <c r="T325" s="211" t="str">
        <f>IFERROR(__xludf.DUMMYFUNCTION("""COMPUTED_VALUE"""),"PT Dunia Berkat Marga Mulya")</f>
        <v>PT Dunia Berkat Marga Mulya</v>
      </c>
      <c r="U325" s="215">
        <f>IFERROR(__xludf.DUMMYFUNCTION("""COMPUTED_VALUE"""),45660.58263888889)</f>
        <v>45660.58264</v>
      </c>
      <c r="V325" s="211" t="str">
        <f>IFERROR(__xludf.DUMMYFUNCTION("""COMPUTED_VALUE"""),"JL JABARAN, WATESARI, BALONGBENDO, SIDOARJO, JAWA TIMUR")</f>
        <v>JL JABARAN, WATESARI, BALONGBENDO, SIDOARJO, JAWA TIMUR</v>
      </c>
      <c r="W325" s="211" t="str">
        <f>IFERROR(__xludf.DUMMYFUNCTION("""COMPUTED_VALUE"""),"IN")</f>
        <v>IN</v>
      </c>
      <c r="X325" s="211"/>
      <c r="Z325" s="211" t="str">
        <f>IFERROR(__xludf.DUMMYFUNCTION("""COMPUTED_VALUE"""),"0126382375")</f>
        <v>0126382375</v>
      </c>
      <c r="AC325" s="211"/>
      <c r="AD325" s="211"/>
      <c r="AE325" s="211"/>
      <c r="AF325" s="211"/>
      <c r="AG325" s="211"/>
      <c r="AH325" s="211"/>
      <c r="AI325" s="211"/>
      <c r="AJ325" s="211"/>
      <c r="AL325" s="211"/>
      <c r="AM325" s="211"/>
      <c r="AN325" s="211"/>
      <c r="AO325" s="211"/>
      <c r="AP325" s="215"/>
      <c r="AQ325" s="218"/>
      <c r="AR325" s="211"/>
      <c r="AS325" s="211"/>
      <c r="AT325" s="211"/>
      <c r="AU325" s="211"/>
      <c r="AV325" s="211"/>
      <c r="AW325" s="211"/>
      <c r="AX325" s="211"/>
      <c r="AY325" s="211"/>
      <c r="AZ325" s="211"/>
      <c r="BB325" s="211"/>
      <c r="BC325" s="211"/>
      <c r="BD325" s="211"/>
      <c r="BE325" s="211"/>
      <c r="BF325" s="211"/>
      <c r="BG325" s="211"/>
      <c r="BH325" s="211"/>
      <c r="BI325" s="211"/>
    </row>
    <row r="326">
      <c r="A326" s="210" t="str">
        <f>IFERROR(__xludf.DUMMYFUNCTION("""COMPUTED_VALUE"""),"e2a1802e")</f>
        <v>e2a1802e</v>
      </c>
      <c r="B326" s="210" t="str">
        <f>IFERROR(__xludf.DUMMYFUNCTION("""COMPUTED_VALUE"""),"e2a1802e")</f>
        <v>e2a1802e</v>
      </c>
      <c r="C326" s="213">
        <f>IFERROR(__xludf.DUMMYFUNCTION("""COMPUTED_VALUE"""),45628.541666666664)</f>
        <v>45628.54167</v>
      </c>
      <c r="D326" s="211" t="str">
        <f>IFERROR(__xludf.DUMMYFUNCTION("""COMPUTED_VALUE"""),"e86baf3b")</f>
        <v>e86baf3b</v>
      </c>
      <c r="E326" s="211" t="str">
        <f>IFERROR(__xludf.DUMMYFUNCTION("""COMPUTED_VALUE"""),"PT GEMILANG CIPTA WAWASAN")</f>
        <v>PT GEMILANG CIPTA WAWASAN</v>
      </c>
      <c r="F326" s="211" t="str">
        <f>IFERROR(__xludf.DUMMYFUNCTION("""COMPUTED_VALUE"""),"be525f3b")</f>
        <v>be525f3b</v>
      </c>
      <c r="G326" s="211" t="str">
        <f>IFERROR(__xludf.DUMMYFUNCTION("""COMPUTED_VALUE"""),"LPG 12kg")</f>
        <v>LPG 12kg</v>
      </c>
      <c r="H326" s="214" t="str">
        <f>IFERROR(__xludf.DUMMYFUNCTION("""COMPUTED_VALUE"""),"IN")</f>
        <v>IN</v>
      </c>
      <c r="I326" s="214" t="str">
        <f>IFERROR(__xludf.DUMMYFUNCTION("""COMPUTED_VALUE"""),"EMPTY")</f>
        <v>EMPTY</v>
      </c>
      <c r="J326" s="211">
        <f>IFERROR(__xludf.DUMMYFUNCTION("""COMPUTED_VALUE"""),1.0)</f>
        <v>1</v>
      </c>
      <c r="K326" s="211"/>
      <c r="L326" s="211"/>
      <c r="M326" s="211"/>
      <c r="N326" s="211"/>
      <c r="O326" s="211"/>
      <c r="Q326" s="210" t="str">
        <f>IFERROR(__xludf.DUMMYFUNCTION("""COMPUTED_VALUE"""),"494d8771")</f>
        <v>494d8771</v>
      </c>
      <c r="R326" s="210" t="str">
        <f>IFERROR(__xludf.DUMMYFUNCTION("""COMPUTED_VALUE"""),"494d8771")</f>
        <v>494d8771</v>
      </c>
      <c r="S326" s="211" t="str">
        <f>IFERROR(__xludf.DUMMYFUNCTION("""COMPUTED_VALUE"""),"01158be1")</f>
        <v>01158be1</v>
      </c>
      <c r="T326" s="211" t="str">
        <f>IFERROR(__xludf.DUMMYFUNCTION("""COMPUTED_VALUE"""),"GYF")</f>
        <v>GYF</v>
      </c>
      <c r="U326" s="215">
        <f>IFERROR(__xludf.DUMMYFUNCTION("""COMPUTED_VALUE"""),45660.7)</f>
        <v>45660.7</v>
      </c>
      <c r="V326" s="211" t="str">
        <f>IFERROR(__xludf.DUMMYFUNCTION("""COMPUTED_VALUE"""),"Kangkungan, Lengkong, Kec. Mojoanyar, Kabupaten Mojokerto, Jawa Timur")</f>
        <v>Kangkungan, Lengkong, Kec. Mojoanyar, Kabupaten Mojokerto, Jawa Timur</v>
      </c>
      <c r="W326" s="211" t="str">
        <f>IFERROR(__xludf.DUMMYFUNCTION("""COMPUTED_VALUE"""),"IN")</f>
        <v>IN</v>
      </c>
      <c r="X326" s="211"/>
      <c r="Z326" s="211" t="str">
        <f>IFERROR(__xludf.DUMMYFUNCTION("""COMPUTED_VALUE"""),"0126402374")</f>
        <v>0126402374</v>
      </c>
      <c r="AC326" s="211"/>
      <c r="AD326" s="211"/>
      <c r="AE326" s="211"/>
      <c r="AF326" s="211"/>
      <c r="AG326" s="211"/>
      <c r="AH326" s="211"/>
      <c r="AI326" s="211"/>
      <c r="AJ326" s="211"/>
      <c r="AL326" s="211"/>
      <c r="AM326" s="211"/>
      <c r="AN326" s="211"/>
      <c r="AO326" s="211"/>
      <c r="AP326" s="215"/>
      <c r="AQ326" s="218"/>
      <c r="AR326" s="211"/>
      <c r="AS326" s="211"/>
      <c r="AT326" s="211"/>
      <c r="AU326" s="211"/>
      <c r="AV326" s="211"/>
      <c r="AW326" s="211"/>
      <c r="AX326" s="211"/>
      <c r="AY326" s="211"/>
      <c r="AZ326" s="211"/>
      <c r="BB326" s="211"/>
      <c r="BC326" s="211"/>
      <c r="BD326" s="211"/>
      <c r="BE326" s="211"/>
      <c r="BF326" s="211"/>
      <c r="BG326" s="211"/>
      <c r="BH326" s="211"/>
      <c r="BI326" s="211"/>
    </row>
    <row r="327">
      <c r="A327" s="210" t="str">
        <f>IFERROR(__xludf.DUMMYFUNCTION("""COMPUTED_VALUE"""),"12240147")</f>
        <v>12240147</v>
      </c>
      <c r="B327" s="210" t="str">
        <f>IFERROR(__xludf.DUMMYFUNCTION("""COMPUTED_VALUE"""),"12240147")</f>
        <v>12240147</v>
      </c>
      <c r="C327" s="213">
        <f>IFERROR(__xludf.DUMMYFUNCTION("""COMPUTED_VALUE"""),45629.59444444445)</f>
        <v>45629.59444</v>
      </c>
      <c r="D327" s="211" t="str">
        <f>IFERROR(__xludf.DUMMYFUNCTION("""COMPUTED_VALUE"""),"4ec68cf6")</f>
        <v>4ec68cf6</v>
      </c>
      <c r="E327" s="211" t="str">
        <f>IFERROR(__xludf.DUMMYFUNCTION("""COMPUTED_VALUE"""),"CV Sido Mukti Karya")</f>
        <v>CV Sido Mukti Karya</v>
      </c>
      <c r="F327" s="211" t="str">
        <f>IFERROR(__xludf.DUMMYFUNCTION("""COMPUTED_VALUE"""),"8bdbe149")</f>
        <v>8bdbe149</v>
      </c>
      <c r="G327" s="211" t="str">
        <f>IFERROR(__xludf.DUMMYFUNCTION("""COMPUTED_VALUE"""),"Oksigen 6m3")</f>
        <v>Oksigen 6m3</v>
      </c>
      <c r="H327" s="214" t="str">
        <f>IFERROR(__xludf.DUMMYFUNCTION("""COMPUTED_VALUE"""),"OUT")</f>
        <v>OUT</v>
      </c>
      <c r="I327" s="214" t="str">
        <f>IFERROR(__xludf.DUMMYFUNCTION("""COMPUTED_VALUE"""),"NORMAL")</f>
        <v>NORMAL</v>
      </c>
      <c r="J327" s="211">
        <f>IFERROR(__xludf.DUMMYFUNCTION("""COMPUTED_VALUE"""),10.0)</f>
        <v>10</v>
      </c>
      <c r="K327" s="210" t="str">
        <f>IFERROR(__xludf.DUMMYFUNCTION("""COMPUTED_VALUE"""),"1132 11127 11176 5457 5546 1485 1836 1230 5471 5373")</f>
        <v>1132 11127 11176 5457 5546 1485 1836 1230 5471 5373</v>
      </c>
      <c r="L327" s="211">
        <f>IFERROR(__xludf.DUMMYFUNCTION("""COMPUTED_VALUE"""),60000.0)</f>
        <v>60000</v>
      </c>
      <c r="M327" s="211"/>
      <c r="N327" s="211"/>
      <c r="O327" s="211"/>
      <c r="Q327" s="210" t="str">
        <f>IFERROR(__xludf.DUMMYFUNCTION("""COMPUTED_VALUE"""),"4a626c20")</f>
        <v>4a626c20</v>
      </c>
      <c r="R327" s="210" t="str">
        <f>IFERROR(__xludf.DUMMYFUNCTION("""COMPUTED_VALUE"""),"4a626c20")</f>
        <v>4a626c20</v>
      </c>
      <c r="S327" s="211" t="str">
        <f>IFERROR(__xludf.DUMMYFUNCTION("""COMPUTED_VALUE"""),"72d9a70c")</f>
        <v>72d9a70c</v>
      </c>
      <c r="T327" s="211" t="str">
        <f>IFERROR(__xludf.DUMMYFUNCTION("""COMPUTED_VALUE"""),"PT Beton Prima Indonesia")</f>
        <v>PT Beton Prima Indonesia</v>
      </c>
      <c r="U327" s="215">
        <f>IFERROR(__xludf.DUMMYFUNCTION("""COMPUTED_VALUE"""),45660.70138888889)</f>
        <v>45660.70139</v>
      </c>
      <c r="V327" s="211" t="str">
        <f>IFERROR(__xludf.DUMMYFUNCTION("""COMPUTED_VALUE"""),"KH. Ahmad Dahlan KM.2 Ds. Sumberwono, Kec. Bangsal, Kab. Mojokerto 61381")</f>
        <v>KH. Ahmad Dahlan KM.2 Ds. Sumberwono, Kec. Bangsal, Kab. Mojokerto 61381</v>
      </c>
      <c r="W327" s="211" t="str">
        <f>IFERROR(__xludf.DUMMYFUNCTION("""COMPUTED_VALUE"""),"IN")</f>
        <v>IN</v>
      </c>
      <c r="X327" s="211"/>
      <c r="Z327" s="211" t="str">
        <f>IFERROR(__xludf.DUMMYFUNCTION("""COMPUTED_VALUE"""),"0126292373")</f>
        <v>0126292373</v>
      </c>
      <c r="AC327" s="211"/>
      <c r="AD327" s="211"/>
      <c r="AE327" s="211"/>
      <c r="AF327" s="211"/>
      <c r="AG327" s="211"/>
      <c r="AH327" s="211"/>
      <c r="AI327" s="211"/>
      <c r="AJ327" s="211"/>
      <c r="AL327" s="211"/>
      <c r="AM327" s="211"/>
      <c r="AN327" s="211"/>
      <c r="AO327" s="211"/>
      <c r="AP327" s="215"/>
      <c r="AQ327" s="218"/>
      <c r="AR327" s="211"/>
      <c r="AS327" s="211"/>
      <c r="AT327" s="211"/>
      <c r="AU327" s="211"/>
      <c r="AV327" s="211"/>
      <c r="AW327" s="211"/>
      <c r="AX327" s="211"/>
      <c r="AY327" s="211"/>
      <c r="AZ327" s="211"/>
      <c r="BB327" s="211"/>
      <c r="BC327" s="211"/>
      <c r="BD327" s="211"/>
      <c r="BE327" s="211"/>
      <c r="BF327" s="211"/>
      <c r="BG327" s="211"/>
      <c r="BH327" s="211"/>
      <c r="BI327" s="211"/>
    </row>
    <row r="328">
      <c r="A328" s="210" t="str">
        <f>IFERROR(__xludf.DUMMYFUNCTION("""COMPUTED_VALUE"""),"2debff3c")</f>
        <v>2debff3c</v>
      </c>
      <c r="B328" s="210" t="str">
        <f>IFERROR(__xludf.DUMMYFUNCTION("""COMPUTED_VALUE"""),"2debff3c")</f>
        <v>2debff3c</v>
      </c>
      <c r="C328" s="213">
        <f>IFERROR(__xludf.DUMMYFUNCTION("""COMPUTED_VALUE"""),45629.68680555555)</f>
        <v>45629.68681</v>
      </c>
      <c r="D328" s="211" t="str">
        <f>IFERROR(__xludf.DUMMYFUNCTION("""COMPUTED_VALUE"""),"4ec68cf6")</f>
        <v>4ec68cf6</v>
      </c>
      <c r="E328" s="211" t="str">
        <f>IFERROR(__xludf.DUMMYFUNCTION("""COMPUTED_VALUE"""),"CV Sido Mukti Karya")</f>
        <v>CV Sido Mukti Karya</v>
      </c>
      <c r="F328" s="211" t="str">
        <f>IFERROR(__xludf.DUMMYFUNCTION("""COMPUTED_VALUE"""),"8bdbe149")</f>
        <v>8bdbe149</v>
      </c>
      <c r="G328" s="211" t="str">
        <f>IFERROR(__xludf.DUMMYFUNCTION("""COMPUTED_VALUE"""),"Oksigen 6m3")</f>
        <v>Oksigen 6m3</v>
      </c>
      <c r="H328" s="214" t="str">
        <f>IFERROR(__xludf.DUMMYFUNCTION("""COMPUTED_VALUE"""),"IN")</f>
        <v>IN</v>
      </c>
      <c r="I328" s="214" t="str">
        <f>IFERROR(__xludf.DUMMYFUNCTION("""COMPUTED_VALUE"""),"EMPTY")</f>
        <v>EMPTY</v>
      </c>
      <c r="J328" s="211">
        <f>IFERROR(__xludf.DUMMYFUNCTION("""COMPUTED_VALUE"""),2.0)</f>
        <v>2</v>
      </c>
      <c r="K328" s="210" t="str">
        <f>IFERROR(__xludf.DUMMYFUNCTION("""COMPUTED_VALUE"""),"5784 1670")</f>
        <v>5784 1670</v>
      </c>
      <c r="L328" s="211"/>
      <c r="M328" s="211"/>
      <c r="N328" s="211"/>
      <c r="O328" s="211"/>
      <c r="Q328" s="210" t="str">
        <f>IFERROR(__xludf.DUMMYFUNCTION("""COMPUTED_VALUE"""),"01250199")</f>
        <v>01250199</v>
      </c>
      <c r="R328" s="210" t="str">
        <f>IFERROR(__xludf.DUMMYFUNCTION("""COMPUTED_VALUE"""),"01250199")</f>
        <v>01250199</v>
      </c>
      <c r="S328" s="211" t="str">
        <f>IFERROR(__xludf.DUMMYFUNCTION("""COMPUTED_VALUE"""),"103f3ae7")</f>
        <v>103f3ae7</v>
      </c>
      <c r="T328" s="211" t="str">
        <f>IFERROR(__xludf.DUMMYFUNCTION("""COMPUTED_VALUE"""),"PT ARYANA CAKASANA")</f>
        <v>PT ARYANA CAKASANA</v>
      </c>
      <c r="U328" s="215">
        <f>IFERROR(__xludf.DUMMYFUNCTION("""COMPUTED_VALUE"""),45661.44930555555)</f>
        <v>45661.44931</v>
      </c>
      <c r="V328" s="211" t="str">
        <f>IFERROR(__xludf.DUMMYFUNCTION("""COMPUTED_VALUE"""),"Jl Raya Tarik No. 45, Wonokupang, Bakalan, Balongbendo")</f>
        <v>Jl Raya Tarik No. 45, Wonokupang, Bakalan, Balongbendo</v>
      </c>
      <c r="W328" s="211" t="str">
        <f>IFERROR(__xludf.DUMMYFUNCTION("""COMPUTED_VALUE"""),"OUT")</f>
        <v>OUT</v>
      </c>
      <c r="X328" s="211"/>
      <c r="Z328" s="211" t="str">
        <f>IFERROR(__xludf.DUMMYFUNCTION("""COMPUTED_VALUE"""),"012612369")</f>
        <v>012612369</v>
      </c>
      <c r="AC328" s="211"/>
      <c r="AD328" s="211"/>
      <c r="AE328" s="211"/>
      <c r="AF328" s="211"/>
      <c r="AG328" s="211"/>
      <c r="AH328" s="211"/>
      <c r="AI328" s="211"/>
      <c r="AJ328" s="211"/>
      <c r="AL328" s="211"/>
      <c r="AM328" s="211"/>
      <c r="AN328" s="211"/>
      <c r="AO328" s="211"/>
      <c r="AP328" s="215"/>
      <c r="AQ328" s="218"/>
      <c r="AR328" s="211"/>
      <c r="AS328" s="211"/>
      <c r="AT328" s="211"/>
      <c r="AU328" s="211"/>
      <c r="AV328" s="211"/>
      <c r="AW328" s="211"/>
      <c r="AX328" s="211"/>
      <c r="AY328" s="211"/>
      <c r="AZ328" s="211"/>
      <c r="BB328" s="211"/>
      <c r="BC328" s="211"/>
      <c r="BD328" s="211"/>
      <c r="BE328" s="211"/>
      <c r="BF328" s="211"/>
      <c r="BG328" s="211"/>
      <c r="BH328" s="211"/>
      <c r="BI328" s="211"/>
    </row>
    <row r="329">
      <c r="A329" s="210" t="str">
        <f>IFERROR(__xludf.DUMMYFUNCTION("""COMPUTED_VALUE"""),"2debff3c")</f>
        <v>2debff3c</v>
      </c>
      <c r="B329" s="210" t="str">
        <f>IFERROR(__xludf.DUMMYFUNCTION("""COMPUTED_VALUE"""),"2debff3c")</f>
        <v>2debff3c</v>
      </c>
      <c r="C329" s="213">
        <f>IFERROR(__xludf.DUMMYFUNCTION("""COMPUTED_VALUE"""),45629.6875)</f>
        <v>45629.6875</v>
      </c>
      <c r="D329" s="211" t="str">
        <f>IFERROR(__xludf.DUMMYFUNCTION("""COMPUTED_VALUE"""),"4ec68cf6")</f>
        <v>4ec68cf6</v>
      </c>
      <c r="E329" s="211" t="str">
        <f>IFERROR(__xludf.DUMMYFUNCTION("""COMPUTED_VALUE"""),"CV Sido Mukti Karya")</f>
        <v>CV Sido Mukti Karya</v>
      </c>
      <c r="F329" s="211" t="str">
        <f>IFERROR(__xludf.DUMMYFUNCTION("""COMPUTED_VALUE"""),"ef306e54")</f>
        <v>ef306e54</v>
      </c>
      <c r="G329" s="211" t="str">
        <f>IFERROR(__xludf.DUMMYFUNCTION("""COMPUTED_VALUE"""),"Karbondioksida")</f>
        <v>Karbondioksida</v>
      </c>
      <c r="H329" s="214" t="str">
        <f>IFERROR(__xludf.DUMMYFUNCTION("""COMPUTED_VALUE"""),"IN")</f>
        <v>IN</v>
      </c>
      <c r="I329" s="214" t="str">
        <f>IFERROR(__xludf.DUMMYFUNCTION("""COMPUTED_VALUE"""),"EMPTY")</f>
        <v>EMPTY</v>
      </c>
      <c r="J329" s="211">
        <f>IFERROR(__xludf.DUMMYFUNCTION("""COMPUTED_VALUE"""),1.0)</f>
        <v>1</v>
      </c>
      <c r="K329" s="210" t="str">
        <f>IFERROR(__xludf.DUMMYFUNCTION("""COMPUTED_VALUE"""),"6696")</f>
        <v>6696</v>
      </c>
      <c r="L329" s="211"/>
      <c r="M329" s="211"/>
      <c r="N329" s="211"/>
      <c r="O329" s="211"/>
      <c r="Q329" s="210" t="str">
        <f>IFERROR(__xludf.DUMMYFUNCTION("""COMPUTED_VALUE"""),"01250200")</f>
        <v>01250200</v>
      </c>
      <c r="R329" s="210" t="str">
        <f>IFERROR(__xludf.DUMMYFUNCTION("""COMPUTED_VALUE"""),"01250200")</f>
        <v>01250200</v>
      </c>
      <c r="S329" s="211" t="str">
        <f>IFERROR(__xludf.DUMMYFUNCTION("""COMPUTED_VALUE"""),"a9fe1bea")</f>
        <v>a9fe1bea</v>
      </c>
      <c r="T329" s="211" t="str">
        <f>IFERROR(__xludf.DUMMYFUNCTION("""COMPUTED_VALUE"""),"H. Suheiri")</f>
        <v>H. Suheiri</v>
      </c>
      <c r="U329" s="215">
        <f>IFERROR(__xludf.DUMMYFUNCTION("""COMPUTED_VALUE"""),45663.388194444444)</f>
        <v>45663.38819</v>
      </c>
      <c r="V329"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29" s="211" t="str">
        <f>IFERROR(__xludf.DUMMYFUNCTION("""COMPUTED_VALUE"""),"OUT")</f>
        <v>OUT</v>
      </c>
      <c r="X329" s="211"/>
      <c r="Z329" s="211" t="str">
        <f>IFERROR(__xludf.DUMMYFUNCTION("""COMPUTED_VALUE"""),"0126772368")</f>
        <v>0126772368</v>
      </c>
      <c r="AC329" s="211"/>
      <c r="AD329" s="211"/>
      <c r="AE329" s="211"/>
      <c r="AF329" s="211"/>
      <c r="AG329" s="211"/>
      <c r="AH329" s="211"/>
      <c r="AI329" s="211"/>
      <c r="AJ329" s="211"/>
      <c r="AL329" s="211"/>
      <c r="AM329" s="211"/>
      <c r="AN329" s="211"/>
      <c r="AO329" s="211"/>
      <c r="AP329" s="215"/>
      <c r="AQ329" s="218"/>
      <c r="AR329" s="211"/>
      <c r="AS329" s="211"/>
      <c r="AT329" s="211"/>
      <c r="AU329" s="211"/>
      <c r="AV329" s="211"/>
      <c r="AW329" s="211"/>
      <c r="AX329" s="211"/>
      <c r="AY329" s="211"/>
      <c r="AZ329" s="211"/>
      <c r="BB329" s="211"/>
      <c r="BC329" s="211"/>
      <c r="BD329" s="211"/>
      <c r="BE329" s="211"/>
      <c r="BF329" s="211"/>
      <c r="BG329" s="211"/>
      <c r="BH329" s="211"/>
      <c r="BI329" s="211"/>
    </row>
    <row r="330">
      <c r="A330" s="210" t="str">
        <f>IFERROR(__xludf.DUMMYFUNCTION("""COMPUTED_VALUE"""),"f6c912b9")</f>
        <v>f6c912b9</v>
      </c>
      <c r="B330" s="210" t="str">
        <f>IFERROR(__xludf.DUMMYFUNCTION("""COMPUTED_VALUE"""),"f6c912b9")</f>
        <v>f6c912b9</v>
      </c>
      <c r="C330" s="213">
        <f>IFERROR(__xludf.DUMMYFUNCTION("""COMPUTED_VALUE"""),45630.48541666667)</f>
        <v>45630.48542</v>
      </c>
      <c r="D330" s="211" t="str">
        <f>IFERROR(__xludf.DUMMYFUNCTION("""COMPUTED_VALUE"""),"f8335a53")</f>
        <v>f8335a53</v>
      </c>
      <c r="E330" s="211" t="str">
        <f>IFERROR(__xludf.DUMMYFUNCTION("""COMPUTED_VALUE"""),"CV RAGAM JAYA ENGINEERING")</f>
        <v>CV RAGAM JAYA ENGINEERING</v>
      </c>
      <c r="F330" s="211" t="str">
        <f>IFERROR(__xludf.DUMMYFUNCTION("""COMPUTED_VALUE"""),"8bdbe149")</f>
        <v>8bdbe149</v>
      </c>
      <c r="G330" s="211" t="str">
        <f>IFERROR(__xludf.DUMMYFUNCTION("""COMPUTED_VALUE"""),"Oksigen 6m3")</f>
        <v>Oksigen 6m3</v>
      </c>
      <c r="H330" s="214" t="str">
        <f>IFERROR(__xludf.DUMMYFUNCTION("""COMPUTED_VALUE"""),"IN")</f>
        <v>IN</v>
      </c>
      <c r="I330" s="214" t="str">
        <f>IFERROR(__xludf.DUMMYFUNCTION("""COMPUTED_VALUE"""),"EMPTY")</f>
        <v>EMPTY</v>
      </c>
      <c r="J330" s="211">
        <f>IFERROR(__xludf.DUMMYFUNCTION("""COMPUTED_VALUE"""),7.0)</f>
        <v>7</v>
      </c>
      <c r="K330" s="210" t="str">
        <f>IFERROR(__xludf.DUMMYFUNCTION("""COMPUTED_VALUE"""),"1006 1069 5589 1824 1160 1164 1157")</f>
        <v>1006 1069 5589 1824 1160 1164 1157</v>
      </c>
      <c r="L330" s="211"/>
      <c r="M330" s="211"/>
      <c r="N330" s="211"/>
      <c r="O330" s="211"/>
      <c r="Q330" s="210" t="str">
        <f>IFERROR(__xludf.DUMMYFUNCTION("""COMPUTED_VALUE"""),"10240201")</f>
        <v>10240201</v>
      </c>
      <c r="R330" s="210" t="str">
        <f>IFERROR(__xludf.DUMMYFUNCTION("""COMPUTED_VALUE"""),"10240201")</f>
        <v>10240201</v>
      </c>
      <c r="S330" s="211" t="str">
        <f>IFERROR(__xludf.DUMMYFUNCTION("""COMPUTED_VALUE"""),"#N/A")</f>
        <v>#N/A</v>
      </c>
      <c r="T330" s="211" t="str">
        <f>IFERROR(__xludf.DUMMYFUNCTION("""COMPUTED_VALUE"""),"Abah Sochib")</f>
        <v>Abah Sochib</v>
      </c>
      <c r="U330" s="215">
        <f>IFERROR(__xludf.DUMMYFUNCTION("""COMPUTED_VALUE"""),45596.518055555556)</f>
        <v>45596.51806</v>
      </c>
      <c r="V330" s="211" t="str">
        <f>IFERROR(__xludf.DUMMYFUNCTION("""COMPUTED_VALUE"""),"#N/A")</f>
        <v>#N/A</v>
      </c>
      <c r="W330" s="211" t="str">
        <f>IFERROR(__xludf.DUMMYFUNCTION("""COMPUTED_VALUE"""),"OUT")</f>
        <v>OUT</v>
      </c>
      <c r="X330" s="211"/>
      <c r="Z330" s="211" t="str">
        <f>IFERROR(__xludf.DUMMYFUNCTION("""COMPUTED_VALUE"""),"0126162367")</f>
        <v>0126162367</v>
      </c>
      <c r="AC330" s="211"/>
      <c r="AD330" s="211"/>
      <c r="AE330" s="211"/>
      <c r="AF330" s="211"/>
      <c r="AG330" s="211"/>
      <c r="AH330" s="211"/>
      <c r="AI330" s="211"/>
      <c r="AJ330" s="211"/>
      <c r="AL330" s="211"/>
      <c r="AM330" s="211"/>
      <c r="AN330" s="211"/>
      <c r="AO330" s="211"/>
      <c r="AP330" s="215"/>
      <c r="AQ330" s="218"/>
      <c r="AR330" s="211"/>
      <c r="AS330" s="211"/>
      <c r="AT330" s="211"/>
      <c r="AU330" s="211"/>
      <c r="AV330" s="211"/>
      <c r="AW330" s="211"/>
      <c r="AX330" s="211"/>
      <c r="AY330" s="211"/>
      <c r="AZ330" s="211"/>
      <c r="BB330" s="211"/>
      <c r="BC330" s="211"/>
      <c r="BD330" s="211"/>
      <c r="BE330" s="211"/>
      <c r="BF330" s="211"/>
      <c r="BG330" s="211"/>
      <c r="BH330" s="211"/>
      <c r="BI330" s="211"/>
    </row>
    <row r="331">
      <c r="A331" s="210" t="str">
        <f>IFERROR(__xludf.DUMMYFUNCTION("""COMPUTED_VALUE"""),"f6c912b9")</f>
        <v>f6c912b9</v>
      </c>
      <c r="B331" s="210" t="str">
        <f>IFERROR(__xludf.DUMMYFUNCTION("""COMPUTED_VALUE"""),"f6c912b9")</f>
        <v>f6c912b9</v>
      </c>
      <c r="C331" s="213">
        <f>IFERROR(__xludf.DUMMYFUNCTION("""COMPUTED_VALUE"""),45630.48611111111)</f>
        <v>45630.48611</v>
      </c>
      <c r="D331" s="211" t="str">
        <f>IFERROR(__xludf.DUMMYFUNCTION("""COMPUTED_VALUE"""),"f8335a53")</f>
        <v>f8335a53</v>
      </c>
      <c r="E331" s="211" t="str">
        <f>IFERROR(__xludf.DUMMYFUNCTION("""COMPUTED_VALUE"""),"CV RAGAM JAYA ENGINEERING")</f>
        <v>CV RAGAM JAYA ENGINEERING</v>
      </c>
      <c r="F331" s="211" t="str">
        <f>IFERROR(__xludf.DUMMYFUNCTION("""COMPUTED_VALUE"""),"ef306e54")</f>
        <v>ef306e54</v>
      </c>
      <c r="G331" s="211" t="str">
        <f>IFERROR(__xludf.DUMMYFUNCTION("""COMPUTED_VALUE"""),"Karbondioksida")</f>
        <v>Karbondioksida</v>
      </c>
      <c r="H331" s="214" t="str">
        <f>IFERROR(__xludf.DUMMYFUNCTION("""COMPUTED_VALUE"""),"IN")</f>
        <v>IN</v>
      </c>
      <c r="I331" s="214" t="str">
        <f>IFERROR(__xludf.DUMMYFUNCTION("""COMPUTED_VALUE"""),"EMPTY")</f>
        <v>EMPTY</v>
      </c>
      <c r="J331" s="211">
        <f>IFERROR(__xludf.DUMMYFUNCTION("""COMPUTED_VALUE"""),4.0)</f>
        <v>4</v>
      </c>
      <c r="K331" s="210" t="str">
        <f>IFERROR(__xludf.DUMMYFUNCTION("""COMPUTED_VALUE"""),"6996 6755 6926 6875")</f>
        <v>6996 6755 6926 6875</v>
      </c>
      <c r="L331" s="211"/>
      <c r="M331" s="211"/>
      <c r="N331" s="211"/>
      <c r="O331" s="211"/>
      <c r="Q331" s="210" t="str">
        <f>IFERROR(__xludf.DUMMYFUNCTION("""COMPUTED_VALUE"""),"89d6f7af")</f>
        <v>89d6f7af</v>
      </c>
      <c r="R331" s="210" t="str">
        <f>IFERROR(__xludf.DUMMYFUNCTION("""COMPUTED_VALUE"""),"89d6f7af")</f>
        <v>89d6f7af</v>
      </c>
      <c r="S331" s="211" t="str">
        <f>IFERROR(__xludf.DUMMYFUNCTION("""COMPUTED_VALUE"""),"a9fe1bea")</f>
        <v>a9fe1bea</v>
      </c>
      <c r="T331" s="211" t="str">
        <f>IFERROR(__xludf.DUMMYFUNCTION("""COMPUTED_VALUE"""),"H. Suheiri")</f>
        <v>H. Suheiri</v>
      </c>
      <c r="U331" s="215">
        <f>IFERROR(__xludf.DUMMYFUNCTION("""COMPUTED_VALUE"""),45663.55)</f>
        <v>45663.55</v>
      </c>
      <c r="V331"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31" s="211" t="str">
        <f>IFERROR(__xludf.DUMMYFUNCTION("""COMPUTED_VALUE"""),"IN")</f>
        <v>IN</v>
      </c>
      <c r="X331" s="211"/>
      <c r="Z331" s="211" t="str">
        <f>IFERROR(__xludf.DUMMYFUNCTION("""COMPUTED_VALUE"""),"0126442366")</f>
        <v>0126442366</v>
      </c>
      <c r="AC331" s="211"/>
      <c r="AD331" s="211"/>
      <c r="AE331" s="211"/>
      <c r="AF331" s="211"/>
      <c r="AG331" s="211"/>
      <c r="AH331" s="211"/>
      <c r="AI331" s="211"/>
      <c r="AJ331" s="211"/>
      <c r="AL331" s="211"/>
      <c r="AM331" s="211"/>
      <c r="AN331" s="211"/>
      <c r="AO331" s="211"/>
      <c r="AP331" s="215"/>
      <c r="AQ331" s="218"/>
      <c r="AR331" s="211"/>
      <c r="AS331" s="211"/>
      <c r="AT331" s="211"/>
      <c r="AU331" s="211"/>
      <c r="AV331" s="211"/>
      <c r="AW331" s="211"/>
      <c r="AX331" s="211"/>
      <c r="AY331" s="211"/>
      <c r="AZ331" s="211"/>
      <c r="BB331" s="211"/>
      <c r="BC331" s="211"/>
      <c r="BD331" s="211"/>
      <c r="BE331" s="211"/>
      <c r="BF331" s="211"/>
      <c r="BG331" s="211"/>
      <c r="BH331" s="211"/>
      <c r="BI331" s="211"/>
    </row>
    <row r="332">
      <c r="A332" s="210" t="str">
        <f>IFERROR(__xludf.DUMMYFUNCTION("""COMPUTED_VALUE"""),"f6c912b9")</f>
        <v>f6c912b9</v>
      </c>
      <c r="B332" s="210" t="str">
        <f>IFERROR(__xludf.DUMMYFUNCTION("""COMPUTED_VALUE"""),"f6c912b9")</f>
        <v>f6c912b9</v>
      </c>
      <c r="C332" s="213">
        <f>IFERROR(__xludf.DUMMYFUNCTION("""COMPUTED_VALUE"""),45630.486805555556)</f>
        <v>45630.48681</v>
      </c>
      <c r="D332" s="211" t="str">
        <f>IFERROR(__xludf.DUMMYFUNCTION("""COMPUTED_VALUE"""),"f8335a53")</f>
        <v>f8335a53</v>
      </c>
      <c r="E332" s="211" t="str">
        <f>IFERROR(__xludf.DUMMYFUNCTION("""COMPUTED_VALUE"""),"CV RAGAM JAYA ENGINEERING")</f>
        <v>CV RAGAM JAYA ENGINEERING</v>
      </c>
      <c r="F332" s="211" t="str">
        <f>IFERROR(__xludf.DUMMYFUNCTION("""COMPUTED_VALUE"""),"be525f3b")</f>
        <v>be525f3b</v>
      </c>
      <c r="G332" s="211" t="str">
        <f>IFERROR(__xludf.DUMMYFUNCTION("""COMPUTED_VALUE"""),"LPG 12kg")</f>
        <v>LPG 12kg</v>
      </c>
      <c r="H332" s="214" t="str">
        <f>IFERROR(__xludf.DUMMYFUNCTION("""COMPUTED_VALUE"""),"IN")</f>
        <v>IN</v>
      </c>
      <c r="I332" s="214" t="str">
        <f>IFERROR(__xludf.DUMMYFUNCTION("""COMPUTED_VALUE"""),"EMPTY")</f>
        <v>EMPTY</v>
      </c>
      <c r="J332" s="211">
        <f>IFERROR(__xludf.DUMMYFUNCTION("""COMPUTED_VALUE"""),2.0)</f>
        <v>2</v>
      </c>
      <c r="K332" s="211"/>
      <c r="L332" s="211"/>
      <c r="M332" s="211"/>
      <c r="N332" s="211"/>
      <c r="O332" s="211"/>
      <c r="Q332" s="210" t="str">
        <f>IFERROR(__xludf.DUMMYFUNCTION("""COMPUTED_VALUE"""),"01250202")</f>
        <v>01250202</v>
      </c>
      <c r="R332" s="210" t="str">
        <f>IFERROR(__xludf.DUMMYFUNCTION("""COMPUTED_VALUE"""),"01250202")</f>
        <v>01250202</v>
      </c>
      <c r="S332" s="211" t="str">
        <f>IFERROR(__xludf.DUMMYFUNCTION("""COMPUTED_VALUE"""),"3fec37df")</f>
        <v>3fec37df</v>
      </c>
      <c r="T332" s="211" t="str">
        <f>IFERROR(__xludf.DUMMYFUNCTION("""COMPUTED_VALUE"""),"PT Jatim Abadi Perkasa Steel")</f>
        <v>PT Jatim Abadi Perkasa Steel</v>
      </c>
      <c r="U332" s="215">
        <f>IFERROR(__xludf.DUMMYFUNCTION("""COMPUTED_VALUE"""),45664.37152777778)</f>
        <v>45664.37153</v>
      </c>
      <c r="V332" s="211" t="str">
        <f>IFERROR(__xludf.DUMMYFUNCTION("""COMPUTED_VALUE"""),"Dsn. Bulak Sempuh, Jatirejo, Kab. Mojokerto, Jawa Timur")</f>
        <v>Dsn. Bulak Sempuh, Jatirejo, Kab. Mojokerto, Jawa Timur</v>
      </c>
      <c r="W332" s="211" t="str">
        <f>IFERROR(__xludf.DUMMYFUNCTION("""COMPUTED_VALUE"""),"OUT")</f>
        <v>OUT</v>
      </c>
      <c r="X332" s="211"/>
      <c r="Z332" s="211" t="str">
        <f>IFERROR(__xludf.DUMMYFUNCTION("""COMPUTED_VALUE"""),"0126162364")</f>
        <v>0126162364</v>
      </c>
      <c r="AC332" s="211"/>
      <c r="AD332" s="211"/>
      <c r="AE332" s="211"/>
      <c r="AF332" s="211"/>
      <c r="AG332" s="211"/>
      <c r="AH332" s="211"/>
      <c r="AI332" s="211"/>
      <c r="AJ332" s="211"/>
      <c r="AL332" s="211"/>
      <c r="AM332" s="211"/>
      <c r="AN332" s="211"/>
      <c r="AO332" s="211"/>
      <c r="AP332" s="215"/>
      <c r="AQ332" s="218"/>
      <c r="AR332" s="211"/>
      <c r="AS332" s="211"/>
      <c r="AT332" s="211"/>
      <c r="AU332" s="211"/>
      <c r="AV332" s="211"/>
      <c r="AW332" s="211"/>
      <c r="AX332" s="211"/>
      <c r="AY332" s="211"/>
      <c r="AZ332" s="211"/>
      <c r="BB332" s="211"/>
      <c r="BC332" s="211"/>
      <c r="BD332" s="211"/>
      <c r="BE332" s="211"/>
      <c r="BF332" s="211"/>
      <c r="BG332" s="211"/>
      <c r="BH332" s="211"/>
      <c r="BI332" s="211"/>
    </row>
    <row r="333">
      <c r="A333" s="210" t="str">
        <f>IFERROR(__xludf.DUMMYFUNCTION("""COMPUTED_VALUE"""),"12240148")</f>
        <v>12240148</v>
      </c>
      <c r="B333" s="210" t="str">
        <f>IFERROR(__xludf.DUMMYFUNCTION("""COMPUTED_VALUE"""),"12240148")</f>
        <v>12240148</v>
      </c>
      <c r="C333" s="213">
        <f>IFERROR(__xludf.DUMMYFUNCTION("""COMPUTED_VALUE"""),45630.52916666667)</f>
        <v>45630.52917</v>
      </c>
      <c r="D333" s="211" t="str">
        <f>IFERROR(__xludf.DUMMYFUNCTION("""COMPUTED_VALUE"""),"785e0e07")</f>
        <v>785e0e07</v>
      </c>
      <c r="E333" s="211" t="str">
        <f>IFERROR(__xludf.DUMMYFUNCTION("""COMPUTED_VALUE"""),"Bpk. Sukirno (Bejo)")</f>
        <v>Bpk. Sukirno (Bejo)</v>
      </c>
      <c r="F333" s="211" t="str">
        <f>IFERROR(__xludf.DUMMYFUNCTION("""COMPUTED_VALUE"""),"8bdbe149")</f>
        <v>8bdbe149</v>
      </c>
      <c r="G333" s="211" t="str">
        <f>IFERROR(__xludf.DUMMYFUNCTION("""COMPUTED_VALUE"""),"Oksigen 6m3")</f>
        <v>Oksigen 6m3</v>
      </c>
      <c r="H333" s="214" t="str">
        <f>IFERROR(__xludf.DUMMYFUNCTION("""COMPUTED_VALUE"""),"OUT")</f>
        <v>OUT</v>
      </c>
      <c r="I333" s="214" t="str">
        <f>IFERROR(__xludf.DUMMYFUNCTION("""COMPUTED_VALUE"""),"NORMAL")</f>
        <v>NORMAL</v>
      </c>
      <c r="J333" s="211">
        <f>IFERROR(__xludf.DUMMYFUNCTION("""COMPUTED_VALUE"""),10.0)</f>
        <v>10</v>
      </c>
      <c r="K333" s="210" t="str">
        <f>IFERROR(__xludf.DUMMYFUNCTION("""COMPUTED_VALUE"""),"1128 11113 11131 1173 1175 11133 11109 11108 11111 1165")</f>
        <v>1128 11113 11131 1173 1175 11133 11109 11108 11111 1165</v>
      </c>
      <c r="L333" s="211">
        <f>IFERROR(__xludf.DUMMYFUNCTION("""COMPUTED_VALUE"""),60000.0)</f>
        <v>60000</v>
      </c>
      <c r="M333" s="211"/>
      <c r="N333" s="211"/>
      <c r="O333" s="211"/>
      <c r="Q333" s="210" t="str">
        <f>IFERROR(__xludf.DUMMYFUNCTION("""COMPUTED_VALUE"""),"30bcd5d5")</f>
        <v>30bcd5d5</v>
      </c>
      <c r="R333" s="210" t="str">
        <f>IFERROR(__xludf.DUMMYFUNCTION("""COMPUTED_VALUE"""),"30bcd5d5")</f>
        <v>30bcd5d5</v>
      </c>
      <c r="S333" s="211" t="str">
        <f>IFERROR(__xludf.DUMMYFUNCTION("""COMPUTED_VALUE"""),"3fec37df")</f>
        <v>3fec37df</v>
      </c>
      <c r="T333" s="211" t="str">
        <f>IFERROR(__xludf.DUMMYFUNCTION("""COMPUTED_VALUE"""),"PT Jatim Abadi Perkasa Steel")</f>
        <v>PT Jatim Abadi Perkasa Steel</v>
      </c>
      <c r="U333" s="215">
        <f>IFERROR(__xludf.DUMMYFUNCTION("""COMPUTED_VALUE"""),45664.68472222222)</f>
        <v>45664.68472</v>
      </c>
      <c r="V333" s="211" t="str">
        <f>IFERROR(__xludf.DUMMYFUNCTION("""COMPUTED_VALUE"""),"Dsn. Bulak Sempuh, Jatirejo, Kab. Mojokerto, Jawa Timur")</f>
        <v>Dsn. Bulak Sempuh, Jatirejo, Kab. Mojokerto, Jawa Timur</v>
      </c>
      <c r="W333" s="211" t="str">
        <f>IFERROR(__xludf.DUMMYFUNCTION("""COMPUTED_VALUE"""),"IN")</f>
        <v>IN</v>
      </c>
      <c r="X333" s="211"/>
      <c r="Z333" s="211" t="str">
        <f>IFERROR(__xludf.DUMMYFUNCTION("""COMPUTED_VALUE"""),"012682358")</f>
        <v>012682358</v>
      </c>
      <c r="AC333" s="211"/>
      <c r="AD333" s="211"/>
      <c r="AE333" s="211"/>
      <c r="AF333" s="211"/>
      <c r="AG333" s="211"/>
      <c r="AH333" s="211"/>
      <c r="AI333" s="211"/>
      <c r="AJ333" s="211"/>
      <c r="AL333" s="211"/>
      <c r="AM333" s="211"/>
      <c r="AN333" s="211"/>
      <c r="AO333" s="211"/>
      <c r="AP333" s="215"/>
      <c r="AQ333" s="218"/>
      <c r="AR333" s="211"/>
      <c r="AS333" s="211"/>
      <c r="AT333" s="211"/>
      <c r="AU333" s="211"/>
      <c r="AV333" s="211"/>
      <c r="AW333" s="211"/>
      <c r="AX333" s="211"/>
      <c r="AY333" s="211"/>
      <c r="AZ333" s="211"/>
      <c r="BB333" s="211"/>
      <c r="BC333" s="211"/>
      <c r="BD333" s="211"/>
      <c r="BE333" s="211"/>
      <c r="BF333" s="211"/>
      <c r="BG333" s="211"/>
      <c r="BH333" s="211"/>
      <c r="BI333" s="211"/>
    </row>
    <row r="334">
      <c r="A334" s="210" t="str">
        <f>IFERROR(__xludf.DUMMYFUNCTION("""COMPUTED_VALUE"""),"12240149")</f>
        <v>12240149</v>
      </c>
      <c r="B334" s="210" t="str">
        <f>IFERROR(__xludf.DUMMYFUNCTION("""COMPUTED_VALUE"""),"12240149")</f>
        <v>12240149</v>
      </c>
      <c r="C334" s="213">
        <f>IFERROR(__xludf.DUMMYFUNCTION("""COMPUTED_VALUE"""),45630.53125)</f>
        <v>45630.53125</v>
      </c>
      <c r="D334" s="211" t="str">
        <f>IFERROR(__xludf.DUMMYFUNCTION("""COMPUTED_VALUE"""),"37175874")</f>
        <v>37175874</v>
      </c>
      <c r="E334" s="211" t="str">
        <f>IFERROR(__xludf.DUMMYFUNCTION("""COMPUTED_VALUE"""),"PT TERAPAN NILAIOSILASI INDONESIA (TENO)")</f>
        <v>PT TERAPAN NILAIOSILASI INDONESIA (TENO)</v>
      </c>
      <c r="F334" s="211" t="str">
        <f>IFERROR(__xludf.DUMMYFUNCTION("""COMPUTED_VALUE"""),"8bdbe149")</f>
        <v>8bdbe149</v>
      </c>
      <c r="G334" s="211" t="str">
        <f>IFERROR(__xludf.DUMMYFUNCTION("""COMPUTED_VALUE"""),"Oksigen 6m3")</f>
        <v>Oksigen 6m3</v>
      </c>
      <c r="H334" s="214" t="str">
        <f>IFERROR(__xludf.DUMMYFUNCTION("""COMPUTED_VALUE"""),"OUT")</f>
        <v>OUT</v>
      </c>
      <c r="I334" s="214" t="str">
        <f>IFERROR(__xludf.DUMMYFUNCTION("""COMPUTED_VALUE"""),"NORMAL")</f>
        <v>NORMAL</v>
      </c>
      <c r="J334" s="211">
        <f>IFERROR(__xludf.DUMMYFUNCTION("""COMPUTED_VALUE"""),10.0)</f>
        <v>10</v>
      </c>
      <c r="K334" s="210" t="str">
        <f>IFERROR(__xludf.DUMMYFUNCTION("""COMPUTED_VALUE"""),"11129 11143 11140 11142 11135 11136 11168 11170 11173 11172")</f>
        <v>11129 11143 11140 11142 11135 11136 11168 11170 11173 11172</v>
      </c>
      <c r="L334" s="211">
        <f>IFERROR(__xludf.DUMMYFUNCTION("""COMPUTED_VALUE"""),45045.04505)</f>
        <v>45045.04505</v>
      </c>
      <c r="M334" s="211"/>
      <c r="N334" s="211"/>
      <c r="O334" s="211"/>
      <c r="Q334" s="210" t="str">
        <f>IFERROR(__xludf.DUMMYFUNCTION("""COMPUTED_VALUE"""),"1f3a2795")</f>
        <v>1f3a2795</v>
      </c>
      <c r="R334" s="210" t="str">
        <f>IFERROR(__xludf.DUMMYFUNCTION("""COMPUTED_VALUE"""),"1f3a2795")</f>
        <v>1f3a2795</v>
      </c>
      <c r="S334" s="211" t="str">
        <f>IFERROR(__xludf.DUMMYFUNCTION("""COMPUTED_VALUE"""),"37175874")</f>
        <v>37175874</v>
      </c>
      <c r="T334" s="211" t="str">
        <f>IFERROR(__xludf.DUMMYFUNCTION("""COMPUTED_VALUE"""),"PT TERAPAN NILAIOSILASI INDONESIA (TENO)")</f>
        <v>PT TERAPAN NILAIOSILASI INDONESIA (TENO)</v>
      </c>
      <c r="U334" s="215">
        <f>IFERROR(__xludf.DUMMYFUNCTION("""COMPUTED_VALUE"""),45664.68611111111)</f>
        <v>45664.68611</v>
      </c>
      <c r="V334" s="211" t="str">
        <f>IFERROR(__xludf.DUMMYFUNCTION("""COMPUTED_VALUE"""),"JL Raya Kertajaya Indah 153 / P116, Gebang Putih, Sukokilo, Kota Surabaya, Jawa Timur")</f>
        <v>JL Raya Kertajaya Indah 153 / P116, Gebang Putih, Sukokilo, Kota Surabaya, Jawa Timur</v>
      </c>
      <c r="W334" s="211" t="str">
        <f>IFERROR(__xludf.DUMMYFUNCTION("""COMPUTED_VALUE"""),"IN")</f>
        <v>IN</v>
      </c>
      <c r="X334" s="211"/>
      <c r="Z334" s="211" t="str">
        <f>IFERROR(__xludf.DUMMYFUNCTION("""COMPUTED_VALUE"""),"0126172356")</f>
        <v>0126172356</v>
      </c>
      <c r="AC334" s="211"/>
      <c r="AD334" s="211"/>
      <c r="AE334" s="211"/>
      <c r="AF334" s="211"/>
      <c r="AG334" s="211"/>
      <c r="AH334" s="211"/>
      <c r="AI334" s="211"/>
      <c r="AJ334" s="211"/>
      <c r="AL334" s="211"/>
      <c r="AM334" s="211"/>
      <c r="AN334" s="211"/>
      <c r="AO334" s="211"/>
      <c r="AP334" s="215"/>
      <c r="AQ334" s="218"/>
      <c r="AR334" s="211"/>
      <c r="AS334" s="211"/>
      <c r="AT334" s="211"/>
      <c r="AU334" s="211"/>
      <c r="AV334" s="211"/>
      <c r="AW334" s="211"/>
      <c r="AX334" s="211"/>
      <c r="AY334" s="211"/>
      <c r="AZ334" s="211"/>
      <c r="BB334" s="211"/>
      <c r="BC334" s="211"/>
      <c r="BD334" s="211"/>
      <c r="BE334" s="211"/>
      <c r="BF334" s="211"/>
      <c r="BG334" s="211"/>
      <c r="BH334" s="211"/>
      <c r="BI334" s="211"/>
    </row>
    <row r="335">
      <c r="A335" s="210" t="str">
        <f>IFERROR(__xludf.DUMMYFUNCTION("""COMPUTED_VALUE"""),"12240150")</f>
        <v>12240150</v>
      </c>
      <c r="B335" s="210" t="str">
        <f>IFERROR(__xludf.DUMMYFUNCTION("""COMPUTED_VALUE"""),"12240150")</f>
        <v>12240150</v>
      </c>
      <c r="C335" s="213">
        <f>IFERROR(__xludf.DUMMYFUNCTION("""COMPUTED_VALUE"""),45630.55763888889)</f>
        <v>45630.55764</v>
      </c>
      <c r="D335" s="211" t="str">
        <f>IFERROR(__xludf.DUMMYFUNCTION("""COMPUTED_VALUE"""),"4ec68cf6")</f>
        <v>4ec68cf6</v>
      </c>
      <c r="E335" s="211" t="str">
        <f>IFERROR(__xludf.DUMMYFUNCTION("""COMPUTED_VALUE"""),"CV Sido Mukti Karya")</f>
        <v>CV Sido Mukti Karya</v>
      </c>
      <c r="F335" s="211" t="str">
        <f>IFERROR(__xludf.DUMMYFUNCTION("""COMPUTED_VALUE"""),"ef306e54")</f>
        <v>ef306e54</v>
      </c>
      <c r="G335" s="211" t="str">
        <f>IFERROR(__xludf.DUMMYFUNCTION("""COMPUTED_VALUE"""),"Karbondioksida")</f>
        <v>Karbondioksida</v>
      </c>
      <c r="H335" s="214" t="str">
        <f>IFERROR(__xludf.DUMMYFUNCTION("""COMPUTED_VALUE"""),"OUT")</f>
        <v>OUT</v>
      </c>
      <c r="I335" s="214" t="str">
        <f>IFERROR(__xludf.DUMMYFUNCTION("""COMPUTED_VALUE"""),"NORMAL")</f>
        <v>NORMAL</v>
      </c>
      <c r="J335" s="211">
        <f>IFERROR(__xludf.DUMMYFUNCTION("""COMPUTED_VALUE"""),2.0)</f>
        <v>2</v>
      </c>
      <c r="K335" s="210" t="str">
        <f>IFERROR(__xludf.DUMMYFUNCTION("""COMPUTED_VALUE"""),"6664 6643")</f>
        <v>6664 6643</v>
      </c>
      <c r="L335" s="211">
        <f>IFERROR(__xludf.DUMMYFUNCTION("""COMPUTED_VALUE"""),170000.0)</f>
        <v>170000</v>
      </c>
      <c r="M335" s="211"/>
      <c r="N335" s="211"/>
      <c r="O335" s="211"/>
      <c r="Q335" s="210" t="str">
        <f>IFERROR(__xludf.DUMMYFUNCTION("""COMPUTED_VALUE"""),"01250203")</f>
        <v>01250203</v>
      </c>
      <c r="R335" s="210" t="str">
        <f>IFERROR(__xludf.DUMMYFUNCTION("""COMPUTED_VALUE"""),"01250203")</f>
        <v>01250203</v>
      </c>
      <c r="S335" s="211" t="str">
        <f>IFERROR(__xludf.DUMMYFUNCTION("""COMPUTED_VALUE"""),"7e28b0bb")</f>
        <v>7e28b0bb</v>
      </c>
      <c r="T335" s="211" t="str">
        <f>IFERROR(__xludf.DUMMYFUNCTION("""COMPUTED_VALUE"""),"PT Surya Langit Biru")</f>
        <v>PT Surya Langit Biru</v>
      </c>
      <c r="U335" s="215">
        <f>IFERROR(__xludf.DUMMYFUNCTION("""COMPUTED_VALUE"""),45666.375)</f>
        <v>45666.375</v>
      </c>
      <c r="V335" s="211" t="str">
        <f>IFERROR(__xludf.DUMMYFUNCTION("""COMPUTED_VALUE"""),"Mlirip  Krian, Singkalan, Kec. BalongBendo, Kabupaten Sidoarjo, Jawa Timur 61263")</f>
        <v>Mlirip  Krian, Singkalan, Kec. BalongBendo, Kabupaten Sidoarjo, Jawa Timur 61263</v>
      </c>
      <c r="W335" s="211" t="str">
        <f>IFERROR(__xludf.DUMMYFUNCTION("""COMPUTED_VALUE"""),"OUT")</f>
        <v>OUT</v>
      </c>
      <c r="X335" s="211"/>
      <c r="Z335" s="211" t="str">
        <f>IFERROR(__xludf.DUMMYFUNCTION("""COMPUTED_VALUE"""),"0126112352")</f>
        <v>0126112352</v>
      </c>
      <c r="AC335" s="211"/>
      <c r="AD335" s="211"/>
      <c r="AE335" s="211"/>
      <c r="AF335" s="211"/>
      <c r="AG335" s="211"/>
      <c r="AH335" s="211"/>
      <c r="AI335" s="211"/>
      <c r="AJ335" s="211"/>
      <c r="AL335" s="211"/>
      <c r="AM335" s="211"/>
      <c r="AN335" s="211"/>
      <c r="AO335" s="211"/>
      <c r="AP335" s="215"/>
      <c r="AQ335" s="218"/>
      <c r="AR335" s="211"/>
      <c r="AS335" s="211"/>
      <c r="AT335" s="211"/>
      <c r="AU335" s="211"/>
      <c r="AV335" s="211"/>
      <c r="AW335" s="211"/>
      <c r="AX335" s="211"/>
      <c r="AY335" s="211"/>
      <c r="AZ335" s="211"/>
      <c r="BB335" s="211"/>
      <c r="BC335" s="211"/>
      <c r="BD335" s="211"/>
      <c r="BE335" s="211"/>
      <c r="BF335" s="211"/>
      <c r="BG335" s="211"/>
      <c r="BH335" s="211"/>
      <c r="BI335" s="211"/>
    </row>
    <row r="336">
      <c r="A336" s="210" t="str">
        <f>IFERROR(__xludf.DUMMYFUNCTION("""COMPUTED_VALUE"""),"940abfe1")</f>
        <v>940abfe1</v>
      </c>
      <c r="B336" s="210" t="str">
        <f>IFERROR(__xludf.DUMMYFUNCTION("""COMPUTED_VALUE"""),"940abfe1")</f>
        <v>940abfe1</v>
      </c>
      <c r="C336" s="213">
        <f>IFERROR(__xludf.DUMMYFUNCTION("""COMPUTED_VALUE"""),45630.614583333336)</f>
        <v>45630.61458</v>
      </c>
      <c r="D336" s="211" t="str">
        <f>IFERROR(__xludf.DUMMYFUNCTION("""COMPUTED_VALUE"""),"37175874")</f>
        <v>37175874</v>
      </c>
      <c r="E336" s="211" t="str">
        <f>IFERROR(__xludf.DUMMYFUNCTION("""COMPUTED_VALUE"""),"PT TERAPAN NILAIOSILASI INDONESIA (TENO)")</f>
        <v>PT TERAPAN NILAIOSILASI INDONESIA (TENO)</v>
      </c>
      <c r="F336" s="211" t="str">
        <f>IFERROR(__xludf.DUMMYFUNCTION("""COMPUTED_VALUE"""),"8bdbe149")</f>
        <v>8bdbe149</v>
      </c>
      <c r="G336" s="211" t="str">
        <f>IFERROR(__xludf.DUMMYFUNCTION("""COMPUTED_VALUE"""),"Oksigen 6m3")</f>
        <v>Oksigen 6m3</v>
      </c>
      <c r="H336" s="214" t="str">
        <f>IFERROR(__xludf.DUMMYFUNCTION("""COMPUTED_VALUE"""),"IN")</f>
        <v>IN</v>
      </c>
      <c r="I336" s="214" t="str">
        <f>IFERROR(__xludf.DUMMYFUNCTION("""COMPUTED_VALUE"""),"EMPTY")</f>
        <v>EMPTY</v>
      </c>
      <c r="J336" s="211">
        <f>IFERROR(__xludf.DUMMYFUNCTION("""COMPUTED_VALUE"""),5.0)</f>
        <v>5</v>
      </c>
      <c r="K336" s="210" t="str">
        <f>IFERROR(__xludf.DUMMYFUNCTION("""COMPUTED_VALUE"""),"11161 11114 1365 1675 1021")</f>
        <v>11161 11114 1365 1675 1021</v>
      </c>
      <c r="L336" s="211"/>
      <c r="M336" s="211"/>
      <c r="N336" s="211"/>
      <c r="O336" s="211"/>
      <c r="Q336" s="210" t="str">
        <f>IFERROR(__xludf.DUMMYFUNCTION("""COMPUTED_VALUE"""),"01250204")</f>
        <v>01250204</v>
      </c>
      <c r="R336" s="210" t="str">
        <f>IFERROR(__xludf.DUMMYFUNCTION("""COMPUTED_VALUE"""),"01250204")</f>
        <v>01250204</v>
      </c>
      <c r="S336" s="211" t="str">
        <f>IFERROR(__xludf.DUMMYFUNCTION("""COMPUTED_VALUE"""),"4ec68cf6")</f>
        <v>4ec68cf6</v>
      </c>
      <c r="T336" s="211" t="str">
        <f>IFERROR(__xludf.DUMMYFUNCTION("""COMPUTED_VALUE"""),"CV Sido Mukti Karya")</f>
        <v>CV Sido Mukti Karya</v>
      </c>
      <c r="U336" s="215">
        <f>IFERROR(__xludf.DUMMYFUNCTION("""COMPUTED_VALUE"""),45666.51111111111)</f>
        <v>45666.51111</v>
      </c>
      <c r="V336" s="211" t="str">
        <f>IFERROR(__xludf.DUMMYFUNCTION("""COMPUTED_VALUE"""),"Pergudangan Center Point no A3, Kemangsen")</f>
        <v>Pergudangan Center Point no A3, Kemangsen</v>
      </c>
      <c r="W336" s="211" t="str">
        <f>IFERROR(__xludf.DUMMYFUNCTION("""COMPUTED_VALUE"""),"OUT")</f>
        <v>OUT</v>
      </c>
      <c r="X336" s="211"/>
      <c r="Z336" s="211" t="str">
        <f>IFERROR(__xludf.DUMMYFUNCTION("""COMPUTED_VALUE"""),"0126112350")</f>
        <v>0126112350</v>
      </c>
      <c r="AC336" s="211"/>
      <c r="AD336" s="211"/>
      <c r="AE336" s="211"/>
      <c r="AF336" s="211"/>
      <c r="AG336" s="211"/>
      <c r="AH336" s="211"/>
      <c r="AI336" s="211"/>
      <c r="AJ336" s="211"/>
      <c r="AL336" s="211"/>
      <c r="AM336" s="211"/>
      <c r="AN336" s="211"/>
      <c r="AO336" s="211"/>
      <c r="AP336" s="215"/>
      <c r="AQ336" s="218"/>
      <c r="AR336" s="211"/>
      <c r="AS336" s="211"/>
      <c r="AT336" s="211"/>
      <c r="AU336" s="211"/>
      <c r="AV336" s="211"/>
      <c r="AW336" s="211"/>
      <c r="AX336" s="211"/>
      <c r="AY336" s="211"/>
      <c r="AZ336" s="211"/>
      <c r="BB336" s="211"/>
      <c r="BC336" s="211"/>
      <c r="BD336" s="211"/>
      <c r="BE336" s="211"/>
      <c r="BF336" s="211"/>
      <c r="BG336" s="211"/>
      <c r="BH336" s="211"/>
      <c r="BI336" s="211"/>
    </row>
    <row r="337">
      <c r="A337" s="210" t="str">
        <f>IFERROR(__xludf.DUMMYFUNCTION("""COMPUTED_VALUE"""),"940abfe1")</f>
        <v>940abfe1</v>
      </c>
      <c r="B337" s="210" t="str">
        <f>IFERROR(__xludf.DUMMYFUNCTION("""COMPUTED_VALUE"""),"940abfe1")</f>
        <v>940abfe1</v>
      </c>
      <c r="C337" s="213">
        <f>IFERROR(__xludf.DUMMYFUNCTION("""COMPUTED_VALUE"""),45630.615277777775)</f>
        <v>45630.61528</v>
      </c>
      <c r="D337" s="211" t="str">
        <f>IFERROR(__xludf.DUMMYFUNCTION("""COMPUTED_VALUE"""),"37175874")</f>
        <v>37175874</v>
      </c>
      <c r="E337" s="211" t="str">
        <f>IFERROR(__xludf.DUMMYFUNCTION("""COMPUTED_VALUE"""),"PT TERAPAN NILAIOSILASI INDONESIA (TENO)")</f>
        <v>PT TERAPAN NILAIOSILASI INDONESIA (TENO)</v>
      </c>
      <c r="F337" s="211" t="str">
        <f>IFERROR(__xludf.DUMMYFUNCTION("""COMPUTED_VALUE"""),"3b9d6a30")</f>
        <v>3b9d6a30</v>
      </c>
      <c r="G337" s="211" t="str">
        <f>IFERROR(__xludf.DUMMYFUNCTION("""COMPUTED_VALUE"""),"Acetyline")</f>
        <v>Acetyline</v>
      </c>
      <c r="H337" s="214" t="str">
        <f>IFERROR(__xludf.DUMMYFUNCTION("""COMPUTED_VALUE"""),"IN")</f>
        <v>IN</v>
      </c>
      <c r="I337" s="214" t="str">
        <f>IFERROR(__xludf.DUMMYFUNCTION("""COMPUTED_VALUE"""),"EMPTY")</f>
        <v>EMPTY</v>
      </c>
      <c r="J337" s="211">
        <f>IFERROR(__xludf.DUMMYFUNCTION("""COMPUTED_VALUE"""),1.0)</f>
        <v>1</v>
      </c>
      <c r="K337" s="210" t="str">
        <f>IFERROR(__xludf.DUMMYFUNCTION("""COMPUTED_VALUE"""),"7810")</f>
        <v>7810</v>
      </c>
      <c r="L337" s="211"/>
      <c r="M337" s="211"/>
      <c r="N337" s="211"/>
      <c r="O337" s="211"/>
      <c r="Q337" s="210" t="str">
        <f>IFERROR(__xludf.DUMMYFUNCTION("""COMPUTED_VALUE"""),"01250205")</f>
        <v>01250205</v>
      </c>
      <c r="R337" s="210" t="str">
        <f>IFERROR(__xludf.DUMMYFUNCTION("""COMPUTED_VALUE"""),"01250205")</f>
        <v>01250205</v>
      </c>
      <c r="S337" s="211" t="str">
        <f>IFERROR(__xludf.DUMMYFUNCTION("""COMPUTED_VALUE"""),"5f23ba17")</f>
        <v>5f23ba17</v>
      </c>
      <c r="T337" s="211" t="str">
        <f>IFERROR(__xludf.DUMMYFUNCTION("""COMPUTED_VALUE"""),"Bpk. Joko (Gresik)")</f>
        <v>Bpk. Joko (Gresik)</v>
      </c>
      <c r="U337" s="215">
        <f>IFERROR(__xludf.DUMMYFUNCTION("""COMPUTED_VALUE"""),45667.42569444445)</f>
        <v>45667.42569</v>
      </c>
      <c r="V337" s="211" t="str">
        <f>IFERROR(__xludf.DUMMYFUNCTION("""COMPUTED_VALUE"""),"Tanggungan, Lebaniwaras, Kec. Wringinanom, Kabupaten Gresik, Jawa Timur")</f>
        <v>Tanggungan, Lebaniwaras, Kec. Wringinanom, Kabupaten Gresik, Jawa Timur</v>
      </c>
      <c r="W337" s="211" t="str">
        <f>IFERROR(__xludf.DUMMYFUNCTION("""COMPUTED_VALUE"""),"OUT")</f>
        <v>OUT</v>
      </c>
      <c r="X337" s="211"/>
      <c r="Z337" s="211" t="str">
        <f>IFERROR(__xludf.DUMMYFUNCTION("""COMPUTED_VALUE"""),"012652349")</f>
        <v>012652349</v>
      </c>
      <c r="AC337" s="211"/>
      <c r="AD337" s="211"/>
      <c r="AE337" s="211"/>
      <c r="AF337" s="211"/>
      <c r="AG337" s="211"/>
      <c r="AH337" s="211"/>
      <c r="AI337" s="211"/>
      <c r="AJ337" s="211"/>
      <c r="AL337" s="211"/>
      <c r="AM337" s="211"/>
      <c r="AN337" s="211"/>
      <c r="AO337" s="211"/>
      <c r="AP337" s="215"/>
      <c r="AQ337" s="218"/>
      <c r="AR337" s="211"/>
      <c r="AS337" s="211"/>
      <c r="AT337" s="211"/>
      <c r="AU337" s="211"/>
      <c r="AV337" s="211"/>
      <c r="AW337" s="211"/>
      <c r="AX337" s="211"/>
      <c r="AY337" s="211"/>
      <c r="AZ337" s="211"/>
      <c r="BB337" s="211"/>
      <c r="BC337" s="211"/>
      <c r="BD337" s="211"/>
      <c r="BE337" s="211"/>
      <c r="BF337" s="211"/>
      <c r="BG337" s="211"/>
      <c r="BH337" s="211"/>
      <c r="BI337" s="211"/>
    </row>
    <row r="338">
      <c r="A338" s="210" t="str">
        <f>IFERROR(__xludf.DUMMYFUNCTION("""COMPUTED_VALUE"""),"3b5a7e38")</f>
        <v>3b5a7e38</v>
      </c>
      <c r="B338" s="210" t="str">
        <f>IFERROR(__xludf.DUMMYFUNCTION("""COMPUTED_VALUE"""),"3b5a7e38")</f>
        <v>3b5a7e38</v>
      </c>
      <c r="C338" s="213">
        <f>IFERROR(__xludf.DUMMYFUNCTION("""COMPUTED_VALUE"""),45630.615277777775)</f>
        <v>45630.61528</v>
      </c>
      <c r="D338" s="211" t="str">
        <f>IFERROR(__xludf.DUMMYFUNCTION("""COMPUTED_VALUE"""),"2d88931c")</f>
        <v>2d88931c</v>
      </c>
      <c r="E338" s="211" t="str">
        <f>IFERROR(__xludf.DUMMYFUNCTION("""COMPUTED_VALUE"""),"PT Dunia Berkat Marga Mulya")</f>
        <v>PT Dunia Berkat Marga Mulya</v>
      </c>
      <c r="F338" s="211" t="str">
        <f>IFERROR(__xludf.DUMMYFUNCTION("""COMPUTED_VALUE"""),"8bdbe149")</f>
        <v>8bdbe149</v>
      </c>
      <c r="G338" s="211" t="str">
        <f>IFERROR(__xludf.DUMMYFUNCTION("""COMPUTED_VALUE"""),"Oksigen 6m3")</f>
        <v>Oksigen 6m3</v>
      </c>
      <c r="H338" s="214" t="str">
        <f>IFERROR(__xludf.DUMMYFUNCTION("""COMPUTED_VALUE"""),"IN")</f>
        <v>IN</v>
      </c>
      <c r="I338" s="214" t="str">
        <f>IFERROR(__xludf.DUMMYFUNCTION("""COMPUTED_VALUE"""),"EMPTY")</f>
        <v>EMPTY</v>
      </c>
      <c r="J338" s="211">
        <f>IFERROR(__xludf.DUMMYFUNCTION("""COMPUTED_VALUE"""),1.0)</f>
        <v>1</v>
      </c>
      <c r="K338" s="210" t="str">
        <f>IFERROR(__xludf.DUMMYFUNCTION("""COMPUTED_VALUE"""),"1123")</f>
        <v>1123</v>
      </c>
      <c r="L338" s="211"/>
      <c r="M338" s="211"/>
      <c r="N338" s="211"/>
      <c r="O338" s="211"/>
      <c r="Q338" s="210" t="str">
        <f>IFERROR(__xludf.DUMMYFUNCTION("""COMPUTED_VALUE"""),"01250207")</f>
        <v>01250207</v>
      </c>
      <c r="R338" s="210" t="str">
        <f>IFERROR(__xludf.DUMMYFUNCTION("""COMPUTED_VALUE"""),"01250207")</f>
        <v>01250207</v>
      </c>
      <c r="S338" s="211" t="str">
        <f>IFERROR(__xludf.DUMMYFUNCTION("""COMPUTED_VALUE"""),"8f5ebaea")</f>
        <v>8f5ebaea</v>
      </c>
      <c r="T338" s="211" t="str">
        <f>IFERROR(__xludf.DUMMYFUNCTION("""COMPUTED_VALUE"""),"PT Hua Zong Mesindo")</f>
        <v>PT Hua Zong Mesindo</v>
      </c>
      <c r="U338" s="215">
        <f>IFERROR(__xludf.DUMMYFUNCTION("""COMPUTED_VALUE"""),45667.606944444444)</f>
        <v>45667.60694</v>
      </c>
      <c r="V338" s="211" t="str">
        <f>IFERROR(__xludf.DUMMYFUNCTION("""COMPUTED_VALUE"""),"Jl. Bypass Krian, Sidotemo, Sidomulyo, Kec. Krian, Kabupaten Sidoarjo, Jawa Timur 61262")</f>
        <v>Jl. Bypass Krian, Sidotemo, Sidomulyo, Kec. Krian, Kabupaten Sidoarjo, Jawa Timur 61262</v>
      </c>
      <c r="W338" s="211" t="str">
        <f>IFERROR(__xludf.DUMMYFUNCTION("""COMPUTED_VALUE"""),"OUT")</f>
        <v>OUT</v>
      </c>
      <c r="X338" s="211"/>
      <c r="Z338" s="211" t="str">
        <f>IFERROR(__xludf.DUMMYFUNCTION("""COMPUTED_VALUE"""),"0126122348")</f>
        <v>0126122348</v>
      </c>
      <c r="AC338" s="211"/>
      <c r="AD338" s="211"/>
      <c r="AE338" s="211"/>
      <c r="AF338" s="211"/>
      <c r="AG338" s="211"/>
      <c r="AH338" s="211"/>
      <c r="AI338" s="211"/>
      <c r="AJ338" s="211"/>
      <c r="AL338" s="211"/>
      <c r="AM338" s="211"/>
      <c r="AN338" s="211"/>
      <c r="AO338" s="211"/>
      <c r="AP338" s="215"/>
      <c r="AQ338" s="218"/>
      <c r="AR338" s="211"/>
      <c r="AS338" s="211"/>
      <c r="AT338" s="211"/>
      <c r="AU338" s="211"/>
      <c r="AV338" s="211"/>
      <c r="AW338" s="211"/>
      <c r="AX338" s="211"/>
      <c r="AY338" s="211"/>
      <c r="AZ338" s="211"/>
      <c r="BB338" s="211"/>
      <c r="BC338" s="211"/>
      <c r="BD338" s="211"/>
      <c r="BE338" s="211"/>
      <c r="BF338" s="211"/>
      <c r="BG338" s="211"/>
      <c r="BH338" s="211"/>
      <c r="BI338" s="211"/>
    </row>
    <row r="339">
      <c r="A339" s="210" t="str">
        <f>IFERROR(__xludf.DUMMYFUNCTION("""COMPUTED_VALUE"""),"8821a5ed")</f>
        <v>8821a5ed</v>
      </c>
      <c r="B339" s="210" t="str">
        <f>IFERROR(__xludf.DUMMYFUNCTION("""COMPUTED_VALUE"""),"8821a5ed")</f>
        <v>8821a5ed</v>
      </c>
      <c r="C339" s="213">
        <f>IFERROR(__xludf.DUMMYFUNCTION("""COMPUTED_VALUE"""),45630.61597222222)</f>
        <v>45630.61597</v>
      </c>
      <c r="D339" s="211" t="str">
        <f>IFERROR(__xludf.DUMMYFUNCTION("""COMPUTED_VALUE"""),"e968afef")</f>
        <v>e968afef</v>
      </c>
      <c r="E339" s="211" t="str">
        <f>IFERROR(__xludf.DUMMYFUNCTION("""COMPUTED_VALUE"""),"Bpk. Agus")</f>
        <v>Bpk. Agus</v>
      </c>
      <c r="F339" s="211" t="str">
        <f>IFERROR(__xludf.DUMMYFUNCTION("""COMPUTED_VALUE"""),"8bdbe149")</f>
        <v>8bdbe149</v>
      </c>
      <c r="G339" s="211" t="str">
        <f>IFERROR(__xludf.DUMMYFUNCTION("""COMPUTED_VALUE"""),"Oksigen 6m3")</f>
        <v>Oksigen 6m3</v>
      </c>
      <c r="H339" s="214" t="str">
        <f>IFERROR(__xludf.DUMMYFUNCTION("""COMPUTED_VALUE"""),"IN")</f>
        <v>IN</v>
      </c>
      <c r="I339" s="214" t="str">
        <f>IFERROR(__xludf.DUMMYFUNCTION("""COMPUTED_VALUE"""),"EMPTY")</f>
        <v>EMPTY</v>
      </c>
      <c r="J339" s="211">
        <f>IFERROR(__xludf.DUMMYFUNCTION("""COMPUTED_VALUE"""),2.0)</f>
        <v>2</v>
      </c>
      <c r="K339" s="210" t="str">
        <f>IFERROR(__xludf.DUMMYFUNCTION("""COMPUTED_VALUE"""),"11119 1197")</f>
        <v>11119 1197</v>
      </c>
      <c r="L339" s="211"/>
      <c r="M339" s="211"/>
      <c r="N339" s="211"/>
      <c r="O339" s="211"/>
      <c r="Q339" s="210" t="str">
        <f>IFERROR(__xludf.DUMMYFUNCTION("""COMPUTED_VALUE"""),"01250208")</f>
        <v>01250208</v>
      </c>
      <c r="R339" s="210" t="str">
        <f>IFERROR(__xludf.DUMMYFUNCTION("""COMPUTED_VALUE"""),"01250208")</f>
        <v>01250208</v>
      </c>
      <c r="S339" s="211" t="str">
        <f>IFERROR(__xludf.DUMMYFUNCTION("""COMPUTED_VALUE"""),"3fec37df")</f>
        <v>3fec37df</v>
      </c>
      <c r="T339" s="211" t="str">
        <f>IFERROR(__xludf.DUMMYFUNCTION("""COMPUTED_VALUE"""),"PT Jatim Abadi Perkasa Steel")</f>
        <v>PT Jatim Abadi Perkasa Steel</v>
      </c>
      <c r="U339" s="215">
        <f>IFERROR(__xludf.DUMMYFUNCTION("""COMPUTED_VALUE"""),45668.48958333333)</f>
        <v>45668.48958</v>
      </c>
      <c r="V339" s="211" t="str">
        <f>IFERROR(__xludf.DUMMYFUNCTION("""COMPUTED_VALUE"""),"Dsn. Bulak Sempuh, Jatirejo, Kab. Mojokerto, Jawa Timur")</f>
        <v>Dsn. Bulak Sempuh, Jatirejo, Kab. Mojokerto, Jawa Timur</v>
      </c>
      <c r="W339" s="211" t="str">
        <f>IFERROR(__xludf.DUMMYFUNCTION("""COMPUTED_VALUE"""),"OUT")</f>
        <v>OUT</v>
      </c>
      <c r="X339" s="211"/>
      <c r="Z339" s="211" t="str">
        <f>IFERROR(__xludf.DUMMYFUNCTION("""COMPUTED_VALUE"""),"0126762347")</f>
        <v>0126762347</v>
      </c>
      <c r="AC339" s="211"/>
      <c r="AD339" s="211"/>
      <c r="AE339" s="211"/>
      <c r="AF339" s="211"/>
      <c r="AG339" s="211"/>
      <c r="AH339" s="211"/>
      <c r="AI339" s="211"/>
      <c r="AJ339" s="211"/>
      <c r="AL339" s="211"/>
      <c r="AM339" s="211"/>
      <c r="AN339" s="211"/>
      <c r="AO339" s="211"/>
      <c r="AP339" s="215"/>
      <c r="AQ339" s="218"/>
      <c r="AR339" s="211"/>
      <c r="AS339" s="211"/>
      <c r="AT339" s="211"/>
      <c r="AU339" s="211"/>
      <c r="AV339" s="211"/>
      <c r="AW339" s="211"/>
      <c r="AX339" s="211"/>
      <c r="AY339" s="211"/>
      <c r="AZ339" s="211"/>
      <c r="BB339" s="211"/>
      <c r="BC339" s="211"/>
      <c r="BD339" s="211"/>
      <c r="BE339" s="211"/>
      <c r="BF339" s="211"/>
      <c r="BG339" s="211"/>
      <c r="BH339" s="211"/>
      <c r="BI339" s="211"/>
    </row>
    <row r="340">
      <c r="A340" s="210" t="str">
        <f>IFERROR(__xludf.DUMMYFUNCTION("""COMPUTED_VALUE"""),"21b97c84")</f>
        <v>21b97c84</v>
      </c>
      <c r="B340" s="210" t="str">
        <f>IFERROR(__xludf.DUMMYFUNCTION("""COMPUTED_VALUE"""),"21b97c84")</f>
        <v>21b97c84</v>
      </c>
      <c r="C340" s="213">
        <f>IFERROR(__xludf.DUMMYFUNCTION("""COMPUTED_VALUE"""),45630.67291666667)</f>
        <v>45630.67292</v>
      </c>
      <c r="D340" s="211" t="str">
        <f>IFERROR(__xludf.DUMMYFUNCTION("""COMPUTED_VALUE"""),"4ec68cf6")</f>
        <v>4ec68cf6</v>
      </c>
      <c r="E340" s="211" t="str">
        <f>IFERROR(__xludf.DUMMYFUNCTION("""COMPUTED_VALUE"""),"CV Sido Mukti Karya")</f>
        <v>CV Sido Mukti Karya</v>
      </c>
      <c r="F340" s="211" t="str">
        <f>IFERROR(__xludf.DUMMYFUNCTION("""COMPUTED_VALUE"""),"8bdbe149")</f>
        <v>8bdbe149</v>
      </c>
      <c r="G340" s="211" t="str">
        <f>IFERROR(__xludf.DUMMYFUNCTION("""COMPUTED_VALUE"""),"Oksigen 6m3")</f>
        <v>Oksigen 6m3</v>
      </c>
      <c r="H340" s="214" t="str">
        <f>IFERROR(__xludf.DUMMYFUNCTION("""COMPUTED_VALUE"""),"IN")</f>
        <v>IN</v>
      </c>
      <c r="I340" s="214" t="str">
        <f>IFERROR(__xludf.DUMMYFUNCTION("""COMPUTED_VALUE"""),"EMPTY")</f>
        <v>EMPTY</v>
      </c>
      <c r="J340" s="211">
        <f>IFERROR(__xludf.DUMMYFUNCTION("""COMPUTED_VALUE"""),1.0)</f>
        <v>1</v>
      </c>
      <c r="K340" s="210" t="str">
        <f>IFERROR(__xludf.DUMMYFUNCTION("""COMPUTED_VALUE"""),"5206")</f>
        <v>5206</v>
      </c>
      <c r="L340" s="211"/>
      <c r="M340" s="211"/>
      <c r="N340" s="211"/>
      <c r="O340" s="211"/>
      <c r="Q340" s="210" t="str">
        <f>IFERROR(__xludf.DUMMYFUNCTION("""COMPUTED_VALUE"""),"01250209")</f>
        <v>01250209</v>
      </c>
      <c r="R340" s="210" t="str">
        <f>IFERROR(__xludf.DUMMYFUNCTION("""COMPUTED_VALUE"""),"01250209")</f>
        <v>01250209</v>
      </c>
      <c r="S340" s="211" t="str">
        <f>IFERROR(__xludf.DUMMYFUNCTION("""COMPUTED_VALUE"""),"e86baf3b")</f>
        <v>e86baf3b</v>
      </c>
      <c r="T340" s="211" t="str">
        <f>IFERROR(__xludf.DUMMYFUNCTION("""COMPUTED_VALUE"""),"PT GEMILANG CIPTA WAWASAN")</f>
        <v>PT GEMILANG CIPTA WAWASAN</v>
      </c>
      <c r="U340" s="215">
        <f>IFERROR(__xludf.DUMMYFUNCTION("""COMPUTED_VALUE"""),45670.36666666667)</f>
        <v>45670.36667</v>
      </c>
      <c r="V340" s="211" t="str">
        <f>IFERROR(__xludf.DUMMYFUNCTION("""COMPUTED_VALUE"""),"JL TEBET RAYA, 2A, TEBET BARAT, TEBET, KOTA ADM, JAKARTA SELATAN, DKI JAKARTA")</f>
        <v>JL TEBET RAYA, 2A, TEBET BARAT, TEBET, KOTA ADM, JAKARTA SELATAN, DKI JAKARTA</v>
      </c>
      <c r="W340" s="211" t="str">
        <f>IFERROR(__xludf.DUMMYFUNCTION("""COMPUTED_VALUE"""),"OUT")</f>
        <v>OUT</v>
      </c>
      <c r="X340" s="211"/>
      <c r="Z340" s="211" t="str">
        <f>IFERROR(__xludf.DUMMYFUNCTION("""COMPUTED_VALUE"""),"0126152344")</f>
        <v>0126152344</v>
      </c>
      <c r="AC340" s="211"/>
      <c r="AD340" s="211"/>
      <c r="AE340" s="211"/>
      <c r="AF340" s="211"/>
      <c r="AG340" s="211"/>
      <c r="AH340" s="211"/>
      <c r="AI340" s="211"/>
      <c r="AJ340" s="211"/>
      <c r="AL340" s="211"/>
      <c r="AM340" s="211"/>
      <c r="AN340" s="211"/>
      <c r="AO340" s="211"/>
      <c r="AP340" s="215"/>
      <c r="AQ340" s="218"/>
      <c r="AR340" s="211"/>
      <c r="AS340" s="211"/>
      <c r="AT340" s="211"/>
      <c r="AU340" s="211"/>
      <c r="AV340" s="211"/>
      <c r="AW340" s="211"/>
      <c r="AX340" s="211"/>
      <c r="AY340" s="211"/>
      <c r="AZ340" s="211"/>
      <c r="BB340" s="211"/>
      <c r="BC340" s="211"/>
      <c r="BD340" s="211"/>
      <c r="BE340" s="211"/>
      <c r="BF340" s="211"/>
      <c r="BG340" s="211"/>
      <c r="BH340" s="211"/>
      <c r="BI340" s="211"/>
    </row>
    <row r="341">
      <c r="A341" s="210" t="str">
        <f>IFERROR(__xludf.DUMMYFUNCTION("""COMPUTED_VALUE"""),"12240151")</f>
        <v>12240151</v>
      </c>
      <c r="B341" s="210" t="str">
        <f>IFERROR(__xludf.DUMMYFUNCTION("""COMPUTED_VALUE"""),"12240151")</f>
        <v>12240151</v>
      </c>
      <c r="C341" s="213">
        <f>IFERROR(__xludf.DUMMYFUNCTION("""COMPUTED_VALUE"""),45631.41805555556)</f>
        <v>45631.41806</v>
      </c>
      <c r="D341" s="211" t="str">
        <f>IFERROR(__xludf.DUMMYFUNCTION("""COMPUTED_VALUE"""),"103f3ae7")</f>
        <v>103f3ae7</v>
      </c>
      <c r="E341" s="211" t="str">
        <f>IFERROR(__xludf.DUMMYFUNCTION("""COMPUTED_VALUE"""),"PT ARYANA CAKASANA")</f>
        <v>PT ARYANA CAKASANA</v>
      </c>
      <c r="F341" s="211" t="str">
        <f>IFERROR(__xludf.DUMMYFUNCTION("""COMPUTED_VALUE"""),"8bdbe149")</f>
        <v>8bdbe149</v>
      </c>
      <c r="G341" s="211" t="str">
        <f>IFERROR(__xludf.DUMMYFUNCTION("""COMPUTED_VALUE"""),"Oksigen 6m3")</f>
        <v>Oksigen 6m3</v>
      </c>
      <c r="H341" s="214" t="str">
        <f>IFERROR(__xludf.DUMMYFUNCTION("""COMPUTED_VALUE"""),"OUT")</f>
        <v>OUT</v>
      </c>
      <c r="I341" s="214" t="str">
        <f>IFERROR(__xludf.DUMMYFUNCTION("""COMPUTED_VALUE"""),"NORMAL")</f>
        <v>NORMAL</v>
      </c>
      <c r="J341" s="211">
        <f>IFERROR(__xludf.DUMMYFUNCTION("""COMPUTED_VALUE"""),10.0)</f>
        <v>10</v>
      </c>
      <c r="K341" s="210" t="str">
        <f>IFERROR(__xludf.DUMMYFUNCTION("""COMPUTED_VALUE"""),"1143 11103 11119 1117 1184 1181 1193 11123 1111 11120")</f>
        <v>1143 11103 11119 1117 1184 1181 1193 11123 1111 11120</v>
      </c>
      <c r="L341" s="211">
        <f>IFERROR(__xludf.DUMMYFUNCTION("""COMPUTED_VALUE"""),47297.2973)</f>
        <v>47297.2973</v>
      </c>
      <c r="M341" s="211"/>
      <c r="N341" s="211"/>
      <c r="O341" s="211"/>
      <c r="Q341" s="210" t="str">
        <f>IFERROR(__xludf.DUMMYFUNCTION("""COMPUTED_VALUE"""),"01250210")</f>
        <v>01250210</v>
      </c>
      <c r="R341" s="210" t="str">
        <f>IFERROR(__xludf.DUMMYFUNCTION("""COMPUTED_VALUE"""),"01250210")</f>
        <v>01250210</v>
      </c>
      <c r="S341" s="211" t="str">
        <f>IFERROR(__xludf.DUMMYFUNCTION("""COMPUTED_VALUE"""),"6b737895")</f>
        <v>6b737895</v>
      </c>
      <c r="T341" s="211" t="str">
        <f>IFERROR(__xludf.DUMMYFUNCTION("""COMPUTED_VALUE"""),"Ibu Yanti")</f>
        <v>Ibu Yanti</v>
      </c>
      <c r="U341" s="215">
        <f>IFERROR(__xludf.DUMMYFUNCTION("""COMPUTED_VALUE"""),45670.367361111115)</f>
        <v>45670.36736</v>
      </c>
      <c r="V341" s="211" t="str">
        <f>IFERROR(__xludf.DUMMYFUNCTION("""COMPUTED_VALUE"""),"Klutuk, Kramat Jegu, Kec. Taman, Kabupaten Sidoarjo, Jawa Timur 61257")</f>
        <v>Klutuk, Kramat Jegu, Kec. Taman, Kabupaten Sidoarjo, Jawa Timur 61257</v>
      </c>
      <c r="W341" s="211" t="str">
        <f>IFERROR(__xludf.DUMMYFUNCTION("""COMPUTED_VALUE"""),"OUT")</f>
        <v>OUT</v>
      </c>
      <c r="X341" s="211"/>
      <c r="Z341" s="211" t="str">
        <f>IFERROR(__xludf.DUMMYFUNCTION("""COMPUTED_VALUE"""),"0126102342")</f>
        <v>0126102342</v>
      </c>
      <c r="AC341" s="211"/>
      <c r="AD341" s="211"/>
      <c r="AE341" s="211"/>
      <c r="AF341" s="211"/>
      <c r="AG341" s="211"/>
      <c r="AH341" s="211"/>
      <c r="AI341" s="211"/>
      <c r="AJ341" s="211"/>
      <c r="AL341" s="211"/>
      <c r="AM341" s="211"/>
      <c r="AN341" s="211"/>
      <c r="AO341" s="211"/>
      <c r="AP341" s="215"/>
      <c r="AQ341" s="218"/>
      <c r="AR341" s="211"/>
      <c r="AS341" s="211"/>
      <c r="AT341" s="211"/>
      <c r="AU341" s="211"/>
      <c r="AV341" s="211"/>
      <c r="AW341" s="211"/>
      <c r="AX341" s="211"/>
      <c r="AY341" s="211"/>
      <c r="AZ341" s="211"/>
      <c r="BB341" s="211"/>
      <c r="BC341" s="211"/>
      <c r="BD341" s="211"/>
      <c r="BE341" s="211"/>
      <c r="BF341" s="211"/>
      <c r="BG341" s="211"/>
      <c r="BH341" s="211"/>
      <c r="BI341" s="211"/>
    </row>
    <row r="342">
      <c r="A342" s="210" t="str">
        <f>IFERROR(__xludf.DUMMYFUNCTION("""COMPUTED_VALUE"""),"12240152")</f>
        <v>12240152</v>
      </c>
      <c r="B342" s="210" t="str">
        <f>IFERROR(__xludf.DUMMYFUNCTION("""COMPUTED_VALUE"""),"12240152")</f>
        <v>12240152</v>
      </c>
      <c r="C342" s="213">
        <f>IFERROR(__xludf.DUMMYFUNCTION("""COMPUTED_VALUE"""),45631.430555555555)</f>
        <v>45631.43056</v>
      </c>
      <c r="D342" s="211" t="str">
        <f>IFERROR(__xludf.DUMMYFUNCTION("""COMPUTED_VALUE"""),"5f23ba17")</f>
        <v>5f23ba17</v>
      </c>
      <c r="E342" s="211" t="str">
        <f>IFERROR(__xludf.DUMMYFUNCTION("""COMPUTED_VALUE"""),"Bpk. Joko (Gresik)")</f>
        <v>Bpk. Joko (Gresik)</v>
      </c>
      <c r="F342" s="211" t="str">
        <f>IFERROR(__xludf.DUMMYFUNCTION("""COMPUTED_VALUE"""),"8bdbe149")</f>
        <v>8bdbe149</v>
      </c>
      <c r="G342" s="211" t="str">
        <f>IFERROR(__xludf.DUMMYFUNCTION("""COMPUTED_VALUE"""),"Oksigen 6m3")</f>
        <v>Oksigen 6m3</v>
      </c>
      <c r="H342" s="214" t="str">
        <f>IFERROR(__xludf.DUMMYFUNCTION("""COMPUTED_VALUE"""),"OUT")</f>
        <v>OUT</v>
      </c>
      <c r="I342" s="214" t="str">
        <f>IFERROR(__xludf.DUMMYFUNCTION("""COMPUTED_VALUE"""),"NORMAL")</f>
        <v>NORMAL</v>
      </c>
      <c r="J342" s="211">
        <f>IFERROR(__xludf.DUMMYFUNCTION("""COMPUTED_VALUE"""),12.0)</f>
        <v>12</v>
      </c>
      <c r="K342" s="210" t="str">
        <f>IFERROR(__xludf.DUMMYFUNCTION("""COMPUTED_VALUE"""),"5786 1816 5995 1752 1572 1178 1123 5911 5357 1317 5605 5932")</f>
        <v>5786 1816 5995 1752 1572 1178 1123 5911 5357 1317 5605 5932</v>
      </c>
      <c r="L342" s="211">
        <f>IFERROR(__xludf.DUMMYFUNCTION("""COMPUTED_VALUE"""),55000.0)</f>
        <v>55000</v>
      </c>
      <c r="M342" s="211"/>
      <c r="N342" s="211"/>
      <c r="O342" s="211"/>
      <c r="Q342" s="210" t="str">
        <f>IFERROR(__xludf.DUMMYFUNCTION("""COMPUTED_VALUE"""),"36646206")</f>
        <v>36646206</v>
      </c>
      <c r="R342" s="210" t="str">
        <f>IFERROR(__xludf.DUMMYFUNCTION("""COMPUTED_VALUE"""),"36646206")</f>
        <v>36646206</v>
      </c>
      <c r="S342" s="211" t="str">
        <f>IFERROR(__xludf.DUMMYFUNCTION("""COMPUTED_VALUE"""),"72d9a70c")</f>
        <v>72d9a70c</v>
      </c>
      <c r="T342" s="211" t="str">
        <f>IFERROR(__xludf.DUMMYFUNCTION("""COMPUTED_VALUE"""),"PT Beton Prima Indonesia")</f>
        <v>PT Beton Prima Indonesia</v>
      </c>
      <c r="U342" s="215">
        <f>IFERROR(__xludf.DUMMYFUNCTION("""COMPUTED_VALUE"""),45665.43472222222)</f>
        <v>45665.43472</v>
      </c>
      <c r="V342" s="211" t="str">
        <f>IFERROR(__xludf.DUMMYFUNCTION("""COMPUTED_VALUE"""),"KH. Ahmad Dahlan KM.2 Ds. Sumberwono, Kec. Bangsal, Kab. Mojokerto 61381")</f>
        <v>KH. Ahmad Dahlan KM.2 Ds. Sumberwono, Kec. Bangsal, Kab. Mojokerto 61381</v>
      </c>
      <c r="W342" s="211" t="str">
        <f>IFERROR(__xludf.DUMMYFUNCTION("""COMPUTED_VALUE"""),"IN")</f>
        <v>IN</v>
      </c>
      <c r="X342" s="211"/>
      <c r="Z342" s="211" t="str">
        <f>IFERROR(__xludf.DUMMYFUNCTION("""COMPUTED_VALUE"""),"0126392338")</f>
        <v>0126392338</v>
      </c>
      <c r="AC342" s="211"/>
      <c r="AD342" s="211"/>
      <c r="AE342" s="211"/>
      <c r="AF342" s="211"/>
      <c r="AG342" s="211"/>
      <c r="AH342" s="211"/>
      <c r="AI342" s="211"/>
      <c r="AJ342" s="211"/>
      <c r="AL342" s="211"/>
      <c r="AM342" s="211"/>
      <c r="AN342" s="211"/>
      <c r="AO342" s="211"/>
      <c r="AP342" s="215"/>
      <c r="AQ342" s="218"/>
      <c r="AR342" s="211"/>
      <c r="AS342" s="211"/>
      <c r="AT342" s="211"/>
      <c r="AU342" s="211"/>
      <c r="AV342" s="211"/>
      <c r="AW342" s="211"/>
      <c r="AX342" s="211"/>
      <c r="AY342" s="211"/>
      <c r="AZ342" s="211"/>
      <c r="BB342" s="211"/>
      <c r="BC342" s="211"/>
      <c r="BD342" s="211"/>
      <c r="BE342" s="211"/>
      <c r="BF342" s="211"/>
      <c r="BG342" s="211"/>
      <c r="BH342" s="211"/>
      <c r="BI342" s="211"/>
    </row>
    <row r="343">
      <c r="A343" s="210" t="str">
        <f>IFERROR(__xludf.DUMMYFUNCTION("""COMPUTED_VALUE"""),"12240153")</f>
        <v>12240153</v>
      </c>
      <c r="B343" s="210" t="str">
        <f>IFERROR(__xludf.DUMMYFUNCTION("""COMPUTED_VALUE"""),"12240153")</f>
        <v>12240153</v>
      </c>
      <c r="C343" s="213">
        <f>IFERROR(__xludf.DUMMYFUNCTION("""COMPUTED_VALUE"""),45631.56736111111)</f>
        <v>45631.56736</v>
      </c>
      <c r="D343" s="211" t="str">
        <f>IFERROR(__xludf.DUMMYFUNCTION("""COMPUTED_VALUE"""),"7b9d8eba")</f>
        <v>7b9d8eba</v>
      </c>
      <c r="E343" s="211" t="str">
        <f>IFERROR(__xludf.DUMMYFUNCTION("""COMPUTED_VALUE"""),"PT PELANGI INDOKARYA")</f>
        <v>PT PELANGI INDOKARYA</v>
      </c>
      <c r="F343" s="211" t="str">
        <f>IFERROR(__xludf.DUMMYFUNCTION("""COMPUTED_VALUE"""),"8bdbe149")</f>
        <v>8bdbe149</v>
      </c>
      <c r="G343" s="211" t="str">
        <f>IFERROR(__xludf.DUMMYFUNCTION("""COMPUTED_VALUE"""),"Oksigen 6m3")</f>
        <v>Oksigen 6m3</v>
      </c>
      <c r="H343" s="214" t="str">
        <f>IFERROR(__xludf.DUMMYFUNCTION("""COMPUTED_VALUE"""),"OUT")</f>
        <v>OUT</v>
      </c>
      <c r="I343" s="214" t="str">
        <f>IFERROR(__xludf.DUMMYFUNCTION("""COMPUTED_VALUE"""),"NORMAL")</f>
        <v>NORMAL</v>
      </c>
      <c r="J343" s="211">
        <f>IFERROR(__xludf.DUMMYFUNCTION("""COMPUTED_VALUE"""),5.0)</f>
        <v>5</v>
      </c>
      <c r="K343" s="210" t="str">
        <f>IFERROR(__xludf.DUMMYFUNCTION("""COMPUTED_VALUE"""),"1107 1160 11114 1157 1164")</f>
        <v>1107 1160 11114 1157 1164</v>
      </c>
      <c r="L343" s="211">
        <f>IFERROR(__xludf.DUMMYFUNCTION("""COMPUTED_VALUE"""),60000.0)</f>
        <v>60000</v>
      </c>
      <c r="M343" s="211"/>
      <c r="N343" s="211"/>
      <c r="O343" s="211"/>
      <c r="Q343" s="210" t="str">
        <f>IFERROR(__xludf.DUMMYFUNCTION("""COMPUTED_VALUE"""),"3c8749b2")</f>
        <v>3c8749b2</v>
      </c>
      <c r="R343" s="210" t="str">
        <f>IFERROR(__xludf.DUMMYFUNCTION("""COMPUTED_VALUE"""),"3c8749b2")</f>
        <v>3c8749b2</v>
      </c>
      <c r="S343" s="211" t="str">
        <f>IFERROR(__xludf.DUMMYFUNCTION("""COMPUTED_VALUE"""),"103f3ae7")</f>
        <v>103f3ae7</v>
      </c>
      <c r="T343" s="211" t="str">
        <f>IFERROR(__xludf.DUMMYFUNCTION("""COMPUTED_VALUE"""),"PT ARYANA CAKASANA")</f>
        <v>PT ARYANA CAKASANA</v>
      </c>
      <c r="U343" s="215">
        <f>IFERROR(__xludf.DUMMYFUNCTION("""COMPUTED_VALUE"""),45665.43472222222)</f>
        <v>45665.43472</v>
      </c>
      <c r="V343" s="211" t="str">
        <f>IFERROR(__xludf.DUMMYFUNCTION("""COMPUTED_VALUE"""),"Jl Raya Tarik No. 45, Wonokupang, Bakalan, Balongbendo")</f>
        <v>Jl Raya Tarik No. 45, Wonokupang, Bakalan, Balongbendo</v>
      </c>
      <c r="W343" s="211" t="str">
        <f>IFERROR(__xludf.DUMMYFUNCTION("""COMPUTED_VALUE"""),"IN")</f>
        <v>IN</v>
      </c>
      <c r="X343" s="211"/>
      <c r="Z343" s="211" t="str">
        <f>IFERROR(__xludf.DUMMYFUNCTION("""COMPUTED_VALUE"""),"0126162334")</f>
        <v>0126162334</v>
      </c>
      <c r="AC343" s="211"/>
      <c r="AD343" s="211"/>
      <c r="AE343" s="211"/>
      <c r="AF343" s="211"/>
      <c r="AG343" s="211"/>
      <c r="AH343" s="211"/>
      <c r="AI343" s="211"/>
      <c r="AJ343" s="211"/>
      <c r="AL343" s="211"/>
      <c r="AM343" s="211"/>
      <c r="AN343" s="211"/>
      <c r="AO343" s="211"/>
      <c r="AP343" s="215"/>
      <c r="AQ343" s="218"/>
      <c r="AR343" s="211"/>
      <c r="AS343" s="211"/>
      <c r="AT343" s="211"/>
      <c r="AU343" s="211"/>
      <c r="AV343" s="211"/>
      <c r="AW343" s="211"/>
      <c r="AX343" s="211"/>
      <c r="AY343" s="211"/>
      <c r="AZ343" s="211"/>
      <c r="BB343" s="211"/>
      <c r="BC343" s="211"/>
      <c r="BD343" s="211"/>
      <c r="BE343" s="211"/>
      <c r="BF343" s="211"/>
      <c r="BG343" s="211"/>
      <c r="BH343" s="211"/>
      <c r="BI343" s="211"/>
    </row>
    <row r="344">
      <c r="A344" s="210" t="str">
        <f>IFERROR(__xludf.DUMMYFUNCTION("""COMPUTED_VALUE"""),"c388fdec")</f>
        <v>c388fdec</v>
      </c>
      <c r="B344" s="210" t="str">
        <f>IFERROR(__xludf.DUMMYFUNCTION("""COMPUTED_VALUE"""),"c388fdec")</f>
        <v>c388fdec</v>
      </c>
      <c r="C344" s="213">
        <f>IFERROR(__xludf.DUMMYFUNCTION("""COMPUTED_VALUE"""),45631.572916666664)</f>
        <v>45631.57292</v>
      </c>
      <c r="D344" s="211" t="str">
        <f>IFERROR(__xludf.DUMMYFUNCTION("""COMPUTED_VALUE"""),"5f23ba17")</f>
        <v>5f23ba17</v>
      </c>
      <c r="E344" s="211" t="str">
        <f>IFERROR(__xludf.DUMMYFUNCTION("""COMPUTED_VALUE"""),"Bpk. Joko (Gresik)")</f>
        <v>Bpk. Joko (Gresik)</v>
      </c>
      <c r="F344" s="211" t="str">
        <f>IFERROR(__xludf.DUMMYFUNCTION("""COMPUTED_VALUE"""),"f6aab7a9")</f>
        <v>f6aab7a9</v>
      </c>
      <c r="G344" s="211" t="str">
        <f>IFERROR(__xludf.DUMMYFUNCTION("""COMPUTED_VALUE"""),"Oksigen 6m3 MR")</f>
        <v>Oksigen 6m3 MR</v>
      </c>
      <c r="H344" s="214" t="str">
        <f>IFERROR(__xludf.DUMMYFUNCTION("""COMPUTED_VALUE"""),"IN")</f>
        <v>IN</v>
      </c>
      <c r="I344" s="214" t="str">
        <f>IFERROR(__xludf.DUMMYFUNCTION("""COMPUTED_VALUE"""),"EMPTY")</f>
        <v>EMPTY</v>
      </c>
      <c r="J344" s="211">
        <f>IFERROR(__xludf.DUMMYFUNCTION("""COMPUTED_VALUE"""),12.0)</f>
        <v>12</v>
      </c>
      <c r="K344" s="211"/>
      <c r="L344" s="211"/>
      <c r="M344" s="211"/>
      <c r="N344" s="211"/>
      <c r="O344" s="211"/>
      <c r="Q344" s="210" t="str">
        <f>IFERROR(__xludf.DUMMYFUNCTION("""COMPUTED_VALUE"""),"3affa471")</f>
        <v>3affa471</v>
      </c>
      <c r="R344" s="210" t="str">
        <f>IFERROR(__xludf.DUMMYFUNCTION("""COMPUTED_VALUE"""),"3affa471")</f>
        <v>3affa471</v>
      </c>
      <c r="S344" s="211" t="str">
        <f>IFERROR(__xludf.DUMMYFUNCTION("""COMPUTED_VALUE"""),"4ec68cf6")</f>
        <v>4ec68cf6</v>
      </c>
      <c r="T344" s="211" t="str">
        <f>IFERROR(__xludf.DUMMYFUNCTION("""COMPUTED_VALUE"""),"CV Sido Mukti Karya")</f>
        <v>CV Sido Mukti Karya</v>
      </c>
      <c r="U344" s="215">
        <f>IFERROR(__xludf.DUMMYFUNCTION("""COMPUTED_VALUE"""),45666.43541666667)</f>
        <v>45666.43542</v>
      </c>
      <c r="V344" s="211" t="str">
        <f>IFERROR(__xludf.DUMMYFUNCTION("""COMPUTED_VALUE"""),"Pergudangan Center Point no A3, Kemangsen")</f>
        <v>Pergudangan Center Point no A3, Kemangsen</v>
      </c>
      <c r="W344" s="211" t="str">
        <f>IFERROR(__xludf.DUMMYFUNCTION("""COMPUTED_VALUE"""),"IN")</f>
        <v>IN</v>
      </c>
      <c r="X344" s="211"/>
      <c r="Z344" s="211" t="str">
        <f>IFERROR(__xludf.DUMMYFUNCTION("""COMPUTED_VALUE"""),"0126752333")</f>
        <v>0126752333</v>
      </c>
      <c r="AC344" s="211"/>
      <c r="AD344" s="211"/>
      <c r="AE344" s="211"/>
      <c r="AF344" s="211"/>
      <c r="AG344" s="211"/>
      <c r="AH344" s="211"/>
      <c r="AI344" s="211"/>
      <c r="AJ344" s="211"/>
      <c r="AL344" s="211"/>
      <c r="AM344" s="211"/>
      <c r="AN344" s="211"/>
      <c r="AO344" s="211"/>
      <c r="AP344" s="215"/>
      <c r="AQ344" s="218"/>
      <c r="AR344" s="211"/>
      <c r="AS344" s="211"/>
      <c r="AT344" s="211"/>
      <c r="AU344" s="211"/>
      <c r="AV344" s="211"/>
      <c r="AW344" s="211"/>
      <c r="AX344" s="211"/>
      <c r="AY344" s="211"/>
      <c r="AZ344" s="211"/>
      <c r="BB344" s="211"/>
      <c r="BC344" s="211"/>
      <c r="BD344" s="211"/>
      <c r="BE344" s="211"/>
      <c r="BF344" s="211"/>
      <c r="BG344" s="211"/>
      <c r="BH344" s="211"/>
      <c r="BI344" s="211"/>
    </row>
    <row r="345">
      <c r="A345" s="210" t="str">
        <f>IFERROR(__xludf.DUMMYFUNCTION("""COMPUTED_VALUE"""),"12240154")</f>
        <v>12240154</v>
      </c>
      <c r="B345" s="210" t="str">
        <f>IFERROR(__xludf.DUMMYFUNCTION("""COMPUTED_VALUE"""),"12240154")</f>
        <v>12240154</v>
      </c>
      <c r="C345" s="213">
        <f>IFERROR(__xludf.DUMMYFUNCTION("""COMPUTED_VALUE"""),45632.433333333334)</f>
        <v>45632.43333</v>
      </c>
      <c r="D345" s="211" t="str">
        <f>IFERROR(__xludf.DUMMYFUNCTION("""COMPUTED_VALUE"""),"72d9a70c")</f>
        <v>72d9a70c</v>
      </c>
      <c r="E345" s="211" t="str">
        <f>IFERROR(__xludf.DUMMYFUNCTION("""COMPUTED_VALUE"""),"PT Beton Prima Indonesia")</f>
        <v>PT Beton Prima Indonesia</v>
      </c>
      <c r="F345" s="211" t="str">
        <f>IFERROR(__xludf.DUMMYFUNCTION("""COMPUTED_VALUE"""),"8bdbe149")</f>
        <v>8bdbe149</v>
      </c>
      <c r="G345" s="211" t="str">
        <f>IFERROR(__xludf.DUMMYFUNCTION("""COMPUTED_VALUE"""),"Oksigen 6m3")</f>
        <v>Oksigen 6m3</v>
      </c>
      <c r="H345" s="214" t="str">
        <f>IFERROR(__xludf.DUMMYFUNCTION("""COMPUTED_VALUE"""),"OUT")</f>
        <v>OUT</v>
      </c>
      <c r="I345" s="214" t="str">
        <f>IFERROR(__xludf.DUMMYFUNCTION("""COMPUTED_VALUE"""),"NORMAL")</f>
        <v>NORMAL</v>
      </c>
      <c r="J345" s="211">
        <f>IFERROR(__xludf.DUMMYFUNCTION("""COMPUTED_VALUE"""),10.0)</f>
        <v>10</v>
      </c>
      <c r="K345" s="210" t="str">
        <f>IFERROR(__xludf.DUMMYFUNCTION("""COMPUTED_VALUE"""),"1139 1153 11153 1188 1106 11174 11150 11155 11167 11161")</f>
        <v>1139 1153 11153 1188 1106 11174 11150 11155 11167 11161</v>
      </c>
      <c r="L345" s="211">
        <f>IFERROR(__xludf.DUMMYFUNCTION("""COMPUTED_VALUE"""),45045.04505)</f>
        <v>45045.04505</v>
      </c>
      <c r="M345" s="211"/>
      <c r="N345" s="211"/>
      <c r="O345" s="211"/>
      <c r="Q345" s="210" t="str">
        <f>IFERROR(__xludf.DUMMYFUNCTION("""COMPUTED_VALUE"""),"02c40533")</f>
        <v>02c40533</v>
      </c>
      <c r="R345" s="210" t="str">
        <f>IFERROR(__xludf.DUMMYFUNCTION("""COMPUTED_VALUE"""),"02c40533")</f>
        <v>02c40533</v>
      </c>
      <c r="S345" s="211" t="str">
        <f>IFERROR(__xludf.DUMMYFUNCTION("""COMPUTED_VALUE"""),"5f23ba17")</f>
        <v>5f23ba17</v>
      </c>
      <c r="T345" s="211" t="str">
        <f>IFERROR(__xludf.DUMMYFUNCTION("""COMPUTED_VALUE"""),"Bpk. Joko (Gresik)")</f>
        <v>Bpk. Joko (Gresik)</v>
      </c>
      <c r="U345" s="215">
        <f>IFERROR(__xludf.DUMMYFUNCTION("""COMPUTED_VALUE"""),45667.4375)</f>
        <v>45667.4375</v>
      </c>
      <c r="V345" s="211" t="str">
        <f>IFERROR(__xludf.DUMMYFUNCTION("""COMPUTED_VALUE"""),"Tanggungan, Lebaniwaras, Kec. Wringinanom, Kabupaten Gresik, Jawa Timur")</f>
        <v>Tanggungan, Lebaniwaras, Kec. Wringinanom, Kabupaten Gresik, Jawa Timur</v>
      </c>
      <c r="W345" s="211" t="str">
        <f>IFERROR(__xludf.DUMMYFUNCTION("""COMPUTED_VALUE"""),"IN")</f>
        <v>IN</v>
      </c>
      <c r="X345" s="211"/>
      <c r="Z345" s="211" t="str">
        <f>IFERROR(__xludf.DUMMYFUNCTION("""COMPUTED_VALUE"""),"0126752332")</f>
        <v>0126752332</v>
      </c>
      <c r="AC345" s="211"/>
      <c r="AD345" s="211"/>
      <c r="AE345" s="211"/>
      <c r="AF345" s="211"/>
      <c r="AG345" s="211"/>
      <c r="AH345" s="211"/>
      <c r="AI345" s="211"/>
      <c r="AJ345" s="211"/>
      <c r="AL345" s="211"/>
      <c r="AM345" s="211"/>
      <c r="AN345" s="211"/>
      <c r="AO345" s="211"/>
      <c r="AP345" s="215"/>
      <c r="AQ345" s="218"/>
      <c r="AR345" s="211"/>
      <c r="AS345" s="211"/>
      <c r="AT345" s="211"/>
      <c r="AU345" s="211"/>
      <c r="AV345" s="211"/>
      <c r="AW345" s="211"/>
      <c r="AX345" s="211"/>
      <c r="AY345" s="211"/>
      <c r="AZ345" s="211"/>
      <c r="BB345" s="211"/>
      <c r="BC345" s="211"/>
      <c r="BD345" s="211"/>
      <c r="BE345" s="211"/>
      <c r="BF345" s="211"/>
      <c r="BG345" s="211"/>
      <c r="BH345" s="211"/>
      <c r="BI345" s="211"/>
    </row>
    <row r="346">
      <c r="A346" s="210" t="str">
        <f>IFERROR(__xludf.DUMMYFUNCTION("""COMPUTED_VALUE"""),"c17bf4af")</f>
        <v>c17bf4af</v>
      </c>
      <c r="B346" s="210" t="str">
        <f>IFERROR(__xludf.DUMMYFUNCTION("""COMPUTED_VALUE"""),"c17bf4af")</f>
        <v>c17bf4af</v>
      </c>
      <c r="C346" s="213">
        <f>IFERROR(__xludf.DUMMYFUNCTION("""COMPUTED_VALUE"""),45632.438888888886)</f>
        <v>45632.43889</v>
      </c>
      <c r="D346" s="211" t="str">
        <f>IFERROR(__xludf.DUMMYFUNCTION("""COMPUTED_VALUE"""),"7b9d8eba")</f>
        <v>7b9d8eba</v>
      </c>
      <c r="E346" s="211" t="str">
        <f>IFERROR(__xludf.DUMMYFUNCTION("""COMPUTED_VALUE"""),"PT PELANGI INDOKARYA")</f>
        <v>PT PELANGI INDOKARYA</v>
      </c>
      <c r="F346" s="211" t="str">
        <f>IFERROR(__xludf.DUMMYFUNCTION("""COMPUTED_VALUE"""),"8bdbe149")</f>
        <v>8bdbe149</v>
      </c>
      <c r="G346" s="211" t="str">
        <f>IFERROR(__xludf.DUMMYFUNCTION("""COMPUTED_VALUE"""),"Oksigen 6m3")</f>
        <v>Oksigen 6m3</v>
      </c>
      <c r="H346" s="214" t="str">
        <f>IFERROR(__xludf.DUMMYFUNCTION("""COMPUTED_VALUE"""),"IN")</f>
        <v>IN</v>
      </c>
      <c r="I346" s="214" t="str">
        <f>IFERROR(__xludf.DUMMYFUNCTION("""COMPUTED_VALUE"""),"EMPTY")</f>
        <v>EMPTY</v>
      </c>
      <c r="J346" s="211">
        <f>IFERROR(__xludf.DUMMYFUNCTION("""COMPUTED_VALUE"""),4.0)</f>
        <v>4</v>
      </c>
      <c r="K346" s="210" t="str">
        <f>IFERROR(__xludf.DUMMYFUNCTION("""COMPUTED_VALUE"""),"1834 1139 1188 1153")</f>
        <v>1834 1139 1188 1153</v>
      </c>
      <c r="L346" s="211"/>
      <c r="M346" s="211"/>
      <c r="N346" s="211"/>
      <c r="O346" s="211"/>
      <c r="Q346" s="210" t="str">
        <f>IFERROR(__xludf.DUMMYFUNCTION("""COMPUTED_VALUE"""),"35fe70ba")</f>
        <v>35fe70ba</v>
      </c>
      <c r="R346" s="210" t="str">
        <f>IFERROR(__xludf.DUMMYFUNCTION("""COMPUTED_VALUE"""),"35fe70ba")</f>
        <v>35fe70ba</v>
      </c>
      <c r="S346" s="211" t="str">
        <f>IFERROR(__xludf.DUMMYFUNCTION("""COMPUTED_VALUE"""),"8f5ebaea")</f>
        <v>8f5ebaea</v>
      </c>
      <c r="T346" s="211" t="str">
        <f>IFERROR(__xludf.DUMMYFUNCTION("""COMPUTED_VALUE"""),"PT Hua Zong Mesindo")</f>
        <v>PT Hua Zong Mesindo</v>
      </c>
      <c r="U346" s="215">
        <f>IFERROR(__xludf.DUMMYFUNCTION("""COMPUTED_VALUE"""),45667.43819444445)</f>
        <v>45667.43819</v>
      </c>
      <c r="V346" s="211" t="str">
        <f>IFERROR(__xludf.DUMMYFUNCTION("""COMPUTED_VALUE"""),"Jl. Bypass Krian, Sidotemo, Sidomulyo, Kec. Krian, Kabupaten Sidoarjo, Jawa Timur 61262")</f>
        <v>Jl. Bypass Krian, Sidotemo, Sidomulyo, Kec. Krian, Kabupaten Sidoarjo, Jawa Timur 61262</v>
      </c>
      <c r="W346" s="211" t="str">
        <f>IFERROR(__xludf.DUMMYFUNCTION("""COMPUTED_VALUE"""),"IN")</f>
        <v>IN</v>
      </c>
      <c r="X346" s="211"/>
      <c r="Z346" s="211" t="str">
        <f>IFERROR(__xludf.DUMMYFUNCTION("""COMPUTED_VALUE"""),"012632331")</f>
        <v>012632331</v>
      </c>
      <c r="AC346" s="211"/>
      <c r="AD346" s="211"/>
      <c r="AE346" s="211"/>
      <c r="AF346" s="211"/>
      <c r="AG346" s="211"/>
      <c r="AH346" s="211"/>
      <c r="AI346" s="211"/>
      <c r="AJ346" s="211"/>
      <c r="AL346" s="211"/>
      <c r="AM346" s="211"/>
      <c r="AN346" s="211"/>
      <c r="AO346" s="211"/>
      <c r="AP346" s="215"/>
      <c r="AQ346" s="218"/>
      <c r="AR346" s="211"/>
      <c r="AS346" s="211"/>
      <c r="AT346" s="211"/>
      <c r="AU346" s="211"/>
      <c r="AV346" s="211"/>
      <c r="AW346" s="211"/>
      <c r="AX346" s="211"/>
      <c r="AY346" s="211"/>
      <c r="AZ346" s="211"/>
      <c r="BB346" s="211"/>
      <c r="BC346" s="211"/>
      <c r="BD346" s="211"/>
      <c r="BE346" s="211"/>
      <c r="BF346" s="211"/>
      <c r="BG346" s="211"/>
      <c r="BH346" s="211"/>
      <c r="BI346" s="211"/>
    </row>
    <row r="347">
      <c r="A347" s="210" t="str">
        <f>IFERROR(__xludf.DUMMYFUNCTION("""COMPUTED_VALUE"""),"5ac673b0")</f>
        <v>5ac673b0</v>
      </c>
      <c r="B347" s="210" t="str">
        <f>IFERROR(__xludf.DUMMYFUNCTION("""COMPUTED_VALUE"""),"5ac673b0")</f>
        <v>5ac673b0</v>
      </c>
      <c r="C347" s="213">
        <f>IFERROR(__xludf.DUMMYFUNCTION("""COMPUTED_VALUE"""),45632.44027777778)</f>
        <v>45632.44028</v>
      </c>
      <c r="D347" s="211" t="str">
        <f>IFERROR(__xludf.DUMMYFUNCTION("""COMPUTED_VALUE"""),"72d9a70c")</f>
        <v>72d9a70c</v>
      </c>
      <c r="E347" s="211" t="str">
        <f>IFERROR(__xludf.DUMMYFUNCTION("""COMPUTED_VALUE"""),"PT Beton Prima Indonesia")</f>
        <v>PT Beton Prima Indonesia</v>
      </c>
      <c r="F347" s="211" t="str">
        <f>IFERROR(__xludf.DUMMYFUNCTION("""COMPUTED_VALUE"""),"8bdbe149")</f>
        <v>8bdbe149</v>
      </c>
      <c r="G347" s="211" t="str">
        <f>IFERROR(__xludf.DUMMYFUNCTION("""COMPUTED_VALUE"""),"Oksigen 6m3")</f>
        <v>Oksigen 6m3</v>
      </c>
      <c r="H347" s="214" t="str">
        <f>IFERROR(__xludf.DUMMYFUNCTION("""COMPUTED_VALUE"""),"IN")</f>
        <v>IN</v>
      </c>
      <c r="I347" s="214" t="str">
        <f>IFERROR(__xludf.DUMMYFUNCTION("""COMPUTED_VALUE"""),"EMPTY")</f>
        <v>EMPTY</v>
      </c>
      <c r="J347" s="211">
        <f>IFERROR(__xludf.DUMMYFUNCTION("""COMPUTED_VALUE"""),8.0)</f>
        <v>8</v>
      </c>
      <c r="K347" s="210" t="str">
        <f>IFERROR(__xludf.DUMMYFUNCTION("""COMPUTED_VALUE"""),"1146 1707 11167 11153 11174 11155 1106 11150")</f>
        <v>1146 1707 11167 11153 11174 11155 1106 11150</v>
      </c>
      <c r="L347" s="211"/>
      <c r="M347" s="211"/>
      <c r="N347" s="211"/>
      <c r="O347" s="211"/>
      <c r="Q347" s="210" t="str">
        <f>IFERROR(__xludf.DUMMYFUNCTION("""COMPUTED_VALUE"""),"8051db32")</f>
        <v>8051db32</v>
      </c>
      <c r="R347" s="210" t="str">
        <f>IFERROR(__xludf.DUMMYFUNCTION("""COMPUTED_VALUE"""),"8051db32")</f>
        <v>8051db32</v>
      </c>
      <c r="S347" s="211" t="str">
        <f>IFERROR(__xludf.DUMMYFUNCTION("""COMPUTED_VALUE"""),"4a01ccb6")</f>
        <v>4a01ccb6</v>
      </c>
      <c r="T347" s="211" t="str">
        <f>IFERROR(__xludf.DUMMYFUNCTION("""COMPUTED_VALUE"""),"CV ANUGERAH PERSADA TEKNIK")</f>
        <v>CV ANUGERAH PERSADA TEKNIK</v>
      </c>
      <c r="U347" s="215">
        <f>IFERROR(__xludf.DUMMYFUNCTION("""COMPUTED_VALUE"""),45668.44236111111)</f>
        <v>45668.44236</v>
      </c>
      <c r="V347" s="211" t="str">
        <f>IFERROR(__xludf.DUMMYFUNCTION("""COMPUTED_VALUE"""),"JL. Raya Trosobo, Blok 3/14, Taman Sidoarjo Lingkungan Industri Kecil, Sepanjang, Jawa Timur, 61257")</f>
        <v>JL. Raya Trosobo, Blok 3/14, Taman Sidoarjo Lingkungan Industri Kecil, Sepanjang, Jawa Timur, 61257</v>
      </c>
      <c r="W347" s="211" t="str">
        <f>IFERROR(__xludf.DUMMYFUNCTION("""COMPUTED_VALUE"""),"IN")</f>
        <v>IN</v>
      </c>
      <c r="X347" s="211"/>
      <c r="Z347" s="211" t="str">
        <f>IFERROR(__xludf.DUMMYFUNCTION("""COMPUTED_VALUE"""),"012622330")</f>
        <v>012622330</v>
      </c>
      <c r="AC347" s="211"/>
      <c r="AD347" s="211"/>
      <c r="AE347" s="211"/>
      <c r="AF347" s="211"/>
      <c r="AG347" s="211"/>
      <c r="AH347" s="211"/>
      <c r="AI347" s="211"/>
      <c r="AJ347" s="211"/>
      <c r="AL347" s="211"/>
      <c r="AM347" s="211"/>
      <c r="AN347" s="211"/>
      <c r="AO347" s="211"/>
      <c r="AP347" s="215"/>
      <c r="AQ347" s="218"/>
      <c r="AR347" s="211"/>
      <c r="AS347" s="211"/>
      <c r="AT347" s="211"/>
      <c r="AU347" s="211"/>
      <c r="AV347" s="211"/>
      <c r="AW347" s="211"/>
      <c r="AX347" s="211"/>
      <c r="AY347" s="211"/>
      <c r="AZ347" s="211"/>
      <c r="BB347" s="211"/>
      <c r="BC347" s="211"/>
      <c r="BD347" s="211"/>
      <c r="BE347" s="211"/>
      <c r="BF347" s="211"/>
      <c r="BG347" s="211"/>
      <c r="BH347" s="211"/>
      <c r="BI347" s="211"/>
    </row>
    <row r="348">
      <c r="A348" s="210" t="str">
        <f>IFERROR(__xludf.DUMMYFUNCTION("""COMPUTED_VALUE"""),"12240155")</f>
        <v>12240155</v>
      </c>
      <c r="B348" s="210" t="str">
        <f>IFERROR(__xludf.DUMMYFUNCTION("""COMPUTED_VALUE"""),"12240155")</f>
        <v>12240155</v>
      </c>
      <c r="C348" s="213">
        <f>IFERROR(__xludf.DUMMYFUNCTION("""COMPUTED_VALUE"""),45632.62291666667)</f>
        <v>45632.62292</v>
      </c>
      <c r="D348" s="211" t="str">
        <f>IFERROR(__xludf.DUMMYFUNCTION("""COMPUTED_VALUE"""),"37175874")</f>
        <v>37175874</v>
      </c>
      <c r="E348" s="211" t="str">
        <f>IFERROR(__xludf.DUMMYFUNCTION("""COMPUTED_VALUE"""),"PT TERAPAN NILAIOSILASI INDONESIA (TENO)")</f>
        <v>PT TERAPAN NILAIOSILASI INDONESIA (TENO)</v>
      </c>
      <c r="F348" s="211" t="str">
        <f>IFERROR(__xludf.DUMMYFUNCTION("""COMPUTED_VALUE"""),"3b9d6a30")</f>
        <v>3b9d6a30</v>
      </c>
      <c r="G348" s="211" t="str">
        <f>IFERROR(__xludf.DUMMYFUNCTION("""COMPUTED_VALUE"""),"Acetyline")</f>
        <v>Acetyline</v>
      </c>
      <c r="H348" s="214" t="str">
        <f>IFERROR(__xludf.DUMMYFUNCTION("""COMPUTED_VALUE"""),"OUT")</f>
        <v>OUT</v>
      </c>
      <c r="I348" s="214" t="str">
        <f>IFERROR(__xludf.DUMMYFUNCTION("""COMPUTED_VALUE"""),"NORMAL")</f>
        <v>NORMAL</v>
      </c>
      <c r="J348" s="211">
        <f>IFERROR(__xludf.DUMMYFUNCTION("""COMPUTED_VALUE"""),6.0)</f>
        <v>6</v>
      </c>
      <c r="K348" s="210" t="str">
        <f>IFERROR(__xludf.DUMMYFUNCTION("""COMPUTED_VALUE"""),"7836 7962 7937 7976 7929 7989")</f>
        <v>7836 7962 7937 7976 7929 7989</v>
      </c>
      <c r="L348" s="211">
        <f>IFERROR(__xludf.DUMMYFUNCTION("""COMPUTED_VALUE"""),360360.3604)</f>
        <v>360360.3604</v>
      </c>
      <c r="M348" s="211"/>
      <c r="N348" s="211"/>
      <c r="O348" s="211"/>
      <c r="Q348" s="210" t="str">
        <f>IFERROR(__xludf.DUMMYFUNCTION("""COMPUTED_VALUE"""),"1c1a03ff")</f>
        <v>1c1a03ff</v>
      </c>
      <c r="R348" s="210" t="str">
        <f>IFERROR(__xludf.DUMMYFUNCTION("""COMPUTED_VALUE"""),"1c1a03ff")</f>
        <v>1c1a03ff</v>
      </c>
      <c r="S348" s="211" t="str">
        <f>IFERROR(__xludf.DUMMYFUNCTION("""COMPUTED_VALUE"""),"3fec37df")</f>
        <v>3fec37df</v>
      </c>
      <c r="T348" s="211" t="str">
        <f>IFERROR(__xludf.DUMMYFUNCTION("""COMPUTED_VALUE"""),"PT Jatim Abadi Perkasa Steel")</f>
        <v>PT Jatim Abadi Perkasa Steel</v>
      </c>
      <c r="U348" s="215">
        <f>IFERROR(__xludf.DUMMYFUNCTION("""COMPUTED_VALUE"""),45668.44236111111)</f>
        <v>45668.44236</v>
      </c>
      <c r="V348" s="211" t="str">
        <f>IFERROR(__xludf.DUMMYFUNCTION("""COMPUTED_VALUE"""),"Dsn. Bulak Sempuh, Jatirejo, Kab. Mojokerto, Jawa Timur")</f>
        <v>Dsn. Bulak Sempuh, Jatirejo, Kab. Mojokerto, Jawa Timur</v>
      </c>
      <c r="W348" s="211" t="str">
        <f>IFERROR(__xludf.DUMMYFUNCTION("""COMPUTED_VALUE"""),"IN")</f>
        <v>IN</v>
      </c>
      <c r="X348" s="211"/>
      <c r="Z348" s="211" t="str">
        <f>IFERROR(__xludf.DUMMYFUNCTION("""COMPUTED_VALUE"""),"012612327")</f>
        <v>012612327</v>
      </c>
      <c r="AC348" s="211"/>
      <c r="AD348" s="211"/>
      <c r="AE348" s="211"/>
      <c r="AF348" s="211"/>
      <c r="AG348" s="211"/>
      <c r="AH348" s="211"/>
      <c r="AI348" s="211"/>
      <c r="AJ348" s="211"/>
      <c r="AL348" s="211"/>
      <c r="AM348" s="211"/>
      <c r="AN348" s="211"/>
      <c r="AO348" s="211"/>
      <c r="AP348" s="215"/>
      <c r="AQ348" s="218"/>
      <c r="AR348" s="211"/>
      <c r="AS348" s="211"/>
      <c r="AT348" s="211"/>
      <c r="AU348" s="211"/>
      <c r="AV348" s="211"/>
      <c r="AW348" s="211"/>
      <c r="AX348" s="211"/>
      <c r="AY348" s="211"/>
      <c r="AZ348" s="211"/>
      <c r="BB348" s="211"/>
      <c r="BC348" s="211"/>
      <c r="BD348" s="211"/>
      <c r="BE348" s="211"/>
      <c r="BF348" s="211"/>
      <c r="BG348" s="211"/>
      <c r="BH348" s="211"/>
      <c r="BI348" s="211"/>
    </row>
    <row r="349">
      <c r="A349" s="210" t="str">
        <f>IFERROR(__xludf.DUMMYFUNCTION("""COMPUTED_VALUE"""),"5ac673b0")</f>
        <v>5ac673b0</v>
      </c>
      <c r="B349" s="210" t="str">
        <f>IFERROR(__xludf.DUMMYFUNCTION("""COMPUTED_VALUE"""),"5ac673b0")</f>
        <v>5ac673b0</v>
      </c>
      <c r="C349" s="213">
        <f>IFERROR(__xludf.DUMMYFUNCTION("""COMPUTED_VALUE"""),45632.625)</f>
        <v>45632.625</v>
      </c>
      <c r="D349" s="211" t="str">
        <f>IFERROR(__xludf.DUMMYFUNCTION("""COMPUTED_VALUE"""),"72d9a70c")</f>
        <v>72d9a70c</v>
      </c>
      <c r="E349" s="211" t="str">
        <f>IFERROR(__xludf.DUMMYFUNCTION("""COMPUTED_VALUE"""),"PT Beton Prima Indonesia")</f>
        <v>PT Beton Prima Indonesia</v>
      </c>
      <c r="F349" s="211" t="str">
        <f>IFERROR(__xludf.DUMMYFUNCTION("""COMPUTED_VALUE"""),"8bdbe149")</f>
        <v>8bdbe149</v>
      </c>
      <c r="G349" s="211" t="str">
        <f>IFERROR(__xludf.DUMMYFUNCTION("""COMPUTED_VALUE"""),"Oksigen 6m3")</f>
        <v>Oksigen 6m3</v>
      </c>
      <c r="H349" s="214" t="str">
        <f>IFERROR(__xludf.DUMMYFUNCTION("""COMPUTED_VALUE"""),"IN")</f>
        <v>IN</v>
      </c>
      <c r="I349" s="214" t="str">
        <f>IFERROR(__xludf.DUMMYFUNCTION("""COMPUTED_VALUE"""),"EMPTY")</f>
        <v>EMPTY</v>
      </c>
      <c r="J349" s="211">
        <f>IFERROR(__xludf.DUMMYFUNCTION("""COMPUTED_VALUE"""),2.0)</f>
        <v>2</v>
      </c>
      <c r="K349" s="210" t="str">
        <f>IFERROR(__xludf.DUMMYFUNCTION("""COMPUTED_VALUE"""),"11166 11122")</f>
        <v>11166 11122</v>
      </c>
      <c r="L349" s="211"/>
      <c r="M349" s="211"/>
      <c r="N349" s="211"/>
      <c r="O349" s="211"/>
      <c r="Q349" s="210" t="str">
        <f>IFERROR(__xludf.DUMMYFUNCTION("""COMPUTED_VALUE"""),"01250212")</f>
        <v>01250212</v>
      </c>
      <c r="R349" s="210" t="str">
        <f>IFERROR(__xludf.DUMMYFUNCTION("""COMPUTED_VALUE"""),"01250212")</f>
        <v>01250212</v>
      </c>
      <c r="S349" s="211" t="str">
        <f>IFERROR(__xludf.DUMMYFUNCTION("""COMPUTED_VALUE"""),"64b0c06f")</f>
        <v>64b0c06f</v>
      </c>
      <c r="T349" s="211" t="str">
        <f>IFERROR(__xludf.DUMMYFUNCTION("""COMPUTED_VALUE"""),"Saiful Fuad")</f>
        <v>Saiful Fuad</v>
      </c>
      <c r="U349" s="215">
        <f>IFERROR(__xludf.DUMMYFUNCTION("""COMPUTED_VALUE"""),45670.48611111111)</f>
        <v>45670.48611</v>
      </c>
      <c r="V349" s="211"/>
      <c r="W349" s="211" t="str">
        <f>IFERROR(__xludf.DUMMYFUNCTION("""COMPUTED_VALUE"""),"OUT")</f>
        <v>OUT</v>
      </c>
      <c r="X349" s="211"/>
      <c r="Z349" s="211" t="str">
        <f>IFERROR(__xludf.DUMMYFUNCTION("""COMPUTED_VALUE"""),"012662326")</f>
        <v>012662326</v>
      </c>
      <c r="AC349" s="211"/>
      <c r="AD349" s="211"/>
      <c r="AE349" s="211"/>
      <c r="AF349" s="211"/>
      <c r="AG349" s="211"/>
      <c r="AH349" s="211"/>
      <c r="AI349" s="211"/>
      <c r="AJ349" s="211"/>
      <c r="AL349" s="211"/>
      <c r="AM349" s="211"/>
      <c r="AN349" s="211"/>
      <c r="AO349" s="211"/>
      <c r="AP349" s="215"/>
      <c r="AQ349" s="218"/>
      <c r="AR349" s="211"/>
      <c r="AS349" s="211"/>
      <c r="AT349" s="211"/>
      <c r="AU349" s="211"/>
      <c r="AV349" s="211"/>
      <c r="AW349" s="211"/>
      <c r="AX349" s="211"/>
      <c r="AY349" s="211"/>
      <c r="AZ349" s="211"/>
      <c r="BB349" s="211"/>
      <c r="BC349" s="211"/>
      <c r="BD349" s="211"/>
      <c r="BE349" s="211"/>
      <c r="BF349" s="211"/>
      <c r="BG349" s="211"/>
      <c r="BH349" s="211"/>
      <c r="BI349" s="211"/>
    </row>
    <row r="350">
      <c r="A350" s="210" t="str">
        <f>IFERROR(__xludf.DUMMYFUNCTION("""COMPUTED_VALUE"""),"1f005e46")</f>
        <v>1f005e46</v>
      </c>
      <c r="B350" s="210" t="str">
        <f>IFERROR(__xludf.DUMMYFUNCTION("""COMPUTED_VALUE"""),"1f005e46")</f>
        <v>1f005e46</v>
      </c>
      <c r="C350" s="213">
        <f>IFERROR(__xludf.DUMMYFUNCTION("""COMPUTED_VALUE"""),45632.675)</f>
        <v>45632.675</v>
      </c>
      <c r="D350" s="211" t="str">
        <f>IFERROR(__xludf.DUMMYFUNCTION("""COMPUTED_VALUE"""),"37175874")</f>
        <v>37175874</v>
      </c>
      <c r="E350" s="211" t="str">
        <f>IFERROR(__xludf.DUMMYFUNCTION("""COMPUTED_VALUE"""),"PT TERAPAN NILAIOSILASI INDONESIA (TENO)")</f>
        <v>PT TERAPAN NILAIOSILASI INDONESIA (TENO)</v>
      </c>
      <c r="F350" s="211" t="str">
        <f>IFERROR(__xludf.DUMMYFUNCTION("""COMPUTED_VALUE"""),"8bdbe149")</f>
        <v>8bdbe149</v>
      </c>
      <c r="G350" s="211" t="str">
        <f>IFERROR(__xludf.DUMMYFUNCTION("""COMPUTED_VALUE"""),"Oksigen 6m3")</f>
        <v>Oksigen 6m3</v>
      </c>
      <c r="H350" s="214" t="str">
        <f>IFERROR(__xludf.DUMMYFUNCTION("""COMPUTED_VALUE"""),"IN")</f>
        <v>IN</v>
      </c>
      <c r="I350" s="214" t="str">
        <f>IFERROR(__xludf.DUMMYFUNCTION("""COMPUTED_VALUE"""),"EMPTY")</f>
        <v>EMPTY</v>
      </c>
      <c r="J350" s="211">
        <f>IFERROR(__xludf.DUMMYFUNCTION("""COMPUTED_VALUE"""),1.0)</f>
        <v>1</v>
      </c>
      <c r="K350" s="210" t="str">
        <f>IFERROR(__xludf.DUMMYFUNCTION("""COMPUTED_VALUE"""),"11149")</f>
        <v>11149</v>
      </c>
      <c r="L350" s="211"/>
      <c r="M350" s="211"/>
      <c r="N350" s="211"/>
      <c r="O350" s="211"/>
      <c r="Q350" s="210" t="str">
        <f>IFERROR(__xludf.DUMMYFUNCTION("""COMPUTED_VALUE"""),"f6fcb2a0")</f>
        <v>f6fcb2a0</v>
      </c>
      <c r="R350" s="210" t="str">
        <f>IFERROR(__xludf.DUMMYFUNCTION("""COMPUTED_VALUE"""),"f6fcb2a0")</f>
        <v>f6fcb2a0</v>
      </c>
      <c r="S350" s="211" t="str">
        <f>IFERROR(__xludf.DUMMYFUNCTION("""COMPUTED_VALUE"""),"a9fe1bea")</f>
        <v>a9fe1bea</v>
      </c>
      <c r="T350" s="211" t="str">
        <f>IFERROR(__xludf.DUMMYFUNCTION("""COMPUTED_VALUE"""),"H. Suheiri")</f>
        <v>H. Suheiri</v>
      </c>
      <c r="U350" s="215">
        <f>IFERROR(__xludf.DUMMYFUNCTION("""COMPUTED_VALUE"""),45670.513194444444)</f>
        <v>45670.51319</v>
      </c>
      <c r="V350"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50" s="211" t="str">
        <f>IFERROR(__xludf.DUMMYFUNCTION("""COMPUTED_VALUE"""),"IN")</f>
        <v>IN</v>
      </c>
      <c r="X350" s="211"/>
      <c r="Z350" s="211" t="str">
        <f>IFERROR(__xludf.DUMMYFUNCTION("""COMPUTED_VALUE"""),"012692325")</f>
        <v>012692325</v>
      </c>
      <c r="AC350" s="211"/>
      <c r="AD350" s="211"/>
      <c r="AE350" s="211"/>
      <c r="AF350" s="211"/>
      <c r="AG350" s="211"/>
      <c r="AH350" s="211"/>
      <c r="AI350" s="211"/>
      <c r="AJ350" s="211"/>
      <c r="AL350" s="211"/>
      <c r="AM350" s="211"/>
      <c r="AN350" s="211"/>
      <c r="AO350" s="211"/>
      <c r="AP350" s="215"/>
      <c r="AQ350" s="218"/>
      <c r="AR350" s="211"/>
      <c r="AS350" s="211"/>
      <c r="AT350" s="211"/>
      <c r="AU350" s="211"/>
      <c r="AV350" s="211"/>
      <c r="AW350" s="211"/>
      <c r="AX350" s="211"/>
      <c r="AY350" s="211"/>
      <c r="AZ350" s="211"/>
      <c r="BB350" s="211"/>
      <c r="BC350" s="211"/>
      <c r="BD350" s="211"/>
      <c r="BE350" s="211"/>
      <c r="BF350" s="211"/>
      <c r="BG350" s="211"/>
      <c r="BH350" s="211"/>
      <c r="BI350" s="211"/>
    </row>
    <row r="351">
      <c r="A351" s="210" t="str">
        <f>IFERROR(__xludf.DUMMYFUNCTION("""COMPUTED_VALUE"""),"12240156")</f>
        <v>12240156</v>
      </c>
      <c r="B351" s="210" t="str">
        <f>IFERROR(__xludf.DUMMYFUNCTION("""COMPUTED_VALUE"""),"12240156")</f>
        <v>12240156</v>
      </c>
      <c r="C351" s="213">
        <f>IFERROR(__xludf.DUMMYFUNCTION("""COMPUTED_VALUE"""),45633.45208333333)</f>
        <v>45633.45208</v>
      </c>
      <c r="D351" s="211" t="str">
        <f>IFERROR(__xludf.DUMMYFUNCTION("""COMPUTED_VALUE"""),"8ea74d81")</f>
        <v>8ea74d81</v>
      </c>
      <c r="E351" s="211" t="str">
        <f>IFERROR(__xludf.DUMMYFUNCTION("""COMPUTED_VALUE"""),"Bengkel Adi Putra")</f>
        <v>Bengkel Adi Putra</v>
      </c>
      <c r="F351" s="211" t="str">
        <f>IFERROR(__xludf.DUMMYFUNCTION("""COMPUTED_VALUE"""),"8bdbe149")</f>
        <v>8bdbe149</v>
      </c>
      <c r="G351" s="211" t="str">
        <f>IFERROR(__xludf.DUMMYFUNCTION("""COMPUTED_VALUE"""),"Oksigen 6m3")</f>
        <v>Oksigen 6m3</v>
      </c>
      <c r="H351" s="214" t="str">
        <f>IFERROR(__xludf.DUMMYFUNCTION("""COMPUTED_VALUE"""),"OUT")</f>
        <v>OUT</v>
      </c>
      <c r="I351" s="214" t="str">
        <f>IFERROR(__xludf.DUMMYFUNCTION("""COMPUTED_VALUE"""),"NORMAL")</f>
        <v>NORMAL</v>
      </c>
      <c r="J351" s="211">
        <f>IFERROR(__xludf.DUMMYFUNCTION("""COMPUTED_VALUE"""),4.0)</f>
        <v>4</v>
      </c>
      <c r="K351" s="210" t="str">
        <f>IFERROR(__xludf.DUMMYFUNCTION("""COMPUTED_VALUE"""),"11187 11188 11190 11189")</f>
        <v>11187 11188 11190 11189</v>
      </c>
      <c r="L351" s="211">
        <f>IFERROR(__xludf.DUMMYFUNCTION("""COMPUTED_VALUE"""),70000.0)</f>
        <v>70000</v>
      </c>
      <c r="M351" s="211"/>
      <c r="N351" s="211"/>
      <c r="O351" s="211"/>
      <c r="Q351" s="210" t="str">
        <f>IFERROR(__xludf.DUMMYFUNCTION("""COMPUTED_VALUE"""),"52af3982")</f>
        <v>52af3982</v>
      </c>
      <c r="R351" s="210" t="str">
        <f>IFERROR(__xludf.DUMMYFUNCTION("""COMPUTED_VALUE"""),"52af3982")</f>
        <v>52af3982</v>
      </c>
      <c r="S351" s="211" t="str">
        <f>IFERROR(__xludf.DUMMYFUNCTION("""COMPUTED_VALUE"""),"64b0c06f")</f>
        <v>64b0c06f</v>
      </c>
      <c r="T351" s="211" t="str">
        <f>IFERROR(__xludf.DUMMYFUNCTION("""COMPUTED_VALUE"""),"Saiful Fuad")</f>
        <v>Saiful Fuad</v>
      </c>
      <c r="U351" s="215">
        <f>IFERROR(__xludf.DUMMYFUNCTION("""COMPUTED_VALUE"""),45670.51736111111)</f>
        <v>45670.51736</v>
      </c>
      <c r="V351" s="211"/>
      <c r="W351" s="211" t="str">
        <f>IFERROR(__xludf.DUMMYFUNCTION("""COMPUTED_VALUE"""),"IN")</f>
        <v>IN</v>
      </c>
      <c r="X351" s="211"/>
      <c r="Z351" s="211" t="str">
        <f>IFERROR(__xludf.DUMMYFUNCTION("""COMPUTED_VALUE"""),"012662320")</f>
        <v>012662320</v>
      </c>
      <c r="AC351" s="211"/>
      <c r="AD351" s="211"/>
      <c r="AE351" s="211"/>
      <c r="AF351" s="211"/>
      <c r="AG351" s="211"/>
      <c r="AH351" s="211"/>
      <c r="AI351" s="211"/>
      <c r="AJ351" s="211"/>
      <c r="AL351" s="211"/>
      <c r="AM351" s="211"/>
      <c r="AN351" s="211"/>
      <c r="AO351" s="211"/>
      <c r="AP351" s="215"/>
      <c r="AQ351" s="218"/>
      <c r="AR351" s="211"/>
      <c r="AS351" s="211"/>
      <c r="AT351" s="211"/>
      <c r="AU351" s="211"/>
      <c r="AV351" s="211"/>
      <c r="AW351" s="211"/>
      <c r="AX351" s="211"/>
      <c r="AY351" s="211"/>
      <c r="AZ351" s="211"/>
      <c r="BB351" s="211"/>
      <c r="BC351" s="211"/>
      <c r="BD351" s="211"/>
      <c r="BE351" s="211"/>
      <c r="BF351" s="211"/>
      <c r="BG351" s="211"/>
      <c r="BH351" s="211"/>
      <c r="BI351" s="211"/>
    </row>
    <row r="352">
      <c r="A352" s="210" t="str">
        <f>IFERROR(__xludf.DUMMYFUNCTION("""COMPUTED_VALUE"""),"12240156")</f>
        <v>12240156</v>
      </c>
      <c r="B352" s="210" t="str">
        <f>IFERROR(__xludf.DUMMYFUNCTION("""COMPUTED_VALUE"""),"12240156")</f>
        <v>12240156</v>
      </c>
      <c r="C352" s="213">
        <f>IFERROR(__xludf.DUMMYFUNCTION("""COMPUTED_VALUE"""),45633.45277777778)</f>
        <v>45633.45278</v>
      </c>
      <c r="D352" s="211" t="str">
        <f>IFERROR(__xludf.DUMMYFUNCTION("""COMPUTED_VALUE"""),"8ea74d81")</f>
        <v>8ea74d81</v>
      </c>
      <c r="E352" s="211" t="str">
        <f>IFERROR(__xludf.DUMMYFUNCTION("""COMPUTED_VALUE"""),"Bengkel Adi Putra")</f>
        <v>Bengkel Adi Putra</v>
      </c>
      <c r="F352" s="211" t="str">
        <f>IFERROR(__xludf.DUMMYFUNCTION("""COMPUTED_VALUE"""),"3b9d6a30")</f>
        <v>3b9d6a30</v>
      </c>
      <c r="G352" s="211" t="str">
        <f>IFERROR(__xludf.DUMMYFUNCTION("""COMPUTED_VALUE"""),"Acetyline")</f>
        <v>Acetyline</v>
      </c>
      <c r="H352" s="214" t="str">
        <f>IFERROR(__xludf.DUMMYFUNCTION("""COMPUTED_VALUE"""),"OUT")</f>
        <v>OUT</v>
      </c>
      <c r="I352" s="214" t="str">
        <f>IFERROR(__xludf.DUMMYFUNCTION("""COMPUTED_VALUE"""),"NORMAL")</f>
        <v>NORMAL</v>
      </c>
      <c r="J352" s="211">
        <f>IFERROR(__xludf.DUMMYFUNCTION("""COMPUTED_VALUE"""),2.0)</f>
        <v>2</v>
      </c>
      <c r="K352" s="210" t="str">
        <f>IFERROR(__xludf.DUMMYFUNCTION("""COMPUTED_VALUE"""),"7806 7975")</f>
        <v>7806 7975</v>
      </c>
      <c r="L352" s="211">
        <f>IFERROR(__xludf.DUMMYFUNCTION("""COMPUTED_VALUE"""),400000.0)</f>
        <v>400000</v>
      </c>
      <c r="M352" s="211"/>
      <c r="N352" s="211"/>
      <c r="O352" s="211"/>
      <c r="Q352" s="210" t="str">
        <f>IFERROR(__xludf.DUMMYFUNCTION("""COMPUTED_VALUE"""),"89c2a981")</f>
        <v>89c2a981</v>
      </c>
      <c r="R352" s="210" t="str">
        <f>IFERROR(__xludf.DUMMYFUNCTION("""COMPUTED_VALUE"""),"89c2a981")</f>
        <v>89c2a981</v>
      </c>
      <c r="S352" s="211" t="str">
        <f>IFERROR(__xludf.DUMMYFUNCTION("""COMPUTED_VALUE"""),"6b737895")</f>
        <v>6b737895</v>
      </c>
      <c r="T352" s="211" t="str">
        <f>IFERROR(__xludf.DUMMYFUNCTION("""COMPUTED_VALUE"""),"Ibu Yanti")</f>
        <v>Ibu Yanti</v>
      </c>
      <c r="U352" s="215">
        <f>IFERROR(__xludf.DUMMYFUNCTION("""COMPUTED_VALUE"""),45670.52222222222)</f>
        <v>45670.52222</v>
      </c>
      <c r="V352" s="211" t="str">
        <f>IFERROR(__xludf.DUMMYFUNCTION("""COMPUTED_VALUE"""),"Klutuk, Kramat Jegu, Kec. Taman, Kabupaten Sidoarjo, Jawa Timur 61257")</f>
        <v>Klutuk, Kramat Jegu, Kec. Taman, Kabupaten Sidoarjo, Jawa Timur 61257</v>
      </c>
      <c r="W352" s="211" t="str">
        <f>IFERROR(__xludf.DUMMYFUNCTION("""COMPUTED_VALUE"""),"IN")</f>
        <v>IN</v>
      </c>
      <c r="X352" s="211"/>
      <c r="Z352" s="211" t="str">
        <f>IFERROR(__xludf.DUMMYFUNCTION("""COMPUTED_VALUE"""),"0126342317")</f>
        <v>0126342317</v>
      </c>
      <c r="AC352" s="211"/>
      <c r="AD352" s="211"/>
      <c r="AE352" s="211"/>
      <c r="AF352" s="211"/>
      <c r="AG352" s="211"/>
      <c r="AH352" s="211"/>
      <c r="AI352" s="211"/>
      <c r="AJ352" s="211"/>
      <c r="AL352" s="211"/>
      <c r="AM352" s="211"/>
      <c r="AN352" s="211"/>
      <c r="AO352" s="211"/>
      <c r="AP352" s="215"/>
      <c r="AQ352" s="218"/>
      <c r="AR352" s="211"/>
      <c r="AS352" s="211"/>
      <c r="AT352" s="211"/>
      <c r="AU352" s="211"/>
      <c r="AV352" s="211"/>
      <c r="AW352" s="211"/>
      <c r="AX352" s="211"/>
      <c r="AY352" s="211"/>
      <c r="AZ352" s="211"/>
      <c r="BB352" s="211"/>
      <c r="BC352" s="211"/>
      <c r="BD352" s="211"/>
      <c r="BE352" s="211"/>
      <c r="BF352" s="211"/>
      <c r="BG352" s="211"/>
      <c r="BH352" s="211"/>
      <c r="BI352" s="211"/>
    </row>
    <row r="353">
      <c r="A353" s="210" t="str">
        <f>IFERROR(__xludf.DUMMYFUNCTION("""COMPUTED_VALUE"""),"12240158")</f>
        <v>12240158</v>
      </c>
      <c r="B353" s="210" t="str">
        <f>IFERROR(__xludf.DUMMYFUNCTION("""COMPUTED_VALUE"""),"12240158")</f>
        <v>12240158</v>
      </c>
      <c r="C353" s="213">
        <f>IFERROR(__xludf.DUMMYFUNCTION("""COMPUTED_VALUE"""),45633.45277777778)</f>
        <v>45633.45278</v>
      </c>
      <c r="D353" s="211" t="str">
        <f>IFERROR(__xludf.DUMMYFUNCTION("""COMPUTED_VALUE"""),"4ec68cf6")</f>
        <v>4ec68cf6</v>
      </c>
      <c r="E353" s="211" t="str">
        <f>IFERROR(__xludf.DUMMYFUNCTION("""COMPUTED_VALUE"""),"CV Sido Mukti Karya")</f>
        <v>CV Sido Mukti Karya</v>
      </c>
      <c r="F353" s="211" t="str">
        <f>IFERROR(__xludf.DUMMYFUNCTION("""COMPUTED_VALUE"""),"ef306e54")</f>
        <v>ef306e54</v>
      </c>
      <c r="G353" s="211" t="str">
        <f>IFERROR(__xludf.DUMMYFUNCTION("""COMPUTED_VALUE"""),"Karbondioksida")</f>
        <v>Karbondioksida</v>
      </c>
      <c r="H353" s="214" t="str">
        <f>IFERROR(__xludf.DUMMYFUNCTION("""COMPUTED_VALUE"""),"OUT")</f>
        <v>OUT</v>
      </c>
      <c r="I353" s="214" t="str">
        <f>IFERROR(__xludf.DUMMYFUNCTION("""COMPUTED_VALUE"""),"NORMAL")</f>
        <v>NORMAL</v>
      </c>
      <c r="J353" s="211">
        <f>IFERROR(__xludf.DUMMYFUNCTION("""COMPUTED_VALUE"""),2.0)</f>
        <v>2</v>
      </c>
      <c r="K353" s="210" t="str">
        <f>IFERROR(__xludf.DUMMYFUNCTION("""COMPUTED_VALUE"""),"6771 6917")</f>
        <v>6771 6917</v>
      </c>
      <c r="L353" s="211">
        <f>IFERROR(__xludf.DUMMYFUNCTION("""COMPUTED_VALUE"""),170000.0)</f>
        <v>170000</v>
      </c>
      <c r="M353" s="211"/>
      <c r="N353" s="211"/>
      <c r="O353" s="211"/>
      <c r="Q353" s="210" t="str">
        <f>IFERROR(__xludf.DUMMYFUNCTION("""COMPUTED_VALUE"""),"01250213")</f>
        <v>01250213</v>
      </c>
      <c r="R353" s="210" t="str">
        <f>IFERROR(__xludf.DUMMYFUNCTION("""COMPUTED_VALUE"""),"01250213")</f>
        <v>01250213</v>
      </c>
      <c r="S353" s="211" t="str">
        <f>IFERROR(__xludf.DUMMYFUNCTION("""COMPUTED_VALUE"""),"ce83e171")</f>
        <v>ce83e171</v>
      </c>
      <c r="T353" s="211" t="str">
        <f>IFERROR(__xludf.DUMMYFUNCTION("""COMPUTED_VALUE"""),"Bpk. Sulaiman")</f>
        <v>Bpk. Sulaiman</v>
      </c>
      <c r="U353" s="215">
        <f>IFERROR(__xludf.DUMMYFUNCTION("""COMPUTED_VALUE"""),45671.35972222222)</f>
        <v>45671.35972</v>
      </c>
      <c r="V353" s="211" t="str">
        <f>IFERROR(__xludf.DUMMYFUNCTION("""COMPUTED_VALUE"""),"Jl. Raya Kramat Temenggung No.43, Kramat, Kramat Temenggung, Kec. Tarik, Kabupaten Sidoarjo, Jawa Timur 61265")</f>
        <v>Jl. Raya Kramat Temenggung No.43, Kramat, Kramat Temenggung, Kec. Tarik, Kabupaten Sidoarjo, Jawa Timur 61265</v>
      </c>
      <c r="W353" s="211" t="str">
        <f>IFERROR(__xludf.DUMMYFUNCTION("""COMPUTED_VALUE"""),"OUT")</f>
        <v>OUT</v>
      </c>
      <c r="X353" s="211"/>
      <c r="Z353" s="211" t="str">
        <f>IFERROR(__xludf.DUMMYFUNCTION("""COMPUTED_VALUE"""),"0126112316")</f>
        <v>0126112316</v>
      </c>
      <c r="AC353" s="211"/>
      <c r="AD353" s="211"/>
      <c r="AE353" s="211"/>
      <c r="AF353" s="211"/>
      <c r="AG353" s="211"/>
      <c r="AH353" s="211"/>
      <c r="AI353" s="211"/>
      <c r="AJ353" s="211"/>
      <c r="AL353" s="211"/>
      <c r="AM353" s="211"/>
      <c r="AN353" s="211"/>
      <c r="AO353" s="211"/>
      <c r="AP353" s="215"/>
      <c r="AQ353" s="218"/>
      <c r="AR353" s="211"/>
      <c r="AS353" s="211"/>
      <c r="AT353" s="211"/>
      <c r="AU353" s="211"/>
      <c r="AV353" s="211"/>
      <c r="AW353" s="211"/>
      <c r="AX353" s="211"/>
      <c r="AY353" s="211"/>
      <c r="AZ353" s="211"/>
      <c r="BB353" s="211"/>
      <c r="BC353" s="211"/>
      <c r="BD353" s="211"/>
      <c r="BE353" s="211"/>
      <c r="BF353" s="211"/>
      <c r="BG353" s="211"/>
      <c r="BH353" s="211"/>
      <c r="BI353" s="211"/>
    </row>
    <row r="354">
      <c r="A354" s="210" t="str">
        <f>IFERROR(__xludf.DUMMYFUNCTION("""COMPUTED_VALUE"""),"12240158")</f>
        <v>12240158</v>
      </c>
      <c r="B354" s="210" t="str">
        <f>IFERROR(__xludf.DUMMYFUNCTION("""COMPUTED_VALUE"""),"12240158")</f>
        <v>12240158</v>
      </c>
      <c r="C354" s="213">
        <f>IFERROR(__xludf.DUMMYFUNCTION("""COMPUTED_VALUE"""),45633.45347222222)</f>
        <v>45633.45347</v>
      </c>
      <c r="D354" s="211" t="str">
        <f>IFERROR(__xludf.DUMMYFUNCTION("""COMPUTED_VALUE"""),"4ec68cf6")</f>
        <v>4ec68cf6</v>
      </c>
      <c r="E354" s="211" t="str">
        <f>IFERROR(__xludf.DUMMYFUNCTION("""COMPUTED_VALUE"""),"CV Sido Mukti Karya")</f>
        <v>CV Sido Mukti Karya</v>
      </c>
      <c r="F354" s="211" t="str">
        <f>IFERROR(__xludf.DUMMYFUNCTION("""COMPUTED_VALUE"""),"8bdbe149")</f>
        <v>8bdbe149</v>
      </c>
      <c r="G354" s="211" t="str">
        <f>IFERROR(__xludf.DUMMYFUNCTION("""COMPUTED_VALUE"""),"Oksigen 6m3")</f>
        <v>Oksigen 6m3</v>
      </c>
      <c r="H354" s="214" t="str">
        <f>IFERROR(__xludf.DUMMYFUNCTION("""COMPUTED_VALUE"""),"OUT")</f>
        <v>OUT</v>
      </c>
      <c r="I354" s="214" t="str">
        <f>IFERROR(__xludf.DUMMYFUNCTION("""COMPUTED_VALUE"""),"NORMAL")</f>
        <v>NORMAL</v>
      </c>
      <c r="J354" s="211">
        <f>IFERROR(__xludf.DUMMYFUNCTION("""COMPUTED_VALUE"""),4.0)</f>
        <v>4</v>
      </c>
      <c r="K354" s="210" t="str">
        <f>IFERROR(__xludf.DUMMYFUNCTION("""COMPUTED_VALUE"""),"11183 11185 11186 11184")</f>
        <v>11183 11185 11186 11184</v>
      </c>
      <c r="L354" s="211">
        <f>IFERROR(__xludf.DUMMYFUNCTION("""COMPUTED_VALUE"""),60000.0)</f>
        <v>60000</v>
      </c>
      <c r="M354" s="211"/>
      <c r="N354" s="211"/>
      <c r="O354" s="211"/>
      <c r="Q354" s="210" t="str">
        <f>IFERROR(__xludf.DUMMYFUNCTION("""COMPUTED_VALUE"""),"a9e46bb2")</f>
        <v>a9e46bb2</v>
      </c>
      <c r="R354" s="210" t="str">
        <f>IFERROR(__xludf.DUMMYFUNCTION("""COMPUTED_VALUE"""),"a9e46bb2")</f>
        <v>a9e46bb2</v>
      </c>
      <c r="S354" s="211" t="str">
        <f>IFERROR(__xludf.DUMMYFUNCTION("""COMPUTED_VALUE"""),"103f3ae7")</f>
        <v>103f3ae7</v>
      </c>
      <c r="T354" s="211" t="str">
        <f>IFERROR(__xludf.DUMMYFUNCTION("""COMPUTED_VALUE"""),"PT ARYANA CAKASANA")</f>
        <v>PT ARYANA CAKASANA</v>
      </c>
      <c r="U354" s="215">
        <f>IFERROR(__xludf.DUMMYFUNCTION("""COMPUTED_VALUE"""),45671.493055555555)</f>
        <v>45671.49306</v>
      </c>
      <c r="V354" s="211" t="str">
        <f>IFERROR(__xludf.DUMMYFUNCTION("""COMPUTED_VALUE"""),"Jl Raya Tarik No. 45, Wonokupang, Bakalan, Balongbendo")</f>
        <v>Jl Raya Tarik No. 45, Wonokupang, Bakalan, Balongbendo</v>
      </c>
      <c r="W354" s="211" t="str">
        <f>IFERROR(__xludf.DUMMYFUNCTION("""COMPUTED_VALUE"""),"IN")</f>
        <v>IN</v>
      </c>
      <c r="X354" s="211"/>
      <c r="Z354" s="211" t="str">
        <f>IFERROR(__xludf.DUMMYFUNCTION("""COMPUTED_VALUE"""),"012612315")</f>
        <v>012612315</v>
      </c>
      <c r="AC354" s="211"/>
      <c r="AD354" s="211"/>
      <c r="AE354" s="211"/>
      <c r="AF354" s="211"/>
      <c r="AG354" s="211"/>
      <c r="AH354" s="211"/>
      <c r="AI354" s="211"/>
      <c r="AJ354" s="211"/>
      <c r="AL354" s="211"/>
      <c r="AM354" s="211"/>
      <c r="AN354" s="211"/>
      <c r="AO354" s="211"/>
      <c r="AP354" s="215"/>
      <c r="AQ354" s="218"/>
      <c r="AR354" s="211"/>
      <c r="AS354" s="211"/>
      <c r="AT354" s="211"/>
      <c r="AU354" s="211"/>
      <c r="AV354" s="211"/>
      <c r="AW354" s="211"/>
      <c r="AX354" s="211"/>
      <c r="AY354" s="211"/>
      <c r="AZ354" s="211"/>
      <c r="BB354" s="211"/>
      <c r="BC354" s="211"/>
      <c r="BD354" s="211"/>
      <c r="BE354" s="211"/>
      <c r="BF354" s="211"/>
      <c r="BG354" s="211"/>
      <c r="BH354" s="211"/>
      <c r="BI354" s="211"/>
    </row>
    <row r="355">
      <c r="A355" s="210" t="str">
        <f>IFERROR(__xludf.DUMMYFUNCTION("""COMPUTED_VALUE"""),"80c81a15")</f>
        <v>80c81a15</v>
      </c>
      <c r="B355" s="210" t="str">
        <f>IFERROR(__xludf.DUMMYFUNCTION("""COMPUTED_VALUE"""),"80c81a15")</f>
        <v>80c81a15</v>
      </c>
      <c r="C355" s="213">
        <f>IFERROR(__xludf.DUMMYFUNCTION("""COMPUTED_VALUE"""),45633.524305555555)</f>
        <v>45633.52431</v>
      </c>
      <c r="D355" s="211" t="str">
        <f>IFERROR(__xludf.DUMMYFUNCTION("""COMPUTED_VALUE"""),"4ec68cf6")</f>
        <v>4ec68cf6</v>
      </c>
      <c r="E355" s="211" t="str">
        <f>IFERROR(__xludf.DUMMYFUNCTION("""COMPUTED_VALUE"""),"CV Sido Mukti Karya")</f>
        <v>CV Sido Mukti Karya</v>
      </c>
      <c r="F355" s="211" t="str">
        <f>IFERROR(__xludf.DUMMYFUNCTION("""COMPUTED_VALUE"""),"8bdbe149")</f>
        <v>8bdbe149</v>
      </c>
      <c r="G355" s="211" t="str">
        <f>IFERROR(__xludf.DUMMYFUNCTION("""COMPUTED_VALUE"""),"Oksigen 6m3")</f>
        <v>Oksigen 6m3</v>
      </c>
      <c r="H355" s="214" t="str">
        <f>IFERROR(__xludf.DUMMYFUNCTION("""COMPUTED_VALUE"""),"IN")</f>
        <v>IN</v>
      </c>
      <c r="I355" s="214" t="str">
        <f>IFERROR(__xludf.DUMMYFUNCTION("""COMPUTED_VALUE"""),"EMPTY")</f>
        <v>EMPTY</v>
      </c>
      <c r="J355" s="211">
        <f>IFERROR(__xludf.DUMMYFUNCTION("""COMPUTED_VALUE"""),3.0)</f>
        <v>3</v>
      </c>
      <c r="K355" s="210" t="str">
        <f>IFERROR(__xludf.DUMMYFUNCTION("""COMPUTED_VALUE"""),"1230 1836 015")</f>
        <v>1230 1836 015</v>
      </c>
      <c r="L355" s="211"/>
      <c r="M355" s="211"/>
      <c r="N355" s="211"/>
      <c r="O355" s="211"/>
      <c r="Q355" s="210" t="str">
        <f>IFERROR(__xludf.DUMMYFUNCTION("""COMPUTED_VALUE"""),"ef3ff34b")</f>
        <v>ef3ff34b</v>
      </c>
      <c r="R355" s="210" t="str">
        <f>IFERROR(__xludf.DUMMYFUNCTION("""COMPUTED_VALUE"""),"ef3ff34b")</f>
        <v>ef3ff34b</v>
      </c>
      <c r="S355" s="211" t="str">
        <f>IFERROR(__xludf.DUMMYFUNCTION("""COMPUTED_VALUE"""),"f8335a53")</f>
        <v>f8335a53</v>
      </c>
      <c r="T355" s="211" t="str">
        <f>IFERROR(__xludf.DUMMYFUNCTION("""COMPUTED_VALUE"""),"CV RAGAM JAYA ENGINEERING")</f>
        <v>CV RAGAM JAYA ENGINEERING</v>
      </c>
      <c r="U355" s="215">
        <f>IFERROR(__xludf.DUMMYFUNCTION("""COMPUTED_VALUE"""),45671.49375)</f>
        <v>45671.49375</v>
      </c>
      <c r="V355" s="211" t="str">
        <f>IFERROR(__xludf.DUMMYFUNCTION("""COMPUTED_VALUE"""),"Jl. Balung wangon, Dadapkuning, Bulurejo, Kec. Benjeng, Kabupaten Gresik, Jawa Timur 61172")</f>
        <v>Jl. Balung wangon, Dadapkuning, Bulurejo, Kec. Benjeng, Kabupaten Gresik, Jawa Timur 61172</v>
      </c>
      <c r="W355" s="211" t="str">
        <f>IFERROR(__xludf.DUMMYFUNCTION("""COMPUTED_VALUE"""),"IN")</f>
        <v>IN</v>
      </c>
      <c r="X355" s="211"/>
      <c r="Z355" s="211" t="str">
        <f>IFERROR(__xludf.DUMMYFUNCTION("""COMPUTED_VALUE"""),"0126382314")</f>
        <v>0126382314</v>
      </c>
      <c r="AC355" s="211"/>
      <c r="AD355" s="211"/>
      <c r="AE355" s="211"/>
      <c r="AF355" s="211"/>
      <c r="AG355" s="211"/>
      <c r="AH355" s="211"/>
      <c r="AI355" s="211"/>
      <c r="AJ355" s="211"/>
      <c r="AL355" s="211"/>
      <c r="AM355" s="211"/>
      <c r="AN355" s="211"/>
      <c r="AO355" s="211"/>
      <c r="AP355" s="215"/>
      <c r="AQ355" s="218"/>
      <c r="AR355" s="211"/>
      <c r="AS355" s="211"/>
      <c r="AT355" s="211"/>
      <c r="AU355" s="211"/>
      <c r="AV355" s="211"/>
      <c r="AW355" s="211"/>
      <c r="AX355" s="211"/>
      <c r="AY355" s="211"/>
      <c r="AZ355" s="211"/>
      <c r="BB355" s="211"/>
      <c r="BC355" s="211"/>
      <c r="BD355" s="211"/>
      <c r="BE355" s="211"/>
      <c r="BF355" s="211"/>
      <c r="BG355" s="211"/>
      <c r="BH355" s="211"/>
      <c r="BI355" s="211"/>
    </row>
    <row r="356">
      <c r="A356" s="210" t="str">
        <f>IFERROR(__xludf.DUMMYFUNCTION("""COMPUTED_VALUE"""),"80c81a15")</f>
        <v>80c81a15</v>
      </c>
      <c r="B356" s="210" t="str">
        <f>IFERROR(__xludf.DUMMYFUNCTION("""COMPUTED_VALUE"""),"80c81a15")</f>
        <v>80c81a15</v>
      </c>
      <c r="C356" s="213">
        <f>IFERROR(__xludf.DUMMYFUNCTION("""COMPUTED_VALUE"""),45633.525)</f>
        <v>45633.525</v>
      </c>
      <c r="D356" s="211" t="str">
        <f>IFERROR(__xludf.DUMMYFUNCTION("""COMPUTED_VALUE"""),"4ec68cf6")</f>
        <v>4ec68cf6</v>
      </c>
      <c r="E356" s="211" t="str">
        <f>IFERROR(__xludf.DUMMYFUNCTION("""COMPUTED_VALUE"""),"CV Sido Mukti Karya")</f>
        <v>CV Sido Mukti Karya</v>
      </c>
      <c r="F356" s="211" t="str">
        <f>IFERROR(__xludf.DUMMYFUNCTION("""COMPUTED_VALUE"""),"ef306e54")</f>
        <v>ef306e54</v>
      </c>
      <c r="G356" s="211" t="str">
        <f>IFERROR(__xludf.DUMMYFUNCTION("""COMPUTED_VALUE"""),"Karbondioksida")</f>
        <v>Karbondioksida</v>
      </c>
      <c r="H356" s="214" t="str">
        <f>IFERROR(__xludf.DUMMYFUNCTION("""COMPUTED_VALUE"""),"IN")</f>
        <v>IN</v>
      </c>
      <c r="I356" s="214" t="str">
        <f>IFERROR(__xludf.DUMMYFUNCTION("""COMPUTED_VALUE"""),"EMPTY")</f>
        <v>EMPTY</v>
      </c>
      <c r="J356" s="211">
        <f>IFERROR(__xludf.DUMMYFUNCTION("""COMPUTED_VALUE"""),1.0)</f>
        <v>1</v>
      </c>
      <c r="K356" s="210" t="str">
        <f>IFERROR(__xludf.DUMMYFUNCTION("""COMPUTED_VALUE"""),"6664")</f>
        <v>6664</v>
      </c>
      <c r="L356" s="211"/>
      <c r="M356" s="211"/>
      <c r="N356" s="211"/>
      <c r="O356" s="211"/>
      <c r="Q356" s="210" t="str">
        <f>IFERROR(__xludf.DUMMYFUNCTION("""COMPUTED_VALUE"""),"01250214")</f>
        <v>01250214</v>
      </c>
      <c r="R356" s="210" t="str">
        <f>IFERROR(__xludf.DUMMYFUNCTION("""COMPUTED_VALUE"""),"01250214")</f>
        <v>01250214</v>
      </c>
      <c r="S356" s="211" t="str">
        <f>IFERROR(__xludf.DUMMYFUNCTION("""COMPUTED_VALUE"""),"5f23ba17")</f>
        <v>5f23ba17</v>
      </c>
      <c r="T356" s="211" t="str">
        <f>IFERROR(__xludf.DUMMYFUNCTION("""COMPUTED_VALUE"""),"Bpk. Joko (Gresik)")</f>
        <v>Bpk. Joko (Gresik)</v>
      </c>
      <c r="U356" s="215">
        <f>IFERROR(__xludf.DUMMYFUNCTION("""COMPUTED_VALUE"""),45672.35972222222)</f>
        <v>45672.35972</v>
      </c>
      <c r="V356" s="211" t="str">
        <f>IFERROR(__xludf.DUMMYFUNCTION("""COMPUTED_VALUE"""),"Tanggungan, Lebaniwaras, Kec. Wringinanom, Kabupaten Gresik, Jawa Timur")</f>
        <v>Tanggungan, Lebaniwaras, Kec. Wringinanom, Kabupaten Gresik, Jawa Timur</v>
      </c>
      <c r="W356" s="211" t="str">
        <f>IFERROR(__xludf.DUMMYFUNCTION("""COMPUTED_VALUE"""),"OUT")</f>
        <v>OUT</v>
      </c>
      <c r="X356" s="211"/>
      <c r="Z356" s="211" t="str">
        <f>IFERROR(__xludf.DUMMYFUNCTION("""COMPUTED_VALUE"""),"012682313")</f>
        <v>012682313</v>
      </c>
      <c r="AC356" s="211"/>
      <c r="AD356" s="211"/>
      <c r="AE356" s="211"/>
      <c r="AF356" s="211"/>
      <c r="AG356" s="211"/>
      <c r="AH356" s="211"/>
      <c r="AI356" s="211"/>
      <c r="AJ356" s="211"/>
      <c r="AL356" s="211"/>
      <c r="AM356" s="211"/>
      <c r="AN356" s="211"/>
      <c r="AO356" s="211"/>
      <c r="AP356" s="215"/>
      <c r="AQ356" s="218"/>
      <c r="AR356" s="211"/>
      <c r="AS356" s="211"/>
      <c r="AT356" s="211"/>
      <c r="AU356" s="211"/>
      <c r="AV356" s="211"/>
      <c r="AW356" s="211"/>
      <c r="AX356" s="211"/>
      <c r="AY356" s="211"/>
      <c r="AZ356" s="211"/>
      <c r="BB356" s="211"/>
      <c r="BC356" s="211"/>
      <c r="BD356" s="211"/>
      <c r="BE356" s="211"/>
      <c r="BF356" s="211"/>
      <c r="BG356" s="211"/>
      <c r="BH356" s="211"/>
      <c r="BI356" s="211"/>
    </row>
    <row r="357">
      <c r="A357" s="210" t="str">
        <f>IFERROR(__xludf.DUMMYFUNCTION("""COMPUTED_VALUE"""),"12240160")</f>
        <v>12240160</v>
      </c>
      <c r="B357" s="210" t="str">
        <f>IFERROR(__xludf.DUMMYFUNCTION("""COMPUTED_VALUE"""),"12240160")</f>
        <v>12240160</v>
      </c>
      <c r="C357" s="213">
        <f>IFERROR(__xludf.DUMMYFUNCTION("""COMPUTED_VALUE"""),45633.53055555555)</f>
        <v>45633.53056</v>
      </c>
      <c r="D357" s="211" t="str">
        <f>IFERROR(__xludf.DUMMYFUNCTION("""COMPUTED_VALUE"""),"01158be1")</f>
        <v>01158be1</v>
      </c>
      <c r="E357" s="211" t="str">
        <f>IFERROR(__xludf.DUMMYFUNCTION("""COMPUTED_VALUE"""),"GYF")</f>
        <v>GYF</v>
      </c>
      <c r="F357" s="211" t="str">
        <f>IFERROR(__xludf.DUMMYFUNCTION("""COMPUTED_VALUE"""),"8bdbe149")</f>
        <v>8bdbe149</v>
      </c>
      <c r="G357" s="211" t="str">
        <f>IFERROR(__xludf.DUMMYFUNCTION("""COMPUTED_VALUE"""),"Oksigen 6m3")</f>
        <v>Oksigen 6m3</v>
      </c>
      <c r="H357" s="214" t="str">
        <f>IFERROR(__xludf.DUMMYFUNCTION("""COMPUTED_VALUE"""),"OUT")</f>
        <v>OUT</v>
      </c>
      <c r="I357" s="214" t="str">
        <f>IFERROR(__xludf.DUMMYFUNCTION("""COMPUTED_VALUE"""),"NORMAL")</f>
        <v>NORMAL</v>
      </c>
      <c r="J357" s="211">
        <f>IFERROR(__xludf.DUMMYFUNCTION("""COMPUTED_VALUE"""),20.0)</f>
        <v>20</v>
      </c>
      <c r="K357" s="210" t="str">
        <f>IFERROR(__xludf.DUMMYFUNCTION("""COMPUTED_VALUE"""),"11122 11206 11204 11205 11210 11211 11202 11191 11192 11194 11196 11200 11209 11207 11203 11197 11198 11199 11201 11208")</f>
        <v>11122 11206 11204 11205 11210 11211 11202 11191 11192 11194 11196 11200 11209 11207 11203 11197 11198 11199 11201 11208</v>
      </c>
      <c r="L357" s="211">
        <f>IFERROR(__xludf.DUMMYFUNCTION("""COMPUTED_VALUE"""),45000.0)</f>
        <v>45000</v>
      </c>
      <c r="M357" s="211"/>
      <c r="N357" s="211"/>
      <c r="O357" s="211"/>
      <c r="Q357" s="210" t="str">
        <f>IFERROR(__xludf.DUMMYFUNCTION("""COMPUTED_VALUE"""),"c1536df9")</f>
        <v>c1536df9</v>
      </c>
      <c r="R357" s="210" t="str">
        <f>IFERROR(__xludf.DUMMYFUNCTION("""COMPUTED_VALUE"""),"c1536df9")</f>
        <v>c1536df9</v>
      </c>
      <c r="S357" s="211" t="str">
        <f>IFERROR(__xludf.DUMMYFUNCTION("""COMPUTED_VALUE"""),"37175874")</f>
        <v>37175874</v>
      </c>
      <c r="T357" s="211" t="str">
        <f>IFERROR(__xludf.DUMMYFUNCTION("""COMPUTED_VALUE"""),"PT TERAPAN NILAIOSILASI INDONESIA (TENO)")</f>
        <v>PT TERAPAN NILAIOSILASI INDONESIA (TENO)</v>
      </c>
      <c r="U357" s="215">
        <f>IFERROR(__xludf.DUMMYFUNCTION("""COMPUTED_VALUE"""),45672.50138888889)</f>
        <v>45672.50139</v>
      </c>
      <c r="V357" s="211" t="str">
        <f>IFERROR(__xludf.DUMMYFUNCTION("""COMPUTED_VALUE"""),"JL Raya Kertajaya Indah 153 / P116, Gebang Putih, Sukokilo, Kota Surabaya, Jawa Timur")</f>
        <v>JL Raya Kertajaya Indah 153 / P116, Gebang Putih, Sukokilo, Kota Surabaya, Jawa Timur</v>
      </c>
      <c r="W357" s="211" t="str">
        <f>IFERROR(__xludf.DUMMYFUNCTION("""COMPUTED_VALUE"""),"IN")</f>
        <v>IN</v>
      </c>
      <c r="X357" s="211"/>
      <c r="Z357" s="211" t="str">
        <f>IFERROR(__xludf.DUMMYFUNCTION("""COMPUTED_VALUE"""),"0126742312")</f>
        <v>0126742312</v>
      </c>
      <c r="AC357" s="211"/>
      <c r="AD357" s="211"/>
      <c r="AE357" s="211"/>
      <c r="AF357" s="211"/>
      <c r="AG357" s="211"/>
      <c r="AH357" s="211"/>
      <c r="AI357" s="211"/>
      <c r="AJ357" s="211"/>
      <c r="AL357" s="211"/>
      <c r="AM357" s="211"/>
      <c r="AN357" s="211"/>
      <c r="AO357" s="211"/>
      <c r="AP357" s="215"/>
      <c r="AQ357" s="218"/>
      <c r="AR357" s="211"/>
      <c r="AS357" s="211"/>
      <c r="AT357" s="211"/>
      <c r="AU357" s="211"/>
      <c r="AV357" s="211"/>
      <c r="AW357" s="211"/>
      <c r="AX357" s="211"/>
      <c r="AY357" s="211"/>
      <c r="AZ357" s="211"/>
      <c r="BB357" s="211"/>
      <c r="BC357" s="211"/>
      <c r="BD357" s="211"/>
      <c r="BE357" s="211"/>
      <c r="BF357" s="211"/>
      <c r="BG357" s="211"/>
      <c r="BH357" s="211"/>
      <c r="BI357" s="211"/>
    </row>
    <row r="358">
      <c r="A358" s="210" t="str">
        <f>IFERROR(__xludf.DUMMYFUNCTION("""COMPUTED_VALUE"""),"12240161")</f>
        <v>12240161</v>
      </c>
      <c r="B358" s="210" t="str">
        <f>IFERROR(__xludf.DUMMYFUNCTION("""COMPUTED_VALUE"""),"12240161")</f>
        <v>12240161</v>
      </c>
      <c r="C358" s="213">
        <f>IFERROR(__xludf.DUMMYFUNCTION("""COMPUTED_VALUE"""),45636.46875)</f>
        <v>45636.46875</v>
      </c>
      <c r="D358" s="211" t="str">
        <f>IFERROR(__xludf.DUMMYFUNCTION("""COMPUTED_VALUE"""),"f8335a53")</f>
        <v>f8335a53</v>
      </c>
      <c r="E358" s="211" t="str">
        <f>IFERROR(__xludf.DUMMYFUNCTION("""COMPUTED_VALUE"""),"CV RAGAM JAYA ENGINEERING")</f>
        <v>CV RAGAM JAYA ENGINEERING</v>
      </c>
      <c r="F358" s="211" t="str">
        <f>IFERROR(__xludf.DUMMYFUNCTION("""COMPUTED_VALUE"""),"ef306e54")</f>
        <v>ef306e54</v>
      </c>
      <c r="G358" s="211" t="str">
        <f>IFERROR(__xludf.DUMMYFUNCTION("""COMPUTED_VALUE"""),"Karbondioksida")</f>
        <v>Karbondioksida</v>
      </c>
      <c r="H358" s="214" t="str">
        <f>IFERROR(__xludf.DUMMYFUNCTION("""COMPUTED_VALUE"""),"OUT")</f>
        <v>OUT</v>
      </c>
      <c r="I358" s="214" t="str">
        <f>IFERROR(__xludf.DUMMYFUNCTION("""COMPUTED_VALUE"""),"NORMAL")</f>
        <v>NORMAL</v>
      </c>
      <c r="J358" s="211">
        <f>IFERROR(__xludf.DUMMYFUNCTION("""COMPUTED_VALUE"""),5.0)</f>
        <v>5</v>
      </c>
      <c r="K358" s="210" t="str">
        <f>IFERROR(__xludf.DUMMYFUNCTION("""COMPUTED_VALUE"""),"6928 6696 6792 6650 6619")</f>
        <v>6928 6696 6792 6650 6619</v>
      </c>
      <c r="L358" s="211">
        <f>IFERROR(__xludf.DUMMYFUNCTION("""COMPUTED_VALUE"""),160000.0)</f>
        <v>160000</v>
      </c>
      <c r="M358" s="211"/>
      <c r="N358" s="211"/>
      <c r="O358" s="211"/>
      <c r="Q358" s="210" t="str">
        <f>IFERROR(__xludf.DUMMYFUNCTION("""COMPUTED_VALUE"""),"5c467d8f")</f>
        <v>5c467d8f</v>
      </c>
      <c r="R358" s="210" t="str">
        <f>IFERROR(__xludf.DUMMYFUNCTION("""COMPUTED_VALUE"""),"5c467d8f")</f>
        <v>5c467d8f</v>
      </c>
      <c r="S358" s="211" t="str">
        <f>IFERROR(__xludf.DUMMYFUNCTION("""COMPUTED_VALUE"""),"5f23ba17")</f>
        <v>5f23ba17</v>
      </c>
      <c r="T358" s="211" t="str">
        <f>IFERROR(__xludf.DUMMYFUNCTION("""COMPUTED_VALUE"""),"Bpk. Joko (Gresik)")</f>
        <v>Bpk. Joko (Gresik)</v>
      </c>
      <c r="U358" s="215">
        <f>IFERROR(__xludf.DUMMYFUNCTION("""COMPUTED_VALUE"""),45672.50277777778)</f>
        <v>45672.50278</v>
      </c>
      <c r="V358" s="211" t="str">
        <f>IFERROR(__xludf.DUMMYFUNCTION("""COMPUTED_VALUE"""),"Tanggungan, Lebaniwaras, Kec. Wringinanom, Kabupaten Gresik, Jawa Timur")</f>
        <v>Tanggungan, Lebaniwaras, Kec. Wringinanom, Kabupaten Gresik, Jawa Timur</v>
      </c>
      <c r="W358" s="211" t="str">
        <f>IFERROR(__xludf.DUMMYFUNCTION("""COMPUTED_VALUE"""),"IN")</f>
        <v>IN</v>
      </c>
      <c r="X358" s="211"/>
      <c r="Z358" s="211" t="str">
        <f>IFERROR(__xludf.DUMMYFUNCTION("""COMPUTED_VALUE"""),"0126432307")</f>
        <v>0126432307</v>
      </c>
      <c r="AC358" s="211"/>
      <c r="AD358" s="211"/>
      <c r="AE358" s="211"/>
      <c r="AF358" s="211"/>
      <c r="AG358" s="211"/>
      <c r="AH358" s="211"/>
      <c r="AI358" s="211"/>
      <c r="AJ358" s="211"/>
      <c r="AL358" s="211"/>
      <c r="AM358" s="211"/>
      <c r="AN358" s="211"/>
      <c r="AO358" s="211"/>
      <c r="AP358" s="215"/>
      <c r="AQ358" s="218"/>
      <c r="AR358" s="211"/>
      <c r="AS358" s="211"/>
      <c r="AT358" s="211"/>
      <c r="AU358" s="211"/>
      <c r="AV358" s="211"/>
      <c r="AW358" s="211"/>
      <c r="AX358" s="211"/>
      <c r="AY358" s="211"/>
      <c r="AZ358" s="211"/>
      <c r="BB358" s="211"/>
      <c r="BC358" s="211"/>
      <c r="BD358" s="211"/>
      <c r="BE358" s="211"/>
      <c r="BF358" s="211"/>
      <c r="BG358" s="211"/>
      <c r="BH358" s="211"/>
      <c r="BI358" s="211"/>
    </row>
    <row r="359">
      <c r="A359" s="210" t="str">
        <f>IFERROR(__xludf.DUMMYFUNCTION("""COMPUTED_VALUE"""),"12240161")</f>
        <v>12240161</v>
      </c>
      <c r="B359" s="210" t="str">
        <f>IFERROR(__xludf.DUMMYFUNCTION("""COMPUTED_VALUE"""),"12240161")</f>
        <v>12240161</v>
      </c>
      <c r="C359" s="213">
        <f>IFERROR(__xludf.DUMMYFUNCTION("""COMPUTED_VALUE"""),45636.46944444445)</f>
        <v>45636.46944</v>
      </c>
      <c r="D359" s="211" t="str">
        <f>IFERROR(__xludf.DUMMYFUNCTION("""COMPUTED_VALUE"""),"f8335a53")</f>
        <v>f8335a53</v>
      </c>
      <c r="E359" s="211" t="str">
        <f>IFERROR(__xludf.DUMMYFUNCTION("""COMPUTED_VALUE"""),"CV RAGAM JAYA ENGINEERING")</f>
        <v>CV RAGAM JAYA ENGINEERING</v>
      </c>
      <c r="F359" s="211" t="str">
        <f>IFERROR(__xludf.DUMMYFUNCTION("""COMPUTED_VALUE"""),"8bdbe149")</f>
        <v>8bdbe149</v>
      </c>
      <c r="G359" s="211" t="str">
        <f>IFERROR(__xludf.DUMMYFUNCTION("""COMPUTED_VALUE"""),"Oksigen 6m3")</f>
        <v>Oksigen 6m3</v>
      </c>
      <c r="H359" s="214" t="str">
        <f>IFERROR(__xludf.DUMMYFUNCTION("""COMPUTED_VALUE"""),"OUT")</f>
        <v>OUT</v>
      </c>
      <c r="I359" s="214" t="str">
        <f>IFERROR(__xludf.DUMMYFUNCTION("""COMPUTED_VALUE"""),"NORMAL")</f>
        <v>NORMAL</v>
      </c>
      <c r="J359" s="211">
        <f>IFERROR(__xludf.DUMMYFUNCTION("""COMPUTED_VALUE"""),5.0)</f>
        <v>5</v>
      </c>
      <c r="K359" s="210" t="str">
        <f>IFERROR(__xludf.DUMMYFUNCTION("""COMPUTED_VALUE"""),"11166 11196 1670 11193 11212")</f>
        <v>11166 11196 1670 11193 11212</v>
      </c>
      <c r="L359" s="211">
        <f>IFERROR(__xludf.DUMMYFUNCTION("""COMPUTED_VALUE"""),60000.0)</f>
        <v>60000</v>
      </c>
      <c r="M359" s="211"/>
      <c r="N359" s="211"/>
      <c r="O359" s="211"/>
      <c r="Q359" s="210" t="str">
        <f>IFERROR(__xludf.DUMMYFUNCTION("""COMPUTED_VALUE"""),"1e869b59")</f>
        <v>1e869b59</v>
      </c>
      <c r="R359" s="210" t="str">
        <f>IFERROR(__xludf.DUMMYFUNCTION("""COMPUTED_VALUE"""),"1e869b59")</f>
        <v>1e869b59</v>
      </c>
      <c r="S359" s="211" t="str">
        <f>IFERROR(__xludf.DUMMYFUNCTION("""COMPUTED_VALUE"""),"785e0e07")</f>
        <v>785e0e07</v>
      </c>
      <c r="T359" s="211" t="str">
        <f>IFERROR(__xludf.DUMMYFUNCTION("""COMPUTED_VALUE"""),"Bpk. Sukirno (Bejo)")</f>
        <v>Bpk. Sukirno (Bejo)</v>
      </c>
      <c r="U359" s="215">
        <f>IFERROR(__xludf.DUMMYFUNCTION("""COMPUTED_VALUE"""),45672.50555555556)</f>
        <v>45672.50556</v>
      </c>
      <c r="V359" s="211" t="str">
        <f>IFERROR(__xludf.DUMMYFUNCTION("""COMPUTED_VALUE"""),"Krajan I, Wringinanom, Kec. Wringinanom, Kabupaten Gresik, Jawa Timur 61176")</f>
        <v>Krajan I, Wringinanom, Kec. Wringinanom, Kabupaten Gresik, Jawa Timur 61176</v>
      </c>
      <c r="W359" s="211" t="str">
        <f>IFERROR(__xludf.DUMMYFUNCTION("""COMPUTED_VALUE"""),"IN")</f>
        <v>IN</v>
      </c>
      <c r="X359" s="211"/>
      <c r="Z359" s="211" t="str">
        <f>IFERROR(__xludf.DUMMYFUNCTION("""COMPUTED_VALUE"""),"012622303")</f>
        <v>012622303</v>
      </c>
      <c r="AC359" s="211"/>
      <c r="AD359" s="211"/>
      <c r="AE359" s="211"/>
      <c r="AF359" s="211"/>
      <c r="AG359" s="211"/>
      <c r="AH359" s="211"/>
      <c r="AI359" s="211"/>
      <c r="AJ359" s="211"/>
      <c r="AL359" s="211"/>
      <c r="AM359" s="211"/>
      <c r="AN359" s="211"/>
      <c r="AO359" s="211"/>
      <c r="AP359" s="215"/>
      <c r="AQ359" s="218"/>
      <c r="AR359" s="211"/>
      <c r="AS359" s="211"/>
      <c r="AT359" s="211"/>
      <c r="AU359" s="211"/>
      <c r="AV359" s="211"/>
      <c r="AW359" s="211"/>
      <c r="AX359" s="211"/>
      <c r="AY359" s="211"/>
      <c r="AZ359" s="211"/>
      <c r="BB359" s="211"/>
      <c r="BC359" s="211"/>
      <c r="BD359" s="211"/>
      <c r="BE359" s="211"/>
      <c r="BF359" s="211"/>
      <c r="BG359" s="211"/>
      <c r="BH359" s="211"/>
      <c r="BI359" s="211"/>
    </row>
    <row r="360">
      <c r="A360" s="210" t="str">
        <f>IFERROR(__xludf.DUMMYFUNCTION("""COMPUTED_VALUE"""),"1b38f329")</f>
        <v>1b38f329</v>
      </c>
      <c r="B360" s="210" t="str">
        <f>IFERROR(__xludf.DUMMYFUNCTION("""COMPUTED_VALUE"""),"1b38f329")</f>
        <v>1b38f329</v>
      </c>
      <c r="C360" s="213">
        <f>IFERROR(__xludf.DUMMYFUNCTION("""COMPUTED_VALUE"""),45636.47777777778)</f>
        <v>45636.47778</v>
      </c>
      <c r="D360" s="211" t="str">
        <f>IFERROR(__xludf.DUMMYFUNCTION("""COMPUTED_VALUE"""),"37175874")</f>
        <v>37175874</v>
      </c>
      <c r="E360" s="211" t="str">
        <f>IFERROR(__xludf.DUMMYFUNCTION("""COMPUTED_VALUE"""),"PT TERAPAN NILAIOSILASI INDONESIA (TENO)")</f>
        <v>PT TERAPAN NILAIOSILASI INDONESIA (TENO)</v>
      </c>
      <c r="F360" s="211" t="str">
        <f>IFERROR(__xludf.DUMMYFUNCTION("""COMPUTED_VALUE"""),"8bdbe149")</f>
        <v>8bdbe149</v>
      </c>
      <c r="G360" s="211" t="str">
        <f>IFERROR(__xludf.DUMMYFUNCTION("""COMPUTED_VALUE"""),"Oksigen 6m3")</f>
        <v>Oksigen 6m3</v>
      </c>
      <c r="H360" s="214" t="str">
        <f>IFERROR(__xludf.DUMMYFUNCTION("""COMPUTED_VALUE"""),"IN")</f>
        <v>IN</v>
      </c>
      <c r="I360" s="214" t="str">
        <f>IFERROR(__xludf.DUMMYFUNCTION("""COMPUTED_VALUE"""),"EMPTY")</f>
        <v>EMPTY</v>
      </c>
      <c r="J360" s="211">
        <f>IFERROR(__xludf.DUMMYFUNCTION("""COMPUTED_VALUE"""),2.0)</f>
        <v>2</v>
      </c>
      <c r="K360" s="210" t="str">
        <f>IFERROR(__xludf.DUMMYFUNCTION("""COMPUTED_VALUE"""),"11147 5782")</f>
        <v>11147 5782</v>
      </c>
      <c r="L360" s="211"/>
      <c r="M360" s="211"/>
      <c r="N360" s="211"/>
      <c r="O360" s="211"/>
      <c r="Q360" s="210" t="str">
        <f>IFERROR(__xludf.DUMMYFUNCTION("""COMPUTED_VALUE"""),"01250215")</f>
        <v>01250215</v>
      </c>
      <c r="R360" s="210" t="str">
        <f>IFERROR(__xludf.DUMMYFUNCTION("""COMPUTED_VALUE"""),"01250215")</f>
        <v>01250215</v>
      </c>
      <c r="S360" s="211" t="str">
        <f>IFERROR(__xludf.DUMMYFUNCTION("""COMPUTED_VALUE"""),"e86baf3b")</f>
        <v>e86baf3b</v>
      </c>
      <c r="T360" s="211" t="str">
        <f>IFERROR(__xludf.DUMMYFUNCTION("""COMPUTED_VALUE"""),"PT GEMILANG CIPTA WAWASAN")</f>
        <v>PT GEMILANG CIPTA WAWASAN</v>
      </c>
      <c r="U360" s="215">
        <f>IFERROR(__xludf.DUMMYFUNCTION("""COMPUTED_VALUE"""),45672.51944444445)</f>
        <v>45672.51944</v>
      </c>
      <c r="V360" s="211" t="str">
        <f>IFERROR(__xludf.DUMMYFUNCTION("""COMPUTED_VALUE"""),"JL TEBET RAYA, 2A, TEBET BARAT, TEBET, KOTA ADM, JAKARTA SELATAN, DKI JAKARTA")</f>
        <v>JL TEBET RAYA, 2A, TEBET BARAT, TEBET, KOTA ADM, JAKARTA SELATAN, DKI JAKARTA</v>
      </c>
      <c r="W360" s="211" t="str">
        <f>IFERROR(__xludf.DUMMYFUNCTION("""COMPUTED_VALUE"""),"OUT")</f>
        <v>OUT</v>
      </c>
      <c r="X360" s="211"/>
      <c r="Z360" s="211" t="str">
        <f>IFERROR(__xludf.DUMMYFUNCTION("""COMPUTED_VALUE"""),"012692302")</f>
        <v>012692302</v>
      </c>
      <c r="AC360" s="211"/>
      <c r="AD360" s="211"/>
      <c r="AE360" s="211"/>
      <c r="AF360" s="211"/>
      <c r="AG360" s="211"/>
      <c r="AH360" s="211"/>
      <c r="AI360" s="211"/>
      <c r="AJ360" s="211"/>
      <c r="AL360" s="211"/>
      <c r="AM360" s="211"/>
      <c r="AN360" s="211"/>
      <c r="AO360" s="211"/>
      <c r="AP360" s="215"/>
      <c r="AQ360" s="218"/>
      <c r="AR360" s="211"/>
      <c r="AS360" s="211"/>
      <c r="AT360" s="211"/>
      <c r="AU360" s="211"/>
      <c r="AV360" s="211"/>
      <c r="AW360" s="211"/>
      <c r="AX360" s="211"/>
      <c r="AY360" s="211"/>
      <c r="AZ360" s="211"/>
      <c r="BB360" s="211"/>
      <c r="BC360" s="211"/>
      <c r="BD360" s="211"/>
      <c r="BE360" s="211"/>
      <c r="BF360" s="211"/>
      <c r="BG360" s="211"/>
      <c r="BH360" s="211"/>
      <c r="BI360" s="211"/>
    </row>
    <row r="361">
      <c r="A361" s="210" t="str">
        <f>IFERROR(__xludf.DUMMYFUNCTION("""COMPUTED_VALUE"""),"89216099")</f>
        <v>89216099</v>
      </c>
      <c r="B361" s="210" t="str">
        <f>IFERROR(__xludf.DUMMYFUNCTION("""COMPUTED_VALUE"""),"89216099")</f>
        <v>89216099</v>
      </c>
      <c r="C361" s="213">
        <f>IFERROR(__xludf.DUMMYFUNCTION("""COMPUTED_VALUE"""),45636.478472222225)</f>
        <v>45636.47847</v>
      </c>
      <c r="D361" s="211" t="str">
        <f>IFERROR(__xludf.DUMMYFUNCTION("""COMPUTED_VALUE"""),"8f5ebaea")</f>
        <v>8f5ebaea</v>
      </c>
      <c r="E361" s="211" t="str">
        <f>IFERROR(__xludf.DUMMYFUNCTION("""COMPUTED_VALUE"""),"PT Hua Zong Mesindo")</f>
        <v>PT Hua Zong Mesindo</v>
      </c>
      <c r="F361" s="211" t="str">
        <f>IFERROR(__xludf.DUMMYFUNCTION("""COMPUTED_VALUE"""),"8bdbe149")</f>
        <v>8bdbe149</v>
      </c>
      <c r="G361" s="211" t="str">
        <f>IFERROR(__xludf.DUMMYFUNCTION("""COMPUTED_VALUE"""),"Oksigen 6m3")</f>
        <v>Oksigen 6m3</v>
      </c>
      <c r="H361" s="214" t="str">
        <f>IFERROR(__xludf.DUMMYFUNCTION("""COMPUTED_VALUE"""),"IN")</f>
        <v>IN</v>
      </c>
      <c r="I361" s="214" t="str">
        <f>IFERROR(__xludf.DUMMYFUNCTION("""COMPUTED_VALUE"""),"EMPTY")</f>
        <v>EMPTY</v>
      </c>
      <c r="J361" s="211">
        <f>IFERROR(__xludf.DUMMYFUNCTION("""COMPUTED_VALUE"""),1.0)</f>
        <v>1</v>
      </c>
      <c r="K361" s="210" t="str">
        <f>IFERROR(__xludf.DUMMYFUNCTION("""COMPUTED_VALUE"""),"1190")</f>
        <v>1190</v>
      </c>
      <c r="L361" s="211"/>
      <c r="M361" s="211"/>
      <c r="N361" s="211"/>
      <c r="O361" s="211"/>
      <c r="Q361" s="210" t="str">
        <f>IFERROR(__xludf.DUMMYFUNCTION("""COMPUTED_VALUE"""),"01250216")</f>
        <v>01250216</v>
      </c>
      <c r="R361" s="210" t="str">
        <f>IFERROR(__xludf.DUMMYFUNCTION("""COMPUTED_VALUE"""),"01250216")</f>
        <v>01250216</v>
      </c>
      <c r="S361" s="211" t="str">
        <f>IFERROR(__xludf.DUMMYFUNCTION("""COMPUTED_VALUE"""),"3fec37df")</f>
        <v>3fec37df</v>
      </c>
      <c r="T361" s="211" t="str">
        <f>IFERROR(__xludf.DUMMYFUNCTION("""COMPUTED_VALUE"""),"PT Jatim Abadi Perkasa Steel")</f>
        <v>PT Jatim Abadi Perkasa Steel</v>
      </c>
      <c r="U361" s="215">
        <f>IFERROR(__xludf.DUMMYFUNCTION("""COMPUTED_VALUE"""),45673.34444444445)</f>
        <v>45673.34444</v>
      </c>
      <c r="V361" s="211" t="str">
        <f>IFERROR(__xludf.DUMMYFUNCTION("""COMPUTED_VALUE"""),"Dsn. Bulak Sempuh, Jatirejo, Kab. Mojokerto, Jawa Timur")</f>
        <v>Dsn. Bulak Sempuh, Jatirejo, Kab. Mojokerto, Jawa Timur</v>
      </c>
      <c r="W361" s="211" t="str">
        <f>IFERROR(__xludf.DUMMYFUNCTION("""COMPUTED_VALUE"""),"OUT")</f>
        <v>OUT</v>
      </c>
      <c r="X361" s="211"/>
      <c r="Z361" s="211" t="str">
        <f>IFERROR(__xludf.DUMMYFUNCTION("""COMPUTED_VALUE"""),"0126112300")</f>
        <v>0126112300</v>
      </c>
      <c r="AC361" s="211"/>
      <c r="AD361" s="211"/>
      <c r="AE361" s="211"/>
      <c r="AF361" s="211"/>
      <c r="AG361" s="211"/>
      <c r="AH361" s="211"/>
      <c r="AI361" s="211"/>
      <c r="AJ361" s="211"/>
      <c r="AL361" s="211"/>
      <c r="AM361" s="211"/>
      <c r="AN361" s="211"/>
      <c r="AO361" s="211"/>
      <c r="AP361" s="215"/>
      <c r="AQ361" s="218"/>
      <c r="AR361" s="211"/>
      <c r="AS361" s="211"/>
      <c r="AT361" s="211"/>
      <c r="AU361" s="211"/>
      <c r="AV361" s="211"/>
      <c r="AW361" s="211"/>
      <c r="AX361" s="211"/>
      <c r="AY361" s="211"/>
      <c r="AZ361" s="211"/>
      <c r="BB361" s="211"/>
      <c r="BC361" s="211"/>
      <c r="BD361" s="211"/>
      <c r="BE361" s="211"/>
      <c r="BF361" s="211"/>
      <c r="BG361" s="211"/>
      <c r="BH361" s="211"/>
      <c r="BI361" s="211"/>
    </row>
    <row r="362">
      <c r="A362" s="210" t="str">
        <f>IFERROR(__xludf.DUMMYFUNCTION("""COMPUTED_VALUE"""),"cadad782")</f>
        <v>cadad782</v>
      </c>
      <c r="B362" s="210" t="str">
        <f>IFERROR(__xludf.DUMMYFUNCTION("""COMPUTED_VALUE"""),"cadad782")</f>
        <v>cadad782</v>
      </c>
      <c r="C362" s="213">
        <f>IFERROR(__xludf.DUMMYFUNCTION("""COMPUTED_VALUE"""),45636.48055555556)</f>
        <v>45636.48056</v>
      </c>
      <c r="D362" s="211" t="str">
        <f>IFERROR(__xludf.DUMMYFUNCTION("""COMPUTED_VALUE"""),"7b9d8eba")</f>
        <v>7b9d8eba</v>
      </c>
      <c r="E362" s="211" t="str">
        <f>IFERROR(__xludf.DUMMYFUNCTION("""COMPUTED_VALUE"""),"PT PELANGI INDOKARYA")</f>
        <v>PT PELANGI INDOKARYA</v>
      </c>
      <c r="F362" s="211" t="str">
        <f>IFERROR(__xludf.DUMMYFUNCTION("""COMPUTED_VALUE"""),"8bdbe149")</f>
        <v>8bdbe149</v>
      </c>
      <c r="G362" s="211" t="str">
        <f>IFERROR(__xludf.DUMMYFUNCTION("""COMPUTED_VALUE"""),"Oksigen 6m3")</f>
        <v>Oksigen 6m3</v>
      </c>
      <c r="H362" s="214" t="str">
        <f>IFERROR(__xludf.DUMMYFUNCTION("""COMPUTED_VALUE"""),"IN")</f>
        <v>IN</v>
      </c>
      <c r="I362" s="214" t="str">
        <f>IFERROR(__xludf.DUMMYFUNCTION("""COMPUTED_VALUE"""),"EMPTY")</f>
        <v>EMPTY</v>
      </c>
      <c r="J362" s="211">
        <f>IFERROR(__xludf.DUMMYFUNCTION("""COMPUTED_VALUE"""),1.0)</f>
        <v>1</v>
      </c>
      <c r="K362" s="210" t="str">
        <f>IFERROR(__xludf.DUMMYFUNCTION("""COMPUTED_VALUE"""),"1419")</f>
        <v>1419</v>
      </c>
      <c r="L362" s="211"/>
      <c r="M362" s="211"/>
      <c r="N362" s="211"/>
      <c r="O362" s="211"/>
      <c r="Q362" s="210" t="str">
        <f>IFERROR(__xludf.DUMMYFUNCTION("""COMPUTED_VALUE"""),"9a115787")</f>
        <v>9a115787</v>
      </c>
      <c r="R362" s="210" t="str">
        <f>IFERROR(__xludf.DUMMYFUNCTION("""COMPUTED_VALUE"""),"9a115787")</f>
        <v>9a115787</v>
      </c>
      <c r="S362" s="211" t="str">
        <f>IFERROR(__xludf.DUMMYFUNCTION("""COMPUTED_VALUE"""),"e86baf3b")</f>
        <v>e86baf3b</v>
      </c>
      <c r="T362" s="211" t="str">
        <f>IFERROR(__xludf.DUMMYFUNCTION("""COMPUTED_VALUE"""),"PT GEMILANG CIPTA WAWASAN")</f>
        <v>PT GEMILANG CIPTA WAWASAN</v>
      </c>
      <c r="U362" s="215">
        <f>IFERROR(__xludf.DUMMYFUNCTION("""COMPUTED_VALUE"""),45672.652083333334)</f>
        <v>45672.65208</v>
      </c>
      <c r="V362" s="211" t="str">
        <f>IFERROR(__xludf.DUMMYFUNCTION("""COMPUTED_VALUE"""),"JL TEBET RAYA, 2A, TEBET BARAT, TEBET, KOTA ADM, JAKARTA SELATAN, DKI JAKARTA")</f>
        <v>JL TEBET RAYA, 2A, TEBET BARAT, TEBET, KOTA ADM, JAKARTA SELATAN, DKI JAKARTA</v>
      </c>
      <c r="W362" s="211" t="str">
        <f>IFERROR(__xludf.DUMMYFUNCTION("""COMPUTED_VALUE"""),"IN")</f>
        <v>IN</v>
      </c>
      <c r="X362" s="211"/>
      <c r="Z362" s="211" t="str">
        <f>IFERROR(__xludf.DUMMYFUNCTION("""COMPUTED_VALUE"""),"012652299")</f>
        <v>012652299</v>
      </c>
      <c r="AC362" s="211"/>
      <c r="AD362" s="211"/>
      <c r="AE362" s="211"/>
      <c r="AF362" s="211"/>
      <c r="AG362" s="211"/>
      <c r="AH362" s="211"/>
      <c r="AI362" s="211"/>
      <c r="AJ362" s="211"/>
      <c r="AL362" s="211"/>
      <c r="AM362" s="211"/>
      <c r="AN362" s="211"/>
      <c r="AO362" s="211"/>
      <c r="AP362" s="215"/>
      <c r="AQ362" s="218"/>
      <c r="AR362" s="211"/>
      <c r="AS362" s="211"/>
      <c r="AT362" s="211"/>
      <c r="AU362" s="211"/>
      <c r="AV362" s="211"/>
      <c r="AW362" s="211"/>
      <c r="AX362" s="211"/>
      <c r="AY362" s="211"/>
      <c r="AZ362" s="211"/>
      <c r="BB362" s="211"/>
      <c r="BC362" s="211"/>
      <c r="BD362" s="211"/>
      <c r="BE362" s="211"/>
      <c r="BF362" s="211"/>
      <c r="BG362" s="211"/>
      <c r="BH362" s="211"/>
      <c r="BI362" s="211"/>
    </row>
    <row r="363">
      <c r="A363" s="210" t="str">
        <f>IFERROR(__xludf.DUMMYFUNCTION("""COMPUTED_VALUE"""),"a0f763e4")</f>
        <v>a0f763e4</v>
      </c>
      <c r="B363" s="210" t="str">
        <f>IFERROR(__xludf.DUMMYFUNCTION("""COMPUTED_VALUE"""),"a0f763e4")</f>
        <v>a0f763e4</v>
      </c>
      <c r="C363" s="213">
        <f>IFERROR(__xludf.DUMMYFUNCTION("""COMPUTED_VALUE"""),45636.48055555556)</f>
        <v>45636.48056</v>
      </c>
      <c r="D363" s="211" t="str">
        <f>IFERROR(__xludf.DUMMYFUNCTION("""COMPUTED_VALUE"""),"4ec68cf6")</f>
        <v>4ec68cf6</v>
      </c>
      <c r="E363" s="211" t="str">
        <f>IFERROR(__xludf.DUMMYFUNCTION("""COMPUTED_VALUE"""),"CV Sido Mukti Karya")</f>
        <v>CV Sido Mukti Karya</v>
      </c>
      <c r="F363" s="211" t="str">
        <f>IFERROR(__xludf.DUMMYFUNCTION("""COMPUTED_VALUE"""),"8bdbe149")</f>
        <v>8bdbe149</v>
      </c>
      <c r="G363" s="211" t="str">
        <f>IFERROR(__xludf.DUMMYFUNCTION("""COMPUTED_VALUE"""),"Oksigen 6m3")</f>
        <v>Oksigen 6m3</v>
      </c>
      <c r="H363" s="214" t="str">
        <f>IFERROR(__xludf.DUMMYFUNCTION("""COMPUTED_VALUE"""),"IN")</f>
        <v>IN</v>
      </c>
      <c r="I363" s="214" t="str">
        <f>IFERROR(__xludf.DUMMYFUNCTION("""COMPUTED_VALUE"""),"EMPTY")</f>
        <v>EMPTY</v>
      </c>
      <c r="J363" s="211">
        <f>IFERROR(__xludf.DUMMYFUNCTION("""COMPUTED_VALUE"""),2.0)</f>
        <v>2</v>
      </c>
      <c r="K363" s="210" t="str">
        <f>IFERROR(__xludf.DUMMYFUNCTION("""COMPUTED_VALUE"""),"5471 1485")</f>
        <v>5471 1485</v>
      </c>
      <c r="L363" s="211"/>
      <c r="M363" s="211"/>
      <c r="N363" s="211"/>
      <c r="O363" s="211"/>
      <c r="Q363" s="210" t="str">
        <f>IFERROR(__xludf.DUMMYFUNCTION("""COMPUTED_VALUE"""),"01250217")</f>
        <v>01250217</v>
      </c>
      <c r="R363" s="210" t="str">
        <f>IFERROR(__xludf.DUMMYFUNCTION("""COMPUTED_VALUE"""),"01250217")</f>
        <v>01250217</v>
      </c>
      <c r="S363" s="211" t="str">
        <f>IFERROR(__xludf.DUMMYFUNCTION("""COMPUTED_VALUE"""),"5449a0b8")</f>
        <v>5449a0b8</v>
      </c>
      <c r="T363" s="211" t="str">
        <f>IFERROR(__xludf.DUMMYFUNCTION("""COMPUTED_VALUE"""),"Bpk. Supar")</f>
        <v>Bpk. Supar</v>
      </c>
      <c r="U363" s="215">
        <f>IFERROR(__xludf.DUMMYFUNCTION("""COMPUTED_VALUE"""),45672.67222222222)</f>
        <v>45672.67222</v>
      </c>
      <c r="V363" s="211" t="str">
        <f>IFERROR(__xludf.DUMMYFUNCTION("""COMPUTED_VALUE"""),"Ciro Kulon, Bakungtemenggungan, Kec. BalongBendo, Kabupaten Sidoarjo, Jawa Timur")</f>
        <v>Ciro Kulon, Bakungtemenggungan, Kec. BalongBendo, Kabupaten Sidoarjo, Jawa Timur</v>
      </c>
      <c r="W363" s="211" t="str">
        <f>IFERROR(__xludf.DUMMYFUNCTION("""COMPUTED_VALUE"""),"OUT")</f>
        <v>OUT</v>
      </c>
      <c r="X363" s="211"/>
      <c r="Z363" s="211" t="str">
        <f>IFERROR(__xludf.DUMMYFUNCTION("""COMPUTED_VALUE"""),"0126142297")</f>
        <v>0126142297</v>
      </c>
      <c r="AC363" s="211"/>
      <c r="AD363" s="211"/>
      <c r="AE363" s="211"/>
      <c r="AF363" s="211"/>
      <c r="AG363" s="211"/>
      <c r="AH363" s="211"/>
      <c r="AI363" s="211"/>
      <c r="AJ363" s="211"/>
      <c r="AL363" s="211"/>
      <c r="AM363" s="211"/>
      <c r="AN363" s="211"/>
      <c r="AO363" s="211"/>
      <c r="AP363" s="215"/>
      <c r="AQ363" s="218"/>
      <c r="AR363" s="211"/>
      <c r="AS363" s="211"/>
      <c r="AT363" s="211"/>
      <c r="AU363" s="211"/>
      <c r="AV363" s="211"/>
      <c r="AW363" s="211"/>
      <c r="AX363" s="211"/>
      <c r="AY363" s="211"/>
      <c r="AZ363" s="211"/>
      <c r="BB363" s="211"/>
      <c r="BC363" s="211"/>
      <c r="BD363" s="211"/>
      <c r="BE363" s="211"/>
      <c r="BF363" s="211"/>
      <c r="BG363" s="211"/>
      <c r="BH363" s="211"/>
      <c r="BI363" s="211"/>
    </row>
    <row r="364">
      <c r="A364" s="210" t="str">
        <f>IFERROR(__xludf.DUMMYFUNCTION("""COMPUTED_VALUE"""),"a0f763e4")</f>
        <v>a0f763e4</v>
      </c>
      <c r="B364" s="210" t="str">
        <f>IFERROR(__xludf.DUMMYFUNCTION("""COMPUTED_VALUE"""),"a0f763e4")</f>
        <v>a0f763e4</v>
      </c>
      <c r="C364" s="213">
        <f>IFERROR(__xludf.DUMMYFUNCTION("""COMPUTED_VALUE"""),45636.48125)</f>
        <v>45636.48125</v>
      </c>
      <c r="D364" s="211" t="str">
        <f>IFERROR(__xludf.DUMMYFUNCTION("""COMPUTED_VALUE"""),"4ec68cf6")</f>
        <v>4ec68cf6</v>
      </c>
      <c r="E364" s="211" t="str">
        <f>IFERROR(__xludf.DUMMYFUNCTION("""COMPUTED_VALUE"""),"CV Sido Mukti Karya")</f>
        <v>CV Sido Mukti Karya</v>
      </c>
      <c r="F364" s="211" t="str">
        <f>IFERROR(__xludf.DUMMYFUNCTION("""COMPUTED_VALUE"""),"ef306e54")</f>
        <v>ef306e54</v>
      </c>
      <c r="G364" s="211" t="str">
        <f>IFERROR(__xludf.DUMMYFUNCTION("""COMPUTED_VALUE"""),"Karbondioksida")</f>
        <v>Karbondioksida</v>
      </c>
      <c r="H364" s="214" t="str">
        <f>IFERROR(__xludf.DUMMYFUNCTION("""COMPUTED_VALUE"""),"IN")</f>
        <v>IN</v>
      </c>
      <c r="I364" s="214" t="str">
        <f>IFERROR(__xludf.DUMMYFUNCTION("""COMPUTED_VALUE"""),"EMPTY")</f>
        <v>EMPTY</v>
      </c>
      <c r="J364" s="211">
        <f>IFERROR(__xludf.DUMMYFUNCTION("""COMPUTED_VALUE"""),1.0)</f>
        <v>1</v>
      </c>
      <c r="K364" s="210" t="str">
        <f>IFERROR(__xludf.DUMMYFUNCTION("""COMPUTED_VALUE"""),"6643")</f>
        <v>6643</v>
      </c>
      <c r="L364" s="211"/>
      <c r="M364" s="211"/>
      <c r="N364" s="211"/>
      <c r="O364" s="211"/>
      <c r="Q364" s="210" t="str">
        <f>IFERROR(__xludf.DUMMYFUNCTION("""COMPUTED_VALUE"""),"01250218")</f>
        <v>01250218</v>
      </c>
      <c r="R364" s="210" t="str">
        <f>IFERROR(__xludf.DUMMYFUNCTION("""COMPUTED_VALUE"""),"01250218")</f>
        <v>01250218</v>
      </c>
      <c r="S364" s="211" t="str">
        <f>IFERROR(__xludf.DUMMYFUNCTION("""COMPUTED_VALUE"""),"01158be1")</f>
        <v>01158be1</v>
      </c>
      <c r="T364" s="211" t="str">
        <f>IFERROR(__xludf.DUMMYFUNCTION("""COMPUTED_VALUE"""),"GYF")</f>
        <v>GYF</v>
      </c>
      <c r="U364" s="215">
        <f>IFERROR(__xludf.DUMMYFUNCTION("""COMPUTED_VALUE"""),45674.33541666667)</f>
        <v>45674.33542</v>
      </c>
      <c r="V364" s="211" t="str">
        <f>IFERROR(__xludf.DUMMYFUNCTION("""COMPUTED_VALUE"""),"Kangkungan, Lengkong, Kec. Mojoanyar, Kabupaten Mojokerto, Jawa Timur")</f>
        <v>Kangkungan, Lengkong, Kec. Mojoanyar, Kabupaten Mojokerto, Jawa Timur</v>
      </c>
      <c r="W364" s="211" t="str">
        <f>IFERROR(__xludf.DUMMYFUNCTION("""COMPUTED_VALUE"""),"OUT")</f>
        <v>OUT</v>
      </c>
      <c r="X364" s="211"/>
      <c r="Z364" s="211" t="str">
        <f>IFERROR(__xludf.DUMMYFUNCTION("""COMPUTED_VALUE"""),"0126152296")</f>
        <v>0126152296</v>
      </c>
      <c r="AC364" s="211"/>
      <c r="AD364" s="211"/>
      <c r="AE364" s="211"/>
      <c r="AF364" s="211"/>
      <c r="AG364" s="211"/>
      <c r="AH364" s="211"/>
      <c r="AI364" s="211"/>
      <c r="AJ364" s="211"/>
      <c r="AL364" s="211"/>
      <c r="AM364" s="211"/>
      <c r="AN364" s="211"/>
      <c r="AO364" s="211"/>
      <c r="AP364" s="215"/>
      <c r="AQ364" s="218"/>
      <c r="AR364" s="211"/>
      <c r="AS364" s="211"/>
      <c r="AT364" s="211"/>
      <c r="AU364" s="211"/>
      <c r="AV364" s="211"/>
      <c r="AW364" s="211"/>
      <c r="AX364" s="211"/>
      <c r="AY364" s="211"/>
      <c r="AZ364" s="211"/>
      <c r="BB364" s="211"/>
      <c r="BC364" s="211"/>
      <c r="BD364" s="211"/>
      <c r="BE364" s="211"/>
      <c r="BF364" s="211"/>
      <c r="BG364" s="211"/>
      <c r="BH364" s="211"/>
      <c r="BI364" s="211"/>
    </row>
    <row r="365">
      <c r="A365" s="210" t="str">
        <f>IFERROR(__xludf.DUMMYFUNCTION("""COMPUTED_VALUE"""),"d21a743e")</f>
        <v>d21a743e</v>
      </c>
      <c r="B365" s="210" t="str">
        <f>IFERROR(__xludf.DUMMYFUNCTION("""COMPUTED_VALUE"""),"d21a743e")</f>
        <v>d21a743e</v>
      </c>
      <c r="C365" s="213">
        <f>IFERROR(__xludf.DUMMYFUNCTION("""COMPUTED_VALUE"""),45636.64444444444)</f>
        <v>45636.64444</v>
      </c>
      <c r="D365" s="211" t="str">
        <f>IFERROR(__xludf.DUMMYFUNCTION("""COMPUTED_VALUE"""),"f8335a53")</f>
        <v>f8335a53</v>
      </c>
      <c r="E365" s="211" t="str">
        <f>IFERROR(__xludf.DUMMYFUNCTION("""COMPUTED_VALUE"""),"CV RAGAM JAYA ENGINEERING")</f>
        <v>CV RAGAM JAYA ENGINEERING</v>
      </c>
      <c r="F365" s="211" t="str">
        <f>IFERROR(__xludf.DUMMYFUNCTION("""COMPUTED_VALUE"""),"8bdbe149")</f>
        <v>8bdbe149</v>
      </c>
      <c r="G365" s="211" t="str">
        <f>IFERROR(__xludf.DUMMYFUNCTION("""COMPUTED_VALUE"""),"Oksigen 6m3")</f>
        <v>Oksigen 6m3</v>
      </c>
      <c r="H365" s="214" t="str">
        <f>IFERROR(__xludf.DUMMYFUNCTION("""COMPUTED_VALUE"""),"IN")</f>
        <v>IN</v>
      </c>
      <c r="I365" s="214" t="str">
        <f>IFERROR(__xludf.DUMMYFUNCTION("""COMPUTED_VALUE"""),"EMPTY")</f>
        <v>EMPTY</v>
      </c>
      <c r="J365" s="211">
        <f>IFERROR(__xludf.DUMMYFUNCTION("""COMPUTED_VALUE"""),4.0)</f>
        <v>4</v>
      </c>
      <c r="K365" s="210" t="str">
        <f>IFERROR(__xludf.DUMMYFUNCTION("""COMPUTED_VALUE"""),"1598 1141 5753 1431")</f>
        <v>1598 1141 5753 1431</v>
      </c>
      <c r="L365" s="211"/>
      <c r="M365" s="211"/>
      <c r="N365" s="211"/>
      <c r="O365" s="211"/>
      <c r="Q365" s="210" t="str">
        <f>IFERROR(__xludf.DUMMYFUNCTION("""COMPUTED_VALUE"""),"01250219")</f>
        <v>01250219</v>
      </c>
      <c r="R365" s="210" t="str">
        <f>IFERROR(__xludf.DUMMYFUNCTION("""COMPUTED_VALUE"""),"01250219")</f>
        <v>01250219</v>
      </c>
      <c r="S365" s="211" t="str">
        <f>IFERROR(__xludf.DUMMYFUNCTION("""COMPUTED_VALUE"""),"e86baf3b")</f>
        <v>e86baf3b</v>
      </c>
      <c r="T365" s="211" t="str">
        <f>IFERROR(__xludf.DUMMYFUNCTION("""COMPUTED_VALUE"""),"PT GEMILANG CIPTA WAWASAN")</f>
        <v>PT GEMILANG CIPTA WAWASAN</v>
      </c>
      <c r="U365" s="215">
        <f>IFERROR(__xludf.DUMMYFUNCTION("""COMPUTED_VALUE"""),45673.69930555555)</f>
        <v>45673.69931</v>
      </c>
      <c r="V365" s="211" t="str">
        <f>IFERROR(__xludf.DUMMYFUNCTION("""COMPUTED_VALUE"""),"JL TEBET RAYA, 2A, TEBET BARAT, TEBET, KOTA ADM, JAKARTA SELATAN, DKI JAKARTA")</f>
        <v>JL TEBET RAYA, 2A, TEBET BARAT, TEBET, KOTA ADM, JAKARTA SELATAN, DKI JAKARTA</v>
      </c>
      <c r="W365" s="211" t="str">
        <f>IFERROR(__xludf.DUMMYFUNCTION("""COMPUTED_VALUE"""),"OUT")</f>
        <v>OUT</v>
      </c>
      <c r="X365" s="211"/>
      <c r="Z365" s="211" t="str">
        <f>IFERROR(__xludf.DUMMYFUNCTION("""COMPUTED_VALUE"""),"0126142292")</f>
        <v>0126142292</v>
      </c>
      <c r="AC365" s="211"/>
      <c r="AD365" s="211"/>
      <c r="AE365" s="211"/>
      <c r="AF365" s="211"/>
      <c r="AG365" s="211"/>
      <c r="AH365" s="211"/>
      <c r="AI365" s="211"/>
      <c r="AJ365" s="211"/>
      <c r="AL365" s="211"/>
      <c r="AM365" s="211"/>
      <c r="AN365" s="211"/>
      <c r="AO365" s="211"/>
      <c r="AP365" s="215"/>
      <c r="AQ365" s="218"/>
      <c r="AR365" s="211"/>
      <c r="AS365" s="211"/>
      <c r="AT365" s="211"/>
      <c r="AU365" s="211"/>
      <c r="AV365" s="211"/>
      <c r="AW365" s="211"/>
      <c r="AX365" s="211"/>
      <c r="AY365" s="211"/>
      <c r="AZ365" s="211"/>
      <c r="BB365" s="211"/>
      <c r="BC365" s="211"/>
      <c r="BD365" s="211"/>
      <c r="BE365" s="211"/>
      <c r="BF365" s="211"/>
      <c r="BG365" s="211"/>
      <c r="BH365" s="211"/>
      <c r="BI365" s="211"/>
    </row>
    <row r="366">
      <c r="A366" s="210" t="str">
        <f>IFERROR(__xludf.DUMMYFUNCTION("""COMPUTED_VALUE"""),"d21a743e")</f>
        <v>d21a743e</v>
      </c>
      <c r="B366" s="210" t="str">
        <f>IFERROR(__xludf.DUMMYFUNCTION("""COMPUTED_VALUE"""),"d21a743e")</f>
        <v>d21a743e</v>
      </c>
      <c r="C366" s="213">
        <f>IFERROR(__xludf.DUMMYFUNCTION("""COMPUTED_VALUE"""),45636.64513888889)</f>
        <v>45636.64514</v>
      </c>
      <c r="D366" s="211" t="str">
        <f>IFERROR(__xludf.DUMMYFUNCTION("""COMPUTED_VALUE"""),"f8335a53")</f>
        <v>f8335a53</v>
      </c>
      <c r="E366" s="211" t="str">
        <f>IFERROR(__xludf.DUMMYFUNCTION("""COMPUTED_VALUE"""),"CV RAGAM JAYA ENGINEERING")</f>
        <v>CV RAGAM JAYA ENGINEERING</v>
      </c>
      <c r="F366" s="211" t="str">
        <f>IFERROR(__xludf.DUMMYFUNCTION("""COMPUTED_VALUE"""),"ef306e54")</f>
        <v>ef306e54</v>
      </c>
      <c r="G366" s="211" t="str">
        <f>IFERROR(__xludf.DUMMYFUNCTION("""COMPUTED_VALUE"""),"Karbondioksida")</f>
        <v>Karbondioksida</v>
      </c>
      <c r="H366" s="214" t="str">
        <f>IFERROR(__xludf.DUMMYFUNCTION("""COMPUTED_VALUE"""),"IN")</f>
        <v>IN</v>
      </c>
      <c r="I366" s="214" t="str">
        <f>IFERROR(__xludf.DUMMYFUNCTION("""COMPUTED_VALUE"""),"EMPTY")</f>
        <v>EMPTY</v>
      </c>
      <c r="J366" s="211">
        <f>IFERROR(__xludf.DUMMYFUNCTION("""COMPUTED_VALUE"""),10.0)</f>
        <v>10</v>
      </c>
      <c r="K366" s="210" t="str">
        <f>IFERROR(__xludf.DUMMYFUNCTION("""COMPUTED_VALUE"""),"6798 6683 6667 6774 6894 6694 6808 6668 6651 6648")</f>
        <v>6798 6683 6667 6774 6894 6694 6808 6668 6651 6648</v>
      </c>
      <c r="L366" s="211"/>
      <c r="M366" s="211"/>
      <c r="N366" s="211"/>
      <c r="O366" s="211"/>
      <c r="Q366" s="210" t="str">
        <f>IFERROR(__xludf.DUMMYFUNCTION("""COMPUTED_VALUE"""),"9a3c146f")</f>
        <v>9a3c146f</v>
      </c>
      <c r="R366" s="210" t="str">
        <f>IFERROR(__xludf.DUMMYFUNCTION("""COMPUTED_VALUE"""),"9a3c146f")</f>
        <v>9a3c146f</v>
      </c>
      <c r="S366" s="211" t="str">
        <f>IFERROR(__xludf.DUMMYFUNCTION("""COMPUTED_VALUE"""),"72d9a70c")</f>
        <v>72d9a70c</v>
      </c>
      <c r="T366" s="211" t="str">
        <f>IFERROR(__xludf.DUMMYFUNCTION("""COMPUTED_VALUE"""),"PT Beton Prima Indonesia")</f>
        <v>PT Beton Prima Indonesia</v>
      </c>
      <c r="U366" s="215">
        <f>IFERROR(__xludf.DUMMYFUNCTION("""COMPUTED_VALUE"""),45673.70347222222)</f>
        <v>45673.70347</v>
      </c>
      <c r="V366" s="211" t="str">
        <f>IFERROR(__xludf.DUMMYFUNCTION("""COMPUTED_VALUE"""),"KH. Ahmad Dahlan KM.2 Ds. Sumberwono, Kec. Bangsal, Kab. Mojokerto 61381")</f>
        <v>KH. Ahmad Dahlan KM.2 Ds. Sumberwono, Kec. Bangsal, Kab. Mojokerto 61381</v>
      </c>
      <c r="W366" s="211" t="str">
        <f>IFERROR(__xludf.DUMMYFUNCTION("""COMPUTED_VALUE"""),"IN")</f>
        <v>IN</v>
      </c>
      <c r="X366" s="211"/>
      <c r="Z366" s="211" t="str">
        <f>IFERROR(__xludf.DUMMYFUNCTION("""COMPUTED_VALUE"""),"0126102291")</f>
        <v>0126102291</v>
      </c>
      <c r="AC366" s="211"/>
      <c r="AD366" s="211"/>
      <c r="AE366" s="211"/>
      <c r="AF366" s="211"/>
      <c r="AG366" s="211"/>
      <c r="AH366" s="211"/>
      <c r="AI366" s="211"/>
      <c r="AJ366" s="211"/>
      <c r="AL366" s="211"/>
      <c r="AM366" s="211"/>
      <c r="AN366" s="211"/>
      <c r="AO366" s="211"/>
      <c r="AP366" s="215"/>
      <c r="AQ366" s="218"/>
      <c r="AR366" s="211"/>
      <c r="AS366" s="211"/>
      <c r="AT366" s="211"/>
      <c r="AU366" s="211"/>
      <c r="AV366" s="211"/>
      <c r="AW366" s="211"/>
      <c r="AX366" s="211"/>
      <c r="AY366" s="211"/>
      <c r="AZ366" s="211"/>
      <c r="BB366" s="211"/>
      <c r="BC366" s="211"/>
      <c r="BD366" s="211"/>
      <c r="BE366" s="211"/>
      <c r="BF366" s="211"/>
      <c r="BG366" s="211"/>
      <c r="BH366" s="211"/>
      <c r="BI366" s="211"/>
    </row>
    <row r="367">
      <c r="A367" s="210" t="str">
        <f>IFERROR(__xludf.DUMMYFUNCTION("""COMPUTED_VALUE"""),"d21a743e")</f>
        <v>d21a743e</v>
      </c>
      <c r="B367" s="210" t="str">
        <f>IFERROR(__xludf.DUMMYFUNCTION("""COMPUTED_VALUE"""),"d21a743e")</f>
        <v>d21a743e</v>
      </c>
      <c r="C367" s="213">
        <f>IFERROR(__xludf.DUMMYFUNCTION("""COMPUTED_VALUE"""),45636.646527777775)</f>
        <v>45636.64653</v>
      </c>
      <c r="D367" s="211" t="str">
        <f>IFERROR(__xludf.DUMMYFUNCTION("""COMPUTED_VALUE"""),"f8335a53")</f>
        <v>f8335a53</v>
      </c>
      <c r="E367" s="211" t="str">
        <f>IFERROR(__xludf.DUMMYFUNCTION("""COMPUTED_VALUE"""),"CV RAGAM JAYA ENGINEERING")</f>
        <v>CV RAGAM JAYA ENGINEERING</v>
      </c>
      <c r="F367" s="211" t="str">
        <f>IFERROR(__xludf.DUMMYFUNCTION("""COMPUTED_VALUE"""),"be525f3b")</f>
        <v>be525f3b</v>
      </c>
      <c r="G367" s="211" t="str">
        <f>IFERROR(__xludf.DUMMYFUNCTION("""COMPUTED_VALUE"""),"LPG 12kg")</f>
        <v>LPG 12kg</v>
      </c>
      <c r="H367" s="214" t="str">
        <f>IFERROR(__xludf.DUMMYFUNCTION("""COMPUTED_VALUE"""),"IN")</f>
        <v>IN</v>
      </c>
      <c r="I367" s="214" t="str">
        <f>IFERROR(__xludf.DUMMYFUNCTION("""COMPUTED_VALUE"""),"EMPTY")</f>
        <v>EMPTY</v>
      </c>
      <c r="J367" s="211">
        <f>IFERROR(__xludf.DUMMYFUNCTION("""COMPUTED_VALUE"""),1.0)</f>
        <v>1</v>
      </c>
      <c r="K367" s="211"/>
      <c r="L367" s="211"/>
      <c r="M367" s="211"/>
      <c r="N367" s="211"/>
      <c r="O367" s="211"/>
      <c r="Q367" s="210" t="str">
        <f>IFERROR(__xludf.DUMMYFUNCTION("""COMPUTED_VALUE"""),"21d47fb2")</f>
        <v>21d47fb2</v>
      </c>
      <c r="R367" s="210" t="str">
        <f>IFERROR(__xludf.DUMMYFUNCTION("""COMPUTED_VALUE"""),"21d47fb2")</f>
        <v>21d47fb2</v>
      </c>
      <c r="S367" s="211" t="str">
        <f>IFERROR(__xludf.DUMMYFUNCTION("""COMPUTED_VALUE"""),"3fec37df")</f>
        <v>3fec37df</v>
      </c>
      <c r="T367" s="211" t="str">
        <f>IFERROR(__xludf.DUMMYFUNCTION("""COMPUTED_VALUE"""),"PT Jatim Abadi Perkasa Steel")</f>
        <v>PT Jatim Abadi Perkasa Steel</v>
      </c>
      <c r="U367" s="215">
        <f>IFERROR(__xludf.DUMMYFUNCTION("""COMPUTED_VALUE"""),45673.70347222222)</f>
        <v>45673.70347</v>
      </c>
      <c r="V367" s="211" t="str">
        <f>IFERROR(__xludf.DUMMYFUNCTION("""COMPUTED_VALUE"""),"Dsn. Bulak Sempuh, Jatirejo, Kab. Mojokerto, Jawa Timur")</f>
        <v>Dsn. Bulak Sempuh, Jatirejo, Kab. Mojokerto, Jawa Timur</v>
      </c>
      <c r="W367" s="211" t="str">
        <f>IFERROR(__xludf.DUMMYFUNCTION("""COMPUTED_VALUE"""),"IN")</f>
        <v>IN</v>
      </c>
      <c r="X367" s="211"/>
      <c r="Z367" s="211" t="str">
        <f>IFERROR(__xludf.DUMMYFUNCTION("""COMPUTED_VALUE"""),"0126732282")</f>
        <v>0126732282</v>
      </c>
      <c r="AC367" s="211"/>
      <c r="AD367" s="211"/>
      <c r="AE367" s="211"/>
      <c r="AF367" s="211"/>
      <c r="AG367" s="211"/>
      <c r="AH367" s="211"/>
      <c r="AI367" s="211"/>
      <c r="AJ367" s="211"/>
      <c r="AL367" s="211"/>
      <c r="AM367" s="211"/>
      <c r="AN367" s="211"/>
      <c r="AO367" s="211"/>
      <c r="AP367" s="215"/>
      <c r="AQ367" s="218"/>
      <c r="AR367" s="211"/>
      <c r="AS367" s="211"/>
      <c r="AT367" s="211"/>
      <c r="AU367" s="211"/>
      <c r="AV367" s="211"/>
      <c r="AW367" s="211"/>
      <c r="AX367" s="211"/>
      <c r="AY367" s="211"/>
      <c r="AZ367" s="211"/>
      <c r="BB367" s="211"/>
      <c r="BC367" s="211"/>
      <c r="BD367" s="211"/>
      <c r="BE367" s="211"/>
      <c r="BF367" s="211"/>
      <c r="BG367" s="211"/>
      <c r="BH367" s="211"/>
      <c r="BI367" s="211"/>
    </row>
    <row r="368">
      <c r="A368" s="210" t="str">
        <f>IFERROR(__xludf.DUMMYFUNCTION("""COMPUTED_VALUE"""),"dc84ecc4")</f>
        <v>dc84ecc4</v>
      </c>
      <c r="B368" s="210" t="str">
        <f>IFERROR(__xludf.DUMMYFUNCTION("""COMPUTED_VALUE"""),"dc84ecc4")</f>
        <v>dc84ecc4</v>
      </c>
      <c r="C368" s="213">
        <f>IFERROR(__xludf.DUMMYFUNCTION("""COMPUTED_VALUE"""),45636.77013888889)</f>
        <v>45636.77014</v>
      </c>
      <c r="D368" s="211" t="str">
        <f>IFERROR(__xludf.DUMMYFUNCTION("""COMPUTED_VALUE"""),"72d9a70c")</f>
        <v>72d9a70c</v>
      </c>
      <c r="E368" s="211" t="str">
        <f>IFERROR(__xludf.DUMMYFUNCTION("""COMPUTED_VALUE"""),"PT Beton Prima Indonesia")</f>
        <v>PT Beton Prima Indonesia</v>
      </c>
      <c r="F368" s="211" t="str">
        <f>IFERROR(__xludf.DUMMYFUNCTION("""COMPUTED_VALUE"""),"8bdbe149")</f>
        <v>8bdbe149</v>
      </c>
      <c r="G368" s="211" t="str">
        <f>IFERROR(__xludf.DUMMYFUNCTION("""COMPUTED_VALUE"""),"Oksigen 6m3")</f>
        <v>Oksigen 6m3</v>
      </c>
      <c r="H368" s="214" t="str">
        <f>IFERROR(__xludf.DUMMYFUNCTION("""COMPUTED_VALUE"""),"IN")</f>
        <v>IN</v>
      </c>
      <c r="I368" s="214" t="str">
        <f>IFERROR(__xludf.DUMMYFUNCTION("""COMPUTED_VALUE"""),"EMPTY")</f>
        <v>EMPTY</v>
      </c>
      <c r="J368" s="211">
        <f>IFERROR(__xludf.DUMMYFUNCTION("""COMPUTED_VALUE"""),3.0)</f>
        <v>3</v>
      </c>
      <c r="K368" s="210" t="str">
        <f>IFERROR(__xludf.DUMMYFUNCTION("""COMPUTED_VALUE"""),"11155 1596 5862")</f>
        <v>11155 1596 5862</v>
      </c>
      <c r="L368" s="211"/>
      <c r="M368" s="211"/>
      <c r="N368" s="211"/>
      <c r="O368" s="211"/>
      <c r="Q368" s="210" t="str">
        <f>IFERROR(__xludf.DUMMYFUNCTION("""COMPUTED_VALUE"""),"40511c62")</f>
        <v>40511c62</v>
      </c>
      <c r="R368" s="210" t="str">
        <f>IFERROR(__xludf.DUMMYFUNCTION("""COMPUTED_VALUE"""),"40511c62")</f>
        <v>40511c62</v>
      </c>
      <c r="S368" s="211" t="str">
        <f>IFERROR(__xludf.DUMMYFUNCTION("""COMPUTED_VALUE"""),"01158be1")</f>
        <v>01158be1</v>
      </c>
      <c r="T368" s="211" t="str">
        <f>IFERROR(__xludf.DUMMYFUNCTION("""COMPUTED_VALUE"""),"GYF")</f>
        <v>GYF</v>
      </c>
      <c r="U368" s="215">
        <f>IFERROR(__xludf.DUMMYFUNCTION("""COMPUTED_VALUE"""),45674.52013888889)</f>
        <v>45674.52014</v>
      </c>
      <c r="V368" s="211" t="str">
        <f>IFERROR(__xludf.DUMMYFUNCTION("""COMPUTED_VALUE"""),"Kangkungan, Lengkong, Kec. Mojoanyar, Kabupaten Mojokerto, Jawa Timur")</f>
        <v>Kangkungan, Lengkong, Kec. Mojoanyar, Kabupaten Mojokerto, Jawa Timur</v>
      </c>
      <c r="W368" s="211" t="str">
        <f>IFERROR(__xludf.DUMMYFUNCTION("""COMPUTED_VALUE"""),"IN")</f>
        <v>IN</v>
      </c>
      <c r="X368" s="211"/>
      <c r="Z368" s="211" t="str">
        <f>IFERROR(__xludf.DUMMYFUNCTION("""COMPUTED_VALUE"""),"012682281")</f>
        <v>012682281</v>
      </c>
      <c r="AC368" s="211"/>
      <c r="AD368" s="211"/>
      <c r="AE368" s="211"/>
      <c r="AF368" s="211"/>
      <c r="AG368" s="211"/>
      <c r="AH368" s="211"/>
      <c r="AI368" s="211"/>
      <c r="AJ368" s="211"/>
      <c r="AL368" s="211"/>
      <c r="AM368" s="211"/>
      <c r="AN368" s="211"/>
      <c r="AO368" s="211"/>
      <c r="AP368" s="215"/>
      <c r="AQ368" s="218"/>
      <c r="AR368" s="211"/>
      <c r="AS368" s="211"/>
      <c r="AT368" s="211"/>
      <c r="AU368" s="211"/>
      <c r="AV368" s="211"/>
      <c r="AW368" s="211"/>
      <c r="AX368" s="211"/>
      <c r="AY368" s="211"/>
      <c r="AZ368" s="211"/>
      <c r="BB368" s="211"/>
      <c r="BC368" s="211"/>
      <c r="BD368" s="211"/>
      <c r="BE368" s="211"/>
      <c r="BF368" s="211"/>
      <c r="BG368" s="211"/>
      <c r="BH368" s="211"/>
      <c r="BI368" s="211"/>
    </row>
    <row r="369">
      <c r="A369" s="210" t="str">
        <f>IFERROR(__xludf.DUMMYFUNCTION("""COMPUTED_VALUE"""),"12240163")</f>
        <v>12240163</v>
      </c>
      <c r="B369" s="210" t="str">
        <f>IFERROR(__xludf.DUMMYFUNCTION("""COMPUTED_VALUE"""),"12240163")</f>
        <v>12240163</v>
      </c>
      <c r="C369" s="213">
        <f>IFERROR(__xludf.DUMMYFUNCTION("""COMPUTED_VALUE"""),45638.57152777778)</f>
        <v>45638.57153</v>
      </c>
      <c r="D369" s="211" t="str">
        <f>IFERROR(__xludf.DUMMYFUNCTION("""COMPUTED_VALUE"""),"f8335a53")</f>
        <v>f8335a53</v>
      </c>
      <c r="E369" s="211" t="str">
        <f>IFERROR(__xludf.DUMMYFUNCTION("""COMPUTED_VALUE"""),"CV RAGAM JAYA ENGINEERING")</f>
        <v>CV RAGAM JAYA ENGINEERING</v>
      </c>
      <c r="F369" s="211" t="str">
        <f>IFERROR(__xludf.DUMMYFUNCTION("""COMPUTED_VALUE"""),"8bdbe149")</f>
        <v>8bdbe149</v>
      </c>
      <c r="G369" s="211" t="str">
        <f>IFERROR(__xludf.DUMMYFUNCTION("""COMPUTED_VALUE"""),"Oksigen 6m3")</f>
        <v>Oksigen 6m3</v>
      </c>
      <c r="H369" s="214" t="str">
        <f>IFERROR(__xludf.DUMMYFUNCTION("""COMPUTED_VALUE"""),"OUT")</f>
        <v>OUT</v>
      </c>
      <c r="I369" s="214" t="str">
        <f>IFERROR(__xludf.DUMMYFUNCTION("""COMPUTED_VALUE"""),"NORMAL")</f>
        <v>NORMAL</v>
      </c>
      <c r="J369" s="211">
        <f>IFERROR(__xludf.DUMMYFUNCTION("""COMPUTED_VALUE"""),5.0)</f>
        <v>5</v>
      </c>
      <c r="K369" s="210" t="str">
        <f>IFERROR(__xludf.DUMMYFUNCTION("""COMPUTED_VALUE"""),"1598 1485 5753 1334 1686")</f>
        <v>1598 1485 5753 1334 1686</v>
      </c>
      <c r="L369" s="211">
        <f>IFERROR(__xludf.DUMMYFUNCTION("""COMPUTED_VALUE"""),60000.0)</f>
        <v>60000</v>
      </c>
      <c r="M369" s="211"/>
      <c r="N369" s="211"/>
      <c r="O369" s="211"/>
      <c r="Q369" s="210" t="str">
        <f>IFERROR(__xludf.DUMMYFUNCTION("""COMPUTED_VALUE"""),"a80efadb")</f>
        <v>a80efadb</v>
      </c>
      <c r="R369" s="210" t="str">
        <f>IFERROR(__xludf.DUMMYFUNCTION("""COMPUTED_VALUE"""),"a80efadb")</f>
        <v>a80efadb</v>
      </c>
      <c r="S369" s="211" t="str">
        <f>IFERROR(__xludf.DUMMYFUNCTION("""COMPUTED_VALUE"""),"a9fe1bea")</f>
        <v>a9fe1bea</v>
      </c>
      <c r="T369" s="211" t="str">
        <f>IFERROR(__xludf.DUMMYFUNCTION("""COMPUTED_VALUE"""),"H. Suheiri")</f>
        <v>H. Suheiri</v>
      </c>
      <c r="U369" s="215">
        <f>IFERROR(__xludf.DUMMYFUNCTION("""COMPUTED_VALUE"""),45674.52083333333)</f>
        <v>45674.52083</v>
      </c>
      <c r="V369"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369" s="211" t="str">
        <f>IFERROR(__xludf.DUMMYFUNCTION("""COMPUTED_VALUE"""),"IN")</f>
        <v>IN</v>
      </c>
      <c r="X369" s="211"/>
      <c r="Z369" s="211" t="str">
        <f>IFERROR(__xludf.DUMMYFUNCTION("""COMPUTED_VALUE"""),"0126102280")</f>
        <v>0126102280</v>
      </c>
      <c r="AC369" s="211"/>
      <c r="AD369" s="211"/>
      <c r="AE369" s="211"/>
      <c r="AF369" s="211"/>
      <c r="AG369" s="211"/>
      <c r="AH369" s="211"/>
      <c r="AI369" s="211"/>
      <c r="AJ369" s="211"/>
      <c r="AL369" s="211"/>
      <c r="AM369" s="211"/>
      <c r="AN369" s="211"/>
      <c r="AO369" s="211"/>
      <c r="AP369" s="215"/>
      <c r="AQ369" s="218"/>
      <c r="AR369" s="211"/>
      <c r="AS369" s="211"/>
      <c r="AT369" s="211"/>
      <c r="AU369" s="211"/>
      <c r="AV369" s="211"/>
      <c r="AW369" s="211"/>
      <c r="AX369" s="211"/>
      <c r="AY369" s="211"/>
      <c r="AZ369" s="211"/>
      <c r="BB369" s="211"/>
      <c r="BC369" s="211"/>
      <c r="BD369" s="211"/>
      <c r="BE369" s="211"/>
      <c r="BF369" s="211"/>
      <c r="BG369" s="211"/>
      <c r="BH369" s="211"/>
      <c r="BI369" s="211"/>
    </row>
    <row r="370">
      <c r="A370" s="210" t="str">
        <f>IFERROR(__xludf.DUMMYFUNCTION("""COMPUTED_VALUE"""),"12240163")</f>
        <v>12240163</v>
      </c>
      <c r="B370" s="210" t="str">
        <f>IFERROR(__xludf.DUMMYFUNCTION("""COMPUTED_VALUE"""),"12240163")</f>
        <v>12240163</v>
      </c>
      <c r="C370" s="213">
        <f>IFERROR(__xludf.DUMMYFUNCTION("""COMPUTED_VALUE"""),45638.572222222225)</f>
        <v>45638.57222</v>
      </c>
      <c r="D370" s="211" t="str">
        <f>IFERROR(__xludf.DUMMYFUNCTION("""COMPUTED_VALUE"""),"f8335a53")</f>
        <v>f8335a53</v>
      </c>
      <c r="E370" s="211" t="str">
        <f>IFERROR(__xludf.DUMMYFUNCTION("""COMPUTED_VALUE"""),"CV RAGAM JAYA ENGINEERING")</f>
        <v>CV RAGAM JAYA ENGINEERING</v>
      </c>
      <c r="F370" s="211" t="str">
        <f>IFERROR(__xludf.DUMMYFUNCTION("""COMPUTED_VALUE"""),"ef306e54")</f>
        <v>ef306e54</v>
      </c>
      <c r="G370" s="211" t="str">
        <f>IFERROR(__xludf.DUMMYFUNCTION("""COMPUTED_VALUE"""),"Karbondioksida")</f>
        <v>Karbondioksida</v>
      </c>
      <c r="H370" s="214" t="str">
        <f>IFERROR(__xludf.DUMMYFUNCTION("""COMPUTED_VALUE"""),"OUT")</f>
        <v>OUT</v>
      </c>
      <c r="I370" s="214" t="str">
        <f>IFERROR(__xludf.DUMMYFUNCTION("""COMPUTED_VALUE"""),"NORMAL")</f>
        <v>NORMAL</v>
      </c>
      <c r="J370" s="211">
        <f>IFERROR(__xludf.DUMMYFUNCTION("""COMPUTED_VALUE"""),5.0)</f>
        <v>5</v>
      </c>
      <c r="K370" s="210" t="str">
        <f>IFERROR(__xludf.DUMMYFUNCTION("""COMPUTED_VALUE"""),"6667 6703 6832 6777 6751")</f>
        <v>6667 6703 6832 6777 6751</v>
      </c>
      <c r="L370" s="211">
        <f>IFERROR(__xludf.DUMMYFUNCTION("""COMPUTED_VALUE"""),160000.0)</f>
        <v>160000</v>
      </c>
      <c r="M370" s="211"/>
      <c r="N370" s="211"/>
      <c r="O370" s="211"/>
      <c r="Q370" s="210" t="str">
        <f>IFERROR(__xludf.DUMMYFUNCTION("""COMPUTED_VALUE"""),"33289c80")</f>
        <v>33289c80</v>
      </c>
      <c r="R370" s="210" t="str">
        <f>IFERROR(__xludf.DUMMYFUNCTION("""COMPUTED_VALUE"""),"33289c80")</f>
        <v>33289c80</v>
      </c>
      <c r="S370" s="211" t="str">
        <f>IFERROR(__xludf.DUMMYFUNCTION("""COMPUTED_VALUE"""),"103f3ae7")</f>
        <v>103f3ae7</v>
      </c>
      <c r="T370" s="211" t="str">
        <f>IFERROR(__xludf.DUMMYFUNCTION("""COMPUTED_VALUE"""),"PT ARYANA CAKASANA")</f>
        <v>PT ARYANA CAKASANA</v>
      </c>
      <c r="U370" s="215">
        <f>IFERROR(__xludf.DUMMYFUNCTION("""COMPUTED_VALUE"""),45675.47708333333)</f>
        <v>45675.47708</v>
      </c>
      <c r="V370" s="211" t="str">
        <f>IFERROR(__xludf.DUMMYFUNCTION("""COMPUTED_VALUE"""),"Jl Raya Tarik No. 45, Wonokupang, Bakalan, Balongbendo")</f>
        <v>Jl Raya Tarik No. 45, Wonokupang, Bakalan, Balongbendo</v>
      </c>
      <c r="W370" s="211" t="str">
        <f>IFERROR(__xludf.DUMMYFUNCTION("""COMPUTED_VALUE"""),"IN")</f>
        <v>IN</v>
      </c>
      <c r="X370" s="211"/>
      <c r="Z370" s="211" t="str">
        <f>IFERROR(__xludf.DUMMYFUNCTION("""COMPUTED_VALUE"""),"0126102279")</f>
        <v>0126102279</v>
      </c>
      <c r="AC370" s="211"/>
      <c r="AD370" s="211"/>
      <c r="AE370" s="211"/>
      <c r="AF370" s="211"/>
      <c r="AG370" s="211"/>
      <c r="AH370" s="211"/>
      <c r="AI370" s="211"/>
      <c r="AJ370" s="211"/>
      <c r="AL370" s="211"/>
      <c r="AM370" s="211"/>
      <c r="AN370" s="211"/>
      <c r="AO370" s="211"/>
      <c r="AP370" s="215"/>
      <c r="AQ370" s="218"/>
      <c r="AR370" s="211"/>
      <c r="AS370" s="211"/>
      <c r="AT370" s="211"/>
      <c r="AU370" s="211"/>
      <c r="AV370" s="211"/>
      <c r="AW370" s="211"/>
      <c r="AX370" s="211"/>
      <c r="AY370" s="211"/>
      <c r="AZ370" s="211"/>
      <c r="BB370" s="211"/>
      <c r="BC370" s="211"/>
      <c r="BD370" s="211"/>
      <c r="BE370" s="211"/>
      <c r="BF370" s="211"/>
      <c r="BG370" s="211"/>
      <c r="BH370" s="211"/>
      <c r="BI370" s="211"/>
    </row>
    <row r="371">
      <c r="A371" s="210" t="str">
        <f>IFERROR(__xludf.DUMMYFUNCTION("""COMPUTED_VALUE"""),"12240163")</f>
        <v>12240163</v>
      </c>
      <c r="B371" s="210" t="str">
        <f>IFERROR(__xludf.DUMMYFUNCTION("""COMPUTED_VALUE"""),"12240163")</f>
        <v>12240163</v>
      </c>
      <c r="C371" s="213">
        <f>IFERROR(__xludf.DUMMYFUNCTION("""COMPUTED_VALUE"""),45638.572916666664)</f>
        <v>45638.57292</v>
      </c>
      <c r="D371" s="211" t="str">
        <f>IFERROR(__xludf.DUMMYFUNCTION("""COMPUTED_VALUE"""),"f8335a53")</f>
        <v>f8335a53</v>
      </c>
      <c r="E371" s="211" t="str">
        <f>IFERROR(__xludf.DUMMYFUNCTION("""COMPUTED_VALUE"""),"CV RAGAM JAYA ENGINEERING")</f>
        <v>CV RAGAM JAYA ENGINEERING</v>
      </c>
      <c r="F371" s="211" t="str">
        <f>IFERROR(__xludf.DUMMYFUNCTION("""COMPUTED_VALUE"""),"be525f3b")</f>
        <v>be525f3b</v>
      </c>
      <c r="G371" s="211" t="str">
        <f>IFERROR(__xludf.DUMMYFUNCTION("""COMPUTED_VALUE"""),"LPG 12kg")</f>
        <v>LPG 12kg</v>
      </c>
      <c r="H371" s="214" t="str">
        <f>IFERROR(__xludf.DUMMYFUNCTION("""COMPUTED_VALUE"""),"OUT")</f>
        <v>OUT</v>
      </c>
      <c r="I371" s="214" t="str">
        <f>IFERROR(__xludf.DUMMYFUNCTION("""COMPUTED_VALUE"""),"NORMAL")</f>
        <v>NORMAL</v>
      </c>
      <c r="J371" s="211">
        <f>IFERROR(__xludf.DUMMYFUNCTION("""COMPUTED_VALUE"""),2.0)</f>
        <v>2</v>
      </c>
      <c r="K371" s="211"/>
      <c r="L371" s="211">
        <f>IFERROR(__xludf.DUMMYFUNCTION("""COMPUTED_VALUE"""),225000.0)</f>
        <v>225000</v>
      </c>
      <c r="M371" s="211"/>
      <c r="N371" s="211"/>
      <c r="O371" s="211"/>
      <c r="Q371" s="210" t="str">
        <f>IFERROR(__xludf.DUMMYFUNCTION("""COMPUTED_VALUE"""),"01250220")</f>
        <v>01250220</v>
      </c>
      <c r="R371" s="210" t="str">
        <f>IFERROR(__xludf.DUMMYFUNCTION("""COMPUTED_VALUE"""),"01250220")</f>
        <v>01250220</v>
      </c>
      <c r="S371" s="211" t="str">
        <f>IFERROR(__xludf.DUMMYFUNCTION("""COMPUTED_VALUE"""),"785e0e07")</f>
        <v>785e0e07</v>
      </c>
      <c r="T371" s="211" t="str">
        <f>IFERROR(__xludf.DUMMYFUNCTION("""COMPUTED_VALUE"""),"Bpk. Sukirno (Bejo)")</f>
        <v>Bpk. Sukirno (Bejo)</v>
      </c>
      <c r="U371" s="215">
        <f>IFERROR(__xludf.DUMMYFUNCTION("""COMPUTED_VALUE"""),45677.34513888889)</f>
        <v>45677.34514</v>
      </c>
      <c r="V371" s="211" t="str">
        <f>IFERROR(__xludf.DUMMYFUNCTION("""COMPUTED_VALUE"""),"Krajan I, Wringinanom, Kec. Wringinanom, Kabupaten Gresik, Jawa Timur 61176")</f>
        <v>Krajan I, Wringinanom, Kec. Wringinanom, Kabupaten Gresik, Jawa Timur 61176</v>
      </c>
      <c r="W371" s="211" t="str">
        <f>IFERROR(__xludf.DUMMYFUNCTION("""COMPUTED_VALUE"""),"OUT")</f>
        <v>OUT</v>
      </c>
      <c r="X371" s="211"/>
      <c r="Z371" s="211" t="str">
        <f>IFERROR(__xludf.DUMMYFUNCTION("""COMPUTED_VALUE"""),"0126142278")</f>
        <v>0126142278</v>
      </c>
      <c r="AC371" s="211"/>
      <c r="AD371" s="211"/>
      <c r="AE371" s="211"/>
      <c r="AF371" s="211"/>
      <c r="AG371" s="211"/>
      <c r="AH371" s="211"/>
      <c r="AI371" s="211"/>
      <c r="AJ371" s="211"/>
      <c r="AL371" s="211"/>
      <c r="AM371" s="211"/>
      <c r="AN371" s="211"/>
      <c r="AO371" s="211"/>
      <c r="AP371" s="215"/>
      <c r="AQ371" s="218"/>
      <c r="AR371" s="211"/>
      <c r="AS371" s="211"/>
      <c r="AT371" s="211"/>
      <c r="AU371" s="211"/>
      <c r="AV371" s="211"/>
      <c r="AW371" s="211"/>
      <c r="AX371" s="211"/>
      <c r="AY371" s="211"/>
      <c r="AZ371" s="211"/>
      <c r="BB371" s="211"/>
      <c r="BC371" s="211"/>
      <c r="BD371" s="211"/>
      <c r="BE371" s="211"/>
      <c r="BF371" s="211"/>
      <c r="BG371" s="211"/>
      <c r="BH371" s="211"/>
      <c r="BI371" s="211"/>
    </row>
    <row r="372">
      <c r="A372" s="210" t="str">
        <f>IFERROR(__xludf.DUMMYFUNCTION("""COMPUTED_VALUE"""),"83b4e844")</f>
        <v>83b4e844</v>
      </c>
      <c r="B372" s="210" t="str">
        <f>IFERROR(__xludf.DUMMYFUNCTION("""COMPUTED_VALUE"""),"83b4e844")</f>
        <v>83b4e844</v>
      </c>
      <c r="C372" s="213">
        <f>IFERROR(__xludf.DUMMYFUNCTION("""COMPUTED_VALUE"""),45638.66875)</f>
        <v>45638.66875</v>
      </c>
      <c r="D372" s="211" t="str">
        <f>IFERROR(__xludf.DUMMYFUNCTION("""COMPUTED_VALUE"""),"f8335a53")</f>
        <v>f8335a53</v>
      </c>
      <c r="E372" s="211" t="str">
        <f>IFERROR(__xludf.DUMMYFUNCTION("""COMPUTED_VALUE"""),"CV RAGAM JAYA ENGINEERING")</f>
        <v>CV RAGAM JAYA ENGINEERING</v>
      </c>
      <c r="F372" s="211" t="str">
        <f>IFERROR(__xludf.DUMMYFUNCTION("""COMPUTED_VALUE"""),"ef306e54")</f>
        <v>ef306e54</v>
      </c>
      <c r="G372" s="211" t="str">
        <f>IFERROR(__xludf.DUMMYFUNCTION("""COMPUTED_VALUE"""),"Karbondioksida")</f>
        <v>Karbondioksida</v>
      </c>
      <c r="H372" s="214" t="str">
        <f>IFERROR(__xludf.DUMMYFUNCTION("""COMPUTED_VALUE"""),"IN")</f>
        <v>IN</v>
      </c>
      <c r="I372" s="214" t="str">
        <f>IFERROR(__xludf.DUMMYFUNCTION("""COMPUTED_VALUE"""),"EMPTY")</f>
        <v>EMPTY</v>
      </c>
      <c r="J372" s="211">
        <f>IFERROR(__xludf.DUMMYFUNCTION("""COMPUTED_VALUE"""),2.0)</f>
        <v>2</v>
      </c>
      <c r="K372" s="210" t="str">
        <f>IFERROR(__xludf.DUMMYFUNCTION("""COMPUTED_VALUE"""),"6912 6619")</f>
        <v>6912 6619</v>
      </c>
      <c r="L372" s="211"/>
      <c r="M372" s="211"/>
      <c r="N372" s="211"/>
      <c r="O372" s="211"/>
      <c r="Q372" s="210" t="str">
        <f>IFERROR(__xludf.DUMMYFUNCTION("""COMPUTED_VALUE"""),"6d2c5f13")</f>
        <v>6d2c5f13</v>
      </c>
      <c r="R372" s="210" t="str">
        <f>IFERROR(__xludf.DUMMYFUNCTION("""COMPUTED_VALUE"""),"6d2c5f13")</f>
        <v>6d2c5f13</v>
      </c>
      <c r="S372" s="211" t="str">
        <f>IFERROR(__xludf.DUMMYFUNCTION("""COMPUTED_VALUE"""),"785e0e07")</f>
        <v>785e0e07</v>
      </c>
      <c r="T372" s="211" t="str">
        <f>IFERROR(__xludf.DUMMYFUNCTION("""COMPUTED_VALUE"""),"Bpk. Sukirno (Bejo)")</f>
        <v>Bpk. Sukirno (Bejo)</v>
      </c>
      <c r="U372" s="215">
        <f>IFERROR(__xludf.DUMMYFUNCTION("""COMPUTED_VALUE"""),45677.663194444445)</f>
        <v>45677.66319</v>
      </c>
      <c r="V372" s="211" t="str">
        <f>IFERROR(__xludf.DUMMYFUNCTION("""COMPUTED_VALUE"""),"Krajan I, Wringinanom, Kec. Wringinanom, Kabupaten Gresik, Jawa Timur 61176")</f>
        <v>Krajan I, Wringinanom, Kec. Wringinanom, Kabupaten Gresik, Jawa Timur 61176</v>
      </c>
      <c r="W372" s="211" t="str">
        <f>IFERROR(__xludf.DUMMYFUNCTION("""COMPUTED_VALUE"""),"IN")</f>
        <v>IN</v>
      </c>
      <c r="X372" s="211"/>
      <c r="Z372" s="211" t="str">
        <f>IFERROR(__xludf.DUMMYFUNCTION("""COMPUTED_VALUE"""),"012672277")</f>
        <v>012672277</v>
      </c>
      <c r="AC372" s="211"/>
      <c r="AD372" s="211"/>
      <c r="AE372" s="211"/>
      <c r="AF372" s="211"/>
      <c r="AG372" s="211"/>
      <c r="AH372" s="211"/>
      <c r="AI372" s="211"/>
      <c r="AJ372" s="211"/>
      <c r="AL372" s="211"/>
      <c r="AM372" s="211"/>
      <c r="AN372" s="211"/>
      <c r="AO372" s="211"/>
      <c r="AP372" s="215"/>
      <c r="AQ372" s="218"/>
      <c r="AR372" s="211"/>
      <c r="AS372" s="211"/>
      <c r="AT372" s="211"/>
      <c r="AU372" s="211"/>
      <c r="AV372" s="211"/>
      <c r="AW372" s="211"/>
      <c r="AX372" s="211"/>
      <c r="AY372" s="211"/>
      <c r="AZ372" s="211"/>
      <c r="BB372" s="211"/>
      <c r="BC372" s="211"/>
      <c r="BD372" s="211"/>
      <c r="BE372" s="211"/>
      <c r="BF372" s="211"/>
      <c r="BG372" s="211"/>
      <c r="BH372" s="211"/>
      <c r="BI372" s="211"/>
    </row>
    <row r="373">
      <c r="A373" s="210" t="str">
        <f>IFERROR(__xludf.DUMMYFUNCTION("""COMPUTED_VALUE"""),"12240166")</f>
        <v>12240166</v>
      </c>
      <c r="B373" s="210" t="str">
        <f>IFERROR(__xludf.DUMMYFUNCTION("""COMPUTED_VALUE"""),"12240166")</f>
        <v>12240166</v>
      </c>
      <c r="C373" s="213">
        <f>IFERROR(__xludf.DUMMYFUNCTION("""COMPUTED_VALUE"""),45639.51527777778)</f>
        <v>45639.51528</v>
      </c>
      <c r="D373" s="211" t="str">
        <f>IFERROR(__xludf.DUMMYFUNCTION("""COMPUTED_VALUE"""),"2d88931c")</f>
        <v>2d88931c</v>
      </c>
      <c r="E373" s="211" t="str">
        <f>IFERROR(__xludf.DUMMYFUNCTION("""COMPUTED_VALUE"""),"PT Dunia Berkat Marga Mulya")</f>
        <v>PT Dunia Berkat Marga Mulya</v>
      </c>
      <c r="F373" s="211" t="str">
        <f>IFERROR(__xludf.DUMMYFUNCTION("""COMPUTED_VALUE"""),"8bdbe149")</f>
        <v>8bdbe149</v>
      </c>
      <c r="G373" s="211" t="str">
        <f>IFERROR(__xludf.DUMMYFUNCTION("""COMPUTED_VALUE"""),"Oksigen 6m3")</f>
        <v>Oksigen 6m3</v>
      </c>
      <c r="H373" s="214" t="str">
        <f>IFERROR(__xludf.DUMMYFUNCTION("""COMPUTED_VALUE"""),"OUT")</f>
        <v>OUT</v>
      </c>
      <c r="I373" s="214" t="str">
        <f>IFERROR(__xludf.DUMMYFUNCTION("""COMPUTED_VALUE"""),"NORMAL")</f>
        <v>NORMAL</v>
      </c>
      <c r="J373" s="211">
        <f>IFERROR(__xludf.DUMMYFUNCTION("""COMPUTED_VALUE"""),4.0)</f>
        <v>4</v>
      </c>
      <c r="K373" s="210" t="str">
        <f>IFERROR(__xludf.DUMMYFUNCTION("""COMPUTED_VALUE"""),"5862 5425 1059 5888")</f>
        <v>5862 5425 1059 5888</v>
      </c>
      <c r="L373" s="211">
        <f>IFERROR(__xludf.DUMMYFUNCTION("""COMPUTED_VALUE"""),60000.0)</f>
        <v>60000</v>
      </c>
      <c r="M373" s="211"/>
      <c r="N373" s="211"/>
      <c r="O373" s="211"/>
      <c r="Q373" s="210" t="str">
        <f>IFERROR(__xludf.DUMMYFUNCTION("""COMPUTED_VALUE"""),"bf31baba")</f>
        <v>bf31baba</v>
      </c>
      <c r="R373" s="210" t="str">
        <f>IFERROR(__xludf.DUMMYFUNCTION("""COMPUTED_VALUE"""),"bf31baba")</f>
        <v>bf31baba</v>
      </c>
      <c r="S373" s="211" t="str">
        <f>IFERROR(__xludf.DUMMYFUNCTION("""COMPUTED_VALUE"""),"37175874")</f>
        <v>37175874</v>
      </c>
      <c r="T373" s="211" t="str">
        <f>IFERROR(__xludf.DUMMYFUNCTION("""COMPUTED_VALUE"""),"PT TERAPAN NILAIOSILASI INDONESIA (TENO)")</f>
        <v>PT TERAPAN NILAIOSILASI INDONESIA (TENO)</v>
      </c>
      <c r="U373" s="215">
        <f>IFERROR(__xludf.DUMMYFUNCTION("""COMPUTED_VALUE"""),45677.66527777778)</f>
        <v>45677.66528</v>
      </c>
      <c r="V373" s="211" t="str">
        <f>IFERROR(__xludf.DUMMYFUNCTION("""COMPUTED_VALUE"""),"JL Raya Kertajaya Indah 153 / P116, Gebang Putih, Sukokilo, Kota Surabaya, Jawa Timur")</f>
        <v>JL Raya Kertajaya Indah 153 / P116, Gebang Putih, Sukokilo, Kota Surabaya, Jawa Timur</v>
      </c>
      <c r="W373" s="211" t="str">
        <f>IFERROR(__xludf.DUMMYFUNCTION("""COMPUTED_VALUE"""),"IN")</f>
        <v>IN</v>
      </c>
      <c r="X373" s="211"/>
      <c r="Z373" s="211" t="str">
        <f>IFERROR(__xludf.DUMMYFUNCTION("""COMPUTED_VALUE"""),"012632276")</f>
        <v>012632276</v>
      </c>
      <c r="AC373" s="211"/>
      <c r="AD373" s="211"/>
      <c r="AE373" s="211"/>
      <c r="AF373" s="211"/>
      <c r="AG373" s="211"/>
      <c r="AH373" s="211"/>
      <c r="AI373" s="211"/>
      <c r="AJ373" s="211"/>
      <c r="AL373" s="211"/>
      <c r="AM373" s="211"/>
      <c r="AN373" s="211"/>
      <c r="AO373" s="211"/>
      <c r="AP373" s="215"/>
      <c r="AQ373" s="218"/>
      <c r="AR373" s="211"/>
      <c r="AS373" s="211"/>
      <c r="AT373" s="211"/>
      <c r="AU373" s="211"/>
      <c r="AV373" s="211"/>
      <c r="AW373" s="211"/>
      <c r="AX373" s="211"/>
      <c r="AY373" s="211"/>
      <c r="AZ373" s="211"/>
      <c r="BB373" s="211"/>
      <c r="BC373" s="211"/>
      <c r="BD373" s="211"/>
      <c r="BE373" s="211"/>
      <c r="BF373" s="211"/>
      <c r="BG373" s="211"/>
      <c r="BH373" s="211"/>
      <c r="BI373" s="211"/>
    </row>
    <row r="374">
      <c r="A374" s="210" t="str">
        <f>IFERROR(__xludf.DUMMYFUNCTION("""COMPUTED_VALUE"""),"928eabd1")</f>
        <v>928eabd1</v>
      </c>
      <c r="B374" s="210" t="str">
        <f>IFERROR(__xludf.DUMMYFUNCTION("""COMPUTED_VALUE"""),"928eabd1")</f>
        <v>928eabd1</v>
      </c>
      <c r="C374" s="213">
        <f>IFERROR(__xludf.DUMMYFUNCTION("""COMPUTED_VALUE"""),45639.51736111111)</f>
        <v>45639.51736</v>
      </c>
      <c r="D374" s="211" t="str">
        <f>IFERROR(__xludf.DUMMYFUNCTION("""COMPUTED_VALUE"""),"785e0e07")</f>
        <v>785e0e07</v>
      </c>
      <c r="E374" s="211" t="str">
        <f>IFERROR(__xludf.DUMMYFUNCTION("""COMPUTED_VALUE"""),"Bpk. Sukirno (Bejo)")</f>
        <v>Bpk. Sukirno (Bejo)</v>
      </c>
      <c r="F374" s="211" t="str">
        <f>IFERROR(__xludf.DUMMYFUNCTION("""COMPUTED_VALUE"""),"8bdbe149")</f>
        <v>8bdbe149</v>
      </c>
      <c r="G374" s="211" t="str">
        <f>IFERROR(__xludf.DUMMYFUNCTION("""COMPUTED_VALUE"""),"Oksigen 6m3")</f>
        <v>Oksigen 6m3</v>
      </c>
      <c r="H374" s="214" t="str">
        <f>IFERROR(__xludf.DUMMYFUNCTION("""COMPUTED_VALUE"""),"IN")</f>
        <v>IN</v>
      </c>
      <c r="I374" s="214" t="str">
        <f>IFERROR(__xludf.DUMMYFUNCTION("""COMPUTED_VALUE"""),"EMPTY")</f>
        <v>EMPTY</v>
      </c>
      <c r="J374" s="211">
        <f>IFERROR(__xludf.DUMMYFUNCTION("""COMPUTED_VALUE"""),2.0)</f>
        <v>2</v>
      </c>
      <c r="K374" s="210" t="str">
        <f>IFERROR(__xludf.DUMMYFUNCTION("""COMPUTED_VALUE"""),"1726 11146")</f>
        <v>1726 11146</v>
      </c>
      <c r="L374" s="211"/>
      <c r="M374" s="211"/>
      <c r="N374" s="211"/>
      <c r="O374" s="211"/>
      <c r="Q374" s="210" t="str">
        <f>IFERROR(__xludf.DUMMYFUNCTION("""COMPUTED_VALUE"""),"01250221")</f>
        <v>01250221</v>
      </c>
      <c r="R374" s="210" t="str">
        <f>IFERROR(__xludf.DUMMYFUNCTION("""COMPUTED_VALUE"""),"01250221")</f>
        <v>01250221</v>
      </c>
      <c r="S374" s="211" t="str">
        <f>IFERROR(__xludf.DUMMYFUNCTION("""COMPUTED_VALUE"""),"2d88931c")</f>
        <v>2d88931c</v>
      </c>
      <c r="T374" s="211" t="str">
        <f>IFERROR(__xludf.DUMMYFUNCTION("""COMPUTED_VALUE"""),"PT Dunia Berkat Marga Mulya")</f>
        <v>PT Dunia Berkat Marga Mulya</v>
      </c>
      <c r="U374" s="215">
        <f>IFERROR(__xludf.DUMMYFUNCTION("""COMPUTED_VALUE"""),45678.493055555555)</f>
        <v>45678.49306</v>
      </c>
      <c r="V374" s="211" t="str">
        <f>IFERROR(__xludf.DUMMYFUNCTION("""COMPUTED_VALUE"""),"JL JABARAN, WATESARI, BALONGBENDO, SIDOARJO, JAWA TIMUR")</f>
        <v>JL JABARAN, WATESARI, BALONGBENDO, SIDOARJO, JAWA TIMUR</v>
      </c>
      <c r="W374" s="211" t="str">
        <f>IFERROR(__xludf.DUMMYFUNCTION("""COMPUTED_VALUE"""),"OUT")</f>
        <v>OUT</v>
      </c>
      <c r="X374" s="211"/>
      <c r="Z374" s="211" t="str">
        <f>IFERROR(__xludf.DUMMYFUNCTION("""COMPUTED_VALUE"""),"0126422275")</f>
        <v>0126422275</v>
      </c>
      <c r="AC374" s="211"/>
      <c r="AD374" s="211"/>
      <c r="AE374" s="211"/>
      <c r="AF374" s="211"/>
      <c r="AG374" s="211"/>
      <c r="AH374" s="211"/>
      <c r="AI374" s="211"/>
      <c r="AJ374" s="211"/>
      <c r="AL374" s="211"/>
      <c r="AM374" s="211"/>
      <c r="AN374" s="211"/>
      <c r="AO374" s="211"/>
      <c r="AP374" s="215"/>
      <c r="AQ374" s="218"/>
      <c r="AR374" s="211"/>
      <c r="AS374" s="211"/>
      <c r="AT374" s="211"/>
      <c r="AU374" s="211"/>
      <c r="AV374" s="211"/>
      <c r="AW374" s="211"/>
      <c r="AX374" s="211"/>
      <c r="AY374" s="211"/>
      <c r="AZ374" s="211"/>
      <c r="BB374" s="211"/>
      <c r="BC374" s="211"/>
      <c r="BD374" s="211"/>
      <c r="BE374" s="211"/>
      <c r="BF374" s="211"/>
      <c r="BG374" s="211"/>
      <c r="BH374" s="211"/>
      <c r="BI374" s="211"/>
    </row>
    <row r="375">
      <c r="A375" s="210" t="str">
        <f>IFERROR(__xludf.DUMMYFUNCTION("""COMPUTED_VALUE"""),"405d1a28")</f>
        <v>405d1a28</v>
      </c>
      <c r="B375" s="210" t="str">
        <f>IFERROR(__xludf.DUMMYFUNCTION("""COMPUTED_VALUE"""),"405d1a28")</f>
        <v>405d1a28</v>
      </c>
      <c r="C375" s="213">
        <f>IFERROR(__xludf.DUMMYFUNCTION("""COMPUTED_VALUE"""),45639.518055555556)</f>
        <v>45639.51806</v>
      </c>
      <c r="D375" s="211" t="str">
        <f>IFERROR(__xludf.DUMMYFUNCTION("""COMPUTED_VALUE"""),"37175874")</f>
        <v>37175874</v>
      </c>
      <c r="E375" s="211" t="str">
        <f>IFERROR(__xludf.DUMMYFUNCTION("""COMPUTED_VALUE"""),"PT TERAPAN NILAIOSILASI INDONESIA (TENO)")</f>
        <v>PT TERAPAN NILAIOSILASI INDONESIA (TENO)</v>
      </c>
      <c r="F375" s="211" t="str">
        <f>IFERROR(__xludf.DUMMYFUNCTION("""COMPUTED_VALUE"""),"8bdbe149")</f>
        <v>8bdbe149</v>
      </c>
      <c r="G375" s="211" t="str">
        <f>IFERROR(__xludf.DUMMYFUNCTION("""COMPUTED_VALUE"""),"Oksigen 6m3")</f>
        <v>Oksigen 6m3</v>
      </c>
      <c r="H375" s="214" t="str">
        <f>IFERROR(__xludf.DUMMYFUNCTION("""COMPUTED_VALUE"""),"IN")</f>
        <v>IN</v>
      </c>
      <c r="I375" s="214" t="str">
        <f>IFERROR(__xludf.DUMMYFUNCTION("""COMPUTED_VALUE"""),"EMPTY")</f>
        <v>EMPTY</v>
      </c>
      <c r="J375" s="211">
        <f>IFERROR(__xludf.DUMMYFUNCTION("""COMPUTED_VALUE"""),3.0)</f>
        <v>3</v>
      </c>
      <c r="K375" s="210" t="str">
        <f>IFERROR(__xludf.DUMMYFUNCTION("""COMPUTED_VALUE"""),"11173 11142 1158")</f>
        <v>11173 11142 1158</v>
      </c>
      <c r="L375" s="211"/>
      <c r="M375" s="211"/>
      <c r="N375" s="211"/>
      <c r="O375" s="211"/>
      <c r="Q375" s="210" t="str">
        <f>IFERROR(__xludf.DUMMYFUNCTION("""COMPUTED_VALUE"""),"01250222")</f>
        <v>01250222</v>
      </c>
      <c r="R375" s="210" t="str">
        <f>IFERROR(__xludf.DUMMYFUNCTION("""COMPUTED_VALUE"""),"01250222")</f>
        <v>01250222</v>
      </c>
      <c r="S375" s="211" t="str">
        <f>IFERROR(__xludf.DUMMYFUNCTION("""COMPUTED_VALUE"""),"ce83e171")</f>
        <v>ce83e171</v>
      </c>
      <c r="T375" s="211" t="str">
        <f>IFERROR(__xludf.DUMMYFUNCTION("""COMPUTED_VALUE"""),"Bpk. Sulaiman")</f>
        <v>Bpk. Sulaiman</v>
      </c>
      <c r="U375" s="215">
        <f>IFERROR(__xludf.DUMMYFUNCTION("""COMPUTED_VALUE"""),45678.56111111111)</f>
        <v>45678.56111</v>
      </c>
      <c r="V375" s="211" t="str">
        <f>IFERROR(__xludf.DUMMYFUNCTION("""COMPUTED_VALUE"""),"Jl. Raya Kramat Temenggung No.43, Kramat, Kramat Temenggung, Kec. Tarik, Kabupaten Sidoarjo, Jawa Timur 61265")</f>
        <v>Jl. Raya Kramat Temenggung No.43, Kramat, Kramat Temenggung, Kec. Tarik, Kabupaten Sidoarjo, Jawa Timur 61265</v>
      </c>
      <c r="W375" s="211" t="str">
        <f>IFERROR(__xludf.DUMMYFUNCTION("""COMPUTED_VALUE"""),"OUT")</f>
        <v>OUT</v>
      </c>
      <c r="X375" s="211"/>
      <c r="Z375" s="211" t="str">
        <f>IFERROR(__xludf.DUMMYFUNCTION("""COMPUTED_VALUE"""),"012662274")</f>
        <v>012662274</v>
      </c>
      <c r="AC375" s="211"/>
      <c r="AD375" s="211"/>
      <c r="AE375" s="211"/>
      <c r="AF375" s="211"/>
      <c r="AG375" s="211"/>
      <c r="AH375" s="211"/>
      <c r="AI375" s="211"/>
      <c r="AJ375" s="211"/>
      <c r="AL375" s="211"/>
      <c r="AM375" s="211"/>
      <c r="AN375" s="211"/>
      <c r="AO375" s="211"/>
      <c r="AP375" s="215"/>
      <c r="AQ375" s="218"/>
      <c r="AR375" s="211"/>
      <c r="AS375" s="211"/>
      <c r="AT375" s="211"/>
      <c r="AU375" s="211"/>
      <c r="AV375" s="211"/>
      <c r="AW375" s="211"/>
      <c r="AX375" s="211"/>
      <c r="AY375" s="211"/>
      <c r="AZ375" s="211"/>
      <c r="BB375" s="211"/>
      <c r="BC375" s="211"/>
      <c r="BD375" s="211"/>
      <c r="BE375" s="211"/>
      <c r="BF375" s="211"/>
      <c r="BG375" s="211"/>
      <c r="BH375" s="211"/>
      <c r="BI375" s="211"/>
    </row>
    <row r="376">
      <c r="A376" s="210" t="str">
        <f>IFERROR(__xludf.DUMMYFUNCTION("""COMPUTED_VALUE"""),"405d1a28")</f>
        <v>405d1a28</v>
      </c>
      <c r="B376" s="210" t="str">
        <f>IFERROR(__xludf.DUMMYFUNCTION("""COMPUTED_VALUE"""),"405d1a28")</f>
        <v>405d1a28</v>
      </c>
      <c r="C376" s="213">
        <f>IFERROR(__xludf.DUMMYFUNCTION("""COMPUTED_VALUE"""),45639.518055555556)</f>
        <v>45639.51806</v>
      </c>
      <c r="D376" s="211" t="str">
        <f>IFERROR(__xludf.DUMMYFUNCTION("""COMPUTED_VALUE"""),"37175874")</f>
        <v>37175874</v>
      </c>
      <c r="E376" s="211" t="str">
        <f>IFERROR(__xludf.DUMMYFUNCTION("""COMPUTED_VALUE"""),"PT TERAPAN NILAIOSILASI INDONESIA (TENO)")</f>
        <v>PT TERAPAN NILAIOSILASI INDONESIA (TENO)</v>
      </c>
      <c r="F376" s="211" t="str">
        <f>IFERROR(__xludf.DUMMYFUNCTION("""COMPUTED_VALUE"""),"ef306e54")</f>
        <v>ef306e54</v>
      </c>
      <c r="G376" s="211" t="str">
        <f>IFERROR(__xludf.DUMMYFUNCTION("""COMPUTED_VALUE"""),"Karbondioksida")</f>
        <v>Karbondioksida</v>
      </c>
      <c r="H376" s="214" t="str">
        <f>IFERROR(__xludf.DUMMYFUNCTION("""COMPUTED_VALUE"""),"IN")</f>
        <v>IN</v>
      </c>
      <c r="I376" s="214" t="str">
        <f>IFERROR(__xludf.DUMMYFUNCTION("""COMPUTED_VALUE"""),"EMPTY")</f>
        <v>EMPTY</v>
      </c>
      <c r="J376" s="211">
        <f>IFERROR(__xludf.DUMMYFUNCTION("""COMPUTED_VALUE"""),2.0)</f>
        <v>2</v>
      </c>
      <c r="K376" s="210" t="str">
        <f>IFERROR(__xludf.DUMMYFUNCTION("""COMPUTED_VALUE"""),"6678 6787")</f>
        <v>6678 6787</v>
      </c>
      <c r="L376" s="211"/>
      <c r="M376" s="211"/>
      <c r="N376" s="211"/>
      <c r="O376" s="211"/>
      <c r="Q376" s="210" t="str">
        <f>IFERROR(__xludf.DUMMYFUNCTION("""COMPUTED_VALUE"""),"a9d9b665")</f>
        <v>a9d9b665</v>
      </c>
      <c r="R376" s="210" t="str">
        <f>IFERROR(__xludf.DUMMYFUNCTION("""COMPUTED_VALUE"""),"a9d9b665")</f>
        <v>a9d9b665</v>
      </c>
      <c r="S376" s="211" t="str">
        <f>IFERROR(__xludf.DUMMYFUNCTION("""COMPUTED_VALUE"""),"ce83e171")</f>
        <v>ce83e171</v>
      </c>
      <c r="T376" s="211" t="str">
        <f>IFERROR(__xludf.DUMMYFUNCTION("""COMPUTED_VALUE"""),"Bpk. Sulaiman")</f>
        <v>Bpk. Sulaiman</v>
      </c>
      <c r="U376" s="215">
        <f>IFERROR(__xludf.DUMMYFUNCTION("""COMPUTED_VALUE"""),45678.62013888889)</f>
        <v>45678.62014</v>
      </c>
      <c r="V376" s="211" t="str">
        <f>IFERROR(__xludf.DUMMYFUNCTION("""COMPUTED_VALUE"""),"Jl. Raya Kramat Temenggung No.43, Kramat, Kramat Temenggung, Kec. Tarik, Kabupaten Sidoarjo, Jawa Timur 61265")</f>
        <v>Jl. Raya Kramat Temenggung No.43, Kramat, Kramat Temenggung, Kec. Tarik, Kabupaten Sidoarjo, Jawa Timur 61265</v>
      </c>
      <c r="W376" s="211" t="str">
        <f>IFERROR(__xludf.DUMMYFUNCTION("""COMPUTED_VALUE"""),"IN")</f>
        <v>IN</v>
      </c>
      <c r="X376" s="211"/>
      <c r="Z376" s="211" t="str">
        <f>IFERROR(__xludf.DUMMYFUNCTION("""COMPUTED_VALUE"""),"012612271")</f>
        <v>012612271</v>
      </c>
      <c r="AC376" s="211"/>
      <c r="AD376" s="211"/>
      <c r="AE376" s="211"/>
      <c r="AF376" s="211"/>
      <c r="AG376" s="211"/>
      <c r="AH376" s="211"/>
      <c r="AI376" s="211"/>
      <c r="AJ376" s="211"/>
      <c r="AL376" s="211"/>
      <c r="AM376" s="211"/>
      <c r="AN376" s="211"/>
      <c r="AO376" s="211"/>
      <c r="AP376" s="215"/>
      <c r="AQ376" s="218"/>
      <c r="AR376" s="211"/>
      <c r="AS376" s="211"/>
      <c r="AT376" s="211"/>
      <c r="AU376" s="211"/>
      <c r="AV376" s="211"/>
      <c r="AW376" s="211"/>
      <c r="AX376" s="211"/>
      <c r="AY376" s="211"/>
      <c r="AZ376" s="211"/>
      <c r="BB376" s="211"/>
      <c r="BC376" s="211"/>
      <c r="BD376" s="211"/>
      <c r="BE376" s="211"/>
      <c r="BF376" s="211"/>
      <c r="BG376" s="211"/>
      <c r="BH376" s="211"/>
      <c r="BI376" s="211"/>
    </row>
    <row r="377">
      <c r="A377" s="210" t="str">
        <f>IFERROR(__xludf.DUMMYFUNCTION("""COMPUTED_VALUE"""),"405d1a28")</f>
        <v>405d1a28</v>
      </c>
      <c r="B377" s="210" t="str">
        <f>IFERROR(__xludf.DUMMYFUNCTION("""COMPUTED_VALUE"""),"405d1a28")</f>
        <v>405d1a28</v>
      </c>
      <c r="C377" s="213">
        <f>IFERROR(__xludf.DUMMYFUNCTION("""COMPUTED_VALUE"""),45639.51875)</f>
        <v>45639.51875</v>
      </c>
      <c r="D377" s="211" t="str">
        <f>IFERROR(__xludf.DUMMYFUNCTION("""COMPUTED_VALUE"""),"37175874")</f>
        <v>37175874</v>
      </c>
      <c r="E377" s="211" t="str">
        <f>IFERROR(__xludf.DUMMYFUNCTION("""COMPUTED_VALUE"""),"PT TERAPAN NILAIOSILASI INDONESIA (TENO)")</f>
        <v>PT TERAPAN NILAIOSILASI INDONESIA (TENO)</v>
      </c>
      <c r="F377" s="211" t="str">
        <f>IFERROR(__xludf.DUMMYFUNCTION("""COMPUTED_VALUE"""),"3b9d6a30")</f>
        <v>3b9d6a30</v>
      </c>
      <c r="G377" s="211" t="str">
        <f>IFERROR(__xludf.DUMMYFUNCTION("""COMPUTED_VALUE"""),"Acetyline")</f>
        <v>Acetyline</v>
      </c>
      <c r="H377" s="214" t="str">
        <f>IFERROR(__xludf.DUMMYFUNCTION("""COMPUTED_VALUE"""),"IN")</f>
        <v>IN</v>
      </c>
      <c r="I377" s="214" t="str">
        <f>IFERROR(__xludf.DUMMYFUNCTION("""COMPUTED_VALUE"""),"EMPTY")</f>
        <v>EMPTY</v>
      </c>
      <c r="J377" s="211">
        <f>IFERROR(__xludf.DUMMYFUNCTION("""COMPUTED_VALUE"""),1.0)</f>
        <v>1</v>
      </c>
      <c r="K377" s="210" t="str">
        <f>IFERROR(__xludf.DUMMYFUNCTION("""COMPUTED_VALUE"""),"7969")</f>
        <v>7969</v>
      </c>
      <c r="L377" s="211"/>
      <c r="M377" s="211"/>
      <c r="N377" s="211"/>
      <c r="O377" s="211"/>
      <c r="Q377" s="210" t="str">
        <f>IFERROR(__xludf.DUMMYFUNCTION("""COMPUTED_VALUE"""),"52fd95b3")</f>
        <v>52fd95b3</v>
      </c>
      <c r="R377" s="210" t="str">
        <f>IFERROR(__xludf.DUMMYFUNCTION("""COMPUTED_VALUE"""),"52fd95b3")</f>
        <v>52fd95b3</v>
      </c>
      <c r="S377" s="211" t="str">
        <f>IFERROR(__xludf.DUMMYFUNCTION("""COMPUTED_VALUE"""),"2d88931c")</f>
        <v>2d88931c</v>
      </c>
      <c r="T377" s="211" t="str">
        <f>IFERROR(__xludf.DUMMYFUNCTION("""COMPUTED_VALUE"""),"PT Dunia Berkat Marga Mulya")</f>
        <v>PT Dunia Berkat Marga Mulya</v>
      </c>
      <c r="U377" s="215">
        <f>IFERROR(__xludf.DUMMYFUNCTION("""COMPUTED_VALUE"""),45678.620833333334)</f>
        <v>45678.62083</v>
      </c>
      <c r="V377" s="211" t="str">
        <f>IFERROR(__xludf.DUMMYFUNCTION("""COMPUTED_VALUE"""),"JL JABARAN, WATESARI, BALONGBENDO, SIDOARJO, JAWA TIMUR")</f>
        <v>JL JABARAN, WATESARI, BALONGBENDO, SIDOARJO, JAWA TIMUR</v>
      </c>
      <c r="W377" s="211" t="str">
        <f>IFERROR(__xludf.DUMMYFUNCTION("""COMPUTED_VALUE"""),"IN")</f>
        <v>IN</v>
      </c>
      <c r="X377" s="211"/>
      <c r="Z377" s="211" t="str">
        <f>IFERROR(__xludf.DUMMYFUNCTION("""COMPUTED_VALUE"""),"012652270")</f>
        <v>012652270</v>
      </c>
      <c r="AC377" s="211"/>
      <c r="AD377" s="211"/>
      <c r="AE377" s="211"/>
      <c r="AF377" s="211"/>
      <c r="AG377" s="211"/>
      <c r="AH377" s="211"/>
      <c r="AI377" s="211"/>
      <c r="AJ377" s="211"/>
      <c r="AL377" s="211"/>
      <c r="AM377" s="211"/>
      <c r="AN377" s="211"/>
      <c r="AO377" s="211"/>
      <c r="AP377" s="215"/>
      <c r="AQ377" s="218"/>
      <c r="AR377" s="211"/>
      <c r="AS377" s="211"/>
      <c r="AT377" s="211"/>
      <c r="AU377" s="211"/>
      <c r="AV377" s="211"/>
      <c r="AW377" s="211"/>
      <c r="AX377" s="211"/>
      <c r="AY377" s="211"/>
      <c r="AZ377" s="211"/>
      <c r="BB377" s="211"/>
      <c r="BC377" s="211"/>
      <c r="BD377" s="211"/>
      <c r="BE377" s="211"/>
      <c r="BF377" s="211"/>
      <c r="BG377" s="211"/>
      <c r="BH377" s="211"/>
      <c r="BI377" s="211"/>
    </row>
    <row r="378">
      <c r="A378" s="210" t="str">
        <f>IFERROR(__xludf.DUMMYFUNCTION("""COMPUTED_VALUE"""),"af8745e2")</f>
        <v>af8745e2</v>
      </c>
      <c r="B378" s="210" t="str">
        <f>IFERROR(__xludf.DUMMYFUNCTION("""COMPUTED_VALUE"""),"af8745e2")</f>
        <v>af8745e2</v>
      </c>
      <c r="C378" s="213">
        <f>IFERROR(__xludf.DUMMYFUNCTION("""COMPUTED_VALUE"""),45639.51944444444)</f>
        <v>45639.51944</v>
      </c>
      <c r="D378" s="211" t="str">
        <f>IFERROR(__xludf.DUMMYFUNCTION("""COMPUTED_VALUE"""),"2d88931c")</f>
        <v>2d88931c</v>
      </c>
      <c r="E378" s="211" t="str">
        <f>IFERROR(__xludf.DUMMYFUNCTION("""COMPUTED_VALUE"""),"PT Dunia Berkat Marga Mulya")</f>
        <v>PT Dunia Berkat Marga Mulya</v>
      </c>
      <c r="F378" s="211" t="str">
        <f>IFERROR(__xludf.DUMMYFUNCTION("""COMPUTED_VALUE"""),"8bdbe149")</f>
        <v>8bdbe149</v>
      </c>
      <c r="G378" s="211" t="str">
        <f>IFERROR(__xludf.DUMMYFUNCTION("""COMPUTED_VALUE"""),"Oksigen 6m3")</f>
        <v>Oksigen 6m3</v>
      </c>
      <c r="H378" s="214" t="str">
        <f>IFERROR(__xludf.DUMMYFUNCTION("""COMPUTED_VALUE"""),"IN")</f>
        <v>IN</v>
      </c>
      <c r="I378" s="214" t="str">
        <f>IFERROR(__xludf.DUMMYFUNCTION("""COMPUTED_VALUE"""),"EMPTY")</f>
        <v>EMPTY</v>
      </c>
      <c r="J378" s="211">
        <f>IFERROR(__xludf.DUMMYFUNCTION("""COMPUTED_VALUE"""),4.0)</f>
        <v>4</v>
      </c>
      <c r="K378" s="210" t="str">
        <f>IFERROR(__xludf.DUMMYFUNCTION("""COMPUTED_VALUE"""),"1121 11134 11106 1187")</f>
        <v>1121 11134 11106 1187</v>
      </c>
      <c r="L378" s="211"/>
      <c r="M378" s="211"/>
      <c r="N378" s="211"/>
      <c r="O378" s="211"/>
      <c r="Q378" s="210" t="str">
        <f>IFERROR(__xludf.DUMMYFUNCTION("""COMPUTED_VALUE"""),"01250223")</f>
        <v>01250223</v>
      </c>
      <c r="R378" s="210" t="str">
        <f>IFERROR(__xludf.DUMMYFUNCTION("""COMPUTED_VALUE"""),"01250223")</f>
        <v>01250223</v>
      </c>
      <c r="S378" s="211" t="str">
        <f>IFERROR(__xludf.DUMMYFUNCTION("""COMPUTED_VALUE"""),"3fec37df")</f>
        <v>3fec37df</v>
      </c>
      <c r="T378" s="211" t="str">
        <f>IFERROR(__xludf.DUMMYFUNCTION("""COMPUTED_VALUE"""),"PT Jatim Abadi Perkasa Steel")</f>
        <v>PT Jatim Abadi Perkasa Steel</v>
      </c>
      <c r="U378" s="215">
        <f>IFERROR(__xludf.DUMMYFUNCTION("""COMPUTED_VALUE"""),45679.34027777778)</f>
        <v>45679.34028</v>
      </c>
      <c r="V378" s="211" t="str">
        <f>IFERROR(__xludf.DUMMYFUNCTION("""COMPUTED_VALUE"""),"Dsn. Bulak Sempuh, Jatirejo, Kab. Mojokerto, Jawa Timur")</f>
        <v>Dsn. Bulak Sempuh, Jatirejo, Kab. Mojokerto, Jawa Timur</v>
      </c>
      <c r="W378" s="211" t="str">
        <f>IFERROR(__xludf.DUMMYFUNCTION("""COMPUTED_VALUE"""),"OUT")</f>
        <v>OUT</v>
      </c>
      <c r="X378" s="211"/>
      <c r="Z378" s="211" t="str">
        <f>IFERROR(__xludf.DUMMYFUNCTION("""COMPUTED_VALUE"""),"012652269")</f>
        <v>012652269</v>
      </c>
      <c r="AC378" s="211"/>
      <c r="AD378" s="211"/>
      <c r="AE378" s="211"/>
      <c r="AF378" s="211"/>
      <c r="AG378" s="211"/>
      <c r="AH378" s="211"/>
      <c r="AI378" s="211"/>
      <c r="AJ378" s="211"/>
      <c r="AL378" s="211"/>
      <c r="AM378" s="211"/>
      <c r="AN378" s="211"/>
      <c r="AO378" s="211"/>
      <c r="AP378" s="215"/>
      <c r="AQ378" s="218"/>
      <c r="AR378" s="211"/>
      <c r="AS378" s="211"/>
      <c r="AT378" s="211"/>
      <c r="AU378" s="211"/>
      <c r="AV378" s="211"/>
      <c r="AW378" s="211"/>
      <c r="AX378" s="211"/>
      <c r="AY378" s="211"/>
      <c r="AZ378" s="211"/>
      <c r="BB378" s="211"/>
      <c r="BC378" s="211"/>
      <c r="BD378" s="211"/>
      <c r="BE378" s="211"/>
      <c r="BF378" s="211"/>
      <c r="BG378" s="211"/>
      <c r="BH378" s="211"/>
      <c r="BI378" s="211"/>
    </row>
    <row r="379">
      <c r="A379" s="210" t="str">
        <f>IFERROR(__xludf.DUMMYFUNCTION("""COMPUTED_VALUE"""),"12240167")</f>
        <v>12240167</v>
      </c>
      <c r="B379" s="210" t="str">
        <f>IFERROR(__xludf.DUMMYFUNCTION("""COMPUTED_VALUE"""),"12240167")</f>
        <v>12240167</v>
      </c>
      <c r="C379" s="213">
        <f>IFERROR(__xludf.DUMMYFUNCTION("""COMPUTED_VALUE"""),45640.84930555556)</f>
        <v>45640.84931</v>
      </c>
      <c r="D379" s="211" t="str">
        <f>IFERROR(__xludf.DUMMYFUNCTION("""COMPUTED_VALUE"""),"103f3ae7")</f>
        <v>103f3ae7</v>
      </c>
      <c r="E379" s="211" t="str">
        <f>IFERROR(__xludf.DUMMYFUNCTION("""COMPUTED_VALUE"""),"PT ARYANA CAKASANA")</f>
        <v>PT ARYANA CAKASANA</v>
      </c>
      <c r="F379" s="211" t="str">
        <f>IFERROR(__xludf.DUMMYFUNCTION("""COMPUTED_VALUE"""),"8bdbe149")</f>
        <v>8bdbe149</v>
      </c>
      <c r="G379" s="211" t="str">
        <f>IFERROR(__xludf.DUMMYFUNCTION("""COMPUTED_VALUE"""),"Oksigen 6m3")</f>
        <v>Oksigen 6m3</v>
      </c>
      <c r="H379" s="214" t="str">
        <f>IFERROR(__xludf.DUMMYFUNCTION("""COMPUTED_VALUE"""),"OUT")</f>
        <v>OUT</v>
      </c>
      <c r="I379" s="214" t="str">
        <f>IFERROR(__xludf.DUMMYFUNCTION("""COMPUTED_VALUE"""),"NORMAL")</f>
        <v>NORMAL</v>
      </c>
      <c r="J379" s="211">
        <f>IFERROR(__xludf.DUMMYFUNCTION("""COMPUTED_VALUE"""),5.0)</f>
        <v>5</v>
      </c>
      <c r="K379" s="210" t="str">
        <f>IFERROR(__xludf.DUMMYFUNCTION("""COMPUTED_VALUE"""),"1121 1141 1187 1146 1190")</f>
        <v>1121 1141 1187 1146 1190</v>
      </c>
      <c r="L379" s="211">
        <f>IFERROR(__xludf.DUMMYFUNCTION("""COMPUTED_VALUE"""),47297.2973)</f>
        <v>47297.2973</v>
      </c>
      <c r="M379" s="211"/>
      <c r="N379" s="211"/>
      <c r="O379" s="211"/>
      <c r="Q379" s="210" t="str">
        <f>IFERROR(__xludf.DUMMYFUNCTION("""COMPUTED_VALUE"""),"01250224")</f>
        <v>01250224</v>
      </c>
      <c r="R379" s="210" t="str">
        <f>IFERROR(__xludf.DUMMYFUNCTION("""COMPUTED_VALUE"""),"01250224")</f>
        <v>01250224</v>
      </c>
      <c r="S379" s="211" t="str">
        <f>IFERROR(__xludf.DUMMYFUNCTION("""COMPUTED_VALUE"""),"ed2cc96a")</f>
        <v>ed2cc96a</v>
      </c>
      <c r="T379" s="211" t="str">
        <f>IFERROR(__xludf.DUMMYFUNCTION("""COMPUTED_VALUE"""),"Bengkel Dian Jaya")</f>
        <v>Bengkel Dian Jaya</v>
      </c>
      <c r="U379" s="215">
        <f>IFERROR(__xludf.DUMMYFUNCTION("""COMPUTED_VALUE"""),45679.34166666667)</f>
        <v>45679.34167</v>
      </c>
      <c r="V379" s="211" t="str">
        <f>IFERROR(__xludf.DUMMYFUNCTION("""COMPUTED_VALUE"""),"Gg. 2, Kejagan, Kec. Trowulan, Kabupaten Mojokerto, Jawa Timur 61362")</f>
        <v>Gg. 2, Kejagan, Kec. Trowulan, Kabupaten Mojokerto, Jawa Timur 61362</v>
      </c>
      <c r="W379" s="211" t="str">
        <f>IFERROR(__xludf.DUMMYFUNCTION("""COMPUTED_VALUE"""),"OUT")</f>
        <v>OUT</v>
      </c>
      <c r="X379" s="211"/>
      <c r="Z379" s="211" t="str">
        <f>IFERROR(__xludf.DUMMYFUNCTION("""COMPUTED_VALUE"""),"0126132267")</f>
        <v>0126132267</v>
      </c>
      <c r="AC379" s="211"/>
      <c r="AD379" s="211"/>
      <c r="AE379" s="211"/>
      <c r="AF379" s="211"/>
      <c r="AG379" s="211"/>
      <c r="AH379" s="211"/>
      <c r="AI379" s="211"/>
      <c r="AJ379" s="211"/>
      <c r="AL379" s="211"/>
      <c r="AM379" s="211"/>
      <c r="AN379" s="211"/>
      <c r="AO379" s="211"/>
      <c r="AP379" s="215"/>
      <c r="AQ379" s="218"/>
      <c r="AR379" s="211"/>
      <c r="AS379" s="211"/>
      <c r="AT379" s="211"/>
      <c r="AU379" s="211"/>
      <c r="AV379" s="211"/>
      <c r="AW379" s="211"/>
      <c r="AX379" s="211"/>
      <c r="AY379" s="211"/>
      <c r="AZ379" s="211"/>
      <c r="BB379" s="211"/>
      <c r="BC379" s="211"/>
      <c r="BD379" s="211"/>
      <c r="BE379" s="211"/>
      <c r="BF379" s="211"/>
      <c r="BG379" s="211"/>
      <c r="BH379" s="211"/>
      <c r="BI379" s="211"/>
    </row>
    <row r="380">
      <c r="A380" s="210" t="str">
        <f>IFERROR(__xludf.DUMMYFUNCTION("""COMPUTED_VALUE"""),"59dea732")</f>
        <v>59dea732</v>
      </c>
      <c r="B380" s="210" t="str">
        <f>IFERROR(__xludf.DUMMYFUNCTION("""COMPUTED_VALUE"""),"59dea732")</f>
        <v>59dea732</v>
      </c>
      <c r="C380" s="213">
        <f>IFERROR(__xludf.DUMMYFUNCTION("""COMPUTED_VALUE"""),45640.51458333333)</f>
        <v>45640.51458</v>
      </c>
      <c r="D380" s="211" t="str">
        <f>IFERROR(__xludf.DUMMYFUNCTION("""COMPUTED_VALUE"""),"72d9a70c")</f>
        <v>72d9a70c</v>
      </c>
      <c r="E380" s="211" t="str">
        <f>IFERROR(__xludf.DUMMYFUNCTION("""COMPUTED_VALUE"""),"PT Beton Prima Indonesia")</f>
        <v>PT Beton Prima Indonesia</v>
      </c>
      <c r="F380" s="211" t="str">
        <f>IFERROR(__xludf.DUMMYFUNCTION("""COMPUTED_VALUE"""),"8bdbe149")</f>
        <v>8bdbe149</v>
      </c>
      <c r="G380" s="211" t="str">
        <f>IFERROR(__xludf.DUMMYFUNCTION("""COMPUTED_VALUE"""),"Oksigen 6m3")</f>
        <v>Oksigen 6m3</v>
      </c>
      <c r="H380" s="214" t="str">
        <f>IFERROR(__xludf.DUMMYFUNCTION("""COMPUTED_VALUE"""),"IN")</f>
        <v>IN</v>
      </c>
      <c r="I380" s="214" t="str">
        <f>IFERROR(__xludf.DUMMYFUNCTION("""COMPUTED_VALUE"""),"EMPTY")</f>
        <v>EMPTY</v>
      </c>
      <c r="J380" s="211">
        <f>IFERROR(__xludf.DUMMYFUNCTION("""COMPUTED_VALUE"""),4.0)</f>
        <v>4</v>
      </c>
      <c r="K380" s="210" t="str">
        <f>IFERROR(__xludf.DUMMYFUNCTION("""COMPUTED_VALUE"""),"1566 11128 11150 11102")</f>
        <v>1566 11128 11150 11102</v>
      </c>
      <c r="L380" s="211"/>
      <c r="M380" s="211"/>
      <c r="N380" s="211"/>
      <c r="O380" s="211"/>
      <c r="Q380" s="210" t="str">
        <f>IFERROR(__xludf.DUMMYFUNCTION("""COMPUTED_VALUE"""),"01250225")</f>
        <v>01250225</v>
      </c>
      <c r="R380" s="210" t="str">
        <f>IFERROR(__xludf.DUMMYFUNCTION("""COMPUTED_VALUE"""),"01250225")</f>
        <v>01250225</v>
      </c>
      <c r="S380" s="211" t="str">
        <f>IFERROR(__xludf.DUMMYFUNCTION("""COMPUTED_VALUE"""),"785e0e07")</f>
        <v>785e0e07</v>
      </c>
      <c r="T380" s="211" t="str">
        <f>IFERROR(__xludf.DUMMYFUNCTION("""COMPUTED_VALUE"""),"Bpk. Sukirno (Bejo)")</f>
        <v>Bpk. Sukirno (Bejo)</v>
      </c>
      <c r="U380" s="215">
        <f>IFERROR(__xludf.DUMMYFUNCTION("""COMPUTED_VALUE"""),45679.3625)</f>
        <v>45679.3625</v>
      </c>
      <c r="V380" s="211" t="str">
        <f>IFERROR(__xludf.DUMMYFUNCTION("""COMPUTED_VALUE"""),"Krajan I, Wringinanom, Kec. Wringinanom, Kabupaten Gresik, Jawa Timur 61176")</f>
        <v>Krajan I, Wringinanom, Kec. Wringinanom, Kabupaten Gresik, Jawa Timur 61176</v>
      </c>
      <c r="W380" s="211" t="str">
        <f>IFERROR(__xludf.DUMMYFUNCTION("""COMPUTED_VALUE"""),"OUT")</f>
        <v>OUT</v>
      </c>
      <c r="X380" s="211"/>
      <c r="Z380" s="211" t="str">
        <f>IFERROR(__xludf.DUMMYFUNCTION("""COMPUTED_VALUE"""),"012672266")</f>
        <v>012672266</v>
      </c>
      <c r="AC380" s="211"/>
      <c r="AD380" s="211"/>
      <c r="AE380" s="211"/>
      <c r="AF380" s="211"/>
      <c r="AG380" s="211"/>
      <c r="AH380" s="211"/>
      <c r="AI380" s="211"/>
      <c r="AJ380" s="211"/>
      <c r="AL380" s="211"/>
      <c r="AM380" s="211"/>
      <c r="AN380" s="211"/>
      <c r="AO380" s="211"/>
      <c r="AP380" s="215"/>
      <c r="AQ380" s="218"/>
      <c r="AR380" s="211"/>
      <c r="AS380" s="211"/>
      <c r="AT380" s="211"/>
      <c r="AU380" s="211"/>
      <c r="AV380" s="211"/>
      <c r="AW380" s="211"/>
      <c r="AX380" s="211"/>
      <c r="AY380" s="211"/>
      <c r="AZ380" s="211"/>
      <c r="BB380" s="211"/>
      <c r="BC380" s="211"/>
      <c r="BD380" s="211"/>
      <c r="BE380" s="211"/>
      <c r="BF380" s="211"/>
      <c r="BG380" s="211"/>
      <c r="BH380" s="211"/>
      <c r="BI380" s="211"/>
    </row>
    <row r="381">
      <c r="A381" s="210" t="str">
        <f>IFERROR(__xludf.DUMMYFUNCTION("""COMPUTED_VALUE"""),"12240168")</f>
        <v>12240168</v>
      </c>
      <c r="B381" s="210" t="str">
        <f>IFERROR(__xludf.DUMMYFUNCTION("""COMPUTED_VALUE"""),"12240168")</f>
        <v>12240168</v>
      </c>
      <c r="C381" s="213">
        <f>IFERROR(__xludf.DUMMYFUNCTION("""COMPUTED_VALUE"""),45642.441666666666)</f>
        <v>45642.44167</v>
      </c>
      <c r="D381" s="211" t="str">
        <f>IFERROR(__xludf.DUMMYFUNCTION("""COMPUTED_VALUE"""),"4bef3bbf")</f>
        <v>4bef3bbf</v>
      </c>
      <c r="E381" s="211" t="str">
        <f>IFERROR(__xludf.DUMMYFUNCTION("""COMPUTED_VALUE"""),"PT Dingsheng Metal Indonesia (Ngoro)")</f>
        <v>PT Dingsheng Metal Indonesia (Ngoro)</v>
      </c>
      <c r="F381" s="211" t="str">
        <f>IFERROR(__xludf.DUMMYFUNCTION("""COMPUTED_VALUE"""),"8bdbe149")</f>
        <v>8bdbe149</v>
      </c>
      <c r="G381" s="211" t="str">
        <f>IFERROR(__xludf.DUMMYFUNCTION("""COMPUTED_VALUE"""),"Oksigen 6m3")</f>
        <v>Oksigen 6m3</v>
      </c>
      <c r="H381" s="214" t="str">
        <f>IFERROR(__xludf.DUMMYFUNCTION("""COMPUTED_VALUE"""),"OUT")</f>
        <v>OUT</v>
      </c>
      <c r="I381" s="214" t="str">
        <f>IFERROR(__xludf.DUMMYFUNCTION("""COMPUTED_VALUE"""),"NORMAL")</f>
        <v>NORMAL</v>
      </c>
      <c r="J381" s="211">
        <f>IFERROR(__xludf.DUMMYFUNCTION("""COMPUTED_VALUE"""),10.0)</f>
        <v>10</v>
      </c>
      <c r="K381" s="210" t="str">
        <f>IFERROR(__xludf.DUMMYFUNCTION("""COMPUTED_VALUE"""),"5613 5023 5548 1158 11146 11155 11173 11149 11142 11147")</f>
        <v>5613 5023 5548 1158 11146 11155 11173 11149 11142 11147</v>
      </c>
      <c r="L381" s="211">
        <f>IFERROR(__xludf.DUMMYFUNCTION("""COMPUTED_VALUE"""),45045.045)</f>
        <v>45045.045</v>
      </c>
      <c r="M381" s="211"/>
      <c r="N381" s="211"/>
      <c r="O381" s="211"/>
      <c r="Q381" s="210" t="str">
        <f>IFERROR(__xludf.DUMMYFUNCTION("""COMPUTED_VALUE"""),"668c99c7")</f>
        <v>668c99c7</v>
      </c>
      <c r="R381" s="210" t="str">
        <f>IFERROR(__xludf.DUMMYFUNCTION("""COMPUTED_VALUE"""),"668c99c7")</f>
        <v>668c99c7</v>
      </c>
      <c r="S381" s="211" t="str">
        <f>IFERROR(__xludf.DUMMYFUNCTION("""COMPUTED_VALUE"""),"785e0e07")</f>
        <v>785e0e07</v>
      </c>
      <c r="T381" s="211" t="str">
        <f>IFERROR(__xludf.DUMMYFUNCTION("""COMPUTED_VALUE"""),"Bpk. Sukirno (Bejo)")</f>
        <v>Bpk. Sukirno (Bejo)</v>
      </c>
      <c r="U381" s="215">
        <f>IFERROR(__xludf.DUMMYFUNCTION("""COMPUTED_VALUE"""),45679.47222222222)</f>
        <v>45679.47222</v>
      </c>
      <c r="V381" s="211" t="str">
        <f>IFERROR(__xludf.DUMMYFUNCTION("""COMPUTED_VALUE"""),"Krajan I, Wringinanom, Kec. Wringinanom, Kabupaten Gresik, Jawa Timur 61176")</f>
        <v>Krajan I, Wringinanom, Kec. Wringinanom, Kabupaten Gresik, Jawa Timur 61176</v>
      </c>
      <c r="W381" s="211" t="str">
        <f>IFERROR(__xludf.DUMMYFUNCTION("""COMPUTED_VALUE"""),"IN")</f>
        <v>IN</v>
      </c>
      <c r="X381" s="211"/>
      <c r="Z381" s="211" t="str">
        <f>IFERROR(__xludf.DUMMYFUNCTION("""COMPUTED_VALUE"""),"0126102258")</f>
        <v>0126102258</v>
      </c>
      <c r="AC381" s="211"/>
      <c r="AD381" s="211"/>
      <c r="AE381" s="211"/>
      <c r="AF381" s="211"/>
      <c r="AG381" s="211"/>
      <c r="AH381" s="211"/>
      <c r="AI381" s="211"/>
      <c r="AJ381" s="211"/>
      <c r="AL381" s="211"/>
      <c r="AM381" s="211"/>
      <c r="AN381" s="211"/>
      <c r="AO381" s="211"/>
      <c r="AP381" s="215"/>
      <c r="AQ381" s="218"/>
      <c r="AR381" s="211"/>
      <c r="AS381" s="211"/>
      <c r="AT381" s="211"/>
      <c r="AU381" s="211"/>
      <c r="AV381" s="211"/>
      <c r="AW381" s="211"/>
      <c r="AX381" s="211"/>
      <c r="AY381" s="211"/>
      <c r="AZ381" s="211"/>
      <c r="BB381" s="211"/>
      <c r="BC381" s="211"/>
      <c r="BD381" s="211"/>
      <c r="BE381" s="211"/>
      <c r="BF381" s="211"/>
      <c r="BG381" s="211"/>
      <c r="BH381" s="211"/>
      <c r="BI381" s="211"/>
    </row>
    <row r="382">
      <c r="A382" s="210" t="str">
        <f>IFERROR(__xludf.DUMMYFUNCTION("""COMPUTED_VALUE"""),"12240169")</f>
        <v>12240169</v>
      </c>
      <c r="B382" s="210" t="str">
        <f>IFERROR(__xludf.DUMMYFUNCTION("""COMPUTED_VALUE"""),"12240169")</f>
        <v>12240169</v>
      </c>
      <c r="C382" s="213">
        <f>IFERROR(__xludf.DUMMYFUNCTION("""COMPUTED_VALUE"""),45643.37013888889)</f>
        <v>45643.37014</v>
      </c>
      <c r="D382" s="211" t="str">
        <f>IFERROR(__xludf.DUMMYFUNCTION("""COMPUTED_VALUE"""),"3fec37df")</f>
        <v>3fec37df</v>
      </c>
      <c r="E382" s="211" t="str">
        <f>IFERROR(__xludf.DUMMYFUNCTION("""COMPUTED_VALUE"""),"PT Jatim Abadi Perkasa Steel")</f>
        <v>PT Jatim Abadi Perkasa Steel</v>
      </c>
      <c r="F382" s="211" t="str">
        <f>IFERROR(__xludf.DUMMYFUNCTION("""COMPUTED_VALUE"""),"b7a8fff1")</f>
        <v>b7a8fff1</v>
      </c>
      <c r="G382" s="211" t="str">
        <f>IFERROR(__xludf.DUMMYFUNCTION("""COMPUTED_VALUE"""),"LPG 50kg")</f>
        <v>LPG 50kg</v>
      </c>
      <c r="H382" s="214" t="str">
        <f>IFERROR(__xludf.DUMMYFUNCTION("""COMPUTED_VALUE"""),"OUT")</f>
        <v>OUT</v>
      </c>
      <c r="I382" s="214" t="str">
        <f>IFERROR(__xludf.DUMMYFUNCTION("""COMPUTED_VALUE"""),"NORMAL")</f>
        <v>NORMAL</v>
      </c>
      <c r="J382" s="211">
        <f>IFERROR(__xludf.DUMMYFUNCTION("""COMPUTED_VALUE"""),5.0)</f>
        <v>5</v>
      </c>
      <c r="K382" s="210" t="str">
        <f>IFERROR(__xludf.DUMMYFUNCTION("""COMPUTED_VALUE"""),"L1 L2 L3 L4 L5")</f>
        <v>L1 L2 L3 L4 L5</v>
      </c>
      <c r="L382" s="211">
        <f>IFERROR(__xludf.DUMMYFUNCTION("""COMPUTED_VALUE"""),855855.855)</f>
        <v>855855.855</v>
      </c>
      <c r="M382" s="211"/>
      <c r="N382" s="211"/>
      <c r="O382" s="211"/>
      <c r="Q382" s="210" t="str">
        <f>IFERROR(__xludf.DUMMYFUNCTION("""COMPUTED_VALUE"""),"9f41071c")</f>
        <v>9f41071c</v>
      </c>
      <c r="R382" s="210" t="str">
        <f>IFERROR(__xludf.DUMMYFUNCTION("""COMPUTED_VALUE"""),"9f41071c")</f>
        <v>9f41071c</v>
      </c>
      <c r="S382" s="211" t="str">
        <f>IFERROR(__xludf.DUMMYFUNCTION("""COMPUTED_VALUE"""),"ed2cc96a")</f>
        <v>ed2cc96a</v>
      </c>
      <c r="T382" s="211" t="str">
        <f>IFERROR(__xludf.DUMMYFUNCTION("""COMPUTED_VALUE"""),"Bengkel Dian Jaya")</f>
        <v>Bengkel Dian Jaya</v>
      </c>
      <c r="U382" s="215">
        <f>IFERROR(__xludf.DUMMYFUNCTION("""COMPUTED_VALUE"""),45679.775)</f>
        <v>45679.775</v>
      </c>
      <c r="V382" s="211" t="str">
        <f>IFERROR(__xludf.DUMMYFUNCTION("""COMPUTED_VALUE"""),"Gg. 2, Kejagan, Kec. Trowulan, Kabupaten Mojokerto, Jawa Timur 61362")</f>
        <v>Gg. 2, Kejagan, Kec. Trowulan, Kabupaten Mojokerto, Jawa Timur 61362</v>
      </c>
      <c r="W382" s="211" t="str">
        <f>IFERROR(__xludf.DUMMYFUNCTION("""COMPUTED_VALUE"""),"IN")</f>
        <v>IN</v>
      </c>
      <c r="X382" s="211"/>
      <c r="Z382" s="211" t="str">
        <f>IFERROR(__xludf.DUMMYFUNCTION("""COMPUTED_VALUE"""),"012672265")</f>
        <v>012672265</v>
      </c>
      <c r="AC382" s="211"/>
      <c r="AD382" s="211"/>
      <c r="AE382" s="211"/>
      <c r="AF382" s="211"/>
      <c r="AG382" s="211"/>
      <c r="AH382" s="211"/>
      <c r="AI382" s="211"/>
      <c r="AJ382" s="211"/>
      <c r="AL382" s="211"/>
      <c r="AM382" s="211"/>
      <c r="AN382" s="211"/>
      <c r="AO382" s="211"/>
      <c r="AP382" s="215"/>
      <c r="AQ382" s="218"/>
      <c r="AR382" s="211"/>
      <c r="AS382" s="211"/>
      <c r="AT382" s="211"/>
      <c r="AU382" s="211"/>
      <c r="AV382" s="211"/>
      <c r="AW382" s="211"/>
      <c r="AX382" s="211"/>
      <c r="AY382" s="211"/>
      <c r="AZ382" s="211"/>
      <c r="BB382" s="211"/>
      <c r="BC382" s="211"/>
      <c r="BD382" s="211"/>
      <c r="BE382" s="211"/>
      <c r="BF382" s="211"/>
      <c r="BG382" s="211"/>
      <c r="BH382" s="211"/>
      <c r="BI382" s="211"/>
    </row>
    <row r="383">
      <c r="A383" s="210" t="str">
        <f>IFERROR(__xludf.DUMMYFUNCTION("""COMPUTED_VALUE"""),"12240170")</f>
        <v>12240170</v>
      </c>
      <c r="B383" s="210" t="str">
        <f>IFERROR(__xludf.DUMMYFUNCTION("""COMPUTED_VALUE"""),"12240170")</f>
        <v>12240170</v>
      </c>
      <c r="C383" s="213">
        <f>IFERROR(__xludf.DUMMYFUNCTION("""COMPUTED_VALUE"""),45643.55347222222)</f>
        <v>45643.55347</v>
      </c>
      <c r="D383" s="211" t="str">
        <f>IFERROR(__xludf.DUMMYFUNCTION("""COMPUTED_VALUE"""),"3a48b432")</f>
        <v>3a48b432</v>
      </c>
      <c r="E383" s="211" t="str">
        <f>IFERROR(__xludf.DUMMYFUNCTION("""COMPUTED_VALUE"""),"Dio")</f>
        <v>Dio</v>
      </c>
      <c r="F383" s="211" t="str">
        <f>IFERROR(__xludf.DUMMYFUNCTION("""COMPUTED_VALUE"""),"e8544a46")</f>
        <v>e8544a46</v>
      </c>
      <c r="G383" s="211" t="str">
        <f>IFERROR(__xludf.DUMMYFUNCTION("""COMPUTED_VALUE"""),"Oksigen 1m3")</f>
        <v>Oksigen 1m3</v>
      </c>
      <c r="H383" s="214" t="str">
        <f>IFERROR(__xludf.DUMMYFUNCTION("""COMPUTED_VALUE"""),"OUT")</f>
        <v>OUT</v>
      </c>
      <c r="I383" s="214" t="str">
        <f>IFERROR(__xludf.DUMMYFUNCTION("""COMPUTED_VALUE"""),"NORMAL")</f>
        <v>NORMAL</v>
      </c>
      <c r="J383" s="211">
        <f>IFERROR(__xludf.DUMMYFUNCTION("""COMPUTED_VALUE"""),1.0)</f>
        <v>1</v>
      </c>
      <c r="K383" s="211"/>
      <c r="L383" s="211" t="str">
        <f>IFERROR(__xludf.DUMMYFUNCTION("""COMPUTED_VALUE"""),"#N/A")</f>
        <v>#N/A</v>
      </c>
      <c r="M383" s="211"/>
      <c r="N383" s="211"/>
      <c r="O383" s="211"/>
      <c r="Q383" s="210" t="str">
        <f>IFERROR(__xludf.DUMMYFUNCTION("""COMPUTED_VALUE"""),"01250226")</f>
        <v>01250226</v>
      </c>
      <c r="R383" s="210" t="str">
        <f>IFERROR(__xludf.DUMMYFUNCTION("""COMPUTED_VALUE"""),"01250226")</f>
        <v>01250226</v>
      </c>
      <c r="S383" s="211" t="str">
        <f>IFERROR(__xludf.DUMMYFUNCTION("""COMPUTED_VALUE"""),"e86baf3b")</f>
        <v>e86baf3b</v>
      </c>
      <c r="T383" s="211" t="str">
        <f>IFERROR(__xludf.DUMMYFUNCTION("""COMPUTED_VALUE"""),"PT GEMILANG CIPTA WAWASAN")</f>
        <v>PT GEMILANG CIPTA WAWASAN</v>
      </c>
      <c r="U383" s="215">
        <f>IFERROR(__xludf.DUMMYFUNCTION("""COMPUTED_VALUE"""),45680.393055555556)</f>
        <v>45680.39306</v>
      </c>
      <c r="V383" s="211" t="str">
        <f>IFERROR(__xludf.DUMMYFUNCTION("""COMPUTED_VALUE"""),"JL TEBET RAYA, 2A, TEBET BARAT, TEBET, KOTA ADM, JAKARTA SELATAN, DKI JAKARTA")</f>
        <v>JL TEBET RAYA, 2A, TEBET BARAT, TEBET, KOTA ADM, JAKARTA SELATAN, DKI JAKARTA</v>
      </c>
      <c r="W383" s="211" t="str">
        <f>IFERROR(__xludf.DUMMYFUNCTION("""COMPUTED_VALUE"""),"OUT")</f>
        <v>OUT</v>
      </c>
      <c r="X383" s="211"/>
      <c r="Z383" s="211" t="str">
        <f>IFERROR(__xludf.DUMMYFUNCTION("""COMPUTED_VALUE"""),"0126722264")</f>
        <v>0126722264</v>
      </c>
      <c r="AC383" s="211"/>
      <c r="AD383" s="211"/>
      <c r="AE383" s="211"/>
      <c r="AF383" s="211"/>
      <c r="AG383" s="211"/>
      <c r="AH383" s="211"/>
      <c r="AI383" s="211"/>
      <c r="AJ383" s="211"/>
      <c r="AL383" s="211"/>
      <c r="AM383" s="211"/>
      <c r="AN383" s="211"/>
      <c r="AO383" s="211"/>
      <c r="AP383" s="215"/>
      <c r="AQ383" s="218"/>
      <c r="AR383" s="211"/>
      <c r="AS383" s="211"/>
      <c r="AT383" s="211"/>
      <c r="AU383" s="211"/>
      <c r="AV383" s="211"/>
      <c r="AW383" s="211"/>
      <c r="AX383" s="211"/>
      <c r="AY383" s="211"/>
      <c r="AZ383" s="211"/>
      <c r="BB383" s="211"/>
      <c r="BC383" s="211"/>
      <c r="BD383" s="211"/>
      <c r="BE383" s="211"/>
      <c r="BF383" s="211"/>
      <c r="BG383" s="211"/>
      <c r="BH383" s="211"/>
      <c r="BI383" s="211"/>
    </row>
    <row r="384">
      <c r="A384" s="210" t="str">
        <f>IFERROR(__xludf.DUMMYFUNCTION("""COMPUTED_VALUE"""),"1f321d81")</f>
        <v>1f321d81</v>
      </c>
      <c r="B384" s="210" t="str">
        <f>IFERROR(__xludf.DUMMYFUNCTION("""COMPUTED_VALUE"""),"1f321d81")</f>
        <v>1f321d81</v>
      </c>
      <c r="C384" s="213">
        <f>IFERROR(__xludf.DUMMYFUNCTION("""COMPUTED_VALUE"""),45643.60763888889)</f>
        <v>45643.60764</v>
      </c>
      <c r="D384" s="211" t="str">
        <f>IFERROR(__xludf.DUMMYFUNCTION("""COMPUTED_VALUE"""),"3fec37df")</f>
        <v>3fec37df</v>
      </c>
      <c r="E384" s="211" t="str">
        <f>IFERROR(__xludf.DUMMYFUNCTION("""COMPUTED_VALUE"""),"PT Jatim Abadi Perkasa Steel")</f>
        <v>PT Jatim Abadi Perkasa Steel</v>
      </c>
      <c r="F384" s="211" t="str">
        <f>IFERROR(__xludf.DUMMYFUNCTION("""COMPUTED_VALUE"""),"b7a8fff1")</f>
        <v>b7a8fff1</v>
      </c>
      <c r="G384" s="211" t="str">
        <f>IFERROR(__xludf.DUMMYFUNCTION("""COMPUTED_VALUE"""),"LPG 50kg")</f>
        <v>LPG 50kg</v>
      </c>
      <c r="H384" s="214" t="str">
        <f>IFERROR(__xludf.DUMMYFUNCTION("""COMPUTED_VALUE"""),"IN")</f>
        <v>IN</v>
      </c>
      <c r="I384" s="214" t="str">
        <f>IFERROR(__xludf.DUMMYFUNCTION("""COMPUTED_VALUE"""),"EMPTY")</f>
        <v>EMPTY</v>
      </c>
      <c r="J384" s="211">
        <f>IFERROR(__xludf.DUMMYFUNCTION("""COMPUTED_VALUE"""),5.0)</f>
        <v>5</v>
      </c>
      <c r="K384" s="211"/>
      <c r="L384" s="211"/>
      <c r="M384" s="211"/>
      <c r="N384" s="211"/>
      <c r="O384" s="211"/>
      <c r="Q384" s="210" t="str">
        <f>IFERROR(__xludf.DUMMYFUNCTION("""COMPUTED_VALUE"""),"01250227")</f>
        <v>01250227</v>
      </c>
      <c r="R384" s="210" t="str">
        <f>IFERROR(__xludf.DUMMYFUNCTION("""COMPUTED_VALUE"""),"01250227")</f>
        <v>01250227</v>
      </c>
      <c r="S384" s="211" t="str">
        <f>IFERROR(__xludf.DUMMYFUNCTION("""COMPUTED_VALUE"""),"4bef3bbf")</f>
        <v>4bef3bbf</v>
      </c>
      <c r="T384" s="211" t="str">
        <f>IFERROR(__xludf.DUMMYFUNCTION("""COMPUTED_VALUE"""),"PT Dingsheng Metal Indonesia (Ngoro)")</f>
        <v>PT Dingsheng Metal Indonesia (Ngoro)</v>
      </c>
      <c r="U384" s="215">
        <f>IFERROR(__xludf.DUMMYFUNCTION("""COMPUTED_VALUE"""),45680.40555555555)</f>
        <v>45680.40556</v>
      </c>
      <c r="V384" s="211" t="str">
        <f>IFERROR(__xludf.DUMMYFUNCTION("""COMPUTED_VALUE"""),"Kri Kilan, Watesnegoro, Kec. Ngoro, Kabupaten Mojokerto, Jawa Timur 61385")</f>
        <v>Kri Kilan, Watesnegoro, Kec. Ngoro, Kabupaten Mojokerto, Jawa Timur 61385</v>
      </c>
      <c r="W384" s="211" t="str">
        <f>IFERROR(__xludf.DUMMYFUNCTION("""COMPUTED_VALUE"""),"OUT")</f>
        <v>OUT</v>
      </c>
      <c r="X384" s="211"/>
      <c r="Z384" s="211" t="str">
        <f>IFERROR(__xludf.DUMMYFUNCTION("""COMPUTED_VALUE"""),"0126152255")</f>
        <v>0126152255</v>
      </c>
      <c r="AC384" s="211"/>
      <c r="AD384" s="211"/>
      <c r="AE384" s="211"/>
      <c r="AF384" s="211"/>
      <c r="AG384" s="211"/>
      <c r="AH384" s="211"/>
      <c r="AI384" s="211"/>
      <c r="AJ384" s="211"/>
      <c r="AL384" s="211"/>
      <c r="AM384" s="211"/>
      <c r="AN384" s="211"/>
      <c r="AO384" s="211"/>
      <c r="AP384" s="215"/>
      <c r="AQ384" s="218"/>
      <c r="AR384" s="211"/>
      <c r="AS384" s="211"/>
      <c r="AT384" s="211"/>
      <c r="AU384" s="211"/>
      <c r="AV384" s="211"/>
      <c r="AW384" s="211"/>
      <c r="AX384" s="211"/>
      <c r="AY384" s="211"/>
      <c r="AZ384" s="211"/>
      <c r="BB384" s="211"/>
      <c r="BC384" s="211"/>
      <c r="BD384" s="211"/>
      <c r="BE384" s="211"/>
      <c r="BF384" s="211"/>
      <c r="BG384" s="211"/>
      <c r="BH384" s="211"/>
      <c r="BI384" s="211"/>
    </row>
    <row r="385">
      <c r="A385" s="210" t="str">
        <f>IFERROR(__xludf.DUMMYFUNCTION("""COMPUTED_VALUE"""),"4d620c45")</f>
        <v>4d620c45</v>
      </c>
      <c r="B385" s="210" t="str">
        <f>IFERROR(__xludf.DUMMYFUNCTION("""COMPUTED_VALUE"""),"4d620c45")</f>
        <v>4d620c45</v>
      </c>
      <c r="C385" s="213">
        <f>IFERROR(__xludf.DUMMYFUNCTION("""COMPUTED_VALUE"""),45644.43680555555)</f>
        <v>45644.43681</v>
      </c>
      <c r="D385" s="211" t="str">
        <f>IFERROR(__xludf.DUMMYFUNCTION("""COMPUTED_VALUE"""),"f8335a53")</f>
        <v>f8335a53</v>
      </c>
      <c r="E385" s="211" t="str">
        <f>IFERROR(__xludf.DUMMYFUNCTION("""COMPUTED_VALUE"""),"CV RAGAM JAYA ENGINEERING")</f>
        <v>CV RAGAM JAYA ENGINEERING</v>
      </c>
      <c r="F385" s="211" t="str">
        <f>IFERROR(__xludf.DUMMYFUNCTION("""COMPUTED_VALUE"""),"8bdbe149")</f>
        <v>8bdbe149</v>
      </c>
      <c r="G385" s="211" t="str">
        <f>IFERROR(__xludf.DUMMYFUNCTION("""COMPUTED_VALUE"""),"Oksigen 6m3")</f>
        <v>Oksigen 6m3</v>
      </c>
      <c r="H385" s="214" t="str">
        <f>IFERROR(__xludf.DUMMYFUNCTION("""COMPUTED_VALUE"""),"IN")</f>
        <v>IN</v>
      </c>
      <c r="I385" s="214" t="str">
        <f>IFERROR(__xludf.DUMMYFUNCTION("""COMPUTED_VALUE"""),"EMPTY")</f>
        <v>EMPTY</v>
      </c>
      <c r="J385" s="211">
        <f>IFERROR(__xludf.DUMMYFUNCTION("""COMPUTED_VALUE"""),11.0)</f>
        <v>11</v>
      </c>
      <c r="K385" s="210" t="str">
        <f>IFERROR(__xludf.DUMMYFUNCTION("""COMPUTED_VALUE"""),"1686 1670 11212 11145 1485 11193 11166 5461 1162 1829 5006")</f>
        <v>1686 1670 11212 11145 1485 11193 11166 5461 1162 1829 5006</v>
      </c>
      <c r="L385" s="211"/>
      <c r="M385" s="211"/>
      <c r="N385" s="211"/>
      <c r="O385" s="211"/>
      <c r="Q385" s="210" t="str">
        <f>IFERROR(__xludf.DUMMYFUNCTION("""COMPUTED_VALUE"""),"9ec8aec6")</f>
        <v>9ec8aec6</v>
      </c>
      <c r="R385" s="210" t="str">
        <f>IFERROR(__xludf.DUMMYFUNCTION("""COMPUTED_VALUE"""),"9ec8aec6")</f>
        <v>9ec8aec6</v>
      </c>
      <c r="S385" s="211" t="str">
        <f>IFERROR(__xludf.DUMMYFUNCTION("""COMPUTED_VALUE"""),"e86baf3b")</f>
        <v>e86baf3b</v>
      </c>
      <c r="T385" s="211" t="str">
        <f>IFERROR(__xludf.DUMMYFUNCTION("""COMPUTED_VALUE"""),"PT GEMILANG CIPTA WAWASAN")</f>
        <v>PT GEMILANG CIPTA WAWASAN</v>
      </c>
      <c r="U385" s="215">
        <f>IFERROR(__xludf.DUMMYFUNCTION("""COMPUTED_VALUE"""),45680.50555555556)</f>
        <v>45680.50556</v>
      </c>
      <c r="V385" s="211" t="str">
        <f>IFERROR(__xludf.DUMMYFUNCTION("""COMPUTED_VALUE"""),"JL TEBET RAYA, 2A, TEBET BARAT, TEBET, KOTA ADM, JAKARTA SELATAN, DKI JAKARTA")</f>
        <v>JL TEBET RAYA, 2A, TEBET BARAT, TEBET, KOTA ADM, JAKARTA SELATAN, DKI JAKARTA</v>
      </c>
      <c r="W385" s="211" t="str">
        <f>IFERROR(__xludf.DUMMYFUNCTION("""COMPUTED_VALUE"""),"IN")</f>
        <v>IN</v>
      </c>
      <c r="X385" s="211"/>
      <c r="Z385" s="211" t="str">
        <f>IFERROR(__xludf.DUMMYFUNCTION("""COMPUTED_VALUE"""),"012642254")</f>
        <v>012642254</v>
      </c>
      <c r="AC385" s="211"/>
      <c r="AD385" s="211"/>
      <c r="AE385" s="211"/>
      <c r="AF385" s="211"/>
      <c r="AG385" s="211"/>
      <c r="AH385" s="211"/>
      <c r="AI385" s="211"/>
      <c r="AJ385" s="211"/>
      <c r="AL385" s="211"/>
      <c r="AM385" s="211"/>
      <c r="AN385" s="211"/>
      <c r="AO385" s="211"/>
      <c r="AP385" s="215"/>
      <c r="AQ385" s="218"/>
      <c r="AR385" s="211"/>
      <c r="AS385" s="211"/>
      <c r="AT385" s="211"/>
      <c r="AU385" s="211"/>
      <c r="AV385" s="211"/>
      <c r="AW385" s="211"/>
      <c r="AX385" s="211"/>
      <c r="AY385" s="211"/>
      <c r="AZ385" s="211"/>
      <c r="BB385" s="211"/>
      <c r="BC385" s="211"/>
      <c r="BD385" s="211"/>
      <c r="BE385" s="211"/>
      <c r="BF385" s="211"/>
      <c r="BG385" s="211"/>
      <c r="BH385" s="211"/>
      <c r="BI385" s="211"/>
    </row>
    <row r="386">
      <c r="A386" s="210" t="str">
        <f>IFERROR(__xludf.DUMMYFUNCTION("""COMPUTED_VALUE"""),"4d620c45")</f>
        <v>4d620c45</v>
      </c>
      <c r="B386" s="210" t="str">
        <f>IFERROR(__xludf.DUMMYFUNCTION("""COMPUTED_VALUE"""),"4d620c45")</f>
        <v>4d620c45</v>
      </c>
      <c r="C386" s="213">
        <f>IFERROR(__xludf.DUMMYFUNCTION("""COMPUTED_VALUE"""),45644.43819444445)</f>
        <v>45644.43819</v>
      </c>
      <c r="D386" s="211" t="str">
        <f>IFERROR(__xludf.DUMMYFUNCTION("""COMPUTED_VALUE"""),"f8335a53")</f>
        <v>f8335a53</v>
      </c>
      <c r="E386" s="211" t="str">
        <f>IFERROR(__xludf.DUMMYFUNCTION("""COMPUTED_VALUE"""),"CV RAGAM JAYA ENGINEERING")</f>
        <v>CV RAGAM JAYA ENGINEERING</v>
      </c>
      <c r="F386" s="211" t="str">
        <f>IFERROR(__xludf.DUMMYFUNCTION("""COMPUTED_VALUE"""),"ef306e54")</f>
        <v>ef306e54</v>
      </c>
      <c r="G386" s="211" t="str">
        <f>IFERROR(__xludf.DUMMYFUNCTION("""COMPUTED_VALUE"""),"Karbondioksida")</f>
        <v>Karbondioksida</v>
      </c>
      <c r="H386" s="214" t="str">
        <f>IFERROR(__xludf.DUMMYFUNCTION("""COMPUTED_VALUE"""),"IN")</f>
        <v>IN</v>
      </c>
      <c r="I386" s="214" t="str">
        <f>IFERROR(__xludf.DUMMYFUNCTION("""COMPUTED_VALUE"""),"EMPTY")</f>
        <v>EMPTY</v>
      </c>
      <c r="J386" s="211">
        <f>IFERROR(__xludf.DUMMYFUNCTION("""COMPUTED_VALUE"""),8.0)</f>
        <v>8</v>
      </c>
      <c r="K386" s="210" t="str">
        <f>IFERROR(__xludf.DUMMYFUNCTION("""COMPUTED_VALUE"""),"6751 6792 6928 6650 6777 6667 6832 6696")</f>
        <v>6751 6792 6928 6650 6777 6667 6832 6696</v>
      </c>
      <c r="L386" s="211"/>
      <c r="M386" s="211"/>
      <c r="N386" s="211"/>
      <c r="O386" s="211"/>
      <c r="Q386" s="210" t="str">
        <f>IFERROR(__xludf.DUMMYFUNCTION("""COMPUTED_VALUE"""),"733cb711")</f>
        <v>733cb711</v>
      </c>
      <c r="R386" s="210" t="str">
        <f>IFERROR(__xludf.DUMMYFUNCTION("""COMPUTED_VALUE"""),"733cb711")</f>
        <v>733cb711</v>
      </c>
      <c r="S386" s="211" t="str">
        <f>IFERROR(__xludf.DUMMYFUNCTION("""COMPUTED_VALUE"""),"01158be1")</f>
        <v>01158be1</v>
      </c>
      <c r="T386" s="211" t="str">
        <f>IFERROR(__xludf.DUMMYFUNCTION("""COMPUTED_VALUE"""),"GYF")</f>
        <v>GYF</v>
      </c>
      <c r="U386" s="215">
        <f>IFERROR(__xludf.DUMMYFUNCTION("""COMPUTED_VALUE"""),45680.50555555556)</f>
        <v>45680.50556</v>
      </c>
      <c r="V386" s="211" t="str">
        <f>IFERROR(__xludf.DUMMYFUNCTION("""COMPUTED_VALUE"""),"Kangkungan, Lengkong, Kec. Mojoanyar, Kabupaten Mojokerto, Jawa Timur")</f>
        <v>Kangkungan, Lengkong, Kec. Mojoanyar, Kabupaten Mojokerto, Jawa Timur</v>
      </c>
      <c r="W386" s="211" t="str">
        <f>IFERROR(__xludf.DUMMYFUNCTION("""COMPUTED_VALUE"""),"IN")</f>
        <v>IN</v>
      </c>
      <c r="X386" s="211"/>
      <c r="Z386" s="211" t="str">
        <f>IFERROR(__xludf.DUMMYFUNCTION("""COMPUTED_VALUE"""),"0126102253")</f>
        <v>0126102253</v>
      </c>
      <c r="AC386" s="211"/>
      <c r="AD386" s="211"/>
      <c r="AE386" s="211"/>
      <c r="AF386" s="211"/>
      <c r="AG386" s="211"/>
      <c r="AH386" s="211"/>
      <c r="AI386" s="211"/>
      <c r="AJ386" s="211"/>
      <c r="AL386" s="211"/>
      <c r="AM386" s="211"/>
      <c r="AN386" s="211"/>
      <c r="AO386" s="211"/>
      <c r="AP386" s="215"/>
      <c r="AQ386" s="218"/>
      <c r="AR386" s="211"/>
      <c r="AS386" s="211"/>
      <c r="AT386" s="211"/>
      <c r="AU386" s="211"/>
      <c r="AV386" s="211"/>
      <c r="AW386" s="211"/>
      <c r="AX386" s="211"/>
      <c r="AY386" s="211"/>
      <c r="AZ386" s="211"/>
      <c r="BB386" s="211"/>
      <c r="BC386" s="211"/>
      <c r="BD386" s="211"/>
      <c r="BE386" s="211"/>
      <c r="BF386" s="211"/>
      <c r="BG386" s="211"/>
      <c r="BH386" s="211"/>
      <c r="BI386" s="211"/>
    </row>
    <row r="387">
      <c r="A387" s="210" t="str">
        <f>IFERROR(__xludf.DUMMYFUNCTION("""COMPUTED_VALUE"""),"4d620c45")</f>
        <v>4d620c45</v>
      </c>
      <c r="B387" s="210" t="str">
        <f>IFERROR(__xludf.DUMMYFUNCTION("""COMPUTED_VALUE"""),"4d620c45")</f>
        <v>4d620c45</v>
      </c>
      <c r="C387" s="213">
        <f>IFERROR(__xludf.DUMMYFUNCTION("""COMPUTED_VALUE"""),45644.438888888886)</f>
        <v>45644.43889</v>
      </c>
      <c r="D387" s="211" t="str">
        <f>IFERROR(__xludf.DUMMYFUNCTION("""COMPUTED_VALUE"""),"f8335a53")</f>
        <v>f8335a53</v>
      </c>
      <c r="E387" s="211" t="str">
        <f>IFERROR(__xludf.DUMMYFUNCTION("""COMPUTED_VALUE"""),"CV RAGAM JAYA ENGINEERING")</f>
        <v>CV RAGAM JAYA ENGINEERING</v>
      </c>
      <c r="F387" s="211" t="str">
        <f>IFERROR(__xludf.DUMMYFUNCTION("""COMPUTED_VALUE"""),"be525f3b")</f>
        <v>be525f3b</v>
      </c>
      <c r="G387" s="211" t="str">
        <f>IFERROR(__xludf.DUMMYFUNCTION("""COMPUTED_VALUE"""),"LPG 12kg")</f>
        <v>LPG 12kg</v>
      </c>
      <c r="H387" s="214" t="str">
        <f>IFERROR(__xludf.DUMMYFUNCTION("""COMPUTED_VALUE"""),"IN")</f>
        <v>IN</v>
      </c>
      <c r="I387" s="214" t="str">
        <f>IFERROR(__xludf.DUMMYFUNCTION("""COMPUTED_VALUE"""),"EMPTY")</f>
        <v>EMPTY</v>
      </c>
      <c r="J387" s="211">
        <f>IFERROR(__xludf.DUMMYFUNCTION("""COMPUTED_VALUE"""),1.0)</f>
        <v>1</v>
      </c>
      <c r="K387" s="211"/>
      <c r="L387" s="211"/>
      <c r="M387" s="211"/>
      <c r="N387" s="211"/>
      <c r="O387" s="211"/>
      <c r="Q387" s="210" t="str">
        <f>IFERROR(__xludf.DUMMYFUNCTION("""COMPUTED_VALUE"""),"3eec7843")</f>
        <v>3eec7843</v>
      </c>
      <c r="R387" s="210" t="str">
        <f>IFERROR(__xludf.DUMMYFUNCTION("""COMPUTED_VALUE"""),"3eec7843")</f>
        <v>3eec7843</v>
      </c>
      <c r="S387" s="211" t="str">
        <f>IFERROR(__xludf.DUMMYFUNCTION("""COMPUTED_VALUE"""),"4bef3bbf")</f>
        <v>4bef3bbf</v>
      </c>
      <c r="T387" s="211" t="str">
        <f>IFERROR(__xludf.DUMMYFUNCTION("""COMPUTED_VALUE"""),"PT Dingsheng Metal Indonesia (Ngoro)")</f>
        <v>PT Dingsheng Metal Indonesia (Ngoro)</v>
      </c>
      <c r="U387" s="215">
        <f>IFERROR(__xludf.DUMMYFUNCTION("""COMPUTED_VALUE"""),45680.73402777778)</f>
        <v>45680.73403</v>
      </c>
      <c r="V387" s="211" t="str">
        <f>IFERROR(__xludf.DUMMYFUNCTION("""COMPUTED_VALUE"""),"Kri Kilan, Watesnegoro, Kec. Ngoro, Kabupaten Mojokerto, Jawa Timur 61385")</f>
        <v>Kri Kilan, Watesnegoro, Kec. Ngoro, Kabupaten Mojokerto, Jawa Timur 61385</v>
      </c>
      <c r="W387" s="211" t="str">
        <f>IFERROR(__xludf.DUMMYFUNCTION("""COMPUTED_VALUE"""),"IN")</f>
        <v>IN</v>
      </c>
      <c r="X387" s="211"/>
      <c r="Z387" s="211" t="str">
        <f>IFERROR(__xludf.DUMMYFUNCTION("""COMPUTED_VALUE"""),"012692248")</f>
        <v>012692248</v>
      </c>
      <c r="AC387" s="211"/>
      <c r="AD387" s="211"/>
      <c r="AE387" s="211"/>
      <c r="AF387" s="211"/>
      <c r="AG387" s="211"/>
      <c r="AH387" s="211"/>
      <c r="AI387" s="211"/>
      <c r="AJ387" s="211"/>
      <c r="AL387" s="211"/>
      <c r="AM387" s="211"/>
      <c r="AN387" s="211"/>
      <c r="AO387" s="211"/>
      <c r="AP387" s="215"/>
      <c r="AQ387" s="218"/>
      <c r="AR387" s="211"/>
      <c r="AS387" s="211"/>
      <c r="AT387" s="211"/>
      <c r="AU387" s="211"/>
      <c r="AV387" s="211"/>
      <c r="AW387" s="211"/>
      <c r="AX387" s="211"/>
      <c r="AY387" s="211"/>
      <c r="AZ387" s="211"/>
      <c r="BB387" s="211"/>
      <c r="BC387" s="211"/>
      <c r="BD387" s="211"/>
      <c r="BE387" s="211"/>
      <c r="BF387" s="211"/>
      <c r="BG387" s="211"/>
      <c r="BH387" s="211"/>
      <c r="BI387" s="211"/>
    </row>
    <row r="388">
      <c r="A388" s="210" t="str">
        <f>IFERROR(__xludf.DUMMYFUNCTION("""COMPUTED_VALUE"""),"817bd58f")</f>
        <v>817bd58f</v>
      </c>
      <c r="B388" s="210" t="str">
        <f>IFERROR(__xludf.DUMMYFUNCTION("""COMPUTED_VALUE"""),"817bd58f")</f>
        <v>817bd58f</v>
      </c>
      <c r="C388" s="213">
        <f>IFERROR(__xludf.DUMMYFUNCTION("""COMPUTED_VALUE"""),45644.620833333334)</f>
        <v>45644.62083</v>
      </c>
      <c r="D388" s="211" t="str">
        <f>IFERROR(__xludf.DUMMYFUNCTION("""COMPUTED_VALUE"""),"785e0e07")</f>
        <v>785e0e07</v>
      </c>
      <c r="E388" s="211" t="str">
        <f>IFERROR(__xludf.DUMMYFUNCTION("""COMPUTED_VALUE"""),"Bpk. Sukirno (Bejo)")</f>
        <v>Bpk. Sukirno (Bejo)</v>
      </c>
      <c r="F388" s="211" t="str">
        <f>IFERROR(__xludf.DUMMYFUNCTION("""COMPUTED_VALUE"""),"8bdbe149")</f>
        <v>8bdbe149</v>
      </c>
      <c r="G388" s="211" t="str">
        <f>IFERROR(__xludf.DUMMYFUNCTION("""COMPUTED_VALUE"""),"Oksigen 6m3")</f>
        <v>Oksigen 6m3</v>
      </c>
      <c r="H388" s="214" t="str">
        <f>IFERROR(__xludf.DUMMYFUNCTION("""COMPUTED_VALUE"""),"IN")</f>
        <v>IN</v>
      </c>
      <c r="I388" s="214" t="str">
        <f>IFERROR(__xludf.DUMMYFUNCTION("""COMPUTED_VALUE"""),"EMPTY")</f>
        <v>EMPTY</v>
      </c>
      <c r="J388" s="211">
        <f>IFERROR(__xludf.DUMMYFUNCTION("""COMPUTED_VALUE"""),16.0)</f>
        <v>16</v>
      </c>
      <c r="K388" s="210" t="str">
        <f>IFERROR(__xludf.DUMMYFUNCTION("""COMPUTED_VALUE"""),"5811 1104 5488 1153 1161 1237 1171 11117 1156 1160 1165 11108 11113 1175 1108 1423")</f>
        <v>5811 1104 5488 1153 1161 1237 1171 11117 1156 1160 1165 11108 11113 1175 1108 1423</v>
      </c>
      <c r="L388" s="211"/>
      <c r="M388" s="211"/>
      <c r="N388" s="211"/>
      <c r="O388" s="211"/>
      <c r="Q388" s="210" t="str">
        <f>IFERROR(__xludf.DUMMYFUNCTION("""COMPUTED_VALUE"""),"01250228")</f>
        <v>01250228</v>
      </c>
      <c r="R388" s="210" t="str">
        <f>IFERROR(__xludf.DUMMYFUNCTION("""COMPUTED_VALUE"""),"01250228")</f>
        <v>01250228</v>
      </c>
      <c r="S388" s="211" t="str">
        <f>IFERROR(__xludf.DUMMYFUNCTION("""COMPUTED_VALUE"""),"ac52e1fa")</f>
        <v>ac52e1fa</v>
      </c>
      <c r="T388" s="211" t="str">
        <f>IFERROR(__xludf.DUMMYFUNCTION("""COMPUTED_VALUE"""),"Abah Mad")</f>
        <v>Abah Mad</v>
      </c>
      <c r="U388" s="215">
        <f>IFERROR(__xludf.DUMMYFUNCTION("""COMPUTED_VALUE"""),45681.36944444444)</f>
        <v>45681.36944</v>
      </c>
      <c r="V388" s="211" t="str">
        <f>IFERROR(__xludf.DUMMYFUNCTION("""COMPUTED_VALUE"""),"Jl. Raya Surabaya  Madiun, Sidotemo, Sidomulyo, Kec. Krian, Kabupaten Sidoarjo, Jawa Timur 61262")</f>
        <v>Jl. Raya Surabaya  Madiun, Sidotemo, Sidomulyo, Kec. Krian, Kabupaten Sidoarjo, Jawa Timur 61262</v>
      </c>
      <c r="W388" s="211" t="str">
        <f>IFERROR(__xludf.DUMMYFUNCTION("""COMPUTED_VALUE"""),"OUT")</f>
        <v>OUT</v>
      </c>
      <c r="X388" s="211"/>
      <c r="Z388" s="211" t="str">
        <f>IFERROR(__xludf.DUMMYFUNCTION("""COMPUTED_VALUE"""),"012642247")</f>
        <v>012642247</v>
      </c>
      <c r="AC388" s="211"/>
      <c r="AD388" s="211"/>
      <c r="AE388" s="211"/>
      <c r="AF388" s="211"/>
      <c r="AG388" s="211"/>
      <c r="AH388" s="211"/>
      <c r="AI388" s="211"/>
      <c r="AJ388" s="211"/>
      <c r="AL388" s="211"/>
      <c r="AM388" s="211"/>
      <c r="AN388" s="211"/>
      <c r="AO388" s="211"/>
      <c r="AP388" s="215"/>
      <c r="AQ388" s="218"/>
      <c r="AR388" s="211"/>
      <c r="AS388" s="211"/>
      <c r="AT388" s="211"/>
      <c r="AU388" s="211"/>
      <c r="AV388" s="211"/>
      <c r="AW388" s="211"/>
      <c r="AX388" s="211"/>
      <c r="AY388" s="211"/>
      <c r="AZ388" s="211"/>
      <c r="BB388" s="211"/>
      <c r="BC388" s="211"/>
      <c r="BD388" s="211"/>
      <c r="BE388" s="211"/>
      <c r="BF388" s="211"/>
      <c r="BG388" s="211"/>
      <c r="BH388" s="211"/>
      <c r="BI388" s="211"/>
    </row>
    <row r="389">
      <c r="A389" s="210" t="str">
        <f>IFERROR(__xludf.DUMMYFUNCTION("""COMPUTED_VALUE"""),"6af2d5e9")</f>
        <v>6af2d5e9</v>
      </c>
      <c r="B389" s="210" t="str">
        <f>IFERROR(__xludf.DUMMYFUNCTION("""COMPUTED_VALUE"""),"6af2d5e9")</f>
        <v>6af2d5e9</v>
      </c>
      <c r="C389" s="213">
        <f>IFERROR(__xludf.DUMMYFUNCTION("""COMPUTED_VALUE"""),45644.62222222222)</f>
        <v>45644.62222</v>
      </c>
      <c r="D389" s="211" t="str">
        <f>IFERROR(__xludf.DUMMYFUNCTION("""COMPUTED_VALUE"""),"37175874")</f>
        <v>37175874</v>
      </c>
      <c r="E389" s="211" t="str">
        <f>IFERROR(__xludf.DUMMYFUNCTION("""COMPUTED_VALUE"""),"PT TERAPAN NILAIOSILASI INDONESIA (TENO)")</f>
        <v>PT TERAPAN NILAIOSILASI INDONESIA (TENO)</v>
      </c>
      <c r="F389" s="211" t="str">
        <f>IFERROR(__xludf.DUMMYFUNCTION("""COMPUTED_VALUE"""),"ef306e54")</f>
        <v>ef306e54</v>
      </c>
      <c r="G389" s="211" t="str">
        <f>IFERROR(__xludf.DUMMYFUNCTION("""COMPUTED_VALUE"""),"Karbondioksida")</f>
        <v>Karbondioksida</v>
      </c>
      <c r="H389" s="214" t="str">
        <f>IFERROR(__xludf.DUMMYFUNCTION("""COMPUTED_VALUE"""),"IN")</f>
        <v>IN</v>
      </c>
      <c r="I389" s="214" t="str">
        <f>IFERROR(__xludf.DUMMYFUNCTION("""COMPUTED_VALUE"""),"EMPTY")</f>
        <v>EMPTY</v>
      </c>
      <c r="J389" s="211">
        <f>IFERROR(__xludf.DUMMYFUNCTION("""COMPUTED_VALUE"""),1.0)</f>
        <v>1</v>
      </c>
      <c r="K389" s="210" t="str">
        <f>IFERROR(__xludf.DUMMYFUNCTION("""COMPUTED_VALUE"""),"6765")</f>
        <v>6765</v>
      </c>
      <c r="L389" s="211"/>
      <c r="M389" s="211"/>
      <c r="N389" s="211"/>
      <c r="O389" s="211"/>
      <c r="Q389" s="210" t="str">
        <f>IFERROR(__xludf.DUMMYFUNCTION("""COMPUTED_VALUE"""),"01250229")</f>
        <v>01250229</v>
      </c>
      <c r="R389" s="210" t="str">
        <f>IFERROR(__xludf.DUMMYFUNCTION("""COMPUTED_VALUE"""),"01250229")</f>
        <v>01250229</v>
      </c>
      <c r="S389" s="211" t="str">
        <f>IFERROR(__xludf.DUMMYFUNCTION("""COMPUTED_VALUE"""),"785e0e07")</f>
        <v>785e0e07</v>
      </c>
      <c r="T389" s="211" t="str">
        <f>IFERROR(__xludf.DUMMYFUNCTION("""COMPUTED_VALUE"""),"Bpk. Sukirno (Bejo)")</f>
        <v>Bpk. Sukirno (Bejo)</v>
      </c>
      <c r="U389" s="215">
        <f>IFERROR(__xludf.DUMMYFUNCTION("""COMPUTED_VALUE"""),45681.47986111111)</f>
        <v>45681.47986</v>
      </c>
      <c r="V389" s="211" t="str">
        <f>IFERROR(__xludf.DUMMYFUNCTION("""COMPUTED_VALUE"""),"Krajan I, Wringinanom, Kec. Wringinanom, Kabupaten Gresik, Jawa Timur 61176")</f>
        <v>Krajan I, Wringinanom, Kec. Wringinanom, Kabupaten Gresik, Jawa Timur 61176</v>
      </c>
      <c r="W389" s="211" t="str">
        <f>IFERROR(__xludf.DUMMYFUNCTION("""COMPUTED_VALUE"""),"OUT")</f>
        <v>OUT</v>
      </c>
      <c r="X389" s="211"/>
      <c r="Z389" s="211" t="str">
        <f>IFERROR(__xludf.DUMMYFUNCTION("""COMPUTED_VALUE"""),"0126332246")</f>
        <v>0126332246</v>
      </c>
      <c r="AC389" s="211"/>
      <c r="AD389" s="211"/>
      <c r="AE389" s="211"/>
      <c r="AF389" s="211"/>
      <c r="AG389" s="211"/>
      <c r="AH389" s="211"/>
      <c r="AI389" s="211"/>
      <c r="AJ389" s="211"/>
      <c r="AL389" s="211"/>
      <c r="AM389" s="211"/>
      <c r="AN389" s="211"/>
      <c r="AO389" s="211"/>
      <c r="AP389" s="215"/>
      <c r="AQ389" s="218"/>
      <c r="AR389" s="211"/>
      <c r="AS389" s="211"/>
      <c r="AT389" s="211"/>
      <c r="AU389" s="211"/>
      <c r="AV389" s="211"/>
      <c r="AW389" s="211"/>
      <c r="AX389" s="211"/>
      <c r="AY389" s="211"/>
      <c r="AZ389" s="211"/>
      <c r="BB389" s="211"/>
      <c r="BC389" s="211"/>
      <c r="BD389" s="211"/>
      <c r="BE389" s="211"/>
      <c r="BF389" s="211"/>
      <c r="BG389" s="211"/>
      <c r="BH389" s="211"/>
      <c r="BI389" s="211"/>
    </row>
    <row r="390">
      <c r="A390" s="210" t="str">
        <f>IFERROR(__xludf.DUMMYFUNCTION("""COMPUTED_VALUE"""),"6af2d5e9")</f>
        <v>6af2d5e9</v>
      </c>
      <c r="B390" s="210" t="str">
        <f>IFERROR(__xludf.DUMMYFUNCTION("""COMPUTED_VALUE"""),"6af2d5e9")</f>
        <v>6af2d5e9</v>
      </c>
      <c r="C390" s="213">
        <f>IFERROR(__xludf.DUMMYFUNCTION("""COMPUTED_VALUE"""),45644.62291666667)</f>
        <v>45644.62292</v>
      </c>
      <c r="D390" s="211" t="str">
        <f>IFERROR(__xludf.DUMMYFUNCTION("""COMPUTED_VALUE"""),"37175874")</f>
        <v>37175874</v>
      </c>
      <c r="E390" s="211" t="str">
        <f>IFERROR(__xludf.DUMMYFUNCTION("""COMPUTED_VALUE"""),"PT TERAPAN NILAIOSILASI INDONESIA (TENO)")</f>
        <v>PT TERAPAN NILAIOSILASI INDONESIA (TENO)</v>
      </c>
      <c r="F390" s="211" t="str">
        <f>IFERROR(__xludf.DUMMYFUNCTION("""COMPUTED_VALUE"""),"8bdbe149")</f>
        <v>8bdbe149</v>
      </c>
      <c r="G390" s="211" t="str">
        <f>IFERROR(__xludf.DUMMYFUNCTION("""COMPUTED_VALUE"""),"Oksigen 6m3")</f>
        <v>Oksigen 6m3</v>
      </c>
      <c r="H390" s="214" t="str">
        <f>IFERROR(__xludf.DUMMYFUNCTION("""COMPUTED_VALUE"""),"IN")</f>
        <v>IN</v>
      </c>
      <c r="I390" s="214" t="str">
        <f>IFERROR(__xludf.DUMMYFUNCTION("""COMPUTED_VALUE"""),"EMPTY")</f>
        <v>EMPTY</v>
      </c>
      <c r="J390" s="211">
        <f>IFERROR(__xludf.DUMMYFUNCTION("""COMPUTED_VALUE"""),6.0)</f>
        <v>6</v>
      </c>
      <c r="K390" s="210" t="str">
        <f>IFERROR(__xludf.DUMMYFUNCTION("""COMPUTED_VALUE"""),"1657 11141 11152 11162 11107 11135")</f>
        <v>1657 11141 11152 11162 11107 11135</v>
      </c>
      <c r="L390" s="211"/>
      <c r="M390" s="211"/>
      <c r="N390" s="211"/>
      <c r="O390" s="211"/>
      <c r="Q390" s="210" t="str">
        <f>IFERROR(__xludf.DUMMYFUNCTION("""COMPUTED_VALUE"""),"968acb5d")</f>
        <v>968acb5d</v>
      </c>
      <c r="R390" s="210" t="str">
        <f>IFERROR(__xludf.DUMMYFUNCTION("""COMPUTED_VALUE"""),"968acb5d")</f>
        <v>968acb5d</v>
      </c>
      <c r="S390" s="211" t="str">
        <f>IFERROR(__xludf.DUMMYFUNCTION("""COMPUTED_VALUE"""),"8f5ebaea")</f>
        <v>8f5ebaea</v>
      </c>
      <c r="T390" s="211" t="str">
        <f>IFERROR(__xludf.DUMMYFUNCTION("""COMPUTED_VALUE"""),"PT Hua Zong Mesindo")</f>
        <v>PT Hua Zong Mesindo</v>
      </c>
      <c r="U390" s="215">
        <f>IFERROR(__xludf.DUMMYFUNCTION("""COMPUTED_VALUE"""),45681.60625)</f>
        <v>45681.60625</v>
      </c>
      <c r="V390" s="211" t="str">
        <f>IFERROR(__xludf.DUMMYFUNCTION("""COMPUTED_VALUE"""),"Jl. Bypass Krian, Sidotemo, Sidomulyo, Kec. Krian, Kabupaten Sidoarjo, Jawa Timur 61262")</f>
        <v>Jl. Bypass Krian, Sidotemo, Sidomulyo, Kec. Krian, Kabupaten Sidoarjo, Jawa Timur 61262</v>
      </c>
      <c r="W390" s="211" t="str">
        <f>IFERROR(__xludf.DUMMYFUNCTION("""COMPUTED_VALUE"""),"IN")</f>
        <v>IN</v>
      </c>
      <c r="X390" s="211"/>
      <c r="Z390" s="211" t="str">
        <f>IFERROR(__xludf.DUMMYFUNCTION("""COMPUTED_VALUE"""),"012662243")</f>
        <v>012662243</v>
      </c>
      <c r="AC390" s="211"/>
      <c r="AD390" s="211"/>
      <c r="AE390" s="211"/>
      <c r="AF390" s="211"/>
      <c r="AG390" s="211"/>
      <c r="AH390" s="211"/>
      <c r="AI390" s="211"/>
      <c r="AJ390" s="211"/>
      <c r="AL390" s="211"/>
      <c r="AM390" s="211"/>
      <c r="AN390" s="211"/>
      <c r="AO390" s="211"/>
      <c r="AP390" s="215"/>
      <c r="AQ390" s="218"/>
      <c r="AR390" s="211"/>
      <c r="AS390" s="211"/>
      <c r="AT390" s="211"/>
      <c r="AU390" s="211"/>
      <c r="AV390" s="211"/>
      <c r="AW390" s="211"/>
      <c r="AX390" s="211"/>
      <c r="AY390" s="211"/>
      <c r="AZ390" s="211"/>
      <c r="BB390" s="211"/>
      <c r="BC390" s="211"/>
      <c r="BD390" s="211"/>
      <c r="BE390" s="211"/>
      <c r="BF390" s="211"/>
      <c r="BG390" s="211"/>
      <c r="BH390" s="211"/>
      <c r="BI390" s="211"/>
    </row>
    <row r="391">
      <c r="A391" s="210" t="str">
        <f>IFERROR(__xludf.DUMMYFUNCTION("""COMPUTED_VALUE"""),"6af2d5e9")</f>
        <v>6af2d5e9</v>
      </c>
      <c r="B391" s="210" t="str">
        <f>IFERROR(__xludf.DUMMYFUNCTION("""COMPUTED_VALUE"""),"6af2d5e9")</f>
        <v>6af2d5e9</v>
      </c>
      <c r="C391" s="213">
        <f>IFERROR(__xludf.DUMMYFUNCTION("""COMPUTED_VALUE"""),45644.62291666667)</f>
        <v>45644.62292</v>
      </c>
      <c r="D391" s="211" t="str">
        <f>IFERROR(__xludf.DUMMYFUNCTION("""COMPUTED_VALUE"""),"37175874")</f>
        <v>37175874</v>
      </c>
      <c r="E391" s="211" t="str">
        <f>IFERROR(__xludf.DUMMYFUNCTION("""COMPUTED_VALUE"""),"PT TERAPAN NILAIOSILASI INDONESIA (TENO)")</f>
        <v>PT TERAPAN NILAIOSILASI INDONESIA (TENO)</v>
      </c>
      <c r="F391" s="211" t="str">
        <f>IFERROR(__xludf.DUMMYFUNCTION("""COMPUTED_VALUE"""),"3b9d6a30")</f>
        <v>3b9d6a30</v>
      </c>
      <c r="G391" s="211" t="str">
        <f>IFERROR(__xludf.DUMMYFUNCTION("""COMPUTED_VALUE"""),"Acetyline")</f>
        <v>Acetyline</v>
      </c>
      <c r="H391" s="214" t="str">
        <f>IFERROR(__xludf.DUMMYFUNCTION("""COMPUTED_VALUE"""),"IN")</f>
        <v>IN</v>
      </c>
      <c r="I391" s="214" t="str">
        <f>IFERROR(__xludf.DUMMYFUNCTION("""COMPUTED_VALUE"""),"EMPTY")</f>
        <v>EMPTY</v>
      </c>
      <c r="J391" s="211">
        <f>IFERROR(__xludf.DUMMYFUNCTION("""COMPUTED_VALUE"""),1.0)</f>
        <v>1</v>
      </c>
      <c r="K391" s="210" t="str">
        <f>IFERROR(__xludf.DUMMYFUNCTION("""COMPUTED_VALUE"""),"7812")</f>
        <v>7812</v>
      </c>
      <c r="L391" s="211"/>
      <c r="M391" s="211"/>
      <c r="N391" s="211"/>
      <c r="O391" s="211"/>
      <c r="Q391" s="210" t="str">
        <f>IFERROR(__xludf.DUMMYFUNCTION("""COMPUTED_VALUE"""),"d40f2e1d")</f>
        <v>d40f2e1d</v>
      </c>
      <c r="R391" s="210" t="str">
        <f>IFERROR(__xludf.DUMMYFUNCTION("""COMPUTED_VALUE"""),"d40f2e1d")</f>
        <v>d40f2e1d</v>
      </c>
      <c r="S391" s="211" t="str">
        <f>IFERROR(__xludf.DUMMYFUNCTION("""COMPUTED_VALUE"""),"ac52e1fa")</f>
        <v>ac52e1fa</v>
      </c>
      <c r="T391" s="211" t="str">
        <f>IFERROR(__xludf.DUMMYFUNCTION("""COMPUTED_VALUE"""),"Abah Mad")</f>
        <v>Abah Mad</v>
      </c>
      <c r="U391" s="215">
        <f>IFERROR(__xludf.DUMMYFUNCTION("""COMPUTED_VALUE"""),45681.60625)</f>
        <v>45681.60625</v>
      </c>
      <c r="V391" s="211" t="str">
        <f>IFERROR(__xludf.DUMMYFUNCTION("""COMPUTED_VALUE"""),"Jl. Raya Surabaya  Madiun, Sidotemo, Sidomulyo, Kec. Krian, Kabupaten Sidoarjo, Jawa Timur 61262")</f>
        <v>Jl. Raya Surabaya  Madiun, Sidotemo, Sidomulyo, Kec. Krian, Kabupaten Sidoarjo, Jawa Timur 61262</v>
      </c>
      <c r="W391" s="211" t="str">
        <f>IFERROR(__xludf.DUMMYFUNCTION("""COMPUTED_VALUE"""),"IN")</f>
        <v>IN</v>
      </c>
      <c r="X391" s="211"/>
      <c r="Z391" s="211" t="str">
        <f>IFERROR(__xludf.DUMMYFUNCTION("""COMPUTED_VALUE"""),"0126142242")</f>
        <v>0126142242</v>
      </c>
      <c r="AC391" s="211"/>
      <c r="AD391" s="211"/>
      <c r="AE391" s="211"/>
      <c r="AF391" s="211"/>
      <c r="AG391" s="211"/>
      <c r="AH391" s="211"/>
      <c r="AI391" s="211"/>
      <c r="AJ391" s="211"/>
      <c r="AL391" s="211"/>
      <c r="AM391" s="211"/>
      <c r="AN391" s="211"/>
      <c r="AO391" s="211"/>
      <c r="AP391" s="215"/>
      <c r="AQ391" s="218"/>
      <c r="AR391" s="211"/>
      <c r="AS391" s="211"/>
      <c r="AT391" s="211"/>
      <c r="AU391" s="211"/>
      <c r="AV391" s="211"/>
      <c r="AW391" s="211"/>
      <c r="AX391" s="211"/>
      <c r="AY391" s="211"/>
      <c r="AZ391" s="211"/>
      <c r="BB391" s="211"/>
      <c r="BC391" s="211"/>
      <c r="BD391" s="211"/>
      <c r="BE391" s="211"/>
      <c r="BF391" s="211"/>
      <c r="BG391" s="211"/>
      <c r="BH391" s="211"/>
      <c r="BI391" s="211"/>
    </row>
    <row r="392">
      <c r="A392" s="210" t="str">
        <f>IFERROR(__xludf.DUMMYFUNCTION("""COMPUTED_VALUE"""),"b482711f")</f>
        <v>b482711f</v>
      </c>
      <c r="B392" s="210" t="str">
        <f>IFERROR(__xludf.DUMMYFUNCTION("""COMPUTED_VALUE"""),"b482711f")</f>
        <v>b482711f</v>
      </c>
      <c r="C392" s="213">
        <f>IFERROR(__xludf.DUMMYFUNCTION("""COMPUTED_VALUE"""),45644.623611111114)</f>
        <v>45644.62361</v>
      </c>
      <c r="D392" s="211" t="str">
        <f>IFERROR(__xludf.DUMMYFUNCTION("""COMPUTED_VALUE"""),"8f5ebaea")</f>
        <v>8f5ebaea</v>
      </c>
      <c r="E392" s="211" t="str">
        <f>IFERROR(__xludf.DUMMYFUNCTION("""COMPUTED_VALUE"""),"PT Hua Zong Mesindo")</f>
        <v>PT Hua Zong Mesindo</v>
      </c>
      <c r="F392" s="211" t="str">
        <f>IFERROR(__xludf.DUMMYFUNCTION("""COMPUTED_VALUE"""),"8bdbe149")</f>
        <v>8bdbe149</v>
      </c>
      <c r="G392" s="211" t="str">
        <f>IFERROR(__xludf.DUMMYFUNCTION("""COMPUTED_VALUE"""),"Oksigen 6m3")</f>
        <v>Oksigen 6m3</v>
      </c>
      <c r="H392" s="214" t="str">
        <f>IFERROR(__xludf.DUMMYFUNCTION("""COMPUTED_VALUE"""),"IN")</f>
        <v>IN</v>
      </c>
      <c r="I392" s="214" t="str">
        <f>IFERROR(__xludf.DUMMYFUNCTION("""COMPUTED_VALUE"""),"EMPTY")</f>
        <v>EMPTY</v>
      </c>
      <c r="J392" s="211">
        <f>IFERROR(__xludf.DUMMYFUNCTION("""COMPUTED_VALUE"""),2.0)</f>
        <v>2</v>
      </c>
      <c r="K392" s="210" t="str">
        <f>IFERROR(__xludf.DUMMYFUNCTION("""COMPUTED_VALUE"""),"1120 11121")</f>
        <v>1120 11121</v>
      </c>
      <c r="L392" s="211"/>
      <c r="M392" s="211"/>
      <c r="N392" s="211"/>
      <c r="O392" s="211"/>
      <c r="Q392" s="210" t="str">
        <f>IFERROR(__xludf.DUMMYFUNCTION("""COMPUTED_VALUE"""),"01250230")</f>
        <v>01250230</v>
      </c>
      <c r="R392" s="210" t="str">
        <f>IFERROR(__xludf.DUMMYFUNCTION("""COMPUTED_VALUE"""),"01250230")</f>
        <v>01250230</v>
      </c>
      <c r="S392" s="211" t="str">
        <f>IFERROR(__xludf.DUMMYFUNCTION("""COMPUTED_VALUE"""),"3fec37df")</f>
        <v>3fec37df</v>
      </c>
      <c r="T392" s="211" t="str">
        <f>IFERROR(__xludf.DUMMYFUNCTION("""COMPUTED_VALUE"""),"PT Jatim Abadi Perkasa Steel")</f>
        <v>PT Jatim Abadi Perkasa Steel</v>
      </c>
      <c r="U392" s="215">
        <f>IFERROR(__xludf.DUMMYFUNCTION("""COMPUTED_VALUE"""),45682.35208333333)</f>
        <v>45682.35208</v>
      </c>
      <c r="V392" s="211" t="str">
        <f>IFERROR(__xludf.DUMMYFUNCTION("""COMPUTED_VALUE"""),"Dsn. Bulak Sempuh, Jatirejo, Kab. Mojokerto, Jawa Timur")</f>
        <v>Dsn. Bulak Sempuh, Jatirejo, Kab. Mojokerto, Jawa Timur</v>
      </c>
      <c r="W392" s="211" t="str">
        <f>IFERROR(__xludf.DUMMYFUNCTION("""COMPUTED_VALUE"""),"OUT")</f>
        <v>OUT</v>
      </c>
      <c r="X392" s="211"/>
      <c r="Z392" s="211" t="str">
        <f>IFERROR(__xludf.DUMMYFUNCTION("""COMPUTED_VALUE"""),"012612241")</f>
        <v>012612241</v>
      </c>
      <c r="AC392" s="211"/>
      <c r="AD392" s="211"/>
      <c r="AE392" s="211"/>
      <c r="AF392" s="211"/>
      <c r="AG392" s="211"/>
      <c r="AH392" s="211"/>
      <c r="AI392" s="211"/>
      <c r="AJ392" s="211"/>
      <c r="AL392" s="211"/>
      <c r="AM392" s="211"/>
      <c r="AN392" s="211"/>
      <c r="AO392" s="211"/>
      <c r="AP392" s="215"/>
      <c r="AQ392" s="218"/>
      <c r="AR392" s="211"/>
      <c r="AS392" s="211"/>
      <c r="AT392" s="211"/>
      <c r="AU392" s="211"/>
      <c r="AV392" s="211"/>
      <c r="AW392" s="211"/>
      <c r="AX392" s="211"/>
      <c r="AY392" s="211"/>
      <c r="AZ392" s="211"/>
      <c r="BB392" s="211"/>
      <c r="BC392" s="211"/>
      <c r="BD392" s="211"/>
      <c r="BE392" s="211"/>
      <c r="BF392" s="211"/>
      <c r="BG392" s="211"/>
      <c r="BH392" s="211"/>
      <c r="BI392" s="211"/>
    </row>
    <row r="393">
      <c r="A393" s="210" t="str">
        <f>IFERROR(__xludf.DUMMYFUNCTION("""COMPUTED_VALUE"""),"b482711f")</f>
        <v>b482711f</v>
      </c>
      <c r="B393" s="210" t="str">
        <f>IFERROR(__xludf.DUMMYFUNCTION("""COMPUTED_VALUE"""),"b482711f")</f>
        <v>b482711f</v>
      </c>
      <c r="C393" s="213">
        <f>IFERROR(__xludf.DUMMYFUNCTION("""COMPUTED_VALUE"""),45644.62430555555)</f>
        <v>45644.62431</v>
      </c>
      <c r="D393" s="211" t="str">
        <f>IFERROR(__xludf.DUMMYFUNCTION("""COMPUTED_VALUE"""),"8f5ebaea")</f>
        <v>8f5ebaea</v>
      </c>
      <c r="E393" s="211" t="str">
        <f>IFERROR(__xludf.DUMMYFUNCTION("""COMPUTED_VALUE"""),"PT Hua Zong Mesindo")</f>
        <v>PT Hua Zong Mesindo</v>
      </c>
      <c r="F393" s="211" t="str">
        <f>IFERROR(__xludf.DUMMYFUNCTION("""COMPUTED_VALUE"""),"66af7c72")</f>
        <v>66af7c72</v>
      </c>
      <c r="G393" s="211" t="str">
        <f>IFERROR(__xludf.DUMMYFUNCTION("""COMPUTED_VALUE"""),"Argon 6m3")</f>
        <v>Argon 6m3</v>
      </c>
      <c r="H393" s="214" t="str">
        <f>IFERROR(__xludf.DUMMYFUNCTION("""COMPUTED_VALUE"""),"IN")</f>
        <v>IN</v>
      </c>
      <c r="I393" s="214" t="str">
        <f>IFERROR(__xludf.DUMMYFUNCTION("""COMPUTED_VALUE"""),"EMPTY")</f>
        <v>EMPTY</v>
      </c>
      <c r="J393" s="211">
        <f>IFERROR(__xludf.DUMMYFUNCTION("""COMPUTED_VALUE"""),3.0)</f>
        <v>3</v>
      </c>
      <c r="K393" s="210" t="str">
        <f>IFERROR(__xludf.DUMMYFUNCTION("""COMPUTED_VALUE"""),"9050 8113 12007")</f>
        <v>9050 8113 12007</v>
      </c>
      <c r="L393" s="211"/>
      <c r="M393" s="211"/>
      <c r="N393" s="211"/>
      <c r="O393" s="211"/>
      <c r="Q393" s="210" t="str">
        <f>IFERROR(__xludf.DUMMYFUNCTION("""COMPUTED_VALUE"""),"00e9a395")</f>
        <v>00e9a395</v>
      </c>
      <c r="R393" s="210" t="str">
        <f>IFERROR(__xludf.DUMMYFUNCTION("""COMPUTED_VALUE"""),"00e9a395")</f>
        <v>00e9a395</v>
      </c>
      <c r="S393" s="211" t="str">
        <f>IFERROR(__xludf.DUMMYFUNCTION("""COMPUTED_VALUE"""),"785e0e07")</f>
        <v>785e0e07</v>
      </c>
      <c r="T393" s="211" t="str">
        <f>IFERROR(__xludf.DUMMYFUNCTION("""COMPUTED_VALUE"""),"Bpk. Sukirno (Bejo)")</f>
        <v>Bpk. Sukirno (Bejo)</v>
      </c>
      <c r="U393" s="215">
        <f>IFERROR(__xludf.DUMMYFUNCTION("""COMPUTED_VALUE"""),45681.67222222222)</f>
        <v>45681.67222</v>
      </c>
      <c r="V393" s="211" t="str">
        <f>IFERROR(__xludf.DUMMYFUNCTION("""COMPUTED_VALUE"""),"Krajan I, Wringinanom, Kec. Wringinanom, Kabupaten Gresik, Jawa Timur 61176")</f>
        <v>Krajan I, Wringinanom, Kec. Wringinanom, Kabupaten Gresik, Jawa Timur 61176</v>
      </c>
      <c r="W393" s="211" t="str">
        <f>IFERROR(__xludf.DUMMYFUNCTION("""COMPUTED_VALUE"""),"IN")</f>
        <v>IN</v>
      </c>
      <c r="X393" s="211"/>
      <c r="Z393" s="211" t="str">
        <f>IFERROR(__xludf.DUMMYFUNCTION("""COMPUTED_VALUE"""),"0126122240")</f>
        <v>0126122240</v>
      </c>
      <c r="AC393" s="211"/>
      <c r="AD393" s="211"/>
      <c r="AE393" s="211"/>
      <c r="AF393" s="211"/>
      <c r="AG393" s="211"/>
      <c r="AH393" s="211"/>
      <c r="AI393" s="211"/>
      <c r="AJ393" s="211"/>
      <c r="AL393" s="211"/>
      <c r="AM393" s="211"/>
      <c r="AN393" s="211"/>
      <c r="AO393" s="211"/>
      <c r="AP393" s="215"/>
      <c r="AQ393" s="218"/>
      <c r="AR393" s="211"/>
      <c r="AS393" s="211"/>
      <c r="AT393" s="211"/>
      <c r="AU393" s="211"/>
      <c r="AV393" s="211"/>
      <c r="AW393" s="211"/>
      <c r="AX393" s="211"/>
      <c r="AY393" s="211"/>
      <c r="AZ393" s="211"/>
      <c r="BB393" s="211"/>
      <c r="BC393" s="211"/>
      <c r="BD393" s="211"/>
      <c r="BE393" s="211"/>
      <c r="BF393" s="211"/>
      <c r="BG393" s="211"/>
      <c r="BH393" s="211"/>
      <c r="BI393" s="211"/>
    </row>
    <row r="394">
      <c r="A394" s="210" t="str">
        <f>IFERROR(__xludf.DUMMYFUNCTION("""COMPUTED_VALUE"""),"2f10572d")</f>
        <v>2f10572d</v>
      </c>
      <c r="B394" s="210" t="str">
        <f>IFERROR(__xludf.DUMMYFUNCTION("""COMPUTED_VALUE"""),"2f10572d")</f>
        <v>2f10572d</v>
      </c>
      <c r="C394" s="213">
        <f>IFERROR(__xludf.DUMMYFUNCTION("""COMPUTED_VALUE"""),45644.62430555555)</f>
        <v>45644.62431</v>
      </c>
      <c r="D394" s="211" t="str">
        <f>IFERROR(__xludf.DUMMYFUNCTION("""COMPUTED_VALUE"""),"4ec68cf6")</f>
        <v>4ec68cf6</v>
      </c>
      <c r="E394" s="211" t="str">
        <f>IFERROR(__xludf.DUMMYFUNCTION("""COMPUTED_VALUE"""),"CV Sido Mukti Karya")</f>
        <v>CV Sido Mukti Karya</v>
      </c>
      <c r="F394" s="211" t="str">
        <f>IFERROR(__xludf.DUMMYFUNCTION("""COMPUTED_VALUE"""),"8bdbe149")</f>
        <v>8bdbe149</v>
      </c>
      <c r="G394" s="211" t="str">
        <f>IFERROR(__xludf.DUMMYFUNCTION("""COMPUTED_VALUE"""),"Oksigen 6m3")</f>
        <v>Oksigen 6m3</v>
      </c>
      <c r="H394" s="214" t="str">
        <f>IFERROR(__xludf.DUMMYFUNCTION("""COMPUTED_VALUE"""),"IN")</f>
        <v>IN</v>
      </c>
      <c r="I394" s="214" t="str">
        <f>IFERROR(__xludf.DUMMYFUNCTION("""COMPUTED_VALUE"""),"EMPTY")</f>
        <v>EMPTY</v>
      </c>
      <c r="J394" s="211">
        <f>IFERROR(__xludf.DUMMYFUNCTION("""COMPUTED_VALUE"""),3.0)</f>
        <v>3</v>
      </c>
      <c r="K394" s="210" t="str">
        <f>IFERROR(__xludf.DUMMYFUNCTION("""COMPUTED_VALUE"""),"11184 5546 1132")</f>
        <v>11184 5546 1132</v>
      </c>
      <c r="L394" s="211"/>
      <c r="M394" s="211"/>
      <c r="N394" s="211"/>
      <c r="O394" s="211"/>
      <c r="Q394" s="210" t="str">
        <f>IFERROR(__xludf.DUMMYFUNCTION("""COMPUTED_VALUE"""),"01250231")</f>
        <v>01250231</v>
      </c>
      <c r="R394" s="210" t="str">
        <f>IFERROR(__xludf.DUMMYFUNCTION("""COMPUTED_VALUE"""),"01250231")</f>
        <v>01250231</v>
      </c>
      <c r="S394" s="211" t="str">
        <f>IFERROR(__xludf.DUMMYFUNCTION("""COMPUTED_VALUE"""),"ed2cc96a")</f>
        <v>ed2cc96a</v>
      </c>
      <c r="T394" s="211" t="str">
        <f>IFERROR(__xludf.DUMMYFUNCTION("""COMPUTED_VALUE"""),"Bengkel Dian Jaya")</f>
        <v>Bengkel Dian Jaya</v>
      </c>
      <c r="U394" s="215">
        <f>IFERROR(__xludf.DUMMYFUNCTION("""COMPUTED_VALUE"""),45682.3625)</f>
        <v>45682.3625</v>
      </c>
      <c r="V394" s="211" t="str">
        <f>IFERROR(__xludf.DUMMYFUNCTION("""COMPUTED_VALUE"""),"Gg. 2, Kejagan, Kec. Trowulan, Kabupaten Mojokerto, Jawa Timur 61362")</f>
        <v>Gg. 2, Kejagan, Kec. Trowulan, Kabupaten Mojokerto, Jawa Timur 61362</v>
      </c>
      <c r="W394" s="211" t="str">
        <f>IFERROR(__xludf.DUMMYFUNCTION("""COMPUTED_VALUE"""),"OUT")</f>
        <v>OUT</v>
      </c>
      <c r="X394" s="211"/>
      <c r="Z394" s="211" t="str">
        <f>IFERROR(__xludf.DUMMYFUNCTION("""COMPUTED_VALUE"""),"0126252236")</f>
        <v>0126252236</v>
      </c>
      <c r="AC394" s="211"/>
      <c r="AD394" s="211"/>
      <c r="AE394" s="211"/>
      <c r="AF394" s="211"/>
      <c r="AG394" s="211"/>
      <c r="AH394" s="211"/>
      <c r="AI394" s="211"/>
      <c r="AJ394" s="211"/>
      <c r="AL394" s="211"/>
      <c r="AM394" s="211"/>
      <c r="AN394" s="211"/>
      <c r="AO394" s="211"/>
      <c r="AP394" s="215"/>
      <c r="AQ394" s="218"/>
      <c r="AR394" s="211"/>
      <c r="AS394" s="211"/>
      <c r="AT394" s="211"/>
      <c r="AU394" s="211"/>
      <c r="AV394" s="211"/>
      <c r="AW394" s="211"/>
      <c r="AX394" s="211"/>
      <c r="AY394" s="211"/>
      <c r="AZ394" s="211"/>
      <c r="BB394" s="211"/>
      <c r="BC394" s="211"/>
      <c r="BD394" s="211"/>
      <c r="BE394" s="211"/>
      <c r="BF394" s="211"/>
      <c r="BG394" s="211"/>
      <c r="BH394" s="211"/>
      <c r="BI394" s="211"/>
    </row>
    <row r="395">
      <c r="A395" s="210" t="str">
        <f>IFERROR(__xludf.DUMMYFUNCTION("""COMPUTED_VALUE"""),"2f10572d")</f>
        <v>2f10572d</v>
      </c>
      <c r="B395" s="210" t="str">
        <f>IFERROR(__xludf.DUMMYFUNCTION("""COMPUTED_VALUE"""),"2f10572d")</f>
        <v>2f10572d</v>
      </c>
      <c r="C395" s="213">
        <f>IFERROR(__xludf.DUMMYFUNCTION("""COMPUTED_VALUE"""),45644.625)</f>
        <v>45644.625</v>
      </c>
      <c r="D395" s="211" t="str">
        <f>IFERROR(__xludf.DUMMYFUNCTION("""COMPUTED_VALUE"""),"4ec68cf6")</f>
        <v>4ec68cf6</v>
      </c>
      <c r="E395" s="211" t="str">
        <f>IFERROR(__xludf.DUMMYFUNCTION("""COMPUTED_VALUE"""),"CV Sido Mukti Karya")</f>
        <v>CV Sido Mukti Karya</v>
      </c>
      <c r="F395" s="211" t="str">
        <f>IFERROR(__xludf.DUMMYFUNCTION("""COMPUTED_VALUE"""),"ef306e54")</f>
        <v>ef306e54</v>
      </c>
      <c r="G395" s="211" t="str">
        <f>IFERROR(__xludf.DUMMYFUNCTION("""COMPUTED_VALUE"""),"Karbondioksida")</f>
        <v>Karbondioksida</v>
      </c>
      <c r="H395" s="214" t="str">
        <f>IFERROR(__xludf.DUMMYFUNCTION("""COMPUTED_VALUE"""),"IN")</f>
        <v>IN</v>
      </c>
      <c r="I395" s="214" t="str">
        <f>IFERROR(__xludf.DUMMYFUNCTION("""COMPUTED_VALUE"""),"EMPTY")</f>
        <v>EMPTY</v>
      </c>
      <c r="J395" s="211">
        <f>IFERROR(__xludf.DUMMYFUNCTION("""COMPUTED_VALUE"""),1.0)</f>
        <v>1</v>
      </c>
      <c r="K395" s="210" t="str">
        <f>IFERROR(__xludf.DUMMYFUNCTION("""COMPUTED_VALUE"""),"6771")</f>
        <v>6771</v>
      </c>
      <c r="L395" s="211"/>
      <c r="M395" s="211"/>
      <c r="N395" s="211"/>
      <c r="O395" s="211"/>
      <c r="Q395" s="210" t="str">
        <f>IFERROR(__xludf.DUMMYFUNCTION("""COMPUTED_VALUE"""),"01250232")</f>
        <v>01250232</v>
      </c>
      <c r="R395" s="210" t="str">
        <f>IFERROR(__xludf.DUMMYFUNCTION("""COMPUTED_VALUE"""),"01250232")</f>
        <v>01250232</v>
      </c>
      <c r="S395" s="211" t="str">
        <f>IFERROR(__xludf.DUMMYFUNCTION("""COMPUTED_VALUE"""),"ce83e171")</f>
        <v>ce83e171</v>
      </c>
      <c r="T395" s="211" t="str">
        <f>IFERROR(__xludf.DUMMYFUNCTION("""COMPUTED_VALUE"""),"Bpk. Sulaiman")</f>
        <v>Bpk. Sulaiman</v>
      </c>
      <c r="U395" s="215">
        <f>IFERROR(__xludf.DUMMYFUNCTION("""COMPUTED_VALUE"""),45682.44305555556)</f>
        <v>45682.44306</v>
      </c>
      <c r="V395" s="211" t="str">
        <f>IFERROR(__xludf.DUMMYFUNCTION("""COMPUTED_VALUE"""),"Jl. Raya Kramat Temenggung No.43, Kramat, Kramat Temenggung, Kec. Tarik, Kabupaten Sidoarjo, Jawa Timur 61265")</f>
        <v>Jl. Raya Kramat Temenggung No.43, Kramat, Kramat Temenggung, Kec. Tarik, Kabupaten Sidoarjo, Jawa Timur 61265</v>
      </c>
      <c r="W395" s="211" t="str">
        <f>IFERROR(__xludf.DUMMYFUNCTION("""COMPUTED_VALUE"""),"OUT")</f>
        <v>OUT</v>
      </c>
      <c r="X395" s="211"/>
      <c r="Z395" s="211" t="str">
        <f>IFERROR(__xludf.DUMMYFUNCTION("""COMPUTED_VALUE"""),"0126712235")</f>
        <v>0126712235</v>
      </c>
      <c r="AC395" s="211"/>
      <c r="AD395" s="211"/>
      <c r="AE395" s="211"/>
      <c r="AF395" s="211"/>
      <c r="AG395" s="211"/>
      <c r="AH395" s="211"/>
      <c r="AI395" s="211"/>
      <c r="AJ395" s="211"/>
      <c r="AL395" s="211"/>
      <c r="AM395" s="211"/>
      <c r="AN395" s="211"/>
      <c r="AO395" s="211"/>
      <c r="AP395" s="215"/>
      <c r="AQ395" s="218"/>
      <c r="AR395" s="211"/>
      <c r="AS395" s="211"/>
      <c r="AT395" s="211"/>
      <c r="AU395" s="211"/>
      <c r="AV395" s="211"/>
      <c r="AW395" s="211"/>
      <c r="AX395" s="211"/>
      <c r="AY395" s="211"/>
      <c r="AZ395" s="211"/>
      <c r="BB395" s="211"/>
      <c r="BC395" s="211"/>
      <c r="BD395" s="211"/>
      <c r="BE395" s="211"/>
      <c r="BF395" s="211"/>
      <c r="BG395" s="211"/>
      <c r="BH395" s="211"/>
      <c r="BI395" s="211"/>
    </row>
    <row r="396">
      <c r="A396" s="210" t="str">
        <f>IFERROR(__xludf.DUMMYFUNCTION("""COMPUTED_VALUE"""),"12240171")</f>
        <v>12240171</v>
      </c>
      <c r="B396" s="210" t="str">
        <f>IFERROR(__xludf.DUMMYFUNCTION("""COMPUTED_VALUE"""),"12240171")</f>
        <v>12240171</v>
      </c>
      <c r="C396" s="213">
        <f>IFERROR(__xludf.DUMMYFUNCTION("""COMPUTED_VALUE"""),45645.43125)</f>
        <v>45645.43125</v>
      </c>
      <c r="D396" s="211" t="str">
        <f>IFERROR(__xludf.DUMMYFUNCTION("""COMPUTED_VALUE"""),"103f3ae7")</f>
        <v>103f3ae7</v>
      </c>
      <c r="E396" s="211" t="str">
        <f>IFERROR(__xludf.DUMMYFUNCTION("""COMPUTED_VALUE"""),"PT ARYANA CAKASANA")</f>
        <v>PT ARYANA CAKASANA</v>
      </c>
      <c r="F396" s="211" t="str">
        <f>IFERROR(__xludf.DUMMYFUNCTION("""COMPUTED_VALUE"""),"8bdbe149")</f>
        <v>8bdbe149</v>
      </c>
      <c r="G396" s="211" t="str">
        <f>IFERROR(__xludf.DUMMYFUNCTION("""COMPUTED_VALUE"""),"Oksigen 6m3")</f>
        <v>Oksigen 6m3</v>
      </c>
      <c r="H396" s="214" t="str">
        <f>IFERROR(__xludf.DUMMYFUNCTION("""COMPUTED_VALUE"""),"OUT")</f>
        <v>OUT</v>
      </c>
      <c r="I396" s="214" t="str">
        <f>IFERROR(__xludf.DUMMYFUNCTION("""COMPUTED_VALUE"""),"NORMAL")</f>
        <v>NORMAL</v>
      </c>
      <c r="J396" s="211">
        <f>IFERROR(__xludf.DUMMYFUNCTION("""COMPUTED_VALUE"""),5.0)</f>
        <v>5</v>
      </c>
      <c r="K396" s="210" t="str">
        <f>IFERROR(__xludf.DUMMYFUNCTION("""COMPUTED_VALUE"""),"1120 1108 11121 11107 11117")</f>
        <v>1120 1108 11121 11107 11117</v>
      </c>
      <c r="L396" s="211">
        <f>IFERROR(__xludf.DUMMYFUNCTION("""COMPUTED_VALUE"""),47297.2973)</f>
        <v>47297.2973</v>
      </c>
      <c r="M396" s="211"/>
      <c r="N396" s="211"/>
      <c r="O396" s="211"/>
      <c r="Q396" s="210" t="str">
        <f>IFERROR(__xludf.DUMMYFUNCTION("""COMPUTED_VALUE"""),"88e6eb63")</f>
        <v>88e6eb63</v>
      </c>
      <c r="R396" s="210" t="str">
        <f>IFERROR(__xludf.DUMMYFUNCTION("""COMPUTED_VALUE"""),"88e6eb63")</f>
        <v>88e6eb63</v>
      </c>
      <c r="S396" s="211" t="str">
        <f>IFERROR(__xludf.DUMMYFUNCTION("""COMPUTED_VALUE"""),"3fec37df")</f>
        <v>3fec37df</v>
      </c>
      <c r="T396" s="211" t="str">
        <f>IFERROR(__xludf.DUMMYFUNCTION("""COMPUTED_VALUE"""),"PT Jatim Abadi Perkasa Steel")</f>
        <v>PT Jatim Abadi Perkasa Steel</v>
      </c>
      <c r="U396" s="215">
        <f>IFERROR(__xludf.DUMMYFUNCTION("""COMPUTED_VALUE"""),45682.695138888885)</f>
        <v>45682.69514</v>
      </c>
      <c r="V396" s="211" t="str">
        <f>IFERROR(__xludf.DUMMYFUNCTION("""COMPUTED_VALUE"""),"Dsn. Bulak Sempuh, Jatirejo, Kab. Mojokerto, Jawa Timur")</f>
        <v>Dsn. Bulak Sempuh, Jatirejo, Kab. Mojokerto, Jawa Timur</v>
      </c>
      <c r="W396" s="211" t="str">
        <f>IFERROR(__xludf.DUMMYFUNCTION("""COMPUTED_VALUE"""),"IN")</f>
        <v>IN</v>
      </c>
      <c r="X396" s="211"/>
      <c r="Z396" s="211" t="str">
        <f>IFERROR(__xludf.DUMMYFUNCTION("""COMPUTED_VALUE"""),"0126372233")</f>
        <v>0126372233</v>
      </c>
      <c r="AC396" s="211"/>
      <c r="AD396" s="211"/>
      <c r="AE396" s="211"/>
      <c r="AF396" s="211"/>
      <c r="AG396" s="211"/>
      <c r="AH396" s="211"/>
      <c r="AI396" s="211"/>
      <c r="AJ396" s="211"/>
      <c r="AL396" s="211"/>
      <c r="AM396" s="211"/>
      <c r="AN396" s="211"/>
      <c r="AO396" s="211"/>
      <c r="AP396" s="215"/>
      <c r="AQ396" s="218"/>
      <c r="AR396" s="211"/>
      <c r="AS396" s="211"/>
      <c r="AT396" s="211"/>
      <c r="AU396" s="211"/>
      <c r="AV396" s="211"/>
      <c r="AW396" s="211"/>
      <c r="AX396" s="211"/>
      <c r="AY396" s="211"/>
      <c r="AZ396" s="211"/>
      <c r="BB396" s="211"/>
      <c r="BC396" s="211"/>
      <c r="BD396" s="211"/>
      <c r="BE396" s="211"/>
      <c r="BF396" s="211"/>
      <c r="BG396" s="211"/>
      <c r="BH396" s="211"/>
      <c r="BI396" s="211"/>
    </row>
    <row r="397">
      <c r="A397" s="210" t="str">
        <f>IFERROR(__xludf.DUMMYFUNCTION("""COMPUTED_VALUE"""),"12240172")</f>
        <v>12240172</v>
      </c>
      <c r="B397" s="210" t="str">
        <f>IFERROR(__xludf.DUMMYFUNCTION("""COMPUTED_VALUE"""),"12240172")</f>
        <v>12240172</v>
      </c>
      <c r="C397" s="213">
        <f>IFERROR(__xludf.DUMMYFUNCTION("""COMPUTED_VALUE"""),45645.43680555555)</f>
        <v>45645.43681</v>
      </c>
      <c r="D397" s="211" t="str">
        <f>IFERROR(__xludf.DUMMYFUNCTION("""COMPUTED_VALUE"""),"37175874")</f>
        <v>37175874</v>
      </c>
      <c r="E397" s="211" t="str">
        <f>IFERROR(__xludf.DUMMYFUNCTION("""COMPUTED_VALUE"""),"PT TERAPAN NILAIOSILASI INDONESIA (TENO)")</f>
        <v>PT TERAPAN NILAIOSILASI INDONESIA (TENO)</v>
      </c>
      <c r="F397" s="211" t="str">
        <f>IFERROR(__xludf.DUMMYFUNCTION("""COMPUTED_VALUE"""),"8bdbe149")</f>
        <v>8bdbe149</v>
      </c>
      <c r="G397" s="211" t="str">
        <f>IFERROR(__xludf.DUMMYFUNCTION("""COMPUTED_VALUE"""),"Oksigen 6m3")</f>
        <v>Oksigen 6m3</v>
      </c>
      <c r="H397" s="214" t="str">
        <f>IFERROR(__xludf.DUMMYFUNCTION("""COMPUTED_VALUE"""),"OUT")</f>
        <v>OUT</v>
      </c>
      <c r="I397" s="214" t="str">
        <f>IFERROR(__xludf.DUMMYFUNCTION("""COMPUTED_VALUE"""),"NORMAL")</f>
        <v>NORMAL</v>
      </c>
      <c r="J397" s="211">
        <f>IFERROR(__xludf.DUMMYFUNCTION("""COMPUTED_VALUE"""),10.0)</f>
        <v>10</v>
      </c>
      <c r="K397" s="210" t="str">
        <f>IFERROR(__xludf.DUMMYFUNCTION("""COMPUTED_VALUE"""),"11212 11141 11160 11152 11135 11166 11184 11193 11150 11195")</f>
        <v>11212 11141 11160 11152 11135 11166 11184 11193 11150 11195</v>
      </c>
      <c r="L397" s="211">
        <f>IFERROR(__xludf.DUMMYFUNCTION("""COMPUTED_VALUE"""),45045.04505)</f>
        <v>45045.04505</v>
      </c>
      <c r="M397" s="211"/>
      <c r="N397" s="211"/>
      <c r="O397" s="211"/>
      <c r="Q397" s="210" t="str">
        <f>IFERROR(__xludf.DUMMYFUNCTION("""COMPUTED_VALUE"""),"01250233")</f>
        <v>01250233</v>
      </c>
      <c r="R397" s="210" t="str">
        <f>IFERROR(__xludf.DUMMYFUNCTION("""COMPUTED_VALUE"""),"01250233")</f>
        <v>01250233</v>
      </c>
      <c r="S397" s="211" t="str">
        <f>IFERROR(__xludf.DUMMYFUNCTION("""COMPUTED_VALUE"""),"3fec37df")</f>
        <v>3fec37df</v>
      </c>
      <c r="T397" s="211" t="str">
        <f>IFERROR(__xludf.DUMMYFUNCTION("""COMPUTED_VALUE"""),"PT Jatim Abadi Perkasa Steel")</f>
        <v>PT Jatim Abadi Perkasa Steel</v>
      </c>
      <c r="U397" s="215">
        <f>IFERROR(__xludf.DUMMYFUNCTION("""COMPUTED_VALUE"""),45685.34444444445)</f>
        <v>45685.34444</v>
      </c>
      <c r="V397" s="211" t="str">
        <f>IFERROR(__xludf.DUMMYFUNCTION("""COMPUTED_VALUE"""),"Dsn. Bulak Sempuh, Jatirejo, Kab. Mojokerto, Jawa Timur")</f>
        <v>Dsn. Bulak Sempuh, Jatirejo, Kab. Mojokerto, Jawa Timur</v>
      </c>
      <c r="W397" s="211" t="str">
        <f>IFERROR(__xludf.DUMMYFUNCTION("""COMPUTED_VALUE"""),"OUT")</f>
        <v>OUT</v>
      </c>
      <c r="X397" s="211"/>
      <c r="Z397" s="211" t="str">
        <f>IFERROR(__xludf.DUMMYFUNCTION("""COMPUTED_VALUE"""),"012682231")</f>
        <v>012682231</v>
      </c>
      <c r="AC397" s="211"/>
      <c r="AD397" s="211"/>
      <c r="AE397" s="211"/>
      <c r="AF397" s="211"/>
      <c r="AG397" s="211"/>
      <c r="AH397" s="211"/>
      <c r="AI397" s="211"/>
      <c r="AJ397" s="211"/>
      <c r="AL397" s="211"/>
      <c r="AM397" s="211"/>
      <c r="AN397" s="211"/>
      <c r="AO397" s="211"/>
      <c r="AP397" s="215"/>
      <c r="AQ397" s="218"/>
      <c r="AR397" s="211"/>
      <c r="AS397" s="211"/>
      <c r="AT397" s="211"/>
      <c r="AU397" s="211"/>
      <c r="AV397" s="211"/>
      <c r="AW397" s="211"/>
      <c r="AX397" s="211"/>
      <c r="AY397" s="211"/>
      <c r="AZ397" s="211"/>
      <c r="BB397" s="211"/>
      <c r="BC397" s="211"/>
      <c r="BD397" s="211"/>
      <c r="BE397" s="211"/>
      <c r="BF397" s="211"/>
      <c r="BG397" s="211"/>
      <c r="BH397" s="211"/>
      <c r="BI397" s="211"/>
    </row>
    <row r="398">
      <c r="A398" s="210" t="str">
        <f>IFERROR(__xludf.DUMMYFUNCTION("""COMPUTED_VALUE"""),"5c82b874")</f>
        <v>5c82b874</v>
      </c>
      <c r="B398" s="210" t="str">
        <f>IFERROR(__xludf.DUMMYFUNCTION("""COMPUTED_VALUE"""),"5c82b874")</f>
        <v>5c82b874</v>
      </c>
      <c r="C398" s="213">
        <f>IFERROR(__xludf.DUMMYFUNCTION("""COMPUTED_VALUE"""),45645.63263888889)</f>
        <v>45645.63264</v>
      </c>
      <c r="D398" s="211" t="str">
        <f>IFERROR(__xludf.DUMMYFUNCTION("""COMPUTED_VALUE"""),"37175874")</f>
        <v>37175874</v>
      </c>
      <c r="E398" s="211" t="str">
        <f>IFERROR(__xludf.DUMMYFUNCTION("""COMPUTED_VALUE"""),"PT TERAPAN NILAIOSILASI INDONESIA (TENO)")</f>
        <v>PT TERAPAN NILAIOSILASI INDONESIA (TENO)</v>
      </c>
      <c r="F398" s="211" t="str">
        <f>IFERROR(__xludf.DUMMYFUNCTION("""COMPUTED_VALUE"""),"8bdbe149")</f>
        <v>8bdbe149</v>
      </c>
      <c r="G398" s="211" t="str">
        <f>IFERROR(__xludf.DUMMYFUNCTION("""COMPUTED_VALUE"""),"Oksigen 6m3")</f>
        <v>Oksigen 6m3</v>
      </c>
      <c r="H398" s="214" t="str">
        <f>IFERROR(__xludf.DUMMYFUNCTION("""COMPUTED_VALUE"""),"IN")</f>
        <v>IN</v>
      </c>
      <c r="I398" s="214" t="str">
        <f>IFERROR(__xludf.DUMMYFUNCTION("""COMPUTED_VALUE"""),"EMPTY")</f>
        <v>EMPTY</v>
      </c>
      <c r="J398" s="211">
        <f>IFERROR(__xludf.DUMMYFUNCTION("""COMPUTED_VALUE"""),1.0)</f>
        <v>1</v>
      </c>
      <c r="K398" s="210" t="str">
        <f>IFERROR(__xludf.DUMMYFUNCTION("""COMPUTED_VALUE"""),"11168")</f>
        <v>11168</v>
      </c>
      <c r="L398" s="211"/>
      <c r="M398" s="211"/>
      <c r="N398" s="211"/>
      <c r="O398" s="211"/>
      <c r="Q398" s="210" t="str">
        <f>IFERROR(__xludf.DUMMYFUNCTION("""COMPUTED_VALUE"""),"01250234")</f>
        <v>01250234</v>
      </c>
      <c r="R398" s="210" t="str">
        <f>IFERROR(__xludf.DUMMYFUNCTION("""COMPUTED_VALUE"""),"01250234")</f>
        <v>01250234</v>
      </c>
      <c r="S398" s="211" t="str">
        <f>IFERROR(__xludf.DUMMYFUNCTION("""COMPUTED_VALUE"""),"01158be1")</f>
        <v>01158be1</v>
      </c>
      <c r="T398" s="211" t="str">
        <f>IFERROR(__xludf.DUMMYFUNCTION("""COMPUTED_VALUE"""),"GYF")</f>
        <v>GYF</v>
      </c>
      <c r="U398" s="215">
        <f>IFERROR(__xludf.DUMMYFUNCTION("""COMPUTED_VALUE"""),45685.60972222222)</f>
        <v>45685.60972</v>
      </c>
      <c r="V398" s="211" t="str">
        <f>IFERROR(__xludf.DUMMYFUNCTION("""COMPUTED_VALUE"""),"Kangkungan, Lengkong, Kec. Mojoanyar, Kabupaten Mojokerto, Jawa Timur")</f>
        <v>Kangkungan, Lengkong, Kec. Mojoanyar, Kabupaten Mojokerto, Jawa Timur</v>
      </c>
      <c r="W398" s="211" t="str">
        <f>IFERROR(__xludf.DUMMYFUNCTION("""COMPUTED_VALUE"""),"OUT")</f>
        <v>OUT</v>
      </c>
      <c r="X398" s="211"/>
      <c r="Z398" s="211" t="str">
        <f>IFERROR(__xludf.DUMMYFUNCTION("""COMPUTED_VALUE"""),"012632224")</f>
        <v>012632224</v>
      </c>
      <c r="AC398" s="211"/>
      <c r="AD398" s="211"/>
      <c r="AE398" s="211"/>
      <c r="AF398" s="211"/>
      <c r="AG398" s="211"/>
      <c r="AH398" s="211"/>
      <c r="AI398" s="211"/>
      <c r="AJ398" s="211"/>
      <c r="AL398" s="211"/>
      <c r="AM398" s="211"/>
      <c r="AN398" s="211"/>
      <c r="AO398" s="211"/>
      <c r="AP398" s="215"/>
      <c r="AQ398" s="218"/>
      <c r="AR398" s="211"/>
      <c r="AS398" s="211"/>
      <c r="AT398" s="211"/>
      <c r="AU398" s="211"/>
      <c r="AV398" s="211"/>
      <c r="AW398" s="211"/>
      <c r="AX398" s="211"/>
      <c r="AY398" s="211"/>
      <c r="AZ398" s="211"/>
      <c r="BB398" s="211"/>
      <c r="BC398" s="211"/>
      <c r="BD398" s="211"/>
      <c r="BE398" s="211"/>
      <c r="BF398" s="211"/>
      <c r="BG398" s="211"/>
      <c r="BH398" s="211"/>
      <c r="BI398" s="211"/>
    </row>
    <row r="399">
      <c r="A399" s="210" t="str">
        <f>IFERROR(__xludf.DUMMYFUNCTION("""COMPUTED_VALUE"""),"12240173")</f>
        <v>12240173</v>
      </c>
      <c r="B399" s="210" t="str">
        <f>IFERROR(__xludf.DUMMYFUNCTION("""COMPUTED_VALUE"""),"12240173")</f>
        <v>12240173</v>
      </c>
      <c r="C399" s="213">
        <f>IFERROR(__xludf.DUMMYFUNCTION("""COMPUTED_VALUE"""),45646.35)</f>
        <v>45646.35</v>
      </c>
      <c r="D399" s="211" t="str">
        <f>IFERROR(__xludf.DUMMYFUNCTION("""COMPUTED_VALUE"""),"4bef3bbf")</f>
        <v>4bef3bbf</v>
      </c>
      <c r="E399" s="211" t="str">
        <f>IFERROR(__xludf.DUMMYFUNCTION("""COMPUTED_VALUE"""),"PT Dingsheng Metal Indonesia (Ngoro)")</f>
        <v>PT Dingsheng Metal Indonesia (Ngoro)</v>
      </c>
      <c r="F399" s="211" t="str">
        <f>IFERROR(__xludf.DUMMYFUNCTION("""COMPUTED_VALUE"""),"66af7c72")</f>
        <v>66af7c72</v>
      </c>
      <c r="G399" s="211" t="str">
        <f>IFERROR(__xludf.DUMMYFUNCTION("""COMPUTED_VALUE"""),"Argon 6m3")</f>
        <v>Argon 6m3</v>
      </c>
      <c r="H399" s="214" t="str">
        <f>IFERROR(__xludf.DUMMYFUNCTION("""COMPUTED_VALUE"""),"OUT")</f>
        <v>OUT</v>
      </c>
      <c r="I399" s="214" t="str">
        <f>IFERROR(__xludf.DUMMYFUNCTION("""COMPUTED_VALUE"""),"NORMAL")</f>
        <v>NORMAL</v>
      </c>
      <c r="J399" s="211">
        <f>IFERROR(__xludf.DUMMYFUNCTION("""COMPUTED_VALUE"""),1.0)</f>
        <v>1</v>
      </c>
      <c r="K399" s="210" t="str">
        <f>IFERROR(__xludf.DUMMYFUNCTION("""COMPUTED_VALUE"""),"12003")</f>
        <v>12003</v>
      </c>
      <c r="L399" s="211">
        <f>IFERROR(__xludf.DUMMYFUNCTION("""COMPUTED_VALUE"""),210000.0)</f>
        <v>210000</v>
      </c>
      <c r="M399" s="211"/>
      <c r="N399" s="211"/>
      <c r="O399" s="211"/>
      <c r="Q399" s="210" t="str">
        <f>IFERROR(__xludf.DUMMYFUNCTION("""COMPUTED_VALUE"""),"01250235")</f>
        <v>01250235</v>
      </c>
      <c r="R399" s="210" t="str">
        <f>IFERROR(__xludf.DUMMYFUNCTION("""COMPUTED_VALUE"""),"01250235")</f>
        <v>01250235</v>
      </c>
      <c r="S399" s="211" t="str">
        <f>IFERROR(__xludf.DUMMYFUNCTION("""COMPUTED_VALUE"""),"785e0e07")</f>
        <v>785e0e07</v>
      </c>
      <c r="T399" s="211" t="str">
        <f>IFERROR(__xludf.DUMMYFUNCTION("""COMPUTED_VALUE"""),"Bpk. Sukirno (Bejo)")</f>
        <v>Bpk. Sukirno (Bejo)</v>
      </c>
      <c r="U399" s="215">
        <f>IFERROR(__xludf.DUMMYFUNCTION("""COMPUTED_VALUE"""),45685.62708333333)</f>
        <v>45685.62708</v>
      </c>
      <c r="V399" s="211" t="str">
        <f>IFERROR(__xludf.DUMMYFUNCTION("""COMPUTED_VALUE"""),"Krajan I, Wringinanom, Kec. Wringinanom, Kabupaten Gresik, Jawa Timur 61176")</f>
        <v>Krajan I, Wringinanom, Kec. Wringinanom, Kabupaten Gresik, Jawa Timur 61176</v>
      </c>
      <c r="W399" s="211" t="str">
        <f>IFERROR(__xludf.DUMMYFUNCTION("""COMPUTED_VALUE"""),"OUT")</f>
        <v>OUT</v>
      </c>
      <c r="X399" s="211"/>
      <c r="Z399" s="211" t="str">
        <f>IFERROR(__xludf.DUMMYFUNCTION("""COMPUTED_VALUE"""),"012642224")</f>
        <v>012642224</v>
      </c>
      <c r="AC399" s="211"/>
      <c r="AD399" s="211"/>
      <c r="AE399" s="211"/>
      <c r="AF399" s="211"/>
      <c r="AG399" s="211"/>
      <c r="AH399" s="211"/>
      <c r="AI399" s="211"/>
      <c r="AJ399" s="211"/>
      <c r="AL399" s="211"/>
      <c r="AM399" s="211"/>
      <c r="AN399" s="211"/>
      <c r="AO399" s="211"/>
      <c r="AP399" s="215"/>
      <c r="AQ399" s="218"/>
      <c r="AR399" s="211"/>
      <c r="AS399" s="211"/>
      <c r="AT399" s="211"/>
      <c r="AU399" s="211"/>
      <c r="AV399" s="211"/>
      <c r="AW399" s="211"/>
      <c r="AX399" s="211"/>
      <c r="AY399" s="211"/>
      <c r="AZ399" s="211"/>
      <c r="BB399" s="211"/>
      <c r="BC399" s="211"/>
      <c r="BD399" s="211"/>
      <c r="BE399" s="211"/>
      <c r="BF399" s="211"/>
      <c r="BG399" s="211"/>
      <c r="BH399" s="211"/>
      <c r="BI399" s="211"/>
    </row>
    <row r="400">
      <c r="A400" s="210" t="str">
        <f>IFERROR(__xludf.DUMMYFUNCTION("""COMPUTED_VALUE"""),"12240174")</f>
        <v>12240174</v>
      </c>
      <c r="B400" s="210" t="str">
        <f>IFERROR(__xludf.DUMMYFUNCTION("""COMPUTED_VALUE"""),"12240174")</f>
        <v>12240174</v>
      </c>
      <c r="C400" s="213">
        <f>IFERROR(__xludf.DUMMYFUNCTION("""COMPUTED_VALUE"""),45646.438888888886)</f>
        <v>45646.43889</v>
      </c>
      <c r="D400" s="211" t="str">
        <f>IFERROR(__xludf.DUMMYFUNCTION("""COMPUTED_VALUE"""),"01158be1")</f>
        <v>01158be1</v>
      </c>
      <c r="E400" s="211" t="str">
        <f>IFERROR(__xludf.DUMMYFUNCTION("""COMPUTED_VALUE"""),"GYF")</f>
        <v>GYF</v>
      </c>
      <c r="F400" s="211" t="str">
        <f>IFERROR(__xludf.DUMMYFUNCTION("""COMPUTED_VALUE"""),"8bdbe149")</f>
        <v>8bdbe149</v>
      </c>
      <c r="G400" s="211" t="str">
        <f>IFERROR(__xludf.DUMMYFUNCTION("""COMPUTED_VALUE"""),"Oksigen 6m3")</f>
        <v>Oksigen 6m3</v>
      </c>
      <c r="H400" s="214" t="str">
        <f>IFERROR(__xludf.DUMMYFUNCTION("""COMPUTED_VALUE"""),"OUT")</f>
        <v>OUT</v>
      </c>
      <c r="I400" s="214" t="str">
        <f>IFERROR(__xludf.DUMMYFUNCTION("""COMPUTED_VALUE"""),"NORMAL")</f>
        <v>NORMAL</v>
      </c>
      <c r="J400" s="211">
        <f>IFERROR(__xludf.DUMMYFUNCTION("""COMPUTED_VALUE"""),10.0)</f>
        <v>10</v>
      </c>
      <c r="K400" s="210" t="str">
        <f>IFERROR(__xludf.DUMMYFUNCTION("""COMPUTED_VALUE"""),"11128 11134 1165 1161 1171 1156 1175 1162 5388 5530")</f>
        <v>11128 11134 1165 1161 1171 1156 1175 1162 5388 5530</v>
      </c>
      <c r="L400" s="211">
        <f>IFERROR(__xludf.DUMMYFUNCTION("""COMPUTED_VALUE"""),45000.0)</f>
        <v>45000</v>
      </c>
      <c r="M400" s="211"/>
      <c r="N400" s="211"/>
      <c r="O400" s="211"/>
      <c r="Q400" s="210" t="str">
        <f>IFERROR(__xludf.DUMMYFUNCTION("""COMPUTED_VALUE"""),"401250007")</f>
        <v>401250007</v>
      </c>
      <c r="R400" s="210" t="str">
        <f>IFERROR(__xludf.DUMMYFUNCTION("""COMPUTED_VALUE"""),"401250007")</f>
        <v>401250007</v>
      </c>
      <c r="S400" s="211" t="str">
        <f>IFERROR(__xludf.DUMMYFUNCTION("""COMPUTED_VALUE"""),"785e0e07")</f>
        <v>785e0e07</v>
      </c>
      <c r="T400" s="211" t="str">
        <f>IFERROR(__xludf.DUMMYFUNCTION("""COMPUTED_VALUE"""),"Bpk. Sukirno (Bejo)")</f>
        <v>Bpk. Sukirno (Bejo)</v>
      </c>
      <c r="U400" s="215">
        <f>IFERROR(__xludf.DUMMYFUNCTION("""COMPUTED_VALUE"""),45685.62777777778)</f>
        <v>45685.62778</v>
      </c>
      <c r="V400" s="211" t="str">
        <f>IFERROR(__xludf.DUMMYFUNCTION("""COMPUTED_VALUE"""),"Krajan I, Wringinanom, Kec. Wringinanom, Kabupaten Gresik, Jawa Timur 61176")</f>
        <v>Krajan I, Wringinanom, Kec. Wringinanom, Kabupaten Gresik, Jawa Timur 61176</v>
      </c>
      <c r="W400" s="211" t="str">
        <f>IFERROR(__xludf.DUMMYFUNCTION("""COMPUTED_VALUE"""),"OTHER")</f>
        <v>OTHER</v>
      </c>
      <c r="X400" s="211"/>
      <c r="Z400" s="211" t="str">
        <f>IFERROR(__xludf.DUMMYFUNCTION("""COMPUTED_VALUE"""),"0126362223")</f>
        <v>0126362223</v>
      </c>
      <c r="AC400" s="211"/>
      <c r="AD400" s="211"/>
      <c r="AE400" s="211"/>
      <c r="AF400" s="211"/>
      <c r="AG400" s="211"/>
      <c r="AH400" s="211"/>
      <c r="AI400" s="211"/>
      <c r="AJ400" s="211"/>
      <c r="AL400" s="211"/>
      <c r="AM400" s="211"/>
      <c r="AN400" s="211"/>
      <c r="AO400" s="211"/>
      <c r="AP400" s="215"/>
      <c r="AQ400" s="218"/>
      <c r="AR400" s="211"/>
      <c r="AS400" s="211"/>
      <c r="AT400" s="211"/>
      <c r="AU400" s="211"/>
      <c r="AV400" s="211"/>
      <c r="AW400" s="211"/>
      <c r="AX400" s="211"/>
      <c r="AY400" s="211"/>
      <c r="AZ400" s="211"/>
      <c r="BB400" s="211"/>
      <c r="BC400" s="211"/>
      <c r="BD400" s="211"/>
      <c r="BE400" s="211"/>
      <c r="BF400" s="211"/>
      <c r="BG400" s="211"/>
      <c r="BH400" s="211"/>
      <c r="BI400" s="211"/>
    </row>
    <row r="401">
      <c r="A401" s="210" t="str">
        <f>IFERROR(__xludf.DUMMYFUNCTION("""COMPUTED_VALUE"""),"12240175")</f>
        <v>12240175</v>
      </c>
      <c r="B401" s="210" t="str">
        <f>IFERROR(__xludf.DUMMYFUNCTION("""COMPUTED_VALUE"""),"12240175")</f>
        <v>12240175</v>
      </c>
      <c r="C401" s="213">
        <f>IFERROR(__xludf.DUMMYFUNCTION("""COMPUTED_VALUE"""),45646.43958333333)</f>
        <v>45646.43958</v>
      </c>
      <c r="D401" s="211" t="str">
        <f>IFERROR(__xludf.DUMMYFUNCTION("""COMPUTED_VALUE"""),"556931a6")</f>
        <v>556931a6</v>
      </c>
      <c r="E401" s="211" t="str">
        <f>IFERROR(__xludf.DUMMYFUNCTION("""COMPUTED_VALUE"""),"Bpk. Agus (Trowulan)")</f>
        <v>Bpk. Agus (Trowulan)</v>
      </c>
      <c r="F401" s="211" t="str">
        <f>IFERROR(__xludf.DUMMYFUNCTION("""COMPUTED_VALUE"""),"8bdbe149")</f>
        <v>8bdbe149</v>
      </c>
      <c r="G401" s="211" t="str">
        <f>IFERROR(__xludf.DUMMYFUNCTION("""COMPUTED_VALUE"""),"Oksigen 6m3")</f>
        <v>Oksigen 6m3</v>
      </c>
      <c r="H401" s="214" t="str">
        <f>IFERROR(__xludf.DUMMYFUNCTION("""COMPUTED_VALUE"""),"OUT")</f>
        <v>OUT</v>
      </c>
      <c r="I401" s="214" t="str">
        <f>IFERROR(__xludf.DUMMYFUNCTION("""COMPUTED_VALUE"""),"NORMAL")</f>
        <v>NORMAL</v>
      </c>
      <c r="J401" s="211">
        <f>IFERROR(__xludf.DUMMYFUNCTION("""COMPUTED_VALUE"""),5.0)</f>
        <v>5</v>
      </c>
      <c r="K401" s="210" t="str">
        <f>IFERROR(__xludf.DUMMYFUNCTION("""COMPUTED_VALUE"""),"1104 11102 11106 11113 11108")</f>
        <v>1104 11102 11106 11113 11108</v>
      </c>
      <c r="L401" s="211">
        <f>IFERROR(__xludf.DUMMYFUNCTION("""COMPUTED_VALUE"""),60000.0)</f>
        <v>60000</v>
      </c>
      <c r="M401" s="211"/>
      <c r="N401" s="211"/>
      <c r="O401" s="211"/>
      <c r="Q401" s="210" t="str">
        <f>IFERROR(__xludf.DUMMYFUNCTION("""COMPUTED_VALUE"""),"01250236")</f>
        <v>01250236</v>
      </c>
      <c r="R401" s="210" t="str">
        <f>IFERROR(__xludf.DUMMYFUNCTION("""COMPUTED_VALUE"""),"01250236")</f>
        <v>01250236</v>
      </c>
      <c r="S401" s="211" t="str">
        <f>IFERROR(__xludf.DUMMYFUNCTION("""COMPUTED_VALUE"""),"a9fe1bea")</f>
        <v>a9fe1bea</v>
      </c>
      <c r="T401" s="211" t="str">
        <f>IFERROR(__xludf.DUMMYFUNCTION("""COMPUTED_VALUE"""),"H. Suheiri")</f>
        <v>H. Suheiri</v>
      </c>
      <c r="U401" s="215">
        <f>IFERROR(__xludf.DUMMYFUNCTION("""COMPUTED_VALUE"""),45687.34236111111)</f>
        <v>45687.34236</v>
      </c>
      <c r="V401"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401" s="211" t="str">
        <f>IFERROR(__xludf.DUMMYFUNCTION("""COMPUTED_VALUE"""),"OUT")</f>
        <v>OUT</v>
      </c>
      <c r="X401" s="211"/>
      <c r="Z401" s="211" t="str">
        <f>IFERROR(__xludf.DUMMYFUNCTION("""COMPUTED_VALUE"""),"012672219")</f>
        <v>012672219</v>
      </c>
      <c r="AC401" s="211"/>
      <c r="AD401" s="211"/>
      <c r="AE401" s="211"/>
      <c r="AF401" s="211"/>
      <c r="AG401" s="211"/>
      <c r="AH401" s="211"/>
      <c r="AI401" s="211"/>
      <c r="AJ401" s="211"/>
      <c r="AL401" s="211"/>
      <c r="AM401" s="211"/>
      <c r="AN401" s="211"/>
      <c r="AO401" s="211"/>
      <c r="AP401" s="215"/>
      <c r="AQ401" s="218"/>
      <c r="AR401" s="211"/>
      <c r="AS401" s="211"/>
      <c r="AT401" s="211"/>
      <c r="AU401" s="211"/>
      <c r="AV401" s="211"/>
      <c r="AW401" s="211"/>
      <c r="AX401" s="211"/>
      <c r="AY401" s="211"/>
      <c r="AZ401" s="211"/>
      <c r="BB401" s="211"/>
      <c r="BC401" s="211"/>
      <c r="BD401" s="211"/>
      <c r="BE401" s="211"/>
      <c r="BF401" s="211"/>
      <c r="BG401" s="211"/>
      <c r="BH401" s="211"/>
      <c r="BI401" s="211"/>
    </row>
    <row r="402">
      <c r="A402" s="210" t="str">
        <f>IFERROR(__xludf.DUMMYFUNCTION("""COMPUTED_VALUE"""),"12240175")</f>
        <v>12240175</v>
      </c>
      <c r="B402" s="210" t="str">
        <f>IFERROR(__xludf.DUMMYFUNCTION("""COMPUTED_VALUE"""),"12240175")</f>
        <v>12240175</v>
      </c>
      <c r="C402" s="213">
        <f>IFERROR(__xludf.DUMMYFUNCTION("""COMPUTED_VALUE"""),45646.43958333333)</f>
        <v>45646.43958</v>
      </c>
      <c r="D402" s="211" t="str">
        <f>IFERROR(__xludf.DUMMYFUNCTION("""COMPUTED_VALUE"""),"556931a6")</f>
        <v>556931a6</v>
      </c>
      <c r="E402" s="211" t="str">
        <f>IFERROR(__xludf.DUMMYFUNCTION("""COMPUTED_VALUE"""),"Bpk. Agus (Trowulan)")</f>
        <v>Bpk. Agus (Trowulan)</v>
      </c>
      <c r="F402" s="211" t="str">
        <f>IFERROR(__xludf.DUMMYFUNCTION("""COMPUTED_VALUE"""),"be525f3b")</f>
        <v>be525f3b</v>
      </c>
      <c r="G402" s="211" t="str">
        <f>IFERROR(__xludf.DUMMYFUNCTION("""COMPUTED_VALUE"""),"LPG 12kg")</f>
        <v>LPG 12kg</v>
      </c>
      <c r="H402" s="214" t="str">
        <f>IFERROR(__xludf.DUMMYFUNCTION("""COMPUTED_VALUE"""),"OUT")</f>
        <v>OUT</v>
      </c>
      <c r="I402" s="214" t="str">
        <f>IFERROR(__xludf.DUMMYFUNCTION("""COMPUTED_VALUE"""),"NORMAL")</f>
        <v>NORMAL</v>
      </c>
      <c r="J402" s="211">
        <f>IFERROR(__xludf.DUMMYFUNCTION("""COMPUTED_VALUE"""),1.0)</f>
        <v>1</v>
      </c>
      <c r="K402" s="211"/>
      <c r="L402" s="211">
        <f>IFERROR(__xludf.DUMMYFUNCTION("""COMPUTED_VALUE"""),215000.0)</f>
        <v>215000</v>
      </c>
      <c r="M402" s="211"/>
      <c r="N402" s="211"/>
      <c r="O402" s="211"/>
      <c r="Q402" s="210" t="str">
        <f>IFERROR(__xludf.DUMMYFUNCTION("""COMPUTED_VALUE"""),"c73c676c")</f>
        <v>c73c676c</v>
      </c>
      <c r="R402" s="210" t="str">
        <f>IFERROR(__xludf.DUMMYFUNCTION("""COMPUTED_VALUE"""),"c73c676c")</f>
        <v>c73c676c</v>
      </c>
      <c r="S402" s="211" t="str">
        <f>IFERROR(__xludf.DUMMYFUNCTION("""COMPUTED_VALUE"""),"785e0e07")</f>
        <v>785e0e07</v>
      </c>
      <c r="T402" s="211" t="str">
        <f>IFERROR(__xludf.DUMMYFUNCTION("""COMPUTED_VALUE"""),"Bpk. Sukirno (Bejo)")</f>
        <v>Bpk. Sukirno (Bejo)</v>
      </c>
      <c r="U402" s="215">
        <f>IFERROR(__xludf.DUMMYFUNCTION("""COMPUTED_VALUE"""),45685.46597222222)</f>
        <v>45685.46597</v>
      </c>
      <c r="V402" s="211" t="str">
        <f>IFERROR(__xludf.DUMMYFUNCTION("""COMPUTED_VALUE"""),"Krajan I, Wringinanom, Kec. Wringinanom, Kabupaten Gresik, Jawa Timur 61176")</f>
        <v>Krajan I, Wringinanom, Kec. Wringinanom, Kabupaten Gresik, Jawa Timur 61176</v>
      </c>
      <c r="W402" s="211" t="str">
        <f>IFERROR(__xludf.DUMMYFUNCTION("""COMPUTED_VALUE"""),"IN")</f>
        <v>IN</v>
      </c>
      <c r="X402" s="211"/>
      <c r="Z402" s="211" t="str">
        <f>IFERROR(__xludf.DUMMYFUNCTION("""COMPUTED_VALUE"""),"0126112215")</f>
        <v>0126112215</v>
      </c>
      <c r="AC402" s="211"/>
      <c r="AD402" s="211"/>
      <c r="AE402" s="211"/>
      <c r="AF402" s="211"/>
      <c r="AG402" s="211"/>
      <c r="AH402" s="211"/>
      <c r="AI402" s="211"/>
      <c r="AJ402" s="211"/>
      <c r="AL402" s="211"/>
      <c r="AM402" s="211"/>
      <c r="AN402" s="211"/>
      <c r="AO402" s="211"/>
      <c r="AP402" s="215"/>
      <c r="AQ402" s="218"/>
      <c r="AR402" s="211"/>
      <c r="AS402" s="211"/>
      <c r="AT402" s="211"/>
      <c r="AU402" s="211"/>
      <c r="AV402" s="211"/>
      <c r="AW402" s="211"/>
      <c r="AX402" s="211"/>
      <c r="AY402" s="211"/>
      <c r="AZ402" s="211"/>
      <c r="BB402" s="211"/>
      <c r="BC402" s="211"/>
      <c r="BD402" s="211"/>
      <c r="BE402" s="211"/>
      <c r="BF402" s="211"/>
      <c r="BG402" s="211"/>
      <c r="BH402" s="211"/>
      <c r="BI402" s="211"/>
    </row>
    <row r="403">
      <c r="A403" s="210" t="str">
        <f>IFERROR(__xludf.DUMMYFUNCTION("""COMPUTED_VALUE"""),"bdc8d89e")</f>
        <v>bdc8d89e</v>
      </c>
      <c r="B403" s="210" t="str">
        <f>IFERROR(__xludf.DUMMYFUNCTION("""COMPUTED_VALUE"""),"bdc8d89e")</f>
        <v>bdc8d89e</v>
      </c>
      <c r="C403" s="213">
        <f>IFERROR(__xludf.DUMMYFUNCTION("""COMPUTED_VALUE"""),45646.46944444445)</f>
        <v>45646.46944</v>
      </c>
      <c r="D403" s="211" t="str">
        <f>IFERROR(__xludf.DUMMYFUNCTION("""COMPUTED_VALUE"""),"72d9a70c")</f>
        <v>72d9a70c</v>
      </c>
      <c r="E403" s="211" t="str">
        <f>IFERROR(__xludf.DUMMYFUNCTION("""COMPUTED_VALUE"""),"PT Beton Prima Indonesia")</f>
        <v>PT Beton Prima Indonesia</v>
      </c>
      <c r="F403" s="211" t="str">
        <f>IFERROR(__xludf.DUMMYFUNCTION("""COMPUTED_VALUE"""),"8bdbe149")</f>
        <v>8bdbe149</v>
      </c>
      <c r="G403" s="211" t="str">
        <f>IFERROR(__xludf.DUMMYFUNCTION("""COMPUTED_VALUE"""),"Oksigen 6m3")</f>
        <v>Oksigen 6m3</v>
      </c>
      <c r="H403" s="214" t="str">
        <f>IFERROR(__xludf.DUMMYFUNCTION("""COMPUTED_VALUE"""),"IN")</f>
        <v>IN</v>
      </c>
      <c r="I403" s="214" t="str">
        <f>IFERROR(__xludf.DUMMYFUNCTION("""COMPUTED_VALUE"""),"EMPTY")</f>
        <v>EMPTY</v>
      </c>
      <c r="J403" s="211">
        <f>IFERROR(__xludf.DUMMYFUNCTION("""COMPUTED_VALUE"""),4.0)</f>
        <v>4</v>
      </c>
      <c r="K403" s="210" t="str">
        <f>IFERROR(__xludf.DUMMYFUNCTION("""COMPUTED_VALUE"""),"11161 11175 1153 11153")</f>
        <v>11161 11175 1153 11153</v>
      </c>
      <c r="L403" s="211"/>
      <c r="M403" s="211"/>
      <c r="N403" s="211"/>
      <c r="O403" s="211"/>
      <c r="Q403" s="210" t="str">
        <f>IFERROR(__xludf.DUMMYFUNCTION("""COMPUTED_VALUE"""),"41b83bf5")</f>
        <v>41b83bf5</v>
      </c>
      <c r="R403" s="210" t="str">
        <f>IFERROR(__xludf.DUMMYFUNCTION("""COMPUTED_VALUE"""),"41b83bf5")</f>
        <v>41b83bf5</v>
      </c>
      <c r="S403" s="211" t="str">
        <f>IFERROR(__xludf.DUMMYFUNCTION("""COMPUTED_VALUE"""),"ce83e171")</f>
        <v>ce83e171</v>
      </c>
      <c r="T403" s="211" t="str">
        <f>IFERROR(__xludf.DUMMYFUNCTION("""COMPUTED_VALUE"""),"Bpk. Sulaiman")</f>
        <v>Bpk. Sulaiman</v>
      </c>
      <c r="U403" s="215">
        <f>IFERROR(__xludf.DUMMYFUNCTION("""COMPUTED_VALUE"""),45682.46805555555)</f>
        <v>45682.46806</v>
      </c>
      <c r="V403" s="211" t="str">
        <f>IFERROR(__xludf.DUMMYFUNCTION("""COMPUTED_VALUE"""),"Jl. Raya Kramat Temenggung No.43, Kramat, Kramat Temenggung, Kec. Tarik, Kabupaten Sidoarjo, Jawa Timur 61265")</f>
        <v>Jl. Raya Kramat Temenggung No.43, Kramat, Kramat Temenggung, Kec. Tarik, Kabupaten Sidoarjo, Jawa Timur 61265</v>
      </c>
      <c r="W403" s="211" t="str">
        <f>IFERROR(__xludf.DUMMYFUNCTION("""COMPUTED_VALUE"""),"IN")</f>
        <v>IN</v>
      </c>
      <c r="X403" s="211"/>
      <c r="Z403" s="211" t="str">
        <f>IFERROR(__xludf.DUMMYFUNCTION("""COMPUTED_VALUE"""),"0126702214")</f>
        <v>0126702214</v>
      </c>
      <c r="AC403" s="211"/>
      <c r="AD403" s="211"/>
      <c r="AE403" s="211"/>
      <c r="AF403" s="211"/>
      <c r="AG403" s="211"/>
      <c r="AH403" s="211"/>
      <c r="AI403" s="211"/>
      <c r="AJ403" s="211"/>
      <c r="AL403" s="211"/>
      <c r="AM403" s="211"/>
      <c r="AN403" s="211"/>
      <c r="AO403" s="211"/>
      <c r="AP403" s="215"/>
      <c r="AQ403" s="218"/>
      <c r="AR403" s="211"/>
      <c r="AS403" s="211"/>
      <c r="AT403" s="211"/>
      <c r="AU403" s="211"/>
      <c r="AV403" s="211"/>
      <c r="AW403" s="211"/>
      <c r="AX403" s="211"/>
      <c r="AY403" s="211"/>
      <c r="AZ403" s="211"/>
      <c r="BB403" s="211"/>
      <c r="BC403" s="211"/>
      <c r="BD403" s="211"/>
      <c r="BE403" s="211"/>
      <c r="BF403" s="211"/>
      <c r="BG403" s="211"/>
      <c r="BH403" s="211"/>
      <c r="BI403" s="211"/>
    </row>
    <row r="404">
      <c r="A404" s="210" t="str">
        <f>IFERROR(__xludf.DUMMYFUNCTION("""COMPUTED_VALUE"""),"3920bc7e")</f>
        <v>3920bc7e</v>
      </c>
      <c r="B404" s="210" t="str">
        <f>IFERROR(__xludf.DUMMYFUNCTION("""COMPUTED_VALUE"""),"3920bc7e")</f>
        <v>3920bc7e</v>
      </c>
      <c r="C404" s="213">
        <f>IFERROR(__xludf.DUMMYFUNCTION("""COMPUTED_VALUE"""),45646.436111111114)</f>
        <v>45646.43611</v>
      </c>
      <c r="D404" s="211" t="str">
        <f>IFERROR(__xludf.DUMMYFUNCTION("""COMPUTED_VALUE"""),"01158be1")</f>
        <v>01158be1</v>
      </c>
      <c r="E404" s="211" t="str">
        <f>IFERROR(__xludf.DUMMYFUNCTION("""COMPUTED_VALUE"""),"GYF")</f>
        <v>GYF</v>
      </c>
      <c r="F404" s="211" t="str">
        <f>IFERROR(__xludf.DUMMYFUNCTION("""COMPUTED_VALUE"""),"8bdbe149")</f>
        <v>8bdbe149</v>
      </c>
      <c r="G404" s="211" t="str">
        <f>IFERROR(__xludf.DUMMYFUNCTION("""COMPUTED_VALUE"""),"Oksigen 6m3")</f>
        <v>Oksigen 6m3</v>
      </c>
      <c r="H404" s="214" t="str">
        <f>IFERROR(__xludf.DUMMYFUNCTION("""COMPUTED_VALUE"""),"IN")</f>
        <v>IN</v>
      </c>
      <c r="I404" s="214" t="str">
        <f>IFERROR(__xludf.DUMMYFUNCTION("""COMPUTED_VALUE"""),"EMPTY")</f>
        <v>EMPTY</v>
      </c>
      <c r="J404" s="211">
        <f>IFERROR(__xludf.DUMMYFUNCTION("""COMPUTED_VALUE"""),10.0)</f>
        <v>10</v>
      </c>
      <c r="K404" s="210" t="str">
        <f>IFERROR(__xludf.DUMMYFUNCTION("""COMPUTED_VALUE"""),"11199 11209 11192 11203 11201 11200 11122 11207 11206 11210")</f>
        <v>11199 11209 11192 11203 11201 11200 11122 11207 11206 11210</v>
      </c>
      <c r="L404" s="211"/>
      <c r="M404" s="211"/>
      <c r="N404" s="211"/>
      <c r="O404" s="211"/>
      <c r="Q404" s="210" t="str">
        <f>IFERROR(__xludf.DUMMYFUNCTION("""COMPUTED_VALUE"""),"9b78553f")</f>
        <v>9b78553f</v>
      </c>
      <c r="R404" s="210" t="str">
        <f>IFERROR(__xludf.DUMMYFUNCTION("""COMPUTED_VALUE"""),"9b78553f")</f>
        <v>9b78553f</v>
      </c>
      <c r="S404" s="211" t="str">
        <f>IFERROR(__xludf.DUMMYFUNCTION("""COMPUTED_VALUE"""),"3fec37df")</f>
        <v>3fec37df</v>
      </c>
      <c r="T404" s="211" t="str">
        <f>IFERROR(__xludf.DUMMYFUNCTION("""COMPUTED_VALUE"""),"PT Jatim Abadi Perkasa Steel")</f>
        <v>PT Jatim Abadi Perkasa Steel</v>
      </c>
      <c r="U404" s="215">
        <f>IFERROR(__xludf.DUMMYFUNCTION("""COMPUTED_VALUE"""),45685.47083333333)</f>
        <v>45685.47083</v>
      </c>
      <c r="V404" s="211" t="str">
        <f>IFERROR(__xludf.DUMMYFUNCTION("""COMPUTED_VALUE"""),"Dsn. Bulak Sempuh, Jatirejo, Kab. Mojokerto, Jawa Timur")</f>
        <v>Dsn. Bulak Sempuh, Jatirejo, Kab. Mojokerto, Jawa Timur</v>
      </c>
      <c r="W404" s="211" t="str">
        <f>IFERROR(__xludf.DUMMYFUNCTION("""COMPUTED_VALUE"""),"IN")</f>
        <v>IN</v>
      </c>
      <c r="X404" s="211"/>
      <c r="Z404" s="211" t="str">
        <f>IFERROR(__xludf.DUMMYFUNCTION("""COMPUTED_VALUE"""),"012642212")</f>
        <v>012642212</v>
      </c>
      <c r="AC404" s="211"/>
      <c r="AD404" s="211"/>
      <c r="AE404" s="211"/>
      <c r="AF404" s="211"/>
      <c r="AG404" s="211"/>
      <c r="AH404" s="211"/>
      <c r="AI404" s="211"/>
      <c r="AJ404" s="211"/>
      <c r="AL404" s="211"/>
      <c r="AM404" s="211"/>
      <c r="AN404" s="211"/>
      <c r="AO404" s="211"/>
      <c r="AP404" s="215"/>
      <c r="AQ404" s="218"/>
      <c r="AR404" s="211"/>
      <c r="AS404" s="211"/>
      <c r="AT404" s="211"/>
      <c r="AU404" s="211"/>
      <c r="AV404" s="211"/>
      <c r="AW404" s="211"/>
      <c r="AX404" s="211"/>
      <c r="AY404" s="211"/>
      <c r="AZ404" s="211"/>
      <c r="BB404" s="211"/>
      <c r="BC404" s="211"/>
      <c r="BD404" s="211"/>
      <c r="BE404" s="211"/>
      <c r="BF404" s="211"/>
      <c r="BG404" s="211"/>
      <c r="BH404" s="211"/>
      <c r="BI404" s="211"/>
    </row>
    <row r="405">
      <c r="A405" s="210" t="str">
        <f>IFERROR(__xludf.DUMMYFUNCTION("""COMPUTED_VALUE"""),"12240177")</f>
        <v>12240177</v>
      </c>
      <c r="B405" s="210" t="str">
        <f>IFERROR(__xludf.DUMMYFUNCTION("""COMPUTED_VALUE"""),"12240177")</f>
        <v>12240177</v>
      </c>
      <c r="C405" s="213">
        <f>IFERROR(__xludf.DUMMYFUNCTION("""COMPUTED_VALUE"""),45647.45277777778)</f>
        <v>45647.45278</v>
      </c>
      <c r="D405" s="211" t="str">
        <f>IFERROR(__xludf.DUMMYFUNCTION("""COMPUTED_VALUE"""),"69d002bb")</f>
        <v>69d002bb</v>
      </c>
      <c r="E405" s="211" t="str">
        <f>IFERROR(__xludf.DUMMYFUNCTION("""COMPUTED_VALUE"""),"Bengkel Putra Sanjaya (Bpk. Amin)")</f>
        <v>Bengkel Putra Sanjaya (Bpk. Amin)</v>
      </c>
      <c r="F405" s="211" t="str">
        <f>IFERROR(__xludf.DUMMYFUNCTION("""COMPUTED_VALUE"""),"66af7c72")</f>
        <v>66af7c72</v>
      </c>
      <c r="G405" s="211" t="str">
        <f>IFERROR(__xludf.DUMMYFUNCTION("""COMPUTED_VALUE"""),"Argon 6m3")</f>
        <v>Argon 6m3</v>
      </c>
      <c r="H405" s="214" t="str">
        <f>IFERROR(__xludf.DUMMYFUNCTION("""COMPUTED_VALUE"""),"OUT")</f>
        <v>OUT</v>
      </c>
      <c r="I405" s="214" t="str">
        <f>IFERROR(__xludf.DUMMYFUNCTION("""COMPUTED_VALUE"""),"NORMAL")</f>
        <v>NORMAL</v>
      </c>
      <c r="J405" s="211">
        <f>IFERROR(__xludf.DUMMYFUNCTION("""COMPUTED_VALUE"""),1.0)</f>
        <v>1</v>
      </c>
      <c r="K405" s="210" t="str">
        <f>IFERROR(__xludf.DUMMYFUNCTION("""COMPUTED_VALUE"""),"12006")</f>
        <v>12006</v>
      </c>
      <c r="L405" s="211">
        <f>IFERROR(__xludf.DUMMYFUNCTION("""COMPUTED_VALUE"""),210000.0)</f>
        <v>210000</v>
      </c>
      <c r="M405" s="211"/>
      <c r="N405" s="211"/>
      <c r="O405" s="211"/>
      <c r="Q405" s="210" t="str">
        <f>IFERROR(__xludf.DUMMYFUNCTION("""COMPUTED_VALUE"""),"db1bcf63")</f>
        <v>db1bcf63</v>
      </c>
      <c r="R405" s="210" t="str">
        <f>IFERROR(__xludf.DUMMYFUNCTION("""COMPUTED_VALUE"""),"db1bcf63")</f>
        <v>db1bcf63</v>
      </c>
      <c r="S405" s="211" t="str">
        <f>IFERROR(__xludf.DUMMYFUNCTION("""COMPUTED_VALUE"""),"3fec37df")</f>
        <v>3fec37df</v>
      </c>
      <c r="T405" s="211" t="str">
        <f>IFERROR(__xludf.DUMMYFUNCTION("""COMPUTED_VALUE"""),"PT Jatim Abadi Perkasa Steel")</f>
        <v>PT Jatim Abadi Perkasa Steel</v>
      </c>
      <c r="U405" s="215">
        <f>IFERROR(__xludf.DUMMYFUNCTION("""COMPUTED_VALUE"""),45679.47777777778)</f>
        <v>45679.47778</v>
      </c>
      <c r="V405" s="211" t="str">
        <f>IFERROR(__xludf.DUMMYFUNCTION("""COMPUTED_VALUE"""),"Dsn. Bulak Sempuh, Jatirejo, Kab. Mojokerto, Jawa Timur")</f>
        <v>Dsn. Bulak Sempuh, Jatirejo, Kab. Mojokerto, Jawa Timur</v>
      </c>
      <c r="W405" s="211" t="str">
        <f>IFERROR(__xludf.DUMMYFUNCTION("""COMPUTED_VALUE"""),"IN")</f>
        <v>IN</v>
      </c>
      <c r="X405" s="211"/>
      <c r="Z405" s="211" t="str">
        <f>IFERROR(__xludf.DUMMYFUNCTION("""COMPUTED_VALUE"""),"012612211")</f>
        <v>012612211</v>
      </c>
      <c r="AC405" s="211"/>
      <c r="AD405" s="211"/>
      <c r="AE405" s="211"/>
      <c r="AF405" s="211"/>
      <c r="AG405" s="211"/>
      <c r="AH405" s="211"/>
      <c r="AI405" s="211"/>
      <c r="AJ405" s="211"/>
      <c r="AL405" s="211"/>
      <c r="AM405" s="211"/>
      <c r="AN405" s="211"/>
      <c r="AO405" s="211"/>
      <c r="AP405" s="215"/>
      <c r="AQ405" s="218"/>
      <c r="AR405" s="211"/>
      <c r="AS405" s="211"/>
      <c r="AT405" s="211"/>
      <c r="AU405" s="211"/>
      <c r="AV405" s="211"/>
      <c r="AW405" s="211"/>
      <c r="AX405" s="211"/>
      <c r="AY405" s="211"/>
      <c r="AZ405" s="211"/>
      <c r="BB405" s="211"/>
      <c r="BC405" s="211"/>
      <c r="BD405" s="211"/>
      <c r="BE405" s="211"/>
      <c r="BF405" s="211"/>
      <c r="BG405" s="211"/>
      <c r="BH405" s="211"/>
      <c r="BI405" s="211"/>
    </row>
    <row r="406">
      <c r="A406" s="210" t="str">
        <f>IFERROR(__xludf.DUMMYFUNCTION("""COMPUTED_VALUE"""),"12240178")</f>
        <v>12240178</v>
      </c>
      <c r="B406" s="210" t="str">
        <f>IFERROR(__xludf.DUMMYFUNCTION("""COMPUTED_VALUE"""),"12240178")</f>
        <v>12240178</v>
      </c>
      <c r="C406" s="213">
        <f>IFERROR(__xludf.DUMMYFUNCTION("""COMPUTED_VALUE"""),45649.36736111111)</f>
        <v>45649.36736</v>
      </c>
      <c r="D406" s="211" t="str">
        <f>IFERROR(__xludf.DUMMYFUNCTION("""COMPUTED_VALUE"""),"3fec37df")</f>
        <v>3fec37df</v>
      </c>
      <c r="E406" s="211" t="str">
        <f>IFERROR(__xludf.DUMMYFUNCTION("""COMPUTED_VALUE"""),"PT Jatim Abadi Perkasa Steel")</f>
        <v>PT Jatim Abadi Perkasa Steel</v>
      </c>
      <c r="F406" s="211" t="str">
        <f>IFERROR(__xludf.DUMMYFUNCTION("""COMPUTED_VALUE"""),"ef306e54")</f>
        <v>ef306e54</v>
      </c>
      <c r="G406" s="211" t="str">
        <f>IFERROR(__xludf.DUMMYFUNCTION("""COMPUTED_VALUE"""),"Karbondioksida")</f>
        <v>Karbondioksida</v>
      </c>
      <c r="H406" s="214" t="str">
        <f>IFERROR(__xludf.DUMMYFUNCTION("""COMPUTED_VALUE"""),"OUT")</f>
        <v>OUT</v>
      </c>
      <c r="I406" s="214" t="str">
        <f>IFERROR(__xludf.DUMMYFUNCTION("""COMPUTED_VALUE"""),"NORMAL")</f>
        <v>NORMAL</v>
      </c>
      <c r="J406" s="211">
        <f>IFERROR(__xludf.DUMMYFUNCTION("""COMPUTED_VALUE"""),4.0)</f>
        <v>4</v>
      </c>
      <c r="K406" s="210" t="str">
        <f>IFERROR(__xludf.DUMMYFUNCTION("""COMPUTED_VALUE"""),"6956 6629 6659 6614")</f>
        <v>6956 6629 6659 6614</v>
      </c>
      <c r="L406" s="211">
        <f>IFERROR(__xludf.DUMMYFUNCTION("""COMPUTED_VALUE"""),167000.0)</f>
        <v>167000</v>
      </c>
      <c r="M406" s="211"/>
      <c r="N406" s="211"/>
      <c r="O406" s="211"/>
      <c r="Q406" s="210" t="str">
        <f>IFERROR(__xludf.DUMMYFUNCTION("""COMPUTED_VALUE"""),"7c462fa5")</f>
        <v>7c462fa5</v>
      </c>
      <c r="R406" s="210" t="str">
        <f>IFERROR(__xludf.DUMMYFUNCTION("""COMPUTED_VALUE"""),"7c462fa5")</f>
        <v>7c462fa5</v>
      </c>
      <c r="S406" s="211" t="str">
        <f>IFERROR(__xludf.DUMMYFUNCTION("""COMPUTED_VALUE"""),"01158be1")</f>
        <v>01158be1</v>
      </c>
      <c r="T406" s="211" t="str">
        <f>IFERROR(__xludf.DUMMYFUNCTION("""COMPUTED_VALUE"""),"GYF")</f>
        <v>GYF</v>
      </c>
      <c r="U406" s="215">
        <f>IFERROR(__xludf.DUMMYFUNCTION("""COMPUTED_VALUE"""),45687.49166666667)</f>
        <v>45687.49167</v>
      </c>
      <c r="V406" s="211" t="str">
        <f>IFERROR(__xludf.DUMMYFUNCTION("""COMPUTED_VALUE"""),"Kangkungan, Lengkong, Kec. Mojoanyar, Kabupaten Mojokerto, Jawa Timur")</f>
        <v>Kangkungan, Lengkong, Kec. Mojoanyar, Kabupaten Mojokerto, Jawa Timur</v>
      </c>
      <c r="W406" s="211" t="str">
        <f>IFERROR(__xludf.DUMMYFUNCTION("""COMPUTED_VALUE"""),"IN")</f>
        <v>IN</v>
      </c>
      <c r="X406" s="211"/>
      <c r="Z406" s="211" t="str">
        <f>IFERROR(__xludf.DUMMYFUNCTION("""COMPUTED_VALUE"""),"0126132209")</f>
        <v>0126132209</v>
      </c>
      <c r="AC406" s="211"/>
      <c r="AD406" s="211"/>
      <c r="AE406" s="211"/>
      <c r="AF406" s="211"/>
      <c r="AG406" s="211"/>
      <c r="AH406" s="211"/>
      <c r="AI406" s="211"/>
      <c r="AJ406" s="211"/>
      <c r="AL406" s="211"/>
      <c r="AM406" s="211"/>
      <c r="AN406" s="211"/>
      <c r="AO406" s="211"/>
      <c r="AP406" s="215"/>
      <c r="AQ406" s="218"/>
      <c r="AR406" s="211"/>
      <c r="AS406" s="211"/>
      <c r="AT406" s="211"/>
      <c r="AU406" s="211"/>
      <c r="AV406" s="211"/>
      <c r="AW406" s="211"/>
      <c r="AX406" s="211"/>
      <c r="AY406" s="211"/>
      <c r="AZ406" s="211"/>
      <c r="BB406" s="211"/>
      <c r="BC406" s="211"/>
      <c r="BD406" s="211"/>
      <c r="BE406" s="211"/>
      <c r="BF406" s="211"/>
      <c r="BG406" s="211"/>
      <c r="BH406" s="211"/>
      <c r="BI406" s="211"/>
    </row>
    <row r="407">
      <c r="A407" s="210" t="str">
        <f>IFERROR(__xludf.DUMMYFUNCTION("""COMPUTED_VALUE"""),"12240178")</f>
        <v>12240178</v>
      </c>
      <c r="B407" s="210" t="str">
        <f>IFERROR(__xludf.DUMMYFUNCTION("""COMPUTED_VALUE"""),"12240178")</f>
        <v>12240178</v>
      </c>
      <c r="C407" s="213">
        <f>IFERROR(__xludf.DUMMYFUNCTION("""COMPUTED_VALUE"""),45649.35208333333)</f>
        <v>45649.35208</v>
      </c>
      <c r="D407" s="211" t="str">
        <f>IFERROR(__xludf.DUMMYFUNCTION("""COMPUTED_VALUE"""),"3fec37df")</f>
        <v>3fec37df</v>
      </c>
      <c r="E407" s="211" t="str">
        <f>IFERROR(__xludf.DUMMYFUNCTION("""COMPUTED_VALUE"""),"PT Jatim Abadi Perkasa Steel")</f>
        <v>PT Jatim Abadi Perkasa Steel</v>
      </c>
      <c r="F407" s="211" t="str">
        <f>IFERROR(__xludf.DUMMYFUNCTION("""COMPUTED_VALUE"""),"b7a8fff1")</f>
        <v>b7a8fff1</v>
      </c>
      <c r="G407" s="211" t="str">
        <f>IFERROR(__xludf.DUMMYFUNCTION("""COMPUTED_VALUE"""),"LPG 50kg")</f>
        <v>LPG 50kg</v>
      </c>
      <c r="H407" s="214" t="str">
        <f>IFERROR(__xludf.DUMMYFUNCTION("""COMPUTED_VALUE"""),"OUT")</f>
        <v>OUT</v>
      </c>
      <c r="I407" s="214" t="str">
        <f>IFERROR(__xludf.DUMMYFUNCTION("""COMPUTED_VALUE"""),"NORMAL")</f>
        <v>NORMAL</v>
      </c>
      <c r="J407" s="211">
        <f>IFERROR(__xludf.DUMMYFUNCTION("""COMPUTED_VALUE"""),5.0)</f>
        <v>5</v>
      </c>
      <c r="K407" s="211"/>
      <c r="L407" s="211">
        <f>IFERROR(__xludf.DUMMYFUNCTION("""COMPUTED_VALUE"""),855855.855)</f>
        <v>855855.855</v>
      </c>
      <c r="M407" s="211"/>
      <c r="N407" s="211"/>
      <c r="O407" s="211"/>
      <c r="Q407" s="210" t="str">
        <f>IFERROR(__xludf.DUMMYFUNCTION("""COMPUTED_VALUE"""),"01250237")</f>
        <v>01250237</v>
      </c>
      <c r="R407" s="210" t="str">
        <f>IFERROR(__xludf.DUMMYFUNCTION("""COMPUTED_VALUE"""),"01250237")</f>
        <v>01250237</v>
      </c>
      <c r="S407" s="211" t="str">
        <f>IFERROR(__xludf.DUMMYFUNCTION("""COMPUTED_VALUE"""),"e86baf3b")</f>
        <v>e86baf3b</v>
      </c>
      <c r="T407" s="211" t="str">
        <f>IFERROR(__xludf.DUMMYFUNCTION("""COMPUTED_VALUE"""),"PT GEMILANG CIPTA WAWASAN")</f>
        <v>PT GEMILANG CIPTA WAWASAN</v>
      </c>
      <c r="U407" s="215">
        <f>IFERROR(__xludf.DUMMYFUNCTION("""COMPUTED_VALUE"""),45687.5)</f>
        <v>45687.5</v>
      </c>
      <c r="V407" s="211" t="str">
        <f>IFERROR(__xludf.DUMMYFUNCTION("""COMPUTED_VALUE"""),"JL TEBET RAYA, 2A, TEBET BARAT, TEBET, KOTA ADM, JAKARTA SELATAN, DKI JAKARTA")</f>
        <v>JL TEBET RAYA, 2A, TEBET BARAT, TEBET, KOTA ADM, JAKARTA SELATAN, DKI JAKARTA</v>
      </c>
      <c r="W407" s="211" t="str">
        <f>IFERROR(__xludf.DUMMYFUNCTION("""COMPUTED_VALUE"""),"OUT")</f>
        <v>OUT</v>
      </c>
      <c r="X407" s="211"/>
      <c r="Z407" s="211" t="str">
        <f>IFERROR(__xludf.DUMMYFUNCTION("""COMPUTED_VALUE"""),"0126372205")</f>
        <v>0126372205</v>
      </c>
      <c r="AC407" s="211"/>
      <c r="AD407" s="211"/>
      <c r="AE407" s="211"/>
      <c r="AF407" s="211"/>
      <c r="AG407" s="211"/>
      <c r="AH407" s="211"/>
      <c r="AI407" s="211"/>
      <c r="AJ407" s="211"/>
      <c r="AL407" s="211"/>
      <c r="AM407" s="211"/>
      <c r="AN407" s="211"/>
      <c r="AO407" s="211"/>
      <c r="AP407" s="215"/>
      <c r="AQ407" s="218"/>
      <c r="AR407" s="211"/>
      <c r="AS407" s="211"/>
      <c r="AT407" s="211"/>
      <c r="AU407" s="211"/>
      <c r="AV407" s="211"/>
      <c r="AW407" s="211"/>
      <c r="AX407" s="211"/>
      <c r="AY407" s="211"/>
      <c r="AZ407" s="211"/>
      <c r="BB407" s="211"/>
      <c r="BC407" s="211"/>
      <c r="BD407" s="211"/>
      <c r="BE407" s="211"/>
      <c r="BF407" s="211"/>
      <c r="BG407" s="211"/>
      <c r="BH407" s="211"/>
      <c r="BI407" s="211"/>
    </row>
    <row r="408">
      <c r="A408" s="210" t="str">
        <f>IFERROR(__xludf.DUMMYFUNCTION("""COMPUTED_VALUE"""),"125ac596")</f>
        <v>125ac596</v>
      </c>
      <c r="B408" s="210" t="str">
        <f>IFERROR(__xludf.DUMMYFUNCTION("""COMPUTED_VALUE"""),"125ac596")</f>
        <v>125ac596</v>
      </c>
      <c r="C408" s="213">
        <f>IFERROR(__xludf.DUMMYFUNCTION("""COMPUTED_VALUE"""),45649.56041666667)</f>
        <v>45649.56042</v>
      </c>
      <c r="D408" s="211" t="str">
        <f>IFERROR(__xludf.DUMMYFUNCTION("""COMPUTED_VALUE"""),"3fec37df")</f>
        <v>3fec37df</v>
      </c>
      <c r="E408" s="211" t="str">
        <f>IFERROR(__xludf.DUMMYFUNCTION("""COMPUTED_VALUE"""),"PT Jatim Abadi Perkasa Steel")</f>
        <v>PT Jatim Abadi Perkasa Steel</v>
      </c>
      <c r="F408" s="211" t="str">
        <f>IFERROR(__xludf.DUMMYFUNCTION("""COMPUTED_VALUE"""),"b7a8fff1")</f>
        <v>b7a8fff1</v>
      </c>
      <c r="G408" s="211" t="str">
        <f>IFERROR(__xludf.DUMMYFUNCTION("""COMPUTED_VALUE"""),"LPG 50kg")</f>
        <v>LPG 50kg</v>
      </c>
      <c r="H408" s="214" t="str">
        <f>IFERROR(__xludf.DUMMYFUNCTION("""COMPUTED_VALUE"""),"IN")</f>
        <v>IN</v>
      </c>
      <c r="I408" s="214" t="str">
        <f>IFERROR(__xludf.DUMMYFUNCTION("""COMPUTED_VALUE"""),"EMPTY")</f>
        <v>EMPTY</v>
      </c>
      <c r="J408" s="211">
        <f>IFERROR(__xludf.DUMMYFUNCTION("""COMPUTED_VALUE"""),5.0)</f>
        <v>5</v>
      </c>
      <c r="K408" s="211"/>
      <c r="L408" s="211"/>
      <c r="M408" s="211"/>
      <c r="N408" s="211"/>
      <c r="O408" s="211"/>
      <c r="Q408" s="210" t="str">
        <f>IFERROR(__xludf.DUMMYFUNCTION("""COMPUTED_VALUE"""),"e8695bad")</f>
        <v>e8695bad</v>
      </c>
      <c r="R408" s="210" t="str">
        <f>IFERROR(__xludf.DUMMYFUNCTION("""COMPUTED_VALUE"""),"e8695bad")</f>
        <v>e8695bad</v>
      </c>
      <c r="S408" s="211" t="str">
        <f>IFERROR(__xludf.DUMMYFUNCTION("""COMPUTED_VALUE"""),"4a01ccb6")</f>
        <v>4a01ccb6</v>
      </c>
      <c r="T408" s="211" t="str">
        <f>IFERROR(__xludf.DUMMYFUNCTION("""COMPUTED_VALUE"""),"CV ANUGERAH PERSADA TEKNIK")</f>
        <v>CV ANUGERAH PERSADA TEKNIK</v>
      </c>
      <c r="U408" s="215">
        <f>IFERROR(__xludf.DUMMYFUNCTION("""COMPUTED_VALUE"""),45688.461111111115)</f>
        <v>45688.46111</v>
      </c>
      <c r="V408" s="211" t="str">
        <f>IFERROR(__xludf.DUMMYFUNCTION("""COMPUTED_VALUE"""),"JL. Raya Trosobo, Blok 3/14, Taman Sidoarjo Lingkungan Industri Kecil, Sepanjang, Jawa Timur, 61257")</f>
        <v>JL. Raya Trosobo, Blok 3/14, Taman Sidoarjo Lingkungan Industri Kecil, Sepanjang, Jawa Timur, 61257</v>
      </c>
      <c r="W408" s="211" t="str">
        <f>IFERROR(__xludf.DUMMYFUNCTION("""COMPUTED_VALUE"""),"IN")</f>
        <v>IN</v>
      </c>
      <c r="X408" s="211"/>
      <c r="Z408" s="211" t="str">
        <f>IFERROR(__xludf.DUMMYFUNCTION("""COMPUTED_VALUE"""),"012622208")</f>
        <v>012622208</v>
      </c>
      <c r="AC408" s="211"/>
      <c r="AD408" s="211"/>
      <c r="AE408" s="211"/>
      <c r="AF408" s="211"/>
      <c r="AG408" s="211"/>
      <c r="AH408" s="211"/>
      <c r="AI408" s="211"/>
      <c r="AJ408" s="211"/>
      <c r="AL408" s="211"/>
      <c r="AM408" s="211"/>
      <c r="AN408" s="211"/>
      <c r="AO408" s="211"/>
      <c r="AP408" s="215"/>
      <c r="AQ408" s="218"/>
      <c r="AR408" s="211"/>
      <c r="AS408" s="211"/>
      <c r="AT408" s="211"/>
      <c r="AU408" s="211"/>
      <c r="AV408" s="211"/>
      <c r="AW408" s="211"/>
      <c r="AX408" s="211"/>
      <c r="AY408" s="211"/>
      <c r="AZ408" s="211"/>
      <c r="BB408" s="211"/>
      <c r="BC408" s="211"/>
      <c r="BD408" s="211"/>
      <c r="BE408" s="211"/>
      <c r="BF408" s="211"/>
      <c r="BG408" s="211"/>
      <c r="BH408" s="211"/>
      <c r="BI408" s="211"/>
    </row>
    <row r="409">
      <c r="A409" s="210" t="str">
        <f>IFERROR(__xludf.DUMMYFUNCTION("""COMPUTED_VALUE"""),"12240180")</f>
        <v>12240180</v>
      </c>
      <c r="B409" s="210" t="str">
        <f>IFERROR(__xludf.DUMMYFUNCTION("""COMPUTED_VALUE"""),"12240180")</f>
        <v>12240180</v>
      </c>
      <c r="C409" s="213">
        <f>IFERROR(__xludf.DUMMYFUNCTION("""COMPUTED_VALUE"""),45650.854166666664)</f>
        <v>45650.85417</v>
      </c>
      <c r="D409" s="211" t="str">
        <f>IFERROR(__xludf.DUMMYFUNCTION("""COMPUTED_VALUE"""),"a9fe1bea")</f>
        <v>a9fe1bea</v>
      </c>
      <c r="E409" s="211" t="str">
        <f>IFERROR(__xludf.DUMMYFUNCTION("""COMPUTED_VALUE"""),"H. Suheiri")</f>
        <v>H. Suheiri</v>
      </c>
      <c r="F409" s="211" t="str">
        <f>IFERROR(__xludf.DUMMYFUNCTION("""COMPUTED_VALUE"""),"8bdbe149")</f>
        <v>8bdbe149</v>
      </c>
      <c r="G409" s="211" t="str">
        <f>IFERROR(__xludf.DUMMYFUNCTION("""COMPUTED_VALUE"""),"Oksigen 6m3")</f>
        <v>Oksigen 6m3</v>
      </c>
      <c r="H409" s="214" t="str">
        <f>IFERROR(__xludf.DUMMYFUNCTION("""COMPUTED_VALUE"""),"OUT")</f>
        <v>OUT</v>
      </c>
      <c r="I409" s="214" t="str">
        <f>IFERROR(__xludf.DUMMYFUNCTION("""COMPUTED_VALUE"""),"NORMAL")</f>
        <v>NORMAL</v>
      </c>
      <c r="J409" s="211">
        <f>IFERROR(__xludf.DUMMYFUNCTION("""COMPUTED_VALUE"""),30.0)</f>
        <v>30</v>
      </c>
      <c r="K409" s="210" t="str">
        <f>IFERROR(__xludf.DUMMYFUNCTION("""COMPUTED_VALUE"""),"11122 1153 11161 11162 11206 11210 11192 11200 11209 11207 11203 11199 11201 11153 11168 11175 1156 1495 5518 1636 5791 5840 1445 5449 5610 5500 1109 1648 5954 5710")</f>
        <v>11122 1153 11161 11162 11206 11210 11192 11200 11209 11207 11203 11199 11201 11153 11168 11175 1156 1495 5518 1636 5791 5840 1445 5449 5610 5500 1109 1648 5954 5710</v>
      </c>
      <c r="L409" s="211">
        <f>IFERROR(__xludf.DUMMYFUNCTION("""COMPUTED_VALUE"""),50000.0)</f>
        <v>50000</v>
      </c>
      <c r="M409" s="211"/>
      <c r="N409" s="211"/>
      <c r="O409" s="211"/>
      <c r="Q409" s="210" t="str">
        <f>IFERROR(__xludf.DUMMYFUNCTION("""COMPUTED_VALUE"""),"348a4b3e")</f>
        <v>348a4b3e</v>
      </c>
      <c r="R409" s="210" t="str">
        <f>IFERROR(__xludf.DUMMYFUNCTION("""COMPUTED_VALUE"""),"348a4b3e")</f>
        <v>348a4b3e</v>
      </c>
      <c r="S409" s="211" t="str">
        <f>IFERROR(__xludf.DUMMYFUNCTION("""COMPUTED_VALUE"""),"785e0e07")</f>
        <v>785e0e07</v>
      </c>
      <c r="T409" s="211" t="str">
        <f>IFERROR(__xludf.DUMMYFUNCTION("""COMPUTED_VALUE"""),"Bpk. Sukirno (Bejo)")</f>
        <v>Bpk. Sukirno (Bejo)</v>
      </c>
      <c r="U409" s="215">
        <f>IFERROR(__xludf.DUMMYFUNCTION("""COMPUTED_VALUE"""),45688.46666666667)</f>
        <v>45688.46667</v>
      </c>
      <c r="V409" s="211" t="str">
        <f>IFERROR(__xludf.DUMMYFUNCTION("""COMPUTED_VALUE"""),"Krajan I, Wringinanom, Kec. Wringinanom, Kabupaten Gresik, Jawa Timur 61176")</f>
        <v>Krajan I, Wringinanom, Kec. Wringinanom, Kabupaten Gresik, Jawa Timur 61176</v>
      </c>
      <c r="W409" s="211" t="str">
        <f>IFERROR(__xludf.DUMMYFUNCTION("""COMPUTED_VALUE"""),"IN")</f>
        <v>IN</v>
      </c>
      <c r="X409" s="211"/>
      <c r="Z409" s="211" t="str">
        <f>IFERROR(__xludf.DUMMYFUNCTION("""COMPUTED_VALUE"""),"012612207")</f>
        <v>012612207</v>
      </c>
      <c r="AC409" s="211"/>
      <c r="AD409" s="211"/>
      <c r="AE409" s="211"/>
      <c r="AF409" s="211"/>
      <c r="AG409" s="211"/>
      <c r="AH409" s="211"/>
      <c r="AI409" s="211"/>
      <c r="AJ409" s="211"/>
      <c r="AL409" s="211"/>
      <c r="AM409" s="211"/>
      <c r="AN409" s="211"/>
      <c r="AO409" s="211"/>
      <c r="AP409" s="215"/>
      <c r="AQ409" s="218"/>
      <c r="AR409" s="211"/>
      <c r="AS409" s="211"/>
      <c r="AT409" s="211"/>
      <c r="AU409" s="211"/>
      <c r="AV409" s="211"/>
      <c r="AW409" s="211"/>
      <c r="AX409" s="211"/>
      <c r="AY409" s="211"/>
      <c r="AZ409" s="211"/>
      <c r="BB409" s="211"/>
      <c r="BC409" s="211"/>
      <c r="BD409" s="211"/>
      <c r="BE409" s="211"/>
      <c r="BF409" s="211"/>
      <c r="BG409" s="211"/>
      <c r="BH409" s="211"/>
      <c r="BI409" s="211"/>
    </row>
    <row r="410">
      <c r="A410" s="210" t="str">
        <f>IFERROR(__xludf.DUMMYFUNCTION("""COMPUTED_VALUE"""),"a043d723")</f>
        <v>a043d723</v>
      </c>
      <c r="B410" s="210" t="str">
        <f>IFERROR(__xludf.DUMMYFUNCTION("""COMPUTED_VALUE"""),"a043d723")</f>
        <v>a043d723</v>
      </c>
      <c r="C410" s="213">
        <f>IFERROR(__xludf.DUMMYFUNCTION("""COMPUTED_VALUE"""),45649.6875)</f>
        <v>45649.6875</v>
      </c>
      <c r="D410" s="211" t="str">
        <f>IFERROR(__xludf.DUMMYFUNCTION("""COMPUTED_VALUE"""),"785e0e07")</f>
        <v>785e0e07</v>
      </c>
      <c r="E410" s="211" t="str">
        <f>IFERROR(__xludf.DUMMYFUNCTION("""COMPUTED_VALUE"""),"Bpk. Sukirno (Bejo)")</f>
        <v>Bpk. Sukirno (Bejo)</v>
      </c>
      <c r="F410" s="211" t="str">
        <f>IFERROR(__xludf.DUMMYFUNCTION("""COMPUTED_VALUE"""),"8bdbe149")</f>
        <v>8bdbe149</v>
      </c>
      <c r="G410" s="211" t="str">
        <f>IFERROR(__xludf.DUMMYFUNCTION("""COMPUTED_VALUE"""),"Oksigen 6m3")</f>
        <v>Oksigen 6m3</v>
      </c>
      <c r="H410" s="214" t="str">
        <f>IFERROR(__xludf.DUMMYFUNCTION("""COMPUTED_VALUE"""),"IN")</f>
        <v>IN</v>
      </c>
      <c r="I410" s="214" t="str">
        <f>IFERROR(__xludf.DUMMYFUNCTION("""COMPUTED_VALUE"""),"EMPTY")</f>
        <v>EMPTY</v>
      </c>
      <c r="J410" s="211">
        <f>IFERROR(__xludf.DUMMYFUNCTION("""COMPUTED_VALUE"""),3.0)</f>
        <v>3</v>
      </c>
      <c r="K410" s="210" t="str">
        <f>IFERROR(__xludf.DUMMYFUNCTION("""COMPUTED_VALUE"""),"11104 11132 11111")</f>
        <v>11104 11132 11111</v>
      </c>
      <c r="L410" s="211"/>
      <c r="M410" s="211"/>
      <c r="N410" s="211"/>
      <c r="O410" s="211"/>
      <c r="Q410" s="210" t="str">
        <f>IFERROR(__xludf.DUMMYFUNCTION("""COMPUTED_VALUE"""),"4550b9b2")</f>
        <v>4550b9b2</v>
      </c>
      <c r="R410" s="210" t="str">
        <f>IFERROR(__xludf.DUMMYFUNCTION("""COMPUTED_VALUE"""),"4550b9b2")</f>
        <v>4550b9b2</v>
      </c>
      <c r="S410" s="211" t="str">
        <f>IFERROR(__xludf.DUMMYFUNCTION("""COMPUTED_VALUE"""),"37175874")</f>
        <v>37175874</v>
      </c>
      <c r="T410" s="211" t="str">
        <f>IFERROR(__xludf.DUMMYFUNCTION("""COMPUTED_VALUE"""),"PT TERAPAN NILAIOSILASI INDONESIA (TENO)")</f>
        <v>PT TERAPAN NILAIOSILASI INDONESIA (TENO)</v>
      </c>
      <c r="U410" s="215">
        <f>IFERROR(__xludf.DUMMYFUNCTION("""COMPUTED_VALUE"""),45688.46736111111)</f>
        <v>45688.46736</v>
      </c>
      <c r="V410" s="211" t="str">
        <f>IFERROR(__xludf.DUMMYFUNCTION("""COMPUTED_VALUE"""),"JL Raya Kertajaya Indah 153 / P116, Gebang Putih, Sukokilo, Kota Surabaya, Jawa Timur")</f>
        <v>JL Raya Kertajaya Indah 153 / P116, Gebang Putih, Sukokilo, Kota Surabaya, Jawa Timur</v>
      </c>
      <c r="W410" s="211" t="str">
        <f>IFERROR(__xludf.DUMMYFUNCTION("""COMPUTED_VALUE"""),"IN")</f>
        <v>IN</v>
      </c>
      <c r="X410" s="211"/>
      <c r="Z410" s="211" t="str">
        <f>IFERROR(__xludf.DUMMYFUNCTION("""COMPUTED_VALUE"""),"012692202")</f>
        <v>012692202</v>
      </c>
      <c r="AC410" s="211"/>
      <c r="AD410" s="211"/>
      <c r="AE410" s="211"/>
      <c r="AF410" s="211"/>
      <c r="AG410" s="211"/>
      <c r="AH410" s="211"/>
      <c r="AI410" s="211"/>
      <c r="AJ410" s="211"/>
      <c r="AL410" s="211"/>
      <c r="AM410" s="211"/>
      <c r="AN410" s="211"/>
      <c r="AO410" s="211"/>
      <c r="AP410" s="215"/>
      <c r="AQ410" s="218"/>
      <c r="AR410" s="211"/>
      <c r="AS410" s="211"/>
      <c r="AT410" s="211"/>
      <c r="AU410" s="211"/>
      <c r="AV410" s="211"/>
      <c r="AW410" s="211"/>
      <c r="AX410" s="211"/>
      <c r="AY410" s="211"/>
      <c r="AZ410" s="211"/>
      <c r="BB410" s="211"/>
      <c r="BC410" s="211"/>
      <c r="BD410" s="211"/>
      <c r="BE410" s="211"/>
      <c r="BF410" s="211"/>
      <c r="BG410" s="211"/>
      <c r="BH410" s="211"/>
      <c r="BI410" s="211"/>
    </row>
    <row r="411">
      <c r="A411" s="210" t="str">
        <f>IFERROR(__xludf.DUMMYFUNCTION("""COMPUTED_VALUE"""),"a043d723")</f>
        <v>a043d723</v>
      </c>
      <c r="B411" s="210" t="str">
        <f>IFERROR(__xludf.DUMMYFUNCTION("""COMPUTED_VALUE"""),"a043d723")</f>
        <v>a043d723</v>
      </c>
      <c r="C411" s="213">
        <f>IFERROR(__xludf.DUMMYFUNCTION("""COMPUTED_VALUE"""),45649.68819444445)</f>
        <v>45649.68819</v>
      </c>
      <c r="D411" s="211" t="str">
        <f>IFERROR(__xludf.DUMMYFUNCTION("""COMPUTED_VALUE"""),"785e0e07")</f>
        <v>785e0e07</v>
      </c>
      <c r="E411" s="211" t="str">
        <f>IFERROR(__xludf.DUMMYFUNCTION("""COMPUTED_VALUE"""),"Bpk. Sukirno (Bejo)")</f>
        <v>Bpk. Sukirno (Bejo)</v>
      </c>
      <c r="F411" s="211" t="str">
        <f>IFERROR(__xludf.DUMMYFUNCTION("""COMPUTED_VALUE"""),"b7a8fff1")</f>
        <v>b7a8fff1</v>
      </c>
      <c r="G411" s="211" t="str">
        <f>IFERROR(__xludf.DUMMYFUNCTION("""COMPUTED_VALUE"""),"LPG 50kg")</f>
        <v>LPG 50kg</v>
      </c>
      <c r="H411" s="214" t="str">
        <f>IFERROR(__xludf.DUMMYFUNCTION("""COMPUTED_VALUE"""),"IN")</f>
        <v>IN</v>
      </c>
      <c r="I411" s="214" t="str">
        <f>IFERROR(__xludf.DUMMYFUNCTION("""COMPUTED_VALUE"""),"EMPTY")</f>
        <v>EMPTY</v>
      </c>
      <c r="J411" s="211">
        <f>IFERROR(__xludf.DUMMYFUNCTION("""COMPUTED_VALUE"""),2.0)</f>
        <v>2</v>
      </c>
      <c r="K411" s="211"/>
      <c r="L411" s="211"/>
      <c r="M411" s="211"/>
      <c r="N411" s="211"/>
      <c r="O411" s="211"/>
      <c r="Q411" s="210" t="str">
        <f>IFERROR(__xludf.DUMMYFUNCTION("""COMPUTED_VALUE"""),"02250238")</f>
        <v>02250238</v>
      </c>
      <c r="R411" s="210" t="str">
        <f>IFERROR(__xludf.DUMMYFUNCTION("""COMPUTED_VALUE"""),"02250238")</f>
        <v>02250238</v>
      </c>
      <c r="S411" s="211" t="str">
        <f>IFERROR(__xludf.DUMMYFUNCTION("""COMPUTED_VALUE"""),"785e0e07")</f>
        <v>785e0e07</v>
      </c>
      <c r="T411" s="211" t="str">
        <f>IFERROR(__xludf.DUMMYFUNCTION("""COMPUTED_VALUE"""),"Bpk. Sukirno (Bejo)")</f>
        <v>Bpk. Sukirno (Bejo)</v>
      </c>
      <c r="U411" s="215">
        <f>IFERROR(__xludf.DUMMYFUNCTION("""COMPUTED_VALUE"""),45689.558333333334)</f>
        <v>45689.55833</v>
      </c>
      <c r="V411" s="211" t="str">
        <f>IFERROR(__xludf.DUMMYFUNCTION("""COMPUTED_VALUE"""),"Krajan I, Wringinanom, Kec. Wringinanom, Kabupaten Gresik, Jawa Timur 61176")</f>
        <v>Krajan I, Wringinanom, Kec. Wringinanom, Kabupaten Gresik, Jawa Timur 61176</v>
      </c>
      <c r="W411" s="211" t="str">
        <f>IFERROR(__xludf.DUMMYFUNCTION("""COMPUTED_VALUE"""),"OUT")</f>
        <v>OUT</v>
      </c>
      <c r="X411" s="211"/>
      <c r="Z411" s="211" t="str">
        <f>IFERROR(__xludf.DUMMYFUNCTION("""COMPUTED_VALUE"""),"012662198")</f>
        <v>012662198</v>
      </c>
      <c r="AC411" s="211"/>
      <c r="AD411" s="211"/>
      <c r="AE411" s="211"/>
      <c r="AF411" s="211"/>
      <c r="AG411" s="211"/>
      <c r="AH411" s="211"/>
      <c r="AI411" s="211"/>
      <c r="AJ411" s="211"/>
      <c r="AL411" s="211"/>
      <c r="AM411" s="211"/>
      <c r="AN411" s="211"/>
      <c r="AO411" s="211"/>
      <c r="AP411" s="215"/>
      <c r="AQ411" s="218"/>
      <c r="AR411" s="211"/>
      <c r="AS411" s="211"/>
      <c r="AT411" s="211"/>
      <c r="AU411" s="211"/>
      <c r="AV411" s="211"/>
      <c r="AW411" s="211"/>
      <c r="AX411" s="211"/>
      <c r="AY411" s="211"/>
      <c r="AZ411" s="211"/>
      <c r="BB411" s="211"/>
      <c r="BC411" s="211"/>
      <c r="BD411" s="211"/>
      <c r="BE411" s="211"/>
      <c r="BF411" s="211"/>
      <c r="BG411" s="211"/>
      <c r="BH411" s="211"/>
      <c r="BI411" s="211"/>
    </row>
    <row r="412">
      <c r="A412" s="210" t="str">
        <f>IFERROR(__xludf.DUMMYFUNCTION("""COMPUTED_VALUE"""),"0b7b5f21")</f>
        <v>0b7b5f21</v>
      </c>
      <c r="B412" s="210" t="str">
        <f>IFERROR(__xludf.DUMMYFUNCTION("""COMPUTED_VALUE"""),"0b7b5f21")</f>
        <v>0b7b5f21</v>
      </c>
      <c r="C412" s="213">
        <f>IFERROR(__xludf.DUMMYFUNCTION("""COMPUTED_VALUE"""),45649.68819444445)</f>
        <v>45649.68819</v>
      </c>
      <c r="D412" s="211" t="str">
        <f>IFERROR(__xludf.DUMMYFUNCTION("""COMPUTED_VALUE"""),"2d88931c")</f>
        <v>2d88931c</v>
      </c>
      <c r="E412" s="211" t="str">
        <f>IFERROR(__xludf.DUMMYFUNCTION("""COMPUTED_VALUE"""),"PT Dunia Berkat Marga Mulya")</f>
        <v>PT Dunia Berkat Marga Mulya</v>
      </c>
      <c r="F412" s="211" t="str">
        <f>IFERROR(__xludf.DUMMYFUNCTION("""COMPUTED_VALUE"""),"8bdbe149")</f>
        <v>8bdbe149</v>
      </c>
      <c r="G412" s="211" t="str">
        <f>IFERROR(__xludf.DUMMYFUNCTION("""COMPUTED_VALUE"""),"Oksigen 6m3")</f>
        <v>Oksigen 6m3</v>
      </c>
      <c r="H412" s="214" t="str">
        <f>IFERROR(__xludf.DUMMYFUNCTION("""COMPUTED_VALUE"""),"IN")</f>
        <v>IN</v>
      </c>
      <c r="I412" s="214" t="str">
        <f>IFERROR(__xludf.DUMMYFUNCTION("""COMPUTED_VALUE"""),"EMPTY")</f>
        <v>EMPTY</v>
      </c>
      <c r="J412" s="211">
        <f>IFERROR(__xludf.DUMMYFUNCTION("""COMPUTED_VALUE"""),2.0)</f>
        <v>2</v>
      </c>
      <c r="K412" s="210" t="str">
        <f>IFERROR(__xludf.DUMMYFUNCTION("""COMPUTED_VALUE"""),"11125 5425")</f>
        <v>11125 5425</v>
      </c>
      <c r="L412" s="211"/>
      <c r="M412" s="211"/>
      <c r="N412" s="211"/>
      <c r="O412" s="211"/>
      <c r="Q412" s="210" t="str">
        <f>IFERROR(__xludf.DUMMYFUNCTION("""COMPUTED_VALUE"""),"9bc02a51")</f>
        <v>9bc02a51</v>
      </c>
      <c r="R412" s="210" t="str">
        <f>IFERROR(__xludf.DUMMYFUNCTION("""COMPUTED_VALUE"""),"9bc02a51")</f>
        <v>9bc02a51</v>
      </c>
      <c r="S412" s="211" t="str">
        <f>IFERROR(__xludf.DUMMYFUNCTION("""COMPUTED_VALUE"""),"01158be1")</f>
        <v>01158be1</v>
      </c>
      <c r="T412" s="211" t="str">
        <f>IFERROR(__xludf.DUMMYFUNCTION("""COMPUTED_VALUE"""),"GYF")</f>
        <v>GYF</v>
      </c>
      <c r="U412" s="215">
        <f>IFERROR(__xludf.DUMMYFUNCTION("""COMPUTED_VALUE"""),45689.57708333334)</f>
        <v>45689.57708</v>
      </c>
      <c r="V412" s="211" t="str">
        <f>IFERROR(__xludf.DUMMYFUNCTION("""COMPUTED_VALUE"""),"Kangkungan, Lengkong, Kec. Mojoanyar, Kabupaten Mojokerto, Jawa Timur")</f>
        <v>Kangkungan, Lengkong, Kec. Mojoanyar, Kabupaten Mojokerto, Jawa Timur</v>
      </c>
      <c r="W412" s="211" t="str">
        <f>IFERROR(__xludf.DUMMYFUNCTION("""COMPUTED_VALUE"""),"IN")</f>
        <v>IN</v>
      </c>
      <c r="X412" s="211"/>
      <c r="Z412" s="211" t="str">
        <f>IFERROR(__xludf.DUMMYFUNCTION("""COMPUTED_VALUE"""),"0126692197")</f>
        <v>0126692197</v>
      </c>
      <c r="AC412" s="211"/>
      <c r="AD412" s="211"/>
      <c r="AE412" s="211"/>
      <c r="AF412" s="211"/>
      <c r="AG412" s="211"/>
      <c r="AH412" s="211"/>
      <c r="AI412" s="211"/>
      <c r="AJ412" s="211"/>
      <c r="AL412" s="211"/>
      <c r="AM412" s="211"/>
      <c r="AN412" s="211"/>
      <c r="AO412" s="211"/>
      <c r="AP412" s="215"/>
      <c r="AQ412" s="218"/>
      <c r="AR412" s="211"/>
      <c r="AS412" s="211"/>
      <c r="AT412" s="211"/>
      <c r="AU412" s="211"/>
      <c r="AV412" s="211"/>
      <c r="AW412" s="211"/>
      <c r="AX412" s="211"/>
      <c r="AY412" s="211"/>
      <c r="AZ412" s="211"/>
      <c r="BB412" s="211"/>
      <c r="BC412" s="211"/>
      <c r="BD412" s="211"/>
      <c r="BE412" s="211"/>
      <c r="BF412" s="211"/>
      <c r="BG412" s="211"/>
      <c r="BH412" s="211"/>
      <c r="BI412" s="211"/>
    </row>
    <row r="413">
      <c r="A413" s="210" t="str">
        <f>IFERROR(__xludf.DUMMYFUNCTION("""COMPUTED_VALUE"""),"12240181")</f>
        <v>12240181</v>
      </c>
      <c r="B413" s="210" t="str">
        <f>IFERROR(__xludf.DUMMYFUNCTION("""COMPUTED_VALUE"""),"12240181")</f>
        <v>12240181</v>
      </c>
      <c r="C413" s="213">
        <f>IFERROR(__xludf.DUMMYFUNCTION("""COMPUTED_VALUE"""),45650.36111111111)</f>
        <v>45650.36111</v>
      </c>
      <c r="D413" s="211" t="str">
        <f>IFERROR(__xludf.DUMMYFUNCTION("""COMPUTED_VALUE"""),"3fec37df")</f>
        <v>3fec37df</v>
      </c>
      <c r="E413" s="211" t="str">
        <f>IFERROR(__xludf.DUMMYFUNCTION("""COMPUTED_VALUE"""),"PT Jatim Abadi Perkasa Steel")</f>
        <v>PT Jatim Abadi Perkasa Steel</v>
      </c>
      <c r="F413" s="211" t="str">
        <f>IFERROR(__xludf.DUMMYFUNCTION("""COMPUTED_VALUE"""),"b7a8fff1")</f>
        <v>b7a8fff1</v>
      </c>
      <c r="G413" s="211" t="str">
        <f>IFERROR(__xludf.DUMMYFUNCTION("""COMPUTED_VALUE"""),"LPG 50kg")</f>
        <v>LPG 50kg</v>
      </c>
      <c r="H413" s="214" t="str">
        <f>IFERROR(__xludf.DUMMYFUNCTION("""COMPUTED_VALUE"""),"OUT")</f>
        <v>OUT</v>
      </c>
      <c r="I413" s="214" t="str">
        <f>IFERROR(__xludf.DUMMYFUNCTION("""COMPUTED_VALUE"""),"NORMAL")</f>
        <v>NORMAL</v>
      </c>
      <c r="J413" s="211">
        <f>IFERROR(__xludf.DUMMYFUNCTION("""COMPUTED_VALUE"""),4.0)</f>
        <v>4</v>
      </c>
      <c r="K413" s="211"/>
      <c r="L413" s="211">
        <f>IFERROR(__xludf.DUMMYFUNCTION("""COMPUTED_VALUE"""),855855.855)</f>
        <v>855855.855</v>
      </c>
      <c r="M413" s="211"/>
      <c r="N413" s="211"/>
      <c r="O413" s="211"/>
      <c r="Q413" s="210" t="str">
        <f>IFERROR(__xludf.DUMMYFUNCTION("""COMPUTED_VALUE"""),"2340917f")</f>
        <v>2340917f</v>
      </c>
      <c r="R413" s="210" t="str">
        <f>IFERROR(__xludf.DUMMYFUNCTION("""COMPUTED_VALUE"""),"2340917f")</f>
        <v>2340917f</v>
      </c>
      <c r="S413" s="211" t="str">
        <f>IFERROR(__xludf.DUMMYFUNCTION("""COMPUTED_VALUE"""),"785e0e07")</f>
        <v>785e0e07</v>
      </c>
      <c r="T413" s="211" t="str">
        <f>IFERROR(__xludf.DUMMYFUNCTION("""COMPUTED_VALUE"""),"Bpk. Sukirno (Bejo)")</f>
        <v>Bpk. Sukirno (Bejo)</v>
      </c>
      <c r="U413" s="215">
        <f>IFERROR(__xludf.DUMMYFUNCTION("""COMPUTED_VALUE"""),45689.67569444445)</f>
        <v>45689.67569</v>
      </c>
      <c r="V413" s="211" t="str">
        <f>IFERROR(__xludf.DUMMYFUNCTION("""COMPUTED_VALUE"""),"Krajan I, Wringinanom, Kec. Wringinanom, Kabupaten Gresik, Jawa Timur 61176")</f>
        <v>Krajan I, Wringinanom, Kec. Wringinanom, Kabupaten Gresik, Jawa Timur 61176</v>
      </c>
      <c r="W413" s="211" t="str">
        <f>IFERROR(__xludf.DUMMYFUNCTION("""COMPUTED_VALUE"""),"IN")</f>
        <v>IN</v>
      </c>
      <c r="X413" s="211"/>
      <c r="Z413" s="211" t="str">
        <f>IFERROR(__xludf.DUMMYFUNCTION("""COMPUTED_VALUE"""),"0126432196")</f>
        <v>0126432196</v>
      </c>
      <c r="AC413" s="211"/>
      <c r="AD413" s="211"/>
      <c r="AE413" s="211"/>
      <c r="AF413" s="211"/>
      <c r="AG413" s="211"/>
      <c r="AH413" s="211"/>
      <c r="AI413" s="211"/>
      <c r="AJ413" s="211"/>
      <c r="AL413" s="211"/>
      <c r="AM413" s="211"/>
      <c r="AN413" s="211"/>
      <c r="AO413" s="211"/>
      <c r="AP413" s="215"/>
      <c r="AQ413" s="218"/>
      <c r="AR413" s="211"/>
      <c r="AS413" s="211"/>
      <c r="AT413" s="211"/>
      <c r="AU413" s="211"/>
      <c r="AV413" s="211"/>
      <c r="AW413" s="211"/>
      <c r="AX413" s="211"/>
      <c r="AY413" s="211"/>
      <c r="AZ413" s="211"/>
      <c r="BB413" s="211"/>
      <c r="BC413" s="211"/>
      <c r="BD413" s="211"/>
      <c r="BE413" s="211"/>
      <c r="BF413" s="211"/>
      <c r="BG413" s="211"/>
      <c r="BH413" s="211"/>
      <c r="BI413" s="211"/>
    </row>
    <row r="414">
      <c r="A414" s="210" t="str">
        <f>IFERROR(__xludf.DUMMYFUNCTION("""COMPUTED_VALUE"""),"12240182")</f>
        <v>12240182</v>
      </c>
      <c r="B414" s="210" t="str">
        <f>IFERROR(__xludf.DUMMYFUNCTION("""COMPUTED_VALUE"""),"12240182")</f>
        <v>12240182</v>
      </c>
      <c r="C414" s="213">
        <f>IFERROR(__xludf.DUMMYFUNCTION("""COMPUTED_VALUE"""),45650.354166666664)</f>
        <v>45650.35417</v>
      </c>
      <c r="D414" s="211" t="str">
        <f>IFERROR(__xludf.DUMMYFUNCTION("""COMPUTED_VALUE"""),"5449a0b8")</f>
        <v>5449a0b8</v>
      </c>
      <c r="E414" s="211" t="str">
        <f>IFERROR(__xludf.DUMMYFUNCTION("""COMPUTED_VALUE"""),"Bpk. Supar")</f>
        <v>Bpk. Supar</v>
      </c>
      <c r="F414" s="211" t="str">
        <f>IFERROR(__xludf.DUMMYFUNCTION("""COMPUTED_VALUE"""),"8bdbe149")</f>
        <v>8bdbe149</v>
      </c>
      <c r="G414" s="211" t="str">
        <f>IFERROR(__xludf.DUMMYFUNCTION("""COMPUTED_VALUE"""),"Oksigen 6m3")</f>
        <v>Oksigen 6m3</v>
      </c>
      <c r="H414" s="214" t="str">
        <f>IFERROR(__xludf.DUMMYFUNCTION("""COMPUTED_VALUE"""),"OUT")</f>
        <v>OUT</v>
      </c>
      <c r="I414" s="214" t="str">
        <f>IFERROR(__xludf.DUMMYFUNCTION("""COMPUTED_VALUE"""),"NORMAL")</f>
        <v>NORMAL</v>
      </c>
      <c r="J414" s="211">
        <f>IFERROR(__xludf.DUMMYFUNCTION("""COMPUTED_VALUE"""),1.0)</f>
        <v>1</v>
      </c>
      <c r="K414" s="210" t="str">
        <f>IFERROR(__xludf.DUMMYFUNCTION("""COMPUTED_VALUE"""),"1153")</f>
        <v>1153</v>
      </c>
      <c r="L414" s="211">
        <f>IFERROR(__xludf.DUMMYFUNCTION("""COMPUTED_VALUE"""),70000.0)</f>
        <v>70000</v>
      </c>
      <c r="M414" s="211"/>
      <c r="N414" s="211"/>
      <c r="O414" s="211"/>
      <c r="Q414" s="210" t="str">
        <f>IFERROR(__xludf.DUMMYFUNCTION("""COMPUTED_VALUE"""),"5ace096d")</f>
        <v>5ace096d</v>
      </c>
      <c r="R414" s="210" t="str">
        <f>IFERROR(__xludf.DUMMYFUNCTION("""COMPUTED_VALUE"""),"5ace096d")</f>
        <v>5ace096d</v>
      </c>
      <c r="S414" s="211" t="str">
        <f>IFERROR(__xludf.DUMMYFUNCTION("""COMPUTED_VALUE"""),"4a01ccb6")</f>
        <v>4a01ccb6</v>
      </c>
      <c r="T414" s="211" t="str">
        <f>IFERROR(__xludf.DUMMYFUNCTION("""COMPUTED_VALUE"""),"CV ANUGERAH PERSADA TEKNIK")</f>
        <v>CV ANUGERAH PERSADA TEKNIK</v>
      </c>
      <c r="U414" s="215">
        <f>IFERROR(__xludf.DUMMYFUNCTION("""COMPUTED_VALUE"""),45691.45486111111)</f>
        <v>45691.45486</v>
      </c>
      <c r="V414" s="211" t="str">
        <f>IFERROR(__xludf.DUMMYFUNCTION("""COMPUTED_VALUE"""),"JL. Raya Trosobo, Blok 3/14, Taman Sidoarjo Lingkungan Industri Kecil, Sepanjang, Jawa Timur, 61257")</f>
        <v>JL. Raya Trosobo, Blok 3/14, Taman Sidoarjo Lingkungan Industri Kecil, Sepanjang, Jawa Timur, 61257</v>
      </c>
      <c r="W414" s="211" t="str">
        <f>IFERROR(__xludf.DUMMYFUNCTION("""COMPUTED_VALUE"""),"IN")</f>
        <v>IN</v>
      </c>
      <c r="X414" s="211"/>
      <c r="Z414" s="211" t="str">
        <f>IFERROR(__xludf.DUMMYFUNCTION("""COMPUTED_VALUE"""),"0126132195")</f>
        <v>0126132195</v>
      </c>
      <c r="AC414" s="211"/>
      <c r="AD414" s="211"/>
      <c r="AE414" s="211"/>
      <c r="AF414" s="211"/>
      <c r="AG414" s="211"/>
      <c r="AH414" s="211"/>
      <c r="AI414" s="211"/>
      <c r="AJ414" s="211"/>
      <c r="AL414" s="211"/>
      <c r="AM414" s="211"/>
      <c r="AN414" s="211"/>
      <c r="AO414" s="211"/>
      <c r="AP414" s="215"/>
      <c r="AQ414" s="218"/>
      <c r="AR414" s="211"/>
      <c r="AS414" s="211"/>
      <c r="AT414" s="211"/>
      <c r="AU414" s="211"/>
      <c r="AV414" s="211"/>
      <c r="AW414" s="211"/>
      <c r="AX414" s="211"/>
      <c r="AY414" s="211"/>
      <c r="AZ414" s="211"/>
      <c r="BB414" s="211"/>
      <c r="BC414" s="211"/>
      <c r="BD414" s="211"/>
      <c r="BE414" s="211"/>
      <c r="BF414" s="211"/>
      <c r="BG414" s="211"/>
      <c r="BH414" s="211"/>
      <c r="BI414" s="211"/>
    </row>
    <row r="415">
      <c r="A415" s="210" t="str">
        <f>IFERROR(__xludf.DUMMYFUNCTION("""COMPUTED_VALUE"""),"231d48f3")</f>
        <v>231d48f3</v>
      </c>
      <c r="B415" s="210" t="str">
        <f>IFERROR(__xludf.DUMMYFUNCTION("""COMPUTED_VALUE"""),"231d48f3")</f>
        <v>231d48f3</v>
      </c>
      <c r="C415" s="213">
        <f>IFERROR(__xludf.DUMMYFUNCTION("""COMPUTED_VALUE"""),45650.59583333333)</f>
        <v>45650.59583</v>
      </c>
      <c r="D415" s="211" t="str">
        <f>IFERROR(__xludf.DUMMYFUNCTION("""COMPUTED_VALUE"""),"72d9a70c")</f>
        <v>72d9a70c</v>
      </c>
      <c r="E415" s="211" t="str">
        <f>IFERROR(__xludf.DUMMYFUNCTION("""COMPUTED_VALUE"""),"PT Beton Prima Indonesia")</f>
        <v>PT Beton Prima Indonesia</v>
      </c>
      <c r="F415" s="211" t="str">
        <f>IFERROR(__xludf.DUMMYFUNCTION("""COMPUTED_VALUE"""),"8bdbe149")</f>
        <v>8bdbe149</v>
      </c>
      <c r="G415" s="211" t="str">
        <f>IFERROR(__xludf.DUMMYFUNCTION("""COMPUTED_VALUE"""),"Oksigen 6m3")</f>
        <v>Oksigen 6m3</v>
      </c>
      <c r="H415" s="214" t="str">
        <f>IFERROR(__xludf.DUMMYFUNCTION("""COMPUTED_VALUE"""),"IN")</f>
        <v>IN</v>
      </c>
      <c r="I415" s="214" t="str">
        <f>IFERROR(__xludf.DUMMYFUNCTION("""COMPUTED_VALUE"""),"CLAIM")</f>
        <v>CLAIM</v>
      </c>
      <c r="J415" s="211">
        <f>IFERROR(__xludf.DUMMYFUNCTION("""COMPUTED_VALUE"""),1.0)</f>
        <v>1</v>
      </c>
      <c r="K415" s="210" t="str">
        <f>IFERROR(__xludf.DUMMYFUNCTION("""COMPUTED_VALUE"""),"11126")</f>
        <v>11126</v>
      </c>
      <c r="L415" s="211"/>
      <c r="M415" s="211"/>
      <c r="N415" s="211"/>
      <c r="O415" s="211"/>
      <c r="Q415" s="210" t="str">
        <f>IFERROR(__xludf.DUMMYFUNCTION("""COMPUTED_VALUE"""),"dd28eeb9")</f>
        <v>dd28eeb9</v>
      </c>
      <c r="R415" s="210" t="str">
        <f>IFERROR(__xludf.DUMMYFUNCTION("""COMPUTED_VALUE"""),"dd28eeb9")</f>
        <v>dd28eeb9</v>
      </c>
      <c r="S415" s="211" t="str">
        <f>IFERROR(__xludf.DUMMYFUNCTION("""COMPUTED_VALUE"""),"8f5ebaea")</f>
        <v>8f5ebaea</v>
      </c>
      <c r="T415" s="211" t="str">
        <f>IFERROR(__xludf.DUMMYFUNCTION("""COMPUTED_VALUE"""),"PT Hua Zong Mesindo")</f>
        <v>PT Hua Zong Mesindo</v>
      </c>
      <c r="U415" s="215">
        <f>IFERROR(__xludf.DUMMYFUNCTION("""COMPUTED_VALUE"""),45691.46666666667)</f>
        <v>45691.46667</v>
      </c>
      <c r="V415" s="211" t="str">
        <f>IFERROR(__xludf.DUMMYFUNCTION("""COMPUTED_VALUE"""),"Jl. Bypass Krian, Sidotemo, Sidomulyo, Kec. Krian, Kabupaten Sidoarjo, Jawa Timur 61262")</f>
        <v>Jl. Bypass Krian, Sidotemo, Sidomulyo, Kec. Krian, Kabupaten Sidoarjo, Jawa Timur 61262</v>
      </c>
      <c r="W415" s="211" t="str">
        <f>IFERROR(__xludf.DUMMYFUNCTION("""COMPUTED_VALUE"""),"IN")</f>
        <v>IN</v>
      </c>
      <c r="X415" s="211"/>
      <c r="Z415" s="211" t="str">
        <f>IFERROR(__xludf.DUMMYFUNCTION("""COMPUTED_VALUE"""),"0126112190")</f>
        <v>0126112190</v>
      </c>
      <c r="AC415" s="211"/>
      <c r="AD415" s="211"/>
      <c r="AE415" s="211"/>
      <c r="AF415" s="211"/>
      <c r="AG415" s="211"/>
      <c r="AH415" s="211"/>
      <c r="AI415" s="211"/>
      <c r="AJ415" s="211"/>
      <c r="AL415" s="211"/>
      <c r="AM415" s="211"/>
      <c r="AN415" s="211"/>
      <c r="AO415" s="211"/>
      <c r="AP415" s="215"/>
      <c r="AQ415" s="218"/>
      <c r="AR415" s="211"/>
      <c r="AS415" s="211"/>
      <c r="AT415" s="211"/>
      <c r="AU415" s="211"/>
      <c r="AV415" s="211"/>
      <c r="AW415" s="211"/>
      <c r="AX415" s="211"/>
      <c r="AY415" s="211"/>
      <c r="AZ415" s="211"/>
      <c r="BB415" s="211"/>
      <c r="BC415" s="211"/>
      <c r="BD415" s="211"/>
      <c r="BE415" s="211"/>
      <c r="BF415" s="211"/>
      <c r="BG415" s="211"/>
      <c r="BH415" s="211"/>
      <c r="BI415" s="211"/>
    </row>
    <row r="416">
      <c r="A416" s="210" t="str">
        <f>IFERROR(__xludf.DUMMYFUNCTION("""COMPUTED_VALUE"""),"231d48f3")</f>
        <v>231d48f3</v>
      </c>
      <c r="B416" s="210" t="str">
        <f>IFERROR(__xludf.DUMMYFUNCTION("""COMPUTED_VALUE"""),"231d48f3")</f>
        <v>231d48f3</v>
      </c>
      <c r="C416" s="213">
        <f>IFERROR(__xludf.DUMMYFUNCTION("""COMPUTED_VALUE"""),45650.604166666664)</f>
        <v>45650.60417</v>
      </c>
      <c r="D416" s="211" t="str">
        <f>IFERROR(__xludf.DUMMYFUNCTION("""COMPUTED_VALUE"""),"72d9a70c")</f>
        <v>72d9a70c</v>
      </c>
      <c r="E416" s="211" t="str">
        <f>IFERROR(__xludf.DUMMYFUNCTION("""COMPUTED_VALUE"""),"PT Beton Prima Indonesia")</f>
        <v>PT Beton Prima Indonesia</v>
      </c>
      <c r="F416" s="211" t="str">
        <f>IFERROR(__xludf.DUMMYFUNCTION("""COMPUTED_VALUE"""),"8bdbe149")</f>
        <v>8bdbe149</v>
      </c>
      <c r="G416" s="211" t="str">
        <f>IFERROR(__xludf.DUMMYFUNCTION("""COMPUTED_VALUE"""),"Oksigen 6m3")</f>
        <v>Oksigen 6m3</v>
      </c>
      <c r="H416" s="214" t="str">
        <f>IFERROR(__xludf.DUMMYFUNCTION("""COMPUTED_VALUE"""),"IN")</f>
        <v>IN</v>
      </c>
      <c r="I416" s="214" t="str">
        <f>IFERROR(__xludf.DUMMYFUNCTION("""COMPUTED_VALUE"""),"EMPTY")</f>
        <v>EMPTY</v>
      </c>
      <c r="J416" s="211">
        <f>IFERROR(__xludf.DUMMYFUNCTION("""COMPUTED_VALUE"""),7.0)</f>
        <v>7</v>
      </c>
      <c r="K416" s="210" t="str">
        <f>IFERROR(__xludf.DUMMYFUNCTION("""COMPUTED_VALUE"""),"11174 11171 1139 1188 5512 1825 5904")</f>
        <v>11174 11171 1139 1188 5512 1825 5904</v>
      </c>
      <c r="L416" s="211"/>
      <c r="M416" s="211"/>
      <c r="N416" s="211"/>
      <c r="O416" s="211"/>
      <c r="Q416" s="210" t="str">
        <f>IFERROR(__xludf.DUMMYFUNCTION("""COMPUTED_VALUE"""),"4aedb87d")</f>
        <v>4aedb87d</v>
      </c>
      <c r="R416" s="210" t="str">
        <f>IFERROR(__xludf.DUMMYFUNCTION("""COMPUTED_VALUE"""),"4aedb87d")</f>
        <v>4aedb87d</v>
      </c>
      <c r="S416" s="211" t="str">
        <f>IFERROR(__xludf.DUMMYFUNCTION("""COMPUTED_VALUE"""),"8ea74d81")</f>
        <v>8ea74d81</v>
      </c>
      <c r="T416" s="211" t="str">
        <f>IFERROR(__xludf.DUMMYFUNCTION("""COMPUTED_VALUE"""),"Bengkel Adi Putra")</f>
        <v>Bengkel Adi Putra</v>
      </c>
      <c r="U416" s="215">
        <f>IFERROR(__xludf.DUMMYFUNCTION("""COMPUTED_VALUE"""),45691.46944444445)</f>
        <v>45691.46944</v>
      </c>
      <c r="V416" s="211" t="str">
        <f>IFERROR(__xludf.DUMMYFUNCTION("""COMPUTED_VALUE"""),"Bypass Balongbendo")</f>
        <v>Bypass Balongbendo</v>
      </c>
      <c r="W416" s="211" t="str">
        <f>IFERROR(__xludf.DUMMYFUNCTION("""COMPUTED_VALUE"""),"IN")</f>
        <v>IN</v>
      </c>
      <c r="X416" s="211"/>
      <c r="Z416" s="211" t="str">
        <f>IFERROR(__xludf.DUMMYFUNCTION("""COMPUTED_VALUE"""),"0126352189")</f>
        <v>0126352189</v>
      </c>
      <c r="AC416" s="211"/>
      <c r="AD416" s="211"/>
      <c r="AE416" s="211"/>
      <c r="AF416" s="211"/>
      <c r="AG416" s="211"/>
      <c r="AH416" s="211"/>
      <c r="AI416" s="211"/>
      <c r="AJ416" s="211"/>
      <c r="AL416" s="211"/>
      <c r="AM416" s="211"/>
      <c r="AN416" s="211"/>
      <c r="AO416" s="211"/>
      <c r="AP416" s="215"/>
      <c r="AQ416" s="218"/>
      <c r="AR416" s="211"/>
      <c r="AS416" s="211"/>
      <c r="AT416" s="211"/>
      <c r="AU416" s="211"/>
      <c r="AV416" s="211"/>
      <c r="AW416" s="211"/>
      <c r="AX416" s="211"/>
      <c r="AY416" s="211"/>
      <c r="AZ416" s="211"/>
      <c r="BB416" s="211"/>
      <c r="BC416" s="211"/>
      <c r="BD416" s="211"/>
      <c r="BE416" s="211"/>
      <c r="BF416" s="211"/>
      <c r="BG416" s="211"/>
      <c r="BH416" s="211"/>
      <c r="BI416" s="211"/>
    </row>
    <row r="417">
      <c r="A417" s="210" t="str">
        <f>IFERROR(__xludf.DUMMYFUNCTION("""COMPUTED_VALUE"""),"68bfe6e4")</f>
        <v>68bfe6e4</v>
      </c>
      <c r="B417" s="210" t="str">
        <f>IFERROR(__xludf.DUMMYFUNCTION("""COMPUTED_VALUE"""),"68bfe6e4")</f>
        <v>68bfe6e4</v>
      </c>
      <c r="C417" s="213">
        <f>IFERROR(__xludf.DUMMYFUNCTION("""COMPUTED_VALUE"""),45650.606944444444)</f>
        <v>45650.60694</v>
      </c>
      <c r="D417" s="211" t="str">
        <f>IFERROR(__xludf.DUMMYFUNCTION("""COMPUTED_VALUE"""),"3fec37df")</f>
        <v>3fec37df</v>
      </c>
      <c r="E417" s="211" t="str">
        <f>IFERROR(__xludf.DUMMYFUNCTION("""COMPUTED_VALUE"""),"PT Jatim Abadi Perkasa Steel")</f>
        <v>PT Jatim Abadi Perkasa Steel</v>
      </c>
      <c r="F417" s="211" t="str">
        <f>IFERROR(__xludf.DUMMYFUNCTION("""COMPUTED_VALUE"""),"b7a8fff1")</f>
        <v>b7a8fff1</v>
      </c>
      <c r="G417" s="211" t="str">
        <f>IFERROR(__xludf.DUMMYFUNCTION("""COMPUTED_VALUE"""),"LPG 50kg")</f>
        <v>LPG 50kg</v>
      </c>
      <c r="H417" s="214" t="str">
        <f>IFERROR(__xludf.DUMMYFUNCTION("""COMPUTED_VALUE"""),"IN")</f>
        <v>IN</v>
      </c>
      <c r="I417" s="214" t="str">
        <f>IFERROR(__xludf.DUMMYFUNCTION("""COMPUTED_VALUE"""),"EMPTY")</f>
        <v>EMPTY</v>
      </c>
      <c r="J417" s="211">
        <f>IFERROR(__xludf.DUMMYFUNCTION("""COMPUTED_VALUE"""),4.0)</f>
        <v>4</v>
      </c>
      <c r="K417" s="211"/>
      <c r="L417" s="211"/>
      <c r="M417" s="211"/>
      <c r="N417" s="211"/>
      <c r="O417" s="211"/>
      <c r="Q417" s="210" t="str">
        <f>IFERROR(__xludf.DUMMYFUNCTION("""COMPUTED_VALUE"""),"402250008")</f>
        <v>402250008</v>
      </c>
      <c r="R417" s="210" t="str">
        <f>IFERROR(__xludf.DUMMYFUNCTION("""COMPUTED_VALUE"""),"402250008")</f>
        <v>402250008</v>
      </c>
      <c r="S417" s="211" t="str">
        <f>IFERROR(__xludf.DUMMYFUNCTION("""COMPUTED_VALUE"""),"5f23ba17")</f>
        <v>5f23ba17</v>
      </c>
      <c r="T417" s="211" t="str">
        <f>IFERROR(__xludf.DUMMYFUNCTION("""COMPUTED_VALUE"""),"Bpk. Joko (Gresik)")</f>
        <v>Bpk. Joko (Gresik)</v>
      </c>
      <c r="U417" s="215">
        <f>IFERROR(__xludf.DUMMYFUNCTION("""COMPUTED_VALUE"""),45692.35833333334)</f>
        <v>45692.35833</v>
      </c>
      <c r="V417" s="211" t="str">
        <f>IFERROR(__xludf.DUMMYFUNCTION("""COMPUTED_VALUE"""),"Tanggungan, Lebaniwaras, Kec. Wringinanom, Kabupaten Gresik, Jawa Timur")</f>
        <v>Tanggungan, Lebaniwaras, Kec. Wringinanom, Kabupaten Gresik, Jawa Timur</v>
      </c>
      <c r="W417" s="211" t="str">
        <f>IFERROR(__xludf.DUMMYFUNCTION("""COMPUTED_VALUE"""),"OTHER")</f>
        <v>OTHER</v>
      </c>
      <c r="X417" s="211"/>
      <c r="Z417" s="211" t="str">
        <f>IFERROR(__xludf.DUMMYFUNCTION("""COMPUTED_VALUE"""),"0126122188")</f>
        <v>0126122188</v>
      </c>
      <c r="AC417" s="211"/>
      <c r="AD417" s="211"/>
      <c r="AE417" s="211"/>
      <c r="AF417" s="211"/>
      <c r="AG417" s="211"/>
      <c r="AH417" s="211"/>
      <c r="AI417" s="211"/>
      <c r="AJ417" s="211"/>
      <c r="AL417" s="211"/>
      <c r="AM417" s="211"/>
      <c r="AN417" s="211"/>
      <c r="AO417" s="211"/>
      <c r="AP417" s="215"/>
      <c r="AQ417" s="218"/>
      <c r="AR417" s="211"/>
      <c r="AS417" s="211"/>
      <c r="AT417" s="211"/>
      <c r="AU417" s="211"/>
      <c r="AV417" s="211"/>
      <c r="AW417" s="211"/>
      <c r="AX417" s="211"/>
      <c r="AY417" s="211"/>
      <c r="AZ417" s="211"/>
      <c r="BB417" s="211"/>
      <c r="BC417" s="211"/>
      <c r="BD417" s="211"/>
      <c r="BE417" s="211"/>
      <c r="BF417" s="211"/>
      <c r="BG417" s="211"/>
      <c r="BH417" s="211"/>
      <c r="BI417" s="211"/>
    </row>
    <row r="418">
      <c r="A418" s="210" t="str">
        <f>IFERROR(__xludf.DUMMYFUNCTION("""COMPUTED_VALUE"""),"12240183")</f>
        <v>12240183</v>
      </c>
      <c r="B418" s="210" t="str">
        <f>IFERROR(__xludf.DUMMYFUNCTION("""COMPUTED_VALUE"""),"12240183")</f>
        <v>12240183</v>
      </c>
      <c r="C418" s="213">
        <f>IFERROR(__xludf.DUMMYFUNCTION("""COMPUTED_VALUE"""),45650.674305555556)</f>
        <v>45650.67431</v>
      </c>
      <c r="D418" s="211" t="str">
        <f>IFERROR(__xludf.DUMMYFUNCTION("""COMPUTED_VALUE"""),"8f5ebaea")</f>
        <v>8f5ebaea</v>
      </c>
      <c r="E418" s="211" t="str">
        <f>IFERROR(__xludf.DUMMYFUNCTION("""COMPUTED_VALUE"""),"PT Hua Zong Mesindo")</f>
        <v>PT Hua Zong Mesindo</v>
      </c>
      <c r="F418" s="211" t="str">
        <f>IFERROR(__xludf.DUMMYFUNCTION("""COMPUTED_VALUE"""),"8bdbe149")</f>
        <v>8bdbe149</v>
      </c>
      <c r="G418" s="211" t="str">
        <f>IFERROR(__xludf.DUMMYFUNCTION("""COMPUTED_VALUE"""),"Oksigen 6m3")</f>
        <v>Oksigen 6m3</v>
      </c>
      <c r="H418" s="214" t="str">
        <f>IFERROR(__xludf.DUMMYFUNCTION("""COMPUTED_VALUE"""),"OUT")</f>
        <v>OUT</v>
      </c>
      <c r="I418" s="214" t="str">
        <f>IFERROR(__xludf.DUMMYFUNCTION("""COMPUTED_VALUE"""),"NORMAL")</f>
        <v>NORMAL</v>
      </c>
      <c r="J418" s="211">
        <f>IFERROR(__xludf.DUMMYFUNCTION("""COMPUTED_VALUE"""),5.0)</f>
        <v>5</v>
      </c>
      <c r="K418" s="210" t="str">
        <f>IFERROR(__xludf.DUMMYFUNCTION("""COMPUTED_VALUE"""),"11104 11111 11126 11125 1188")</f>
        <v>11104 11111 11126 11125 1188</v>
      </c>
      <c r="L418" s="211">
        <f>IFERROR(__xludf.DUMMYFUNCTION("""COMPUTED_VALUE"""),60000.0)</f>
        <v>60000</v>
      </c>
      <c r="M418" s="211"/>
      <c r="N418" s="211"/>
      <c r="O418" s="211"/>
      <c r="Q418" s="210" t="str">
        <f>IFERROR(__xludf.DUMMYFUNCTION("""COMPUTED_VALUE"""),"02250239")</f>
        <v>02250239</v>
      </c>
      <c r="R418" s="210" t="str">
        <f>IFERROR(__xludf.DUMMYFUNCTION("""COMPUTED_VALUE"""),"02250239")</f>
        <v>02250239</v>
      </c>
      <c r="S418" s="211" t="str">
        <f>IFERROR(__xludf.DUMMYFUNCTION("""COMPUTED_VALUE"""),"5f23ba17")</f>
        <v>5f23ba17</v>
      </c>
      <c r="T418" s="211" t="str">
        <f>IFERROR(__xludf.DUMMYFUNCTION("""COMPUTED_VALUE"""),"Bpk. Joko (Gresik)")</f>
        <v>Bpk. Joko (Gresik)</v>
      </c>
      <c r="U418" s="215">
        <f>IFERROR(__xludf.DUMMYFUNCTION("""COMPUTED_VALUE"""),45692.35833333334)</f>
        <v>45692.35833</v>
      </c>
      <c r="V418" s="211" t="str">
        <f>IFERROR(__xludf.DUMMYFUNCTION("""COMPUTED_VALUE"""),"Tanggungan, Lebaniwaras, Kec. Wringinanom, Kabupaten Gresik, Jawa Timur")</f>
        <v>Tanggungan, Lebaniwaras, Kec. Wringinanom, Kabupaten Gresik, Jawa Timur</v>
      </c>
      <c r="W418" s="211" t="str">
        <f>IFERROR(__xludf.DUMMYFUNCTION("""COMPUTED_VALUE"""),"OUT")</f>
        <v>OUT</v>
      </c>
      <c r="X418" s="211"/>
      <c r="Z418" s="211" t="str">
        <f>IFERROR(__xludf.DUMMYFUNCTION("""COMPUTED_VALUE"""),"0126682181")</f>
        <v>0126682181</v>
      </c>
      <c r="AC418" s="211"/>
      <c r="AD418" s="211"/>
      <c r="AE418" s="211"/>
      <c r="AF418" s="211"/>
      <c r="AG418" s="211"/>
      <c r="AH418" s="211"/>
      <c r="AI418" s="211"/>
      <c r="AJ418" s="211"/>
      <c r="AL418" s="211"/>
      <c r="AM418" s="211"/>
      <c r="AN418" s="211"/>
      <c r="AO418" s="211"/>
      <c r="AP418" s="215"/>
      <c r="AQ418" s="218"/>
      <c r="AR418" s="211"/>
      <c r="AS418" s="211"/>
      <c r="AT418" s="211"/>
      <c r="AU418" s="211"/>
      <c r="AV418" s="211"/>
      <c r="AW418" s="211"/>
      <c r="AX418" s="211"/>
      <c r="AY418" s="211"/>
      <c r="AZ418" s="211"/>
      <c r="BB418" s="211"/>
      <c r="BC418" s="211"/>
      <c r="BD418" s="211"/>
      <c r="BE418" s="211"/>
      <c r="BF418" s="211"/>
      <c r="BG418" s="211"/>
      <c r="BH418" s="211"/>
      <c r="BI418" s="211"/>
    </row>
    <row r="419">
      <c r="A419" s="210" t="str">
        <f>IFERROR(__xludf.DUMMYFUNCTION("""COMPUTED_VALUE"""),"12240183")</f>
        <v>12240183</v>
      </c>
      <c r="B419" s="210" t="str">
        <f>IFERROR(__xludf.DUMMYFUNCTION("""COMPUTED_VALUE"""),"12240183")</f>
        <v>12240183</v>
      </c>
      <c r="C419" s="213">
        <f>IFERROR(__xludf.DUMMYFUNCTION("""COMPUTED_VALUE"""),45650.675)</f>
        <v>45650.675</v>
      </c>
      <c r="D419" s="211" t="str">
        <f>IFERROR(__xludf.DUMMYFUNCTION("""COMPUTED_VALUE"""),"8f5ebaea")</f>
        <v>8f5ebaea</v>
      </c>
      <c r="E419" s="211" t="str">
        <f>IFERROR(__xludf.DUMMYFUNCTION("""COMPUTED_VALUE"""),"PT Hua Zong Mesindo")</f>
        <v>PT Hua Zong Mesindo</v>
      </c>
      <c r="F419" s="211" t="str">
        <f>IFERROR(__xludf.DUMMYFUNCTION("""COMPUTED_VALUE"""),"66af7c72")</f>
        <v>66af7c72</v>
      </c>
      <c r="G419" s="211" t="str">
        <f>IFERROR(__xludf.DUMMYFUNCTION("""COMPUTED_VALUE"""),"Argon 6m3")</f>
        <v>Argon 6m3</v>
      </c>
      <c r="H419" s="214" t="str">
        <f>IFERROR(__xludf.DUMMYFUNCTION("""COMPUTED_VALUE"""),"OUT")</f>
        <v>OUT</v>
      </c>
      <c r="I419" s="214" t="str">
        <f>IFERROR(__xludf.DUMMYFUNCTION("""COMPUTED_VALUE"""),"NORMAL")</f>
        <v>NORMAL</v>
      </c>
      <c r="J419" s="211">
        <f>IFERROR(__xludf.DUMMYFUNCTION("""COMPUTED_VALUE"""),4.0)</f>
        <v>4</v>
      </c>
      <c r="K419" s="210" t="str">
        <f>IFERROR(__xludf.DUMMYFUNCTION("""COMPUTED_VALUE"""),"8091 12007 8123 8137")</f>
        <v>8091 12007 8123 8137</v>
      </c>
      <c r="L419" s="211">
        <f>IFERROR(__xludf.DUMMYFUNCTION("""COMPUTED_VALUE"""),190000.0)</f>
        <v>190000</v>
      </c>
      <c r="M419" s="211"/>
      <c r="N419" s="211"/>
      <c r="O419" s="211"/>
      <c r="Q419" s="210" t="str">
        <f>IFERROR(__xludf.DUMMYFUNCTION("""COMPUTED_VALUE"""),"02250240")</f>
        <v>02250240</v>
      </c>
      <c r="R419" s="210" t="str">
        <f>IFERROR(__xludf.DUMMYFUNCTION("""COMPUTED_VALUE"""),"02250240")</f>
        <v>02250240</v>
      </c>
      <c r="S419" s="211" t="str">
        <f>IFERROR(__xludf.DUMMYFUNCTION("""COMPUTED_VALUE"""),"3fec37df")</f>
        <v>3fec37df</v>
      </c>
      <c r="T419" s="211" t="str">
        <f>IFERROR(__xludf.DUMMYFUNCTION("""COMPUTED_VALUE"""),"PT Jatim Abadi Perkasa Steel")</f>
        <v>PT Jatim Abadi Perkasa Steel</v>
      </c>
      <c r="U419" s="215">
        <f>IFERROR(__xludf.DUMMYFUNCTION("""COMPUTED_VALUE"""),45692.35902777778)</f>
        <v>45692.35903</v>
      </c>
      <c r="V419" s="211" t="str">
        <f>IFERROR(__xludf.DUMMYFUNCTION("""COMPUTED_VALUE"""),"Dsn. Bulak Sempuh, Jatirejo, Kab. Mojokerto, Jawa Timur")</f>
        <v>Dsn. Bulak Sempuh, Jatirejo, Kab. Mojokerto, Jawa Timur</v>
      </c>
      <c r="W419" s="211" t="str">
        <f>IFERROR(__xludf.DUMMYFUNCTION("""COMPUTED_VALUE"""),"OUT")</f>
        <v>OUT</v>
      </c>
      <c r="X419" s="211"/>
      <c r="Z419" s="211" t="str">
        <f>IFERROR(__xludf.DUMMYFUNCTION("""COMPUTED_VALUE"""),"012692180")</f>
        <v>012692180</v>
      </c>
      <c r="AC419" s="211"/>
      <c r="AD419" s="211"/>
      <c r="AE419" s="211"/>
      <c r="AF419" s="211"/>
      <c r="AG419" s="211"/>
      <c r="AH419" s="211"/>
      <c r="AI419" s="211"/>
      <c r="AJ419" s="211"/>
      <c r="AL419" s="211"/>
      <c r="AM419" s="211"/>
      <c r="AN419" s="211"/>
      <c r="AO419" s="211"/>
      <c r="AP419" s="215"/>
      <c r="AQ419" s="218"/>
      <c r="AR419" s="211"/>
      <c r="AS419" s="211"/>
      <c r="AT419" s="211"/>
      <c r="AU419" s="211"/>
      <c r="AV419" s="211"/>
      <c r="AW419" s="211"/>
      <c r="AX419" s="211"/>
      <c r="AY419" s="211"/>
      <c r="AZ419" s="211"/>
      <c r="BB419" s="211"/>
      <c r="BC419" s="211"/>
      <c r="BD419" s="211"/>
      <c r="BE419" s="211"/>
      <c r="BF419" s="211"/>
      <c r="BG419" s="211"/>
      <c r="BH419" s="211"/>
      <c r="BI419" s="211"/>
    </row>
    <row r="420">
      <c r="A420" s="210" t="str">
        <f>IFERROR(__xludf.DUMMYFUNCTION("""COMPUTED_VALUE"""),"12240185")</f>
        <v>12240185</v>
      </c>
      <c r="B420" s="210" t="str">
        <f>IFERROR(__xludf.DUMMYFUNCTION("""COMPUTED_VALUE"""),"12240185")</f>
        <v>12240185</v>
      </c>
      <c r="C420" s="213">
        <f>IFERROR(__xludf.DUMMYFUNCTION("""COMPUTED_VALUE"""),45651.345138888886)</f>
        <v>45651.34514</v>
      </c>
      <c r="D420" s="211" t="str">
        <f>IFERROR(__xludf.DUMMYFUNCTION("""COMPUTED_VALUE"""),"01158be1")</f>
        <v>01158be1</v>
      </c>
      <c r="E420" s="211" t="str">
        <f>IFERROR(__xludf.DUMMYFUNCTION("""COMPUTED_VALUE"""),"GYF")</f>
        <v>GYF</v>
      </c>
      <c r="F420" s="211" t="str">
        <f>IFERROR(__xludf.DUMMYFUNCTION("""COMPUTED_VALUE"""),"8bdbe149")</f>
        <v>8bdbe149</v>
      </c>
      <c r="G420" s="211" t="str">
        <f>IFERROR(__xludf.DUMMYFUNCTION("""COMPUTED_VALUE"""),"Oksigen 6m3")</f>
        <v>Oksigen 6m3</v>
      </c>
      <c r="H420" s="214" t="str">
        <f>IFERROR(__xludf.DUMMYFUNCTION("""COMPUTED_VALUE"""),"OUT")</f>
        <v>OUT</v>
      </c>
      <c r="I420" s="214" t="str">
        <f>IFERROR(__xludf.DUMMYFUNCTION("""COMPUTED_VALUE"""),"NORMAL")</f>
        <v>NORMAL</v>
      </c>
      <c r="J420" s="211">
        <f>IFERROR(__xludf.DUMMYFUNCTION("""COMPUTED_VALUE"""),20.0)</f>
        <v>20</v>
      </c>
      <c r="K420" s="210" t="str">
        <f>IFERROR(__xludf.DUMMYFUNCTION("""COMPUTED_VALUE"""),"5425 5904 1825 11132 5512 11171 11174 1373 5885 00001 00002 00003 00004 00005 00006 00007 00008 00009 00010 00011")</f>
        <v>5425 5904 1825 11132 5512 11171 11174 1373 5885 00001 00002 00003 00004 00005 00006 00007 00008 00009 00010 00011</v>
      </c>
      <c r="L420" s="211">
        <f>IFERROR(__xludf.DUMMYFUNCTION("""COMPUTED_VALUE"""),45000.0)</f>
        <v>45000</v>
      </c>
      <c r="M420" s="211"/>
      <c r="N420" s="211"/>
      <c r="O420" s="211"/>
      <c r="Q420" s="210" t="str">
        <f>IFERROR(__xludf.DUMMYFUNCTION("""COMPUTED_VALUE"""),"02250241")</f>
        <v>02250241</v>
      </c>
      <c r="R420" s="210" t="str">
        <f>IFERROR(__xludf.DUMMYFUNCTION("""COMPUTED_VALUE"""),"02250241")</f>
        <v>02250241</v>
      </c>
      <c r="S420" s="211" t="str">
        <f>IFERROR(__xludf.DUMMYFUNCTION("""COMPUTED_VALUE"""),"103f3ae7")</f>
        <v>103f3ae7</v>
      </c>
      <c r="T420" s="211" t="str">
        <f>IFERROR(__xludf.DUMMYFUNCTION("""COMPUTED_VALUE"""),"PT ARYANA CAKASANA")</f>
        <v>PT ARYANA CAKASANA</v>
      </c>
      <c r="U420" s="215">
        <f>IFERROR(__xludf.DUMMYFUNCTION("""COMPUTED_VALUE"""),45692.361805555556)</f>
        <v>45692.36181</v>
      </c>
      <c r="V420" s="211" t="str">
        <f>IFERROR(__xludf.DUMMYFUNCTION("""COMPUTED_VALUE"""),"Jl Raya Tarik No. 45, Wonokupang, Bakalan, Balongbendo")</f>
        <v>Jl Raya Tarik No. 45, Wonokupang, Bakalan, Balongbendo</v>
      </c>
      <c r="W420" s="211" t="str">
        <f>IFERROR(__xludf.DUMMYFUNCTION("""COMPUTED_VALUE"""),"OUT")</f>
        <v>OUT</v>
      </c>
      <c r="X420" s="211"/>
      <c r="Z420" s="211" t="str">
        <f>IFERROR(__xludf.DUMMYFUNCTION("""COMPUTED_VALUE"""),"012682179")</f>
        <v>012682179</v>
      </c>
      <c r="AC420" s="211"/>
      <c r="AD420" s="211"/>
      <c r="AE420" s="211"/>
      <c r="AF420" s="211"/>
      <c r="AG420" s="211"/>
      <c r="AH420" s="211"/>
      <c r="AI420" s="211"/>
      <c r="AJ420" s="211"/>
      <c r="AL420" s="211"/>
      <c r="AM420" s="211"/>
      <c r="AN420" s="211"/>
      <c r="AO420" s="211"/>
      <c r="AP420" s="215"/>
      <c r="AQ420" s="218"/>
      <c r="AR420" s="211"/>
      <c r="AS420" s="211"/>
      <c r="AT420" s="211"/>
      <c r="AU420" s="211"/>
      <c r="AV420" s="211"/>
      <c r="AW420" s="211"/>
      <c r="AX420" s="211"/>
      <c r="AY420" s="211"/>
      <c r="AZ420" s="211"/>
      <c r="BB420" s="211"/>
      <c r="BC420" s="211"/>
      <c r="BD420" s="211"/>
      <c r="BE420" s="211"/>
      <c r="BF420" s="211"/>
      <c r="BG420" s="211"/>
      <c r="BH420" s="211"/>
      <c r="BI420" s="211"/>
    </row>
    <row r="421">
      <c r="A421" s="210" t="str">
        <f>IFERROR(__xludf.DUMMYFUNCTION("""COMPUTED_VALUE"""),"12240186")</f>
        <v>12240186</v>
      </c>
      <c r="B421" s="210" t="str">
        <f>IFERROR(__xludf.DUMMYFUNCTION("""COMPUTED_VALUE"""),"12240186")</f>
        <v>12240186</v>
      </c>
      <c r="C421" s="213">
        <f>IFERROR(__xludf.DUMMYFUNCTION("""COMPUTED_VALUE"""),45653.6375)</f>
        <v>45653.6375</v>
      </c>
      <c r="D421" s="211" t="str">
        <f>IFERROR(__xludf.DUMMYFUNCTION("""COMPUTED_VALUE"""),"785e0e07")</f>
        <v>785e0e07</v>
      </c>
      <c r="E421" s="211" t="str">
        <f>IFERROR(__xludf.DUMMYFUNCTION("""COMPUTED_VALUE"""),"Bpk. Sukirno (Bejo)")</f>
        <v>Bpk. Sukirno (Bejo)</v>
      </c>
      <c r="F421" s="211" t="str">
        <f>IFERROR(__xludf.DUMMYFUNCTION("""COMPUTED_VALUE"""),"8bdbe149")</f>
        <v>8bdbe149</v>
      </c>
      <c r="G421" s="211" t="str">
        <f>IFERROR(__xludf.DUMMYFUNCTION("""COMPUTED_VALUE"""),"Oksigen 6m3")</f>
        <v>Oksigen 6m3</v>
      </c>
      <c r="H421" s="214" t="str">
        <f>IFERROR(__xludf.DUMMYFUNCTION("""COMPUTED_VALUE"""),"OUT")</f>
        <v>OUT</v>
      </c>
      <c r="I421" s="214" t="str">
        <f>IFERROR(__xludf.DUMMYFUNCTION("""COMPUTED_VALUE"""),"NORMAL")</f>
        <v>NORMAL</v>
      </c>
      <c r="J421" s="211">
        <f>IFERROR(__xludf.DUMMYFUNCTION("""COMPUTED_VALUE"""),15.0)</f>
        <v>15</v>
      </c>
      <c r="K421" s="210" t="str">
        <f>IFERROR(__xludf.DUMMYFUNCTION("""COMPUTED_VALUE"""),"1139 1156 11163 11129 11208 11145 11204 11158 1124 11112 1107 11165 1368 5815 5211")</f>
        <v>1139 1156 11163 11129 11208 11145 11204 11158 1124 11112 1107 11165 1368 5815 5211</v>
      </c>
      <c r="L421" s="211">
        <f>IFERROR(__xludf.DUMMYFUNCTION("""COMPUTED_VALUE"""),60000.0)</f>
        <v>60000</v>
      </c>
      <c r="M421" s="211"/>
      <c r="N421" s="211"/>
      <c r="O421" s="211"/>
      <c r="Q421" s="210" t="str">
        <f>IFERROR(__xludf.DUMMYFUNCTION("""COMPUTED_VALUE"""),"02250242")</f>
        <v>02250242</v>
      </c>
      <c r="R421" s="210" t="str">
        <f>IFERROR(__xludf.DUMMYFUNCTION("""COMPUTED_VALUE"""),"02250242")</f>
        <v>02250242</v>
      </c>
      <c r="S421" s="211" t="str">
        <f>IFERROR(__xludf.DUMMYFUNCTION("""COMPUTED_VALUE"""),"4ec68cf6")</f>
        <v>4ec68cf6</v>
      </c>
      <c r="T421" s="211" t="str">
        <f>IFERROR(__xludf.DUMMYFUNCTION("""COMPUTED_VALUE"""),"CV Sido Mukti Karya")</f>
        <v>CV Sido Mukti Karya</v>
      </c>
      <c r="U421" s="215">
        <f>IFERROR(__xludf.DUMMYFUNCTION("""COMPUTED_VALUE"""),45692.4)</f>
        <v>45692.4</v>
      </c>
      <c r="V421" s="211" t="str">
        <f>IFERROR(__xludf.DUMMYFUNCTION("""COMPUTED_VALUE"""),"Pergudangan Center Point no A3, Kemangsen")</f>
        <v>Pergudangan Center Point no A3, Kemangsen</v>
      </c>
      <c r="W421" s="211" t="str">
        <f>IFERROR(__xludf.DUMMYFUNCTION("""COMPUTED_VALUE"""),"OUT")</f>
        <v>OUT</v>
      </c>
      <c r="X421" s="211"/>
      <c r="Z421" s="211" t="str">
        <f>IFERROR(__xludf.DUMMYFUNCTION("""COMPUTED_VALUE"""),"0126672178")</f>
        <v>0126672178</v>
      </c>
      <c r="AC421" s="211"/>
      <c r="AD421" s="211"/>
      <c r="AE421" s="211"/>
      <c r="AF421" s="211"/>
      <c r="AG421" s="211"/>
      <c r="AH421" s="211"/>
      <c r="AI421" s="211"/>
      <c r="AJ421" s="211"/>
      <c r="AL421" s="211"/>
      <c r="AM421" s="211"/>
      <c r="AN421" s="211"/>
      <c r="AO421" s="211"/>
      <c r="AP421" s="215"/>
      <c r="AQ421" s="218"/>
      <c r="AR421" s="211"/>
      <c r="AS421" s="211"/>
      <c r="AT421" s="211"/>
      <c r="AU421" s="211"/>
      <c r="AV421" s="211"/>
      <c r="AW421" s="211"/>
      <c r="AX421" s="211"/>
      <c r="AY421" s="211"/>
      <c r="AZ421" s="211"/>
      <c r="BB421" s="211"/>
      <c r="BC421" s="211"/>
      <c r="BD421" s="211"/>
      <c r="BE421" s="211"/>
      <c r="BF421" s="211"/>
      <c r="BG421" s="211"/>
      <c r="BH421" s="211"/>
      <c r="BI421" s="211"/>
    </row>
    <row r="422">
      <c r="A422" s="210" t="str">
        <f>IFERROR(__xludf.DUMMYFUNCTION("""COMPUTED_VALUE"""),"12240187")</f>
        <v>12240187</v>
      </c>
      <c r="B422" s="210" t="str">
        <f>IFERROR(__xludf.DUMMYFUNCTION("""COMPUTED_VALUE"""),"12240187")</f>
        <v>12240187</v>
      </c>
      <c r="C422" s="213">
        <f>IFERROR(__xludf.DUMMYFUNCTION("""COMPUTED_VALUE"""),45654.36111111111)</f>
        <v>45654.36111</v>
      </c>
      <c r="D422" s="211" t="str">
        <f>IFERROR(__xludf.DUMMYFUNCTION("""COMPUTED_VALUE"""),"06d600f6")</f>
        <v>06d600f6</v>
      </c>
      <c r="E422" s="211" t="str">
        <f>IFERROR(__xludf.DUMMYFUNCTION("""COMPUTED_VALUE"""),"Ibu Ida")</f>
        <v>Ibu Ida</v>
      </c>
      <c r="F422" s="211" t="str">
        <f>IFERROR(__xludf.DUMMYFUNCTION("""COMPUTED_VALUE"""),"8bdbe149")</f>
        <v>8bdbe149</v>
      </c>
      <c r="G422" s="211" t="str">
        <f>IFERROR(__xludf.DUMMYFUNCTION("""COMPUTED_VALUE"""),"Oksigen 6m3")</f>
        <v>Oksigen 6m3</v>
      </c>
      <c r="H422" s="214" t="str">
        <f>IFERROR(__xludf.DUMMYFUNCTION("""COMPUTED_VALUE"""),"OUT")</f>
        <v>OUT</v>
      </c>
      <c r="I422" s="214" t="str">
        <f>IFERROR(__xludf.DUMMYFUNCTION("""COMPUTED_VALUE"""),"NORMAL")</f>
        <v>NORMAL</v>
      </c>
      <c r="J422" s="211">
        <f>IFERROR(__xludf.DUMMYFUNCTION("""COMPUTED_VALUE"""),4.0)</f>
        <v>4</v>
      </c>
      <c r="K422" s="210" t="str">
        <f>IFERROR(__xludf.DUMMYFUNCTION("""COMPUTED_VALUE"""),"11133 1173 1170 1175")</f>
        <v>11133 1173 1170 1175</v>
      </c>
      <c r="L422" s="211">
        <f>IFERROR(__xludf.DUMMYFUNCTION("""COMPUTED_VALUE"""),50000.0)</f>
        <v>50000</v>
      </c>
      <c r="M422" s="211"/>
      <c r="N422" s="211"/>
      <c r="O422" s="211"/>
      <c r="Q422" s="210" t="str">
        <f>IFERROR(__xludf.DUMMYFUNCTION("""COMPUTED_VALUE"""),"0d0d89e0")</f>
        <v>0d0d89e0</v>
      </c>
      <c r="R422" s="210" t="str">
        <f>IFERROR(__xludf.DUMMYFUNCTION("""COMPUTED_VALUE"""),"0d0d89e0")</f>
        <v>0d0d89e0</v>
      </c>
      <c r="S422" s="211" t="str">
        <f>IFERROR(__xludf.DUMMYFUNCTION("""COMPUTED_VALUE"""),"5f23ba17")</f>
        <v>5f23ba17</v>
      </c>
      <c r="T422" s="211" t="str">
        <f>IFERROR(__xludf.DUMMYFUNCTION("""COMPUTED_VALUE"""),"Bpk. Joko (Gresik)")</f>
        <v>Bpk. Joko (Gresik)</v>
      </c>
      <c r="U422" s="215">
        <f>IFERROR(__xludf.DUMMYFUNCTION("""COMPUTED_VALUE"""),45691.429861111115)</f>
        <v>45691.42986</v>
      </c>
      <c r="V422" s="211" t="str">
        <f>IFERROR(__xludf.DUMMYFUNCTION("""COMPUTED_VALUE"""),"Tanggungan, Lebaniwaras, Kec. Wringinanom, Kabupaten Gresik, Jawa Timur")</f>
        <v>Tanggungan, Lebaniwaras, Kec. Wringinanom, Kabupaten Gresik, Jawa Timur</v>
      </c>
      <c r="W422" s="211" t="str">
        <f>IFERROR(__xludf.DUMMYFUNCTION("""COMPUTED_VALUE"""),"IN")</f>
        <v>IN</v>
      </c>
      <c r="X422" s="211"/>
      <c r="Z422" s="211" t="str">
        <f>IFERROR(__xludf.DUMMYFUNCTION("""COMPUTED_VALUE"""),"012632173")</f>
        <v>012632173</v>
      </c>
      <c r="AC422" s="211"/>
      <c r="AD422" s="211"/>
      <c r="AE422" s="211"/>
      <c r="AF422" s="211"/>
      <c r="AG422" s="211"/>
      <c r="AH422" s="211"/>
      <c r="AI422" s="211"/>
      <c r="AJ422" s="211"/>
      <c r="AL422" s="211"/>
      <c r="AM422" s="211"/>
      <c r="AN422" s="211"/>
      <c r="AO422" s="211"/>
      <c r="AP422" s="215"/>
      <c r="AQ422" s="218"/>
      <c r="AR422" s="211"/>
      <c r="AS422" s="211"/>
      <c r="AT422" s="211"/>
      <c r="AU422" s="211"/>
      <c r="AV422" s="211"/>
      <c r="AW422" s="211"/>
      <c r="AX422" s="211"/>
      <c r="AY422" s="211"/>
      <c r="AZ422" s="211"/>
      <c r="BB422" s="211"/>
      <c r="BC422" s="211"/>
      <c r="BD422" s="211"/>
      <c r="BE422" s="211"/>
      <c r="BF422" s="211"/>
      <c r="BG422" s="211"/>
      <c r="BH422" s="211"/>
      <c r="BI422" s="211"/>
    </row>
    <row r="423">
      <c r="A423" s="210" t="str">
        <f>IFERROR(__xludf.DUMMYFUNCTION("""COMPUTED_VALUE"""),"12240187")</f>
        <v>12240187</v>
      </c>
      <c r="B423" s="210" t="str">
        <f>IFERROR(__xludf.DUMMYFUNCTION("""COMPUTED_VALUE"""),"12240187")</f>
        <v>12240187</v>
      </c>
      <c r="C423" s="213">
        <f>IFERROR(__xludf.DUMMYFUNCTION("""COMPUTED_VALUE"""),45654.3625)</f>
        <v>45654.3625</v>
      </c>
      <c r="D423" s="211" t="str">
        <f>IFERROR(__xludf.DUMMYFUNCTION("""COMPUTED_VALUE"""),"06d600f6")</f>
        <v>06d600f6</v>
      </c>
      <c r="E423" s="211" t="str">
        <f>IFERROR(__xludf.DUMMYFUNCTION("""COMPUTED_VALUE"""),"Ibu Ida")</f>
        <v>Ibu Ida</v>
      </c>
      <c r="F423" s="211" t="str">
        <f>IFERROR(__xludf.DUMMYFUNCTION("""COMPUTED_VALUE"""),"f6aab7a9")</f>
        <v>f6aab7a9</v>
      </c>
      <c r="G423" s="211" t="str">
        <f>IFERROR(__xludf.DUMMYFUNCTION("""COMPUTED_VALUE"""),"Oksigen 6m3 MR")</f>
        <v>Oksigen 6m3 MR</v>
      </c>
      <c r="H423" s="214" t="str">
        <f>IFERROR(__xludf.DUMMYFUNCTION("""COMPUTED_VALUE"""),"OUT")</f>
        <v>OUT</v>
      </c>
      <c r="I423" s="214" t="str">
        <f>IFERROR(__xludf.DUMMYFUNCTION("""COMPUTED_VALUE"""),"NORMAL")</f>
        <v>NORMAL</v>
      </c>
      <c r="J423" s="211">
        <f>IFERROR(__xludf.DUMMYFUNCTION("""COMPUTED_VALUE"""),6.0)</f>
        <v>6</v>
      </c>
      <c r="K423" s="210" t="str">
        <f>IFERROR(__xludf.DUMMYFUNCTION("""COMPUTED_VALUE"""),"2550 2180 2320 2238 2229 8302")</f>
        <v>2550 2180 2320 2238 2229 8302</v>
      </c>
      <c r="L423" s="211">
        <f>IFERROR(__xludf.DUMMYFUNCTION("""COMPUTED_VALUE"""),50000.0)</f>
        <v>50000</v>
      </c>
      <c r="M423" s="211"/>
      <c r="N423" s="211"/>
      <c r="O423" s="211"/>
      <c r="Q423" s="210" t="str">
        <f>IFERROR(__xludf.DUMMYFUNCTION("""COMPUTED_VALUE"""),"26668de2")</f>
        <v>26668de2</v>
      </c>
      <c r="R423" s="210" t="str">
        <f>IFERROR(__xludf.DUMMYFUNCTION("""COMPUTED_VALUE"""),"26668de2")</f>
        <v>26668de2</v>
      </c>
      <c r="S423" s="211" t="str">
        <f>IFERROR(__xludf.DUMMYFUNCTION("""COMPUTED_VALUE"""),"4ec68cf6")</f>
        <v>4ec68cf6</v>
      </c>
      <c r="T423" s="211" t="str">
        <f>IFERROR(__xludf.DUMMYFUNCTION("""COMPUTED_VALUE"""),"CV Sido Mukti Karya")</f>
        <v>CV Sido Mukti Karya</v>
      </c>
      <c r="U423" s="215">
        <f>IFERROR(__xludf.DUMMYFUNCTION("""COMPUTED_VALUE"""),45692.43194444444)</f>
        <v>45692.43194</v>
      </c>
      <c r="V423" s="211" t="str">
        <f>IFERROR(__xludf.DUMMYFUNCTION("""COMPUTED_VALUE"""),"Pergudangan Center Point no A3, Kemangsen")</f>
        <v>Pergudangan Center Point no A3, Kemangsen</v>
      </c>
      <c r="W423" s="211" t="str">
        <f>IFERROR(__xludf.DUMMYFUNCTION("""COMPUTED_VALUE"""),"IN")</f>
        <v>IN</v>
      </c>
      <c r="X423" s="211"/>
      <c r="Z423" s="211" t="str">
        <f>IFERROR(__xludf.DUMMYFUNCTION("""COMPUTED_VALUE"""),"012612172")</f>
        <v>012612172</v>
      </c>
      <c r="AC423" s="211"/>
      <c r="AD423" s="211"/>
      <c r="AE423" s="211"/>
      <c r="AF423" s="211"/>
      <c r="AG423" s="211"/>
      <c r="AH423" s="211"/>
      <c r="AI423" s="211"/>
      <c r="AJ423" s="211"/>
      <c r="AL423" s="211"/>
      <c r="AM423" s="211"/>
      <c r="AN423" s="211"/>
      <c r="AO423" s="211"/>
      <c r="AP423" s="215"/>
      <c r="AQ423" s="218"/>
      <c r="AR423" s="211"/>
      <c r="AS423" s="211"/>
      <c r="AT423" s="211"/>
      <c r="AU423" s="211"/>
      <c r="AV423" s="211"/>
      <c r="AW423" s="211"/>
      <c r="AX423" s="211"/>
      <c r="AY423" s="211"/>
      <c r="AZ423" s="211"/>
      <c r="BB423" s="211"/>
      <c r="BC423" s="211"/>
      <c r="BD423" s="211"/>
      <c r="BE423" s="211"/>
      <c r="BF423" s="211"/>
      <c r="BG423" s="211"/>
      <c r="BH423" s="211"/>
      <c r="BI423" s="211"/>
    </row>
    <row r="424">
      <c r="A424" s="210" t="str">
        <f>IFERROR(__xludf.DUMMYFUNCTION("""COMPUTED_VALUE"""),"12240189")</f>
        <v>12240189</v>
      </c>
      <c r="B424" s="210" t="str">
        <f>IFERROR(__xludf.DUMMYFUNCTION("""COMPUTED_VALUE"""),"12240189")</f>
        <v>12240189</v>
      </c>
      <c r="C424" s="213">
        <f>IFERROR(__xludf.DUMMYFUNCTION("""COMPUTED_VALUE"""),45654.36875)</f>
        <v>45654.36875</v>
      </c>
      <c r="D424" s="211" t="str">
        <f>IFERROR(__xludf.DUMMYFUNCTION("""COMPUTED_VALUE"""),"6b737895")</f>
        <v>6b737895</v>
      </c>
      <c r="E424" s="211" t="str">
        <f>IFERROR(__xludf.DUMMYFUNCTION("""COMPUTED_VALUE"""),"Ibu Yanti")</f>
        <v>Ibu Yanti</v>
      </c>
      <c r="F424" s="211" t="str">
        <f>IFERROR(__xludf.DUMMYFUNCTION("""COMPUTED_VALUE"""),"e8544a46")</f>
        <v>e8544a46</v>
      </c>
      <c r="G424" s="211" t="str">
        <f>IFERROR(__xludf.DUMMYFUNCTION("""COMPUTED_VALUE"""),"Oksigen 1m3")</f>
        <v>Oksigen 1m3</v>
      </c>
      <c r="H424" s="214" t="str">
        <f>IFERROR(__xludf.DUMMYFUNCTION("""COMPUTED_VALUE"""),"OUT")</f>
        <v>OUT</v>
      </c>
      <c r="I424" s="214" t="str">
        <f>IFERROR(__xludf.DUMMYFUNCTION("""COMPUTED_VALUE"""),"NORMAL")</f>
        <v>NORMAL</v>
      </c>
      <c r="J424" s="211">
        <f>IFERROR(__xludf.DUMMYFUNCTION("""COMPUTED_VALUE"""),2.0)</f>
        <v>2</v>
      </c>
      <c r="K424" s="210" t="str">
        <f>IFERROR(__xludf.DUMMYFUNCTION("""COMPUTED_VALUE"""),"0001 0002")</f>
        <v>0001 0002</v>
      </c>
      <c r="L424" s="211">
        <f>IFERROR(__xludf.DUMMYFUNCTION("""COMPUTED_VALUE"""),60000.0)</f>
        <v>60000</v>
      </c>
      <c r="M424" s="211"/>
      <c r="N424" s="211"/>
      <c r="O424" s="211"/>
      <c r="Q424" s="210" t="str">
        <f>IFERROR(__xludf.DUMMYFUNCTION("""COMPUTED_VALUE"""),"82838f54")</f>
        <v>82838f54</v>
      </c>
      <c r="R424" s="210" t="str">
        <f>IFERROR(__xludf.DUMMYFUNCTION("""COMPUTED_VALUE"""),"82838f54")</f>
        <v>82838f54</v>
      </c>
      <c r="S424" s="211" t="str">
        <f>IFERROR(__xludf.DUMMYFUNCTION("""COMPUTED_VALUE"""),"785e0e07")</f>
        <v>785e0e07</v>
      </c>
      <c r="T424" s="211" t="str">
        <f>IFERROR(__xludf.DUMMYFUNCTION("""COMPUTED_VALUE"""),"Bpk. Sukirno (Bejo)")</f>
        <v>Bpk. Sukirno (Bejo)</v>
      </c>
      <c r="U424" s="215">
        <f>IFERROR(__xludf.DUMMYFUNCTION("""COMPUTED_VALUE"""),45692.53958333333)</f>
        <v>45692.53958</v>
      </c>
      <c r="V424" s="211" t="str">
        <f>IFERROR(__xludf.DUMMYFUNCTION("""COMPUTED_VALUE"""),"Krajan I, Wringinanom, Kec. Wringinanom, Kabupaten Gresik, Jawa Timur 61176")</f>
        <v>Krajan I, Wringinanom, Kec. Wringinanom, Kabupaten Gresik, Jawa Timur 61176</v>
      </c>
      <c r="W424" s="211" t="str">
        <f>IFERROR(__xludf.DUMMYFUNCTION("""COMPUTED_VALUE"""),"IN")</f>
        <v>IN</v>
      </c>
      <c r="X424" s="211"/>
      <c r="Z424" s="211" t="str">
        <f>IFERROR(__xludf.DUMMYFUNCTION("""COMPUTED_VALUE"""),"012672171")</f>
        <v>012672171</v>
      </c>
      <c r="AC424" s="211"/>
      <c r="AD424" s="211"/>
      <c r="AE424" s="211"/>
      <c r="AF424" s="211"/>
      <c r="AG424" s="211"/>
      <c r="AH424" s="211"/>
      <c r="AI424" s="211"/>
      <c r="AJ424" s="211"/>
      <c r="AL424" s="211"/>
      <c r="AM424" s="211"/>
      <c r="AN424" s="211"/>
      <c r="AO424" s="211"/>
      <c r="AP424" s="215"/>
      <c r="AQ424" s="218"/>
      <c r="AR424" s="211"/>
      <c r="AS424" s="211"/>
      <c r="AT424" s="211"/>
      <c r="AU424" s="211"/>
      <c r="AV424" s="211"/>
      <c r="AW424" s="211"/>
      <c r="AX424" s="211"/>
      <c r="AY424" s="211"/>
      <c r="AZ424" s="211"/>
      <c r="BB424" s="211"/>
      <c r="BC424" s="211"/>
      <c r="BD424" s="211"/>
      <c r="BE424" s="211"/>
      <c r="BF424" s="211"/>
      <c r="BG424" s="211"/>
      <c r="BH424" s="211"/>
      <c r="BI424" s="211"/>
    </row>
    <row r="425">
      <c r="A425" s="210" t="str">
        <f>IFERROR(__xludf.DUMMYFUNCTION("""COMPUTED_VALUE"""),"12240190")</f>
        <v>12240190</v>
      </c>
      <c r="B425" s="210" t="str">
        <f>IFERROR(__xludf.DUMMYFUNCTION("""COMPUTED_VALUE"""),"12240190")</f>
        <v>12240190</v>
      </c>
      <c r="C425" s="213">
        <f>IFERROR(__xludf.DUMMYFUNCTION("""COMPUTED_VALUE"""),45654.62013888889)</f>
        <v>45654.62014</v>
      </c>
      <c r="D425" s="211" t="str">
        <f>IFERROR(__xludf.DUMMYFUNCTION("""COMPUTED_VALUE"""),"5f23ba17")</f>
        <v>5f23ba17</v>
      </c>
      <c r="E425" s="211" t="str">
        <f>IFERROR(__xludf.DUMMYFUNCTION("""COMPUTED_VALUE"""),"Bpk. Joko (Gresik)")</f>
        <v>Bpk. Joko (Gresik)</v>
      </c>
      <c r="F425" s="211" t="str">
        <f>IFERROR(__xludf.DUMMYFUNCTION("""COMPUTED_VALUE"""),"8bdbe149")</f>
        <v>8bdbe149</v>
      </c>
      <c r="G425" s="211" t="str">
        <f>IFERROR(__xludf.DUMMYFUNCTION("""COMPUTED_VALUE"""),"Oksigen 6m3")</f>
        <v>Oksigen 6m3</v>
      </c>
      <c r="H425" s="214" t="str">
        <f>IFERROR(__xludf.DUMMYFUNCTION("""COMPUTED_VALUE"""),"OUT")</f>
        <v>OUT</v>
      </c>
      <c r="I425" s="214" t="str">
        <f>IFERROR(__xludf.DUMMYFUNCTION("""COMPUTED_VALUE"""),"NORMAL")</f>
        <v>NORMAL</v>
      </c>
      <c r="J425" s="211">
        <f>IFERROR(__xludf.DUMMYFUNCTION("""COMPUTED_VALUE"""),4.0)</f>
        <v>4</v>
      </c>
      <c r="K425" s="210" t="str">
        <f>IFERROR(__xludf.DUMMYFUNCTION("""COMPUTED_VALUE"""),"1128 11191 1140 1110")</f>
        <v>1128 11191 1140 1110</v>
      </c>
      <c r="L425" s="211">
        <f>IFERROR(__xludf.DUMMYFUNCTION("""COMPUTED_VALUE"""),55000.0)</f>
        <v>55000</v>
      </c>
      <c r="M425" s="211"/>
      <c r="N425" s="211"/>
      <c r="O425" s="211"/>
      <c r="Q425" s="210" t="str">
        <f>IFERROR(__xludf.DUMMYFUNCTION("""COMPUTED_VALUE"""),"4d9e96c9")</f>
        <v>4d9e96c9</v>
      </c>
      <c r="R425" s="210" t="str">
        <f>IFERROR(__xludf.DUMMYFUNCTION("""COMPUTED_VALUE"""),"4d9e96c9")</f>
        <v>4d9e96c9</v>
      </c>
      <c r="S425" s="211" t="str">
        <f>IFERROR(__xludf.DUMMYFUNCTION("""COMPUTED_VALUE"""),"a9fe1bea")</f>
        <v>a9fe1bea</v>
      </c>
      <c r="T425" s="211" t="str">
        <f>IFERROR(__xludf.DUMMYFUNCTION("""COMPUTED_VALUE"""),"H. Suheiri")</f>
        <v>H. Suheiri</v>
      </c>
      <c r="U425" s="215">
        <f>IFERROR(__xludf.DUMMYFUNCTION("""COMPUTED_VALUE"""),45692.65833333333)</f>
        <v>45692.65833</v>
      </c>
      <c r="V425"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425" s="211" t="str">
        <f>IFERROR(__xludf.DUMMYFUNCTION("""COMPUTED_VALUE"""),"IN")</f>
        <v>IN</v>
      </c>
      <c r="X425" s="211"/>
      <c r="Z425" s="211" t="str">
        <f>IFERROR(__xludf.DUMMYFUNCTION("""COMPUTED_VALUE"""),"012642168")</f>
        <v>012642168</v>
      </c>
      <c r="AC425" s="211"/>
      <c r="AD425" s="211"/>
      <c r="AE425" s="211"/>
      <c r="AF425" s="211"/>
      <c r="AG425" s="211"/>
      <c r="AH425" s="211"/>
      <c r="AI425" s="211"/>
      <c r="AJ425" s="211"/>
      <c r="AL425" s="211"/>
      <c r="AM425" s="211"/>
      <c r="AN425" s="211"/>
      <c r="AO425" s="211"/>
      <c r="AP425" s="215"/>
      <c r="AQ425" s="218"/>
      <c r="AR425" s="211"/>
      <c r="AS425" s="211"/>
      <c r="AT425" s="211"/>
      <c r="AU425" s="211"/>
      <c r="AV425" s="211"/>
      <c r="AW425" s="211"/>
      <c r="AX425" s="211"/>
      <c r="AY425" s="211"/>
      <c r="AZ425" s="211"/>
      <c r="BB425" s="211"/>
      <c r="BC425" s="211"/>
      <c r="BD425" s="211"/>
      <c r="BE425" s="211"/>
      <c r="BF425" s="211"/>
      <c r="BG425" s="211"/>
      <c r="BH425" s="211"/>
      <c r="BI425" s="211"/>
    </row>
    <row r="426">
      <c r="A426" s="210" t="str">
        <f>IFERROR(__xludf.DUMMYFUNCTION("""COMPUTED_VALUE"""),"12240190")</f>
        <v>12240190</v>
      </c>
      <c r="B426" s="210" t="str">
        <f>IFERROR(__xludf.DUMMYFUNCTION("""COMPUTED_VALUE"""),"12240190")</f>
        <v>12240190</v>
      </c>
      <c r="C426" s="213">
        <f>IFERROR(__xludf.DUMMYFUNCTION("""COMPUTED_VALUE"""),45654.62013888889)</f>
        <v>45654.62014</v>
      </c>
      <c r="D426" s="211" t="str">
        <f>IFERROR(__xludf.DUMMYFUNCTION("""COMPUTED_VALUE"""),"5f23ba17")</f>
        <v>5f23ba17</v>
      </c>
      <c r="E426" s="211" t="str">
        <f>IFERROR(__xludf.DUMMYFUNCTION("""COMPUTED_VALUE"""),"Bpk. Joko (Gresik)")</f>
        <v>Bpk. Joko (Gresik)</v>
      </c>
      <c r="F426" s="211" t="str">
        <f>IFERROR(__xludf.DUMMYFUNCTION("""COMPUTED_VALUE"""),"f6aab7a9")</f>
        <v>f6aab7a9</v>
      </c>
      <c r="G426" s="211" t="str">
        <f>IFERROR(__xludf.DUMMYFUNCTION("""COMPUTED_VALUE"""),"Oksigen 6m3 MR")</f>
        <v>Oksigen 6m3 MR</v>
      </c>
      <c r="H426" s="214" t="str">
        <f>IFERROR(__xludf.DUMMYFUNCTION("""COMPUTED_VALUE"""),"OUT")</f>
        <v>OUT</v>
      </c>
      <c r="I426" s="214" t="str">
        <f>IFERROR(__xludf.DUMMYFUNCTION("""COMPUTED_VALUE"""),"NORMAL")</f>
        <v>NORMAL</v>
      </c>
      <c r="J426" s="211">
        <f>IFERROR(__xludf.DUMMYFUNCTION("""COMPUTED_VALUE"""),10.0)</f>
        <v>10</v>
      </c>
      <c r="K426" s="211"/>
      <c r="L426" s="211">
        <f>IFERROR(__xludf.DUMMYFUNCTION("""COMPUTED_VALUE"""),55000.0)</f>
        <v>55000</v>
      </c>
      <c r="M426" s="211"/>
      <c r="N426" s="211"/>
      <c r="O426" s="211"/>
      <c r="Q426" s="210" t="str">
        <f>IFERROR(__xludf.DUMMYFUNCTION("""COMPUTED_VALUE"""),"ed9804ed")</f>
        <v>ed9804ed</v>
      </c>
      <c r="R426" s="210" t="str">
        <f>IFERROR(__xludf.DUMMYFUNCTION("""COMPUTED_VALUE"""),"ed9804ed")</f>
        <v>ed9804ed</v>
      </c>
      <c r="S426" s="211" t="str">
        <f>IFERROR(__xludf.DUMMYFUNCTION("""COMPUTED_VALUE"""),"ce83e171")</f>
        <v>ce83e171</v>
      </c>
      <c r="T426" s="211" t="str">
        <f>IFERROR(__xludf.DUMMYFUNCTION("""COMPUTED_VALUE"""),"Bpk. Sulaiman")</f>
        <v>Bpk. Sulaiman</v>
      </c>
      <c r="U426" s="215">
        <f>IFERROR(__xludf.DUMMYFUNCTION("""COMPUTED_VALUE"""),45692.66111111111)</f>
        <v>45692.66111</v>
      </c>
      <c r="V426" s="211" t="str">
        <f>IFERROR(__xludf.DUMMYFUNCTION("""COMPUTED_VALUE"""),"Jl. Raya Kramat Temenggung No.43, Kramat, Kramat Temenggung, Kec. Tarik, Kabupaten Sidoarjo, Jawa Timur 61265")</f>
        <v>Jl. Raya Kramat Temenggung No.43, Kramat, Kramat Temenggung, Kec. Tarik, Kabupaten Sidoarjo, Jawa Timur 61265</v>
      </c>
      <c r="W426" s="211" t="str">
        <f>IFERROR(__xludf.DUMMYFUNCTION("""COMPUTED_VALUE"""),"IN")</f>
        <v>IN</v>
      </c>
      <c r="X426" s="211"/>
      <c r="Z426" s="211" t="str">
        <f>IFERROR(__xludf.DUMMYFUNCTION("""COMPUTED_VALUE"""),"012612162")</f>
        <v>012612162</v>
      </c>
      <c r="AC426" s="211"/>
      <c r="AD426" s="211"/>
      <c r="AE426" s="211"/>
      <c r="AF426" s="211"/>
      <c r="AG426" s="211"/>
      <c r="AH426" s="211"/>
      <c r="AI426" s="211"/>
      <c r="AJ426" s="211"/>
      <c r="AL426" s="211"/>
      <c r="AM426" s="211"/>
      <c r="AN426" s="211"/>
      <c r="AO426" s="211"/>
      <c r="AP426" s="215"/>
      <c r="AQ426" s="218"/>
      <c r="AR426" s="211"/>
      <c r="AS426" s="211"/>
      <c r="AT426" s="211"/>
      <c r="AU426" s="211"/>
      <c r="AV426" s="211"/>
      <c r="AW426" s="211"/>
      <c r="AX426" s="211"/>
      <c r="AY426" s="211"/>
      <c r="AZ426" s="211"/>
      <c r="BB426" s="211"/>
      <c r="BC426" s="211"/>
      <c r="BD426" s="211"/>
      <c r="BE426" s="211"/>
      <c r="BF426" s="211"/>
      <c r="BG426" s="211"/>
      <c r="BH426" s="211"/>
      <c r="BI426" s="211"/>
    </row>
    <row r="427">
      <c r="A427" s="210" t="str">
        <f>IFERROR(__xludf.DUMMYFUNCTION("""COMPUTED_VALUE"""),"12240192")</f>
        <v>12240192</v>
      </c>
      <c r="B427" s="210" t="str">
        <f>IFERROR(__xludf.DUMMYFUNCTION("""COMPUTED_VALUE"""),"12240192")</f>
        <v>12240192</v>
      </c>
      <c r="C427" s="213">
        <f>IFERROR(__xludf.DUMMYFUNCTION("""COMPUTED_VALUE"""),45655.35833333333)</f>
        <v>45655.35833</v>
      </c>
      <c r="D427" s="211" t="str">
        <f>IFERROR(__xludf.DUMMYFUNCTION("""COMPUTED_VALUE"""),"a9fe1bea")</f>
        <v>a9fe1bea</v>
      </c>
      <c r="E427" s="211" t="str">
        <f>IFERROR(__xludf.DUMMYFUNCTION("""COMPUTED_VALUE"""),"H. Suheiri")</f>
        <v>H. Suheiri</v>
      </c>
      <c r="F427" s="211" t="str">
        <f>IFERROR(__xludf.DUMMYFUNCTION("""COMPUTED_VALUE"""),"8bdbe149")</f>
        <v>8bdbe149</v>
      </c>
      <c r="G427" s="211" t="str">
        <f>IFERROR(__xludf.DUMMYFUNCTION("""COMPUTED_VALUE"""),"Oksigen 6m3")</f>
        <v>Oksigen 6m3</v>
      </c>
      <c r="H427" s="214" t="str">
        <f>IFERROR(__xludf.DUMMYFUNCTION("""COMPUTED_VALUE"""),"OUT")</f>
        <v>OUT</v>
      </c>
      <c r="I427" s="214" t="str">
        <f>IFERROR(__xludf.DUMMYFUNCTION("""COMPUTED_VALUE"""),"NORMAL")</f>
        <v>NORMAL</v>
      </c>
      <c r="J427" s="211">
        <f>IFERROR(__xludf.DUMMYFUNCTION("""COMPUTED_VALUE"""),35.0)</f>
        <v>35</v>
      </c>
      <c r="K427" s="211"/>
      <c r="L427" s="211">
        <f>IFERROR(__xludf.DUMMYFUNCTION("""COMPUTED_VALUE"""),50000.0)</f>
        <v>50000</v>
      </c>
      <c r="M427" s="211"/>
      <c r="N427" s="211"/>
      <c r="O427" s="211"/>
      <c r="Q427" s="210" t="str">
        <f>IFERROR(__xludf.DUMMYFUNCTION("""COMPUTED_VALUE"""),"c0c6db1f")</f>
        <v>c0c6db1f</v>
      </c>
      <c r="R427" s="210" t="str">
        <f>IFERROR(__xludf.DUMMYFUNCTION("""COMPUTED_VALUE"""),"c0c6db1f")</f>
        <v>c0c6db1f</v>
      </c>
      <c r="S427" s="211" t="str">
        <f>IFERROR(__xludf.DUMMYFUNCTION("""COMPUTED_VALUE"""),"3fec37df")</f>
        <v>3fec37df</v>
      </c>
      <c r="T427" s="211" t="str">
        <f>IFERROR(__xludf.DUMMYFUNCTION("""COMPUTED_VALUE"""),"PT Jatim Abadi Perkasa Steel")</f>
        <v>PT Jatim Abadi Perkasa Steel</v>
      </c>
      <c r="U427" s="215">
        <f>IFERROR(__xludf.DUMMYFUNCTION("""COMPUTED_VALUE"""),45692.6625)</f>
        <v>45692.6625</v>
      </c>
      <c r="V427" s="211" t="str">
        <f>IFERROR(__xludf.DUMMYFUNCTION("""COMPUTED_VALUE"""),"Dsn. Bulak Sempuh, Jatirejo, Kab. Mojokerto, Jawa Timur")</f>
        <v>Dsn. Bulak Sempuh, Jatirejo, Kab. Mojokerto, Jawa Timur</v>
      </c>
      <c r="W427" s="211" t="str">
        <f>IFERROR(__xludf.DUMMYFUNCTION("""COMPUTED_VALUE"""),"IN")</f>
        <v>IN</v>
      </c>
      <c r="X427" s="211"/>
      <c r="Z427" s="211" t="str">
        <f>IFERROR(__xludf.DUMMYFUNCTION("""COMPUTED_VALUE"""),"012642158")</f>
        <v>012642158</v>
      </c>
      <c r="AC427" s="211"/>
      <c r="AD427" s="211"/>
      <c r="AE427" s="211"/>
      <c r="AF427" s="211"/>
      <c r="AG427" s="211"/>
      <c r="AH427" s="211"/>
      <c r="AI427" s="211"/>
      <c r="AJ427" s="211"/>
      <c r="AL427" s="211"/>
      <c r="AM427" s="211"/>
      <c r="AN427" s="211"/>
      <c r="AO427" s="211"/>
      <c r="AP427" s="215"/>
      <c r="AQ427" s="218"/>
      <c r="AR427" s="211"/>
      <c r="AS427" s="211"/>
      <c r="AT427" s="211"/>
      <c r="AU427" s="211"/>
      <c r="AV427" s="211"/>
      <c r="AW427" s="211"/>
      <c r="AX427" s="211"/>
      <c r="AY427" s="211"/>
      <c r="AZ427" s="211"/>
      <c r="BB427" s="211"/>
      <c r="BC427" s="211"/>
      <c r="BD427" s="211"/>
      <c r="BE427" s="211"/>
      <c r="BF427" s="211"/>
      <c r="BG427" s="211"/>
      <c r="BH427" s="211"/>
      <c r="BI427" s="211"/>
    </row>
    <row r="428">
      <c r="A428" s="210" t="str">
        <f>IFERROR(__xludf.DUMMYFUNCTION("""COMPUTED_VALUE"""),"412240006")</f>
        <v>412240006</v>
      </c>
      <c r="B428" s="210" t="str">
        <f>IFERROR(__xludf.DUMMYFUNCTION("""COMPUTED_VALUE"""),"412240006")</f>
        <v>412240006</v>
      </c>
      <c r="C428" s="213">
        <f>IFERROR(__xludf.DUMMYFUNCTION("""COMPUTED_VALUE"""),45656.56597222222)</f>
        <v>45656.56597</v>
      </c>
      <c r="D428" s="211" t="str">
        <f>IFERROR(__xludf.DUMMYFUNCTION("""COMPUTED_VALUE"""),"785e0e07")</f>
        <v>785e0e07</v>
      </c>
      <c r="E428" s="211" t="str">
        <f>IFERROR(__xludf.DUMMYFUNCTION("""COMPUTED_VALUE"""),"Bpk. Sukirno (Bejo)")</f>
        <v>Bpk. Sukirno (Bejo)</v>
      </c>
      <c r="F428" s="211" t="str">
        <f>IFERROR(__xludf.DUMMYFUNCTION("""COMPUTED_VALUE"""),"b7a8fff1")</f>
        <v>b7a8fff1</v>
      </c>
      <c r="G428" s="211" t="str">
        <f>IFERROR(__xludf.DUMMYFUNCTION("""COMPUTED_VALUE"""),"LPG 50kg")</f>
        <v>LPG 50kg</v>
      </c>
      <c r="H428" s="214" t="str">
        <f>IFERROR(__xludf.DUMMYFUNCTION("""COMPUTED_VALUE"""),"OTHER")</f>
        <v>OTHER</v>
      </c>
      <c r="I428" s="214" t="str">
        <f>IFERROR(__xludf.DUMMYFUNCTION("""COMPUTED_VALUE"""),"RETUR CLAIM")</f>
        <v>RETUR CLAIM</v>
      </c>
      <c r="J428" s="211">
        <f>IFERROR(__xludf.DUMMYFUNCTION("""COMPUTED_VALUE"""),1.0)</f>
        <v>1</v>
      </c>
      <c r="K428" s="211"/>
      <c r="L428" s="211"/>
      <c r="M428" s="211"/>
      <c r="N428" s="211"/>
      <c r="O428" s="211"/>
      <c r="Q428" s="210" t="str">
        <f>IFERROR(__xludf.DUMMYFUNCTION("""COMPUTED_VALUE"""),"02250243")</f>
        <v>02250243</v>
      </c>
      <c r="R428" s="210" t="str">
        <f>IFERROR(__xludf.DUMMYFUNCTION("""COMPUTED_VALUE"""),"02250243")</f>
        <v>02250243</v>
      </c>
      <c r="S428" s="211" t="str">
        <f>IFERROR(__xludf.DUMMYFUNCTION("""COMPUTED_VALUE"""),"8f5ebaea")</f>
        <v>8f5ebaea</v>
      </c>
      <c r="T428" s="211" t="str">
        <f>IFERROR(__xludf.DUMMYFUNCTION("""COMPUTED_VALUE"""),"PT Hua Zong Mesindo")</f>
        <v>PT Hua Zong Mesindo</v>
      </c>
      <c r="U428" s="215">
        <f>IFERROR(__xludf.DUMMYFUNCTION("""COMPUTED_VALUE"""),45693.34861111111)</f>
        <v>45693.34861</v>
      </c>
      <c r="V428" s="211" t="str">
        <f>IFERROR(__xludf.DUMMYFUNCTION("""COMPUTED_VALUE"""),"Jl. Bypass Krian, Sidotemo, Sidomulyo, Kec. Krian, Kabupaten Sidoarjo, Jawa Timur 61262")</f>
        <v>Jl. Bypass Krian, Sidotemo, Sidomulyo, Kec. Krian, Kabupaten Sidoarjo, Jawa Timur 61262</v>
      </c>
      <c r="W428" s="211" t="str">
        <f>IFERROR(__xludf.DUMMYFUNCTION("""COMPUTED_VALUE"""),"OUT")</f>
        <v>OUT</v>
      </c>
      <c r="X428" s="211"/>
      <c r="Z428" s="211" t="str">
        <f>IFERROR(__xludf.DUMMYFUNCTION("""COMPUTED_VALUE"""),"0126322157")</f>
        <v>0126322157</v>
      </c>
      <c r="AC428" s="211"/>
      <c r="AD428" s="211"/>
      <c r="AE428" s="211"/>
      <c r="AF428" s="211"/>
      <c r="AG428" s="211"/>
      <c r="AH428" s="211"/>
      <c r="AI428" s="211"/>
      <c r="AJ428" s="211"/>
      <c r="AL428" s="211"/>
      <c r="AM428" s="211"/>
      <c r="AN428" s="211"/>
      <c r="AO428" s="211"/>
      <c r="AP428" s="215"/>
      <c r="AQ428" s="218"/>
      <c r="AR428" s="211"/>
      <c r="AS428" s="211"/>
      <c r="AT428" s="211"/>
      <c r="AU428" s="211"/>
      <c r="AV428" s="211"/>
      <c r="AW428" s="211"/>
      <c r="AX428" s="211"/>
      <c r="AY428" s="211"/>
      <c r="AZ428" s="211"/>
      <c r="BB428" s="211"/>
      <c r="BC428" s="211"/>
      <c r="BD428" s="211"/>
      <c r="BE428" s="211"/>
      <c r="BF428" s="211"/>
      <c r="BG428" s="211"/>
      <c r="BH428" s="211"/>
      <c r="BI428" s="211"/>
    </row>
    <row r="429">
      <c r="A429" s="210" t="str">
        <f>IFERROR(__xludf.DUMMYFUNCTION("""COMPUTED_VALUE"""),"12240193")</f>
        <v>12240193</v>
      </c>
      <c r="B429" s="210" t="str">
        <f>IFERROR(__xludf.DUMMYFUNCTION("""COMPUTED_VALUE"""),"12240193")</f>
        <v>12240193</v>
      </c>
      <c r="C429" s="213">
        <f>IFERROR(__xludf.DUMMYFUNCTION("""COMPUTED_VALUE"""),45656.56597222222)</f>
        <v>45656.56597</v>
      </c>
      <c r="D429" s="211" t="str">
        <f>IFERROR(__xludf.DUMMYFUNCTION("""COMPUTED_VALUE"""),"785e0e07")</f>
        <v>785e0e07</v>
      </c>
      <c r="E429" s="211" t="str">
        <f>IFERROR(__xludf.DUMMYFUNCTION("""COMPUTED_VALUE"""),"Bpk. Sukirno (Bejo)")</f>
        <v>Bpk. Sukirno (Bejo)</v>
      </c>
      <c r="F429" s="211" t="str">
        <f>IFERROR(__xludf.DUMMYFUNCTION("""COMPUTED_VALUE"""),"8bdbe149")</f>
        <v>8bdbe149</v>
      </c>
      <c r="G429" s="211" t="str">
        <f>IFERROR(__xludf.DUMMYFUNCTION("""COMPUTED_VALUE"""),"Oksigen 6m3")</f>
        <v>Oksigen 6m3</v>
      </c>
      <c r="H429" s="214" t="str">
        <f>IFERROR(__xludf.DUMMYFUNCTION("""COMPUTED_VALUE"""),"OUT")</f>
        <v>OUT</v>
      </c>
      <c r="I429" s="214" t="str">
        <f>IFERROR(__xludf.DUMMYFUNCTION("""COMPUTED_VALUE"""),"NORMAL")</f>
        <v>NORMAL</v>
      </c>
      <c r="J429" s="211">
        <f>IFERROR(__xludf.DUMMYFUNCTION("""COMPUTED_VALUE"""),15.0)</f>
        <v>15</v>
      </c>
      <c r="K429" s="211"/>
      <c r="L429" s="211">
        <f>IFERROR(__xludf.DUMMYFUNCTION("""COMPUTED_VALUE"""),60000.0)</f>
        <v>60000</v>
      </c>
      <c r="M429" s="211"/>
      <c r="N429" s="211"/>
      <c r="O429" s="211"/>
      <c r="Q429" s="210" t="str">
        <f>IFERROR(__xludf.DUMMYFUNCTION("""COMPUTED_VALUE"""),"02250245")</f>
        <v>02250245</v>
      </c>
      <c r="R429" s="210" t="str">
        <f>IFERROR(__xludf.DUMMYFUNCTION("""COMPUTED_VALUE"""),"02250245")</f>
        <v>02250245</v>
      </c>
      <c r="S429" s="211" t="str">
        <f>IFERROR(__xludf.DUMMYFUNCTION("""COMPUTED_VALUE"""),"785e0e07")</f>
        <v>785e0e07</v>
      </c>
      <c r="T429" s="211" t="str">
        <f>IFERROR(__xludf.DUMMYFUNCTION("""COMPUTED_VALUE"""),"Bpk. Sukirno (Bejo)")</f>
        <v>Bpk. Sukirno (Bejo)</v>
      </c>
      <c r="U429" s="215">
        <f>IFERROR(__xludf.DUMMYFUNCTION("""COMPUTED_VALUE"""),45693.57638888889)</f>
        <v>45693.57639</v>
      </c>
      <c r="V429" s="211" t="str">
        <f>IFERROR(__xludf.DUMMYFUNCTION("""COMPUTED_VALUE"""),"Krajan I, Wringinanom, Kec. Wringinanom, Kabupaten Gresik, Jawa Timur 61176")</f>
        <v>Krajan I, Wringinanom, Kec. Wringinanom, Kabupaten Gresik, Jawa Timur 61176</v>
      </c>
      <c r="W429" s="211" t="str">
        <f>IFERROR(__xludf.DUMMYFUNCTION("""COMPUTED_VALUE"""),"OUT")</f>
        <v>OUT</v>
      </c>
      <c r="X429" s="211"/>
      <c r="Z429" s="211" t="str">
        <f>IFERROR(__xludf.DUMMYFUNCTION("""COMPUTED_VALUE"""),"0126662156")</f>
        <v>0126662156</v>
      </c>
      <c r="AC429" s="211"/>
      <c r="AD429" s="211"/>
      <c r="AE429" s="211"/>
      <c r="AF429" s="211"/>
      <c r="AG429" s="211"/>
      <c r="AH429" s="211"/>
      <c r="AI429" s="211"/>
      <c r="AJ429" s="211"/>
      <c r="AL429" s="211"/>
      <c r="AM429" s="211"/>
      <c r="AN429" s="211"/>
      <c r="AO429" s="211"/>
      <c r="AP429" s="215"/>
      <c r="AQ429" s="218"/>
      <c r="AR429" s="211"/>
      <c r="AS429" s="211"/>
      <c r="AT429" s="211"/>
      <c r="AU429" s="211"/>
      <c r="AV429" s="211"/>
      <c r="AW429" s="211"/>
      <c r="AX429" s="211"/>
      <c r="AY429" s="211"/>
      <c r="AZ429" s="211"/>
      <c r="BB429" s="211"/>
      <c r="BC429" s="211"/>
      <c r="BD429" s="211"/>
      <c r="BE429" s="211"/>
      <c r="BF429" s="211"/>
      <c r="BG429" s="211"/>
      <c r="BH429" s="211"/>
      <c r="BI429" s="211"/>
    </row>
    <row r="430">
      <c r="A430" s="210" t="str">
        <f>IFERROR(__xludf.DUMMYFUNCTION("""COMPUTED_VALUE"""),"12240194")</f>
        <v>12240194</v>
      </c>
      <c r="B430" s="210" t="str">
        <f>IFERROR(__xludf.DUMMYFUNCTION("""COMPUTED_VALUE"""),"12240194")</f>
        <v>12240194</v>
      </c>
      <c r="C430" s="213">
        <f>IFERROR(__xludf.DUMMYFUNCTION("""COMPUTED_VALUE"""),45657.34930555556)</f>
        <v>45657.34931</v>
      </c>
      <c r="D430" s="211" t="str">
        <f>IFERROR(__xludf.DUMMYFUNCTION("""COMPUTED_VALUE"""),"3fec37df")</f>
        <v>3fec37df</v>
      </c>
      <c r="E430" s="211" t="str">
        <f>IFERROR(__xludf.DUMMYFUNCTION("""COMPUTED_VALUE"""),"PT Jatim Abadi Perkasa Steel")</f>
        <v>PT Jatim Abadi Perkasa Steel</v>
      </c>
      <c r="F430" s="211" t="str">
        <f>IFERROR(__xludf.DUMMYFUNCTION("""COMPUTED_VALUE"""),"b7a8fff1")</f>
        <v>b7a8fff1</v>
      </c>
      <c r="G430" s="211" t="str">
        <f>IFERROR(__xludf.DUMMYFUNCTION("""COMPUTED_VALUE"""),"LPG 50kg")</f>
        <v>LPG 50kg</v>
      </c>
      <c r="H430" s="214" t="str">
        <f>IFERROR(__xludf.DUMMYFUNCTION("""COMPUTED_VALUE"""),"OUT")</f>
        <v>OUT</v>
      </c>
      <c r="I430" s="214" t="str">
        <f>IFERROR(__xludf.DUMMYFUNCTION("""COMPUTED_VALUE"""),"NORMAL")</f>
        <v>NORMAL</v>
      </c>
      <c r="J430" s="211">
        <f>IFERROR(__xludf.DUMMYFUNCTION("""COMPUTED_VALUE"""),5.0)</f>
        <v>5</v>
      </c>
      <c r="K430" s="211"/>
      <c r="L430" s="211">
        <f>IFERROR(__xludf.DUMMYFUNCTION("""COMPUTED_VALUE"""),855855.855)</f>
        <v>855855.855</v>
      </c>
      <c r="M430" s="211"/>
      <c r="N430" s="211"/>
      <c r="O430" s="211"/>
      <c r="Q430" s="210" t="str">
        <f>IFERROR(__xludf.DUMMYFUNCTION("""COMPUTED_VALUE"""),"ad83419e")</f>
        <v>ad83419e</v>
      </c>
      <c r="R430" s="210" t="str">
        <f>IFERROR(__xludf.DUMMYFUNCTION("""COMPUTED_VALUE"""),"ad83419e")</f>
        <v>ad83419e</v>
      </c>
      <c r="S430" s="211" t="str">
        <f>IFERROR(__xludf.DUMMYFUNCTION("""COMPUTED_VALUE"""),"8f5ebaea")</f>
        <v>8f5ebaea</v>
      </c>
      <c r="T430" s="211" t="str">
        <f>IFERROR(__xludf.DUMMYFUNCTION("""COMPUTED_VALUE"""),"PT Hua Zong Mesindo")</f>
        <v>PT Hua Zong Mesindo</v>
      </c>
      <c r="U430" s="215">
        <f>IFERROR(__xludf.DUMMYFUNCTION("""COMPUTED_VALUE"""),45693.58819444444)</f>
        <v>45693.58819</v>
      </c>
      <c r="V430" s="211" t="str">
        <f>IFERROR(__xludf.DUMMYFUNCTION("""COMPUTED_VALUE"""),"Jl. Bypass Krian, Sidotemo, Sidomulyo, Kec. Krian, Kabupaten Sidoarjo, Jawa Timur 61262")</f>
        <v>Jl. Bypass Krian, Sidotemo, Sidomulyo, Kec. Krian, Kabupaten Sidoarjo, Jawa Timur 61262</v>
      </c>
      <c r="W430" s="211" t="str">
        <f>IFERROR(__xludf.DUMMYFUNCTION("""COMPUTED_VALUE"""),"IN")</f>
        <v>IN</v>
      </c>
      <c r="X430" s="211"/>
      <c r="Z430" s="211" t="str">
        <f>IFERROR(__xludf.DUMMYFUNCTION("""COMPUTED_VALUE"""),"0126122153")</f>
        <v>0126122153</v>
      </c>
      <c r="AC430" s="211"/>
      <c r="AD430" s="211"/>
      <c r="AE430" s="211"/>
      <c r="AF430" s="211"/>
      <c r="AG430" s="211"/>
      <c r="AH430" s="211"/>
      <c r="AI430" s="211"/>
      <c r="AJ430" s="211"/>
      <c r="AL430" s="211"/>
      <c r="AM430" s="211"/>
      <c r="AN430" s="211"/>
      <c r="AO430" s="211"/>
      <c r="AP430" s="215"/>
      <c r="AQ430" s="218"/>
      <c r="AR430" s="211"/>
      <c r="AS430" s="211"/>
      <c r="AT430" s="211"/>
      <c r="AU430" s="211"/>
      <c r="AV430" s="211"/>
      <c r="AW430" s="211"/>
      <c r="AX430" s="211"/>
      <c r="AY430" s="211"/>
      <c r="AZ430" s="211"/>
      <c r="BB430" s="211"/>
      <c r="BC430" s="211"/>
      <c r="BD430" s="211"/>
      <c r="BE430" s="211"/>
      <c r="BF430" s="211"/>
      <c r="BG430" s="211"/>
      <c r="BH430" s="211"/>
      <c r="BI430" s="211"/>
    </row>
    <row r="431">
      <c r="A431" s="210" t="str">
        <f>IFERROR(__xludf.DUMMYFUNCTION("""COMPUTED_VALUE"""),"01250195")</f>
        <v>01250195</v>
      </c>
      <c r="B431" s="210" t="str">
        <f>IFERROR(__xludf.DUMMYFUNCTION("""COMPUTED_VALUE"""),"01250195")</f>
        <v>01250195</v>
      </c>
      <c r="C431" s="213">
        <f>IFERROR(__xludf.DUMMYFUNCTION("""COMPUTED_VALUE"""),45659.385416666664)</f>
        <v>45659.38542</v>
      </c>
      <c r="D431" s="211" t="str">
        <f>IFERROR(__xludf.DUMMYFUNCTION("""COMPUTED_VALUE"""),"785e0e07")</f>
        <v>785e0e07</v>
      </c>
      <c r="E431" s="211" t="str">
        <f>IFERROR(__xludf.DUMMYFUNCTION("""COMPUTED_VALUE"""),"Bpk. Sukirno (Bejo)")</f>
        <v>Bpk. Sukirno (Bejo)</v>
      </c>
      <c r="F431" s="211" t="str">
        <f>IFERROR(__xludf.DUMMYFUNCTION("""COMPUTED_VALUE"""),"8bdbe149")</f>
        <v>8bdbe149</v>
      </c>
      <c r="G431" s="211" t="str">
        <f>IFERROR(__xludf.DUMMYFUNCTION("""COMPUTED_VALUE"""),"Oksigen 6m3")</f>
        <v>Oksigen 6m3</v>
      </c>
      <c r="H431" s="214" t="str">
        <f>IFERROR(__xludf.DUMMYFUNCTION("""COMPUTED_VALUE"""),"OUT")</f>
        <v>OUT</v>
      </c>
      <c r="I431" s="214" t="str">
        <f>IFERROR(__xludf.DUMMYFUNCTION("""COMPUTED_VALUE"""),"NORMAL")</f>
        <v>NORMAL</v>
      </c>
      <c r="J431" s="211">
        <f>IFERROR(__xludf.DUMMYFUNCTION("""COMPUTED_VALUE"""),15.0)</f>
        <v>15</v>
      </c>
      <c r="K431" s="210" t="str">
        <f>IFERROR(__xludf.DUMMYFUNCTION("""COMPUTED_VALUE"""),"5326 5004 5211 1563 1038 1626 5840 1431 49 11162 11153 11168 11200 1156 5568")</f>
        <v>5326 5004 5211 1563 1038 1626 5840 1431 49 11162 11153 11168 11200 1156 5568</v>
      </c>
      <c r="L431" s="211">
        <f>IFERROR(__xludf.DUMMYFUNCTION("""COMPUTED_VALUE"""),60000.0)</f>
        <v>60000</v>
      </c>
      <c r="M431" s="211"/>
      <c r="N431" s="211"/>
      <c r="O431" s="211"/>
      <c r="Q431" s="210" t="str">
        <f>IFERROR(__xludf.DUMMYFUNCTION("""COMPUTED_VALUE"""),"4ae6af74")</f>
        <v>4ae6af74</v>
      </c>
      <c r="R431" s="210" t="str">
        <f>IFERROR(__xludf.DUMMYFUNCTION("""COMPUTED_VALUE"""),"4ae6af74")</f>
        <v>4ae6af74</v>
      </c>
      <c r="S431" s="211" t="str">
        <f>IFERROR(__xludf.DUMMYFUNCTION("""COMPUTED_VALUE"""),"e86baf3b")</f>
        <v>e86baf3b</v>
      </c>
      <c r="T431" s="211" t="str">
        <f>IFERROR(__xludf.DUMMYFUNCTION("""COMPUTED_VALUE"""),"PT GEMILANG CIPTA WAWASAN")</f>
        <v>PT GEMILANG CIPTA WAWASAN</v>
      </c>
      <c r="U431" s="215">
        <f>IFERROR(__xludf.DUMMYFUNCTION("""COMPUTED_VALUE"""),45693.58888888889)</f>
        <v>45693.58889</v>
      </c>
      <c r="V431" s="211" t="str">
        <f>IFERROR(__xludf.DUMMYFUNCTION("""COMPUTED_VALUE"""),"JL TEBET RAYA, 2A, TEBET BARAT, TEBET, KOTA ADM, JAKARTA SELATAN, DKI JAKARTA")</f>
        <v>JL TEBET RAYA, 2A, TEBET BARAT, TEBET, KOTA ADM, JAKARTA SELATAN, DKI JAKARTA</v>
      </c>
      <c r="W431" s="211" t="str">
        <f>IFERROR(__xludf.DUMMYFUNCTION("""COMPUTED_VALUE"""),"IN")</f>
        <v>IN</v>
      </c>
      <c r="X431" s="211"/>
      <c r="Z431" s="211" t="str">
        <f>IFERROR(__xludf.DUMMYFUNCTION("""COMPUTED_VALUE"""),"012622151")</f>
        <v>012622151</v>
      </c>
      <c r="AC431" s="211"/>
      <c r="AD431" s="211"/>
      <c r="AE431" s="211"/>
      <c r="AF431" s="211"/>
      <c r="AG431" s="211"/>
      <c r="AH431" s="211"/>
      <c r="AI431" s="211"/>
      <c r="AJ431" s="211"/>
      <c r="AL431" s="211"/>
      <c r="AM431" s="211"/>
      <c r="AN431" s="211"/>
      <c r="AO431" s="211"/>
      <c r="AP431" s="215"/>
      <c r="AQ431" s="218"/>
      <c r="AR431" s="211"/>
      <c r="AS431" s="211"/>
      <c r="AT431" s="211"/>
      <c r="AU431" s="211"/>
      <c r="AV431" s="211"/>
      <c r="AW431" s="211"/>
      <c r="AX431" s="211"/>
      <c r="AY431" s="211"/>
      <c r="AZ431" s="211"/>
      <c r="BB431" s="211"/>
      <c r="BC431" s="211"/>
      <c r="BD431" s="211"/>
      <c r="BE431" s="211"/>
      <c r="BF431" s="211"/>
      <c r="BG431" s="211"/>
      <c r="BH431" s="211"/>
      <c r="BI431" s="211"/>
    </row>
    <row r="432">
      <c r="A432" s="210" t="str">
        <f>IFERROR(__xludf.DUMMYFUNCTION("""COMPUTED_VALUE"""),"4c0266ef")</f>
        <v>4c0266ef</v>
      </c>
      <c r="B432" s="210" t="str">
        <f>IFERROR(__xludf.DUMMYFUNCTION("""COMPUTED_VALUE"""),"4c0266ef")</f>
        <v>4c0266ef</v>
      </c>
      <c r="C432" s="213">
        <f>IFERROR(__xludf.DUMMYFUNCTION("""COMPUTED_VALUE"""),45654.49722222222)</f>
        <v>45654.49722</v>
      </c>
      <c r="D432" s="211" t="str">
        <f>IFERROR(__xludf.DUMMYFUNCTION("""COMPUTED_VALUE"""),"6b737895")</f>
        <v>6b737895</v>
      </c>
      <c r="E432" s="211" t="str">
        <f>IFERROR(__xludf.DUMMYFUNCTION("""COMPUTED_VALUE"""),"Ibu Yanti")</f>
        <v>Ibu Yanti</v>
      </c>
      <c r="F432" s="211" t="str">
        <f>IFERROR(__xludf.DUMMYFUNCTION("""COMPUTED_VALUE"""),"e8544a46")</f>
        <v>e8544a46</v>
      </c>
      <c r="G432" s="211" t="str">
        <f>IFERROR(__xludf.DUMMYFUNCTION("""COMPUTED_VALUE"""),"Oksigen 1m3")</f>
        <v>Oksigen 1m3</v>
      </c>
      <c r="H432" s="214" t="str">
        <f>IFERROR(__xludf.DUMMYFUNCTION("""COMPUTED_VALUE"""),"IN")</f>
        <v>IN</v>
      </c>
      <c r="I432" s="214" t="str">
        <f>IFERROR(__xludf.DUMMYFUNCTION("""COMPUTED_VALUE"""),"EMPTY")</f>
        <v>EMPTY</v>
      </c>
      <c r="J432" s="211">
        <f>IFERROR(__xludf.DUMMYFUNCTION("""COMPUTED_VALUE"""),1.0)</f>
        <v>1</v>
      </c>
      <c r="K432" s="211"/>
      <c r="L432" s="211"/>
      <c r="M432" s="211"/>
      <c r="N432" s="211"/>
      <c r="O432" s="211"/>
      <c r="Q432" s="210" t="str">
        <f>IFERROR(__xludf.DUMMYFUNCTION("""COMPUTED_VALUE"""),"02250246")</f>
        <v>02250246</v>
      </c>
      <c r="R432" s="210" t="str">
        <f>IFERROR(__xludf.DUMMYFUNCTION("""COMPUTED_VALUE"""),"02250246")</f>
        <v>02250246</v>
      </c>
      <c r="S432" s="211" t="str">
        <f>IFERROR(__xludf.DUMMYFUNCTION("""COMPUTED_VALUE"""),"71909be0")</f>
        <v>71909be0</v>
      </c>
      <c r="T432" s="211" t="str">
        <f>IFERROR(__xludf.DUMMYFUNCTION("""COMPUTED_VALUE"""),"Bpk. Pendik")</f>
        <v>Bpk. Pendik</v>
      </c>
      <c r="U432" s="215">
        <f>IFERROR(__xludf.DUMMYFUNCTION("""COMPUTED_VALUE"""),45693.70277777778)</f>
        <v>45693.70278</v>
      </c>
      <c r="V432" s="211"/>
      <c r="W432" s="211" t="str">
        <f>IFERROR(__xludf.DUMMYFUNCTION("""COMPUTED_VALUE"""),"OUT")</f>
        <v>OUT</v>
      </c>
      <c r="X432" s="211"/>
      <c r="Z432" s="211" t="str">
        <f>IFERROR(__xludf.DUMMYFUNCTION("""COMPUTED_VALUE"""),"012632150")</f>
        <v>012632150</v>
      </c>
      <c r="AC432" s="211"/>
      <c r="AD432" s="211"/>
      <c r="AE432" s="211"/>
      <c r="AF432" s="211"/>
      <c r="AG432" s="211"/>
      <c r="AH432" s="211"/>
      <c r="AI432" s="211"/>
      <c r="AJ432" s="211"/>
      <c r="AL432" s="211"/>
      <c r="AM432" s="211"/>
      <c r="AN432" s="211"/>
      <c r="AO432" s="211"/>
      <c r="AP432" s="215"/>
      <c r="AQ432" s="218"/>
      <c r="AR432" s="211"/>
      <c r="AS432" s="211"/>
      <c r="AT432" s="211"/>
      <c r="AU432" s="211"/>
      <c r="AV432" s="211"/>
      <c r="AW432" s="211"/>
      <c r="AX432" s="211"/>
      <c r="AY432" s="211"/>
      <c r="AZ432" s="211"/>
      <c r="BB432" s="211"/>
      <c r="BC432" s="211"/>
      <c r="BD432" s="211"/>
      <c r="BE432" s="211"/>
      <c r="BF432" s="211"/>
      <c r="BG432" s="211"/>
      <c r="BH432" s="211"/>
      <c r="BI432" s="211"/>
    </row>
    <row r="433">
      <c r="A433" s="210" t="str">
        <f>IFERROR(__xludf.DUMMYFUNCTION("""COMPUTED_VALUE"""),"be0d58ab")</f>
        <v>be0d58ab</v>
      </c>
      <c r="B433" s="210" t="str">
        <f>IFERROR(__xludf.DUMMYFUNCTION("""COMPUTED_VALUE"""),"be0d58ab")</f>
        <v>be0d58ab</v>
      </c>
      <c r="C433" s="213">
        <f>IFERROR(__xludf.DUMMYFUNCTION("""COMPUTED_VALUE"""),45654.49791666667)</f>
        <v>45654.49792</v>
      </c>
      <c r="D433" s="211" t="str">
        <f>IFERROR(__xludf.DUMMYFUNCTION("""COMPUTED_VALUE"""),"01158be1")</f>
        <v>01158be1</v>
      </c>
      <c r="E433" s="211" t="str">
        <f>IFERROR(__xludf.DUMMYFUNCTION("""COMPUTED_VALUE"""),"GYF")</f>
        <v>GYF</v>
      </c>
      <c r="F433" s="211" t="str">
        <f>IFERROR(__xludf.DUMMYFUNCTION("""COMPUTED_VALUE"""),"8bdbe149")</f>
        <v>8bdbe149</v>
      </c>
      <c r="G433" s="211" t="str">
        <f>IFERROR(__xludf.DUMMYFUNCTION("""COMPUTED_VALUE"""),"Oksigen 6m3")</f>
        <v>Oksigen 6m3</v>
      </c>
      <c r="H433" s="214" t="str">
        <f>IFERROR(__xludf.DUMMYFUNCTION("""COMPUTED_VALUE"""),"IN")</f>
        <v>IN</v>
      </c>
      <c r="I433" s="214" t="str">
        <f>IFERROR(__xludf.DUMMYFUNCTION("""COMPUTED_VALUE"""),"EMPTY")</f>
        <v>EMPTY</v>
      </c>
      <c r="J433" s="211">
        <f>IFERROR(__xludf.DUMMYFUNCTION("""COMPUTED_VALUE"""),10.0)</f>
        <v>10</v>
      </c>
      <c r="K433" s="210" t="str">
        <f>IFERROR(__xludf.DUMMYFUNCTION("""COMPUTED_VALUE"""),"1171 11194 11202 11205 1165 5388 1161 11196 11191 1162")</f>
        <v>1171 11194 11202 11205 1165 5388 1161 11196 11191 1162</v>
      </c>
      <c r="L433" s="211"/>
      <c r="M433" s="211"/>
      <c r="N433" s="211"/>
      <c r="O433" s="211"/>
      <c r="Q433" s="210" t="str">
        <f>IFERROR(__xludf.DUMMYFUNCTION("""COMPUTED_VALUE"""),"a813ae08")</f>
        <v>a813ae08</v>
      </c>
      <c r="R433" s="210" t="str">
        <f>IFERROR(__xludf.DUMMYFUNCTION("""COMPUTED_VALUE"""),"a813ae08")</f>
        <v>a813ae08</v>
      </c>
      <c r="S433" s="211" t="str">
        <f>IFERROR(__xludf.DUMMYFUNCTION("""COMPUTED_VALUE"""),"785e0e07")</f>
        <v>785e0e07</v>
      </c>
      <c r="T433" s="211" t="str">
        <f>IFERROR(__xludf.DUMMYFUNCTION("""COMPUTED_VALUE"""),"Bpk. Sukirno (Bejo)")</f>
        <v>Bpk. Sukirno (Bejo)</v>
      </c>
      <c r="U433" s="215">
        <f>IFERROR(__xludf.DUMMYFUNCTION("""COMPUTED_VALUE"""),45693.709027777775)</f>
        <v>45693.70903</v>
      </c>
      <c r="V433" s="211" t="str">
        <f>IFERROR(__xludf.DUMMYFUNCTION("""COMPUTED_VALUE"""),"Krajan I, Wringinanom, Kec. Wringinanom, Kabupaten Gresik, Jawa Timur 61176")</f>
        <v>Krajan I, Wringinanom, Kec. Wringinanom, Kabupaten Gresik, Jawa Timur 61176</v>
      </c>
      <c r="W433" s="211" t="str">
        <f>IFERROR(__xludf.DUMMYFUNCTION("""COMPUTED_VALUE"""),"IN")</f>
        <v>IN</v>
      </c>
      <c r="X433" s="211"/>
      <c r="Z433" s="211" t="str">
        <f>IFERROR(__xludf.DUMMYFUNCTION("""COMPUTED_VALUE"""),"012682147")</f>
        <v>012682147</v>
      </c>
      <c r="AC433" s="211"/>
      <c r="AD433" s="211"/>
      <c r="AE433" s="211"/>
      <c r="AF433" s="211"/>
      <c r="AG433" s="211"/>
      <c r="AH433" s="211"/>
      <c r="AI433" s="211"/>
      <c r="AJ433" s="211"/>
      <c r="AL433" s="211"/>
      <c r="AM433" s="211"/>
      <c r="AN433" s="211"/>
      <c r="AO433" s="211"/>
      <c r="AP433" s="215"/>
      <c r="AQ433" s="218"/>
      <c r="AR433" s="211"/>
      <c r="AS433" s="211"/>
      <c r="AT433" s="211"/>
      <c r="AU433" s="211"/>
      <c r="AV433" s="211"/>
      <c r="AW433" s="211"/>
      <c r="AX433" s="211"/>
      <c r="AY433" s="211"/>
      <c r="AZ433" s="211"/>
      <c r="BB433" s="211"/>
      <c r="BC433" s="211"/>
      <c r="BD433" s="211"/>
      <c r="BE433" s="211"/>
      <c r="BF433" s="211"/>
      <c r="BG433" s="211"/>
      <c r="BH433" s="211"/>
      <c r="BI433" s="211"/>
    </row>
    <row r="434">
      <c r="A434" s="210" t="str">
        <f>IFERROR(__xludf.DUMMYFUNCTION("""COMPUTED_VALUE"""),"2cfed8a0")</f>
        <v>2cfed8a0</v>
      </c>
      <c r="B434" s="210" t="str">
        <f>IFERROR(__xludf.DUMMYFUNCTION("""COMPUTED_VALUE"""),"2cfed8a0")</f>
        <v>2cfed8a0</v>
      </c>
      <c r="C434" s="213">
        <f>IFERROR(__xludf.DUMMYFUNCTION("""COMPUTED_VALUE"""),45651.49930555555)</f>
        <v>45651.49931</v>
      </c>
      <c r="D434" s="211" t="str">
        <f>IFERROR(__xludf.DUMMYFUNCTION("""COMPUTED_VALUE"""),"01158be1")</f>
        <v>01158be1</v>
      </c>
      <c r="E434" s="211" t="str">
        <f>IFERROR(__xludf.DUMMYFUNCTION("""COMPUTED_VALUE"""),"GYF")</f>
        <v>GYF</v>
      </c>
      <c r="F434" s="211" t="str">
        <f>IFERROR(__xludf.DUMMYFUNCTION("""COMPUTED_VALUE"""),"8bdbe149")</f>
        <v>8bdbe149</v>
      </c>
      <c r="G434" s="211" t="str">
        <f>IFERROR(__xludf.DUMMYFUNCTION("""COMPUTED_VALUE"""),"Oksigen 6m3")</f>
        <v>Oksigen 6m3</v>
      </c>
      <c r="H434" s="214" t="str">
        <f>IFERROR(__xludf.DUMMYFUNCTION("""COMPUTED_VALUE"""),"IN")</f>
        <v>IN</v>
      </c>
      <c r="I434" s="214" t="str">
        <f>IFERROR(__xludf.DUMMYFUNCTION("""COMPUTED_VALUE"""),"EMPTY")</f>
        <v>EMPTY</v>
      </c>
      <c r="J434" s="211">
        <f>IFERROR(__xludf.DUMMYFUNCTION("""COMPUTED_VALUE"""),6.0)</f>
        <v>6</v>
      </c>
      <c r="K434" s="210" t="str">
        <f>IFERROR(__xludf.DUMMYFUNCTION("""COMPUTED_VALUE"""),"11211 1156 11204 11197 11208 1175")</f>
        <v>11211 1156 11204 11197 11208 1175</v>
      </c>
      <c r="L434" s="211"/>
      <c r="M434" s="211"/>
      <c r="N434" s="211"/>
      <c r="O434" s="211"/>
      <c r="Q434" s="210" t="str">
        <f>IFERROR(__xludf.DUMMYFUNCTION("""COMPUTED_VALUE"""),"02250247")</f>
        <v>02250247</v>
      </c>
      <c r="R434" s="210" t="str">
        <f>IFERROR(__xludf.DUMMYFUNCTION("""COMPUTED_VALUE"""),"02250247")</f>
        <v>02250247</v>
      </c>
      <c r="S434" s="211" t="str">
        <f>IFERROR(__xludf.DUMMYFUNCTION("""COMPUTED_VALUE"""),"ce83e171")</f>
        <v>ce83e171</v>
      </c>
      <c r="T434" s="211" t="str">
        <f>IFERROR(__xludf.DUMMYFUNCTION("""COMPUTED_VALUE"""),"Bpk. Sulaiman")</f>
        <v>Bpk. Sulaiman</v>
      </c>
      <c r="U434" s="215">
        <f>IFERROR(__xludf.DUMMYFUNCTION("""COMPUTED_VALUE"""),45694.37291666667)</f>
        <v>45694.37292</v>
      </c>
      <c r="V434" s="211" t="str">
        <f>IFERROR(__xludf.DUMMYFUNCTION("""COMPUTED_VALUE"""),"Jl. Raya Kramat Temenggung No.43, Kramat, Kramat Temenggung, Kec. Tarik, Kabupaten Sidoarjo, Jawa Timur 61265")</f>
        <v>Jl. Raya Kramat Temenggung No.43, Kramat, Kramat Temenggung, Kec. Tarik, Kabupaten Sidoarjo, Jawa Timur 61265</v>
      </c>
      <c r="W434" s="211" t="str">
        <f>IFERROR(__xludf.DUMMYFUNCTION("""COMPUTED_VALUE"""),"OUT")</f>
        <v>OUT</v>
      </c>
      <c r="X434" s="211"/>
      <c r="Z434" s="211" t="str">
        <f>IFERROR(__xludf.DUMMYFUNCTION("""COMPUTED_VALUE"""),"012672143")</f>
        <v>012672143</v>
      </c>
      <c r="AC434" s="211"/>
      <c r="AD434" s="211"/>
      <c r="AE434" s="211"/>
      <c r="AF434" s="211"/>
      <c r="AG434" s="211"/>
      <c r="AH434" s="211"/>
      <c r="AI434" s="211"/>
      <c r="AJ434" s="211"/>
      <c r="AL434" s="211"/>
      <c r="AM434" s="211"/>
      <c r="AN434" s="211"/>
      <c r="AO434" s="211"/>
      <c r="AP434" s="215"/>
      <c r="AQ434" s="218"/>
      <c r="AR434" s="211"/>
      <c r="AS434" s="211"/>
      <c r="AT434" s="211"/>
      <c r="AU434" s="211"/>
      <c r="AV434" s="211"/>
      <c r="AW434" s="211"/>
      <c r="AX434" s="211"/>
      <c r="AY434" s="211"/>
      <c r="AZ434" s="211"/>
      <c r="BB434" s="211"/>
      <c r="BC434" s="211"/>
      <c r="BD434" s="211"/>
      <c r="BE434" s="211"/>
      <c r="BF434" s="211"/>
      <c r="BG434" s="211"/>
      <c r="BH434" s="211"/>
      <c r="BI434" s="211"/>
    </row>
    <row r="435">
      <c r="A435" s="210" t="str">
        <f>IFERROR(__xludf.DUMMYFUNCTION("""COMPUTED_VALUE"""),"27df010e")</f>
        <v>27df010e</v>
      </c>
      <c r="B435" s="210" t="str">
        <f>IFERROR(__xludf.DUMMYFUNCTION("""COMPUTED_VALUE"""),"27df010e")</f>
        <v>27df010e</v>
      </c>
      <c r="C435" s="213">
        <f>IFERROR(__xludf.DUMMYFUNCTION("""COMPUTED_VALUE"""),45653.501388888886)</f>
        <v>45653.50139</v>
      </c>
      <c r="D435" s="211" t="str">
        <f>IFERROR(__xludf.DUMMYFUNCTION("""COMPUTED_VALUE"""),"785e0e07")</f>
        <v>785e0e07</v>
      </c>
      <c r="E435" s="211" t="str">
        <f>IFERROR(__xludf.DUMMYFUNCTION("""COMPUTED_VALUE"""),"Bpk. Sukirno (Bejo)")</f>
        <v>Bpk. Sukirno (Bejo)</v>
      </c>
      <c r="F435" s="211" t="str">
        <f>IFERROR(__xludf.DUMMYFUNCTION("""COMPUTED_VALUE"""),"8bdbe149")</f>
        <v>8bdbe149</v>
      </c>
      <c r="G435" s="211" t="str">
        <f>IFERROR(__xludf.DUMMYFUNCTION("""COMPUTED_VALUE"""),"Oksigen 6m3")</f>
        <v>Oksigen 6m3</v>
      </c>
      <c r="H435" s="214" t="str">
        <f>IFERROR(__xludf.DUMMYFUNCTION("""COMPUTED_VALUE"""),"IN")</f>
        <v>IN</v>
      </c>
      <c r="I435" s="214" t="str">
        <f>IFERROR(__xludf.DUMMYFUNCTION("""COMPUTED_VALUE"""),"EMPTY")</f>
        <v>EMPTY</v>
      </c>
      <c r="J435" s="211">
        <f>IFERROR(__xludf.DUMMYFUNCTION("""COMPUTED_VALUE"""),13.0)</f>
        <v>13</v>
      </c>
      <c r="K435" s="210" t="str">
        <f>IFERROR(__xludf.DUMMYFUNCTION("""COMPUTED_VALUE"""),"5815 1124 11145 1170 11165 11131 11163 1128 1140 11133 1368 1173 11109")</f>
        <v>5815 1124 11145 1170 11165 11131 11163 1128 1140 11133 1368 1173 11109</v>
      </c>
      <c r="L435" s="211"/>
      <c r="M435" s="211"/>
      <c r="N435" s="211"/>
      <c r="O435" s="211"/>
      <c r="Q435" s="210" t="str">
        <f>IFERROR(__xludf.DUMMYFUNCTION("""COMPUTED_VALUE"""),"02250248")</f>
        <v>02250248</v>
      </c>
      <c r="R435" s="210" t="str">
        <f>IFERROR(__xludf.DUMMYFUNCTION("""COMPUTED_VALUE"""),"02250248")</f>
        <v>02250248</v>
      </c>
      <c r="S435" s="211" t="str">
        <f>IFERROR(__xludf.DUMMYFUNCTION("""COMPUTED_VALUE"""),"01158be1")</f>
        <v>01158be1</v>
      </c>
      <c r="T435" s="211" t="str">
        <f>IFERROR(__xludf.DUMMYFUNCTION("""COMPUTED_VALUE"""),"GYF")</f>
        <v>GYF</v>
      </c>
      <c r="U435" s="215">
        <f>IFERROR(__xludf.DUMMYFUNCTION("""COMPUTED_VALUE"""),45694.375)</f>
        <v>45694.375</v>
      </c>
      <c r="V435" s="211" t="str">
        <f>IFERROR(__xludf.DUMMYFUNCTION("""COMPUTED_VALUE"""),"Kangkungan, Lengkong, Kec. Mojoanyar, Kabupaten Mojokerto, Jawa Timur")</f>
        <v>Kangkungan, Lengkong, Kec. Mojoanyar, Kabupaten Mojokerto, Jawa Timur</v>
      </c>
      <c r="W435" s="211" t="str">
        <f>IFERROR(__xludf.DUMMYFUNCTION("""COMPUTED_VALUE"""),"OUT")</f>
        <v>OUT</v>
      </c>
      <c r="X435" s="211"/>
      <c r="Z435" s="211" t="str">
        <f>IFERROR(__xludf.DUMMYFUNCTION("""COMPUTED_VALUE"""),"0126182142")</f>
        <v>0126182142</v>
      </c>
      <c r="AC435" s="211"/>
      <c r="AD435" s="211"/>
      <c r="AE435" s="211"/>
      <c r="AF435" s="211"/>
      <c r="AG435" s="211"/>
      <c r="AH435" s="211"/>
      <c r="AI435" s="211"/>
      <c r="AJ435" s="211"/>
      <c r="AL435" s="211"/>
      <c r="AM435" s="211"/>
      <c r="AN435" s="211"/>
      <c r="AO435" s="211"/>
      <c r="AP435" s="215"/>
      <c r="AQ435" s="218"/>
      <c r="AR435" s="211"/>
      <c r="AS435" s="211"/>
      <c r="AT435" s="211"/>
      <c r="AU435" s="211"/>
      <c r="AV435" s="211"/>
      <c r="AW435" s="211"/>
      <c r="AX435" s="211"/>
      <c r="AY435" s="211"/>
      <c r="AZ435" s="211"/>
      <c r="BB435" s="211"/>
      <c r="BC435" s="211"/>
      <c r="BD435" s="211"/>
      <c r="BE435" s="211"/>
      <c r="BF435" s="211"/>
      <c r="BG435" s="211"/>
      <c r="BH435" s="211"/>
      <c r="BI435" s="211"/>
    </row>
    <row r="436">
      <c r="A436" s="210" t="str">
        <f>IFERROR(__xludf.DUMMYFUNCTION("""COMPUTED_VALUE"""),"52c6cc73")</f>
        <v>52c6cc73</v>
      </c>
      <c r="B436" s="210" t="str">
        <f>IFERROR(__xludf.DUMMYFUNCTION("""COMPUTED_VALUE"""),"52c6cc73")</f>
        <v>52c6cc73</v>
      </c>
      <c r="C436" s="213">
        <f>IFERROR(__xludf.DUMMYFUNCTION("""COMPUTED_VALUE"""),45653.50208333333)</f>
        <v>45653.50208</v>
      </c>
      <c r="D436" s="211" t="str">
        <f>IFERROR(__xludf.DUMMYFUNCTION("""COMPUTED_VALUE"""),"e86baf3b")</f>
        <v>e86baf3b</v>
      </c>
      <c r="E436" s="211" t="str">
        <f>IFERROR(__xludf.DUMMYFUNCTION("""COMPUTED_VALUE"""),"PT GEMILANG CIPTA WAWASAN")</f>
        <v>PT GEMILANG CIPTA WAWASAN</v>
      </c>
      <c r="F436" s="211" t="str">
        <f>IFERROR(__xludf.DUMMYFUNCTION("""COMPUTED_VALUE"""),"8bdbe149")</f>
        <v>8bdbe149</v>
      </c>
      <c r="G436" s="211" t="str">
        <f>IFERROR(__xludf.DUMMYFUNCTION("""COMPUTED_VALUE"""),"Oksigen 6m3")</f>
        <v>Oksigen 6m3</v>
      </c>
      <c r="H436" s="214" t="str">
        <f>IFERROR(__xludf.DUMMYFUNCTION("""COMPUTED_VALUE"""),"IN")</f>
        <v>IN</v>
      </c>
      <c r="I436" s="214" t="str">
        <f>IFERROR(__xludf.DUMMYFUNCTION("""COMPUTED_VALUE"""),"EMPTY")</f>
        <v>EMPTY</v>
      </c>
      <c r="J436" s="211">
        <f>IFERROR(__xludf.DUMMYFUNCTION("""COMPUTED_VALUE"""),8.0)</f>
        <v>8</v>
      </c>
      <c r="K436" s="210" t="str">
        <f>IFERROR(__xludf.DUMMYFUNCTION("""COMPUTED_VALUE"""),"1142 1110 1115 1155 11116 11112 1107 1113")</f>
        <v>1142 1110 1115 1155 11116 11112 1107 1113</v>
      </c>
      <c r="L436" s="211"/>
      <c r="M436" s="211"/>
      <c r="N436" s="211"/>
      <c r="O436" s="211"/>
      <c r="Q436" s="210" t="str">
        <f>IFERROR(__xludf.DUMMYFUNCTION("""COMPUTED_VALUE"""),"3753da25")</f>
        <v>3753da25</v>
      </c>
      <c r="R436" s="210" t="str">
        <f>IFERROR(__xludf.DUMMYFUNCTION("""COMPUTED_VALUE"""),"3753da25")</f>
        <v>3753da25</v>
      </c>
      <c r="S436" s="211" t="str">
        <f>IFERROR(__xludf.DUMMYFUNCTION("""COMPUTED_VALUE"""),"01158be1")</f>
        <v>01158be1</v>
      </c>
      <c r="T436" s="211" t="str">
        <f>IFERROR(__xludf.DUMMYFUNCTION("""COMPUTED_VALUE"""),"GYF")</f>
        <v>GYF</v>
      </c>
      <c r="U436" s="215">
        <f>IFERROR(__xludf.DUMMYFUNCTION("""COMPUTED_VALUE"""),45694.506944444445)</f>
        <v>45694.50694</v>
      </c>
      <c r="V436" s="211" t="str">
        <f>IFERROR(__xludf.DUMMYFUNCTION("""COMPUTED_VALUE"""),"Kangkungan, Lengkong, Kec. Mojoanyar, Kabupaten Mojokerto, Jawa Timur")</f>
        <v>Kangkungan, Lengkong, Kec. Mojoanyar, Kabupaten Mojokerto, Jawa Timur</v>
      </c>
      <c r="W436" s="211" t="str">
        <f>IFERROR(__xludf.DUMMYFUNCTION("""COMPUTED_VALUE"""),"IN")</f>
        <v>IN</v>
      </c>
      <c r="X436" s="211"/>
      <c r="Z436" s="211" t="str">
        <f>IFERROR(__xludf.DUMMYFUNCTION("""COMPUTED_VALUE"""),"012692141")</f>
        <v>012692141</v>
      </c>
      <c r="AC436" s="211"/>
      <c r="AD436" s="211"/>
      <c r="AE436" s="211"/>
      <c r="AF436" s="211"/>
      <c r="AG436" s="211"/>
      <c r="AH436" s="211"/>
      <c r="AI436" s="211"/>
      <c r="AJ436" s="211"/>
      <c r="AL436" s="211"/>
      <c r="AM436" s="211"/>
      <c r="AN436" s="211"/>
      <c r="AO436" s="211"/>
      <c r="AP436" s="215"/>
      <c r="AQ436" s="218"/>
      <c r="AR436" s="211"/>
      <c r="AS436" s="211"/>
      <c r="AT436" s="211"/>
      <c r="AU436" s="211"/>
      <c r="AV436" s="211"/>
      <c r="AW436" s="211"/>
      <c r="AX436" s="211"/>
      <c r="AY436" s="211"/>
      <c r="AZ436" s="211"/>
      <c r="BB436" s="211"/>
      <c r="BC436" s="211"/>
      <c r="BD436" s="211"/>
      <c r="BE436" s="211"/>
      <c r="BF436" s="211"/>
      <c r="BG436" s="211"/>
      <c r="BH436" s="211"/>
      <c r="BI436" s="211"/>
    </row>
    <row r="437">
      <c r="A437" s="210" t="str">
        <f>IFERROR(__xludf.DUMMYFUNCTION("""COMPUTED_VALUE"""),"9a983ea6")</f>
        <v>9a983ea6</v>
      </c>
      <c r="B437" s="210" t="str">
        <f>IFERROR(__xludf.DUMMYFUNCTION("""COMPUTED_VALUE"""),"9a983ea6")</f>
        <v>9a983ea6</v>
      </c>
      <c r="C437" s="213">
        <f>IFERROR(__xludf.DUMMYFUNCTION("""COMPUTED_VALUE"""),45653.50347222222)</f>
        <v>45653.50347</v>
      </c>
      <c r="D437" s="211" t="str">
        <f>IFERROR(__xludf.DUMMYFUNCTION("""COMPUTED_VALUE"""),"37175874")</f>
        <v>37175874</v>
      </c>
      <c r="E437" s="211" t="str">
        <f>IFERROR(__xludf.DUMMYFUNCTION("""COMPUTED_VALUE"""),"PT TERAPAN NILAIOSILASI INDONESIA (TENO)")</f>
        <v>PT TERAPAN NILAIOSILASI INDONESIA (TENO)</v>
      </c>
      <c r="F437" s="211" t="str">
        <f>IFERROR(__xludf.DUMMYFUNCTION("""COMPUTED_VALUE"""),"8bdbe149")</f>
        <v>8bdbe149</v>
      </c>
      <c r="G437" s="211" t="str">
        <f>IFERROR(__xludf.DUMMYFUNCTION("""COMPUTED_VALUE"""),"Oksigen 6m3")</f>
        <v>Oksigen 6m3</v>
      </c>
      <c r="H437" s="214" t="str">
        <f>IFERROR(__xludf.DUMMYFUNCTION("""COMPUTED_VALUE"""),"IN")</f>
        <v>IN</v>
      </c>
      <c r="I437" s="214" t="str">
        <f>IFERROR(__xludf.DUMMYFUNCTION("""COMPUTED_VALUE"""),"EMPTY")</f>
        <v>EMPTY</v>
      </c>
      <c r="J437" s="211">
        <f>IFERROR(__xludf.DUMMYFUNCTION("""COMPUTED_VALUE"""),3.0)</f>
        <v>3</v>
      </c>
      <c r="K437" s="210" t="str">
        <f>IFERROR(__xludf.DUMMYFUNCTION("""COMPUTED_VALUE"""),"5211 11158 1129")</f>
        <v>5211 11158 1129</v>
      </c>
      <c r="L437" s="211"/>
      <c r="M437" s="211"/>
      <c r="N437" s="211"/>
      <c r="O437" s="211"/>
      <c r="Q437" s="210" t="str">
        <f>IFERROR(__xludf.DUMMYFUNCTION("""COMPUTED_VALUE"""),"02250249")</f>
        <v>02250249</v>
      </c>
      <c r="R437" s="210" t="str">
        <f>IFERROR(__xludf.DUMMYFUNCTION("""COMPUTED_VALUE"""),"02250249")</f>
        <v>02250249</v>
      </c>
      <c r="S437" s="211" t="str">
        <f>IFERROR(__xludf.DUMMYFUNCTION("""COMPUTED_VALUE"""),"ac52e1fa")</f>
        <v>ac52e1fa</v>
      </c>
      <c r="T437" s="211" t="str">
        <f>IFERROR(__xludf.DUMMYFUNCTION("""COMPUTED_VALUE"""),"Abah Mad")</f>
        <v>Abah Mad</v>
      </c>
      <c r="U437" s="215">
        <f>IFERROR(__xludf.DUMMYFUNCTION("""COMPUTED_VALUE"""),45694.51597222222)</f>
        <v>45694.51597</v>
      </c>
      <c r="V437" s="211" t="str">
        <f>IFERROR(__xludf.DUMMYFUNCTION("""COMPUTED_VALUE"""),"Jl. Raya Surabaya  Madiun, Sidotemo, Sidomulyo, Kec. Krian, Kabupaten Sidoarjo, Jawa Timur 61262")</f>
        <v>Jl. Raya Surabaya  Madiun, Sidotemo, Sidomulyo, Kec. Krian, Kabupaten Sidoarjo, Jawa Timur 61262</v>
      </c>
      <c r="W437" s="211" t="str">
        <f>IFERROR(__xludf.DUMMYFUNCTION("""COMPUTED_VALUE"""),"OUT")</f>
        <v>OUT</v>
      </c>
      <c r="X437" s="211"/>
      <c r="Z437" s="211" t="str">
        <f>IFERROR(__xludf.DUMMYFUNCTION("""COMPUTED_VALUE"""),"0126652140")</f>
        <v>0126652140</v>
      </c>
      <c r="AC437" s="211"/>
      <c r="AD437" s="211"/>
      <c r="AE437" s="211"/>
      <c r="AF437" s="211"/>
      <c r="AG437" s="211"/>
      <c r="AH437" s="211"/>
      <c r="AI437" s="211"/>
      <c r="AJ437" s="211"/>
      <c r="AL437" s="211"/>
      <c r="AM437" s="211"/>
      <c r="AN437" s="211"/>
      <c r="AO437" s="211"/>
      <c r="AP437" s="215"/>
      <c r="AQ437" s="218"/>
      <c r="AR437" s="211"/>
      <c r="AS437" s="211"/>
      <c r="AT437" s="211"/>
      <c r="AU437" s="211"/>
      <c r="AV437" s="211"/>
      <c r="AW437" s="211"/>
      <c r="AX437" s="211"/>
      <c r="AY437" s="211"/>
      <c r="AZ437" s="211"/>
      <c r="BB437" s="211"/>
      <c r="BC437" s="211"/>
      <c r="BD437" s="211"/>
      <c r="BE437" s="211"/>
      <c r="BF437" s="211"/>
      <c r="BG437" s="211"/>
      <c r="BH437" s="211"/>
      <c r="BI437" s="211"/>
    </row>
    <row r="438">
      <c r="A438" s="210" t="str">
        <f>IFERROR(__xludf.DUMMYFUNCTION("""COMPUTED_VALUE"""),"94ef72cb")</f>
        <v>94ef72cb</v>
      </c>
      <c r="B438" s="210" t="str">
        <f>IFERROR(__xludf.DUMMYFUNCTION("""COMPUTED_VALUE"""),"94ef72cb")</f>
        <v>94ef72cb</v>
      </c>
      <c r="C438" s="213">
        <f>IFERROR(__xludf.DUMMYFUNCTION("""COMPUTED_VALUE"""),45654.50486111111)</f>
        <v>45654.50486</v>
      </c>
      <c r="D438" s="211" t="str">
        <f>IFERROR(__xludf.DUMMYFUNCTION("""COMPUTED_VALUE"""),"4ec68cf6")</f>
        <v>4ec68cf6</v>
      </c>
      <c r="E438" s="211" t="str">
        <f>IFERROR(__xludf.DUMMYFUNCTION("""COMPUTED_VALUE"""),"CV Sido Mukti Karya")</f>
        <v>CV Sido Mukti Karya</v>
      </c>
      <c r="F438" s="211" t="str">
        <f>IFERROR(__xludf.DUMMYFUNCTION("""COMPUTED_VALUE"""),"8bdbe149")</f>
        <v>8bdbe149</v>
      </c>
      <c r="G438" s="211" t="str">
        <f>IFERROR(__xludf.DUMMYFUNCTION("""COMPUTED_VALUE"""),"Oksigen 6m3")</f>
        <v>Oksigen 6m3</v>
      </c>
      <c r="H438" s="214" t="str">
        <f>IFERROR(__xludf.DUMMYFUNCTION("""COMPUTED_VALUE"""),"IN")</f>
        <v>IN</v>
      </c>
      <c r="I438" s="214" t="str">
        <f>IFERROR(__xludf.DUMMYFUNCTION("""COMPUTED_VALUE"""),"EMPTY")</f>
        <v>EMPTY</v>
      </c>
      <c r="J438" s="211">
        <f>IFERROR(__xludf.DUMMYFUNCTION("""COMPUTED_VALUE"""),3.0)</f>
        <v>3</v>
      </c>
      <c r="K438" s="210" t="str">
        <f>IFERROR(__xludf.DUMMYFUNCTION("""COMPUTED_VALUE"""),"11186 11183 5373")</f>
        <v>11186 11183 5373</v>
      </c>
      <c r="L438" s="211"/>
      <c r="M438" s="211"/>
      <c r="N438" s="211"/>
      <c r="O438" s="211"/>
      <c r="Q438" s="210" t="str">
        <f>IFERROR(__xludf.DUMMYFUNCTION("""COMPUTED_VALUE"""),"d14d7259")</f>
        <v>d14d7259</v>
      </c>
      <c r="R438" s="210" t="str">
        <f>IFERROR(__xludf.DUMMYFUNCTION("""COMPUTED_VALUE"""),"d14d7259")</f>
        <v>d14d7259</v>
      </c>
      <c r="S438" s="211" t="str">
        <f>IFERROR(__xludf.DUMMYFUNCTION("""COMPUTED_VALUE"""),"06d600f6")</f>
        <v>06d600f6</v>
      </c>
      <c r="T438" s="211" t="str">
        <f>IFERROR(__xludf.DUMMYFUNCTION("""COMPUTED_VALUE"""),"Ibu Ida")</f>
        <v>Ibu Ida</v>
      </c>
      <c r="U438" s="215">
        <f>IFERROR(__xludf.DUMMYFUNCTION("""COMPUTED_VALUE"""),45694.65)</f>
        <v>45694.65</v>
      </c>
      <c r="V438" s="211" t="str">
        <f>IFERROR(__xludf.DUMMYFUNCTION("""COMPUTED_VALUE"""),"Wonoayu rt 1 rw 4, Kec wonoayu, Kab. Sidoarjo")</f>
        <v>Wonoayu rt 1 rw 4, Kec wonoayu, Kab. Sidoarjo</v>
      </c>
      <c r="W438" s="211" t="str">
        <f>IFERROR(__xludf.DUMMYFUNCTION("""COMPUTED_VALUE"""),"IN")</f>
        <v>IN</v>
      </c>
      <c r="X438" s="211"/>
      <c r="Z438" s="211" t="str">
        <f>IFERROR(__xludf.DUMMYFUNCTION("""COMPUTED_VALUE"""),"0126362135")</f>
        <v>0126362135</v>
      </c>
      <c r="AC438" s="211"/>
      <c r="AD438" s="211"/>
      <c r="AE438" s="211"/>
      <c r="AF438" s="211"/>
      <c r="AG438" s="211"/>
      <c r="AH438" s="211"/>
      <c r="AI438" s="211"/>
      <c r="AJ438" s="211"/>
      <c r="AL438" s="211"/>
      <c r="AM438" s="211"/>
      <c r="AN438" s="211"/>
      <c r="AO438" s="211"/>
      <c r="AP438" s="215"/>
      <c r="AQ438" s="218"/>
      <c r="AR438" s="211"/>
      <c r="AS438" s="211"/>
      <c r="AT438" s="211"/>
      <c r="AU438" s="211"/>
      <c r="AV438" s="211"/>
      <c r="AW438" s="211"/>
      <c r="AX438" s="211"/>
      <c r="AY438" s="211"/>
      <c r="AZ438" s="211"/>
      <c r="BB438" s="211"/>
      <c r="BC438" s="211"/>
      <c r="BD438" s="211"/>
      <c r="BE438" s="211"/>
      <c r="BF438" s="211"/>
      <c r="BG438" s="211"/>
      <c r="BH438" s="211"/>
      <c r="BI438" s="211"/>
    </row>
    <row r="439">
      <c r="A439" s="210" t="str">
        <f>IFERROR(__xludf.DUMMYFUNCTION("""COMPUTED_VALUE"""),"94ef72cb")</f>
        <v>94ef72cb</v>
      </c>
      <c r="B439" s="210" t="str">
        <f>IFERROR(__xludf.DUMMYFUNCTION("""COMPUTED_VALUE"""),"94ef72cb")</f>
        <v>94ef72cb</v>
      </c>
      <c r="C439" s="213">
        <f>IFERROR(__xludf.DUMMYFUNCTION("""COMPUTED_VALUE"""),45654.50486111111)</f>
        <v>45654.50486</v>
      </c>
      <c r="D439" s="211" t="str">
        <f>IFERROR(__xludf.DUMMYFUNCTION("""COMPUTED_VALUE"""),"4ec68cf6")</f>
        <v>4ec68cf6</v>
      </c>
      <c r="E439" s="211" t="str">
        <f>IFERROR(__xludf.DUMMYFUNCTION("""COMPUTED_VALUE"""),"CV Sido Mukti Karya")</f>
        <v>CV Sido Mukti Karya</v>
      </c>
      <c r="F439" s="211" t="str">
        <f>IFERROR(__xludf.DUMMYFUNCTION("""COMPUTED_VALUE"""),"ef306e54")</f>
        <v>ef306e54</v>
      </c>
      <c r="G439" s="211" t="str">
        <f>IFERROR(__xludf.DUMMYFUNCTION("""COMPUTED_VALUE"""),"Karbondioksida")</f>
        <v>Karbondioksida</v>
      </c>
      <c r="H439" s="214" t="str">
        <f>IFERROR(__xludf.DUMMYFUNCTION("""COMPUTED_VALUE"""),"IN")</f>
        <v>IN</v>
      </c>
      <c r="I439" s="214" t="str">
        <f>IFERROR(__xludf.DUMMYFUNCTION("""COMPUTED_VALUE"""),"EMPTY")</f>
        <v>EMPTY</v>
      </c>
      <c r="J439" s="211">
        <f>IFERROR(__xludf.DUMMYFUNCTION("""COMPUTED_VALUE"""),1.0)</f>
        <v>1</v>
      </c>
      <c r="K439" s="210" t="str">
        <f>IFERROR(__xludf.DUMMYFUNCTION("""COMPUTED_VALUE"""),"6917")</f>
        <v>6917</v>
      </c>
      <c r="L439" s="211"/>
      <c r="M439" s="211"/>
      <c r="N439" s="211"/>
      <c r="O439" s="211"/>
      <c r="Q439" s="210" t="str">
        <f>IFERROR(__xludf.DUMMYFUNCTION("""COMPUTED_VALUE"""),"bacc95cb")</f>
        <v>bacc95cb</v>
      </c>
      <c r="R439" s="210" t="str">
        <f>IFERROR(__xludf.DUMMYFUNCTION("""COMPUTED_VALUE"""),"bacc95cb")</f>
        <v>bacc95cb</v>
      </c>
      <c r="S439" s="211" t="str">
        <f>IFERROR(__xludf.DUMMYFUNCTION("""COMPUTED_VALUE"""),"6b737895")</f>
        <v>6b737895</v>
      </c>
      <c r="T439" s="211" t="str">
        <f>IFERROR(__xludf.DUMMYFUNCTION("""COMPUTED_VALUE"""),"Ibu Yanti")</f>
        <v>Ibu Yanti</v>
      </c>
      <c r="U439" s="215">
        <f>IFERROR(__xludf.DUMMYFUNCTION("""COMPUTED_VALUE"""),45694.65069444444)</f>
        <v>45694.65069</v>
      </c>
      <c r="V439" s="211" t="str">
        <f>IFERROR(__xludf.DUMMYFUNCTION("""COMPUTED_VALUE"""),"Klutuk, Kramat Jegu, Kec. Taman, Kabupaten Sidoarjo, Jawa Timur 61257")</f>
        <v>Klutuk, Kramat Jegu, Kec. Taman, Kabupaten Sidoarjo, Jawa Timur 61257</v>
      </c>
      <c r="W439" s="211" t="str">
        <f>IFERROR(__xludf.DUMMYFUNCTION("""COMPUTED_VALUE"""),"IN")</f>
        <v>IN</v>
      </c>
      <c r="X439" s="211"/>
      <c r="Z439" s="211" t="str">
        <f>IFERROR(__xludf.DUMMYFUNCTION("""COMPUTED_VALUE"""),"012652134")</f>
        <v>012652134</v>
      </c>
      <c r="AC439" s="211"/>
      <c r="AD439" s="211"/>
      <c r="AE439" s="211"/>
      <c r="AF439" s="211"/>
      <c r="AG439" s="211"/>
      <c r="AH439" s="211"/>
      <c r="AI439" s="211"/>
      <c r="AJ439" s="211"/>
      <c r="AL439" s="211"/>
      <c r="AM439" s="211"/>
      <c r="AN439" s="211"/>
      <c r="AO439" s="211"/>
      <c r="AP439" s="215"/>
      <c r="AQ439" s="218"/>
      <c r="AR439" s="211"/>
      <c r="AS439" s="211"/>
      <c r="AT439" s="211"/>
      <c r="AU439" s="211"/>
      <c r="AV439" s="211"/>
      <c r="AW439" s="211"/>
      <c r="AX439" s="211"/>
      <c r="AY439" s="211"/>
      <c r="AZ439" s="211"/>
      <c r="BB439" s="211"/>
      <c r="BC439" s="211"/>
      <c r="BD439" s="211"/>
      <c r="BE439" s="211"/>
      <c r="BF439" s="211"/>
      <c r="BG439" s="211"/>
      <c r="BH439" s="211"/>
      <c r="BI439" s="211"/>
    </row>
    <row r="440">
      <c r="A440" s="210" t="str">
        <f>IFERROR(__xludf.DUMMYFUNCTION("""COMPUTED_VALUE"""),"af98e8f0")</f>
        <v>af98e8f0</v>
      </c>
      <c r="B440" s="210" t="str">
        <f>IFERROR(__xludf.DUMMYFUNCTION("""COMPUTED_VALUE"""),"af98e8f0")</f>
        <v>af98e8f0</v>
      </c>
      <c r="C440" s="213">
        <f>IFERROR(__xludf.DUMMYFUNCTION("""COMPUTED_VALUE"""),45653.50625)</f>
        <v>45653.50625</v>
      </c>
      <c r="D440" s="211" t="str">
        <f>IFERROR(__xludf.DUMMYFUNCTION("""COMPUTED_VALUE"""),"06d600f6")</f>
        <v>06d600f6</v>
      </c>
      <c r="E440" s="211" t="str">
        <f>IFERROR(__xludf.DUMMYFUNCTION("""COMPUTED_VALUE"""),"Ibu Ida")</f>
        <v>Ibu Ida</v>
      </c>
      <c r="F440" s="211" t="str">
        <f>IFERROR(__xludf.DUMMYFUNCTION("""COMPUTED_VALUE"""),"f6aab7a9")</f>
        <v>f6aab7a9</v>
      </c>
      <c r="G440" s="211" t="str">
        <f>IFERROR(__xludf.DUMMYFUNCTION("""COMPUTED_VALUE"""),"Oksigen 6m3 MR")</f>
        <v>Oksigen 6m3 MR</v>
      </c>
      <c r="H440" s="214" t="str">
        <f>IFERROR(__xludf.DUMMYFUNCTION("""COMPUTED_VALUE"""),"IN")</f>
        <v>IN</v>
      </c>
      <c r="I440" s="214" t="str">
        <f>IFERROR(__xludf.DUMMYFUNCTION("""COMPUTED_VALUE"""),"EMPTY")</f>
        <v>EMPTY</v>
      </c>
      <c r="J440" s="211">
        <f>IFERROR(__xludf.DUMMYFUNCTION("""COMPUTED_VALUE"""),6.0)</f>
        <v>6</v>
      </c>
      <c r="K440" s="210" t="str">
        <f>IFERROR(__xludf.DUMMYFUNCTION("""COMPUTED_VALUE"""),"2180 01 2550 2229 2320 2238")</f>
        <v>2180 01 2550 2229 2320 2238</v>
      </c>
      <c r="L440" s="211"/>
      <c r="M440" s="211"/>
      <c r="N440" s="211"/>
      <c r="O440" s="211"/>
      <c r="Q440" s="210" t="str">
        <f>IFERROR(__xludf.DUMMYFUNCTION("""COMPUTED_VALUE"""),"02250251")</f>
        <v>02250251</v>
      </c>
      <c r="R440" s="210" t="str">
        <f>IFERROR(__xludf.DUMMYFUNCTION("""COMPUTED_VALUE"""),"02250251")</f>
        <v>02250251</v>
      </c>
      <c r="S440" s="211" t="str">
        <f>IFERROR(__xludf.DUMMYFUNCTION("""COMPUTED_VALUE"""),"8f5ebaea")</f>
        <v>8f5ebaea</v>
      </c>
      <c r="T440" s="211" t="str">
        <f>IFERROR(__xludf.DUMMYFUNCTION("""COMPUTED_VALUE"""),"PT Hua Zong Mesindo")</f>
        <v>PT Hua Zong Mesindo</v>
      </c>
      <c r="U440" s="215">
        <f>IFERROR(__xludf.DUMMYFUNCTION("""COMPUTED_VALUE"""),45695.37430555555)</f>
        <v>45695.37431</v>
      </c>
      <c r="V440" s="211" t="str">
        <f>IFERROR(__xludf.DUMMYFUNCTION("""COMPUTED_VALUE"""),"Jl. Bypass Krian, Sidotemo, Sidomulyo, Kec. Krian, Kabupaten Sidoarjo, Jawa Timur 61262")</f>
        <v>Jl. Bypass Krian, Sidotemo, Sidomulyo, Kec. Krian, Kabupaten Sidoarjo, Jawa Timur 61262</v>
      </c>
      <c r="W440" s="211" t="str">
        <f>IFERROR(__xludf.DUMMYFUNCTION("""COMPUTED_VALUE"""),"OUT")</f>
        <v>OUT</v>
      </c>
      <c r="X440" s="211"/>
      <c r="Z440" s="211" t="str">
        <f>IFERROR(__xludf.DUMMYFUNCTION("""COMPUTED_VALUE"""),"012622133")</f>
        <v>012622133</v>
      </c>
      <c r="AC440" s="211"/>
      <c r="AD440" s="211"/>
      <c r="AE440" s="211"/>
      <c r="AF440" s="211"/>
      <c r="AG440" s="211"/>
      <c r="AH440" s="211"/>
      <c r="AI440" s="211"/>
      <c r="AJ440" s="211"/>
      <c r="AL440" s="211"/>
      <c r="AM440" s="211"/>
      <c r="AN440" s="211"/>
      <c r="AO440" s="211"/>
      <c r="AP440" s="215"/>
      <c r="AQ440" s="218"/>
      <c r="AR440" s="211"/>
      <c r="AS440" s="211"/>
      <c r="AT440" s="211"/>
      <c r="AU440" s="211"/>
      <c r="AV440" s="211"/>
      <c r="AW440" s="211"/>
      <c r="AX440" s="211"/>
      <c r="AY440" s="211"/>
      <c r="AZ440" s="211"/>
      <c r="BB440" s="211"/>
      <c r="BC440" s="211"/>
      <c r="BD440" s="211"/>
      <c r="BE440" s="211"/>
      <c r="BF440" s="211"/>
      <c r="BG440" s="211"/>
      <c r="BH440" s="211"/>
      <c r="BI440" s="211"/>
    </row>
    <row r="441">
      <c r="A441" s="210" t="str">
        <f>IFERROR(__xludf.DUMMYFUNCTION("""COMPUTED_VALUE"""),"300a9e0e")</f>
        <v>300a9e0e</v>
      </c>
      <c r="B441" s="210" t="str">
        <f>IFERROR(__xludf.DUMMYFUNCTION("""COMPUTED_VALUE"""),"300a9e0e")</f>
        <v>300a9e0e</v>
      </c>
      <c r="C441" s="213">
        <f>IFERROR(__xludf.DUMMYFUNCTION("""COMPUTED_VALUE"""),45654.50763888889)</f>
        <v>45654.50764</v>
      </c>
      <c r="D441" s="211" t="str">
        <f>IFERROR(__xludf.DUMMYFUNCTION("""COMPUTED_VALUE"""),"5f23ba17")</f>
        <v>5f23ba17</v>
      </c>
      <c r="E441" s="211" t="str">
        <f>IFERROR(__xludf.DUMMYFUNCTION("""COMPUTED_VALUE"""),"Bpk. Joko (Gresik)")</f>
        <v>Bpk. Joko (Gresik)</v>
      </c>
      <c r="F441" s="211" t="str">
        <f>IFERROR(__xludf.DUMMYFUNCTION("""COMPUTED_VALUE"""),"8bdbe149")</f>
        <v>8bdbe149</v>
      </c>
      <c r="G441" s="211" t="str">
        <f>IFERROR(__xludf.DUMMYFUNCTION("""COMPUTED_VALUE"""),"Oksigen 6m3")</f>
        <v>Oksigen 6m3</v>
      </c>
      <c r="H441" s="214" t="str">
        <f>IFERROR(__xludf.DUMMYFUNCTION("""COMPUTED_VALUE"""),"IN")</f>
        <v>IN</v>
      </c>
      <c r="I441" s="214" t="str">
        <f>IFERROR(__xludf.DUMMYFUNCTION("""COMPUTED_VALUE"""),"EMPTY")</f>
        <v>EMPTY</v>
      </c>
      <c r="J441" s="211">
        <f>IFERROR(__xludf.DUMMYFUNCTION("""COMPUTED_VALUE"""),3.0)</f>
        <v>3</v>
      </c>
      <c r="K441" s="210" t="str">
        <f>IFERROR(__xludf.DUMMYFUNCTION("""COMPUTED_VALUE"""),"5786 1317 5911")</f>
        <v>5786 1317 5911</v>
      </c>
      <c r="L441" s="211"/>
      <c r="M441" s="211"/>
      <c r="N441" s="211"/>
      <c r="O441" s="211"/>
      <c r="Q441" s="210" t="str">
        <f>IFERROR(__xludf.DUMMYFUNCTION("""COMPUTED_VALUE"""),"402250009")</f>
        <v>402250009</v>
      </c>
      <c r="R441" s="210" t="str">
        <f>IFERROR(__xludf.DUMMYFUNCTION("""COMPUTED_VALUE"""),"402250009")</f>
        <v>402250009</v>
      </c>
      <c r="S441" s="211" t="str">
        <f>IFERROR(__xludf.DUMMYFUNCTION("""COMPUTED_VALUE"""),"72d9a70c")</f>
        <v>72d9a70c</v>
      </c>
      <c r="T441" s="211" t="str">
        <f>IFERROR(__xludf.DUMMYFUNCTION("""COMPUTED_VALUE"""),"PT Beton Prima Indonesia")</f>
        <v>PT Beton Prima Indonesia</v>
      </c>
      <c r="U441" s="215">
        <f>IFERROR(__xludf.DUMMYFUNCTION("""COMPUTED_VALUE"""),45695.37430555555)</f>
        <v>45695.37431</v>
      </c>
      <c r="V441" s="211" t="str">
        <f>IFERROR(__xludf.DUMMYFUNCTION("""COMPUTED_VALUE"""),"KH. Ahmad Dahlan KM.2 Ds. Sumberwono, Kec. Bangsal, Kab. Mojokerto 61381")</f>
        <v>KH. Ahmad Dahlan KM.2 Ds. Sumberwono, Kec. Bangsal, Kab. Mojokerto 61381</v>
      </c>
      <c r="W441" s="211" t="str">
        <f>IFERROR(__xludf.DUMMYFUNCTION("""COMPUTED_VALUE"""),"OTHER")</f>
        <v>OTHER</v>
      </c>
      <c r="X441" s="211"/>
      <c r="Z441" s="211" t="str">
        <f>IFERROR(__xludf.DUMMYFUNCTION("""COMPUTED_VALUE"""),"0126102131")</f>
        <v>0126102131</v>
      </c>
      <c r="AC441" s="211"/>
      <c r="AD441" s="211"/>
      <c r="AE441" s="211"/>
      <c r="AF441" s="211"/>
      <c r="AG441" s="211"/>
      <c r="AH441" s="211"/>
      <c r="AI441" s="211"/>
      <c r="AJ441" s="211"/>
      <c r="AL441" s="211"/>
      <c r="AM441" s="211"/>
      <c r="AN441" s="211"/>
      <c r="AO441" s="211"/>
      <c r="AP441" s="215"/>
      <c r="AQ441" s="218"/>
      <c r="AR441" s="211"/>
      <c r="AS441" s="211"/>
      <c r="AT441" s="211"/>
      <c r="AU441" s="211"/>
      <c r="AV441" s="211"/>
      <c r="AW441" s="211"/>
      <c r="AX441" s="211"/>
      <c r="AY441" s="211"/>
      <c r="AZ441" s="211"/>
      <c r="BB441" s="211"/>
      <c r="BC441" s="211"/>
      <c r="BD441" s="211"/>
      <c r="BE441" s="211"/>
      <c r="BF441" s="211"/>
      <c r="BG441" s="211"/>
      <c r="BH441" s="211"/>
      <c r="BI441" s="211"/>
    </row>
    <row r="442">
      <c r="A442" s="210" t="str">
        <f>IFERROR(__xludf.DUMMYFUNCTION("""COMPUTED_VALUE"""),"300a9e0e")</f>
        <v>300a9e0e</v>
      </c>
      <c r="B442" s="210" t="str">
        <f>IFERROR(__xludf.DUMMYFUNCTION("""COMPUTED_VALUE"""),"300a9e0e")</f>
        <v>300a9e0e</v>
      </c>
      <c r="C442" s="213">
        <f>IFERROR(__xludf.DUMMYFUNCTION("""COMPUTED_VALUE"""),45654.50902777778)</f>
        <v>45654.50903</v>
      </c>
      <c r="D442" s="211" t="str">
        <f>IFERROR(__xludf.DUMMYFUNCTION("""COMPUTED_VALUE"""),"5f23ba17")</f>
        <v>5f23ba17</v>
      </c>
      <c r="E442" s="211" t="str">
        <f>IFERROR(__xludf.DUMMYFUNCTION("""COMPUTED_VALUE"""),"Bpk. Joko (Gresik)")</f>
        <v>Bpk. Joko (Gresik)</v>
      </c>
      <c r="F442" s="211" t="str">
        <f>IFERROR(__xludf.DUMMYFUNCTION("""COMPUTED_VALUE"""),"f6aab7a9")</f>
        <v>f6aab7a9</v>
      </c>
      <c r="G442" s="211" t="str">
        <f>IFERROR(__xludf.DUMMYFUNCTION("""COMPUTED_VALUE"""),"Oksigen 6m3 MR")</f>
        <v>Oksigen 6m3 MR</v>
      </c>
      <c r="H442" s="214" t="str">
        <f>IFERROR(__xludf.DUMMYFUNCTION("""COMPUTED_VALUE"""),"IN")</f>
        <v>IN</v>
      </c>
      <c r="I442" s="214" t="str">
        <f>IFERROR(__xludf.DUMMYFUNCTION("""COMPUTED_VALUE"""),"EMPTY")</f>
        <v>EMPTY</v>
      </c>
      <c r="J442" s="211">
        <f>IFERROR(__xludf.DUMMYFUNCTION("""COMPUTED_VALUE"""),10.0)</f>
        <v>10</v>
      </c>
      <c r="K442" s="211"/>
      <c r="L442" s="211"/>
      <c r="M442" s="211"/>
      <c r="N442" s="211"/>
      <c r="O442" s="211"/>
      <c r="Q442" s="210" t="str">
        <f>IFERROR(__xludf.DUMMYFUNCTION("""COMPUTED_VALUE"""),"c429d1aa")</f>
        <v>c429d1aa</v>
      </c>
      <c r="R442" s="210" t="str">
        <f>IFERROR(__xludf.DUMMYFUNCTION("""COMPUTED_VALUE"""),"c429d1aa")</f>
        <v>c429d1aa</v>
      </c>
      <c r="S442" s="211" t="str">
        <f>IFERROR(__xludf.DUMMYFUNCTION("""COMPUTED_VALUE"""),"785e0e07")</f>
        <v>785e0e07</v>
      </c>
      <c r="T442" s="211" t="str">
        <f>IFERROR(__xludf.DUMMYFUNCTION("""COMPUTED_VALUE"""),"Bpk. Sukirno (Bejo)")</f>
        <v>Bpk. Sukirno (Bejo)</v>
      </c>
      <c r="U442" s="215">
        <f>IFERROR(__xludf.DUMMYFUNCTION("""COMPUTED_VALUE"""),45695.521527777775)</f>
        <v>45695.52153</v>
      </c>
      <c r="V442" s="211" t="str">
        <f>IFERROR(__xludf.DUMMYFUNCTION("""COMPUTED_VALUE"""),"Krajan I, Wringinanom, Kec. Wringinanom, Kabupaten Gresik, Jawa Timur 61176")</f>
        <v>Krajan I, Wringinanom, Kec. Wringinanom, Kabupaten Gresik, Jawa Timur 61176</v>
      </c>
      <c r="W442" s="211" t="str">
        <f>IFERROR(__xludf.DUMMYFUNCTION("""COMPUTED_VALUE"""),"IN")</f>
        <v>IN</v>
      </c>
      <c r="X442" s="211"/>
      <c r="Z442" s="211" t="str">
        <f>IFERROR(__xludf.DUMMYFUNCTION("""COMPUTED_VALUE"""),"1225642130")</f>
        <v>1225642130</v>
      </c>
      <c r="AC442" s="211"/>
      <c r="AD442" s="211"/>
      <c r="AE442" s="211"/>
      <c r="AF442" s="211"/>
      <c r="AG442" s="211"/>
      <c r="AH442" s="211"/>
      <c r="AI442" s="211"/>
      <c r="AJ442" s="211"/>
      <c r="AL442" s="211"/>
      <c r="AM442" s="211"/>
      <c r="AN442" s="211"/>
      <c r="AO442" s="211"/>
      <c r="AP442" s="215"/>
      <c r="AQ442" s="218"/>
      <c r="AR442" s="211"/>
      <c r="AS442" s="211"/>
      <c r="AT442" s="211"/>
      <c r="AU442" s="211"/>
      <c r="AV442" s="211"/>
      <c r="AW442" s="211"/>
      <c r="AX442" s="211"/>
      <c r="AY442" s="211"/>
      <c r="AZ442" s="211"/>
      <c r="BB442" s="211"/>
      <c r="BC442" s="211"/>
      <c r="BD442" s="211"/>
      <c r="BE442" s="211"/>
      <c r="BF442" s="211"/>
      <c r="BG442" s="211"/>
      <c r="BH442" s="211"/>
      <c r="BI442" s="211"/>
    </row>
    <row r="443">
      <c r="A443" s="210" t="str">
        <f>IFERROR(__xludf.DUMMYFUNCTION("""COMPUTED_VALUE"""),"6498e8af")</f>
        <v>6498e8af</v>
      </c>
      <c r="B443" s="210" t="str">
        <f>IFERROR(__xludf.DUMMYFUNCTION("""COMPUTED_VALUE"""),"6498e8af")</f>
        <v>6498e8af</v>
      </c>
      <c r="C443" s="213">
        <f>IFERROR(__xludf.DUMMYFUNCTION("""COMPUTED_VALUE"""),45657.509722222225)</f>
        <v>45657.50972</v>
      </c>
      <c r="D443" s="211" t="str">
        <f>IFERROR(__xludf.DUMMYFUNCTION("""COMPUTED_VALUE"""),"a9fe1bea")</f>
        <v>a9fe1bea</v>
      </c>
      <c r="E443" s="211" t="str">
        <f>IFERROR(__xludf.DUMMYFUNCTION("""COMPUTED_VALUE"""),"H. Suheiri")</f>
        <v>H. Suheiri</v>
      </c>
      <c r="F443" s="211" t="str">
        <f>IFERROR(__xludf.DUMMYFUNCTION("""COMPUTED_VALUE"""),"8bdbe149")</f>
        <v>8bdbe149</v>
      </c>
      <c r="G443" s="211" t="str">
        <f>IFERROR(__xludf.DUMMYFUNCTION("""COMPUTED_VALUE"""),"Oksigen 6m3")</f>
        <v>Oksigen 6m3</v>
      </c>
      <c r="H443" s="214" t="str">
        <f>IFERROR(__xludf.DUMMYFUNCTION("""COMPUTED_VALUE"""),"IN")</f>
        <v>IN</v>
      </c>
      <c r="I443" s="214" t="str">
        <f>IFERROR(__xludf.DUMMYFUNCTION("""COMPUTED_VALUE"""),"EMPTY")</f>
        <v>EMPTY</v>
      </c>
      <c r="J443" s="211">
        <f>IFERROR(__xludf.DUMMYFUNCTION("""COMPUTED_VALUE"""),19.0)</f>
        <v>19</v>
      </c>
      <c r="K443" s="210" t="str">
        <f>IFERROR(__xludf.DUMMYFUNCTION("""COMPUTED_VALUE"""),"1495 31 212 005 11175 11122 5449 1648 11210 11192 11162 11200 5791 5840 1156 11168 11153 11201 11199")</f>
        <v>1495 31 212 005 11175 11122 5449 1648 11210 11192 11162 11200 5791 5840 1156 11168 11153 11201 11199</v>
      </c>
      <c r="L443" s="211"/>
      <c r="M443" s="211"/>
      <c r="N443" s="211"/>
      <c r="O443" s="211"/>
      <c r="Q443" s="210" t="str">
        <f>IFERROR(__xludf.DUMMYFUNCTION("""COMPUTED_VALUE"""),"1da69cb9")</f>
        <v>1da69cb9</v>
      </c>
      <c r="R443" s="210" t="str">
        <f>IFERROR(__xludf.DUMMYFUNCTION("""COMPUTED_VALUE"""),"1da69cb9")</f>
        <v>1da69cb9</v>
      </c>
      <c r="S443" s="211" t="str">
        <f>IFERROR(__xludf.DUMMYFUNCTION("""COMPUTED_VALUE"""),"37175874")</f>
        <v>37175874</v>
      </c>
      <c r="T443" s="211" t="str">
        <f>IFERROR(__xludf.DUMMYFUNCTION("""COMPUTED_VALUE"""),"PT TERAPAN NILAIOSILASI INDONESIA (TENO)")</f>
        <v>PT TERAPAN NILAIOSILASI INDONESIA (TENO)</v>
      </c>
      <c r="U443" s="215">
        <f>IFERROR(__xludf.DUMMYFUNCTION("""COMPUTED_VALUE"""),45695.52222222222)</f>
        <v>45695.52222</v>
      </c>
      <c r="V443" s="211" t="str">
        <f>IFERROR(__xludf.DUMMYFUNCTION("""COMPUTED_VALUE"""),"JL Raya Kertajaya Indah 153 / P116, Gebang Putih, Sukokilo, Kota Surabaya, Jawa Timur")</f>
        <v>JL Raya Kertajaya Indah 153 / P116, Gebang Putih, Sukokilo, Kota Surabaya, Jawa Timur</v>
      </c>
      <c r="W443" s="211" t="str">
        <f>IFERROR(__xludf.DUMMYFUNCTION("""COMPUTED_VALUE"""),"IN")</f>
        <v>IN</v>
      </c>
      <c r="X443" s="211"/>
      <c r="Z443" s="211" t="str">
        <f>IFERROR(__xludf.DUMMYFUNCTION("""COMPUTED_VALUE"""),"122562128")</f>
        <v>122562128</v>
      </c>
      <c r="AC443" s="211"/>
      <c r="AD443" s="211"/>
      <c r="AE443" s="211"/>
      <c r="AF443" s="211"/>
      <c r="AG443" s="211"/>
      <c r="AH443" s="211"/>
      <c r="AI443" s="211"/>
      <c r="AJ443" s="211"/>
      <c r="AL443" s="211"/>
      <c r="AM443" s="211"/>
      <c r="AN443" s="211"/>
      <c r="AO443" s="211"/>
      <c r="AP443" s="215"/>
      <c r="AQ443" s="218"/>
      <c r="AR443" s="211"/>
      <c r="AS443" s="211"/>
      <c r="AT443" s="211"/>
      <c r="AU443" s="211"/>
      <c r="AV443" s="211"/>
      <c r="AW443" s="211"/>
      <c r="AX443" s="211"/>
      <c r="AY443" s="211"/>
      <c r="AZ443" s="211"/>
      <c r="BB443" s="211"/>
      <c r="BC443" s="211"/>
      <c r="BD443" s="211"/>
      <c r="BE443" s="211"/>
      <c r="BF443" s="211"/>
      <c r="BG443" s="211"/>
      <c r="BH443" s="211"/>
      <c r="BI443" s="211"/>
    </row>
    <row r="444">
      <c r="A444" s="210" t="str">
        <f>IFERROR(__xludf.DUMMYFUNCTION("""COMPUTED_VALUE"""),"b8dcd78f")</f>
        <v>b8dcd78f</v>
      </c>
      <c r="B444" s="210" t="str">
        <f>IFERROR(__xludf.DUMMYFUNCTION("""COMPUTED_VALUE"""),"b8dcd78f")</f>
        <v>b8dcd78f</v>
      </c>
      <c r="C444" s="213">
        <f>IFERROR(__xludf.DUMMYFUNCTION("""COMPUTED_VALUE"""),45656.51388888889)</f>
        <v>45656.51389</v>
      </c>
      <c r="D444" s="211" t="str">
        <f>IFERROR(__xludf.DUMMYFUNCTION("""COMPUTED_VALUE"""),"72d9a70c")</f>
        <v>72d9a70c</v>
      </c>
      <c r="E444" s="211" t="str">
        <f>IFERROR(__xludf.DUMMYFUNCTION("""COMPUTED_VALUE"""),"PT Beton Prima Indonesia")</f>
        <v>PT Beton Prima Indonesia</v>
      </c>
      <c r="F444" s="211" t="str">
        <f>IFERROR(__xludf.DUMMYFUNCTION("""COMPUTED_VALUE"""),"8bdbe149")</f>
        <v>8bdbe149</v>
      </c>
      <c r="G444" s="211" t="str">
        <f>IFERROR(__xludf.DUMMYFUNCTION("""COMPUTED_VALUE"""),"Oksigen 6m3")</f>
        <v>Oksigen 6m3</v>
      </c>
      <c r="H444" s="214" t="str">
        <f>IFERROR(__xludf.DUMMYFUNCTION("""COMPUTED_VALUE"""),"IN")</f>
        <v>IN</v>
      </c>
      <c r="I444" s="214" t="str">
        <f>IFERROR(__xludf.DUMMYFUNCTION("""COMPUTED_VALUE"""),"EMPTY")</f>
        <v>EMPTY</v>
      </c>
      <c r="J444" s="211">
        <f>IFERROR(__xludf.DUMMYFUNCTION("""COMPUTED_VALUE"""),2.0)</f>
        <v>2</v>
      </c>
      <c r="K444" s="210" t="str">
        <f>IFERROR(__xludf.DUMMYFUNCTION("""COMPUTED_VALUE"""),"1073 11130")</f>
        <v>1073 11130</v>
      </c>
      <c r="L444" s="211"/>
      <c r="M444" s="211"/>
      <c r="N444" s="211"/>
      <c r="O444" s="211"/>
      <c r="Q444" s="210" t="str">
        <f>IFERROR(__xludf.DUMMYFUNCTION("""COMPUTED_VALUE"""),"464eaa94")</f>
        <v>464eaa94</v>
      </c>
      <c r="R444" s="210" t="str">
        <f>IFERROR(__xludf.DUMMYFUNCTION("""COMPUTED_VALUE"""),"464eaa94")</f>
        <v>464eaa94</v>
      </c>
      <c r="S444" s="211" t="str">
        <f>IFERROR(__xludf.DUMMYFUNCTION("""COMPUTED_VALUE"""),"8f5ebaea")</f>
        <v>8f5ebaea</v>
      </c>
      <c r="T444" s="211" t="str">
        <f>IFERROR(__xludf.DUMMYFUNCTION("""COMPUTED_VALUE"""),"PT Hua Zong Mesindo")</f>
        <v>PT Hua Zong Mesindo</v>
      </c>
      <c r="U444" s="215">
        <f>IFERROR(__xludf.DUMMYFUNCTION("""COMPUTED_VALUE"""),45695.52291666667)</f>
        <v>45695.52292</v>
      </c>
      <c r="V444" s="211" t="str">
        <f>IFERROR(__xludf.DUMMYFUNCTION("""COMPUTED_VALUE"""),"Jl. Bypass Krian, Sidotemo, Sidomulyo, Kec. Krian, Kabupaten Sidoarjo, Jawa Timur 61262")</f>
        <v>Jl. Bypass Krian, Sidotemo, Sidomulyo, Kec. Krian, Kabupaten Sidoarjo, Jawa Timur 61262</v>
      </c>
      <c r="W444" s="211" t="str">
        <f>IFERROR(__xludf.DUMMYFUNCTION("""COMPUTED_VALUE"""),"IN")</f>
        <v>IN</v>
      </c>
      <c r="X444" s="211"/>
      <c r="Z444" s="211" t="str">
        <f>IFERROR(__xludf.DUMMYFUNCTION("""COMPUTED_VALUE"""),"1225352122")</f>
        <v>1225352122</v>
      </c>
      <c r="AC444" s="211"/>
      <c r="AD444" s="211"/>
      <c r="AE444" s="211"/>
      <c r="AF444" s="211"/>
      <c r="AG444" s="211"/>
      <c r="AH444" s="211"/>
      <c r="AI444" s="211"/>
      <c r="AJ444" s="211"/>
      <c r="AL444" s="211"/>
      <c r="AM444" s="211"/>
      <c r="AN444" s="211"/>
      <c r="AO444" s="211"/>
      <c r="AP444" s="215"/>
      <c r="AQ444" s="218"/>
      <c r="AR444" s="211"/>
      <c r="AS444" s="211"/>
      <c r="AT444" s="211"/>
      <c r="AU444" s="211"/>
      <c r="AV444" s="211"/>
      <c r="AW444" s="211"/>
      <c r="AX444" s="211"/>
      <c r="AY444" s="211"/>
      <c r="AZ444" s="211"/>
      <c r="BB444" s="211"/>
      <c r="BC444" s="211"/>
      <c r="BD444" s="211"/>
      <c r="BE444" s="211"/>
      <c r="BF444" s="211"/>
      <c r="BG444" s="211"/>
      <c r="BH444" s="211"/>
      <c r="BI444" s="211"/>
    </row>
    <row r="445">
      <c r="A445" s="210" t="str">
        <f>IFERROR(__xludf.DUMMYFUNCTION("""COMPUTED_VALUE"""),"3ac84745")</f>
        <v>3ac84745</v>
      </c>
      <c r="B445" s="210" t="str">
        <f>IFERROR(__xludf.DUMMYFUNCTION("""COMPUTED_VALUE"""),"3ac84745")</f>
        <v>3ac84745</v>
      </c>
      <c r="C445" s="213">
        <f>IFERROR(__xludf.DUMMYFUNCTION("""COMPUTED_VALUE"""),45656.51458333333)</f>
        <v>45656.51458</v>
      </c>
      <c r="D445" s="211" t="str">
        <f>IFERROR(__xludf.DUMMYFUNCTION("""COMPUTED_VALUE"""),"785e0e07")</f>
        <v>785e0e07</v>
      </c>
      <c r="E445" s="211" t="str">
        <f>IFERROR(__xludf.DUMMYFUNCTION("""COMPUTED_VALUE"""),"Bpk. Sukirno (Bejo)")</f>
        <v>Bpk. Sukirno (Bejo)</v>
      </c>
      <c r="F445" s="211" t="str">
        <f>IFERROR(__xludf.DUMMYFUNCTION("""COMPUTED_VALUE"""),"8bdbe149")</f>
        <v>8bdbe149</v>
      </c>
      <c r="G445" s="211" t="str">
        <f>IFERROR(__xludf.DUMMYFUNCTION("""COMPUTED_VALUE"""),"Oksigen 6m3")</f>
        <v>Oksigen 6m3</v>
      </c>
      <c r="H445" s="214" t="str">
        <f>IFERROR(__xludf.DUMMYFUNCTION("""COMPUTED_VALUE"""),"IN")</f>
        <v>IN</v>
      </c>
      <c r="I445" s="214" t="str">
        <f>IFERROR(__xludf.DUMMYFUNCTION("""COMPUTED_VALUE"""),"EMPTY")</f>
        <v>EMPTY</v>
      </c>
      <c r="J445" s="211">
        <f>IFERROR(__xludf.DUMMYFUNCTION("""COMPUTED_VALUE"""),4.0)</f>
        <v>4</v>
      </c>
      <c r="K445" s="210" t="str">
        <f>IFERROR(__xludf.DUMMYFUNCTION("""COMPUTED_VALUE"""),"5211 11112 1107 11129")</f>
        <v>5211 11112 1107 11129</v>
      </c>
      <c r="L445" s="211"/>
      <c r="M445" s="211"/>
      <c r="N445" s="211"/>
      <c r="O445" s="211"/>
      <c r="Q445" s="210" t="str">
        <f>IFERROR(__xludf.DUMMYFUNCTION("""COMPUTED_VALUE"""),"a6bdfd84")</f>
        <v>a6bdfd84</v>
      </c>
      <c r="R445" s="210" t="str">
        <f>IFERROR(__xludf.DUMMYFUNCTION("""COMPUTED_VALUE"""),"a6bdfd84")</f>
        <v>a6bdfd84</v>
      </c>
      <c r="S445" s="211" t="str">
        <f>IFERROR(__xludf.DUMMYFUNCTION("""COMPUTED_VALUE"""),"72d9a70c")</f>
        <v>72d9a70c</v>
      </c>
      <c r="T445" s="211" t="str">
        <f>IFERROR(__xludf.DUMMYFUNCTION("""COMPUTED_VALUE"""),"PT Beton Prima Indonesia")</f>
        <v>PT Beton Prima Indonesia</v>
      </c>
      <c r="U445" s="215">
        <f>IFERROR(__xludf.DUMMYFUNCTION("""COMPUTED_VALUE"""),45695.56180555555)</f>
        <v>45695.56181</v>
      </c>
      <c r="V445" s="211" t="str">
        <f>IFERROR(__xludf.DUMMYFUNCTION("""COMPUTED_VALUE"""),"KH. Ahmad Dahlan KM.2 Ds. Sumberwono, Kec. Bangsal, Kab. Mojokerto 61381")</f>
        <v>KH. Ahmad Dahlan KM.2 Ds. Sumberwono, Kec. Bangsal, Kab. Mojokerto 61381</v>
      </c>
      <c r="W445" s="211" t="str">
        <f>IFERROR(__xludf.DUMMYFUNCTION("""COMPUTED_VALUE"""),"IN")</f>
        <v>IN</v>
      </c>
      <c r="X445" s="211"/>
      <c r="Z445" s="211" t="str">
        <f>IFERROR(__xludf.DUMMYFUNCTION("""COMPUTED_VALUE"""),"1225412121")</f>
        <v>1225412121</v>
      </c>
      <c r="AC445" s="211"/>
      <c r="AD445" s="211"/>
      <c r="AE445" s="211"/>
      <c r="AF445" s="211"/>
      <c r="AG445" s="211"/>
      <c r="AH445" s="211"/>
      <c r="AI445" s="211"/>
      <c r="AJ445" s="211"/>
      <c r="AL445" s="211"/>
      <c r="AM445" s="211"/>
      <c r="AN445" s="211"/>
      <c r="AO445" s="211"/>
      <c r="AP445" s="215"/>
      <c r="AQ445" s="218"/>
      <c r="AR445" s="211"/>
      <c r="AS445" s="211"/>
      <c r="AT445" s="211"/>
      <c r="AU445" s="211"/>
      <c r="AV445" s="211"/>
      <c r="AW445" s="211"/>
      <c r="AX445" s="211"/>
      <c r="AY445" s="211"/>
      <c r="AZ445" s="211"/>
      <c r="BB445" s="211"/>
      <c r="BC445" s="211"/>
      <c r="BD445" s="211"/>
      <c r="BE445" s="211"/>
      <c r="BF445" s="211"/>
      <c r="BG445" s="211"/>
      <c r="BH445" s="211"/>
      <c r="BI445" s="211"/>
    </row>
    <row r="446">
      <c r="A446" s="210" t="str">
        <f>IFERROR(__xludf.DUMMYFUNCTION("""COMPUTED_VALUE"""),"3ac84745")</f>
        <v>3ac84745</v>
      </c>
      <c r="B446" s="210" t="str">
        <f>IFERROR(__xludf.DUMMYFUNCTION("""COMPUTED_VALUE"""),"3ac84745")</f>
        <v>3ac84745</v>
      </c>
      <c r="C446" s="213">
        <f>IFERROR(__xludf.DUMMYFUNCTION("""COMPUTED_VALUE"""),45656.35208333333)</f>
        <v>45656.35208</v>
      </c>
      <c r="D446" s="211" t="str">
        <f>IFERROR(__xludf.DUMMYFUNCTION("""COMPUTED_VALUE"""),"785e0e07")</f>
        <v>785e0e07</v>
      </c>
      <c r="E446" s="211" t="str">
        <f>IFERROR(__xludf.DUMMYFUNCTION("""COMPUTED_VALUE"""),"Bpk. Sukirno (Bejo)")</f>
        <v>Bpk. Sukirno (Bejo)</v>
      </c>
      <c r="F446" s="211" t="str">
        <f>IFERROR(__xludf.DUMMYFUNCTION("""COMPUTED_VALUE"""),"8bdbe149")</f>
        <v>8bdbe149</v>
      </c>
      <c r="G446" s="211" t="str">
        <f>IFERROR(__xludf.DUMMYFUNCTION("""COMPUTED_VALUE"""),"Oksigen 6m3")</f>
        <v>Oksigen 6m3</v>
      </c>
      <c r="H446" s="214" t="str">
        <f>IFERROR(__xludf.DUMMYFUNCTION("""COMPUTED_VALUE"""),"IN")</f>
        <v>IN</v>
      </c>
      <c r="I446" s="214" t="str">
        <f>IFERROR(__xludf.DUMMYFUNCTION("""COMPUTED_VALUE"""),"EMPTY")</f>
        <v>EMPTY</v>
      </c>
      <c r="J446" s="211">
        <f>IFERROR(__xludf.DUMMYFUNCTION("""COMPUTED_VALUE"""),11.0)</f>
        <v>11</v>
      </c>
      <c r="K446" s="210" t="str">
        <f>IFERROR(__xludf.DUMMYFUNCTION("""COMPUTED_VALUE"""),"1167 11151 1129 1142 1156 11165 1139 5815 1368 11145 11204")</f>
        <v>1167 11151 1129 1142 1156 11165 1139 5815 1368 11145 11204</v>
      </c>
      <c r="L446" s="211"/>
      <c r="M446" s="211"/>
      <c r="N446" s="211"/>
      <c r="O446" s="211"/>
      <c r="Q446" s="210" t="str">
        <f>IFERROR(__xludf.DUMMYFUNCTION("""COMPUTED_VALUE"""),"511ce463")</f>
        <v>511ce463</v>
      </c>
      <c r="R446" s="210" t="str">
        <f>IFERROR(__xludf.DUMMYFUNCTION("""COMPUTED_VALUE"""),"511ce463")</f>
        <v>511ce463</v>
      </c>
      <c r="S446" s="211" t="str">
        <f>IFERROR(__xludf.DUMMYFUNCTION("""COMPUTED_VALUE"""),"a9fe1bea")</f>
        <v>a9fe1bea</v>
      </c>
      <c r="T446" s="211" t="str">
        <f>IFERROR(__xludf.DUMMYFUNCTION("""COMPUTED_VALUE"""),"H. Suheiri")</f>
        <v>H. Suheiri</v>
      </c>
      <c r="U446" s="215">
        <f>IFERROR(__xludf.DUMMYFUNCTION("""COMPUTED_VALUE"""),45695.56319444445)</f>
        <v>45695.56319</v>
      </c>
      <c r="V446"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446" s="211" t="str">
        <f>IFERROR(__xludf.DUMMYFUNCTION("""COMPUTED_VALUE"""),"IN")</f>
        <v>IN</v>
      </c>
      <c r="X446" s="211"/>
      <c r="Z446" s="211" t="str">
        <f>IFERROR(__xludf.DUMMYFUNCTION("""COMPUTED_VALUE"""),"1225632114")</f>
        <v>1225632114</v>
      </c>
      <c r="AC446" s="211"/>
      <c r="AD446" s="211"/>
      <c r="AE446" s="211"/>
      <c r="AF446" s="211"/>
      <c r="AG446" s="211"/>
      <c r="AH446" s="211"/>
      <c r="AI446" s="211"/>
      <c r="AJ446" s="211"/>
      <c r="AL446" s="211"/>
      <c r="AM446" s="211"/>
      <c r="AN446" s="211"/>
      <c r="AO446" s="211"/>
      <c r="AP446" s="215"/>
      <c r="AQ446" s="218"/>
      <c r="AR446" s="211"/>
      <c r="AS446" s="211"/>
      <c r="AT446" s="211"/>
      <c r="AU446" s="211"/>
      <c r="AV446" s="211"/>
      <c r="AW446" s="211"/>
      <c r="AX446" s="211"/>
      <c r="AY446" s="211"/>
      <c r="AZ446" s="211"/>
      <c r="BB446" s="211"/>
      <c r="BC446" s="211"/>
      <c r="BD446" s="211"/>
      <c r="BE446" s="211"/>
      <c r="BF446" s="211"/>
      <c r="BG446" s="211"/>
      <c r="BH446" s="211"/>
      <c r="BI446" s="211"/>
    </row>
    <row r="447">
      <c r="A447" s="210" t="str">
        <f>IFERROR(__xludf.DUMMYFUNCTION("""COMPUTED_VALUE"""),"1c93a136")</f>
        <v>1c93a136</v>
      </c>
      <c r="B447" s="210" t="str">
        <f>IFERROR(__xludf.DUMMYFUNCTION("""COMPUTED_VALUE"""),"1c93a136")</f>
        <v>1c93a136</v>
      </c>
      <c r="C447" s="213">
        <f>IFERROR(__xludf.DUMMYFUNCTION("""COMPUTED_VALUE"""),45656.520833333336)</f>
        <v>45656.52083</v>
      </c>
      <c r="D447" s="211" t="str">
        <f>IFERROR(__xludf.DUMMYFUNCTION("""COMPUTED_VALUE"""),"37175874")</f>
        <v>37175874</v>
      </c>
      <c r="E447" s="211" t="str">
        <f>IFERROR(__xludf.DUMMYFUNCTION("""COMPUTED_VALUE"""),"PT TERAPAN NILAIOSILASI INDONESIA (TENO)")</f>
        <v>PT TERAPAN NILAIOSILASI INDONESIA (TENO)</v>
      </c>
      <c r="F447" s="211" t="str">
        <f>IFERROR(__xludf.DUMMYFUNCTION("""COMPUTED_VALUE"""),"8bdbe149")</f>
        <v>8bdbe149</v>
      </c>
      <c r="G447" s="211" t="str">
        <f>IFERROR(__xludf.DUMMYFUNCTION("""COMPUTED_VALUE"""),"Oksigen 6m3")</f>
        <v>Oksigen 6m3</v>
      </c>
      <c r="H447" s="214" t="str">
        <f>IFERROR(__xludf.DUMMYFUNCTION("""COMPUTED_VALUE"""),"IN")</f>
        <v>IN</v>
      </c>
      <c r="I447" s="214" t="str">
        <f>IFERROR(__xludf.DUMMYFUNCTION("""COMPUTED_VALUE"""),"EMPTY")</f>
        <v>EMPTY</v>
      </c>
      <c r="J447" s="211">
        <f>IFERROR(__xludf.DUMMYFUNCTION("""COMPUTED_VALUE"""),4.0)</f>
        <v>4</v>
      </c>
      <c r="K447" s="210" t="str">
        <f>IFERROR(__xludf.DUMMYFUNCTION("""COMPUTED_VALUE"""),"11152 11137 11138 1199")</f>
        <v>11152 11137 11138 1199</v>
      </c>
      <c r="L447" s="211"/>
      <c r="M447" s="211"/>
      <c r="N447" s="211"/>
      <c r="O447" s="211"/>
      <c r="Q447" s="210" t="str">
        <f>IFERROR(__xludf.DUMMYFUNCTION("""COMPUTED_VALUE"""),"02250252")</f>
        <v>02250252</v>
      </c>
      <c r="R447" s="210" t="str">
        <f>IFERROR(__xludf.DUMMYFUNCTION("""COMPUTED_VALUE"""),"02250252")</f>
        <v>02250252</v>
      </c>
      <c r="S447" s="211" t="str">
        <f>IFERROR(__xludf.DUMMYFUNCTION("""COMPUTED_VALUE"""),"e86baf3b")</f>
        <v>e86baf3b</v>
      </c>
      <c r="T447" s="211" t="str">
        <f>IFERROR(__xludf.DUMMYFUNCTION("""COMPUTED_VALUE"""),"PT GEMILANG CIPTA WAWASAN")</f>
        <v>PT GEMILANG CIPTA WAWASAN</v>
      </c>
      <c r="U447" s="215">
        <f>IFERROR(__xludf.DUMMYFUNCTION("""COMPUTED_VALUE"""),45696.41875)</f>
        <v>45696.41875</v>
      </c>
      <c r="V447" s="211" t="str">
        <f>IFERROR(__xludf.DUMMYFUNCTION("""COMPUTED_VALUE"""),"JL TEBET RAYA, 2A, TEBET BARAT, TEBET, KOTA ADM, JAKARTA SELATAN, DKI JAKARTA")</f>
        <v>JL TEBET RAYA, 2A, TEBET BARAT, TEBET, KOTA ADM, JAKARTA SELATAN, DKI JAKARTA</v>
      </c>
      <c r="W447" s="211" t="str">
        <f>IFERROR(__xludf.DUMMYFUNCTION("""COMPUTED_VALUE"""),"OUT")</f>
        <v>OUT</v>
      </c>
      <c r="X447" s="211"/>
      <c r="Z447" s="211" t="str">
        <f>IFERROR(__xludf.DUMMYFUNCTION("""COMPUTED_VALUE"""),"122562113")</f>
        <v>122562113</v>
      </c>
      <c r="AC447" s="211"/>
      <c r="AD447" s="211"/>
      <c r="AE447" s="211"/>
      <c r="AF447" s="211"/>
      <c r="AG447" s="211"/>
      <c r="AH447" s="211"/>
      <c r="AI447" s="211"/>
      <c r="AJ447" s="211"/>
      <c r="AL447" s="211"/>
      <c r="AM447" s="211"/>
      <c r="AN447" s="211"/>
      <c r="AO447" s="211"/>
      <c r="AP447" s="215"/>
      <c r="AQ447" s="218"/>
      <c r="AR447" s="211"/>
      <c r="AS447" s="211"/>
      <c r="AT447" s="211"/>
      <c r="AU447" s="211"/>
      <c r="AV447" s="211"/>
      <c r="AW447" s="211"/>
      <c r="AX447" s="211"/>
      <c r="AY447" s="211"/>
      <c r="AZ447" s="211"/>
      <c r="BB447" s="211"/>
      <c r="BC447" s="211"/>
      <c r="BD447" s="211"/>
      <c r="BE447" s="211"/>
      <c r="BF447" s="211"/>
      <c r="BG447" s="211"/>
      <c r="BH447" s="211"/>
      <c r="BI447" s="211"/>
    </row>
    <row r="448">
      <c r="A448" s="210" t="str">
        <f>IFERROR(__xludf.DUMMYFUNCTION("""COMPUTED_VALUE"""),"1c93a136")</f>
        <v>1c93a136</v>
      </c>
      <c r="B448" s="210" t="str">
        <f>IFERROR(__xludf.DUMMYFUNCTION("""COMPUTED_VALUE"""),"1c93a136")</f>
        <v>1c93a136</v>
      </c>
      <c r="C448" s="213">
        <f>IFERROR(__xludf.DUMMYFUNCTION("""COMPUTED_VALUE"""),45656.521527777775)</f>
        <v>45656.52153</v>
      </c>
      <c r="D448" s="211" t="str">
        <f>IFERROR(__xludf.DUMMYFUNCTION("""COMPUTED_VALUE"""),"37175874")</f>
        <v>37175874</v>
      </c>
      <c r="E448" s="211" t="str">
        <f>IFERROR(__xludf.DUMMYFUNCTION("""COMPUTED_VALUE"""),"PT TERAPAN NILAIOSILASI INDONESIA (TENO)")</f>
        <v>PT TERAPAN NILAIOSILASI INDONESIA (TENO)</v>
      </c>
      <c r="F448" s="211" t="str">
        <f>IFERROR(__xludf.DUMMYFUNCTION("""COMPUTED_VALUE"""),"3b9d6a30")</f>
        <v>3b9d6a30</v>
      </c>
      <c r="G448" s="211" t="str">
        <f>IFERROR(__xludf.DUMMYFUNCTION("""COMPUTED_VALUE"""),"Acetyline")</f>
        <v>Acetyline</v>
      </c>
      <c r="H448" s="214" t="str">
        <f>IFERROR(__xludf.DUMMYFUNCTION("""COMPUTED_VALUE"""),"IN")</f>
        <v>IN</v>
      </c>
      <c r="I448" s="214" t="str">
        <f>IFERROR(__xludf.DUMMYFUNCTION("""COMPUTED_VALUE"""),"EMPTY")</f>
        <v>EMPTY</v>
      </c>
      <c r="J448" s="211">
        <f>IFERROR(__xludf.DUMMYFUNCTION("""COMPUTED_VALUE"""),1.0)</f>
        <v>1</v>
      </c>
      <c r="K448" s="210" t="str">
        <f>IFERROR(__xludf.DUMMYFUNCTION("""COMPUTED_VALUE"""),"7836")</f>
        <v>7836</v>
      </c>
      <c r="L448" s="211"/>
      <c r="M448" s="211"/>
      <c r="N448" s="211"/>
      <c r="O448" s="211"/>
      <c r="Q448" s="210" t="str">
        <f>IFERROR(__xludf.DUMMYFUNCTION("""COMPUTED_VALUE"""),"50d896b5")</f>
        <v>50d896b5</v>
      </c>
      <c r="R448" s="210" t="str">
        <f>IFERROR(__xludf.DUMMYFUNCTION("""COMPUTED_VALUE"""),"50d896b5")</f>
        <v>50d896b5</v>
      </c>
      <c r="S448" s="211" t="str">
        <f>IFERROR(__xludf.DUMMYFUNCTION("""COMPUTED_VALUE"""),"103f3ae7")</f>
        <v>103f3ae7</v>
      </c>
      <c r="T448" s="211" t="str">
        <f>IFERROR(__xludf.DUMMYFUNCTION("""COMPUTED_VALUE"""),"PT ARYANA CAKASANA")</f>
        <v>PT ARYANA CAKASANA</v>
      </c>
      <c r="U448" s="215">
        <f>IFERROR(__xludf.DUMMYFUNCTION("""COMPUTED_VALUE"""),45696.603472222225)</f>
        <v>45696.60347</v>
      </c>
      <c r="V448" s="211" t="str">
        <f>IFERROR(__xludf.DUMMYFUNCTION("""COMPUTED_VALUE"""),"Jl Raya Tarik No. 45, Wonokupang, Bakalan, Balongbendo")</f>
        <v>Jl Raya Tarik No. 45, Wonokupang, Bakalan, Balongbendo</v>
      </c>
      <c r="W448" s="211" t="str">
        <f>IFERROR(__xludf.DUMMYFUNCTION("""COMPUTED_VALUE"""),"IN")</f>
        <v>IN</v>
      </c>
      <c r="X448" s="211"/>
      <c r="Z448" s="211" t="str">
        <f>IFERROR(__xludf.DUMMYFUNCTION("""COMPUTED_VALUE"""),"1225402112")</f>
        <v>1225402112</v>
      </c>
      <c r="AC448" s="211"/>
      <c r="AD448" s="211"/>
      <c r="AE448" s="211"/>
      <c r="AF448" s="211"/>
      <c r="AG448" s="211"/>
      <c r="AH448" s="211"/>
      <c r="AI448" s="211"/>
      <c r="AJ448" s="211"/>
      <c r="AL448" s="211"/>
      <c r="AM448" s="211"/>
      <c r="AN448" s="211"/>
      <c r="AO448" s="211"/>
      <c r="AP448" s="215"/>
      <c r="AQ448" s="218"/>
      <c r="AR448" s="211"/>
      <c r="AS448" s="211"/>
      <c r="AT448" s="211"/>
      <c r="AU448" s="211"/>
      <c r="AV448" s="211"/>
      <c r="AW448" s="211"/>
      <c r="AX448" s="211"/>
      <c r="AY448" s="211"/>
      <c r="AZ448" s="211"/>
      <c r="BB448" s="211"/>
      <c r="BC448" s="211"/>
      <c r="BD448" s="211"/>
      <c r="BE448" s="211"/>
      <c r="BF448" s="211"/>
      <c r="BG448" s="211"/>
      <c r="BH448" s="211"/>
      <c r="BI448" s="211"/>
    </row>
    <row r="449">
      <c r="A449" s="210" t="str">
        <f>IFERROR(__xludf.DUMMYFUNCTION("""COMPUTED_VALUE"""),"08a39cf1")</f>
        <v>08a39cf1</v>
      </c>
      <c r="B449" s="210" t="str">
        <f>IFERROR(__xludf.DUMMYFUNCTION("""COMPUTED_VALUE"""),"08a39cf1")</f>
        <v>08a39cf1</v>
      </c>
      <c r="C449" s="213">
        <f>IFERROR(__xludf.DUMMYFUNCTION("""COMPUTED_VALUE"""),45657.52361111111)</f>
        <v>45657.52361</v>
      </c>
      <c r="D449" s="211" t="str">
        <f>IFERROR(__xludf.DUMMYFUNCTION("""COMPUTED_VALUE"""),"3fec37df")</f>
        <v>3fec37df</v>
      </c>
      <c r="E449" s="211" t="str">
        <f>IFERROR(__xludf.DUMMYFUNCTION("""COMPUTED_VALUE"""),"PT Jatim Abadi Perkasa Steel")</f>
        <v>PT Jatim Abadi Perkasa Steel</v>
      </c>
      <c r="F449" s="211" t="str">
        <f>IFERROR(__xludf.DUMMYFUNCTION("""COMPUTED_VALUE"""),"b7a8fff1")</f>
        <v>b7a8fff1</v>
      </c>
      <c r="G449" s="211" t="str">
        <f>IFERROR(__xludf.DUMMYFUNCTION("""COMPUTED_VALUE"""),"LPG 50kg")</f>
        <v>LPG 50kg</v>
      </c>
      <c r="H449" s="214" t="str">
        <f>IFERROR(__xludf.DUMMYFUNCTION("""COMPUTED_VALUE"""),"IN")</f>
        <v>IN</v>
      </c>
      <c r="I449" s="214" t="str">
        <f>IFERROR(__xludf.DUMMYFUNCTION("""COMPUTED_VALUE"""),"EMPTY")</f>
        <v>EMPTY</v>
      </c>
      <c r="J449" s="211">
        <f>IFERROR(__xludf.DUMMYFUNCTION("""COMPUTED_VALUE"""),5.0)</f>
        <v>5</v>
      </c>
      <c r="K449" s="211"/>
      <c r="L449" s="211"/>
      <c r="M449" s="211"/>
      <c r="N449" s="211"/>
      <c r="O449" s="211"/>
      <c r="Q449" s="210" t="str">
        <f>IFERROR(__xludf.DUMMYFUNCTION("""COMPUTED_VALUE"""),"7Dec8631")</f>
        <v>7Dec8631</v>
      </c>
      <c r="R449" s="210" t="str">
        <f>IFERROR(__xludf.DUMMYFUNCTION("""COMPUTED_VALUE"""),"7Dec8631")</f>
        <v>7Dec8631</v>
      </c>
      <c r="S449" s="211" t="str">
        <f>IFERROR(__xludf.DUMMYFUNCTION("""COMPUTED_VALUE"""),"01158be1")</f>
        <v>01158be1</v>
      </c>
      <c r="T449" s="211" t="str">
        <f>IFERROR(__xludf.DUMMYFUNCTION("""COMPUTED_VALUE"""),"GYF")</f>
        <v>GYF</v>
      </c>
      <c r="U449" s="215">
        <f>IFERROR(__xludf.DUMMYFUNCTION("""COMPUTED_VALUE"""),45696.60416666667)</f>
        <v>45696.60417</v>
      </c>
      <c r="V449" s="211" t="str">
        <f>IFERROR(__xludf.DUMMYFUNCTION("""COMPUTED_VALUE"""),"Kangkungan, Lengkong, Kec. Mojoanyar, Kabupaten Mojokerto, Jawa Timur")</f>
        <v>Kangkungan, Lengkong, Kec. Mojoanyar, Kabupaten Mojokerto, Jawa Timur</v>
      </c>
      <c r="W449" s="211" t="str">
        <f>IFERROR(__xludf.DUMMYFUNCTION("""COMPUTED_VALUE"""),"IN")</f>
        <v>IN</v>
      </c>
      <c r="X449" s="211"/>
      <c r="Z449" s="211" t="str">
        <f>IFERROR(__xludf.DUMMYFUNCTION("""COMPUTED_VALUE"""),"1225112111")</f>
        <v>1225112111</v>
      </c>
      <c r="AC449" s="211"/>
      <c r="AD449" s="211"/>
      <c r="AE449" s="211"/>
      <c r="AF449" s="211"/>
      <c r="AG449" s="211"/>
      <c r="AH449" s="211"/>
      <c r="AI449" s="211"/>
      <c r="AJ449" s="211"/>
      <c r="AL449" s="211"/>
      <c r="AM449" s="211"/>
      <c r="AN449" s="211"/>
      <c r="AO449" s="211"/>
      <c r="AP449" s="215"/>
      <c r="AQ449" s="218"/>
      <c r="AR449" s="211"/>
      <c r="AS449" s="211"/>
      <c r="AT449" s="211"/>
      <c r="AU449" s="211"/>
      <c r="AV449" s="211"/>
      <c r="AW449" s="211"/>
      <c r="AX449" s="211"/>
      <c r="AY449" s="211"/>
      <c r="AZ449" s="211"/>
      <c r="BB449" s="211"/>
      <c r="BC449" s="211"/>
      <c r="BD449" s="211"/>
      <c r="BE449" s="211"/>
      <c r="BF449" s="211"/>
      <c r="BG449" s="211"/>
      <c r="BH449" s="211"/>
      <c r="BI449" s="211"/>
    </row>
    <row r="450">
      <c r="A450" s="210" t="str">
        <f>IFERROR(__xludf.DUMMYFUNCTION("""COMPUTED_VALUE"""),"92cf32e7")</f>
        <v>92cf32e7</v>
      </c>
      <c r="B450" s="210" t="str">
        <f>IFERROR(__xludf.DUMMYFUNCTION("""COMPUTED_VALUE"""),"92cf32e7")</f>
        <v>92cf32e7</v>
      </c>
      <c r="C450" s="213">
        <f>IFERROR(__xludf.DUMMYFUNCTION("""COMPUTED_VALUE"""),45659.657638888886)</f>
        <v>45659.65764</v>
      </c>
      <c r="D450" s="211" t="str">
        <f>IFERROR(__xludf.DUMMYFUNCTION("""COMPUTED_VALUE"""),"785e0e07")</f>
        <v>785e0e07</v>
      </c>
      <c r="E450" s="211" t="str">
        <f>IFERROR(__xludf.DUMMYFUNCTION("""COMPUTED_VALUE"""),"Bpk. Sukirno (Bejo)")</f>
        <v>Bpk. Sukirno (Bejo)</v>
      </c>
      <c r="F450" s="211" t="str">
        <f>IFERROR(__xludf.DUMMYFUNCTION("""COMPUTED_VALUE"""),"8bdbe149")</f>
        <v>8bdbe149</v>
      </c>
      <c r="G450" s="211" t="str">
        <f>IFERROR(__xludf.DUMMYFUNCTION("""COMPUTED_VALUE"""),"Oksigen 6m3")</f>
        <v>Oksigen 6m3</v>
      </c>
      <c r="H450" s="214" t="str">
        <f>IFERROR(__xludf.DUMMYFUNCTION("""COMPUTED_VALUE"""),"IN")</f>
        <v>IN</v>
      </c>
      <c r="I450" s="214" t="str">
        <f>IFERROR(__xludf.DUMMYFUNCTION("""COMPUTED_VALUE"""),"EMPTY")</f>
        <v>EMPTY</v>
      </c>
      <c r="J450" s="211">
        <f>IFERROR(__xludf.DUMMYFUNCTION("""COMPUTED_VALUE"""),10.0)</f>
        <v>10</v>
      </c>
      <c r="K450" s="210" t="str">
        <f>IFERROR(__xludf.DUMMYFUNCTION("""COMPUTED_VALUE"""),"11165 11151 11158 11138 5345 11208 1199 11152 1167 1732")</f>
        <v>11165 11151 11158 11138 5345 11208 1199 11152 1167 1732</v>
      </c>
      <c r="L450" s="211"/>
      <c r="M450" s="211"/>
      <c r="N450" s="211"/>
      <c r="O450" s="211"/>
      <c r="Q450" s="210" t="str">
        <f>IFERROR(__xludf.DUMMYFUNCTION("""COMPUTED_VALUE"""),"02250253")</f>
        <v>02250253</v>
      </c>
      <c r="R450" s="210" t="str">
        <f>IFERROR(__xludf.DUMMYFUNCTION("""COMPUTED_VALUE"""),"02250253")</f>
        <v>02250253</v>
      </c>
      <c r="S450" s="211" t="str">
        <f>IFERROR(__xludf.DUMMYFUNCTION("""COMPUTED_VALUE"""),"4ec68cf6")</f>
        <v>4ec68cf6</v>
      </c>
      <c r="T450" s="211" t="str">
        <f>IFERROR(__xludf.DUMMYFUNCTION("""COMPUTED_VALUE"""),"CV Sido Mukti Karya")</f>
        <v>CV Sido Mukti Karya</v>
      </c>
      <c r="U450" s="215">
        <f>IFERROR(__xludf.DUMMYFUNCTION("""COMPUTED_VALUE"""),45698.36458333333)</f>
        <v>45698.36458</v>
      </c>
      <c r="V450" s="211" t="str">
        <f>IFERROR(__xludf.DUMMYFUNCTION("""COMPUTED_VALUE"""),"Pergudangan Center Point no A3, Kemangsen")</f>
        <v>Pergudangan Center Point no A3, Kemangsen</v>
      </c>
      <c r="W450" s="211" t="str">
        <f>IFERROR(__xludf.DUMMYFUNCTION("""COMPUTED_VALUE"""),"OUT")</f>
        <v>OUT</v>
      </c>
      <c r="X450" s="211"/>
      <c r="Z450" s="211" t="str">
        <f>IFERROR(__xludf.DUMMYFUNCTION("""COMPUTED_VALUE"""),"1225172110")</f>
        <v>1225172110</v>
      </c>
      <c r="AC450" s="211"/>
      <c r="AD450" s="211"/>
      <c r="AE450" s="211"/>
      <c r="AF450" s="211"/>
      <c r="AG450" s="211"/>
      <c r="AH450" s="211"/>
      <c r="AI450" s="211"/>
      <c r="AJ450" s="211"/>
      <c r="AL450" s="211"/>
      <c r="AM450" s="211"/>
      <c r="AN450" s="211"/>
      <c r="AO450" s="211"/>
      <c r="AP450" s="215"/>
      <c r="AQ450" s="218"/>
      <c r="AR450" s="211"/>
      <c r="AS450" s="211"/>
      <c r="AT450" s="211"/>
      <c r="AU450" s="211"/>
      <c r="AV450" s="211"/>
      <c r="AW450" s="211"/>
      <c r="AX450" s="211"/>
      <c r="AY450" s="211"/>
      <c r="AZ450" s="211"/>
      <c r="BB450" s="211"/>
      <c r="BC450" s="211"/>
      <c r="BD450" s="211"/>
      <c r="BE450" s="211"/>
      <c r="BF450" s="211"/>
      <c r="BG450" s="211"/>
      <c r="BH450" s="211"/>
      <c r="BI450" s="211"/>
    </row>
    <row r="451">
      <c r="A451" s="210" t="str">
        <f>IFERROR(__xludf.DUMMYFUNCTION("""COMPUTED_VALUE"""),"99bde67c")</f>
        <v>99bde67c</v>
      </c>
      <c r="B451" s="210" t="str">
        <f>IFERROR(__xludf.DUMMYFUNCTION("""COMPUTED_VALUE"""),"99bde67c")</f>
        <v>99bde67c</v>
      </c>
      <c r="C451" s="213">
        <f>IFERROR(__xludf.DUMMYFUNCTION("""COMPUTED_VALUE"""),45659.65833333333)</f>
        <v>45659.65833</v>
      </c>
      <c r="D451" s="211" t="str">
        <f>IFERROR(__xludf.DUMMYFUNCTION("""COMPUTED_VALUE"""),"7b9d8eba")</f>
        <v>7b9d8eba</v>
      </c>
      <c r="E451" s="211" t="str">
        <f>IFERROR(__xludf.DUMMYFUNCTION("""COMPUTED_VALUE"""),"PT PELANGI INDOKARYA")</f>
        <v>PT PELANGI INDOKARYA</v>
      </c>
      <c r="F451" s="211" t="str">
        <f>IFERROR(__xludf.DUMMYFUNCTION("""COMPUTED_VALUE"""),"8bdbe149")</f>
        <v>8bdbe149</v>
      </c>
      <c r="G451" s="211" t="str">
        <f>IFERROR(__xludf.DUMMYFUNCTION("""COMPUTED_VALUE"""),"Oksigen 6m3")</f>
        <v>Oksigen 6m3</v>
      </c>
      <c r="H451" s="214" t="str">
        <f>IFERROR(__xludf.DUMMYFUNCTION("""COMPUTED_VALUE"""),"IN")</f>
        <v>IN</v>
      </c>
      <c r="I451" s="214" t="str">
        <f>IFERROR(__xludf.DUMMYFUNCTION("""COMPUTED_VALUE"""),"EMPTY")</f>
        <v>EMPTY</v>
      </c>
      <c r="J451" s="211">
        <f>IFERROR(__xludf.DUMMYFUNCTION("""COMPUTED_VALUE"""),2.0)</f>
        <v>2</v>
      </c>
      <c r="K451" s="210" t="str">
        <f>IFERROR(__xludf.DUMMYFUNCTION("""COMPUTED_VALUE"""),"11114 5015")</f>
        <v>11114 5015</v>
      </c>
      <c r="L451" s="211"/>
      <c r="M451" s="211"/>
      <c r="N451" s="211"/>
      <c r="O451" s="211"/>
      <c r="Q451" s="210" t="str">
        <f>IFERROR(__xludf.DUMMYFUNCTION("""COMPUTED_VALUE"""),"02250254")</f>
        <v>02250254</v>
      </c>
      <c r="R451" s="210" t="str">
        <f>IFERROR(__xludf.DUMMYFUNCTION("""COMPUTED_VALUE"""),"02250254")</f>
        <v>02250254</v>
      </c>
      <c r="S451" s="211" t="str">
        <f>IFERROR(__xludf.DUMMYFUNCTION("""COMPUTED_VALUE"""),"2d88931c")</f>
        <v>2d88931c</v>
      </c>
      <c r="T451" s="211" t="str">
        <f>IFERROR(__xludf.DUMMYFUNCTION("""COMPUTED_VALUE"""),"PT Dunia Berkat Marga Mulya")</f>
        <v>PT Dunia Berkat Marga Mulya</v>
      </c>
      <c r="U451" s="215">
        <f>IFERROR(__xludf.DUMMYFUNCTION("""COMPUTED_VALUE"""),45698.41180555556)</f>
        <v>45698.41181</v>
      </c>
      <c r="V451" s="211" t="str">
        <f>IFERROR(__xludf.DUMMYFUNCTION("""COMPUTED_VALUE"""),"JL JABARAN, WATESARI, BALONGBENDO, SIDOARJO, JAWA TIMUR")</f>
        <v>JL JABARAN, WATESARI, BALONGBENDO, SIDOARJO, JAWA TIMUR</v>
      </c>
      <c r="W451" s="211" t="str">
        <f>IFERROR(__xludf.DUMMYFUNCTION("""COMPUTED_VALUE"""),"OUT")</f>
        <v>OUT</v>
      </c>
      <c r="X451" s="211"/>
      <c r="Z451" s="211" t="str">
        <f>IFERROR(__xludf.DUMMYFUNCTION("""COMPUTED_VALUE"""),"122582108")</f>
        <v>122582108</v>
      </c>
      <c r="AC451" s="211"/>
      <c r="AD451" s="211"/>
      <c r="AE451" s="211"/>
      <c r="AF451" s="211"/>
      <c r="AG451" s="211"/>
      <c r="AH451" s="211"/>
      <c r="AI451" s="211"/>
      <c r="AJ451" s="211"/>
      <c r="AL451" s="211"/>
      <c r="AM451" s="211"/>
      <c r="AN451" s="211"/>
      <c r="AO451" s="211"/>
      <c r="AP451" s="215"/>
      <c r="AQ451" s="218"/>
      <c r="AR451" s="211"/>
      <c r="AS451" s="211"/>
      <c r="AT451" s="211"/>
      <c r="AU451" s="211"/>
      <c r="AV451" s="211"/>
      <c r="AW451" s="211"/>
      <c r="AX451" s="211"/>
      <c r="AY451" s="211"/>
      <c r="AZ451" s="211"/>
      <c r="BB451" s="211"/>
      <c r="BC451" s="211"/>
      <c r="BD451" s="211"/>
      <c r="BE451" s="211"/>
      <c r="BF451" s="211"/>
      <c r="BG451" s="211"/>
      <c r="BH451" s="211"/>
      <c r="BI451" s="211"/>
    </row>
    <row r="452">
      <c r="A452" s="210" t="str">
        <f>IFERROR(__xludf.DUMMYFUNCTION("""COMPUTED_VALUE"""),"fa4e8691")</f>
        <v>fa4e8691</v>
      </c>
      <c r="B452" s="210" t="str">
        <f>IFERROR(__xludf.DUMMYFUNCTION("""COMPUTED_VALUE"""),"fa4e8691")</f>
        <v>fa4e8691</v>
      </c>
      <c r="C452" s="213">
        <f>IFERROR(__xludf.DUMMYFUNCTION("""COMPUTED_VALUE"""),45659.65833333333)</f>
        <v>45659.65833</v>
      </c>
      <c r="D452" s="211" t="str">
        <f>IFERROR(__xludf.DUMMYFUNCTION("""COMPUTED_VALUE"""),"f8335a53")</f>
        <v>f8335a53</v>
      </c>
      <c r="E452" s="211" t="str">
        <f>IFERROR(__xludf.DUMMYFUNCTION("""COMPUTED_VALUE"""),"CV RAGAM JAYA ENGINEERING")</f>
        <v>CV RAGAM JAYA ENGINEERING</v>
      </c>
      <c r="F452" s="211" t="str">
        <f>IFERROR(__xludf.DUMMYFUNCTION("""COMPUTED_VALUE"""),"8bdbe149")</f>
        <v>8bdbe149</v>
      </c>
      <c r="G452" s="211" t="str">
        <f>IFERROR(__xludf.DUMMYFUNCTION("""COMPUTED_VALUE"""),"Oksigen 6m3")</f>
        <v>Oksigen 6m3</v>
      </c>
      <c r="H452" s="214" t="str">
        <f>IFERROR(__xludf.DUMMYFUNCTION("""COMPUTED_VALUE"""),"IN")</f>
        <v>IN</v>
      </c>
      <c r="I452" s="214" t="str">
        <f>IFERROR(__xludf.DUMMYFUNCTION("""COMPUTED_VALUE"""),"EMPTY")</f>
        <v>EMPTY</v>
      </c>
      <c r="J452" s="211">
        <f>IFERROR(__xludf.DUMMYFUNCTION("""COMPUTED_VALUE"""),3.0)</f>
        <v>3</v>
      </c>
      <c r="K452" s="210" t="str">
        <f>IFERROR(__xludf.DUMMYFUNCTION("""COMPUTED_VALUE"""),"1598 5753 1334")</f>
        <v>1598 5753 1334</v>
      </c>
      <c r="L452" s="211"/>
      <c r="M452" s="211"/>
      <c r="N452" s="211"/>
      <c r="O452" s="211"/>
      <c r="Q452" s="210" t="str">
        <f>IFERROR(__xludf.DUMMYFUNCTION("""COMPUTED_VALUE"""),"eb57e32d")</f>
        <v>eb57e32d</v>
      </c>
      <c r="R452" s="210" t="str">
        <f>IFERROR(__xludf.DUMMYFUNCTION("""COMPUTED_VALUE"""),"eb57e32d")</f>
        <v>eb57e32d</v>
      </c>
      <c r="S452" s="211" t="str">
        <f>IFERROR(__xludf.DUMMYFUNCTION("""COMPUTED_VALUE"""),"2d88931c")</f>
        <v>2d88931c</v>
      </c>
      <c r="T452" s="211" t="str">
        <f>IFERROR(__xludf.DUMMYFUNCTION("""COMPUTED_VALUE"""),"PT Dunia Berkat Marga Mulya")</f>
        <v>PT Dunia Berkat Marga Mulya</v>
      </c>
      <c r="U452" s="215">
        <f>IFERROR(__xludf.DUMMYFUNCTION("""COMPUTED_VALUE"""),45698.47152777778)</f>
        <v>45698.47153</v>
      </c>
      <c r="V452" s="211" t="str">
        <f>IFERROR(__xludf.DUMMYFUNCTION("""COMPUTED_VALUE"""),"JL JABARAN, WATESARI, BALONGBENDO, SIDOARJO, JAWA TIMUR")</f>
        <v>JL JABARAN, WATESARI, BALONGBENDO, SIDOARJO, JAWA TIMUR</v>
      </c>
      <c r="W452" s="211" t="str">
        <f>IFERROR(__xludf.DUMMYFUNCTION("""COMPUTED_VALUE"""),"IN")</f>
        <v>IN</v>
      </c>
      <c r="X452" s="211"/>
      <c r="Z452" s="211" t="str">
        <f>IFERROR(__xludf.DUMMYFUNCTION("""COMPUTED_VALUE"""),"122572104")</f>
        <v>122572104</v>
      </c>
      <c r="AC452" s="211"/>
      <c r="AD452" s="211"/>
      <c r="AE452" s="211"/>
      <c r="AF452" s="211"/>
      <c r="AG452" s="211"/>
      <c r="AH452" s="211"/>
      <c r="AI452" s="211"/>
      <c r="AJ452" s="211"/>
      <c r="AL452" s="211"/>
      <c r="AM452" s="211"/>
      <c r="AN452" s="211"/>
      <c r="AO452" s="211"/>
      <c r="AP452" s="215"/>
      <c r="AQ452" s="218"/>
      <c r="AR452" s="211"/>
      <c r="AS452" s="211"/>
      <c r="AT452" s="211"/>
      <c r="AU452" s="211"/>
      <c r="AV452" s="211"/>
      <c r="AW452" s="211"/>
      <c r="AX452" s="211"/>
      <c r="AY452" s="211"/>
      <c r="AZ452" s="211"/>
      <c r="BB452" s="211"/>
      <c r="BC452" s="211"/>
      <c r="BD452" s="211"/>
      <c r="BE452" s="211"/>
      <c r="BF452" s="211"/>
      <c r="BG452" s="211"/>
      <c r="BH452" s="211"/>
      <c r="BI452" s="211"/>
    </row>
    <row r="453">
      <c r="A453" s="210" t="str">
        <f>IFERROR(__xludf.DUMMYFUNCTION("""COMPUTED_VALUE"""),"fa4e8691")</f>
        <v>fa4e8691</v>
      </c>
      <c r="B453" s="210" t="str">
        <f>IFERROR(__xludf.DUMMYFUNCTION("""COMPUTED_VALUE"""),"fa4e8691")</f>
        <v>fa4e8691</v>
      </c>
      <c r="C453" s="213">
        <f>IFERROR(__xludf.DUMMYFUNCTION("""COMPUTED_VALUE"""),45659.65902777778)</f>
        <v>45659.65903</v>
      </c>
      <c r="D453" s="211" t="str">
        <f>IFERROR(__xludf.DUMMYFUNCTION("""COMPUTED_VALUE"""),"f8335a53")</f>
        <v>f8335a53</v>
      </c>
      <c r="E453" s="211" t="str">
        <f>IFERROR(__xludf.DUMMYFUNCTION("""COMPUTED_VALUE"""),"CV RAGAM JAYA ENGINEERING")</f>
        <v>CV RAGAM JAYA ENGINEERING</v>
      </c>
      <c r="F453" s="211" t="str">
        <f>IFERROR(__xludf.DUMMYFUNCTION("""COMPUTED_VALUE"""),"ef306e54")</f>
        <v>ef306e54</v>
      </c>
      <c r="G453" s="211" t="str">
        <f>IFERROR(__xludf.DUMMYFUNCTION("""COMPUTED_VALUE"""),"Karbondioksida")</f>
        <v>Karbondioksida</v>
      </c>
      <c r="H453" s="214" t="str">
        <f>IFERROR(__xludf.DUMMYFUNCTION("""COMPUTED_VALUE"""),"IN")</f>
        <v>IN</v>
      </c>
      <c r="I453" s="214" t="str">
        <f>IFERROR(__xludf.DUMMYFUNCTION("""COMPUTED_VALUE"""),"EMPTY")</f>
        <v>EMPTY</v>
      </c>
      <c r="J453" s="211">
        <f>IFERROR(__xludf.DUMMYFUNCTION("""COMPUTED_VALUE"""),1.0)</f>
        <v>1</v>
      </c>
      <c r="K453" s="210" t="str">
        <f>IFERROR(__xludf.DUMMYFUNCTION("""COMPUTED_VALUE"""),"6703")</f>
        <v>6703</v>
      </c>
      <c r="L453" s="211"/>
      <c r="M453" s="211"/>
      <c r="N453" s="211"/>
      <c r="O453" s="211"/>
      <c r="Q453" s="210" t="str">
        <f>IFERROR(__xludf.DUMMYFUNCTION("""COMPUTED_VALUE"""),"d4c40682")</f>
        <v>d4c40682</v>
      </c>
      <c r="R453" s="210" t="str">
        <f>IFERROR(__xludf.DUMMYFUNCTION("""COMPUTED_VALUE"""),"d4c40682")</f>
        <v>d4c40682</v>
      </c>
      <c r="S453" s="211" t="str">
        <f>IFERROR(__xludf.DUMMYFUNCTION("""COMPUTED_VALUE"""),"a9fe1bea")</f>
        <v>a9fe1bea</v>
      </c>
      <c r="T453" s="211" t="str">
        <f>IFERROR(__xludf.DUMMYFUNCTION("""COMPUTED_VALUE"""),"H. Suheiri")</f>
        <v>H. Suheiri</v>
      </c>
      <c r="U453" s="215">
        <f>IFERROR(__xludf.DUMMYFUNCTION("""COMPUTED_VALUE"""),45698.5)</f>
        <v>45698.5</v>
      </c>
      <c r="V453"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453" s="211" t="str">
        <f>IFERROR(__xludf.DUMMYFUNCTION("""COMPUTED_VALUE"""),"IN")</f>
        <v>IN</v>
      </c>
      <c r="X453" s="211"/>
      <c r="Z453" s="211" t="str">
        <f>IFERROR(__xludf.DUMMYFUNCTION("""COMPUTED_VALUE"""),"122562101")</f>
        <v>122562101</v>
      </c>
      <c r="AC453" s="211"/>
      <c r="AD453" s="211"/>
      <c r="AE453" s="211"/>
      <c r="AF453" s="211"/>
      <c r="AG453" s="211"/>
      <c r="AH453" s="211"/>
      <c r="AI453" s="211"/>
      <c r="AJ453" s="211"/>
      <c r="AL453" s="211"/>
      <c r="AM453" s="211"/>
      <c r="AN453" s="211"/>
      <c r="AO453" s="211"/>
      <c r="AP453" s="215"/>
      <c r="AQ453" s="218"/>
      <c r="AR453" s="211"/>
      <c r="AS453" s="211"/>
      <c r="AT453" s="211"/>
      <c r="AU453" s="211"/>
      <c r="AV453" s="211"/>
      <c r="AW453" s="211"/>
      <c r="AX453" s="211"/>
      <c r="AY453" s="211"/>
      <c r="AZ453" s="211"/>
      <c r="BB453" s="211"/>
      <c r="BC453" s="211"/>
      <c r="BD453" s="211"/>
      <c r="BE453" s="211"/>
      <c r="BF453" s="211"/>
      <c r="BG453" s="211"/>
      <c r="BH453" s="211"/>
      <c r="BI453" s="211"/>
    </row>
    <row r="454">
      <c r="A454" s="210" t="str">
        <f>IFERROR(__xludf.DUMMYFUNCTION("""COMPUTED_VALUE"""),"fa4e8691")</f>
        <v>fa4e8691</v>
      </c>
      <c r="B454" s="210" t="str">
        <f>IFERROR(__xludf.DUMMYFUNCTION("""COMPUTED_VALUE"""),"fa4e8691")</f>
        <v>fa4e8691</v>
      </c>
      <c r="C454" s="213">
        <f>IFERROR(__xludf.DUMMYFUNCTION("""COMPUTED_VALUE"""),45659.65902777778)</f>
        <v>45659.65903</v>
      </c>
      <c r="D454" s="211" t="str">
        <f>IFERROR(__xludf.DUMMYFUNCTION("""COMPUTED_VALUE"""),"f8335a53")</f>
        <v>f8335a53</v>
      </c>
      <c r="E454" s="211" t="str">
        <f>IFERROR(__xludf.DUMMYFUNCTION("""COMPUTED_VALUE"""),"CV RAGAM JAYA ENGINEERING")</f>
        <v>CV RAGAM JAYA ENGINEERING</v>
      </c>
      <c r="F454" s="211" t="str">
        <f>IFERROR(__xludf.DUMMYFUNCTION("""COMPUTED_VALUE"""),"be525f3b")</f>
        <v>be525f3b</v>
      </c>
      <c r="G454" s="211" t="str">
        <f>IFERROR(__xludf.DUMMYFUNCTION("""COMPUTED_VALUE"""),"LPG 12kg")</f>
        <v>LPG 12kg</v>
      </c>
      <c r="H454" s="214" t="str">
        <f>IFERROR(__xludf.DUMMYFUNCTION("""COMPUTED_VALUE"""),"IN")</f>
        <v>IN</v>
      </c>
      <c r="I454" s="214" t="str">
        <f>IFERROR(__xludf.DUMMYFUNCTION("""COMPUTED_VALUE"""),"EMPTY")</f>
        <v>EMPTY</v>
      </c>
      <c r="J454" s="211">
        <f>IFERROR(__xludf.DUMMYFUNCTION("""COMPUTED_VALUE"""),1.0)</f>
        <v>1</v>
      </c>
      <c r="K454" s="211"/>
      <c r="L454" s="211"/>
      <c r="M454" s="211"/>
      <c r="N454" s="211"/>
      <c r="O454" s="211"/>
      <c r="Q454" s="210" t="str">
        <f>IFERROR(__xludf.DUMMYFUNCTION("""COMPUTED_VALUE"""),"acb0439f")</f>
        <v>acb0439f</v>
      </c>
      <c r="R454" s="210" t="str">
        <f>IFERROR(__xludf.DUMMYFUNCTION("""COMPUTED_VALUE"""),"acb0439f")</f>
        <v>acb0439f</v>
      </c>
      <c r="S454" s="211" t="str">
        <f>IFERROR(__xludf.DUMMYFUNCTION("""COMPUTED_VALUE"""),"5f23ba17")</f>
        <v>5f23ba17</v>
      </c>
      <c r="T454" s="211" t="str">
        <f>IFERROR(__xludf.DUMMYFUNCTION("""COMPUTED_VALUE"""),"Bpk. Joko (Gresik)")</f>
        <v>Bpk. Joko (Gresik)</v>
      </c>
      <c r="U454" s="215">
        <f>IFERROR(__xludf.DUMMYFUNCTION("""COMPUTED_VALUE"""),45698.5)</f>
        <v>45698.5</v>
      </c>
      <c r="V454" s="211" t="str">
        <f>IFERROR(__xludf.DUMMYFUNCTION("""COMPUTED_VALUE"""),"Tanggungan, Lebaniwaras, Kec. Wringinanom, Kabupaten Gresik, Jawa Timur")</f>
        <v>Tanggungan, Lebaniwaras, Kec. Wringinanom, Kabupaten Gresik, Jawa Timur</v>
      </c>
      <c r="W454" s="211" t="str">
        <f>IFERROR(__xludf.DUMMYFUNCTION("""COMPUTED_VALUE"""),"IN")</f>
        <v>IN</v>
      </c>
      <c r="X454" s="211"/>
      <c r="Z454" s="211" t="str">
        <f>IFERROR(__xludf.DUMMYFUNCTION("""COMPUTED_VALUE"""),"1225422100")</f>
        <v>1225422100</v>
      </c>
      <c r="AC454" s="211"/>
      <c r="AD454" s="211"/>
      <c r="AE454" s="211"/>
      <c r="AF454" s="211"/>
      <c r="AG454" s="211"/>
      <c r="AH454" s="211"/>
      <c r="AI454" s="211"/>
      <c r="AJ454" s="211"/>
      <c r="AL454" s="211"/>
      <c r="AM454" s="211"/>
      <c r="AN454" s="211"/>
      <c r="AO454" s="211"/>
      <c r="AP454" s="215"/>
      <c r="AQ454" s="218"/>
      <c r="AR454" s="211"/>
      <c r="AS454" s="211"/>
      <c r="AT454" s="211"/>
      <c r="AU454" s="211"/>
      <c r="AV454" s="211"/>
      <c r="AW454" s="211"/>
      <c r="AX454" s="211"/>
      <c r="AY454" s="211"/>
      <c r="AZ454" s="211"/>
      <c r="BB454" s="211"/>
      <c r="BC454" s="211"/>
      <c r="BD454" s="211"/>
      <c r="BE454" s="211"/>
      <c r="BF454" s="211"/>
      <c r="BG454" s="211"/>
      <c r="BH454" s="211"/>
      <c r="BI454" s="211"/>
    </row>
    <row r="455">
      <c r="A455" s="210" t="str">
        <f>IFERROR(__xludf.DUMMYFUNCTION("""COMPUTED_VALUE"""),"01250196")</f>
        <v>01250196</v>
      </c>
      <c r="B455" s="210" t="str">
        <f>IFERROR(__xludf.DUMMYFUNCTION("""COMPUTED_VALUE"""),"01250196")</f>
        <v>01250196</v>
      </c>
      <c r="C455" s="213">
        <f>IFERROR(__xludf.DUMMYFUNCTION("""COMPUTED_VALUE"""),45660.35555555556)</f>
        <v>45660.35556</v>
      </c>
      <c r="D455" s="211" t="str">
        <f>IFERROR(__xludf.DUMMYFUNCTION("""COMPUTED_VALUE"""),"4bef3bbf")</f>
        <v>4bef3bbf</v>
      </c>
      <c r="E455" s="211" t="str">
        <f>IFERROR(__xludf.DUMMYFUNCTION("""COMPUTED_VALUE"""),"PT Dingsheng Metal Indonesia (Ngoro)")</f>
        <v>PT Dingsheng Metal Indonesia (Ngoro)</v>
      </c>
      <c r="F455" s="211" t="str">
        <f>IFERROR(__xludf.DUMMYFUNCTION("""COMPUTED_VALUE"""),"66af7c72")</f>
        <v>66af7c72</v>
      </c>
      <c r="G455" s="211" t="str">
        <f>IFERROR(__xludf.DUMMYFUNCTION("""COMPUTED_VALUE"""),"Argon 6m3")</f>
        <v>Argon 6m3</v>
      </c>
      <c r="H455" s="214" t="str">
        <f>IFERROR(__xludf.DUMMYFUNCTION("""COMPUTED_VALUE"""),"OUT")</f>
        <v>OUT</v>
      </c>
      <c r="I455" s="214" t="str">
        <f>IFERROR(__xludf.DUMMYFUNCTION("""COMPUTED_VALUE"""),"NORMAL")</f>
        <v>NORMAL</v>
      </c>
      <c r="J455" s="211">
        <f>IFERROR(__xludf.DUMMYFUNCTION("""COMPUTED_VALUE"""),1.0)</f>
        <v>1</v>
      </c>
      <c r="K455" s="210" t="str">
        <f>IFERROR(__xludf.DUMMYFUNCTION("""COMPUTED_VALUE"""),"8240")</f>
        <v>8240</v>
      </c>
      <c r="L455" s="211">
        <f>IFERROR(__xludf.DUMMYFUNCTION("""COMPUTED_VALUE"""),210000.0)</f>
        <v>210000</v>
      </c>
      <c r="M455" s="211"/>
      <c r="N455" s="211"/>
      <c r="O455" s="211"/>
      <c r="Q455" s="210" t="str">
        <f>IFERROR(__xludf.DUMMYFUNCTION("""COMPUTED_VALUE"""),"1ca49797")</f>
        <v>1ca49797</v>
      </c>
      <c r="R455" s="210" t="str">
        <f>IFERROR(__xludf.DUMMYFUNCTION("""COMPUTED_VALUE"""),"1ca49797")</f>
        <v>1ca49797</v>
      </c>
      <c r="S455" s="211" t="str">
        <f>IFERROR(__xludf.DUMMYFUNCTION("""COMPUTED_VALUE"""),"785e0e07")</f>
        <v>785e0e07</v>
      </c>
      <c r="T455" s="211" t="str">
        <f>IFERROR(__xludf.DUMMYFUNCTION("""COMPUTED_VALUE"""),"Bpk. Sukirno (Bejo)")</f>
        <v>Bpk. Sukirno (Bejo)</v>
      </c>
      <c r="U455" s="215">
        <f>IFERROR(__xludf.DUMMYFUNCTION("""COMPUTED_VALUE"""),45698.50069444445)</f>
        <v>45698.50069</v>
      </c>
      <c r="V455" s="211" t="str">
        <f>IFERROR(__xludf.DUMMYFUNCTION("""COMPUTED_VALUE"""),"Krajan I, Wringinanom, Kec. Wringinanom, Kabupaten Gresik, Jawa Timur 61176")</f>
        <v>Krajan I, Wringinanom, Kec. Wringinanom, Kabupaten Gresik, Jawa Timur 61176</v>
      </c>
      <c r="W455" s="211" t="str">
        <f>IFERROR(__xludf.DUMMYFUNCTION("""COMPUTED_VALUE"""),"IN")</f>
        <v>IN</v>
      </c>
      <c r="X455" s="211"/>
      <c r="Z455" s="211" t="str">
        <f>IFERROR(__xludf.DUMMYFUNCTION("""COMPUTED_VALUE"""),"1225622099")</f>
        <v>1225622099</v>
      </c>
      <c r="AC455" s="211"/>
      <c r="AD455" s="211"/>
      <c r="AE455" s="211"/>
      <c r="AF455" s="211"/>
      <c r="AG455" s="211"/>
      <c r="AH455" s="211"/>
      <c r="AI455" s="211"/>
      <c r="AJ455" s="211"/>
      <c r="AL455" s="211"/>
      <c r="AM455" s="211"/>
      <c r="AN455" s="211"/>
      <c r="AO455" s="211"/>
      <c r="AP455" s="215"/>
      <c r="AQ455" s="218"/>
      <c r="AR455" s="211"/>
      <c r="AS455" s="211"/>
      <c r="AT455" s="211"/>
      <c r="AU455" s="211"/>
      <c r="AV455" s="211"/>
      <c r="AW455" s="211"/>
      <c r="AX455" s="211"/>
      <c r="AY455" s="211"/>
      <c r="AZ455" s="211"/>
      <c r="BB455" s="211"/>
      <c r="BC455" s="211"/>
      <c r="BD455" s="211"/>
      <c r="BE455" s="211"/>
      <c r="BF455" s="211"/>
      <c r="BG455" s="211"/>
      <c r="BH455" s="211"/>
      <c r="BI455" s="211"/>
    </row>
    <row r="456">
      <c r="A456" s="210" t="str">
        <f>IFERROR(__xludf.DUMMYFUNCTION("""COMPUTED_VALUE"""),"01250197")</f>
        <v>01250197</v>
      </c>
      <c r="B456" s="210" t="str">
        <f>IFERROR(__xludf.DUMMYFUNCTION("""COMPUTED_VALUE"""),"01250197")</f>
        <v>01250197</v>
      </c>
      <c r="C456" s="213">
        <f>IFERROR(__xludf.DUMMYFUNCTION("""COMPUTED_VALUE"""),45660.46319444444)</f>
        <v>45660.46319</v>
      </c>
      <c r="D456" s="211" t="str">
        <f>IFERROR(__xludf.DUMMYFUNCTION("""COMPUTED_VALUE"""),"01158be1")</f>
        <v>01158be1</v>
      </c>
      <c r="E456" s="211" t="str">
        <f>IFERROR(__xludf.DUMMYFUNCTION("""COMPUTED_VALUE"""),"GYF")</f>
        <v>GYF</v>
      </c>
      <c r="F456" s="211" t="str">
        <f>IFERROR(__xludf.DUMMYFUNCTION("""COMPUTED_VALUE"""),"8bdbe149")</f>
        <v>8bdbe149</v>
      </c>
      <c r="G456" s="211" t="str">
        <f>IFERROR(__xludf.DUMMYFUNCTION("""COMPUTED_VALUE"""),"Oksigen 6m3")</f>
        <v>Oksigen 6m3</v>
      </c>
      <c r="H456" s="214" t="str">
        <f>IFERROR(__xludf.DUMMYFUNCTION("""COMPUTED_VALUE"""),"OUT")</f>
        <v>OUT</v>
      </c>
      <c r="I456" s="214" t="str">
        <f>IFERROR(__xludf.DUMMYFUNCTION("""COMPUTED_VALUE"""),"NORMAL")</f>
        <v>NORMAL</v>
      </c>
      <c r="J456" s="211">
        <f>IFERROR(__xludf.DUMMYFUNCTION("""COMPUTED_VALUE"""),10.0)</f>
        <v>10</v>
      </c>
      <c r="K456" s="210" t="str">
        <f>IFERROR(__xludf.DUMMYFUNCTION("""COMPUTED_VALUE"""),"11165 11138 11151 11158 11152 1414 5017 5117 5478 5820")</f>
        <v>11165 11138 11151 11158 11152 1414 5017 5117 5478 5820</v>
      </c>
      <c r="L456" s="211">
        <f>IFERROR(__xludf.DUMMYFUNCTION("""COMPUTED_VALUE"""),45000.0)</f>
        <v>45000</v>
      </c>
      <c r="M456" s="211"/>
      <c r="N456" s="211"/>
      <c r="O456" s="211"/>
      <c r="Q456" s="210" t="str">
        <f>IFERROR(__xludf.DUMMYFUNCTION("""COMPUTED_VALUE"""),"dd78776b")</f>
        <v>dd78776b</v>
      </c>
      <c r="R456" s="210" t="str">
        <f>IFERROR(__xludf.DUMMYFUNCTION("""COMPUTED_VALUE"""),"dd78776b")</f>
        <v>dd78776b</v>
      </c>
      <c r="S456" s="211" t="str">
        <f>IFERROR(__xludf.DUMMYFUNCTION("""COMPUTED_VALUE"""),"4ec68cf6")</f>
        <v>4ec68cf6</v>
      </c>
      <c r="T456" s="211" t="str">
        <f>IFERROR(__xludf.DUMMYFUNCTION("""COMPUTED_VALUE"""),"CV Sido Mukti Karya")</f>
        <v>CV Sido Mukti Karya</v>
      </c>
      <c r="U456" s="215">
        <f>IFERROR(__xludf.DUMMYFUNCTION("""COMPUTED_VALUE"""),45698.50208333333)</f>
        <v>45698.50208</v>
      </c>
      <c r="V456" s="211" t="str">
        <f>IFERROR(__xludf.DUMMYFUNCTION("""COMPUTED_VALUE"""),"Pergudangan Center Point no A3, Kemangsen")</f>
        <v>Pergudangan Center Point no A3, Kemangsen</v>
      </c>
      <c r="W456" s="211" t="str">
        <f>IFERROR(__xludf.DUMMYFUNCTION("""COMPUTED_VALUE"""),"IN")</f>
        <v>IN</v>
      </c>
      <c r="X456" s="211"/>
      <c r="Z456" s="211" t="str">
        <f>IFERROR(__xludf.DUMMYFUNCTION("""COMPUTED_VALUE"""),"122592096")</f>
        <v>122592096</v>
      </c>
      <c r="AC456" s="211"/>
      <c r="AD456" s="211"/>
      <c r="AE456" s="211"/>
      <c r="AF456" s="211"/>
      <c r="AG456" s="211"/>
      <c r="AH456" s="211"/>
      <c r="AI456" s="211"/>
      <c r="AJ456" s="211"/>
      <c r="AL456" s="211"/>
      <c r="AM456" s="211"/>
      <c r="AN456" s="211"/>
      <c r="AO456" s="211"/>
      <c r="AP456" s="215"/>
      <c r="AQ456" s="218"/>
      <c r="AR456" s="211"/>
      <c r="AS456" s="211"/>
      <c r="AT456" s="211"/>
      <c r="AU456" s="211"/>
      <c r="AV456" s="211"/>
      <c r="AW456" s="211"/>
      <c r="AX456" s="211"/>
      <c r="AY456" s="211"/>
      <c r="AZ456" s="211"/>
      <c r="BB456" s="211"/>
      <c r="BC456" s="211"/>
      <c r="BD456" s="211"/>
      <c r="BE456" s="211"/>
      <c r="BF456" s="211"/>
      <c r="BG456" s="211"/>
      <c r="BH456" s="211"/>
      <c r="BI456" s="211"/>
    </row>
    <row r="457">
      <c r="A457" s="210" t="str">
        <f>IFERROR(__xludf.DUMMYFUNCTION("""COMPUTED_VALUE"""),"0c7c697b")</f>
        <v>0c7c697b</v>
      </c>
      <c r="B457" s="210" t="str">
        <f>IFERROR(__xludf.DUMMYFUNCTION("""COMPUTED_VALUE"""),"0c7c697b")</f>
        <v>0c7c697b</v>
      </c>
      <c r="C457" s="213">
        <f>IFERROR(__xludf.DUMMYFUNCTION("""COMPUTED_VALUE"""),45660.49722222222)</f>
        <v>45660.49722</v>
      </c>
      <c r="D457" s="211" t="str">
        <f>IFERROR(__xludf.DUMMYFUNCTION("""COMPUTED_VALUE"""),"f01dab70")</f>
        <v>f01dab70</v>
      </c>
      <c r="E457" s="211" t="str">
        <f>IFERROR(__xludf.DUMMYFUNCTION("""COMPUTED_VALUE"""),"Bpk. Yudi")</f>
        <v>Bpk. Yudi</v>
      </c>
      <c r="F457" s="211" t="str">
        <f>IFERROR(__xludf.DUMMYFUNCTION("""COMPUTED_VALUE"""),"66af7c72")</f>
        <v>66af7c72</v>
      </c>
      <c r="G457" s="211" t="str">
        <f>IFERROR(__xludf.DUMMYFUNCTION("""COMPUTED_VALUE"""),"Argon 6m3")</f>
        <v>Argon 6m3</v>
      </c>
      <c r="H457" s="214" t="str">
        <f>IFERROR(__xludf.DUMMYFUNCTION("""COMPUTED_VALUE"""),"IN")</f>
        <v>IN</v>
      </c>
      <c r="I457" s="214" t="str">
        <f>IFERROR(__xludf.DUMMYFUNCTION("""COMPUTED_VALUE"""),"EMPTY")</f>
        <v>EMPTY</v>
      </c>
      <c r="J457" s="211">
        <f>IFERROR(__xludf.DUMMYFUNCTION("""COMPUTED_VALUE"""),1.0)</f>
        <v>1</v>
      </c>
      <c r="K457" s="210" t="str">
        <f>IFERROR(__xludf.DUMMYFUNCTION("""COMPUTED_VALUE"""),"8076")</f>
        <v>8076</v>
      </c>
      <c r="L457" s="211"/>
      <c r="M457" s="211"/>
      <c r="N457" s="211"/>
      <c r="O457" s="211"/>
      <c r="Q457" s="210" t="str">
        <f>IFERROR(__xludf.DUMMYFUNCTION("""COMPUTED_VALUE"""),"02250256")</f>
        <v>02250256</v>
      </c>
      <c r="R457" s="210" t="str">
        <f>IFERROR(__xludf.DUMMYFUNCTION("""COMPUTED_VALUE"""),"02250256")</f>
        <v>02250256</v>
      </c>
      <c r="S457" s="211" t="str">
        <f>IFERROR(__xludf.DUMMYFUNCTION("""COMPUTED_VALUE"""),"785e0e07")</f>
        <v>785e0e07</v>
      </c>
      <c r="T457" s="211" t="str">
        <f>IFERROR(__xludf.DUMMYFUNCTION("""COMPUTED_VALUE"""),"Bpk. Sukirno (Bejo)")</f>
        <v>Bpk. Sukirno (Bejo)</v>
      </c>
      <c r="U457" s="215">
        <f>IFERROR(__xludf.DUMMYFUNCTION("""COMPUTED_VALUE"""),45699.36388888889)</f>
        <v>45699.36389</v>
      </c>
      <c r="V457" s="211" t="str">
        <f>IFERROR(__xludf.DUMMYFUNCTION("""COMPUTED_VALUE"""),"Krajan I, Wringinanom, Kec. Wringinanom, Kabupaten Gresik, Jawa Timur 61176")</f>
        <v>Krajan I, Wringinanom, Kec. Wringinanom, Kabupaten Gresik, Jawa Timur 61176</v>
      </c>
      <c r="W457" s="211" t="str">
        <f>IFERROR(__xludf.DUMMYFUNCTION("""COMPUTED_VALUE"""),"OUT")</f>
        <v>OUT</v>
      </c>
      <c r="X457" s="211"/>
      <c r="Z457" s="211" t="str">
        <f>IFERROR(__xludf.DUMMYFUNCTION("""COMPUTED_VALUE"""),"1225342095")</f>
        <v>1225342095</v>
      </c>
      <c r="AC457" s="211"/>
      <c r="AD457" s="211"/>
      <c r="AE457" s="211"/>
      <c r="AF457" s="211"/>
      <c r="AG457" s="211"/>
      <c r="AH457" s="211"/>
      <c r="AI457" s="211"/>
      <c r="AJ457" s="211"/>
      <c r="AL457" s="211"/>
      <c r="AM457" s="211"/>
      <c r="AN457" s="211"/>
      <c r="AO457" s="211"/>
      <c r="AP457" s="215"/>
      <c r="AQ457" s="218"/>
      <c r="AR457" s="211"/>
      <c r="AS457" s="211"/>
      <c r="AT457" s="211"/>
      <c r="AU457" s="211"/>
      <c r="AV457" s="211"/>
      <c r="AW457" s="211"/>
      <c r="AX457" s="211"/>
      <c r="AY457" s="211"/>
      <c r="AZ457" s="211"/>
      <c r="BB457" s="211"/>
      <c r="BC457" s="211"/>
      <c r="BD457" s="211"/>
      <c r="BE457" s="211"/>
      <c r="BF457" s="211"/>
      <c r="BG457" s="211"/>
      <c r="BH457" s="211"/>
      <c r="BI457" s="211"/>
    </row>
    <row r="458">
      <c r="A458" s="210" t="str">
        <f>IFERROR(__xludf.DUMMYFUNCTION("""COMPUTED_VALUE"""),"01250198")</f>
        <v>01250198</v>
      </c>
      <c r="B458" s="210" t="str">
        <f>IFERROR(__xludf.DUMMYFUNCTION("""COMPUTED_VALUE"""),"01250198")</f>
        <v>01250198</v>
      </c>
      <c r="C458" s="213">
        <f>IFERROR(__xludf.DUMMYFUNCTION("""COMPUTED_VALUE"""),45660.524305555555)</f>
        <v>45660.52431</v>
      </c>
      <c r="D458" s="211" t="str">
        <f>IFERROR(__xludf.DUMMYFUNCTION("""COMPUTED_VALUE"""),"2d88931c")</f>
        <v>2d88931c</v>
      </c>
      <c r="E458" s="211" t="str">
        <f>IFERROR(__xludf.DUMMYFUNCTION("""COMPUTED_VALUE"""),"PT Dunia Berkat Marga Mulya")</f>
        <v>PT Dunia Berkat Marga Mulya</v>
      </c>
      <c r="F458" s="211" t="str">
        <f>IFERROR(__xludf.DUMMYFUNCTION("""COMPUTED_VALUE"""),"8bdbe149")</f>
        <v>8bdbe149</v>
      </c>
      <c r="G458" s="211" t="str">
        <f>IFERROR(__xludf.DUMMYFUNCTION("""COMPUTED_VALUE"""),"Oksigen 6m3")</f>
        <v>Oksigen 6m3</v>
      </c>
      <c r="H458" s="214" t="str">
        <f>IFERROR(__xludf.DUMMYFUNCTION("""COMPUTED_VALUE"""),"OUT")</f>
        <v>OUT</v>
      </c>
      <c r="I458" s="214" t="str">
        <f>IFERROR(__xludf.DUMMYFUNCTION("""COMPUTED_VALUE"""),"NORMAL")</f>
        <v>NORMAL</v>
      </c>
      <c r="J458" s="211">
        <f>IFERROR(__xludf.DUMMYFUNCTION("""COMPUTED_VALUE"""),5.0)</f>
        <v>5</v>
      </c>
      <c r="K458" s="210" t="str">
        <f>IFERROR(__xludf.DUMMYFUNCTION("""COMPUTED_VALUE"""),"1712 5543 1456 1167 1199")</f>
        <v>1712 5543 1456 1167 1199</v>
      </c>
      <c r="L458" s="211">
        <f>IFERROR(__xludf.DUMMYFUNCTION("""COMPUTED_VALUE"""),60000.0)</f>
        <v>60000</v>
      </c>
      <c r="M458" s="211"/>
      <c r="N458" s="211"/>
      <c r="O458" s="211"/>
      <c r="Q458" s="210" t="str">
        <f>IFERROR(__xludf.DUMMYFUNCTION("""COMPUTED_VALUE"""),"02250257")</f>
        <v>02250257</v>
      </c>
      <c r="R458" s="210" t="str">
        <f>IFERROR(__xludf.DUMMYFUNCTION("""COMPUTED_VALUE"""),"02250257")</f>
        <v>02250257</v>
      </c>
      <c r="S458" s="211" t="str">
        <f>IFERROR(__xludf.DUMMYFUNCTION("""COMPUTED_VALUE"""),"8f5ebaea")</f>
        <v>8f5ebaea</v>
      </c>
      <c r="T458" s="211" t="str">
        <f>IFERROR(__xludf.DUMMYFUNCTION("""COMPUTED_VALUE"""),"PT Hua Zong Mesindo")</f>
        <v>PT Hua Zong Mesindo</v>
      </c>
      <c r="U458" s="215">
        <f>IFERROR(__xludf.DUMMYFUNCTION("""COMPUTED_VALUE"""),45699.48055555555)</f>
        <v>45699.48056</v>
      </c>
      <c r="V458" s="211" t="str">
        <f>IFERROR(__xludf.DUMMYFUNCTION("""COMPUTED_VALUE"""),"Jl. Bypass Krian, Sidotemo, Sidomulyo, Kec. Krian, Kabupaten Sidoarjo, Jawa Timur 61262")</f>
        <v>Jl. Bypass Krian, Sidotemo, Sidomulyo, Kec. Krian, Kabupaten Sidoarjo, Jawa Timur 61262</v>
      </c>
      <c r="W458" s="211" t="str">
        <f>IFERROR(__xludf.DUMMYFUNCTION("""COMPUTED_VALUE"""),"OUT")</f>
        <v>OUT</v>
      </c>
      <c r="X458" s="211"/>
      <c r="Z458" s="211" t="str">
        <f>IFERROR(__xludf.DUMMYFUNCTION("""COMPUTED_VALUE"""),"1225612091")</f>
        <v>1225612091</v>
      </c>
      <c r="AC458" s="211"/>
      <c r="AD458" s="211"/>
      <c r="AE458" s="211"/>
      <c r="AF458" s="211"/>
      <c r="AG458" s="211"/>
      <c r="AH458" s="211"/>
      <c r="AI458" s="211"/>
      <c r="AJ458" s="211"/>
      <c r="AL458" s="211"/>
      <c r="AM458" s="211"/>
      <c r="AN458" s="211"/>
      <c r="AO458" s="211"/>
      <c r="AP458" s="215"/>
      <c r="AQ458" s="218"/>
      <c r="AR458" s="211"/>
      <c r="AS458" s="211"/>
      <c r="AT458" s="211"/>
      <c r="AU458" s="211"/>
      <c r="AV458" s="211"/>
      <c r="AW458" s="211"/>
      <c r="AX458" s="211"/>
      <c r="AY458" s="211"/>
      <c r="AZ458" s="211"/>
      <c r="BB458" s="211"/>
      <c r="BC458" s="211"/>
      <c r="BD458" s="211"/>
      <c r="BE458" s="211"/>
      <c r="BF458" s="211"/>
      <c r="BG458" s="211"/>
      <c r="BH458" s="211"/>
      <c r="BI458" s="211"/>
    </row>
    <row r="459">
      <c r="A459" s="210" t="str">
        <f>IFERROR(__xludf.DUMMYFUNCTION("""COMPUTED_VALUE"""),"8bdd2522")</f>
        <v>8bdd2522</v>
      </c>
      <c r="B459" s="210" t="str">
        <f>IFERROR(__xludf.DUMMYFUNCTION("""COMPUTED_VALUE"""),"8bdd2522")</f>
        <v>8bdd2522</v>
      </c>
      <c r="C459" s="213">
        <f>IFERROR(__xludf.DUMMYFUNCTION("""COMPUTED_VALUE"""),45660.58263888889)</f>
        <v>45660.58264</v>
      </c>
      <c r="D459" s="211" t="str">
        <f>IFERROR(__xludf.DUMMYFUNCTION("""COMPUTED_VALUE"""),"17af2683")</f>
        <v>17af2683</v>
      </c>
      <c r="E459" s="211" t="str">
        <f>IFERROR(__xludf.DUMMYFUNCTION("""COMPUTED_VALUE"""),"H. Fatoni")</f>
        <v>H. Fatoni</v>
      </c>
      <c r="F459" s="211" t="str">
        <f>IFERROR(__xludf.DUMMYFUNCTION("""COMPUTED_VALUE"""),"8bdbe149")</f>
        <v>8bdbe149</v>
      </c>
      <c r="G459" s="211" t="str">
        <f>IFERROR(__xludf.DUMMYFUNCTION("""COMPUTED_VALUE"""),"Oksigen 6m3")</f>
        <v>Oksigen 6m3</v>
      </c>
      <c r="H459" s="214" t="str">
        <f>IFERROR(__xludf.DUMMYFUNCTION("""COMPUTED_VALUE"""),"IN")</f>
        <v>IN</v>
      </c>
      <c r="I459" s="214" t="str">
        <f>IFERROR(__xludf.DUMMYFUNCTION("""COMPUTED_VALUE"""),"EMPTY")</f>
        <v>EMPTY</v>
      </c>
      <c r="J459" s="211">
        <f>IFERROR(__xludf.DUMMYFUNCTION("""COMPUTED_VALUE"""),2.0)</f>
        <v>2</v>
      </c>
      <c r="K459" s="210" t="str">
        <f>IFERROR(__xludf.DUMMYFUNCTION("""COMPUTED_VALUE"""),"1192 1143")</f>
        <v>1192 1143</v>
      </c>
      <c r="L459" s="211"/>
      <c r="M459" s="211"/>
      <c r="N459" s="211"/>
      <c r="O459" s="211"/>
      <c r="Q459" s="210" t="str">
        <f>IFERROR(__xludf.DUMMYFUNCTION("""COMPUTED_VALUE"""),"02250258")</f>
        <v>02250258</v>
      </c>
      <c r="R459" s="210" t="str">
        <f>IFERROR(__xludf.DUMMYFUNCTION("""COMPUTED_VALUE"""),"02250258")</f>
        <v>02250258</v>
      </c>
      <c r="S459" s="211" t="str">
        <f>IFERROR(__xludf.DUMMYFUNCTION("""COMPUTED_VALUE"""),"4ec68cf6")</f>
        <v>4ec68cf6</v>
      </c>
      <c r="T459" s="211" t="str">
        <f>IFERROR(__xludf.DUMMYFUNCTION("""COMPUTED_VALUE"""),"CV Sido Mukti Karya")</f>
        <v>CV Sido Mukti Karya</v>
      </c>
      <c r="U459" s="215">
        <f>IFERROR(__xludf.DUMMYFUNCTION("""COMPUTED_VALUE"""),45700.37222222222)</f>
        <v>45700.37222</v>
      </c>
      <c r="V459" s="211" t="str">
        <f>IFERROR(__xludf.DUMMYFUNCTION("""COMPUTED_VALUE"""),"Pergudangan Center Point no A3, Kemangsen")</f>
        <v>Pergudangan Center Point no A3, Kemangsen</v>
      </c>
      <c r="W459" s="211" t="str">
        <f>IFERROR(__xludf.DUMMYFUNCTION("""COMPUTED_VALUE"""),"OUT")</f>
        <v>OUT</v>
      </c>
      <c r="X459" s="211"/>
      <c r="Z459" s="211" t="str">
        <f>IFERROR(__xludf.DUMMYFUNCTION("""COMPUTED_VALUE"""),"122542090")</f>
        <v>122542090</v>
      </c>
      <c r="AC459" s="211"/>
      <c r="AD459" s="211"/>
      <c r="AE459" s="211"/>
      <c r="AF459" s="211"/>
      <c r="AG459" s="211"/>
      <c r="AH459" s="211"/>
      <c r="AI459" s="211"/>
      <c r="AJ459" s="211"/>
      <c r="AL459" s="211"/>
      <c r="AM459" s="211"/>
      <c r="AN459" s="211"/>
      <c r="AO459" s="211"/>
      <c r="AP459" s="215"/>
      <c r="AQ459" s="218"/>
      <c r="AR459" s="211"/>
      <c r="AS459" s="211"/>
      <c r="AT459" s="211"/>
      <c r="AU459" s="211"/>
      <c r="AV459" s="211"/>
      <c r="AW459" s="211"/>
      <c r="AX459" s="211"/>
      <c r="AY459" s="211"/>
      <c r="AZ459" s="211"/>
      <c r="BB459" s="211"/>
      <c r="BC459" s="211"/>
      <c r="BD459" s="211"/>
      <c r="BE459" s="211"/>
      <c r="BF459" s="211"/>
      <c r="BG459" s="211"/>
      <c r="BH459" s="211"/>
      <c r="BI459" s="211"/>
    </row>
    <row r="460">
      <c r="A460" s="210" t="str">
        <f>IFERROR(__xludf.DUMMYFUNCTION("""COMPUTED_VALUE"""),"dcde37f1")</f>
        <v>dcde37f1</v>
      </c>
      <c r="B460" s="210" t="str">
        <f>IFERROR(__xludf.DUMMYFUNCTION("""COMPUTED_VALUE"""),"dcde37f1")</f>
        <v>dcde37f1</v>
      </c>
      <c r="C460" s="213">
        <f>IFERROR(__xludf.DUMMYFUNCTION("""COMPUTED_VALUE"""),45660.58263888889)</f>
        <v>45660.58264</v>
      </c>
      <c r="D460" s="211" t="str">
        <f>IFERROR(__xludf.DUMMYFUNCTION("""COMPUTED_VALUE"""),"2d88931c")</f>
        <v>2d88931c</v>
      </c>
      <c r="E460" s="211" t="str">
        <f>IFERROR(__xludf.DUMMYFUNCTION("""COMPUTED_VALUE"""),"PT Dunia Berkat Marga Mulya")</f>
        <v>PT Dunia Berkat Marga Mulya</v>
      </c>
      <c r="F460" s="211" t="str">
        <f>IFERROR(__xludf.DUMMYFUNCTION("""COMPUTED_VALUE"""),"8bdbe149")</f>
        <v>8bdbe149</v>
      </c>
      <c r="G460" s="211" t="str">
        <f>IFERROR(__xludf.DUMMYFUNCTION("""COMPUTED_VALUE"""),"Oksigen 6m3")</f>
        <v>Oksigen 6m3</v>
      </c>
      <c r="H460" s="214" t="str">
        <f>IFERROR(__xludf.DUMMYFUNCTION("""COMPUTED_VALUE"""),"IN")</f>
        <v>IN</v>
      </c>
      <c r="I460" s="214" t="str">
        <f>IFERROR(__xludf.DUMMYFUNCTION("""COMPUTED_VALUE"""),"EMPTY")</f>
        <v>EMPTY</v>
      </c>
      <c r="J460" s="211">
        <f>IFERROR(__xludf.DUMMYFUNCTION("""COMPUTED_VALUE"""),3.0)</f>
        <v>3</v>
      </c>
      <c r="K460" s="210" t="str">
        <f>IFERROR(__xludf.DUMMYFUNCTION("""COMPUTED_VALUE"""),"1105 1059 5862")</f>
        <v>1105 1059 5862</v>
      </c>
      <c r="L460" s="211"/>
      <c r="M460" s="211"/>
      <c r="N460" s="211"/>
      <c r="O460" s="211"/>
      <c r="Q460" s="210" t="str">
        <f>IFERROR(__xludf.DUMMYFUNCTION("""COMPUTED_VALUE"""),"e4821033")</f>
        <v>e4821033</v>
      </c>
      <c r="R460" s="210" t="str">
        <f>IFERROR(__xludf.DUMMYFUNCTION("""COMPUTED_VALUE"""),"e4821033")</f>
        <v>e4821033</v>
      </c>
      <c r="S460" s="211" t="str">
        <f>IFERROR(__xludf.DUMMYFUNCTION("""COMPUTED_VALUE"""),"4ec68cf6")</f>
        <v>4ec68cf6</v>
      </c>
      <c r="T460" s="211" t="str">
        <f>IFERROR(__xludf.DUMMYFUNCTION("""COMPUTED_VALUE"""),"CV Sido Mukti Karya")</f>
        <v>CV Sido Mukti Karya</v>
      </c>
      <c r="U460" s="215">
        <f>IFERROR(__xludf.DUMMYFUNCTION("""COMPUTED_VALUE"""),45700.48541666666)</f>
        <v>45700.48542</v>
      </c>
      <c r="V460" s="211" t="str">
        <f>IFERROR(__xludf.DUMMYFUNCTION("""COMPUTED_VALUE"""),"Pergudangan Center Point no A3, Kemangsen")</f>
        <v>Pergudangan Center Point no A3, Kemangsen</v>
      </c>
      <c r="W460" s="211" t="str">
        <f>IFERROR(__xludf.DUMMYFUNCTION("""COMPUTED_VALUE"""),"IN")</f>
        <v>IN</v>
      </c>
      <c r="X460" s="211"/>
      <c r="Z460" s="211" t="str">
        <f>IFERROR(__xludf.DUMMYFUNCTION("""COMPUTED_VALUE"""),"122582089")</f>
        <v>122582089</v>
      </c>
      <c r="AC460" s="211"/>
      <c r="AD460" s="211"/>
      <c r="AE460" s="211"/>
      <c r="AF460" s="211"/>
      <c r="AG460" s="211"/>
      <c r="AH460" s="211"/>
      <c r="AI460" s="211"/>
      <c r="AJ460" s="211"/>
      <c r="AL460" s="211"/>
      <c r="AM460" s="211"/>
      <c r="AN460" s="211"/>
      <c r="AO460" s="211"/>
      <c r="AP460" s="215"/>
      <c r="AQ460" s="218"/>
      <c r="AR460" s="211"/>
      <c r="AS460" s="211"/>
      <c r="AT460" s="211"/>
      <c r="AU460" s="211"/>
      <c r="AV460" s="211"/>
      <c r="AW460" s="211"/>
      <c r="AX460" s="211"/>
      <c r="AY460" s="211"/>
      <c r="AZ460" s="211"/>
      <c r="BB460" s="211"/>
      <c r="BC460" s="211"/>
      <c r="BD460" s="211"/>
      <c r="BE460" s="211"/>
      <c r="BF460" s="211"/>
      <c r="BG460" s="211"/>
      <c r="BH460" s="211"/>
      <c r="BI460" s="211"/>
    </row>
    <row r="461">
      <c r="A461" s="210" t="str">
        <f>IFERROR(__xludf.DUMMYFUNCTION("""COMPUTED_VALUE"""),"494d8771")</f>
        <v>494d8771</v>
      </c>
      <c r="B461" s="210" t="str">
        <f>IFERROR(__xludf.DUMMYFUNCTION("""COMPUTED_VALUE"""),"494d8771")</f>
        <v>494d8771</v>
      </c>
      <c r="C461" s="213">
        <f>IFERROR(__xludf.DUMMYFUNCTION("""COMPUTED_VALUE"""),45660.7)</f>
        <v>45660.7</v>
      </c>
      <c r="D461" s="211" t="str">
        <f>IFERROR(__xludf.DUMMYFUNCTION("""COMPUTED_VALUE"""),"01158be1")</f>
        <v>01158be1</v>
      </c>
      <c r="E461" s="211" t="str">
        <f>IFERROR(__xludf.DUMMYFUNCTION("""COMPUTED_VALUE"""),"GYF")</f>
        <v>GYF</v>
      </c>
      <c r="F461" s="211" t="str">
        <f>IFERROR(__xludf.DUMMYFUNCTION("""COMPUTED_VALUE"""),"8bdbe149")</f>
        <v>8bdbe149</v>
      </c>
      <c r="G461" s="211" t="str">
        <f>IFERROR(__xludf.DUMMYFUNCTION("""COMPUTED_VALUE"""),"Oksigen 6m3")</f>
        <v>Oksigen 6m3</v>
      </c>
      <c r="H461" s="214" t="str">
        <f>IFERROR(__xludf.DUMMYFUNCTION("""COMPUTED_VALUE"""),"IN")</f>
        <v>IN</v>
      </c>
      <c r="I461" s="214" t="str">
        <f>IFERROR(__xludf.DUMMYFUNCTION("""COMPUTED_VALUE"""),"EMPTY")</f>
        <v>EMPTY</v>
      </c>
      <c r="J461" s="211">
        <f>IFERROR(__xludf.DUMMYFUNCTION("""COMPUTED_VALUE"""),12.0)</f>
        <v>12</v>
      </c>
      <c r="K461" s="210" t="str">
        <f>IFERROR(__xludf.DUMMYFUNCTION("""COMPUTED_VALUE"""),"1825 11132 11171 5530 1373 11116 11128 1155 1198 11131 11134 5904")</f>
        <v>1825 11132 11171 5530 1373 11116 11128 1155 1198 11131 11134 5904</v>
      </c>
      <c r="L461" s="211"/>
      <c r="M461" s="211"/>
      <c r="N461" s="211"/>
      <c r="O461" s="211"/>
      <c r="Q461" s="210" t="str">
        <f>IFERROR(__xludf.DUMMYFUNCTION("""COMPUTED_VALUE"""),"96f13925")</f>
        <v>96f13925</v>
      </c>
      <c r="R461" s="210" t="str">
        <f>IFERROR(__xludf.DUMMYFUNCTION("""COMPUTED_VALUE"""),"96f13925")</f>
        <v>96f13925</v>
      </c>
      <c r="S461" s="211" t="str">
        <f>IFERROR(__xludf.DUMMYFUNCTION("""COMPUTED_VALUE"""),"7b9d8eba")</f>
        <v>7b9d8eba</v>
      </c>
      <c r="T461" s="211" t="str">
        <f>IFERROR(__xludf.DUMMYFUNCTION("""COMPUTED_VALUE"""),"PT PELANGI INDOKARYA")</f>
        <v>PT PELANGI INDOKARYA</v>
      </c>
      <c r="U461" s="215">
        <f>IFERROR(__xludf.DUMMYFUNCTION("""COMPUTED_VALUE"""),45700.490277777775)</f>
        <v>45700.49028</v>
      </c>
      <c r="V46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461" s="211" t="str">
        <f>IFERROR(__xludf.DUMMYFUNCTION("""COMPUTED_VALUE"""),"IN")</f>
        <v>IN</v>
      </c>
      <c r="X461" s="211"/>
      <c r="Z461" s="211" t="str">
        <f>IFERROR(__xludf.DUMMYFUNCTION("""COMPUTED_VALUE"""),"1225102087")</f>
        <v>1225102087</v>
      </c>
      <c r="AC461" s="211"/>
      <c r="AD461" s="211"/>
      <c r="AE461" s="211"/>
      <c r="AF461" s="211"/>
      <c r="AG461" s="211"/>
      <c r="AH461" s="211"/>
      <c r="AI461" s="211"/>
      <c r="AJ461" s="211"/>
      <c r="AL461" s="211"/>
      <c r="AM461" s="211"/>
      <c r="AN461" s="211"/>
      <c r="AO461" s="211"/>
      <c r="AP461" s="215"/>
      <c r="AQ461" s="218"/>
      <c r="AR461" s="211"/>
      <c r="AS461" s="211"/>
      <c r="AT461" s="211"/>
      <c r="AU461" s="211"/>
      <c r="AV461" s="211"/>
      <c r="AW461" s="211"/>
      <c r="AX461" s="211"/>
      <c r="AY461" s="211"/>
      <c r="AZ461" s="211"/>
      <c r="BB461" s="211"/>
      <c r="BC461" s="211"/>
      <c r="BD461" s="211"/>
      <c r="BE461" s="211"/>
      <c r="BF461" s="211"/>
      <c r="BG461" s="211"/>
      <c r="BH461" s="211"/>
      <c r="BI461" s="211"/>
    </row>
    <row r="462">
      <c r="A462" s="210" t="str">
        <f>IFERROR(__xludf.DUMMYFUNCTION("""COMPUTED_VALUE"""),"4a626c20")</f>
        <v>4a626c20</v>
      </c>
      <c r="B462" s="210" t="str">
        <f>IFERROR(__xludf.DUMMYFUNCTION("""COMPUTED_VALUE"""),"4a626c20")</f>
        <v>4a626c20</v>
      </c>
      <c r="C462" s="213">
        <f>IFERROR(__xludf.DUMMYFUNCTION("""COMPUTED_VALUE"""),45660.70138888889)</f>
        <v>45660.70139</v>
      </c>
      <c r="D462" s="211" t="str">
        <f>IFERROR(__xludf.DUMMYFUNCTION("""COMPUTED_VALUE"""),"72d9a70c")</f>
        <v>72d9a70c</v>
      </c>
      <c r="E462" s="211" t="str">
        <f>IFERROR(__xludf.DUMMYFUNCTION("""COMPUTED_VALUE"""),"PT Beton Prima Indonesia")</f>
        <v>PT Beton Prima Indonesia</v>
      </c>
      <c r="F462" s="211" t="str">
        <f>IFERROR(__xludf.DUMMYFUNCTION("""COMPUTED_VALUE"""),"8bdbe149")</f>
        <v>8bdbe149</v>
      </c>
      <c r="G462" s="211" t="str">
        <f>IFERROR(__xludf.DUMMYFUNCTION("""COMPUTED_VALUE"""),"Oksigen 6m3")</f>
        <v>Oksigen 6m3</v>
      </c>
      <c r="H462" s="214" t="str">
        <f>IFERROR(__xludf.DUMMYFUNCTION("""COMPUTED_VALUE"""),"IN")</f>
        <v>IN</v>
      </c>
      <c r="I462" s="214" t="str">
        <f>IFERROR(__xludf.DUMMYFUNCTION("""COMPUTED_VALUE"""),"EMPTY")</f>
        <v>EMPTY</v>
      </c>
      <c r="J462" s="211">
        <f>IFERROR(__xludf.DUMMYFUNCTION("""COMPUTED_VALUE"""),1.0)</f>
        <v>1</v>
      </c>
      <c r="K462" s="210" t="str">
        <f>IFERROR(__xludf.DUMMYFUNCTION("""COMPUTED_VALUE"""),"11167")</f>
        <v>11167</v>
      </c>
      <c r="L462" s="211"/>
      <c r="M462" s="211"/>
      <c r="N462" s="211"/>
      <c r="O462" s="211"/>
      <c r="Q462" s="210" t="str">
        <f>IFERROR(__xludf.DUMMYFUNCTION("""COMPUTED_VALUE"""),"a74b304d")</f>
        <v>a74b304d</v>
      </c>
      <c r="R462" s="210" t="str">
        <f>IFERROR(__xludf.DUMMYFUNCTION("""COMPUTED_VALUE"""),"a74b304d")</f>
        <v>a74b304d</v>
      </c>
      <c r="S462" s="211" t="str">
        <f>IFERROR(__xludf.DUMMYFUNCTION("""COMPUTED_VALUE"""),"f01dab70")</f>
        <v>f01dab70</v>
      </c>
      <c r="T462" s="211" t="str">
        <f>IFERROR(__xludf.DUMMYFUNCTION("""COMPUTED_VALUE"""),"Bpk. Yudi")</f>
        <v>Bpk. Yudi</v>
      </c>
      <c r="U462" s="215">
        <f>IFERROR(__xludf.DUMMYFUNCTION("""COMPUTED_VALUE"""),45700.490277777775)</f>
        <v>45700.49028</v>
      </c>
      <c r="V462" s="211" t="str">
        <f>IFERROR(__xludf.DUMMYFUNCTION("""COMPUTED_VALUE"""),"Bandilan, Simogirang, Kec. Prambon, Kabupaten Sidoarjo, Jawa Timur 61264")</f>
        <v>Bandilan, Simogirang, Kec. Prambon, Kabupaten Sidoarjo, Jawa Timur 61264</v>
      </c>
      <c r="W462" s="211" t="str">
        <f>IFERROR(__xludf.DUMMYFUNCTION("""COMPUTED_VALUE"""),"IN")</f>
        <v>IN</v>
      </c>
      <c r="X462" s="211"/>
      <c r="Z462" s="211" t="str">
        <f>IFERROR(__xludf.DUMMYFUNCTION("""COMPUTED_VALUE"""),"122592086")</f>
        <v>122592086</v>
      </c>
      <c r="AC462" s="211"/>
      <c r="AD462" s="211"/>
      <c r="AE462" s="211"/>
      <c r="AF462" s="211"/>
      <c r="AG462" s="211"/>
      <c r="AH462" s="211"/>
      <c r="AI462" s="211"/>
      <c r="AJ462" s="211"/>
      <c r="AL462" s="211"/>
      <c r="AM462" s="211"/>
      <c r="AN462" s="211"/>
      <c r="AO462" s="211"/>
      <c r="AP462" s="215"/>
      <c r="AQ462" s="218"/>
      <c r="AR462" s="211"/>
      <c r="AS462" s="211"/>
      <c r="AT462" s="211"/>
      <c r="AU462" s="211"/>
      <c r="AV462" s="211"/>
      <c r="AW462" s="211"/>
      <c r="AX462" s="211"/>
      <c r="AY462" s="211"/>
      <c r="AZ462" s="211"/>
      <c r="BB462" s="211"/>
      <c r="BC462" s="211"/>
      <c r="BD462" s="211"/>
      <c r="BE462" s="211"/>
      <c r="BF462" s="211"/>
      <c r="BG462" s="211"/>
      <c r="BH462" s="211"/>
      <c r="BI462" s="211"/>
    </row>
    <row r="463">
      <c r="A463" s="210" t="str">
        <f>IFERROR(__xludf.DUMMYFUNCTION("""COMPUTED_VALUE"""),"01250199")</f>
        <v>01250199</v>
      </c>
      <c r="B463" s="210" t="str">
        <f>IFERROR(__xludf.DUMMYFUNCTION("""COMPUTED_VALUE"""),"01250199")</f>
        <v>01250199</v>
      </c>
      <c r="C463" s="213">
        <f>IFERROR(__xludf.DUMMYFUNCTION("""COMPUTED_VALUE"""),45661.44930555556)</f>
        <v>45661.44931</v>
      </c>
      <c r="D463" s="211" t="str">
        <f>IFERROR(__xludf.DUMMYFUNCTION("""COMPUTED_VALUE"""),"103f3ae7")</f>
        <v>103f3ae7</v>
      </c>
      <c r="E463" s="211" t="str">
        <f>IFERROR(__xludf.DUMMYFUNCTION("""COMPUTED_VALUE"""),"PT ARYANA CAKASANA")</f>
        <v>PT ARYANA CAKASANA</v>
      </c>
      <c r="F463" s="211" t="str">
        <f>IFERROR(__xludf.DUMMYFUNCTION("""COMPUTED_VALUE"""),"8bdbe149")</f>
        <v>8bdbe149</v>
      </c>
      <c r="G463" s="211" t="str">
        <f>IFERROR(__xludf.DUMMYFUNCTION("""COMPUTED_VALUE"""),"Oksigen 6m3")</f>
        <v>Oksigen 6m3</v>
      </c>
      <c r="H463" s="214" t="str">
        <f>IFERROR(__xludf.DUMMYFUNCTION("""COMPUTED_VALUE"""),"OUT")</f>
        <v>OUT</v>
      </c>
      <c r="I463" s="214" t="str">
        <f>IFERROR(__xludf.DUMMYFUNCTION("""COMPUTED_VALUE"""),"NORMAL")</f>
        <v>NORMAL</v>
      </c>
      <c r="J463" s="211">
        <f>IFERROR(__xludf.DUMMYFUNCTION("""COMPUTED_VALUE"""),10.0)</f>
        <v>10</v>
      </c>
      <c r="K463" s="210" t="str">
        <f>IFERROR(__xludf.DUMMYFUNCTION("""COMPUTED_VALUE"""),"11116 11114 11134 11131 11128 11132 1155 1105 1192 1134")</f>
        <v>11116 11114 11134 11131 11128 11132 1155 1105 1192 1134</v>
      </c>
      <c r="L463" s="211">
        <f>IFERROR(__xludf.DUMMYFUNCTION("""COMPUTED_VALUE"""),47297.2973)</f>
        <v>47297.2973</v>
      </c>
      <c r="M463" s="211"/>
      <c r="N463" s="211"/>
      <c r="O463" s="211"/>
      <c r="Q463" s="210" t="str">
        <f>IFERROR(__xludf.DUMMYFUNCTION("""COMPUTED_VALUE"""),"767f7e9e")</f>
        <v>767f7e9e</v>
      </c>
      <c r="R463" s="210" t="str">
        <f>IFERROR(__xludf.DUMMYFUNCTION("""COMPUTED_VALUE"""),"767f7e9e")</f>
        <v>767f7e9e</v>
      </c>
      <c r="S463" s="211" t="str">
        <f>IFERROR(__xludf.DUMMYFUNCTION("""COMPUTED_VALUE"""),"8f5ebaea")</f>
        <v>8f5ebaea</v>
      </c>
      <c r="T463" s="211" t="str">
        <f>IFERROR(__xludf.DUMMYFUNCTION("""COMPUTED_VALUE"""),"PT Hua Zong Mesindo")</f>
        <v>PT Hua Zong Mesindo</v>
      </c>
      <c r="U463" s="215">
        <f>IFERROR(__xludf.DUMMYFUNCTION("""COMPUTED_VALUE"""),45699.49166666667)</f>
        <v>45699.49167</v>
      </c>
      <c r="V463" s="211" t="str">
        <f>IFERROR(__xludf.DUMMYFUNCTION("""COMPUTED_VALUE"""),"Jl. Bypass Krian, Sidotemo, Sidomulyo, Kec. Krian, Kabupaten Sidoarjo, Jawa Timur 61262")</f>
        <v>Jl. Bypass Krian, Sidotemo, Sidomulyo, Kec. Krian, Kabupaten Sidoarjo, Jawa Timur 61262</v>
      </c>
      <c r="W463" s="211" t="str">
        <f>IFERROR(__xludf.DUMMYFUNCTION("""COMPUTED_VALUE"""),"IN")</f>
        <v>IN</v>
      </c>
      <c r="X463" s="211"/>
      <c r="Z463" s="211" t="str">
        <f>IFERROR(__xludf.DUMMYFUNCTION("""COMPUTED_VALUE"""),"122532152")</f>
        <v>122532152</v>
      </c>
      <c r="AC463" s="211"/>
      <c r="AD463" s="211"/>
      <c r="AE463" s="211"/>
      <c r="AF463" s="211"/>
      <c r="AG463" s="211"/>
      <c r="AH463" s="211"/>
      <c r="AI463" s="211"/>
      <c r="AJ463" s="211"/>
      <c r="AL463" s="211"/>
      <c r="AM463" s="211"/>
      <c r="AN463" s="211"/>
      <c r="AO463" s="211"/>
      <c r="AP463" s="215"/>
      <c r="AQ463" s="218"/>
      <c r="AR463" s="211"/>
      <c r="AS463" s="211"/>
      <c r="AT463" s="211"/>
      <c r="AU463" s="211"/>
      <c r="AV463" s="211"/>
      <c r="AW463" s="211"/>
      <c r="AX463" s="211"/>
      <c r="AY463" s="211"/>
      <c r="AZ463" s="211"/>
      <c r="BB463" s="211"/>
      <c r="BC463" s="211"/>
      <c r="BD463" s="211"/>
      <c r="BE463" s="211"/>
      <c r="BF463" s="211"/>
      <c r="BG463" s="211"/>
      <c r="BH463" s="211"/>
      <c r="BI463" s="211"/>
    </row>
    <row r="464">
      <c r="A464" s="210" t="str">
        <f>IFERROR(__xludf.DUMMYFUNCTION("""COMPUTED_VALUE"""),"01250200")</f>
        <v>01250200</v>
      </c>
      <c r="B464" s="210" t="str">
        <f>IFERROR(__xludf.DUMMYFUNCTION("""COMPUTED_VALUE"""),"01250200")</f>
        <v>01250200</v>
      </c>
      <c r="C464" s="213">
        <f>IFERROR(__xludf.DUMMYFUNCTION("""COMPUTED_VALUE"""),45663.388194444444)</f>
        <v>45663.38819</v>
      </c>
      <c r="D464" s="211" t="str">
        <f>IFERROR(__xludf.DUMMYFUNCTION("""COMPUTED_VALUE"""),"a9fe1bea")</f>
        <v>a9fe1bea</v>
      </c>
      <c r="E464" s="211" t="str">
        <f>IFERROR(__xludf.DUMMYFUNCTION("""COMPUTED_VALUE"""),"H. Suheiri")</f>
        <v>H. Suheiri</v>
      </c>
      <c r="F464" s="211" t="str">
        <f>IFERROR(__xludf.DUMMYFUNCTION("""COMPUTED_VALUE"""),"8bdbe149")</f>
        <v>8bdbe149</v>
      </c>
      <c r="G464" s="211" t="str">
        <f>IFERROR(__xludf.DUMMYFUNCTION("""COMPUTED_VALUE"""),"Oksigen 6m3")</f>
        <v>Oksigen 6m3</v>
      </c>
      <c r="H464" s="214" t="str">
        <f>IFERROR(__xludf.DUMMYFUNCTION("""COMPUTED_VALUE"""),"OUT")</f>
        <v>OUT</v>
      </c>
      <c r="I464" s="214" t="str">
        <f>IFERROR(__xludf.DUMMYFUNCTION("""COMPUTED_VALUE"""),"NORMAL")</f>
        <v>NORMAL</v>
      </c>
      <c r="J464" s="211">
        <f>IFERROR(__xludf.DUMMYFUNCTION("""COMPUTED_VALUE"""),10.0)</f>
        <v>10</v>
      </c>
      <c r="K464" s="210" t="str">
        <f>IFERROR(__xludf.DUMMYFUNCTION("""COMPUTED_VALUE"""),"204710625091005578458935489111711116711192")</f>
        <v>204710625091005578458935489111711116711192</v>
      </c>
      <c r="L464" s="211">
        <f>IFERROR(__xludf.DUMMYFUNCTION("""COMPUTED_VALUE"""),50000.0)</f>
        <v>50000</v>
      </c>
      <c r="M464" s="211"/>
      <c r="N464" s="211"/>
      <c r="O464" s="211"/>
      <c r="Q464" s="210" t="str">
        <f>IFERROR(__xludf.DUMMYFUNCTION("""COMPUTED_VALUE"""),"748164dd")</f>
        <v>748164dd</v>
      </c>
      <c r="R464" s="210" t="str">
        <f>IFERROR(__xludf.DUMMYFUNCTION("""COMPUTED_VALUE"""),"748164dd")</f>
        <v>748164dd</v>
      </c>
      <c r="S464" s="211" t="str">
        <f>IFERROR(__xludf.DUMMYFUNCTION("""COMPUTED_VALUE"""),"4ec68cf6")</f>
        <v>4ec68cf6</v>
      </c>
      <c r="T464" s="211" t="str">
        <f>IFERROR(__xludf.DUMMYFUNCTION("""COMPUTED_VALUE"""),"CV Sido Mukti Karya")</f>
        <v>CV Sido Mukti Karya</v>
      </c>
      <c r="U464" s="215">
        <f>IFERROR(__xludf.DUMMYFUNCTION("""COMPUTED_VALUE"""),45699.492361111115)</f>
        <v>45699.49236</v>
      </c>
      <c r="V464" s="211" t="str">
        <f>IFERROR(__xludf.DUMMYFUNCTION("""COMPUTED_VALUE"""),"Pergudangan Center Point no A3, Kemangsen")</f>
        <v>Pergudangan Center Point no A3, Kemangsen</v>
      </c>
      <c r="W464" s="211" t="str">
        <f>IFERROR(__xludf.DUMMYFUNCTION("""COMPUTED_VALUE"""),"IN")</f>
        <v>IN</v>
      </c>
      <c r="X464" s="211"/>
      <c r="Z464" s="211" t="str">
        <f>IFERROR(__xludf.DUMMYFUNCTION("""COMPUTED_VALUE"""),"1225122082")</f>
        <v>1225122082</v>
      </c>
      <c r="AC464" s="211"/>
      <c r="AD464" s="211"/>
      <c r="AE464" s="211"/>
      <c r="AF464" s="211"/>
      <c r="AG464" s="211"/>
      <c r="AH464" s="211"/>
      <c r="AI464" s="211"/>
      <c r="AJ464" s="211"/>
      <c r="AL464" s="211"/>
      <c r="AM464" s="211"/>
      <c r="AN464" s="211"/>
      <c r="AO464" s="211"/>
      <c r="AP464" s="215"/>
      <c r="AQ464" s="218"/>
      <c r="AR464" s="211"/>
      <c r="AS464" s="211"/>
      <c r="AT464" s="211"/>
      <c r="AU464" s="211"/>
      <c r="AV464" s="211"/>
      <c r="AW464" s="211"/>
      <c r="AX464" s="211"/>
      <c r="AY464" s="211"/>
      <c r="AZ464" s="211"/>
      <c r="BB464" s="211"/>
      <c r="BC464" s="211"/>
      <c r="BD464" s="211"/>
      <c r="BE464" s="211"/>
      <c r="BF464" s="211"/>
      <c r="BG464" s="211"/>
      <c r="BH464" s="211"/>
      <c r="BI464" s="211"/>
    </row>
    <row r="465">
      <c r="A465" s="210" t="str">
        <f>IFERROR(__xludf.DUMMYFUNCTION("""COMPUTED_VALUE"""),"10240201")</f>
        <v>10240201</v>
      </c>
      <c r="B465" s="210" t="str">
        <f>IFERROR(__xludf.DUMMYFUNCTION("""COMPUTED_VALUE"""),"10240201")</f>
        <v>10240201</v>
      </c>
      <c r="C465" s="213">
        <f>IFERROR(__xludf.DUMMYFUNCTION("""COMPUTED_VALUE"""),45596.518055555556)</f>
        <v>45596.51806</v>
      </c>
      <c r="D465" s="211" t="str">
        <f>IFERROR(__xludf.DUMMYFUNCTION("""COMPUTED_VALUE"""),"#N/A")</f>
        <v>#N/A</v>
      </c>
      <c r="E465" s="211" t="str">
        <f>IFERROR(__xludf.DUMMYFUNCTION("""COMPUTED_VALUE"""),"Abah Sochib")</f>
        <v>Abah Sochib</v>
      </c>
      <c r="F465" s="211" t="str">
        <f>IFERROR(__xludf.DUMMYFUNCTION("""COMPUTED_VALUE"""),"e8544a46")</f>
        <v>e8544a46</v>
      </c>
      <c r="G465" s="211" t="str">
        <f>IFERROR(__xludf.DUMMYFUNCTION("""COMPUTED_VALUE"""),"Oksigen 1m3")</f>
        <v>Oksigen 1m3</v>
      </c>
      <c r="H465" s="214" t="str">
        <f>IFERROR(__xludf.DUMMYFUNCTION("""COMPUTED_VALUE"""),"OUT")</f>
        <v>OUT</v>
      </c>
      <c r="I465" s="214" t="str">
        <f>IFERROR(__xludf.DUMMYFUNCTION("""COMPUTED_VALUE"""),"NORMAL")</f>
        <v>NORMAL</v>
      </c>
      <c r="J465" s="211">
        <f>IFERROR(__xludf.DUMMYFUNCTION("""COMPUTED_VALUE"""),1.0)</f>
        <v>1</v>
      </c>
      <c r="K465" s="211"/>
      <c r="L465" s="211" t="str">
        <f>IFERROR(__xludf.DUMMYFUNCTION("""COMPUTED_VALUE"""),"#N/A")</f>
        <v>#N/A</v>
      </c>
      <c r="M465" s="211"/>
      <c r="N465" s="211"/>
      <c r="O465" s="211"/>
      <c r="Q465" s="210" t="str">
        <f>IFERROR(__xludf.DUMMYFUNCTION("""COMPUTED_VALUE"""),"c068d23f")</f>
        <v>c068d23f</v>
      </c>
      <c r="R465" s="210" t="str">
        <f>IFERROR(__xludf.DUMMYFUNCTION("""COMPUTED_VALUE"""),"c068d23f")</f>
        <v>c068d23f</v>
      </c>
      <c r="S465" s="211" t="str">
        <f>IFERROR(__xludf.DUMMYFUNCTION("""COMPUTED_VALUE"""),"785e0e07")</f>
        <v>785e0e07</v>
      </c>
      <c r="T465" s="211" t="str">
        <f>IFERROR(__xludf.DUMMYFUNCTION("""COMPUTED_VALUE"""),"Bpk. Sukirno (Bejo)")</f>
        <v>Bpk. Sukirno (Bejo)</v>
      </c>
      <c r="U465" s="215">
        <f>IFERROR(__xludf.DUMMYFUNCTION("""COMPUTED_VALUE"""),45699.493055555555)</f>
        <v>45699.49306</v>
      </c>
      <c r="V465" s="211" t="str">
        <f>IFERROR(__xludf.DUMMYFUNCTION("""COMPUTED_VALUE"""),"Krajan I, Wringinanom, Kec. Wringinanom, Kabupaten Gresik, Jawa Timur 61176")</f>
        <v>Krajan I, Wringinanom, Kec. Wringinanom, Kabupaten Gresik, Jawa Timur 61176</v>
      </c>
      <c r="W465" s="211" t="str">
        <f>IFERROR(__xludf.DUMMYFUNCTION("""COMPUTED_VALUE"""),"IN")</f>
        <v>IN</v>
      </c>
      <c r="X465" s="211"/>
      <c r="Z465" s="211" t="str">
        <f>IFERROR(__xludf.DUMMYFUNCTION("""COMPUTED_VALUE"""),"1225402077")</f>
        <v>1225402077</v>
      </c>
      <c r="AC465" s="211"/>
      <c r="AD465" s="211"/>
      <c r="AE465" s="211"/>
      <c r="AF465" s="211"/>
      <c r="AG465" s="211"/>
      <c r="AH465" s="211"/>
      <c r="AI465" s="211"/>
      <c r="AJ465" s="211"/>
      <c r="AL465" s="211"/>
      <c r="AM465" s="211"/>
      <c r="AN465" s="211"/>
      <c r="AO465" s="211"/>
      <c r="AP465" s="215"/>
      <c r="AQ465" s="218"/>
      <c r="AR465" s="211"/>
      <c r="AS465" s="211"/>
      <c r="AT465" s="211"/>
      <c r="AU465" s="211"/>
      <c r="AV465" s="211"/>
      <c r="AW465" s="211"/>
      <c r="AX465" s="211"/>
      <c r="AY465" s="211"/>
      <c r="AZ465" s="211"/>
      <c r="BB465" s="211"/>
      <c r="BC465" s="211"/>
      <c r="BD465" s="211"/>
      <c r="BE465" s="211"/>
      <c r="BF465" s="211"/>
      <c r="BG465" s="211"/>
      <c r="BH465" s="211"/>
      <c r="BI465" s="211"/>
    </row>
    <row r="466">
      <c r="A466" s="210" t="str">
        <f>IFERROR(__xludf.DUMMYFUNCTION("""COMPUTED_VALUE"""),"89d6f7af")</f>
        <v>89d6f7af</v>
      </c>
      <c r="B466" s="210" t="str">
        <f>IFERROR(__xludf.DUMMYFUNCTION("""COMPUTED_VALUE"""),"89d6f7af")</f>
        <v>89d6f7af</v>
      </c>
      <c r="C466" s="213">
        <f>IFERROR(__xludf.DUMMYFUNCTION("""COMPUTED_VALUE"""),45663.55)</f>
        <v>45663.55</v>
      </c>
      <c r="D466" s="211" t="str">
        <f>IFERROR(__xludf.DUMMYFUNCTION("""COMPUTED_VALUE"""),"a9fe1bea")</f>
        <v>a9fe1bea</v>
      </c>
      <c r="E466" s="211" t="str">
        <f>IFERROR(__xludf.DUMMYFUNCTION("""COMPUTED_VALUE"""),"H. Suheiri")</f>
        <v>H. Suheiri</v>
      </c>
      <c r="F466" s="211" t="str">
        <f>IFERROR(__xludf.DUMMYFUNCTION("""COMPUTED_VALUE"""),"8bdbe149")</f>
        <v>8bdbe149</v>
      </c>
      <c r="G466" s="211" t="str">
        <f>IFERROR(__xludf.DUMMYFUNCTION("""COMPUTED_VALUE"""),"Oksigen 6m3")</f>
        <v>Oksigen 6m3</v>
      </c>
      <c r="H466" s="214" t="str">
        <f>IFERROR(__xludf.DUMMYFUNCTION("""COMPUTED_VALUE"""),"IN")</f>
        <v>IN</v>
      </c>
      <c r="I466" s="214" t="str">
        <f>IFERROR(__xludf.DUMMYFUNCTION("""COMPUTED_VALUE"""),"EMPTY")</f>
        <v>EMPTY</v>
      </c>
      <c r="J466" s="211">
        <f>IFERROR(__xludf.DUMMYFUNCTION("""COMPUTED_VALUE"""),22.0)</f>
        <v>22</v>
      </c>
      <c r="K466" s="210" t="str">
        <f>IFERROR(__xludf.DUMMYFUNCTION("""COMPUTED_VALUE"""),"04 5610 006 02 11202 11207 1162 11194 1109 11206 5954 5692 1317 11161 5710 01 5500 1636 11209 5518 11186 1445")</f>
        <v>04 5610 006 02 11202 11207 1162 11194 1109 11206 5954 5692 1317 11161 5710 01 5500 1636 11209 5518 11186 1445</v>
      </c>
      <c r="L466" s="211"/>
      <c r="M466" s="211"/>
      <c r="N466" s="211"/>
      <c r="O466" s="211"/>
      <c r="Q466" s="210" t="str">
        <f>IFERROR(__xludf.DUMMYFUNCTION("""COMPUTED_VALUE"""),"5b243fb0")</f>
        <v>5b243fb0</v>
      </c>
      <c r="R466" s="210" t="str">
        <f>IFERROR(__xludf.DUMMYFUNCTION("""COMPUTED_VALUE"""),"5b243fb0")</f>
        <v>5b243fb0</v>
      </c>
      <c r="S466" s="211" t="str">
        <f>IFERROR(__xludf.DUMMYFUNCTION("""COMPUTED_VALUE"""),"ce83e171")</f>
        <v>ce83e171</v>
      </c>
      <c r="T466" s="211" t="str">
        <f>IFERROR(__xludf.DUMMYFUNCTION("""COMPUTED_VALUE"""),"Bpk. Sulaiman")</f>
        <v>Bpk. Sulaiman</v>
      </c>
      <c r="U466" s="215">
        <f>IFERROR(__xludf.DUMMYFUNCTION("""COMPUTED_VALUE"""),45699.49375)</f>
        <v>45699.49375</v>
      </c>
      <c r="V466" s="211" t="str">
        <f>IFERROR(__xludf.DUMMYFUNCTION("""COMPUTED_VALUE"""),"Jl. Raya Kramat Temenggung No.43, Kramat, Kramat Temenggung, Kec. Tarik, Kabupaten Sidoarjo, Jawa Timur 61265")</f>
        <v>Jl. Raya Kramat Temenggung No.43, Kramat, Kramat Temenggung, Kec. Tarik, Kabupaten Sidoarjo, Jawa Timur 61265</v>
      </c>
      <c r="W466" s="211" t="str">
        <f>IFERROR(__xludf.DUMMYFUNCTION("""COMPUTED_VALUE"""),"IN")</f>
        <v>IN</v>
      </c>
      <c r="X466" s="211"/>
      <c r="Z466" s="211" t="str">
        <f>IFERROR(__xludf.DUMMYFUNCTION("""COMPUTED_VALUE"""),"122552076")</f>
        <v>122552076</v>
      </c>
      <c r="AC466" s="211"/>
      <c r="AD466" s="211"/>
      <c r="AE466" s="211"/>
      <c r="AF466" s="211"/>
      <c r="AG466" s="211"/>
      <c r="AH466" s="211"/>
      <c r="AI466" s="211"/>
      <c r="AJ466" s="211"/>
      <c r="AL466" s="211"/>
      <c r="AM466" s="211"/>
      <c r="AN466" s="211"/>
      <c r="AO466" s="211"/>
      <c r="AP466" s="215"/>
      <c r="AQ466" s="218"/>
      <c r="AR466" s="211"/>
      <c r="AS466" s="211"/>
      <c r="AT466" s="211"/>
      <c r="AU466" s="211"/>
      <c r="AV466" s="211"/>
      <c r="AW466" s="211"/>
      <c r="AX466" s="211"/>
      <c r="AY466" s="211"/>
      <c r="AZ466" s="211"/>
      <c r="BB466" s="211"/>
      <c r="BC466" s="211"/>
      <c r="BD466" s="211"/>
      <c r="BE466" s="211"/>
      <c r="BF466" s="211"/>
      <c r="BG466" s="211"/>
      <c r="BH466" s="211"/>
      <c r="BI466" s="211"/>
    </row>
    <row r="467">
      <c r="A467" s="210" t="str">
        <f>IFERROR(__xludf.DUMMYFUNCTION("""COMPUTED_VALUE"""),"01250202")</f>
        <v>01250202</v>
      </c>
      <c r="B467" s="210" t="str">
        <f>IFERROR(__xludf.DUMMYFUNCTION("""COMPUTED_VALUE"""),"01250202")</f>
        <v>01250202</v>
      </c>
      <c r="C467" s="213">
        <f>IFERROR(__xludf.DUMMYFUNCTION("""COMPUTED_VALUE"""),45664.37152777778)</f>
        <v>45664.37153</v>
      </c>
      <c r="D467" s="211" t="str">
        <f>IFERROR(__xludf.DUMMYFUNCTION("""COMPUTED_VALUE"""),"3fec37df")</f>
        <v>3fec37df</v>
      </c>
      <c r="E467" s="211" t="str">
        <f>IFERROR(__xludf.DUMMYFUNCTION("""COMPUTED_VALUE"""),"PT Jatim Abadi Perkasa Steel")</f>
        <v>PT Jatim Abadi Perkasa Steel</v>
      </c>
      <c r="F467" s="211" t="str">
        <f>IFERROR(__xludf.DUMMYFUNCTION("""COMPUTED_VALUE"""),"b7a8fff1")</f>
        <v>b7a8fff1</v>
      </c>
      <c r="G467" s="211" t="str">
        <f>IFERROR(__xludf.DUMMYFUNCTION("""COMPUTED_VALUE"""),"LPG 50kg")</f>
        <v>LPG 50kg</v>
      </c>
      <c r="H467" s="214" t="str">
        <f>IFERROR(__xludf.DUMMYFUNCTION("""COMPUTED_VALUE"""),"OUT")</f>
        <v>OUT</v>
      </c>
      <c r="I467" s="214" t="str">
        <f>IFERROR(__xludf.DUMMYFUNCTION("""COMPUTED_VALUE"""),"NORMAL")</f>
        <v>NORMAL</v>
      </c>
      <c r="J467" s="211">
        <f>IFERROR(__xludf.DUMMYFUNCTION("""COMPUTED_VALUE"""),5.0)</f>
        <v>5</v>
      </c>
      <c r="K467" s="211"/>
      <c r="L467" s="211">
        <f>IFERROR(__xludf.DUMMYFUNCTION("""COMPUTED_VALUE"""),900900.9009)</f>
        <v>900900.9009</v>
      </c>
      <c r="M467" s="211"/>
      <c r="N467" s="211"/>
      <c r="O467" s="211"/>
      <c r="Q467" s="210" t="str">
        <f>IFERROR(__xludf.DUMMYFUNCTION("""COMPUTED_VALUE"""),"425f363e")</f>
        <v>425f363e</v>
      </c>
      <c r="R467" s="210" t="str">
        <f>IFERROR(__xludf.DUMMYFUNCTION("""COMPUTED_VALUE"""),"425f363e")</f>
        <v>425f363e</v>
      </c>
      <c r="S467" s="211" t="str">
        <f>IFERROR(__xludf.DUMMYFUNCTION("""COMPUTED_VALUE"""),"01158be1")</f>
        <v>01158be1</v>
      </c>
      <c r="T467" s="211" t="str">
        <f>IFERROR(__xludf.DUMMYFUNCTION("""COMPUTED_VALUE"""),"GYF")</f>
        <v>GYF</v>
      </c>
      <c r="U467" s="215">
        <f>IFERROR(__xludf.DUMMYFUNCTION("""COMPUTED_VALUE"""),45699.49444444444)</f>
        <v>45699.49444</v>
      </c>
      <c r="V467" s="211" t="str">
        <f>IFERROR(__xludf.DUMMYFUNCTION("""COMPUTED_VALUE"""),"Kangkungan, Lengkong, Kec. Mojoanyar, Kabupaten Mojokerto, Jawa Timur")</f>
        <v>Kangkungan, Lengkong, Kec. Mojoanyar, Kabupaten Mojokerto, Jawa Timur</v>
      </c>
      <c r="W467" s="211" t="str">
        <f>IFERROR(__xludf.DUMMYFUNCTION("""COMPUTED_VALUE"""),"IN")</f>
        <v>IN</v>
      </c>
      <c r="X467" s="211"/>
      <c r="Z467" s="211" t="str">
        <f>IFERROR(__xludf.DUMMYFUNCTION("""COMPUTED_VALUE"""),"1225602075")</f>
        <v>1225602075</v>
      </c>
      <c r="AC467" s="211"/>
      <c r="AD467" s="211"/>
      <c r="AE467" s="211"/>
      <c r="AF467" s="211"/>
      <c r="AG467" s="211"/>
      <c r="AH467" s="211"/>
      <c r="AI467" s="211"/>
      <c r="AJ467" s="211"/>
      <c r="AL467" s="211"/>
      <c r="AM467" s="211"/>
      <c r="AN467" s="211"/>
      <c r="AO467" s="211"/>
      <c r="AP467" s="215"/>
      <c r="AQ467" s="218"/>
      <c r="AR467" s="211"/>
      <c r="AS467" s="211"/>
      <c r="AT467" s="211"/>
      <c r="AU467" s="211"/>
      <c r="AV467" s="211"/>
      <c r="AW467" s="211"/>
      <c r="AX467" s="211"/>
      <c r="AY467" s="211"/>
      <c r="AZ467" s="211"/>
      <c r="BB467" s="211"/>
      <c r="BC467" s="211"/>
      <c r="BD467" s="211"/>
      <c r="BE467" s="211"/>
      <c r="BF467" s="211"/>
      <c r="BG467" s="211"/>
      <c r="BH467" s="211"/>
      <c r="BI467" s="211"/>
    </row>
    <row r="468">
      <c r="A468" s="210" t="str">
        <f>IFERROR(__xludf.DUMMYFUNCTION("""COMPUTED_VALUE"""),"30bcd5d5")</f>
        <v>30bcd5d5</v>
      </c>
      <c r="B468" s="210" t="str">
        <f>IFERROR(__xludf.DUMMYFUNCTION("""COMPUTED_VALUE"""),"30bcd5d5")</f>
        <v>30bcd5d5</v>
      </c>
      <c r="C468" s="213">
        <f>IFERROR(__xludf.DUMMYFUNCTION("""COMPUTED_VALUE"""),45664.68472222222)</f>
        <v>45664.68472</v>
      </c>
      <c r="D468" s="211" t="str">
        <f>IFERROR(__xludf.DUMMYFUNCTION("""COMPUTED_VALUE"""),"3fec37df")</f>
        <v>3fec37df</v>
      </c>
      <c r="E468" s="211" t="str">
        <f>IFERROR(__xludf.DUMMYFUNCTION("""COMPUTED_VALUE"""),"PT Jatim Abadi Perkasa Steel")</f>
        <v>PT Jatim Abadi Perkasa Steel</v>
      </c>
      <c r="F468" s="211" t="str">
        <f>IFERROR(__xludf.DUMMYFUNCTION("""COMPUTED_VALUE"""),"ef306e54")</f>
        <v>ef306e54</v>
      </c>
      <c r="G468" s="211" t="str">
        <f>IFERROR(__xludf.DUMMYFUNCTION("""COMPUTED_VALUE"""),"Karbondioksida")</f>
        <v>Karbondioksida</v>
      </c>
      <c r="H468" s="214" t="str">
        <f>IFERROR(__xludf.DUMMYFUNCTION("""COMPUTED_VALUE"""),"IN")</f>
        <v>IN</v>
      </c>
      <c r="I468" s="214" t="str">
        <f>IFERROR(__xludf.DUMMYFUNCTION("""COMPUTED_VALUE"""),"EMPTY")</f>
        <v>EMPTY</v>
      </c>
      <c r="J468" s="211">
        <f>IFERROR(__xludf.DUMMYFUNCTION("""COMPUTED_VALUE"""),2.0)</f>
        <v>2</v>
      </c>
      <c r="K468" s="210" t="str">
        <f>IFERROR(__xludf.DUMMYFUNCTION("""COMPUTED_VALUE"""),"6629 6956")</f>
        <v>6629 6956</v>
      </c>
      <c r="L468" s="211"/>
      <c r="M468" s="211"/>
      <c r="N468" s="211"/>
      <c r="O468" s="211"/>
      <c r="Q468" s="210" t="str">
        <f>IFERROR(__xludf.DUMMYFUNCTION("""COMPUTED_VALUE"""),"31eb9b83")</f>
        <v>31eb9b83</v>
      </c>
      <c r="R468" s="210" t="str">
        <f>IFERROR(__xludf.DUMMYFUNCTION("""COMPUTED_VALUE"""),"31eb9b83")</f>
        <v>31eb9b83</v>
      </c>
      <c r="S468" s="211" t="str">
        <f>IFERROR(__xludf.DUMMYFUNCTION("""COMPUTED_VALUE"""),"e968afef")</f>
        <v>e968afef</v>
      </c>
      <c r="T468" s="211" t="str">
        <f>IFERROR(__xludf.DUMMYFUNCTION("""COMPUTED_VALUE"""),"Bpk. Agus")</f>
        <v>Bpk. Agus</v>
      </c>
      <c r="U468" s="215">
        <f>IFERROR(__xludf.DUMMYFUNCTION("""COMPUTED_VALUE"""),45700.64236111111)</f>
        <v>45700.64236</v>
      </c>
      <c r="V468" s="211" t="str">
        <f>IFERROR(__xludf.DUMMYFUNCTION("""COMPUTED_VALUE"""),"Jl. Parengan 13, Semawut, Balongbendo, Kec. BalongBendo, Kabupaten Sidoarjo, Jawa Timur 61263")</f>
        <v>Jl. Parengan 13, Semawut, Balongbendo, Kec. BalongBendo, Kabupaten Sidoarjo, Jawa Timur 61263</v>
      </c>
      <c r="W468" s="211" t="str">
        <f>IFERROR(__xludf.DUMMYFUNCTION("""COMPUTED_VALUE"""),"IN")</f>
        <v>IN</v>
      </c>
      <c r="X468" s="211"/>
      <c r="Z468" s="211" t="str">
        <f>IFERROR(__xludf.DUMMYFUNCTION("""COMPUTED_VALUE"""),"1225742073")</f>
        <v>1225742073</v>
      </c>
      <c r="AC468" s="211"/>
      <c r="AD468" s="211"/>
      <c r="AE468" s="211"/>
      <c r="AF468" s="211"/>
      <c r="AG468" s="211"/>
      <c r="AH468" s="211"/>
      <c r="AI468" s="211"/>
      <c r="AJ468" s="211"/>
      <c r="AL468" s="211"/>
      <c r="AM468" s="211"/>
      <c r="AN468" s="211"/>
      <c r="AO468" s="211"/>
      <c r="AP468" s="215"/>
      <c r="AQ468" s="218"/>
      <c r="AR468" s="211"/>
      <c r="AS468" s="211"/>
      <c r="AT468" s="211"/>
      <c r="AU468" s="211"/>
      <c r="AV468" s="211"/>
      <c r="AW468" s="211"/>
      <c r="AX468" s="211"/>
      <c r="AY468" s="211"/>
      <c r="AZ468" s="211"/>
      <c r="BB468" s="211"/>
      <c r="BC468" s="211"/>
      <c r="BD468" s="211"/>
      <c r="BE468" s="211"/>
      <c r="BF468" s="211"/>
      <c r="BG468" s="211"/>
      <c r="BH468" s="211"/>
      <c r="BI468" s="211"/>
    </row>
    <row r="469">
      <c r="A469" s="210" t="str">
        <f>IFERROR(__xludf.DUMMYFUNCTION("""COMPUTED_VALUE"""),"30bcd5d5")</f>
        <v>30bcd5d5</v>
      </c>
      <c r="B469" s="210" t="str">
        <f>IFERROR(__xludf.DUMMYFUNCTION("""COMPUTED_VALUE"""),"30bcd5d5")</f>
        <v>30bcd5d5</v>
      </c>
      <c r="C469" s="213">
        <f>IFERROR(__xludf.DUMMYFUNCTION("""COMPUTED_VALUE"""),45664.68541666667)</f>
        <v>45664.68542</v>
      </c>
      <c r="D469" s="211" t="str">
        <f>IFERROR(__xludf.DUMMYFUNCTION("""COMPUTED_VALUE"""),"3fec37df")</f>
        <v>3fec37df</v>
      </c>
      <c r="E469" s="211" t="str">
        <f>IFERROR(__xludf.DUMMYFUNCTION("""COMPUTED_VALUE"""),"PT Jatim Abadi Perkasa Steel")</f>
        <v>PT Jatim Abadi Perkasa Steel</v>
      </c>
      <c r="F469" s="211" t="str">
        <f>IFERROR(__xludf.DUMMYFUNCTION("""COMPUTED_VALUE"""),"b7a8fff1")</f>
        <v>b7a8fff1</v>
      </c>
      <c r="G469" s="211" t="str">
        <f>IFERROR(__xludf.DUMMYFUNCTION("""COMPUTED_VALUE"""),"LPG 50kg")</f>
        <v>LPG 50kg</v>
      </c>
      <c r="H469" s="214" t="str">
        <f>IFERROR(__xludf.DUMMYFUNCTION("""COMPUTED_VALUE"""),"IN")</f>
        <v>IN</v>
      </c>
      <c r="I469" s="214" t="str">
        <f>IFERROR(__xludf.DUMMYFUNCTION("""COMPUTED_VALUE"""),"EMPTY")</f>
        <v>EMPTY</v>
      </c>
      <c r="J469" s="211">
        <f>IFERROR(__xludf.DUMMYFUNCTION("""COMPUTED_VALUE"""),5.0)</f>
        <v>5</v>
      </c>
      <c r="K469" s="211"/>
      <c r="L469" s="211"/>
      <c r="M469" s="211"/>
      <c r="N469" s="211"/>
      <c r="O469" s="211"/>
      <c r="Q469" s="210" t="str">
        <f>IFERROR(__xludf.DUMMYFUNCTION("""COMPUTED_VALUE"""),"aceba60f")</f>
        <v>aceba60f</v>
      </c>
      <c r="R469" s="210" t="str">
        <f>IFERROR(__xludf.DUMMYFUNCTION("""COMPUTED_VALUE"""),"aceba60f")</f>
        <v>aceba60f</v>
      </c>
      <c r="S469" s="211" t="str">
        <f>IFERROR(__xludf.DUMMYFUNCTION("""COMPUTED_VALUE"""),"37175874")</f>
        <v>37175874</v>
      </c>
      <c r="T469" s="211" t="str">
        <f>IFERROR(__xludf.DUMMYFUNCTION("""COMPUTED_VALUE"""),"PT TERAPAN NILAIOSILASI INDONESIA (TENO)")</f>
        <v>PT TERAPAN NILAIOSILASI INDONESIA (TENO)</v>
      </c>
      <c r="U469" s="215">
        <f>IFERROR(__xludf.DUMMYFUNCTION("""COMPUTED_VALUE"""),45700.64236111111)</f>
        <v>45700.64236</v>
      </c>
      <c r="V469" s="211" t="str">
        <f>IFERROR(__xludf.DUMMYFUNCTION("""COMPUTED_VALUE"""),"JL Raya Kertajaya Indah 153 / P116, Gebang Putih, Sukokilo, Kota Surabaya, Jawa Timur")</f>
        <v>JL Raya Kertajaya Indah 153 / P116, Gebang Putih, Sukokilo, Kota Surabaya, Jawa Timur</v>
      </c>
      <c r="W469" s="211" t="str">
        <f>IFERROR(__xludf.DUMMYFUNCTION("""COMPUTED_VALUE"""),"IN")</f>
        <v>IN</v>
      </c>
      <c r="X469" s="211"/>
      <c r="Z469" s="211" t="str">
        <f>IFERROR(__xludf.DUMMYFUNCTION("""COMPUTED_VALUE"""),"1225592068")</f>
        <v>1225592068</v>
      </c>
      <c r="AC469" s="211"/>
      <c r="AD469" s="211"/>
      <c r="AE469" s="211"/>
      <c r="AF469" s="211"/>
      <c r="AG469" s="211"/>
      <c r="AH469" s="211"/>
      <c r="AI469" s="211"/>
      <c r="AJ469" s="211"/>
      <c r="AL469" s="211"/>
      <c r="AM469" s="211"/>
      <c r="AN469" s="211"/>
      <c r="AO469" s="211"/>
      <c r="AP469" s="215"/>
      <c r="AQ469" s="218"/>
      <c r="AR469" s="211"/>
      <c r="AS469" s="211"/>
      <c r="AT469" s="211"/>
      <c r="AU469" s="211"/>
      <c r="AV469" s="211"/>
      <c r="AW469" s="211"/>
      <c r="AX469" s="211"/>
      <c r="AY469" s="211"/>
      <c r="AZ469" s="211"/>
      <c r="BB469" s="211"/>
      <c r="BC469" s="211"/>
      <c r="BD469" s="211"/>
      <c r="BE469" s="211"/>
      <c r="BF469" s="211"/>
      <c r="BG469" s="211"/>
      <c r="BH469" s="211"/>
      <c r="BI469" s="211"/>
    </row>
    <row r="470">
      <c r="A470" s="210" t="str">
        <f>IFERROR(__xludf.DUMMYFUNCTION("""COMPUTED_VALUE"""),"1f3a2795")</f>
        <v>1f3a2795</v>
      </c>
      <c r="B470" s="210" t="str">
        <f>IFERROR(__xludf.DUMMYFUNCTION("""COMPUTED_VALUE"""),"1f3a2795")</f>
        <v>1f3a2795</v>
      </c>
      <c r="C470" s="213">
        <f>IFERROR(__xludf.DUMMYFUNCTION("""COMPUTED_VALUE"""),45664.686111111114)</f>
        <v>45664.68611</v>
      </c>
      <c r="D470" s="211" t="str">
        <f>IFERROR(__xludf.DUMMYFUNCTION("""COMPUTED_VALUE"""),"37175874")</f>
        <v>37175874</v>
      </c>
      <c r="E470" s="211" t="str">
        <f>IFERROR(__xludf.DUMMYFUNCTION("""COMPUTED_VALUE"""),"PT TERAPAN NILAIOSILASI INDONESIA (TENO)")</f>
        <v>PT TERAPAN NILAIOSILASI INDONESIA (TENO)</v>
      </c>
      <c r="F470" s="211" t="str">
        <f>IFERROR(__xludf.DUMMYFUNCTION("""COMPUTED_VALUE"""),"8bdbe149")</f>
        <v>8bdbe149</v>
      </c>
      <c r="G470" s="211" t="str">
        <f>IFERROR(__xludf.DUMMYFUNCTION("""COMPUTED_VALUE"""),"Oksigen 6m3")</f>
        <v>Oksigen 6m3</v>
      </c>
      <c r="H470" s="214" t="str">
        <f>IFERROR(__xludf.DUMMYFUNCTION("""COMPUTED_VALUE"""),"IN")</f>
        <v>IN</v>
      </c>
      <c r="I470" s="214" t="str">
        <f>IFERROR(__xludf.DUMMYFUNCTION("""COMPUTED_VALUE"""),"EMPTY")</f>
        <v>EMPTY</v>
      </c>
      <c r="J470" s="211">
        <f>IFERROR(__xludf.DUMMYFUNCTION("""COMPUTED_VALUE"""),8.0)</f>
        <v>8</v>
      </c>
      <c r="K470" s="210" t="str">
        <f>IFERROR(__xludf.DUMMYFUNCTION("""COMPUTED_VALUE"""),"11160 11170 11144 11135 11143 11140 11195 11172")</f>
        <v>11160 11170 11144 11135 11143 11140 11195 11172</v>
      </c>
      <c r="L470" s="211"/>
      <c r="M470" s="211"/>
      <c r="N470" s="211"/>
      <c r="O470" s="211"/>
      <c r="Q470" s="210" t="str">
        <f>IFERROR(__xludf.DUMMYFUNCTION("""COMPUTED_VALUE"""),"e02298ad")</f>
        <v>e02298ad</v>
      </c>
      <c r="R470" s="210" t="str">
        <f>IFERROR(__xludf.DUMMYFUNCTION("""COMPUTED_VALUE"""),"e02298ad")</f>
        <v>e02298ad</v>
      </c>
      <c r="S470" s="211" t="str">
        <f>IFERROR(__xludf.DUMMYFUNCTION("""COMPUTED_VALUE"""),"785e0e07")</f>
        <v>785e0e07</v>
      </c>
      <c r="T470" s="211" t="str">
        <f>IFERROR(__xludf.DUMMYFUNCTION("""COMPUTED_VALUE"""),"Bpk. Sukirno (Bejo)")</f>
        <v>Bpk. Sukirno (Bejo)</v>
      </c>
      <c r="U470" s="215">
        <f>IFERROR(__xludf.DUMMYFUNCTION("""COMPUTED_VALUE"""),45700.643055555556)</f>
        <v>45700.64306</v>
      </c>
      <c r="V470" s="211" t="str">
        <f>IFERROR(__xludf.DUMMYFUNCTION("""COMPUTED_VALUE"""),"Krajan I, Wringinanom, Kec. Wringinanom, Kabupaten Gresik, Jawa Timur 61176")</f>
        <v>Krajan I, Wringinanom, Kec. Wringinanom, Kabupaten Gresik, Jawa Timur 61176</v>
      </c>
      <c r="W470" s="211" t="str">
        <f>IFERROR(__xludf.DUMMYFUNCTION("""COMPUTED_VALUE"""),"IN")</f>
        <v>IN</v>
      </c>
      <c r="X470" s="211"/>
      <c r="Z470" s="211" t="str">
        <f>IFERROR(__xludf.DUMMYFUNCTION("""COMPUTED_VALUE"""),"122572067")</f>
        <v>122572067</v>
      </c>
      <c r="AC470" s="211"/>
      <c r="AD470" s="211"/>
      <c r="AE470" s="211"/>
      <c r="AF470" s="211"/>
      <c r="AG470" s="211"/>
      <c r="AH470" s="211"/>
      <c r="AI470" s="211"/>
      <c r="AJ470" s="211"/>
      <c r="AL470" s="211"/>
      <c r="AM470" s="211"/>
      <c r="AN470" s="211"/>
      <c r="AO470" s="211"/>
      <c r="AP470" s="215"/>
      <c r="AQ470" s="218"/>
      <c r="AR470" s="211"/>
      <c r="AS470" s="211"/>
      <c r="AT470" s="211"/>
      <c r="AU470" s="211"/>
      <c r="AV470" s="211"/>
      <c r="AW470" s="211"/>
      <c r="AX470" s="211"/>
      <c r="AY470" s="211"/>
      <c r="AZ470" s="211"/>
      <c r="BB470" s="211"/>
      <c r="BC470" s="211"/>
      <c r="BD470" s="211"/>
      <c r="BE470" s="211"/>
      <c r="BF470" s="211"/>
      <c r="BG470" s="211"/>
      <c r="BH470" s="211"/>
      <c r="BI470" s="211"/>
    </row>
    <row r="471">
      <c r="A471" s="210" t="str">
        <f>IFERROR(__xludf.DUMMYFUNCTION("""COMPUTED_VALUE"""),"1f3a2795")</f>
        <v>1f3a2795</v>
      </c>
      <c r="B471" s="210" t="str">
        <f>IFERROR(__xludf.DUMMYFUNCTION("""COMPUTED_VALUE"""),"1f3a2795")</f>
        <v>1f3a2795</v>
      </c>
      <c r="C471" s="213">
        <f>IFERROR(__xludf.DUMMYFUNCTION("""COMPUTED_VALUE"""),45664.68680555555)</f>
        <v>45664.68681</v>
      </c>
      <c r="D471" s="211" t="str">
        <f>IFERROR(__xludf.DUMMYFUNCTION("""COMPUTED_VALUE"""),"37175874")</f>
        <v>37175874</v>
      </c>
      <c r="E471" s="211" t="str">
        <f>IFERROR(__xludf.DUMMYFUNCTION("""COMPUTED_VALUE"""),"PT TERAPAN NILAIOSILASI INDONESIA (TENO)")</f>
        <v>PT TERAPAN NILAIOSILASI INDONESIA (TENO)</v>
      </c>
      <c r="F471" s="211" t="str">
        <f>IFERROR(__xludf.DUMMYFUNCTION("""COMPUTED_VALUE"""),"3b9d6a30")</f>
        <v>3b9d6a30</v>
      </c>
      <c r="G471" s="211" t="str">
        <f>IFERROR(__xludf.DUMMYFUNCTION("""COMPUTED_VALUE"""),"Acetyline")</f>
        <v>Acetyline</v>
      </c>
      <c r="H471" s="214" t="str">
        <f>IFERROR(__xludf.DUMMYFUNCTION("""COMPUTED_VALUE"""),"IN")</f>
        <v>IN</v>
      </c>
      <c r="I471" s="214" t="str">
        <f>IFERROR(__xludf.DUMMYFUNCTION("""COMPUTED_VALUE"""),"EMPTY")</f>
        <v>EMPTY</v>
      </c>
      <c r="J471" s="211">
        <f>IFERROR(__xludf.DUMMYFUNCTION("""COMPUTED_VALUE"""),1.0)</f>
        <v>1</v>
      </c>
      <c r="K471" s="210" t="str">
        <f>IFERROR(__xludf.DUMMYFUNCTION("""COMPUTED_VALUE"""),"7989")</f>
        <v>7989</v>
      </c>
      <c r="L471" s="211"/>
      <c r="M471" s="211"/>
      <c r="N471" s="211"/>
      <c r="O471" s="211"/>
      <c r="Q471" s="210" t="str">
        <f>IFERROR(__xludf.DUMMYFUNCTION("""COMPUTED_VALUE"""),"02250260")</f>
        <v>02250260</v>
      </c>
      <c r="R471" s="210" t="str">
        <f>IFERROR(__xludf.DUMMYFUNCTION("""COMPUTED_VALUE"""),"02250260")</f>
        <v>02250260</v>
      </c>
      <c r="S471" s="211" t="str">
        <f>IFERROR(__xludf.DUMMYFUNCTION("""COMPUTED_VALUE"""),"01158be1")</f>
        <v>01158be1</v>
      </c>
      <c r="T471" s="211" t="str">
        <f>IFERROR(__xludf.DUMMYFUNCTION("""COMPUTED_VALUE"""),"GYF")</f>
        <v>GYF</v>
      </c>
      <c r="U471" s="215">
        <f>IFERROR(__xludf.DUMMYFUNCTION("""COMPUTED_VALUE"""),45701.441666666666)</f>
        <v>45701.44167</v>
      </c>
      <c r="V471" s="211" t="str">
        <f>IFERROR(__xludf.DUMMYFUNCTION("""COMPUTED_VALUE"""),"Kangkungan, Lengkong, Kec. Mojoanyar, Kabupaten Mojokerto, Jawa Timur")</f>
        <v>Kangkungan, Lengkong, Kec. Mojoanyar, Kabupaten Mojokerto, Jawa Timur</v>
      </c>
      <c r="W471" s="211" t="str">
        <f>IFERROR(__xludf.DUMMYFUNCTION("""COMPUTED_VALUE"""),"OUT")</f>
        <v>OUT</v>
      </c>
      <c r="X471" s="211"/>
      <c r="Z471" s="211" t="str">
        <f>IFERROR(__xludf.DUMMYFUNCTION("""COMPUTED_VALUE"""),"122592066")</f>
        <v>122592066</v>
      </c>
      <c r="AC471" s="211"/>
      <c r="AD471" s="211"/>
      <c r="AE471" s="211"/>
      <c r="AF471" s="211"/>
      <c r="AG471" s="211"/>
      <c r="AH471" s="211"/>
      <c r="AI471" s="211"/>
      <c r="AJ471" s="211"/>
      <c r="AL471" s="211"/>
      <c r="AM471" s="211"/>
      <c r="AN471" s="211"/>
      <c r="AO471" s="211"/>
      <c r="AP471" s="215"/>
      <c r="AQ471" s="218"/>
      <c r="AR471" s="211"/>
      <c r="AS471" s="211"/>
      <c r="AT471" s="211"/>
      <c r="AU471" s="211"/>
      <c r="AV471" s="211"/>
      <c r="AW471" s="211"/>
      <c r="AX471" s="211"/>
      <c r="AY471" s="211"/>
      <c r="AZ471" s="211"/>
      <c r="BB471" s="211"/>
      <c r="BC471" s="211"/>
      <c r="BD471" s="211"/>
      <c r="BE471" s="211"/>
      <c r="BF471" s="211"/>
      <c r="BG471" s="211"/>
      <c r="BH471" s="211"/>
      <c r="BI471" s="211"/>
    </row>
    <row r="472">
      <c r="A472" s="210" t="str">
        <f>IFERROR(__xludf.DUMMYFUNCTION("""COMPUTED_VALUE"""),"01250203")</f>
        <v>01250203</v>
      </c>
      <c r="B472" s="210" t="str">
        <f>IFERROR(__xludf.DUMMYFUNCTION("""COMPUTED_VALUE"""),"01250203")</f>
        <v>01250203</v>
      </c>
      <c r="C472" s="213">
        <f>IFERROR(__xludf.DUMMYFUNCTION("""COMPUTED_VALUE"""),45666.375)</f>
        <v>45666.375</v>
      </c>
      <c r="D472" s="211" t="str">
        <f>IFERROR(__xludf.DUMMYFUNCTION("""COMPUTED_VALUE"""),"7e28b0bb")</f>
        <v>7e28b0bb</v>
      </c>
      <c r="E472" s="211" t="str">
        <f>IFERROR(__xludf.DUMMYFUNCTION("""COMPUTED_VALUE"""),"PT Surya Langit Biru")</f>
        <v>PT Surya Langit Biru</v>
      </c>
      <c r="F472" s="211" t="str">
        <f>IFERROR(__xludf.DUMMYFUNCTION("""COMPUTED_VALUE"""),"8bdbe149")</f>
        <v>8bdbe149</v>
      </c>
      <c r="G472" s="211" t="str">
        <f>IFERROR(__xludf.DUMMYFUNCTION("""COMPUTED_VALUE"""),"Oksigen 6m3")</f>
        <v>Oksigen 6m3</v>
      </c>
      <c r="H472" s="214" t="str">
        <f>IFERROR(__xludf.DUMMYFUNCTION("""COMPUTED_VALUE"""),"OUT")</f>
        <v>OUT</v>
      </c>
      <c r="I472" s="214" t="str">
        <f>IFERROR(__xludf.DUMMYFUNCTION("""COMPUTED_VALUE"""),"NORMAL")</f>
        <v>NORMAL</v>
      </c>
      <c r="J472" s="211">
        <f>IFERROR(__xludf.DUMMYFUNCTION("""COMPUTED_VALUE"""),3.0)</f>
        <v>3</v>
      </c>
      <c r="K472" s="210" t="str">
        <f>IFERROR(__xludf.DUMMYFUNCTION("""COMPUTED_VALUE"""),"11170 11160 11140")</f>
        <v>11170 11160 11140</v>
      </c>
      <c r="L472" s="211">
        <f>IFERROR(__xludf.DUMMYFUNCTION("""COMPUTED_VALUE"""),60000.0)</f>
        <v>60000</v>
      </c>
      <c r="M472" s="211"/>
      <c r="N472" s="211"/>
      <c r="O472" s="211"/>
      <c r="Q472" s="210" t="str">
        <f>IFERROR(__xludf.DUMMYFUNCTION("""COMPUTED_VALUE"""),"936516cb")</f>
        <v>936516cb</v>
      </c>
      <c r="R472" s="210" t="str">
        <f>IFERROR(__xludf.DUMMYFUNCTION("""COMPUTED_VALUE"""),"936516cb")</f>
        <v>936516cb</v>
      </c>
      <c r="S472" s="211" t="str">
        <f>IFERROR(__xludf.DUMMYFUNCTION("""COMPUTED_VALUE"""),"785e0e07")</f>
        <v>785e0e07</v>
      </c>
      <c r="T472" s="211" t="str">
        <f>IFERROR(__xludf.DUMMYFUNCTION("""COMPUTED_VALUE"""),"Bpk. Sukirno (Bejo)")</f>
        <v>Bpk. Sukirno (Bejo)</v>
      </c>
      <c r="U472" s="215">
        <f>IFERROR(__xludf.DUMMYFUNCTION("""COMPUTED_VALUE"""),45701.62430555555)</f>
        <v>45701.62431</v>
      </c>
      <c r="V472" s="211" t="str">
        <f>IFERROR(__xludf.DUMMYFUNCTION("""COMPUTED_VALUE"""),"Krajan I, Wringinanom, Kec. Wringinanom, Kabupaten Gresik, Jawa Timur 61176")</f>
        <v>Krajan I, Wringinanom, Kec. Wringinanom, Kabupaten Gresik, Jawa Timur 61176</v>
      </c>
      <c r="W472" s="211" t="str">
        <f>IFERROR(__xludf.DUMMYFUNCTION("""COMPUTED_VALUE"""),"IN")</f>
        <v>IN</v>
      </c>
      <c r="X472" s="211"/>
      <c r="Z472" s="211" t="str">
        <f>IFERROR(__xludf.DUMMYFUNCTION("""COMPUTED_VALUE"""),"122582061")</f>
        <v>122582061</v>
      </c>
      <c r="AC472" s="211"/>
      <c r="AD472" s="211"/>
      <c r="AE472" s="211"/>
      <c r="AF472" s="211"/>
      <c r="AG472" s="211"/>
      <c r="AH472" s="211"/>
      <c r="AI472" s="211"/>
      <c r="AJ472" s="211"/>
      <c r="AL472" s="211"/>
      <c r="AM472" s="211"/>
      <c r="AN472" s="211"/>
      <c r="AO472" s="211"/>
      <c r="AP472" s="215"/>
      <c r="AQ472" s="218"/>
      <c r="AR472" s="211"/>
      <c r="AS472" s="211"/>
      <c r="AT472" s="211"/>
      <c r="AU472" s="211"/>
      <c r="AV472" s="211"/>
      <c r="AW472" s="211"/>
      <c r="AX472" s="211"/>
      <c r="AY472" s="211"/>
      <c r="AZ472" s="211"/>
      <c r="BB472" s="211"/>
      <c r="BC472" s="211"/>
      <c r="BD472" s="211"/>
      <c r="BE472" s="211"/>
      <c r="BF472" s="211"/>
      <c r="BG472" s="211"/>
      <c r="BH472" s="211"/>
      <c r="BI472" s="211"/>
    </row>
    <row r="473">
      <c r="A473" s="210" t="str">
        <f>IFERROR(__xludf.DUMMYFUNCTION("""COMPUTED_VALUE"""),"01250204")</f>
        <v>01250204</v>
      </c>
      <c r="B473" s="210" t="str">
        <f>IFERROR(__xludf.DUMMYFUNCTION("""COMPUTED_VALUE"""),"01250204")</f>
        <v>01250204</v>
      </c>
      <c r="C473" s="213">
        <f>IFERROR(__xludf.DUMMYFUNCTION("""COMPUTED_VALUE"""),45666.51111111111)</f>
        <v>45666.51111</v>
      </c>
      <c r="D473" s="211" t="str">
        <f>IFERROR(__xludf.DUMMYFUNCTION("""COMPUTED_VALUE"""),"4ec68cf6")</f>
        <v>4ec68cf6</v>
      </c>
      <c r="E473" s="211" t="str">
        <f>IFERROR(__xludf.DUMMYFUNCTION("""COMPUTED_VALUE"""),"CV Sido Mukti Karya")</f>
        <v>CV Sido Mukti Karya</v>
      </c>
      <c r="F473" s="211" t="str">
        <f>IFERROR(__xludf.DUMMYFUNCTION("""COMPUTED_VALUE"""),"ef306e54")</f>
        <v>ef306e54</v>
      </c>
      <c r="G473" s="211" t="str">
        <f>IFERROR(__xludf.DUMMYFUNCTION("""COMPUTED_VALUE"""),"Karbondioksida")</f>
        <v>Karbondioksida</v>
      </c>
      <c r="H473" s="214" t="str">
        <f>IFERROR(__xludf.DUMMYFUNCTION("""COMPUTED_VALUE"""),"OUT")</f>
        <v>OUT</v>
      </c>
      <c r="I473" s="214" t="str">
        <f>IFERROR(__xludf.DUMMYFUNCTION("""COMPUTED_VALUE"""),"NORMAL")</f>
        <v>NORMAL</v>
      </c>
      <c r="J473" s="211">
        <f>IFERROR(__xludf.DUMMYFUNCTION("""COMPUTED_VALUE"""),2.0)</f>
        <v>2</v>
      </c>
      <c r="K473" s="210" t="str">
        <f>IFERROR(__xludf.DUMMYFUNCTION("""COMPUTED_VALUE"""),"6643 6648")</f>
        <v>6643 6648</v>
      </c>
      <c r="L473" s="211">
        <f>IFERROR(__xludf.DUMMYFUNCTION("""COMPUTED_VALUE"""),170000.0)</f>
        <v>170000</v>
      </c>
      <c r="M473" s="211"/>
      <c r="N473" s="211"/>
      <c r="O473" s="211"/>
      <c r="Q473" s="210" t="str">
        <f>IFERROR(__xludf.DUMMYFUNCTION("""COMPUTED_VALUE"""),"d3d65567")</f>
        <v>d3d65567</v>
      </c>
      <c r="R473" s="210" t="str">
        <f>IFERROR(__xludf.DUMMYFUNCTION("""COMPUTED_VALUE"""),"d3d65567")</f>
        <v>d3d65567</v>
      </c>
      <c r="S473" s="211" t="str">
        <f>IFERROR(__xludf.DUMMYFUNCTION("""COMPUTED_VALUE"""),"01158be1")</f>
        <v>01158be1</v>
      </c>
      <c r="T473" s="211" t="str">
        <f>IFERROR(__xludf.DUMMYFUNCTION("""COMPUTED_VALUE"""),"GYF")</f>
        <v>GYF</v>
      </c>
      <c r="U473" s="215">
        <f>IFERROR(__xludf.DUMMYFUNCTION("""COMPUTED_VALUE"""),45701.62569444445)</f>
        <v>45701.62569</v>
      </c>
      <c r="V473" s="211" t="str">
        <f>IFERROR(__xludf.DUMMYFUNCTION("""COMPUTED_VALUE"""),"Kangkungan, Lengkong, Kec. Mojoanyar, Kabupaten Mojokerto, Jawa Timur")</f>
        <v>Kangkungan, Lengkong, Kec. Mojoanyar, Kabupaten Mojokerto, Jawa Timur</v>
      </c>
      <c r="W473" s="211" t="str">
        <f>IFERROR(__xludf.DUMMYFUNCTION("""COMPUTED_VALUE"""),"IN")</f>
        <v>IN</v>
      </c>
      <c r="X473" s="211"/>
      <c r="Z473" s="211" t="str">
        <f>IFERROR(__xludf.DUMMYFUNCTION("""COMPUTED_VALUE"""),"122512059")</f>
        <v>122512059</v>
      </c>
      <c r="AC473" s="211"/>
      <c r="AD473" s="211"/>
      <c r="AE473" s="211"/>
      <c r="AF473" s="211"/>
      <c r="AG473" s="211"/>
      <c r="AH473" s="211"/>
      <c r="AI473" s="211"/>
      <c r="AJ473" s="211"/>
      <c r="AL473" s="211"/>
      <c r="AM473" s="211"/>
      <c r="AN473" s="211"/>
      <c r="AO473" s="211"/>
      <c r="AP473" s="215"/>
      <c r="AQ473" s="218"/>
      <c r="AR473" s="211"/>
      <c r="AS473" s="211"/>
      <c r="AT473" s="211"/>
      <c r="AU473" s="211"/>
      <c r="AV473" s="211"/>
      <c r="AW473" s="211"/>
      <c r="AX473" s="211"/>
      <c r="AY473" s="211"/>
      <c r="AZ473" s="211"/>
      <c r="BB473" s="211"/>
      <c r="BC473" s="211"/>
      <c r="BD473" s="211"/>
      <c r="BE473" s="211"/>
      <c r="BF473" s="211"/>
      <c r="BG473" s="211"/>
      <c r="BH473" s="211"/>
      <c r="BI473" s="211"/>
    </row>
    <row r="474">
      <c r="A474" s="210" t="str">
        <f>IFERROR(__xludf.DUMMYFUNCTION("""COMPUTED_VALUE"""),"01250205")</f>
        <v>01250205</v>
      </c>
      <c r="B474" s="210" t="str">
        <f>IFERROR(__xludf.DUMMYFUNCTION("""COMPUTED_VALUE"""),"01250205")</f>
        <v>01250205</v>
      </c>
      <c r="C474" s="213">
        <f>IFERROR(__xludf.DUMMYFUNCTION("""COMPUTED_VALUE"""),45667.42569444444)</f>
        <v>45667.42569</v>
      </c>
      <c r="D474" s="211" t="str">
        <f>IFERROR(__xludf.DUMMYFUNCTION("""COMPUTED_VALUE"""),"5f23ba17")</f>
        <v>5f23ba17</v>
      </c>
      <c r="E474" s="211" t="str">
        <f>IFERROR(__xludf.DUMMYFUNCTION("""COMPUTED_VALUE"""),"Bpk. Joko (Gresik)")</f>
        <v>Bpk. Joko (Gresik)</v>
      </c>
      <c r="F474" s="211" t="str">
        <f>IFERROR(__xludf.DUMMYFUNCTION("""COMPUTED_VALUE"""),"8bdbe149")</f>
        <v>8bdbe149</v>
      </c>
      <c r="G474" s="211" t="str">
        <f>IFERROR(__xludf.DUMMYFUNCTION("""COMPUTED_VALUE"""),"Oksigen 6m3")</f>
        <v>Oksigen 6m3</v>
      </c>
      <c r="H474" s="214" t="str">
        <f>IFERROR(__xludf.DUMMYFUNCTION("""COMPUTED_VALUE"""),"OUT")</f>
        <v>OUT</v>
      </c>
      <c r="I474" s="214" t="str">
        <f>IFERROR(__xludf.DUMMYFUNCTION("""COMPUTED_VALUE"""),"NORMAL")</f>
        <v>NORMAL</v>
      </c>
      <c r="J474" s="211">
        <f>IFERROR(__xludf.DUMMYFUNCTION("""COMPUTED_VALUE"""),3.0)</f>
        <v>3</v>
      </c>
      <c r="K474" s="210" t="str">
        <f>IFERROR(__xludf.DUMMYFUNCTION("""COMPUTED_VALUE"""),"006 5294 5560")</f>
        <v>006 5294 5560</v>
      </c>
      <c r="L474" s="211">
        <f>IFERROR(__xludf.DUMMYFUNCTION("""COMPUTED_VALUE"""),55000.0)</f>
        <v>55000</v>
      </c>
      <c r="M474" s="211"/>
      <c r="N474" s="211"/>
      <c r="O474" s="211"/>
      <c r="Q474" s="210" t="str">
        <f>IFERROR(__xludf.DUMMYFUNCTION("""COMPUTED_VALUE"""),"02250261")</f>
        <v>02250261</v>
      </c>
      <c r="R474" s="210" t="str">
        <f>IFERROR(__xludf.DUMMYFUNCTION("""COMPUTED_VALUE"""),"02250261")</f>
        <v>02250261</v>
      </c>
      <c r="S474" s="211" t="str">
        <f>IFERROR(__xludf.DUMMYFUNCTION("""COMPUTED_VALUE"""),"4ec68cf6")</f>
        <v>4ec68cf6</v>
      </c>
      <c r="T474" s="211" t="str">
        <f>IFERROR(__xludf.DUMMYFUNCTION("""COMPUTED_VALUE"""),"CV Sido Mukti Karya")</f>
        <v>CV Sido Mukti Karya</v>
      </c>
      <c r="U474" s="215">
        <f>IFERROR(__xludf.DUMMYFUNCTION("""COMPUTED_VALUE"""),45702.40069444444)</f>
        <v>45702.40069</v>
      </c>
      <c r="V474" s="211" t="str">
        <f>IFERROR(__xludf.DUMMYFUNCTION("""COMPUTED_VALUE"""),"Pergudangan Center Point no A3, Kemangsen")</f>
        <v>Pergudangan Center Point no A3, Kemangsen</v>
      </c>
      <c r="W474" s="211" t="str">
        <f>IFERROR(__xludf.DUMMYFUNCTION("""COMPUTED_VALUE"""),"OUT")</f>
        <v>OUT</v>
      </c>
      <c r="X474" s="211"/>
      <c r="Z474" s="211" t="str">
        <f>IFERROR(__xludf.DUMMYFUNCTION("""COMPUTED_VALUE"""),"122562058")</f>
        <v>122562058</v>
      </c>
      <c r="AC474" s="211"/>
      <c r="AD474" s="211"/>
      <c r="AE474" s="211"/>
      <c r="AF474" s="211"/>
      <c r="AG474" s="211"/>
      <c r="AH474" s="211"/>
      <c r="AI474" s="211"/>
      <c r="AJ474" s="211"/>
      <c r="AL474" s="211"/>
      <c r="AM474" s="211"/>
      <c r="AN474" s="211"/>
      <c r="AO474" s="211"/>
      <c r="AP474" s="215"/>
      <c r="AQ474" s="218"/>
      <c r="AR474" s="211"/>
      <c r="AS474" s="211"/>
      <c r="AT474" s="211"/>
      <c r="AU474" s="211"/>
      <c r="AV474" s="211"/>
      <c r="AW474" s="211"/>
      <c r="AX474" s="211"/>
      <c r="AY474" s="211"/>
      <c r="AZ474" s="211"/>
      <c r="BB474" s="211"/>
      <c r="BC474" s="211"/>
      <c r="BD474" s="211"/>
      <c r="BE474" s="211"/>
      <c r="BF474" s="211"/>
      <c r="BG474" s="211"/>
      <c r="BH474" s="211"/>
      <c r="BI474" s="211"/>
    </row>
    <row r="475">
      <c r="A475" s="210" t="str">
        <f>IFERROR(__xludf.DUMMYFUNCTION("""COMPUTED_VALUE"""),"01250205")</f>
        <v>01250205</v>
      </c>
      <c r="B475" s="210" t="str">
        <f>IFERROR(__xludf.DUMMYFUNCTION("""COMPUTED_VALUE"""),"01250205")</f>
        <v>01250205</v>
      </c>
      <c r="C475" s="213">
        <f>IFERROR(__xludf.DUMMYFUNCTION("""COMPUTED_VALUE"""),45667.42638888889)</f>
        <v>45667.42639</v>
      </c>
      <c r="D475" s="211" t="str">
        <f>IFERROR(__xludf.DUMMYFUNCTION("""COMPUTED_VALUE"""),"5f23ba17")</f>
        <v>5f23ba17</v>
      </c>
      <c r="E475" s="211" t="str">
        <f>IFERROR(__xludf.DUMMYFUNCTION("""COMPUTED_VALUE"""),"Bpk. Joko (Gresik)")</f>
        <v>Bpk. Joko (Gresik)</v>
      </c>
      <c r="F475" s="211" t="str">
        <f>IFERROR(__xludf.DUMMYFUNCTION("""COMPUTED_VALUE"""),"f6aab7a9")</f>
        <v>f6aab7a9</v>
      </c>
      <c r="G475" s="211" t="str">
        <f>IFERROR(__xludf.DUMMYFUNCTION("""COMPUTED_VALUE"""),"Oksigen 6m3 MR")</f>
        <v>Oksigen 6m3 MR</v>
      </c>
      <c r="H475" s="214" t="str">
        <f>IFERROR(__xludf.DUMMYFUNCTION("""COMPUTED_VALUE"""),"OUT")</f>
        <v>OUT</v>
      </c>
      <c r="I475" s="214" t="str">
        <f>IFERROR(__xludf.DUMMYFUNCTION("""COMPUTED_VALUE"""),"NORMAL")</f>
        <v>NORMAL</v>
      </c>
      <c r="J475" s="211">
        <f>IFERROR(__xludf.DUMMYFUNCTION("""COMPUTED_VALUE"""),7.0)</f>
        <v>7</v>
      </c>
      <c r="K475" s="211"/>
      <c r="L475" s="211">
        <f>IFERROR(__xludf.DUMMYFUNCTION("""COMPUTED_VALUE"""),55000.0)</f>
        <v>55000</v>
      </c>
      <c r="M475" s="211"/>
      <c r="N475" s="211"/>
      <c r="O475" s="211"/>
      <c r="Q475" s="210" t="str">
        <f>IFERROR(__xludf.DUMMYFUNCTION("""COMPUTED_VALUE"""),"02250262")</f>
        <v>02250262</v>
      </c>
      <c r="R475" s="210" t="str">
        <f>IFERROR(__xludf.DUMMYFUNCTION("""COMPUTED_VALUE"""),"02250262")</f>
        <v>02250262</v>
      </c>
      <c r="S475" s="211" t="str">
        <f>IFERROR(__xludf.DUMMYFUNCTION("""COMPUTED_VALUE"""),"5f23ba17")</f>
        <v>5f23ba17</v>
      </c>
      <c r="T475" s="211" t="str">
        <f>IFERROR(__xludf.DUMMYFUNCTION("""COMPUTED_VALUE"""),"Bpk. Joko (Gresik)")</f>
        <v>Bpk. Joko (Gresik)</v>
      </c>
      <c r="U475" s="215">
        <f>IFERROR(__xludf.DUMMYFUNCTION("""COMPUTED_VALUE"""),45702.402083333334)</f>
        <v>45702.40208</v>
      </c>
      <c r="V475" s="211" t="str">
        <f>IFERROR(__xludf.DUMMYFUNCTION("""COMPUTED_VALUE"""),"Tanggungan, Lebaniwaras, Kec. Wringinanom, Kabupaten Gresik, Jawa Timur")</f>
        <v>Tanggungan, Lebaniwaras, Kec. Wringinanom, Kabupaten Gresik, Jawa Timur</v>
      </c>
      <c r="W475" s="211" t="str">
        <f>IFERROR(__xludf.DUMMYFUNCTION("""COMPUTED_VALUE"""),"OUT")</f>
        <v>OUT</v>
      </c>
      <c r="X475" s="211"/>
      <c r="Z475" s="211" t="str">
        <f>IFERROR(__xludf.DUMMYFUNCTION("""COMPUTED_VALUE"""),"122572054")</f>
        <v>122572054</v>
      </c>
      <c r="AC475" s="211"/>
      <c r="AD475" s="211"/>
      <c r="AE475" s="211"/>
      <c r="AF475" s="211"/>
      <c r="AG475" s="211"/>
      <c r="AH475" s="211"/>
      <c r="AI475" s="211"/>
      <c r="AJ475" s="211"/>
      <c r="AL475" s="211"/>
      <c r="AM475" s="211"/>
      <c r="AN475" s="211"/>
      <c r="AO475" s="211"/>
      <c r="AP475" s="215"/>
      <c r="AQ475" s="218"/>
      <c r="AR475" s="211"/>
      <c r="AS475" s="211"/>
      <c r="AT475" s="211"/>
      <c r="AU475" s="211"/>
      <c r="AV475" s="211"/>
      <c r="AW475" s="211"/>
      <c r="AX475" s="211"/>
      <c r="AY475" s="211"/>
      <c r="AZ475" s="211"/>
      <c r="BB475" s="211"/>
      <c r="BC475" s="211"/>
      <c r="BD475" s="211"/>
      <c r="BE475" s="211"/>
      <c r="BF475" s="211"/>
      <c r="BG475" s="211"/>
      <c r="BH475" s="211"/>
      <c r="BI475" s="211"/>
    </row>
    <row r="476">
      <c r="A476" s="210" t="str">
        <f>IFERROR(__xludf.DUMMYFUNCTION("""COMPUTED_VALUE"""),"01250207")</f>
        <v>01250207</v>
      </c>
      <c r="B476" s="210" t="str">
        <f>IFERROR(__xludf.DUMMYFUNCTION("""COMPUTED_VALUE"""),"01250207")</f>
        <v>01250207</v>
      </c>
      <c r="C476" s="213">
        <f>IFERROR(__xludf.DUMMYFUNCTION("""COMPUTED_VALUE"""),45667.606944444444)</f>
        <v>45667.60694</v>
      </c>
      <c r="D476" s="211" t="str">
        <f>IFERROR(__xludf.DUMMYFUNCTION("""COMPUTED_VALUE"""),"8f5ebaea")</f>
        <v>8f5ebaea</v>
      </c>
      <c r="E476" s="211" t="str">
        <f>IFERROR(__xludf.DUMMYFUNCTION("""COMPUTED_VALUE"""),"PT Hua Zong Mesindo")</f>
        <v>PT Hua Zong Mesindo</v>
      </c>
      <c r="F476" s="211" t="str">
        <f>IFERROR(__xludf.DUMMYFUNCTION("""COMPUTED_VALUE"""),"66af7c72")</f>
        <v>66af7c72</v>
      </c>
      <c r="G476" s="211" t="str">
        <f>IFERROR(__xludf.DUMMYFUNCTION("""COMPUTED_VALUE"""),"Argon 6m3")</f>
        <v>Argon 6m3</v>
      </c>
      <c r="H476" s="214" t="str">
        <f>IFERROR(__xludf.DUMMYFUNCTION("""COMPUTED_VALUE"""),"OUT")</f>
        <v>OUT</v>
      </c>
      <c r="I476" s="214" t="str">
        <f>IFERROR(__xludf.DUMMYFUNCTION("""COMPUTED_VALUE"""),"NORMAL")</f>
        <v>NORMAL</v>
      </c>
      <c r="J476" s="211">
        <f>IFERROR(__xludf.DUMMYFUNCTION("""COMPUTED_VALUE"""),4.0)</f>
        <v>4</v>
      </c>
      <c r="K476" s="210" t="str">
        <f>IFERROR(__xludf.DUMMYFUNCTION("""COMPUTED_VALUE"""),"8273 8304 8182 8288")</f>
        <v>8273 8304 8182 8288</v>
      </c>
      <c r="L476" s="211">
        <f>IFERROR(__xludf.DUMMYFUNCTION("""COMPUTED_VALUE"""),190000.0)</f>
        <v>190000</v>
      </c>
      <c r="M476" s="211"/>
      <c r="N476" s="211"/>
      <c r="O476" s="211"/>
      <c r="Q476" s="210" t="str">
        <f>IFERROR(__xludf.DUMMYFUNCTION("""COMPUTED_VALUE"""),"02250263")</f>
        <v>02250263</v>
      </c>
      <c r="R476" s="210" t="str">
        <f>IFERROR(__xludf.DUMMYFUNCTION("""COMPUTED_VALUE"""),"02250263")</f>
        <v>02250263</v>
      </c>
      <c r="S476" s="211" t="str">
        <f>IFERROR(__xludf.DUMMYFUNCTION("""COMPUTED_VALUE"""),"2d88931c")</f>
        <v>2d88931c</v>
      </c>
      <c r="T476" s="211" t="str">
        <f>IFERROR(__xludf.DUMMYFUNCTION("""COMPUTED_VALUE"""),"PT Dunia Berkat Marga Mulya")</f>
        <v>PT Dunia Berkat Marga Mulya</v>
      </c>
      <c r="U476" s="215">
        <f>IFERROR(__xludf.DUMMYFUNCTION("""COMPUTED_VALUE"""),45702.475)</f>
        <v>45702.475</v>
      </c>
      <c r="V476" s="211" t="str">
        <f>IFERROR(__xludf.DUMMYFUNCTION("""COMPUTED_VALUE"""),"JL JABARAN, WATESARI, BALONGBENDO, SIDOARJO, JAWA TIMUR")</f>
        <v>JL JABARAN, WATESARI, BALONGBENDO, SIDOARJO, JAWA TIMUR</v>
      </c>
      <c r="W476" s="211" t="str">
        <f>IFERROR(__xludf.DUMMYFUNCTION("""COMPUTED_VALUE"""),"OUT")</f>
        <v>OUT</v>
      </c>
      <c r="X476" s="211"/>
      <c r="Z476" s="211" t="str">
        <f>IFERROR(__xludf.DUMMYFUNCTION("""COMPUTED_VALUE"""),"1225582053")</f>
        <v>1225582053</v>
      </c>
      <c r="AC476" s="211"/>
      <c r="AD476" s="211"/>
      <c r="AE476" s="211"/>
      <c r="AF476" s="211"/>
      <c r="AG476" s="211"/>
      <c r="AH476" s="211"/>
      <c r="AI476" s="211"/>
      <c r="AJ476" s="211"/>
      <c r="AL476" s="211"/>
      <c r="AM476" s="211"/>
      <c r="AN476" s="211"/>
      <c r="AO476" s="211"/>
      <c r="AP476" s="215"/>
      <c r="AQ476" s="218"/>
      <c r="AR476" s="211"/>
      <c r="AS476" s="211"/>
      <c r="AT476" s="211"/>
      <c r="AU476" s="211"/>
      <c r="AV476" s="211"/>
      <c r="AW476" s="211"/>
      <c r="AX476" s="211"/>
      <c r="AY476" s="211"/>
      <c r="AZ476" s="211"/>
      <c r="BB476" s="211"/>
      <c r="BC476" s="211"/>
      <c r="BD476" s="211"/>
      <c r="BE476" s="211"/>
      <c r="BF476" s="211"/>
      <c r="BG476" s="211"/>
      <c r="BH476" s="211"/>
      <c r="BI476" s="211"/>
    </row>
    <row r="477">
      <c r="A477" s="210" t="str">
        <f>IFERROR(__xludf.DUMMYFUNCTION("""COMPUTED_VALUE"""),"01250208")</f>
        <v>01250208</v>
      </c>
      <c r="B477" s="210" t="str">
        <f>IFERROR(__xludf.DUMMYFUNCTION("""COMPUTED_VALUE"""),"01250208")</f>
        <v>01250208</v>
      </c>
      <c r="C477" s="213">
        <f>IFERROR(__xludf.DUMMYFUNCTION("""COMPUTED_VALUE"""),45668.489583333336)</f>
        <v>45668.48958</v>
      </c>
      <c r="D477" s="211" t="str">
        <f>IFERROR(__xludf.DUMMYFUNCTION("""COMPUTED_VALUE"""),"3fec37df")</f>
        <v>3fec37df</v>
      </c>
      <c r="E477" s="211" t="str">
        <f>IFERROR(__xludf.DUMMYFUNCTION("""COMPUTED_VALUE"""),"PT Jatim Abadi Perkasa Steel")</f>
        <v>PT Jatim Abadi Perkasa Steel</v>
      </c>
      <c r="F477" s="211" t="str">
        <f>IFERROR(__xludf.DUMMYFUNCTION("""COMPUTED_VALUE"""),"b7a8fff1")</f>
        <v>b7a8fff1</v>
      </c>
      <c r="G477" s="211" t="str">
        <f>IFERROR(__xludf.DUMMYFUNCTION("""COMPUTED_VALUE"""),"LPG 50kg")</f>
        <v>LPG 50kg</v>
      </c>
      <c r="H477" s="214" t="str">
        <f>IFERROR(__xludf.DUMMYFUNCTION("""COMPUTED_VALUE"""),"OUT")</f>
        <v>OUT</v>
      </c>
      <c r="I477" s="214" t="str">
        <f>IFERROR(__xludf.DUMMYFUNCTION("""COMPUTED_VALUE"""),"NORMAL")</f>
        <v>NORMAL</v>
      </c>
      <c r="J477" s="211">
        <f>IFERROR(__xludf.DUMMYFUNCTION("""COMPUTED_VALUE"""),6.0)</f>
        <v>6</v>
      </c>
      <c r="K477" s="211"/>
      <c r="L477" s="211">
        <f>IFERROR(__xludf.DUMMYFUNCTION("""COMPUTED_VALUE"""),900900.9009)</f>
        <v>900900.9009</v>
      </c>
      <c r="M477" s="211"/>
      <c r="N477" s="211"/>
      <c r="O477" s="211"/>
      <c r="Q477" s="210" t="str">
        <f>IFERROR(__xludf.DUMMYFUNCTION("""COMPUTED_VALUE"""),"75243872")</f>
        <v>75243872</v>
      </c>
      <c r="R477" s="210" t="str">
        <f>IFERROR(__xludf.DUMMYFUNCTION("""COMPUTED_VALUE"""),"75243872")</f>
        <v>75243872</v>
      </c>
      <c r="S477" s="211" t="str">
        <f>IFERROR(__xludf.DUMMYFUNCTION("""COMPUTED_VALUE"""),"4ec68cf6")</f>
        <v>4ec68cf6</v>
      </c>
      <c r="T477" s="211" t="str">
        <f>IFERROR(__xludf.DUMMYFUNCTION("""COMPUTED_VALUE"""),"CV Sido Mukti Karya")</f>
        <v>CV Sido Mukti Karya</v>
      </c>
      <c r="U477" s="215">
        <f>IFERROR(__xludf.DUMMYFUNCTION("""COMPUTED_VALUE"""),45702.48055555555)</f>
        <v>45702.48056</v>
      </c>
      <c r="V477" s="211" t="str">
        <f>IFERROR(__xludf.DUMMYFUNCTION("""COMPUTED_VALUE"""),"Pergudangan Center Point no A3, Kemangsen")</f>
        <v>Pergudangan Center Point no A3, Kemangsen</v>
      </c>
      <c r="W477" s="211" t="str">
        <f>IFERROR(__xludf.DUMMYFUNCTION("""COMPUTED_VALUE"""),"IN")</f>
        <v>IN</v>
      </c>
      <c r="X477" s="211"/>
      <c r="Z477" s="211" t="str">
        <f>IFERROR(__xludf.DUMMYFUNCTION("""COMPUTED_VALUE"""),"122572052")</f>
        <v>122572052</v>
      </c>
      <c r="AC477" s="211"/>
      <c r="AD477" s="211"/>
      <c r="AE477" s="211"/>
      <c r="AF477" s="211"/>
      <c r="AG477" s="211"/>
      <c r="AH477" s="211"/>
      <c r="AI477" s="211"/>
      <c r="AJ477" s="211"/>
      <c r="AL477" s="211"/>
      <c r="AM477" s="211"/>
      <c r="AN477" s="211"/>
      <c r="AO477" s="211"/>
      <c r="AP477" s="215"/>
      <c r="AQ477" s="218"/>
      <c r="AR477" s="211"/>
      <c r="AS477" s="211"/>
      <c r="AT477" s="211"/>
      <c r="AU477" s="211"/>
      <c r="AV477" s="211"/>
      <c r="AW477" s="211"/>
      <c r="AX477" s="211"/>
      <c r="AY477" s="211"/>
      <c r="AZ477" s="211"/>
      <c r="BB477" s="211"/>
      <c r="BC477" s="211"/>
      <c r="BD477" s="211"/>
      <c r="BE477" s="211"/>
      <c r="BF477" s="211"/>
      <c r="BG477" s="211"/>
      <c r="BH477" s="211"/>
      <c r="BI477" s="211"/>
    </row>
    <row r="478">
      <c r="A478" s="210" t="str">
        <f>IFERROR(__xludf.DUMMYFUNCTION("""COMPUTED_VALUE"""),"01250209")</f>
        <v>01250209</v>
      </c>
      <c r="B478" s="210" t="str">
        <f>IFERROR(__xludf.DUMMYFUNCTION("""COMPUTED_VALUE"""),"01250209")</f>
        <v>01250209</v>
      </c>
      <c r="C478" s="213">
        <f>IFERROR(__xludf.DUMMYFUNCTION("""COMPUTED_VALUE"""),45670.36666666667)</f>
        <v>45670.36667</v>
      </c>
      <c r="D478" s="211" t="str">
        <f>IFERROR(__xludf.DUMMYFUNCTION("""COMPUTED_VALUE"""),"e86baf3b")</f>
        <v>e86baf3b</v>
      </c>
      <c r="E478" s="211" t="str">
        <f>IFERROR(__xludf.DUMMYFUNCTION("""COMPUTED_VALUE"""),"PT GEMILANG CIPTA WAWASAN")</f>
        <v>PT GEMILANG CIPTA WAWASAN</v>
      </c>
      <c r="F478" s="211" t="str">
        <f>IFERROR(__xludf.DUMMYFUNCTION("""COMPUTED_VALUE"""),"66af7c72")</f>
        <v>66af7c72</v>
      </c>
      <c r="G478" s="211" t="str">
        <f>IFERROR(__xludf.DUMMYFUNCTION("""COMPUTED_VALUE"""),"Argon 6m3")</f>
        <v>Argon 6m3</v>
      </c>
      <c r="H478" s="214" t="str">
        <f>IFERROR(__xludf.DUMMYFUNCTION("""COMPUTED_VALUE"""),"OUT")</f>
        <v>OUT</v>
      </c>
      <c r="I478" s="214" t="str">
        <f>IFERROR(__xludf.DUMMYFUNCTION("""COMPUTED_VALUE"""),"NORMAL")</f>
        <v>NORMAL</v>
      </c>
      <c r="J478" s="211">
        <f>IFERROR(__xludf.DUMMYFUNCTION("""COMPUTED_VALUE"""),7.0)</f>
        <v>7</v>
      </c>
      <c r="K478" s="210" t="str">
        <f>IFERROR(__xludf.DUMMYFUNCTION("""COMPUTED_VALUE"""),"12008 12007 12004 1131 1126 8243 8276")</f>
        <v>12008 12007 12004 1131 1126 8243 8276</v>
      </c>
      <c r="L478" s="211">
        <f>IFERROR(__xludf.DUMMYFUNCTION("""COMPUTED_VALUE"""),185000.0)</f>
        <v>185000</v>
      </c>
      <c r="M478" s="211"/>
      <c r="N478" s="211"/>
      <c r="O478" s="211"/>
      <c r="Q478" s="210" t="str">
        <f>IFERROR(__xludf.DUMMYFUNCTION("""COMPUTED_VALUE"""),"36e5d5e1")</f>
        <v>36e5d5e1</v>
      </c>
      <c r="R478" s="210" t="str">
        <f>IFERROR(__xludf.DUMMYFUNCTION("""COMPUTED_VALUE"""),"36e5d5e1")</f>
        <v>36e5d5e1</v>
      </c>
      <c r="S478" s="211" t="str">
        <f>IFERROR(__xludf.DUMMYFUNCTION("""COMPUTED_VALUE"""),"2d88931c")</f>
        <v>2d88931c</v>
      </c>
      <c r="T478" s="211" t="str">
        <f>IFERROR(__xludf.DUMMYFUNCTION("""COMPUTED_VALUE"""),"PT Dunia Berkat Marga Mulya")</f>
        <v>PT Dunia Berkat Marga Mulya</v>
      </c>
      <c r="U478" s="215">
        <f>IFERROR(__xludf.DUMMYFUNCTION("""COMPUTED_VALUE"""),45702.48125)</f>
        <v>45702.48125</v>
      </c>
      <c r="V478" s="211" t="str">
        <f>IFERROR(__xludf.DUMMYFUNCTION("""COMPUTED_VALUE"""),"JL JABARAN, WATESARI, BALONGBENDO, SIDOARJO, JAWA TIMUR")</f>
        <v>JL JABARAN, WATESARI, BALONGBENDO, SIDOARJO, JAWA TIMUR</v>
      </c>
      <c r="W478" s="211" t="str">
        <f>IFERROR(__xludf.DUMMYFUNCTION("""COMPUTED_VALUE"""),"IN")</f>
        <v>IN</v>
      </c>
      <c r="X478" s="211"/>
      <c r="Z478" s="211" t="str">
        <f>IFERROR(__xludf.DUMMYFUNCTION("""COMPUTED_VALUE"""),"122522051")</f>
        <v>122522051</v>
      </c>
      <c r="AC478" s="211"/>
      <c r="AD478" s="211"/>
      <c r="AE478" s="211"/>
      <c r="AF478" s="211"/>
      <c r="AG478" s="211"/>
      <c r="AH478" s="211"/>
      <c r="AI478" s="211"/>
      <c r="AJ478" s="211"/>
      <c r="AL478" s="211"/>
      <c r="AM478" s="211"/>
      <c r="AN478" s="211"/>
      <c r="AO478" s="211"/>
      <c r="AP478" s="215"/>
      <c r="AQ478" s="218"/>
      <c r="AR478" s="211"/>
      <c r="AS478" s="211"/>
      <c r="AT478" s="211"/>
      <c r="AU478" s="211"/>
      <c r="AV478" s="211"/>
      <c r="AW478" s="211"/>
      <c r="AX478" s="211"/>
      <c r="AY478" s="211"/>
      <c r="AZ478" s="211"/>
      <c r="BB478" s="211"/>
      <c r="BC478" s="211"/>
      <c r="BD478" s="211"/>
      <c r="BE478" s="211"/>
      <c r="BF478" s="211"/>
      <c r="BG478" s="211"/>
      <c r="BH478" s="211"/>
      <c r="BI478" s="211"/>
    </row>
    <row r="479">
      <c r="A479" s="210" t="str">
        <f>IFERROR(__xludf.DUMMYFUNCTION("""COMPUTED_VALUE"""),"01250210")</f>
        <v>01250210</v>
      </c>
      <c r="B479" s="210" t="str">
        <f>IFERROR(__xludf.DUMMYFUNCTION("""COMPUTED_VALUE"""),"01250210")</f>
        <v>01250210</v>
      </c>
      <c r="C479" s="213">
        <f>IFERROR(__xludf.DUMMYFUNCTION("""COMPUTED_VALUE"""),45670.36736111111)</f>
        <v>45670.36736</v>
      </c>
      <c r="D479" s="211" t="str">
        <f>IFERROR(__xludf.DUMMYFUNCTION("""COMPUTED_VALUE"""),"6b737895")</f>
        <v>6b737895</v>
      </c>
      <c r="E479" s="211" t="str">
        <f>IFERROR(__xludf.DUMMYFUNCTION("""COMPUTED_VALUE"""),"Ibu Yanti")</f>
        <v>Ibu Yanti</v>
      </c>
      <c r="F479" s="211" t="str">
        <f>IFERROR(__xludf.DUMMYFUNCTION("""COMPUTED_VALUE"""),"e8544a46")</f>
        <v>e8544a46</v>
      </c>
      <c r="G479" s="211" t="str">
        <f>IFERROR(__xludf.DUMMYFUNCTION("""COMPUTED_VALUE"""),"Oksigen 1m3")</f>
        <v>Oksigen 1m3</v>
      </c>
      <c r="H479" s="214" t="str">
        <f>IFERROR(__xludf.DUMMYFUNCTION("""COMPUTED_VALUE"""),"OUT")</f>
        <v>OUT</v>
      </c>
      <c r="I479" s="214" t="str">
        <f>IFERROR(__xludf.DUMMYFUNCTION("""COMPUTED_VALUE"""),"NORMAL")</f>
        <v>NORMAL</v>
      </c>
      <c r="J479" s="211">
        <f>IFERROR(__xludf.DUMMYFUNCTION("""COMPUTED_VALUE"""),1.0)</f>
        <v>1</v>
      </c>
      <c r="K479" s="210" t="str">
        <f>IFERROR(__xludf.DUMMYFUNCTION("""COMPUTED_VALUE"""),"3")</f>
        <v>3</v>
      </c>
      <c r="L479" s="211">
        <f>IFERROR(__xludf.DUMMYFUNCTION("""COMPUTED_VALUE"""),60000.0)</f>
        <v>60000</v>
      </c>
      <c r="M479" s="211"/>
      <c r="N479" s="211"/>
      <c r="O479" s="211"/>
      <c r="Q479" s="210" t="str">
        <f>IFERROR(__xludf.DUMMYFUNCTION("""COMPUTED_VALUE"""),"c7ef6387")</f>
        <v>c7ef6387</v>
      </c>
      <c r="R479" s="210" t="str">
        <f>IFERROR(__xludf.DUMMYFUNCTION("""COMPUTED_VALUE"""),"c7ef6387")</f>
        <v>c7ef6387</v>
      </c>
      <c r="S479" s="211" t="str">
        <f>IFERROR(__xludf.DUMMYFUNCTION("""COMPUTED_VALUE"""),"5f23ba17")</f>
        <v>5f23ba17</v>
      </c>
      <c r="T479" s="211" t="str">
        <f>IFERROR(__xludf.DUMMYFUNCTION("""COMPUTED_VALUE"""),"Bpk. Joko (Gresik)")</f>
        <v>Bpk. Joko (Gresik)</v>
      </c>
      <c r="U479" s="215">
        <f>IFERROR(__xludf.DUMMYFUNCTION("""COMPUTED_VALUE"""),45702.589583333334)</f>
        <v>45702.58958</v>
      </c>
      <c r="V479" s="211" t="str">
        <f>IFERROR(__xludf.DUMMYFUNCTION("""COMPUTED_VALUE"""),"Tanggungan, Lebaniwaras, Kec. Wringinanom, Kabupaten Gresik, Jawa Timur")</f>
        <v>Tanggungan, Lebaniwaras, Kec. Wringinanom, Kabupaten Gresik, Jawa Timur</v>
      </c>
      <c r="W479" s="211" t="str">
        <f>IFERROR(__xludf.DUMMYFUNCTION("""COMPUTED_VALUE"""),"IN")</f>
        <v>IN</v>
      </c>
      <c r="X479" s="211"/>
      <c r="Z479" s="211" t="str">
        <f>IFERROR(__xludf.DUMMYFUNCTION("""COMPUTED_VALUE"""),"122562050")</f>
        <v>122562050</v>
      </c>
      <c r="AC479" s="211"/>
      <c r="AD479" s="211"/>
      <c r="AE479" s="211"/>
      <c r="AF479" s="211"/>
      <c r="AG479" s="211"/>
      <c r="AH479" s="211"/>
      <c r="AI479" s="211"/>
      <c r="AJ479" s="211"/>
      <c r="AL479" s="211"/>
      <c r="AM479" s="211"/>
      <c r="AN479" s="211"/>
      <c r="AO479" s="211"/>
      <c r="AP479" s="215"/>
      <c r="AQ479" s="218"/>
      <c r="AR479" s="211"/>
      <c r="AS479" s="211"/>
      <c r="AT479" s="211"/>
      <c r="AU479" s="211"/>
      <c r="AV479" s="211"/>
      <c r="AW479" s="211"/>
      <c r="AX479" s="211"/>
      <c r="AY479" s="211"/>
      <c r="AZ479" s="211"/>
      <c r="BB479" s="211"/>
      <c r="BC479" s="211"/>
      <c r="BD479" s="211"/>
      <c r="BE479" s="211"/>
      <c r="BF479" s="211"/>
      <c r="BG479" s="211"/>
      <c r="BH479" s="211"/>
      <c r="BI479" s="211"/>
    </row>
    <row r="480">
      <c r="A480" s="210" t="str">
        <f>IFERROR(__xludf.DUMMYFUNCTION("""COMPUTED_VALUE"""),"01250210")</f>
        <v>01250210</v>
      </c>
      <c r="B480" s="210" t="str">
        <f>IFERROR(__xludf.DUMMYFUNCTION("""COMPUTED_VALUE"""),"01250210")</f>
        <v>01250210</v>
      </c>
      <c r="C480" s="213">
        <f>IFERROR(__xludf.DUMMYFUNCTION("""COMPUTED_VALUE"""),45670.368055555555)</f>
        <v>45670.36806</v>
      </c>
      <c r="D480" s="211" t="str">
        <f>IFERROR(__xludf.DUMMYFUNCTION("""COMPUTED_VALUE"""),"6b737895")</f>
        <v>6b737895</v>
      </c>
      <c r="E480" s="211" t="str">
        <f>IFERROR(__xludf.DUMMYFUNCTION("""COMPUTED_VALUE"""),"Ibu Yanti")</f>
        <v>Ibu Yanti</v>
      </c>
      <c r="F480" s="211" t="str">
        <f>IFERROR(__xludf.DUMMYFUNCTION("""COMPUTED_VALUE"""),"2690846b")</f>
        <v>2690846b</v>
      </c>
      <c r="G480" s="211" t="str">
        <f>IFERROR(__xludf.DUMMYFUNCTION("""COMPUTED_VALUE"""),"Oksigen 1m3 MR")</f>
        <v>Oksigen 1m3 MR</v>
      </c>
      <c r="H480" s="214" t="str">
        <f>IFERROR(__xludf.DUMMYFUNCTION("""COMPUTED_VALUE"""),"OUT")</f>
        <v>OUT</v>
      </c>
      <c r="I480" s="214" t="str">
        <f>IFERROR(__xludf.DUMMYFUNCTION("""COMPUTED_VALUE"""),"NORMAL")</f>
        <v>NORMAL</v>
      </c>
      <c r="J480" s="211">
        <f>IFERROR(__xludf.DUMMYFUNCTION("""COMPUTED_VALUE"""),1.0)</f>
        <v>1</v>
      </c>
      <c r="K480" s="210" t="str">
        <f>IFERROR(__xludf.DUMMYFUNCTION("""COMPUTED_VALUE"""),"1")</f>
        <v>1</v>
      </c>
      <c r="L480" s="211">
        <f>IFERROR(__xludf.DUMMYFUNCTION("""COMPUTED_VALUE"""),60000.0)</f>
        <v>60000</v>
      </c>
      <c r="M480" s="211"/>
      <c r="N480" s="211"/>
      <c r="O480" s="211"/>
      <c r="Q480" s="210" t="str">
        <f>IFERROR(__xludf.DUMMYFUNCTION("""COMPUTED_VALUE"""),"02250264")</f>
        <v>02250264</v>
      </c>
      <c r="R480" s="210" t="str">
        <f>IFERROR(__xludf.DUMMYFUNCTION("""COMPUTED_VALUE"""),"02250264")</f>
        <v>02250264</v>
      </c>
      <c r="S480" s="211" t="str">
        <f>IFERROR(__xludf.DUMMYFUNCTION("""COMPUTED_VALUE"""),"785e0e07")</f>
        <v>785e0e07</v>
      </c>
      <c r="T480" s="211" t="str">
        <f>IFERROR(__xludf.DUMMYFUNCTION("""COMPUTED_VALUE"""),"Bpk. Sukirno (Bejo)")</f>
        <v>Bpk. Sukirno (Bejo)</v>
      </c>
      <c r="U480" s="215">
        <f>IFERROR(__xludf.DUMMYFUNCTION("""COMPUTED_VALUE"""),45702.65486111111)</f>
        <v>45702.65486</v>
      </c>
      <c r="V480" s="211" t="str">
        <f>IFERROR(__xludf.DUMMYFUNCTION("""COMPUTED_VALUE"""),"Krajan I, Wringinanom, Kec. Wringinanom, Kabupaten Gresik, Jawa Timur 61176")</f>
        <v>Krajan I, Wringinanom, Kec. Wringinanom, Kabupaten Gresik, Jawa Timur 61176</v>
      </c>
      <c r="W480" s="211" t="str">
        <f>IFERROR(__xludf.DUMMYFUNCTION("""COMPUTED_VALUE"""),"OUT")</f>
        <v>OUT</v>
      </c>
      <c r="X480" s="211"/>
      <c r="Z480" s="211" t="str">
        <f>IFERROR(__xludf.DUMMYFUNCTION("""COMPUTED_VALUE"""),"1225312049")</f>
        <v>1225312049</v>
      </c>
      <c r="AC480" s="211"/>
      <c r="AD480" s="211"/>
      <c r="AE480" s="211"/>
      <c r="AF480" s="211"/>
      <c r="AG480" s="211"/>
      <c r="AH480" s="211"/>
      <c r="AI480" s="211"/>
      <c r="AJ480" s="211"/>
      <c r="AL480" s="211"/>
      <c r="AM480" s="211"/>
      <c r="AN480" s="211"/>
      <c r="AO480" s="211"/>
      <c r="AP480" s="215"/>
      <c r="AQ480" s="218"/>
      <c r="AR480" s="211"/>
      <c r="AS480" s="211"/>
      <c r="AT480" s="211"/>
      <c r="AU480" s="211"/>
      <c r="AV480" s="211"/>
      <c r="AW480" s="211"/>
      <c r="AX480" s="211"/>
      <c r="AY480" s="211"/>
      <c r="AZ480" s="211"/>
      <c r="BB480" s="211"/>
      <c r="BC480" s="211"/>
      <c r="BD480" s="211"/>
      <c r="BE480" s="211"/>
      <c r="BF480" s="211"/>
      <c r="BG480" s="211"/>
      <c r="BH480" s="211"/>
      <c r="BI480" s="211"/>
    </row>
    <row r="481">
      <c r="A481" s="210" t="str">
        <f>IFERROR(__xludf.DUMMYFUNCTION("""COMPUTED_VALUE"""),"36646206")</f>
        <v>36646206</v>
      </c>
      <c r="B481" s="210" t="str">
        <f>IFERROR(__xludf.DUMMYFUNCTION("""COMPUTED_VALUE"""),"36646206")</f>
        <v>36646206</v>
      </c>
      <c r="C481" s="213">
        <f>IFERROR(__xludf.DUMMYFUNCTION("""COMPUTED_VALUE"""),45665.43472222222)</f>
        <v>45665.43472</v>
      </c>
      <c r="D481" s="211" t="str">
        <f>IFERROR(__xludf.DUMMYFUNCTION("""COMPUTED_VALUE"""),"72d9a70c")</f>
        <v>72d9a70c</v>
      </c>
      <c r="E481" s="211" t="str">
        <f>IFERROR(__xludf.DUMMYFUNCTION("""COMPUTED_VALUE"""),"PT Beton Prima Indonesia")</f>
        <v>PT Beton Prima Indonesia</v>
      </c>
      <c r="F481" s="211" t="str">
        <f>IFERROR(__xludf.DUMMYFUNCTION("""COMPUTED_VALUE"""),"8bdbe149")</f>
        <v>8bdbe149</v>
      </c>
      <c r="G481" s="211" t="str">
        <f>IFERROR(__xludf.DUMMYFUNCTION("""COMPUTED_VALUE"""),"Oksigen 6m3")</f>
        <v>Oksigen 6m3</v>
      </c>
      <c r="H481" s="214" t="str">
        <f>IFERROR(__xludf.DUMMYFUNCTION("""COMPUTED_VALUE"""),"IN")</f>
        <v>IN</v>
      </c>
      <c r="I481" s="214" t="str">
        <f>IFERROR(__xludf.DUMMYFUNCTION("""COMPUTED_VALUE"""),"EMPTY")</f>
        <v>EMPTY</v>
      </c>
      <c r="J481" s="211">
        <f>IFERROR(__xludf.DUMMYFUNCTION("""COMPUTED_VALUE"""),2.0)</f>
        <v>2</v>
      </c>
      <c r="K481" s="210" t="str">
        <f>IFERROR(__xludf.DUMMYFUNCTION("""COMPUTED_VALUE"""),"1106 11169")</f>
        <v>1106 11169</v>
      </c>
      <c r="L481" s="211"/>
      <c r="M481" s="211"/>
      <c r="N481" s="211"/>
      <c r="O481" s="211"/>
      <c r="Q481" s="210" t="str">
        <f>IFERROR(__xludf.DUMMYFUNCTION("""COMPUTED_VALUE"""),"124d8ebd")</f>
        <v>124d8ebd</v>
      </c>
      <c r="R481" s="210" t="str">
        <f>IFERROR(__xludf.DUMMYFUNCTION("""COMPUTED_VALUE"""),"124d8ebd")</f>
        <v>124d8ebd</v>
      </c>
      <c r="S481" s="211" t="str">
        <f>IFERROR(__xludf.DUMMYFUNCTION("""COMPUTED_VALUE"""),"103f3ae7")</f>
        <v>103f3ae7</v>
      </c>
      <c r="T481" s="211" t="str">
        <f>IFERROR(__xludf.DUMMYFUNCTION("""COMPUTED_VALUE"""),"PT ARYANA CAKASANA")</f>
        <v>PT ARYANA CAKASANA</v>
      </c>
      <c r="U481" s="215">
        <f>IFERROR(__xludf.DUMMYFUNCTION("""COMPUTED_VALUE"""),45703.47430555556)</f>
        <v>45703.47431</v>
      </c>
      <c r="V481" s="211" t="str">
        <f>IFERROR(__xludf.DUMMYFUNCTION("""COMPUTED_VALUE"""),"Jl Raya Tarik No. 45, Wonokupang, Bakalan, Balongbendo")</f>
        <v>Jl Raya Tarik No. 45, Wonokupang, Bakalan, Balongbendo</v>
      </c>
      <c r="W481" s="211" t="str">
        <f>IFERROR(__xludf.DUMMYFUNCTION("""COMPUTED_VALUE"""),"IN")</f>
        <v>IN</v>
      </c>
      <c r="X481" s="211"/>
      <c r="Z481" s="211" t="str">
        <f>IFERROR(__xludf.DUMMYFUNCTION("""COMPUTED_VALUE"""),"122552048")</f>
        <v>122552048</v>
      </c>
      <c r="AC481" s="211"/>
      <c r="AD481" s="211"/>
      <c r="AE481" s="211"/>
      <c r="AF481" s="211"/>
      <c r="AG481" s="211"/>
      <c r="AH481" s="211"/>
      <c r="AI481" s="211"/>
      <c r="AJ481" s="211"/>
      <c r="AL481" s="211"/>
      <c r="AM481" s="211"/>
      <c r="AN481" s="211"/>
      <c r="AO481" s="211"/>
      <c r="AP481" s="215"/>
      <c r="AQ481" s="218"/>
      <c r="AR481" s="211"/>
      <c r="AS481" s="211"/>
      <c r="AT481" s="211"/>
      <c r="AU481" s="211"/>
      <c r="AV481" s="211"/>
      <c r="AW481" s="211"/>
      <c r="AX481" s="211"/>
      <c r="AY481" s="211"/>
      <c r="AZ481" s="211"/>
      <c r="BB481" s="211"/>
      <c r="BC481" s="211"/>
      <c r="BD481" s="211"/>
      <c r="BE481" s="211"/>
      <c r="BF481" s="211"/>
      <c r="BG481" s="211"/>
      <c r="BH481" s="211"/>
      <c r="BI481" s="211"/>
    </row>
    <row r="482">
      <c r="A482" s="210" t="str">
        <f>IFERROR(__xludf.DUMMYFUNCTION("""COMPUTED_VALUE"""),"3c8749b2")</f>
        <v>3c8749b2</v>
      </c>
      <c r="B482" s="210" t="str">
        <f>IFERROR(__xludf.DUMMYFUNCTION("""COMPUTED_VALUE"""),"3c8749b2")</f>
        <v>3c8749b2</v>
      </c>
      <c r="C482" s="213">
        <f>IFERROR(__xludf.DUMMYFUNCTION("""COMPUTED_VALUE"""),45665.43472222222)</f>
        <v>45665.43472</v>
      </c>
      <c r="D482" s="211" t="str">
        <f>IFERROR(__xludf.DUMMYFUNCTION("""COMPUTED_VALUE"""),"103f3ae7")</f>
        <v>103f3ae7</v>
      </c>
      <c r="E482" s="211" t="str">
        <f>IFERROR(__xludf.DUMMYFUNCTION("""COMPUTED_VALUE"""),"PT ARYANA CAKASANA")</f>
        <v>PT ARYANA CAKASANA</v>
      </c>
      <c r="F482" s="211" t="str">
        <f>IFERROR(__xludf.DUMMYFUNCTION("""COMPUTED_VALUE"""),"8bdbe149")</f>
        <v>8bdbe149</v>
      </c>
      <c r="G482" s="211" t="str">
        <f>IFERROR(__xludf.DUMMYFUNCTION("""COMPUTED_VALUE"""),"Oksigen 6m3")</f>
        <v>Oksigen 6m3</v>
      </c>
      <c r="H482" s="214" t="str">
        <f>IFERROR(__xludf.DUMMYFUNCTION("""COMPUTED_VALUE"""),"IN")</f>
        <v>IN</v>
      </c>
      <c r="I482" s="214" t="str">
        <f>IFERROR(__xludf.DUMMYFUNCTION("""COMPUTED_VALUE"""),"EMPTY")</f>
        <v>EMPTY</v>
      </c>
      <c r="J482" s="211">
        <f>IFERROR(__xludf.DUMMYFUNCTION("""COMPUTED_VALUE"""),4.0)</f>
        <v>4</v>
      </c>
      <c r="K482" s="210" t="str">
        <f>IFERROR(__xludf.DUMMYFUNCTION("""COMPUTED_VALUE"""),"1141 1111 11103 11123")</f>
        <v>1141 1111 11103 11123</v>
      </c>
      <c r="L482" s="211"/>
      <c r="M482" s="211"/>
      <c r="N482" s="211"/>
      <c r="O482" s="211"/>
      <c r="Q482" s="210" t="str">
        <f>IFERROR(__xludf.DUMMYFUNCTION("""COMPUTED_VALUE"""),"02250265")</f>
        <v>02250265</v>
      </c>
      <c r="R482" s="210" t="str">
        <f>IFERROR(__xludf.DUMMYFUNCTION("""COMPUTED_VALUE"""),"02250265")</f>
        <v>02250265</v>
      </c>
      <c r="S482" s="211" t="str">
        <f>IFERROR(__xludf.DUMMYFUNCTION("""COMPUTED_VALUE"""),"e86baf3b")</f>
        <v>e86baf3b</v>
      </c>
      <c r="T482" s="211" t="str">
        <f>IFERROR(__xludf.DUMMYFUNCTION("""COMPUTED_VALUE"""),"PT GEMILANG CIPTA WAWASAN")</f>
        <v>PT GEMILANG CIPTA WAWASAN</v>
      </c>
      <c r="U482" s="215">
        <f>IFERROR(__xludf.DUMMYFUNCTION("""COMPUTED_VALUE"""),45705.441666666666)</f>
        <v>45705.44167</v>
      </c>
      <c r="V482" s="211" t="str">
        <f>IFERROR(__xludf.DUMMYFUNCTION("""COMPUTED_VALUE"""),"JL TEBET RAYA, 2A, TEBET BARAT, TEBET, KOTA ADM, JAKARTA SELATAN, DKI JAKARTA")</f>
        <v>JL TEBET RAYA, 2A, TEBET BARAT, TEBET, KOTA ADM, JAKARTA SELATAN, DKI JAKARTA</v>
      </c>
      <c r="W482" s="211" t="str">
        <f>IFERROR(__xludf.DUMMYFUNCTION("""COMPUTED_VALUE"""),"OUT")</f>
        <v>OUT</v>
      </c>
      <c r="X482" s="211"/>
      <c r="Z482" s="211" t="str">
        <f>IFERROR(__xludf.DUMMYFUNCTION("""COMPUTED_VALUE"""),"1225102043")</f>
        <v>1225102043</v>
      </c>
      <c r="AC482" s="211"/>
      <c r="AD482" s="211"/>
      <c r="AE482" s="211"/>
      <c r="AF482" s="211"/>
      <c r="AG482" s="211"/>
      <c r="AH482" s="211"/>
      <c r="AI482" s="211"/>
      <c r="AJ482" s="211"/>
      <c r="AL482" s="211"/>
      <c r="AM482" s="211"/>
      <c r="AN482" s="211"/>
      <c r="AO482" s="211"/>
      <c r="AP482" s="215"/>
      <c r="AQ482" s="218"/>
      <c r="AR482" s="211"/>
      <c r="AS482" s="211"/>
      <c r="AT482" s="211"/>
      <c r="AU482" s="211"/>
      <c r="AV482" s="211"/>
      <c r="AW482" s="211"/>
      <c r="AX482" s="211"/>
      <c r="AY482" s="211"/>
      <c r="AZ482" s="211"/>
      <c r="BB482" s="211"/>
      <c r="BC482" s="211"/>
      <c r="BD482" s="211"/>
      <c r="BE482" s="211"/>
      <c r="BF482" s="211"/>
      <c r="BG482" s="211"/>
      <c r="BH482" s="211"/>
      <c r="BI482" s="211"/>
    </row>
    <row r="483">
      <c r="A483" s="210" t="str">
        <f>IFERROR(__xludf.DUMMYFUNCTION("""COMPUTED_VALUE"""),"3affa471")</f>
        <v>3affa471</v>
      </c>
      <c r="B483" s="210" t="str">
        <f>IFERROR(__xludf.DUMMYFUNCTION("""COMPUTED_VALUE"""),"3affa471")</f>
        <v>3affa471</v>
      </c>
      <c r="C483" s="213">
        <f>IFERROR(__xludf.DUMMYFUNCTION("""COMPUTED_VALUE"""),45666.43541666667)</f>
        <v>45666.43542</v>
      </c>
      <c r="D483" s="211" t="str">
        <f>IFERROR(__xludf.DUMMYFUNCTION("""COMPUTED_VALUE"""),"4ec68cf6")</f>
        <v>4ec68cf6</v>
      </c>
      <c r="E483" s="211" t="str">
        <f>IFERROR(__xludf.DUMMYFUNCTION("""COMPUTED_VALUE"""),"CV Sido Mukti Karya")</f>
        <v>CV Sido Mukti Karya</v>
      </c>
      <c r="F483" s="211" t="str">
        <f>IFERROR(__xludf.DUMMYFUNCTION("""COMPUTED_VALUE"""),"8bdbe149")</f>
        <v>8bdbe149</v>
      </c>
      <c r="G483" s="211" t="str">
        <f>IFERROR(__xludf.DUMMYFUNCTION("""COMPUTED_VALUE"""),"Oksigen 6m3")</f>
        <v>Oksigen 6m3</v>
      </c>
      <c r="H483" s="214" t="str">
        <f>IFERROR(__xludf.DUMMYFUNCTION("""COMPUTED_VALUE"""),"IN")</f>
        <v>IN</v>
      </c>
      <c r="I483" s="214" t="str">
        <f>IFERROR(__xludf.DUMMYFUNCTION("""COMPUTED_VALUE"""),"EMPTY")</f>
        <v>EMPTY</v>
      </c>
      <c r="J483" s="211">
        <f>IFERROR(__xludf.DUMMYFUNCTION("""COMPUTED_VALUE"""),1.0)</f>
        <v>1</v>
      </c>
      <c r="K483" s="210" t="str">
        <f>IFERROR(__xludf.DUMMYFUNCTION("""COMPUTED_VALUE"""),"1311")</f>
        <v>1311</v>
      </c>
      <c r="L483" s="211"/>
      <c r="M483" s="211"/>
      <c r="N483" s="211"/>
      <c r="O483" s="211"/>
      <c r="Q483" s="210" t="str">
        <f>IFERROR(__xludf.DUMMYFUNCTION("""COMPUTED_VALUE"""),"da40813f")</f>
        <v>da40813f</v>
      </c>
      <c r="R483" s="210" t="str">
        <f>IFERROR(__xludf.DUMMYFUNCTION("""COMPUTED_VALUE"""),"da40813f")</f>
        <v>da40813f</v>
      </c>
      <c r="S483" s="211" t="str">
        <f>IFERROR(__xludf.DUMMYFUNCTION("""COMPUTED_VALUE"""),"4ec68cf6")</f>
        <v>4ec68cf6</v>
      </c>
      <c r="T483" s="211" t="str">
        <f>IFERROR(__xludf.DUMMYFUNCTION("""COMPUTED_VALUE"""),"CV Sido Mukti Karya")</f>
        <v>CV Sido Mukti Karya</v>
      </c>
      <c r="U483" s="215">
        <f>IFERROR(__xludf.DUMMYFUNCTION("""COMPUTED_VALUE"""),45705.44375)</f>
        <v>45705.44375</v>
      </c>
      <c r="V483" s="211" t="str">
        <f>IFERROR(__xludf.DUMMYFUNCTION("""COMPUTED_VALUE"""),"Pergudangan Center Point no A3, Kemangsen")</f>
        <v>Pergudangan Center Point no A3, Kemangsen</v>
      </c>
      <c r="W483" s="211" t="str">
        <f>IFERROR(__xludf.DUMMYFUNCTION("""COMPUTED_VALUE"""),"IN")</f>
        <v>IN</v>
      </c>
      <c r="X483" s="211"/>
      <c r="Z483" s="211" t="str">
        <f>IFERROR(__xludf.DUMMYFUNCTION("""COMPUTED_VALUE"""),"1225572042")</f>
        <v>1225572042</v>
      </c>
      <c r="AC483" s="211"/>
      <c r="AD483" s="211"/>
      <c r="AE483" s="211"/>
      <c r="AF483" s="211"/>
      <c r="AG483" s="211"/>
      <c r="AH483" s="211"/>
      <c r="AI483" s="211"/>
      <c r="AJ483" s="211"/>
      <c r="AL483" s="211"/>
      <c r="AM483" s="211"/>
      <c r="AN483" s="211"/>
      <c r="AO483" s="211"/>
      <c r="AP483" s="215"/>
      <c r="AQ483" s="218"/>
      <c r="AR483" s="211"/>
      <c r="AS483" s="211"/>
      <c r="AT483" s="211"/>
      <c r="AU483" s="211"/>
      <c r="AV483" s="211"/>
      <c r="AW483" s="211"/>
      <c r="AX483" s="211"/>
      <c r="AY483" s="211"/>
      <c r="AZ483" s="211"/>
      <c r="BB483" s="211"/>
      <c r="BC483" s="211"/>
      <c r="BD483" s="211"/>
      <c r="BE483" s="211"/>
      <c r="BF483" s="211"/>
      <c r="BG483" s="211"/>
      <c r="BH483" s="211"/>
      <c r="BI483" s="211"/>
    </row>
    <row r="484">
      <c r="A484" s="210" t="str">
        <f>IFERROR(__xludf.DUMMYFUNCTION("""COMPUTED_VALUE"""),"02c40533")</f>
        <v>02c40533</v>
      </c>
      <c r="B484" s="210" t="str">
        <f>IFERROR(__xludf.DUMMYFUNCTION("""COMPUTED_VALUE"""),"02c40533")</f>
        <v>02c40533</v>
      </c>
      <c r="C484" s="213">
        <f>IFERROR(__xludf.DUMMYFUNCTION("""COMPUTED_VALUE"""),45667.4375)</f>
        <v>45667.4375</v>
      </c>
      <c r="D484" s="211" t="str">
        <f>IFERROR(__xludf.DUMMYFUNCTION("""COMPUTED_VALUE"""),"5f23ba17")</f>
        <v>5f23ba17</v>
      </c>
      <c r="E484" s="211" t="str">
        <f>IFERROR(__xludf.DUMMYFUNCTION("""COMPUTED_VALUE"""),"Bpk. Joko (Gresik)")</f>
        <v>Bpk. Joko (Gresik)</v>
      </c>
      <c r="F484" s="211" t="str">
        <f>IFERROR(__xludf.DUMMYFUNCTION("""COMPUTED_VALUE"""),"8bdbe149")</f>
        <v>8bdbe149</v>
      </c>
      <c r="G484" s="211" t="str">
        <f>IFERROR(__xludf.DUMMYFUNCTION("""COMPUTED_VALUE"""),"Oksigen 6m3")</f>
        <v>Oksigen 6m3</v>
      </c>
      <c r="H484" s="214" t="str">
        <f>IFERROR(__xludf.DUMMYFUNCTION("""COMPUTED_VALUE"""),"IN")</f>
        <v>IN</v>
      </c>
      <c r="I484" s="214" t="str">
        <f>IFERROR(__xludf.DUMMYFUNCTION("""COMPUTED_VALUE"""),"EMPTY")</f>
        <v>EMPTY</v>
      </c>
      <c r="J484" s="211">
        <f>IFERROR(__xludf.DUMMYFUNCTION("""COMPUTED_VALUE"""),3.0)</f>
        <v>3</v>
      </c>
      <c r="K484" s="210" t="str">
        <f>IFERROR(__xludf.DUMMYFUNCTION("""COMPUTED_VALUE"""),"1816 1123 5357")</f>
        <v>1816 1123 5357</v>
      </c>
      <c r="L484" s="211"/>
      <c r="M484" s="211"/>
      <c r="N484" s="211"/>
      <c r="O484" s="211"/>
      <c r="Q484" s="210" t="str">
        <f>IFERROR(__xludf.DUMMYFUNCTION("""COMPUTED_VALUE"""),"0804ee79")</f>
        <v>0804ee79</v>
      </c>
      <c r="R484" s="210" t="str">
        <f>IFERROR(__xludf.DUMMYFUNCTION("""COMPUTED_VALUE"""),"0804ee79")</f>
        <v>0804ee79</v>
      </c>
      <c r="S484" s="211" t="str">
        <f>IFERROR(__xludf.DUMMYFUNCTION("""COMPUTED_VALUE"""),"ac52e1fa")</f>
        <v>ac52e1fa</v>
      </c>
      <c r="T484" s="211" t="str">
        <f>IFERROR(__xludf.DUMMYFUNCTION("""COMPUTED_VALUE"""),"Abah Mad")</f>
        <v>Abah Mad</v>
      </c>
      <c r="U484" s="215">
        <f>IFERROR(__xludf.DUMMYFUNCTION("""COMPUTED_VALUE"""),45706.475)</f>
        <v>45706.475</v>
      </c>
      <c r="V484" s="211" t="str">
        <f>IFERROR(__xludf.DUMMYFUNCTION("""COMPUTED_VALUE"""),"Jl. Raya Surabaya  Madiun, Sidotemo, Sidomulyo, Kec. Krian, Kabupaten Sidoarjo, Jawa Timur 61262")</f>
        <v>Jl. Raya Surabaya  Madiun, Sidotemo, Sidomulyo, Kec. Krian, Kabupaten Sidoarjo, Jawa Timur 61262</v>
      </c>
      <c r="W484" s="211" t="str">
        <f>IFERROR(__xludf.DUMMYFUNCTION("""COMPUTED_VALUE"""),"IN")</f>
        <v>IN</v>
      </c>
      <c r="X484" s="211"/>
      <c r="Z484" s="211" t="str">
        <f>IFERROR(__xludf.DUMMYFUNCTION("""COMPUTED_VALUE"""),"122542041")</f>
        <v>122542041</v>
      </c>
      <c r="AC484" s="211"/>
      <c r="AD484" s="211"/>
      <c r="AE484" s="211"/>
      <c r="AF484" s="211"/>
      <c r="AG484" s="211"/>
      <c r="AH484" s="211"/>
      <c r="AI484" s="211"/>
      <c r="AJ484" s="211"/>
      <c r="AL484" s="211"/>
      <c r="AM484" s="211"/>
      <c r="AN484" s="211"/>
      <c r="AO484" s="211"/>
      <c r="AP484" s="215"/>
      <c r="AQ484" s="218"/>
      <c r="AR484" s="211"/>
      <c r="AS484" s="211"/>
      <c r="AT484" s="211"/>
      <c r="AU484" s="211"/>
      <c r="AV484" s="211"/>
      <c r="AW484" s="211"/>
      <c r="AX484" s="211"/>
      <c r="AY484" s="211"/>
      <c r="AZ484" s="211"/>
      <c r="BB484" s="211"/>
      <c r="BC484" s="211"/>
      <c r="BD484" s="211"/>
      <c r="BE484" s="211"/>
      <c r="BF484" s="211"/>
      <c r="BG484" s="211"/>
      <c r="BH484" s="211"/>
      <c r="BI484" s="211"/>
    </row>
    <row r="485">
      <c r="A485" s="210" t="str">
        <f>IFERROR(__xludf.DUMMYFUNCTION("""COMPUTED_VALUE"""),"02c40533")</f>
        <v>02c40533</v>
      </c>
      <c r="B485" s="210" t="str">
        <f>IFERROR(__xludf.DUMMYFUNCTION("""COMPUTED_VALUE"""),"02c40533")</f>
        <v>02c40533</v>
      </c>
      <c r="C485" s="213">
        <f>IFERROR(__xludf.DUMMYFUNCTION("""COMPUTED_VALUE"""),45667.43819444445)</f>
        <v>45667.43819</v>
      </c>
      <c r="D485" s="211" t="str">
        <f>IFERROR(__xludf.DUMMYFUNCTION("""COMPUTED_VALUE"""),"5f23ba17")</f>
        <v>5f23ba17</v>
      </c>
      <c r="E485" s="211" t="str">
        <f>IFERROR(__xludf.DUMMYFUNCTION("""COMPUTED_VALUE"""),"Bpk. Joko (Gresik)")</f>
        <v>Bpk. Joko (Gresik)</v>
      </c>
      <c r="F485" s="211" t="str">
        <f>IFERROR(__xludf.DUMMYFUNCTION("""COMPUTED_VALUE"""),"f6aab7a9")</f>
        <v>f6aab7a9</v>
      </c>
      <c r="G485" s="211" t="str">
        <f>IFERROR(__xludf.DUMMYFUNCTION("""COMPUTED_VALUE"""),"Oksigen 6m3 MR")</f>
        <v>Oksigen 6m3 MR</v>
      </c>
      <c r="H485" s="214" t="str">
        <f>IFERROR(__xludf.DUMMYFUNCTION("""COMPUTED_VALUE"""),"IN")</f>
        <v>IN</v>
      </c>
      <c r="I485" s="214" t="str">
        <f>IFERROR(__xludf.DUMMYFUNCTION("""COMPUTED_VALUE"""),"EMPTY")</f>
        <v>EMPTY</v>
      </c>
      <c r="J485" s="211">
        <f>IFERROR(__xludf.DUMMYFUNCTION("""COMPUTED_VALUE"""),10.0)</f>
        <v>10</v>
      </c>
      <c r="K485" s="211"/>
      <c r="L485" s="211"/>
      <c r="M485" s="211"/>
      <c r="N485" s="211"/>
      <c r="O485" s="211"/>
      <c r="Q485" s="210" t="str">
        <f>IFERROR(__xludf.DUMMYFUNCTION("""COMPUTED_VALUE"""),"369aa432")</f>
        <v>369aa432</v>
      </c>
      <c r="R485" s="210" t="str">
        <f>IFERROR(__xludf.DUMMYFUNCTION("""COMPUTED_VALUE"""),"369aa432")</f>
        <v>369aa432</v>
      </c>
      <c r="S485" s="211" t="str">
        <f>IFERROR(__xludf.DUMMYFUNCTION("""COMPUTED_VALUE"""),"01158be1")</f>
        <v>01158be1</v>
      </c>
      <c r="T485" s="211" t="str">
        <f>IFERROR(__xludf.DUMMYFUNCTION("""COMPUTED_VALUE"""),"GYF")</f>
        <v>GYF</v>
      </c>
      <c r="U485" s="215">
        <f>IFERROR(__xludf.DUMMYFUNCTION("""COMPUTED_VALUE"""),45706.476388888885)</f>
        <v>45706.47639</v>
      </c>
      <c r="V485" s="211" t="str">
        <f>IFERROR(__xludf.DUMMYFUNCTION("""COMPUTED_VALUE"""),"Kangkungan, Lengkong, Kec. Mojoanyar, Kabupaten Mojokerto, Jawa Timur")</f>
        <v>Kangkungan, Lengkong, Kec. Mojoanyar, Kabupaten Mojokerto, Jawa Timur</v>
      </c>
      <c r="W485" s="211" t="str">
        <f>IFERROR(__xludf.DUMMYFUNCTION("""COMPUTED_VALUE"""),"IN")</f>
        <v>IN</v>
      </c>
      <c r="X485" s="211"/>
      <c r="Z485" s="211" t="str">
        <f>IFERROR(__xludf.DUMMYFUNCTION("""COMPUTED_VALUE"""),"1225412037")</f>
        <v>1225412037</v>
      </c>
      <c r="AC485" s="211"/>
      <c r="AD485" s="211"/>
      <c r="AE485" s="211"/>
      <c r="AF485" s="211"/>
      <c r="AG485" s="211"/>
      <c r="AH485" s="211"/>
      <c r="AI485" s="211"/>
      <c r="AJ485" s="211"/>
      <c r="AL485" s="211"/>
      <c r="AM485" s="211"/>
      <c r="AN485" s="211"/>
      <c r="AO485" s="211"/>
      <c r="AP485" s="215"/>
      <c r="AQ485" s="218"/>
      <c r="AR485" s="211"/>
      <c r="AS485" s="211"/>
      <c r="AT485" s="211"/>
      <c r="AU485" s="211"/>
      <c r="AV485" s="211"/>
      <c r="AW485" s="211"/>
      <c r="AX485" s="211"/>
      <c r="AY485" s="211"/>
      <c r="AZ485" s="211"/>
      <c r="BB485" s="211"/>
      <c r="BC485" s="211"/>
      <c r="BD485" s="211"/>
      <c r="BE485" s="211"/>
      <c r="BF485" s="211"/>
      <c r="BG485" s="211"/>
      <c r="BH485" s="211"/>
      <c r="BI485" s="211"/>
    </row>
    <row r="486">
      <c r="A486" s="210" t="str">
        <f>IFERROR(__xludf.DUMMYFUNCTION("""COMPUTED_VALUE"""),"35fe70ba")</f>
        <v>35fe70ba</v>
      </c>
      <c r="B486" s="210" t="str">
        <f>IFERROR(__xludf.DUMMYFUNCTION("""COMPUTED_VALUE"""),"35fe70ba")</f>
        <v>35fe70ba</v>
      </c>
      <c r="C486" s="213">
        <f>IFERROR(__xludf.DUMMYFUNCTION("""COMPUTED_VALUE"""),45667.43819444445)</f>
        <v>45667.43819</v>
      </c>
      <c r="D486" s="211" t="str">
        <f>IFERROR(__xludf.DUMMYFUNCTION("""COMPUTED_VALUE"""),"8f5ebaea")</f>
        <v>8f5ebaea</v>
      </c>
      <c r="E486" s="211" t="str">
        <f>IFERROR(__xludf.DUMMYFUNCTION("""COMPUTED_VALUE"""),"PT Hua Zong Mesindo")</f>
        <v>PT Hua Zong Mesindo</v>
      </c>
      <c r="F486" s="211" t="str">
        <f>IFERROR(__xludf.DUMMYFUNCTION("""COMPUTED_VALUE"""),"66af7c72")</f>
        <v>66af7c72</v>
      </c>
      <c r="G486" s="211" t="str">
        <f>IFERROR(__xludf.DUMMYFUNCTION("""COMPUTED_VALUE"""),"Argon 6m3")</f>
        <v>Argon 6m3</v>
      </c>
      <c r="H486" s="214" t="str">
        <f>IFERROR(__xludf.DUMMYFUNCTION("""COMPUTED_VALUE"""),"IN")</f>
        <v>IN</v>
      </c>
      <c r="I486" s="214" t="str">
        <f>IFERROR(__xludf.DUMMYFUNCTION("""COMPUTED_VALUE"""),"EMPTY")</f>
        <v>EMPTY</v>
      </c>
      <c r="J486" s="211">
        <f>IFERROR(__xludf.DUMMYFUNCTION("""COMPUTED_VALUE"""),3.0)</f>
        <v>3</v>
      </c>
      <c r="K486" s="210" t="str">
        <f>IFERROR(__xludf.DUMMYFUNCTION("""COMPUTED_VALUE"""),"12004 12008 12007")</f>
        <v>12004 12008 12007</v>
      </c>
      <c r="L486" s="211"/>
      <c r="M486" s="211"/>
      <c r="N486" s="211"/>
      <c r="O486" s="211"/>
      <c r="Q486" s="210" t="str">
        <f>IFERROR(__xludf.DUMMYFUNCTION("""COMPUTED_VALUE"""),"d59cc7a4")</f>
        <v>d59cc7a4</v>
      </c>
      <c r="R486" s="210" t="str">
        <f>IFERROR(__xludf.DUMMYFUNCTION("""COMPUTED_VALUE"""),"d59cc7a4")</f>
        <v>d59cc7a4</v>
      </c>
      <c r="S486" s="211" t="str">
        <f>IFERROR(__xludf.DUMMYFUNCTION("""COMPUTED_VALUE"""),"785e0e07")</f>
        <v>785e0e07</v>
      </c>
      <c r="T486" s="211" t="str">
        <f>IFERROR(__xludf.DUMMYFUNCTION("""COMPUTED_VALUE"""),"Bpk. Sukirno (Bejo)")</f>
        <v>Bpk. Sukirno (Bejo)</v>
      </c>
      <c r="U486" s="215">
        <f>IFERROR(__xludf.DUMMYFUNCTION("""COMPUTED_VALUE"""),45706.48402777778)</f>
        <v>45706.48403</v>
      </c>
      <c r="V486" s="211" t="str">
        <f>IFERROR(__xludf.DUMMYFUNCTION("""COMPUTED_VALUE"""),"Krajan I, Wringinanom, Kec. Wringinanom, Kabupaten Gresik, Jawa Timur 61176")</f>
        <v>Krajan I, Wringinanom, Kec. Wringinanom, Kabupaten Gresik, Jawa Timur 61176</v>
      </c>
      <c r="W486" s="211" t="str">
        <f>IFERROR(__xludf.DUMMYFUNCTION("""COMPUTED_VALUE"""),"IN")</f>
        <v>IN</v>
      </c>
      <c r="X486" s="211"/>
      <c r="Z486" s="211" t="str">
        <f>IFERROR(__xludf.DUMMYFUNCTION("""COMPUTED_VALUE"""),"122572036")</f>
        <v>122572036</v>
      </c>
      <c r="AC486" s="211"/>
      <c r="AD486" s="211"/>
      <c r="AE486" s="211"/>
      <c r="AF486" s="211"/>
      <c r="AG486" s="211"/>
      <c r="AH486" s="211"/>
      <c r="AI486" s="211"/>
      <c r="AJ486" s="211"/>
      <c r="AL486" s="211"/>
      <c r="AM486" s="211"/>
      <c r="AN486" s="211"/>
      <c r="AO486" s="211"/>
      <c r="AP486" s="215"/>
      <c r="AQ486" s="218"/>
      <c r="AR486" s="211"/>
      <c r="AS486" s="211"/>
      <c r="AT486" s="211"/>
      <c r="AU486" s="211"/>
      <c r="AV486" s="211"/>
      <c r="AW486" s="211"/>
      <c r="AX486" s="211"/>
      <c r="AY486" s="211"/>
      <c r="AZ486" s="211"/>
      <c r="BB486" s="211"/>
      <c r="BC486" s="211"/>
      <c r="BD486" s="211"/>
      <c r="BE486" s="211"/>
      <c r="BF486" s="211"/>
      <c r="BG486" s="211"/>
      <c r="BH486" s="211"/>
      <c r="BI486" s="211"/>
    </row>
    <row r="487">
      <c r="A487" s="210" t="str">
        <f>IFERROR(__xludf.DUMMYFUNCTION("""COMPUTED_VALUE"""),"35fe70ba")</f>
        <v>35fe70ba</v>
      </c>
      <c r="B487" s="210" t="str">
        <f>IFERROR(__xludf.DUMMYFUNCTION("""COMPUTED_VALUE"""),"35fe70ba")</f>
        <v>35fe70ba</v>
      </c>
      <c r="C487" s="213">
        <f>IFERROR(__xludf.DUMMYFUNCTION("""COMPUTED_VALUE"""),45667.43819444445)</f>
        <v>45667.43819</v>
      </c>
      <c r="D487" s="211" t="str">
        <f>IFERROR(__xludf.DUMMYFUNCTION("""COMPUTED_VALUE"""),"8f5ebaea")</f>
        <v>8f5ebaea</v>
      </c>
      <c r="E487" s="211" t="str">
        <f>IFERROR(__xludf.DUMMYFUNCTION("""COMPUTED_VALUE"""),"PT Hua Zong Mesindo")</f>
        <v>PT Hua Zong Mesindo</v>
      </c>
      <c r="F487" s="211" t="str">
        <f>IFERROR(__xludf.DUMMYFUNCTION("""COMPUTED_VALUE"""),"ef306e54")</f>
        <v>ef306e54</v>
      </c>
      <c r="G487" s="211" t="str">
        <f>IFERROR(__xludf.DUMMYFUNCTION("""COMPUTED_VALUE"""),"Karbondioksida")</f>
        <v>Karbondioksida</v>
      </c>
      <c r="H487" s="214" t="str">
        <f>IFERROR(__xludf.DUMMYFUNCTION("""COMPUTED_VALUE"""),"IN")</f>
        <v>IN</v>
      </c>
      <c r="I487" s="214" t="str">
        <f>IFERROR(__xludf.DUMMYFUNCTION("""COMPUTED_VALUE"""),"EMPTY")</f>
        <v>EMPTY</v>
      </c>
      <c r="J487" s="211">
        <f>IFERROR(__xludf.DUMMYFUNCTION("""COMPUTED_VALUE"""),1.0)</f>
        <v>1</v>
      </c>
      <c r="K487" s="210" t="str">
        <f>IFERROR(__xludf.DUMMYFUNCTION("""COMPUTED_VALUE"""),"6737")</f>
        <v>6737</v>
      </c>
      <c r="L487" s="211"/>
      <c r="M487" s="211"/>
      <c r="N487" s="211"/>
      <c r="O487" s="211"/>
      <c r="Q487" s="210" t="str">
        <f>IFERROR(__xludf.DUMMYFUNCTION("""COMPUTED_VALUE"""),"95ad80cd")</f>
        <v>95ad80cd</v>
      </c>
      <c r="R487" s="210" t="str">
        <f>IFERROR(__xludf.DUMMYFUNCTION("""COMPUTED_VALUE"""),"95ad80cd")</f>
        <v>95ad80cd</v>
      </c>
      <c r="S487" s="211" t="str">
        <f>IFERROR(__xludf.DUMMYFUNCTION("""COMPUTED_VALUE"""),"e86baf3b")</f>
        <v>e86baf3b</v>
      </c>
      <c r="T487" s="211" t="str">
        <f>IFERROR(__xludf.DUMMYFUNCTION("""COMPUTED_VALUE"""),"PT GEMILANG CIPTA WAWASAN")</f>
        <v>PT GEMILANG CIPTA WAWASAN</v>
      </c>
      <c r="U487" s="215">
        <f>IFERROR(__xludf.DUMMYFUNCTION("""COMPUTED_VALUE"""),45706.48541666666)</f>
        <v>45706.48542</v>
      </c>
      <c r="V487" s="211" t="str">
        <f>IFERROR(__xludf.DUMMYFUNCTION("""COMPUTED_VALUE"""),"JL TEBET RAYA, 2A, TEBET BARAT, TEBET, KOTA ADM, JAKARTA SELATAN, DKI JAKARTA")</f>
        <v>JL TEBET RAYA, 2A, TEBET BARAT, TEBET, KOTA ADM, JAKARTA SELATAN, DKI JAKARTA</v>
      </c>
      <c r="W487" s="211" t="str">
        <f>IFERROR(__xludf.DUMMYFUNCTION("""COMPUTED_VALUE"""),"IN")</f>
        <v>IN</v>
      </c>
      <c r="X487" s="211"/>
      <c r="Z487" s="211" t="str">
        <f>IFERROR(__xludf.DUMMYFUNCTION("""COMPUTED_VALUE"""),"1225212035")</f>
        <v>1225212035</v>
      </c>
      <c r="AC487" s="211"/>
      <c r="AD487" s="211"/>
      <c r="AE487" s="211"/>
      <c r="AF487" s="211"/>
      <c r="AG487" s="211"/>
      <c r="AH487" s="211"/>
      <c r="AI487" s="211"/>
      <c r="AJ487" s="211"/>
      <c r="AL487" s="211"/>
      <c r="AM487" s="211"/>
      <c r="AN487" s="211"/>
      <c r="AO487" s="211"/>
      <c r="AP487" s="215"/>
      <c r="AQ487" s="218"/>
      <c r="AR487" s="211"/>
      <c r="AS487" s="211"/>
      <c r="AT487" s="211"/>
      <c r="AU487" s="211"/>
      <c r="AV487" s="211"/>
      <c r="AW487" s="211"/>
      <c r="AX487" s="211"/>
      <c r="AY487" s="211"/>
      <c r="AZ487" s="211"/>
      <c r="BB487" s="211"/>
      <c r="BC487" s="211"/>
      <c r="BD487" s="211"/>
      <c r="BE487" s="211"/>
      <c r="BF487" s="211"/>
      <c r="BG487" s="211"/>
      <c r="BH487" s="211"/>
      <c r="BI487" s="211"/>
    </row>
    <row r="488">
      <c r="A488" s="210" t="str">
        <f>IFERROR(__xludf.DUMMYFUNCTION("""COMPUTED_VALUE"""),"35fe70ba")</f>
        <v>35fe70ba</v>
      </c>
      <c r="B488" s="210" t="str">
        <f>IFERROR(__xludf.DUMMYFUNCTION("""COMPUTED_VALUE"""),"35fe70ba")</f>
        <v>35fe70ba</v>
      </c>
      <c r="C488" s="213">
        <f>IFERROR(__xludf.DUMMYFUNCTION("""COMPUTED_VALUE"""),45667.43819444445)</f>
        <v>45667.43819</v>
      </c>
      <c r="D488" s="211" t="str">
        <f>IFERROR(__xludf.DUMMYFUNCTION("""COMPUTED_VALUE"""),"8f5ebaea")</f>
        <v>8f5ebaea</v>
      </c>
      <c r="E488" s="211" t="str">
        <f>IFERROR(__xludf.DUMMYFUNCTION("""COMPUTED_VALUE"""),"PT Hua Zong Mesindo")</f>
        <v>PT Hua Zong Mesindo</v>
      </c>
      <c r="F488" s="211" t="str">
        <f>IFERROR(__xludf.DUMMYFUNCTION("""COMPUTED_VALUE"""),"8bdbe149")</f>
        <v>8bdbe149</v>
      </c>
      <c r="G488" s="211" t="str">
        <f>IFERROR(__xludf.DUMMYFUNCTION("""COMPUTED_VALUE"""),"Oksigen 6m3")</f>
        <v>Oksigen 6m3</v>
      </c>
      <c r="H488" s="214" t="str">
        <f>IFERROR(__xludf.DUMMYFUNCTION("""COMPUTED_VALUE"""),"IN")</f>
        <v>IN</v>
      </c>
      <c r="I488" s="214" t="str">
        <f>IFERROR(__xludf.DUMMYFUNCTION("""COMPUTED_VALUE"""),"EMPTY")</f>
        <v>EMPTY</v>
      </c>
      <c r="J488" s="211">
        <f>IFERROR(__xludf.DUMMYFUNCTION("""COMPUTED_VALUE"""),2.0)</f>
        <v>2</v>
      </c>
      <c r="K488" s="210" t="str">
        <f>IFERROR(__xludf.DUMMYFUNCTION("""COMPUTED_VALUE"""),"1131 1126")</f>
        <v>1131 1126</v>
      </c>
      <c r="L488" s="211"/>
      <c r="M488" s="211"/>
      <c r="N488" s="211"/>
      <c r="O488" s="211"/>
      <c r="Q488" s="210" t="str">
        <f>IFERROR(__xludf.DUMMYFUNCTION("""COMPUTED_VALUE"""),"f7a49adc")</f>
        <v>f7a49adc</v>
      </c>
      <c r="R488" s="210" t="str">
        <f>IFERROR(__xludf.DUMMYFUNCTION("""COMPUTED_VALUE"""),"f7a49adc")</f>
        <v>f7a49adc</v>
      </c>
      <c r="S488" s="211" t="str">
        <f>IFERROR(__xludf.DUMMYFUNCTION("""COMPUTED_VALUE"""),"8f5ebaea")</f>
        <v>8f5ebaea</v>
      </c>
      <c r="T488" s="211" t="str">
        <f>IFERROR(__xludf.DUMMYFUNCTION("""COMPUTED_VALUE"""),"PT Hua Zong Mesindo")</f>
        <v>PT Hua Zong Mesindo</v>
      </c>
      <c r="U488" s="215">
        <f>IFERROR(__xludf.DUMMYFUNCTION("""COMPUTED_VALUE"""),45707.49444444444)</f>
        <v>45707.49444</v>
      </c>
      <c r="V488" s="211" t="str">
        <f>IFERROR(__xludf.DUMMYFUNCTION("""COMPUTED_VALUE"""),"Jl. Bypass Krian, Sidotemo, Sidomulyo, Kec. Krian, Kabupaten Sidoarjo, Jawa Timur 61262")</f>
        <v>Jl. Bypass Krian, Sidotemo, Sidomulyo, Kec. Krian, Kabupaten Sidoarjo, Jawa Timur 61262</v>
      </c>
      <c r="W488" s="211" t="str">
        <f>IFERROR(__xludf.DUMMYFUNCTION("""COMPUTED_VALUE"""),"IN")</f>
        <v>IN</v>
      </c>
      <c r="X488" s="211"/>
      <c r="Z488" s="211" t="str">
        <f>IFERROR(__xludf.DUMMYFUNCTION("""COMPUTED_VALUE"""),"122582032")</f>
        <v>122582032</v>
      </c>
      <c r="AC488" s="211"/>
      <c r="AD488" s="211"/>
      <c r="AE488" s="211"/>
      <c r="AF488" s="211"/>
      <c r="AG488" s="211"/>
      <c r="AH488" s="211"/>
      <c r="AI488" s="211"/>
      <c r="AJ488" s="211"/>
      <c r="AL488" s="211"/>
      <c r="AM488" s="211"/>
      <c r="AN488" s="211"/>
      <c r="AO488" s="211"/>
      <c r="AP488" s="215"/>
      <c r="AQ488" s="218"/>
      <c r="AR488" s="211"/>
      <c r="AS488" s="211"/>
      <c r="AT488" s="211"/>
      <c r="AU488" s="211"/>
      <c r="AV488" s="211"/>
      <c r="AW488" s="211"/>
      <c r="AX488" s="211"/>
      <c r="AY488" s="211"/>
      <c r="AZ488" s="211"/>
      <c r="BB488" s="211"/>
      <c r="BC488" s="211"/>
      <c r="BD488" s="211"/>
      <c r="BE488" s="211"/>
      <c r="BF488" s="211"/>
      <c r="BG488" s="211"/>
      <c r="BH488" s="211"/>
      <c r="BI488" s="211"/>
    </row>
    <row r="489">
      <c r="A489" s="210" t="str">
        <f>IFERROR(__xludf.DUMMYFUNCTION("""COMPUTED_VALUE"""),"35fe70ba")</f>
        <v>35fe70ba</v>
      </c>
      <c r="B489" s="210" t="str">
        <f>IFERROR(__xludf.DUMMYFUNCTION("""COMPUTED_VALUE"""),"35fe70ba")</f>
        <v>35fe70ba</v>
      </c>
      <c r="C489" s="213">
        <f>IFERROR(__xludf.DUMMYFUNCTION("""COMPUTED_VALUE"""),45667.43819444445)</f>
        <v>45667.43819</v>
      </c>
      <c r="D489" s="211" t="str">
        <f>IFERROR(__xludf.DUMMYFUNCTION("""COMPUTED_VALUE"""),"8f5ebaea")</f>
        <v>8f5ebaea</v>
      </c>
      <c r="E489" s="211" t="str">
        <f>IFERROR(__xludf.DUMMYFUNCTION("""COMPUTED_VALUE"""),"PT Hua Zong Mesindo")</f>
        <v>PT Hua Zong Mesindo</v>
      </c>
      <c r="F489" s="211" t="str">
        <f>IFERROR(__xludf.DUMMYFUNCTION("""COMPUTED_VALUE"""),"f6aab7a9")</f>
        <v>f6aab7a9</v>
      </c>
      <c r="G489" s="211" t="str">
        <f>IFERROR(__xludf.DUMMYFUNCTION("""COMPUTED_VALUE"""),"Oksigen 6m3 MR")</f>
        <v>Oksigen 6m3 MR</v>
      </c>
      <c r="H489" s="214" t="str">
        <f>IFERROR(__xludf.DUMMYFUNCTION("""COMPUTED_VALUE"""),"IN")</f>
        <v>IN</v>
      </c>
      <c r="I489" s="214" t="str">
        <f>IFERROR(__xludf.DUMMYFUNCTION("""COMPUTED_VALUE"""),"EMPTY")</f>
        <v>EMPTY</v>
      </c>
      <c r="J489" s="211">
        <f>IFERROR(__xludf.DUMMYFUNCTION("""COMPUTED_VALUE"""),1.0)</f>
        <v>1</v>
      </c>
      <c r="K489" s="211"/>
      <c r="L489" s="211"/>
      <c r="M489" s="211"/>
      <c r="N489" s="211"/>
      <c r="O489" s="211"/>
      <c r="Q489" s="210" t="str">
        <f>IFERROR(__xludf.DUMMYFUNCTION("""COMPUTED_VALUE"""),"57fe5cc1")</f>
        <v>57fe5cc1</v>
      </c>
      <c r="R489" s="210" t="str">
        <f>IFERROR(__xludf.DUMMYFUNCTION("""COMPUTED_VALUE"""),"57fe5cc1")</f>
        <v>57fe5cc1</v>
      </c>
      <c r="S489" s="211" t="str">
        <f>IFERROR(__xludf.DUMMYFUNCTION("""COMPUTED_VALUE"""),"4ec68cf6")</f>
        <v>4ec68cf6</v>
      </c>
      <c r="T489" s="211" t="str">
        <f>IFERROR(__xludf.DUMMYFUNCTION("""COMPUTED_VALUE"""),"CV Sido Mukti Karya")</f>
        <v>CV Sido Mukti Karya</v>
      </c>
      <c r="U489" s="215">
        <f>IFERROR(__xludf.DUMMYFUNCTION("""COMPUTED_VALUE"""),45707.49444444444)</f>
        <v>45707.49444</v>
      </c>
      <c r="V489" s="211" t="str">
        <f>IFERROR(__xludf.DUMMYFUNCTION("""COMPUTED_VALUE"""),"Pergudangan Center Point no A3, Kemangsen")</f>
        <v>Pergudangan Center Point no A3, Kemangsen</v>
      </c>
      <c r="W489" s="211" t="str">
        <f>IFERROR(__xludf.DUMMYFUNCTION("""COMPUTED_VALUE"""),"IN")</f>
        <v>IN</v>
      </c>
      <c r="X489" s="211"/>
      <c r="Z489" s="211" t="str">
        <f>IFERROR(__xludf.DUMMYFUNCTION("""COMPUTED_VALUE"""),"122542029")</f>
        <v>122542029</v>
      </c>
      <c r="AC489" s="211"/>
      <c r="AD489" s="211"/>
      <c r="AE489" s="211"/>
      <c r="AF489" s="211"/>
      <c r="AG489" s="211"/>
      <c r="AH489" s="211"/>
      <c r="AI489" s="211"/>
      <c r="AJ489" s="211"/>
      <c r="AL489" s="211"/>
      <c r="AM489" s="211"/>
      <c r="AN489" s="211"/>
      <c r="AO489" s="211"/>
      <c r="AP489" s="215"/>
      <c r="AQ489" s="218"/>
      <c r="AR489" s="211"/>
      <c r="AS489" s="211"/>
      <c r="AT489" s="211"/>
      <c r="AU489" s="211"/>
      <c r="AV489" s="211"/>
      <c r="AW489" s="211"/>
      <c r="AX489" s="211"/>
      <c r="AY489" s="211"/>
      <c r="AZ489" s="211"/>
      <c r="BB489" s="211"/>
      <c r="BC489" s="211"/>
      <c r="BD489" s="211"/>
      <c r="BE489" s="211"/>
      <c r="BF489" s="211"/>
      <c r="BG489" s="211"/>
      <c r="BH489" s="211"/>
      <c r="BI489" s="211"/>
    </row>
    <row r="490">
      <c r="A490" s="210" t="str">
        <f>IFERROR(__xludf.DUMMYFUNCTION("""COMPUTED_VALUE"""),"8051db32")</f>
        <v>8051db32</v>
      </c>
      <c r="B490" s="210" t="str">
        <f>IFERROR(__xludf.DUMMYFUNCTION("""COMPUTED_VALUE"""),"8051db32")</f>
        <v>8051db32</v>
      </c>
      <c r="C490" s="213">
        <f>IFERROR(__xludf.DUMMYFUNCTION("""COMPUTED_VALUE"""),45668.44236111111)</f>
        <v>45668.44236</v>
      </c>
      <c r="D490" s="211" t="str">
        <f>IFERROR(__xludf.DUMMYFUNCTION("""COMPUTED_VALUE"""),"4a01ccb6")</f>
        <v>4a01ccb6</v>
      </c>
      <c r="E490" s="211" t="str">
        <f>IFERROR(__xludf.DUMMYFUNCTION("""COMPUTED_VALUE"""),"CV ANUGERAH PERSADA TEKNIK")</f>
        <v>CV ANUGERAH PERSADA TEKNIK</v>
      </c>
      <c r="F490" s="211" t="str">
        <f>IFERROR(__xludf.DUMMYFUNCTION("""COMPUTED_VALUE"""),"66af7c72")</f>
        <v>66af7c72</v>
      </c>
      <c r="G490" s="211" t="str">
        <f>IFERROR(__xludf.DUMMYFUNCTION("""COMPUTED_VALUE"""),"Argon 6m3")</f>
        <v>Argon 6m3</v>
      </c>
      <c r="H490" s="214" t="str">
        <f>IFERROR(__xludf.DUMMYFUNCTION("""COMPUTED_VALUE"""),"IN")</f>
        <v>IN</v>
      </c>
      <c r="I490" s="214" t="str">
        <f>IFERROR(__xludf.DUMMYFUNCTION("""COMPUTED_VALUE"""),"CLAIM")</f>
        <v>CLAIM</v>
      </c>
      <c r="J490" s="211">
        <f>IFERROR(__xludf.DUMMYFUNCTION("""COMPUTED_VALUE"""),2.0)</f>
        <v>2</v>
      </c>
      <c r="K490" s="210" t="str">
        <f>IFERROR(__xludf.DUMMYFUNCTION("""COMPUTED_VALUE"""),"8243 8276")</f>
        <v>8243 8276</v>
      </c>
      <c r="L490" s="211"/>
      <c r="M490" s="211"/>
      <c r="N490" s="211"/>
      <c r="O490" s="211"/>
      <c r="Q490" s="210" t="str">
        <f>IFERROR(__xludf.DUMMYFUNCTION("""COMPUTED_VALUE"""),"842362f0")</f>
        <v>842362f0</v>
      </c>
      <c r="R490" s="210" t="str">
        <f>IFERROR(__xludf.DUMMYFUNCTION("""COMPUTED_VALUE"""),"842362f0")</f>
        <v>842362f0</v>
      </c>
      <c r="S490" s="211" t="str">
        <f>IFERROR(__xludf.DUMMYFUNCTION("""COMPUTED_VALUE"""),"2d88931c")</f>
        <v>2d88931c</v>
      </c>
      <c r="T490" s="211" t="str">
        <f>IFERROR(__xludf.DUMMYFUNCTION("""COMPUTED_VALUE"""),"PT Dunia Berkat Marga Mulya")</f>
        <v>PT Dunia Berkat Marga Mulya</v>
      </c>
      <c r="U490" s="215">
        <f>IFERROR(__xludf.DUMMYFUNCTION("""COMPUTED_VALUE"""),45707.495833333334)</f>
        <v>45707.49583</v>
      </c>
      <c r="V490" s="211" t="str">
        <f>IFERROR(__xludf.DUMMYFUNCTION("""COMPUTED_VALUE"""),"JL JABARAN, WATESARI, BALONGBENDO, SIDOARJO, JAWA TIMUR")</f>
        <v>JL JABARAN, WATESARI, BALONGBENDO, SIDOARJO, JAWA TIMUR</v>
      </c>
      <c r="W490" s="211" t="str">
        <f>IFERROR(__xludf.DUMMYFUNCTION("""COMPUTED_VALUE"""),"IN")</f>
        <v>IN</v>
      </c>
      <c r="X490" s="211"/>
      <c r="Z490" s="211" t="str">
        <f>IFERROR(__xludf.DUMMYFUNCTION("""COMPUTED_VALUE"""),"1225332026")</f>
        <v>1225332026</v>
      </c>
      <c r="AC490" s="211"/>
      <c r="AD490" s="211"/>
      <c r="AE490" s="211"/>
      <c r="AF490" s="211"/>
      <c r="AG490" s="211"/>
      <c r="AH490" s="211"/>
      <c r="AI490" s="211"/>
      <c r="AJ490" s="211"/>
      <c r="AL490" s="211"/>
      <c r="AM490" s="211"/>
      <c r="AN490" s="211"/>
      <c r="AO490" s="211"/>
      <c r="AP490" s="215"/>
      <c r="AQ490" s="218"/>
      <c r="AR490" s="211"/>
      <c r="AS490" s="211"/>
      <c r="AT490" s="211"/>
      <c r="AU490" s="211"/>
      <c r="AV490" s="211"/>
      <c r="AW490" s="211"/>
      <c r="AX490" s="211"/>
      <c r="AY490" s="211"/>
      <c r="AZ490" s="211"/>
      <c r="BB490" s="211"/>
      <c r="BC490" s="211"/>
      <c r="BD490" s="211"/>
      <c r="BE490" s="211"/>
      <c r="BF490" s="211"/>
      <c r="BG490" s="211"/>
      <c r="BH490" s="211"/>
      <c r="BI490" s="211"/>
    </row>
    <row r="491">
      <c r="A491" s="210" t="str">
        <f>IFERROR(__xludf.DUMMYFUNCTION("""COMPUTED_VALUE"""),"1c1a03ff")</f>
        <v>1c1a03ff</v>
      </c>
      <c r="B491" s="210" t="str">
        <f>IFERROR(__xludf.DUMMYFUNCTION("""COMPUTED_VALUE"""),"1c1a03ff")</f>
        <v>1c1a03ff</v>
      </c>
      <c r="C491" s="213">
        <f>IFERROR(__xludf.DUMMYFUNCTION("""COMPUTED_VALUE"""),45668.44236111111)</f>
        <v>45668.44236</v>
      </c>
      <c r="D491" s="211" t="str">
        <f>IFERROR(__xludf.DUMMYFUNCTION("""COMPUTED_VALUE"""),"3fec37df")</f>
        <v>3fec37df</v>
      </c>
      <c r="E491" s="211" t="str">
        <f>IFERROR(__xludf.DUMMYFUNCTION("""COMPUTED_VALUE"""),"PT Jatim Abadi Perkasa Steel")</f>
        <v>PT Jatim Abadi Perkasa Steel</v>
      </c>
      <c r="F491" s="211" t="str">
        <f>IFERROR(__xludf.DUMMYFUNCTION("""COMPUTED_VALUE"""),"b7a8fff1")</f>
        <v>b7a8fff1</v>
      </c>
      <c r="G491" s="211" t="str">
        <f>IFERROR(__xludf.DUMMYFUNCTION("""COMPUTED_VALUE"""),"LPG 50kg")</f>
        <v>LPG 50kg</v>
      </c>
      <c r="H491" s="214" t="str">
        <f>IFERROR(__xludf.DUMMYFUNCTION("""COMPUTED_VALUE"""),"IN")</f>
        <v>IN</v>
      </c>
      <c r="I491" s="214" t="str">
        <f>IFERROR(__xludf.DUMMYFUNCTION("""COMPUTED_VALUE"""),"EMPTY")</f>
        <v>EMPTY</v>
      </c>
      <c r="J491" s="211">
        <f>IFERROR(__xludf.DUMMYFUNCTION("""COMPUTED_VALUE"""),6.0)</f>
        <v>6</v>
      </c>
      <c r="K491" s="211"/>
      <c r="L491" s="211"/>
      <c r="M491" s="211"/>
      <c r="N491" s="211"/>
      <c r="O491" s="211"/>
      <c r="Q491" s="210" t="str">
        <f>IFERROR(__xludf.DUMMYFUNCTION("""COMPUTED_VALUE"""),"02250270")</f>
        <v>02250270</v>
      </c>
      <c r="R491" s="210" t="str">
        <f>IFERROR(__xludf.DUMMYFUNCTION("""COMPUTED_VALUE"""),"02250270")</f>
        <v>02250270</v>
      </c>
      <c r="S491" s="211" t="str">
        <f>IFERROR(__xludf.DUMMYFUNCTION("""COMPUTED_VALUE"""),"103f3ae7")</f>
        <v>103f3ae7</v>
      </c>
      <c r="T491" s="211" t="str">
        <f>IFERROR(__xludf.DUMMYFUNCTION("""COMPUTED_VALUE"""),"PT ARYANA CAKASANA")</f>
        <v>PT ARYANA CAKASANA</v>
      </c>
      <c r="U491" s="215">
        <f>IFERROR(__xludf.DUMMYFUNCTION("""COMPUTED_VALUE"""),45708.35277777778)</f>
        <v>45708.35278</v>
      </c>
      <c r="V491" s="211" t="str">
        <f>IFERROR(__xludf.DUMMYFUNCTION("""COMPUTED_VALUE"""),"Jl Raya Tarik No. 45, Wonokupang, Bakalan, Balongbendo")</f>
        <v>Jl Raya Tarik No. 45, Wonokupang, Bakalan, Balongbendo</v>
      </c>
      <c r="W491" s="211" t="str">
        <f>IFERROR(__xludf.DUMMYFUNCTION("""COMPUTED_VALUE"""),"OUT")</f>
        <v>OUT</v>
      </c>
      <c r="X491" s="211"/>
      <c r="Z491" s="211" t="str">
        <f>IFERROR(__xludf.DUMMYFUNCTION("""COMPUTED_VALUE"""),"122532017")</f>
        <v>122532017</v>
      </c>
      <c r="AC491" s="211"/>
      <c r="AD491" s="211"/>
      <c r="AE491" s="211"/>
      <c r="AF491" s="211"/>
      <c r="AG491" s="211"/>
      <c r="AH491" s="211"/>
      <c r="AI491" s="211"/>
      <c r="AJ491" s="211"/>
      <c r="AL491" s="211"/>
      <c r="AM491" s="211"/>
      <c r="AN491" s="211"/>
      <c r="AO491" s="211"/>
      <c r="AP491" s="215"/>
      <c r="AQ491" s="218"/>
      <c r="AR491" s="211"/>
      <c r="AS491" s="211"/>
      <c r="AT491" s="211"/>
      <c r="AU491" s="211"/>
      <c r="AV491" s="211"/>
      <c r="AW491" s="211"/>
      <c r="AX491" s="211"/>
      <c r="AY491" s="211"/>
      <c r="AZ491" s="211"/>
      <c r="BB491" s="211"/>
      <c r="BC491" s="211"/>
      <c r="BD491" s="211"/>
      <c r="BE491" s="211"/>
      <c r="BF491" s="211"/>
      <c r="BG491" s="211"/>
      <c r="BH491" s="211"/>
      <c r="BI491" s="211"/>
    </row>
    <row r="492">
      <c r="A492" s="210" t="str">
        <f>IFERROR(__xludf.DUMMYFUNCTION("""COMPUTED_VALUE"""),"01250212")</f>
        <v>01250212</v>
      </c>
      <c r="B492" s="210" t="str">
        <f>IFERROR(__xludf.DUMMYFUNCTION("""COMPUTED_VALUE"""),"01250212")</f>
        <v>01250212</v>
      </c>
      <c r="C492" s="213">
        <f>IFERROR(__xludf.DUMMYFUNCTION("""COMPUTED_VALUE"""),45670.48611111111)</f>
        <v>45670.48611</v>
      </c>
      <c r="D492" s="211" t="str">
        <f>IFERROR(__xludf.DUMMYFUNCTION("""COMPUTED_VALUE"""),"64b0c06f")</f>
        <v>64b0c06f</v>
      </c>
      <c r="E492" s="211" t="str">
        <f>IFERROR(__xludf.DUMMYFUNCTION("""COMPUTED_VALUE"""),"Saiful Fuad")</f>
        <v>Saiful Fuad</v>
      </c>
      <c r="F492" s="211" t="str">
        <f>IFERROR(__xludf.DUMMYFUNCTION("""COMPUTED_VALUE"""),"be525f3b")</f>
        <v>be525f3b</v>
      </c>
      <c r="G492" s="211" t="str">
        <f>IFERROR(__xludf.DUMMYFUNCTION("""COMPUTED_VALUE"""),"LPG 12kg")</f>
        <v>LPG 12kg</v>
      </c>
      <c r="H492" s="214" t="str">
        <f>IFERROR(__xludf.DUMMYFUNCTION("""COMPUTED_VALUE"""),"OUT")</f>
        <v>OUT</v>
      </c>
      <c r="I492" s="214" t="str">
        <f>IFERROR(__xludf.DUMMYFUNCTION("""COMPUTED_VALUE"""),"NORMAL")</f>
        <v>NORMAL</v>
      </c>
      <c r="J492" s="211">
        <f>IFERROR(__xludf.DUMMYFUNCTION("""COMPUTED_VALUE"""),1.0)</f>
        <v>1</v>
      </c>
      <c r="K492" s="211"/>
      <c r="L492" s="211">
        <f>IFERROR(__xludf.DUMMYFUNCTION("""COMPUTED_VALUE"""),220000.0)</f>
        <v>220000</v>
      </c>
      <c r="M492" s="211"/>
      <c r="N492" s="211"/>
      <c r="O492" s="211"/>
      <c r="Q492" s="210" t="str">
        <f>IFERROR(__xludf.DUMMYFUNCTION("""COMPUTED_VALUE"""),"e219c0d3")</f>
        <v>e219c0d3</v>
      </c>
      <c r="R492" s="210" t="str">
        <f>IFERROR(__xludf.DUMMYFUNCTION("""COMPUTED_VALUE"""),"e219c0d3")</f>
        <v>e219c0d3</v>
      </c>
      <c r="S492" s="211" t="str">
        <f>IFERROR(__xludf.DUMMYFUNCTION("""COMPUTED_VALUE"""),"72d9a70c")</f>
        <v>72d9a70c</v>
      </c>
      <c r="T492" s="211" t="str">
        <f>IFERROR(__xludf.DUMMYFUNCTION("""COMPUTED_VALUE"""),"PT Beton Prima Indonesia")</f>
        <v>PT Beton Prima Indonesia</v>
      </c>
      <c r="U492" s="215">
        <f>IFERROR(__xludf.DUMMYFUNCTION("""COMPUTED_VALUE"""),45707.71527777778)</f>
        <v>45707.71528</v>
      </c>
      <c r="V492" s="211" t="str">
        <f>IFERROR(__xludf.DUMMYFUNCTION("""COMPUTED_VALUE"""),"KH. Ahmad Dahlan KM.2 Ds. Sumberwono, Kec. Bangsal, Kab. Mojokerto 61381")</f>
        <v>KH. Ahmad Dahlan KM.2 Ds. Sumberwono, Kec. Bangsal, Kab. Mojokerto 61381</v>
      </c>
      <c r="W492" s="211" t="str">
        <f>IFERROR(__xludf.DUMMYFUNCTION("""COMPUTED_VALUE"""),"IN")</f>
        <v>IN</v>
      </c>
      <c r="X492" s="211"/>
      <c r="Z492" s="211" t="str">
        <f>IFERROR(__xludf.DUMMYFUNCTION("""COMPUTED_VALUE"""),"1225562016")</f>
        <v>1225562016</v>
      </c>
      <c r="AC492" s="211"/>
      <c r="AD492" s="211"/>
      <c r="AE492" s="211"/>
      <c r="AF492" s="211"/>
      <c r="AG492" s="211"/>
      <c r="AH492" s="211"/>
      <c r="AI492" s="211"/>
      <c r="AJ492" s="211"/>
      <c r="AL492" s="211"/>
      <c r="AM492" s="211"/>
      <c r="AN492" s="211"/>
      <c r="AO492" s="211"/>
      <c r="AP492" s="215"/>
      <c r="AQ492" s="218"/>
      <c r="AR492" s="211"/>
      <c r="AS492" s="211"/>
      <c r="AT492" s="211"/>
      <c r="AU492" s="211"/>
      <c r="AV492" s="211"/>
      <c r="AW492" s="211"/>
      <c r="AX492" s="211"/>
      <c r="AY492" s="211"/>
      <c r="AZ492" s="211"/>
      <c r="BB492" s="211"/>
      <c r="BC492" s="211"/>
      <c r="BD492" s="211"/>
      <c r="BE492" s="211"/>
      <c r="BF492" s="211"/>
      <c r="BG492" s="211"/>
      <c r="BH492" s="211"/>
      <c r="BI492" s="211"/>
    </row>
    <row r="493">
      <c r="A493" s="210" t="str">
        <f>IFERROR(__xludf.DUMMYFUNCTION("""COMPUTED_VALUE"""),"f6fcb2a0")</f>
        <v>f6fcb2a0</v>
      </c>
      <c r="B493" s="210" t="str">
        <f>IFERROR(__xludf.DUMMYFUNCTION("""COMPUTED_VALUE"""),"f6fcb2a0")</f>
        <v>f6fcb2a0</v>
      </c>
      <c r="C493" s="213">
        <f>IFERROR(__xludf.DUMMYFUNCTION("""COMPUTED_VALUE"""),45670.513194444444)</f>
        <v>45670.51319</v>
      </c>
      <c r="D493" s="211" t="str">
        <f>IFERROR(__xludf.DUMMYFUNCTION("""COMPUTED_VALUE"""),"a9fe1bea")</f>
        <v>a9fe1bea</v>
      </c>
      <c r="E493" s="211" t="str">
        <f>IFERROR(__xludf.DUMMYFUNCTION("""COMPUTED_VALUE"""),"H. Suheiri")</f>
        <v>H. Suheiri</v>
      </c>
      <c r="F493" s="211" t="str">
        <f>IFERROR(__xludf.DUMMYFUNCTION("""COMPUTED_VALUE"""),"8bdbe149")</f>
        <v>8bdbe149</v>
      </c>
      <c r="G493" s="211" t="str">
        <f>IFERROR(__xludf.DUMMYFUNCTION("""COMPUTED_VALUE"""),"Oksigen 6m3")</f>
        <v>Oksigen 6m3</v>
      </c>
      <c r="H493" s="214" t="str">
        <f>IFERROR(__xludf.DUMMYFUNCTION("""COMPUTED_VALUE"""),"IN")</f>
        <v>IN</v>
      </c>
      <c r="I493" s="214" t="str">
        <f>IFERROR(__xludf.DUMMYFUNCTION("""COMPUTED_VALUE"""),"EMPTY")</f>
        <v>EMPTY</v>
      </c>
      <c r="J493" s="211">
        <f>IFERROR(__xludf.DUMMYFUNCTION("""COMPUTED_VALUE"""),27.0)</f>
        <v>27</v>
      </c>
      <c r="K493" s="210" t="str">
        <f>IFERROR(__xludf.DUMMYFUNCTION("""COMPUTED_VALUE"""),"04 5042 2047 1068 03 11183 5786 5373 1652 02 11202 01 1062 11192 5489 5388 11171 5146 11196 005 1171 5893 5784 1165 11205 1161 02*")</f>
        <v>04 5042 2047 1068 03 11183 5786 5373 1652 02 11202 01 1062 11192 5489 5388 11171 5146 11196 005 1171 5893 5784 1165 11205 1161 02*</v>
      </c>
      <c r="L493" s="211"/>
      <c r="M493" s="211"/>
      <c r="N493" s="211"/>
      <c r="O493" s="211"/>
      <c r="Q493" s="210" t="str">
        <f>IFERROR(__xludf.DUMMYFUNCTION("""COMPUTED_VALUE"""),"dfaf56c4")</f>
        <v>dfaf56c4</v>
      </c>
      <c r="R493" s="210" t="str">
        <f>IFERROR(__xludf.DUMMYFUNCTION("""COMPUTED_VALUE"""),"dfaf56c4")</f>
        <v>dfaf56c4</v>
      </c>
      <c r="S493" s="211" t="str">
        <f>IFERROR(__xludf.DUMMYFUNCTION("""COMPUTED_VALUE"""),"103f3ae7")</f>
        <v>103f3ae7</v>
      </c>
      <c r="T493" s="211" t="str">
        <f>IFERROR(__xludf.DUMMYFUNCTION("""COMPUTED_VALUE"""),"PT ARYANA CAKASANA")</f>
        <v>PT ARYANA CAKASANA</v>
      </c>
      <c r="U493" s="215">
        <f>IFERROR(__xludf.DUMMYFUNCTION("""COMPUTED_VALUE"""),45707.71527777778)</f>
        <v>45707.71528</v>
      </c>
      <c r="V493" s="211" t="str">
        <f>IFERROR(__xludf.DUMMYFUNCTION("""COMPUTED_VALUE"""),"Jl Raya Tarik No. 45, Wonokupang, Bakalan, Balongbendo")</f>
        <v>Jl Raya Tarik No. 45, Wonokupang, Bakalan, Balongbendo</v>
      </c>
      <c r="W493" s="211" t="str">
        <f>IFERROR(__xludf.DUMMYFUNCTION("""COMPUTED_VALUE"""),"IN")</f>
        <v>IN</v>
      </c>
      <c r="X493" s="211"/>
      <c r="Z493" s="211" t="str">
        <f>IFERROR(__xludf.DUMMYFUNCTION("""COMPUTED_VALUE"""),"122572018")</f>
        <v>122572018</v>
      </c>
      <c r="AC493" s="211"/>
      <c r="AD493" s="211"/>
      <c r="AE493" s="211"/>
      <c r="AF493" s="211"/>
      <c r="AG493" s="211"/>
      <c r="AH493" s="211"/>
      <c r="AI493" s="211"/>
      <c r="AJ493" s="211"/>
      <c r="AL493" s="211"/>
      <c r="AM493" s="211"/>
      <c r="AN493" s="211"/>
      <c r="AO493" s="211"/>
      <c r="AP493" s="215"/>
      <c r="AQ493" s="218"/>
      <c r="AR493" s="211"/>
      <c r="AS493" s="211"/>
      <c r="AT493" s="211"/>
      <c r="AU493" s="211"/>
      <c r="AV493" s="211"/>
      <c r="AW493" s="211"/>
      <c r="AX493" s="211"/>
      <c r="AY493" s="211"/>
      <c r="AZ493" s="211"/>
      <c r="BB493" s="211"/>
      <c r="BC493" s="211"/>
      <c r="BD493" s="211"/>
      <c r="BE493" s="211"/>
      <c r="BF493" s="211"/>
      <c r="BG493" s="211"/>
      <c r="BH493" s="211"/>
      <c r="BI493" s="211"/>
    </row>
    <row r="494">
      <c r="A494" s="210" t="str">
        <f>IFERROR(__xludf.DUMMYFUNCTION("""COMPUTED_VALUE"""),"52af3982")</f>
        <v>52af3982</v>
      </c>
      <c r="B494" s="210" t="str">
        <f>IFERROR(__xludf.DUMMYFUNCTION("""COMPUTED_VALUE"""),"52af3982")</f>
        <v>52af3982</v>
      </c>
      <c r="C494" s="213">
        <f>IFERROR(__xludf.DUMMYFUNCTION("""COMPUTED_VALUE"""),45670.51736111111)</f>
        <v>45670.51736</v>
      </c>
      <c r="D494" s="211" t="str">
        <f>IFERROR(__xludf.DUMMYFUNCTION("""COMPUTED_VALUE"""),"64b0c06f")</f>
        <v>64b0c06f</v>
      </c>
      <c r="E494" s="211" t="str">
        <f>IFERROR(__xludf.DUMMYFUNCTION("""COMPUTED_VALUE"""),"Saiful Fuad")</f>
        <v>Saiful Fuad</v>
      </c>
      <c r="F494" s="211" t="str">
        <f>IFERROR(__xludf.DUMMYFUNCTION("""COMPUTED_VALUE"""),"be525f3b")</f>
        <v>be525f3b</v>
      </c>
      <c r="G494" s="211" t="str">
        <f>IFERROR(__xludf.DUMMYFUNCTION("""COMPUTED_VALUE"""),"LPG 12kg")</f>
        <v>LPG 12kg</v>
      </c>
      <c r="H494" s="214" t="str">
        <f>IFERROR(__xludf.DUMMYFUNCTION("""COMPUTED_VALUE"""),"IN")</f>
        <v>IN</v>
      </c>
      <c r="I494" s="214" t="str">
        <f>IFERROR(__xludf.DUMMYFUNCTION("""COMPUTED_VALUE"""),"EMPTY")</f>
        <v>EMPTY</v>
      </c>
      <c r="J494" s="211">
        <f>IFERROR(__xludf.DUMMYFUNCTION("""COMPUTED_VALUE"""),1.0)</f>
        <v>1</v>
      </c>
      <c r="K494" s="211"/>
      <c r="L494" s="211"/>
      <c r="M494" s="211"/>
      <c r="N494" s="211"/>
      <c r="O494" s="211"/>
      <c r="Q494" s="210" t="str">
        <f>IFERROR(__xludf.DUMMYFUNCTION("""COMPUTED_VALUE"""),"02250271")</f>
        <v>02250271</v>
      </c>
      <c r="R494" s="210" t="str">
        <f>IFERROR(__xludf.DUMMYFUNCTION("""COMPUTED_VALUE"""),"02250271")</f>
        <v>02250271</v>
      </c>
      <c r="S494" s="211" t="str">
        <f>IFERROR(__xludf.DUMMYFUNCTION("""COMPUTED_VALUE"""),"5f23ba17")</f>
        <v>5f23ba17</v>
      </c>
      <c r="T494" s="211" t="str">
        <f>IFERROR(__xludf.DUMMYFUNCTION("""COMPUTED_VALUE"""),"Bpk. Joko (Gresik)")</f>
        <v>Bpk. Joko (Gresik)</v>
      </c>
      <c r="U494" s="215">
        <f>IFERROR(__xludf.DUMMYFUNCTION("""COMPUTED_VALUE"""),45708.464583333334)</f>
        <v>45708.46458</v>
      </c>
      <c r="V494" s="211" t="str">
        <f>IFERROR(__xludf.DUMMYFUNCTION("""COMPUTED_VALUE"""),"Tanggungan, Lebaniwaras, Kec. Wringinanom, Kabupaten Gresik, Jawa Timur")</f>
        <v>Tanggungan, Lebaniwaras, Kec. Wringinanom, Kabupaten Gresik, Jawa Timur</v>
      </c>
      <c r="W494" s="211" t="str">
        <f>IFERROR(__xludf.DUMMYFUNCTION("""COMPUTED_VALUE"""),"OUT")</f>
        <v>OUT</v>
      </c>
      <c r="X494" s="211"/>
      <c r="Z494" s="211" t="str">
        <f>IFERROR(__xludf.DUMMYFUNCTION("""COMPUTED_VALUE"""),"122572017")</f>
        <v>122572017</v>
      </c>
      <c r="AC494" s="211"/>
      <c r="AD494" s="211"/>
      <c r="AE494" s="211"/>
      <c r="AF494" s="211"/>
      <c r="AG494" s="211"/>
      <c r="AH494" s="211"/>
      <c r="AI494" s="211"/>
      <c r="AJ494" s="211"/>
      <c r="AL494" s="211"/>
      <c r="AM494" s="211"/>
      <c r="AN494" s="211"/>
      <c r="AO494" s="211"/>
      <c r="AP494" s="215"/>
      <c r="AQ494" s="218"/>
      <c r="AR494" s="211"/>
      <c r="AS494" s="211"/>
      <c r="AT494" s="211"/>
      <c r="AU494" s="211"/>
      <c r="AV494" s="211"/>
      <c r="AW494" s="211"/>
      <c r="AX494" s="211"/>
      <c r="AY494" s="211"/>
      <c r="AZ494" s="211"/>
      <c r="BB494" s="211"/>
      <c r="BC494" s="211"/>
      <c r="BD494" s="211"/>
      <c r="BE494" s="211"/>
      <c r="BF494" s="211"/>
      <c r="BG494" s="211"/>
      <c r="BH494" s="211"/>
      <c r="BI494" s="211"/>
    </row>
    <row r="495">
      <c r="A495" s="210" t="str">
        <f>IFERROR(__xludf.DUMMYFUNCTION("""COMPUTED_VALUE"""),"89c2a981")</f>
        <v>89c2a981</v>
      </c>
      <c r="B495" s="210" t="str">
        <f>IFERROR(__xludf.DUMMYFUNCTION("""COMPUTED_VALUE"""),"89c2a981")</f>
        <v>89c2a981</v>
      </c>
      <c r="C495" s="213">
        <f>IFERROR(__xludf.DUMMYFUNCTION("""COMPUTED_VALUE"""),45670.52222222222)</f>
        <v>45670.52222</v>
      </c>
      <c r="D495" s="211" t="str">
        <f>IFERROR(__xludf.DUMMYFUNCTION("""COMPUTED_VALUE"""),"6b737895")</f>
        <v>6b737895</v>
      </c>
      <c r="E495" s="211" t="str">
        <f>IFERROR(__xludf.DUMMYFUNCTION("""COMPUTED_VALUE"""),"Ibu Yanti")</f>
        <v>Ibu Yanti</v>
      </c>
      <c r="F495" s="211" t="str">
        <f>IFERROR(__xludf.DUMMYFUNCTION("""COMPUTED_VALUE"""),"e8544a46")</f>
        <v>e8544a46</v>
      </c>
      <c r="G495" s="211" t="str">
        <f>IFERROR(__xludf.DUMMYFUNCTION("""COMPUTED_VALUE"""),"Oksigen 1m3")</f>
        <v>Oksigen 1m3</v>
      </c>
      <c r="H495" s="214" t="str">
        <f>IFERROR(__xludf.DUMMYFUNCTION("""COMPUTED_VALUE"""),"IN")</f>
        <v>IN</v>
      </c>
      <c r="I495" s="214" t="str">
        <f>IFERROR(__xludf.DUMMYFUNCTION("""COMPUTED_VALUE"""),"EMPTY")</f>
        <v>EMPTY</v>
      </c>
      <c r="J495" s="211">
        <f>IFERROR(__xludf.DUMMYFUNCTION("""COMPUTED_VALUE"""),1.0)</f>
        <v>1</v>
      </c>
      <c r="K495" s="210" t="str">
        <f>IFERROR(__xludf.DUMMYFUNCTION("""COMPUTED_VALUE"""),"1")</f>
        <v>1</v>
      </c>
      <c r="L495" s="211"/>
      <c r="M495" s="211"/>
      <c r="N495" s="211"/>
      <c r="O495" s="211"/>
      <c r="Q495" s="210" t="str">
        <f>IFERROR(__xludf.DUMMYFUNCTION("""COMPUTED_VALUE"""),"0225191090")</f>
        <v>0225191090</v>
      </c>
      <c r="R495" s="210" t="str">
        <f>IFERROR(__xludf.DUMMYFUNCTION("""COMPUTED_VALUE"""),"0225191090")</f>
        <v>0225191090</v>
      </c>
      <c r="S495" s="211" t="str">
        <f>IFERROR(__xludf.DUMMYFUNCTION("""COMPUTED_VALUE"""),"5f23ba17")</f>
        <v>5f23ba17</v>
      </c>
      <c r="T495" s="211" t="str">
        <f>IFERROR(__xludf.DUMMYFUNCTION("""COMPUTED_VALUE"""),"Bpk. Joko (Gresik)")</f>
        <v>Bpk. Joko (Gresik)</v>
      </c>
      <c r="U495" s="215">
        <f>IFERROR(__xludf.DUMMYFUNCTION("""COMPUTED_VALUE"""),45708.464583333334)</f>
        <v>45708.46458</v>
      </c>
      <c r="V495" s="211" t="str">
        <f>IFERROR(__xludf.DUMMYFUNCTION("""COMPUTED_VALUE"""),"Jl. Raya Wringinanom, Tanggungan, Lebaniwaras, Kec. Wringinanom, Kabupaten Gresik, Jawa Timur 61176")</f>
        <v>Jl. Raya Wringinanom, Tanggungan, Lebaniwaras, Kec. Wringinanom, Kabupaten Gresik, Jawa Timur 61176</v>
      </c>
      <c r="W495" s="211" t="str">
        <f>IFERROR(__xludf.DUMMYFUNCTION("""COMPUTED_VALUE"""),"OUT")</f>
        <v>OUT</v>
      </c>
      <c r="X495" s="211"/>
      <c r="Z495" s="211" t="str">
        <f>IFERROR(__xludf.DUMMYFUNCTION("""COMPUTED_VALUE"""),"1225392016")</f>
        <v>1225392016</v>
      </c>
      <c r="AC495" s="211"/>
      <c r="AD495" s="211"/>
      <c r="AE495" s="211"/>
      <c r="AF495" s="211"/>
      <c r="AG495" s="211"/>
      <c r="AH495" s="211"/>
      <c r="AI495" s="211"/>
      <c r="AJ495" s="211"/>
      <c r="AL495" s="211"/>
      <c r="AM495" s="211"/>
      <c r="AN495" s="211"/>
      <c r="AO495" s="211"/>
      <c r="AP495" s="215"/>
      <c r="AQ495" s="218"/>
      <c r="AR495" s="211"/>
      <c r="AS495" s="211"/>
      <c r="AT495" s="211"/>
      <c r="AU495" s="211"/>
      <c r="AV495" s="211"/>
      <c r="AW495" s="211"/>
      <c r="AX495" s="211"/>
      <c r="AY495" s="211"/>
      <c r="AZ495" s="211"/>
      <c r="BB495" s="211"/>
      <c r="BC495" s="211"/>
      <c r="BD495" s="211"/>
      <c r="BE495" s="211"/>
      <c r="BF495" s="211"/>
      <c r="BG495" s="211"/>
      <c r="BH495" s="211"/>
      <c r="BI495" s="211"/>
    </row>
    <row r="496">
      <c r="A496" s="210" t="str">
        <f>IFERROR(__xludf.DUMMYFUNCTION("""COMPUTED_VALUE"""),"01250213")</f>
        <v>01250213</v>
      </c>
      <c r="B496" s="210" t="str">
        <f>IFERROR(__xludf.DUMMYFUNCTION("""COMPUTED_VALUE"""),"01250213")</f>
        <v>01250213</v>
      </c>
      <c r="C496" s="213">
        <f>IFERROR(__xludf.DUMMYFUNCTION("""COMPUTED_VALUE"""),45671.35972222222)</f>
        <v>45671.35972</v>
      </c>
      <c r="D496" s="211" t="str">
        <f>IFERROR(__xludf.DUMMYFUNCTION("""COMPUTED_VALUE"""),"ce83e171")</f>
        <v>ce83e171</v>
      </c>
      <c r="E496" s="211" t="str">
        <f>IFERROR(__xludf.DUMMYFUNCTION("""COMPUTED_VALUE"""),"Bpk. Sulaiman")</f>
        <v>Bpk. Sulaiman</v>
      </c>
      <c r="F496" s="211" t="str">
        <f>IFERROR(__xludf.DUMMYFUNCTION("""COMPUTED_VALUE"""),"8bdbe149")</f>
        <v>8bdbe149</v>
      </c>
      <c r="G496" s="211" t="str">
        <f>IFERROR(__xludf.DUMMYFUNCTION("""COMPUTED_VALUE"""),"Oksigen 6m3")</f>
        <v>Oksigen 6m3</v>
      </c>
      <c r="H496" s="214" t="str">
        <f>IFERROR(__xludf.DUMMYFUNCTION("""COMPUTED_VALUE"""),"OUT")</f>
        <v>OUT</v>
      </c>
      <c r="I496" s="214" t="str">
        <f>IFERROR(__xludf.DUMMYFUNCTION("""COMPUTED_VALUE"""),"NORMAL")</f>
        <v>NORMAL</v>
      </c>
      <c r="J496" s="211">
        <f>IFERROR(__xludf.DUMMYFUNCTION("""COMPUTED_VALUE"""),5.0)</f>
        <v>5</v>
      </c>
      <c r="K496" s="210" t="str">
        <f>IFERROR(__xludf.DUMMYFUNCTION("""COMPUTED_VALUE"""),"11171 11174 11172 11169 11144")</f>
        <v>11171 11174 11172 11169 11144</v>
      </c>
      <c r="L496" s="211">
        <f>IFERROR(__xludf.DUMMYFUNCTION("""COMPUTED_VALUE"""),55000.0)</f>
        <v>55000</v>
      </c>
      <c r="M496" s="211"/>
      <c r="N496" s="211"/>
      <c r="O496" s="211"/>
      <c r="Q496" s="210" t="str">
        <f>IFERROR(__xludf.DUMMYFUNCTION("""COMPUTED_VALUE"""),"de93713b")</f>
        <v>de93713b</v>
      </c>
      <c r="R496" s="210" t="str">
        <f>IFERROR(__xludf.DUMMYFUNCTION("""COMPUTED_VALUE"""),"de93713b")</f>
        <v>de93713b</v>
      </c>
      <c r="S496" s="211" t="str">
        <f>IFERROR(__xludf.DUMMYFUNCTION("""COMPUTED_VALUE"""),"785e0e07")</f>
        <v>785e0e07</v>
      </c>
      <c r="T496" s="211" t="str">
        <f>IFERROR(__xludf.DUMMYFUNCTION("""COMPUTED_VALUE"""),"Bpk. Sukirno (Bejo)")</f>
        <v>Bpk. Sukirno (Bejo)</v>
      </c>
      <c r="U496" s="215">
        <f>IFERROR(__xludf.DUMMYFUNCTION("""COMPUTED_VALUE"""),45708.475)</f>
        <v>45708.475</v>
      </c>
      <c r="V496" s="211" t="str">
        <f>IFERROR(__xludf.DUMMYFUNCTION("""COMPUTED_VALUE"""),"Krajan I, Wringinanom, Kec. Wringinanom, Kabupaten Gresik, Jawa Timur 61176")</f>
        <v>Krajan I, Wringinanom, Kec. Wringinanom, Kabupaten Gresik, Jawa Timur 61176</v>
      </c>
      <c r="W496" s="211" t="str">
        <f>IFERROR(__xludf.DUMMYFUNCTION("""COMPUTED_VALUE"""),"IN")</f>
        <v>IN</v>
      </c>
      <c r="X496" s="211"/>
      <c r="Z496" s="211" t="str">
        <f>IFERROR(__xludf.DUMMYFUNCTION("""COMPUTED_VALUE"""),"1225102003")</f>
        <v>1225102003</v>
      </c>
      <c r="AC496" s="211"/>
      <c r="AD496" s="211"/>
      <c r="AE496" s="211"/>
      <c r="AF496" s="211"/>
      <c r="AG496" s="211"/>
      <c r="AH496" s="211"/>
      <c r="AI496" s="211"/>
      <c r="AJ496" s="211"/>
      <c r="AL496" s="211"/>
      <c r="AM496" s="211"/>
      <c r="AN496" s="211"/>
      <c r="AO496" s="211"/>
      <c r="AP496" s="215"/>
      <c r="AQ496" s="218"/>
      <c r="AR496" s="211"/>
      <c r="AS496" s="211"/>
      <c r="AT496" s="211"/>
      <c r="AU496" s="211"/>
      <c r="AV496" s="211"/>
      <c r="AW496" s="211"/>
      <c r="AX496" s="211"/>
      <c r="AY496" s="211"/>
      <c r="AZ496" s="211"/>
      <c r="BB496" s="211"/>
      <c r="BC496" s="211"/>
      <c r="BD496" s="211"/>
      <c r="BE496" s="211"/>
      <c r="BF496" s="211"/>
      <c r="BG496" s="211"/>
      <c r="BH496" s="211"/>
      <c r="BI496" s="211"/>
    </row>
    <row r="497">
      <c r="A497" s="210" t="str">
        <f>IFERROR(__xludf.DUMMYFUNCTION("""COMPUTED_VALUE"""),"a9e46bb2")</f>
        <v>a9e46bb2</v>
      </c>
      <c r="B497" s="210" t="str">
        <f>IFERROR(__xludf.DUMMYFUNCTION("""COMPUTED_VALUE"""),"a9e46bb2")</f>
        <v>a9e46bb2</v>
      </c>
      <c r="C497" s="213">
        <f>IFERROR(__xludf.DUMMYFUNCTION("""COMPUTED_VALUE"""),45671.493055555555)</f>
        <v>45671.49306</v>
      </c>
      <c r="D497" s="211" t="str">
        <f>IFERROR(__xludf.DUMMYFUNCTION("""COMPUTED_VALUE"""),"103f3ae7")</f>
        <v>103f3ae7</v>
      </c>
      <c r="E497" s="211" t="str">
        <f>IFERROR(__xludf.DUMMYFUNCTION("""COMPUTED_VALUE"""),"PT ARYANA CAKASANA")</f>
        <v>PT ARYANA CAKASANA</v>
      </c>
      <c r="F497" s="211" t="str">
        <f>IFERROR(__xludf.DUMMYFUNCTION("""COMPUTED_VALUE"""),"8bdbe149")</f>
        <v>8bdbe149</v>
      </c>
      <c r="G497" s="211" t="str">
        <f>IFERROR(__xludf.DUMMYFUNCTION("""COMPUTED_VALUE"""),"Oksigen 6m3")</f>
        <v>Oksigen 6m3</v>
      </c>
      <c r="H497" s="214" t="str">
        <f>IFERROR(__xludf.DUMMYFUNCTION("""COMPUTED_VALUE"""),"IN")</f>
        <v>IN</v>
      </c>
      <c r="I497" s="214" t="str">
        <f>IFERROR(__xludf.DUMMYFUNCTION("""COMPUTED_VALUE"""),"EMPTY")</f>
        <v>EMPTY</v>
      </c>
      <c r="J497" s="211">
        <f>IFERROR(__xludf.DUMMYFUNCTION("""COMPUTED_VALUE"""),4.0)</f>
        <v>4</v>
      </c>
      <c r="K497" s="210" t="str">
        <f>IFERROR(__xludf.DUMMYFUNCTION("""COMPUTED_VALUE"""),"11121 1134 1181 1193")</f>
        <v>11121 1134 1181 1193</v>
      </c>
      <c r="L497" s="211"/>
      <c r="M497" s="211"/>
      <c r="N497" s="211"/>
      <c r="O497" s="211"/>
      <c r="Q497" s="210" t="str">
        <f>IFERROR(__xludf.DUMMYFUNCTION("""COMPUTED_VALUE"""),"309e29c3")</f>
        <v>309e29c3</v>
      </c>
      <c r="R497" s="210" t="str">
        <f>IFERROR(__xludf.DUMMYFUNCTION("""COMPUTED_VALUE"""),"309e29c3")</f>
        <v>309e29c3</v>
      </c>
      <c r="S497" s="211" t="str">
        <f>IFERROR(__xludf.DUMMYFUNCTION("""COMPUTED_VALUE"""),"5f23ba17")</f>
        <v>5f23ba17</v>
      </c>
      <c r="T497" s="211" t="str">
        <f>IFERROR(__xludf.DUMMYFUNCTION("""COMPUTED_VALUE"""),"Bpk. Joko (Gresik)")</f>
        <v>Bpk. Joko (Gresik)</v>
      </c>
      <c r="U497" s="215">
        <f>IFERROR(__xludf.DUMMYFUNCTION("""COMPUTED_VALUE"""),45708.600694444445)</f>
        <v>45708.60069</v>
      </c>
      <c r="V497" s="211" t="str">
        <f>IFERROR(__xludf.DUMMYFUNCTION("""COMPUTED_VALUE"""),"Tanggungan, Lebaniwaras, Kec. Wringinanom, Kabupaten Gresik, Jawa Timur")</f>
        <v>Tanggungan, Lebaniwaras, Kec. Wringinanom, Kabupaten Gresik, Jawa Timur</v>
      </c>
      <c r="W497" s="211" t="str">
        <f>IFERROR(__xludf.DUMMYFUNCTION("""COMPUTED_VALUE"""),"IN")</f>
        <v>IN</v>
      </c>
      <c r="X497" s="211"/>
      <c r="Z497" s="211" t="str">
        <f>IFERROR(__xludf.DUMMYFUNCTION("""COMPUTED_VALUE"""),"1225342015")</f>
        <v>1225342015</v>
      </c>
      <c r="AC497" s="211"/>
      <c r="AD497" s="211"/>
      <c r="AE497" s="211"/>
      <c r="AF497" s="211"/>
      <c r="AG497" s="211"/>
      <c r="AH497" s="211"/>
      <c r="AI497" s="211"/>
      <c r="AJ497" s="211"/>
      <c r="AL497" s="211"/>
      <c r="AM497" s="211"/>
      <c r="AN497" s="211"/>
      <c r="AO497" s="211"/>
      <c r="AP497" s="215"/>
      <c r="AQ497" s="218"/>
      <c r="AR497" s="211"/>
      <c r="AS497" s="211"/>
      <c r="AT497" s="211"/>
      <c r="AU497" s="211"/>
      <c r="AV497" s="211"/>
      <c r="AW497" s="211"/>
      <c r="AX497" s="211"/>
      <c r="AY497" s="211"/>
      <c r="AZ497" s="211"/>
      <c r="BB497" s="211"/>
      <c r="BC497" s="211"/>
      <c r="BD497" s="211"/>
      <c r="BE497" s="211"/>
      <c r="BF497" s="211"/>
      <c r="BG497" s="211"/>
      <c r="BH497" s="211"/>
      <c r="BI497" s="211"/>
    </row>
    <row r="498">
      <c r="A498" s="210" t="str">
        <f>IFERROR(__xludf.DUMMYFUNCTION("""COMPUTED_VALUE"""),"ef3ff34b")</f>
        <v>ef3ff34b</v>
      </c>
      <c r="B498" s="210" t="str">
        <f>IFERROR(__xludf.DUMMYFUNCTION("""COMPUTED_VALUE"""),"ef3ff34b")</f>
        <v>ef3ff34b</v>
      </c>
      <c r="C498" s="213">
        <f>IFERROR(__xludf.DUMMYFUNCTION("""COMPUTED_VALUE"""),45671.49375)</f>
        <v>45671.49375</v>
      </c>
      <c r="D498" s="211" t="str">
        <f>IFERROR(__xludf.DUMMYFUNCTION("""COMPUTED_VALUE"""),"f8335a53")</f>
        <v>f8335a53</v>
      </c>
      <c r="E498" s="211" t="str">
        <f>IFERROR(__xludf.DUMMYFUNCTION("""COMPUTED_VALUE"""),"CV RAGAM JAYA ENGINEERING")</f>
        <v>CV RAGAM JAYA ENGINEERING</v>
      </c>
      <c r="F498" s="211" t="str">
        <f>IFERROR(__xludf.DUMMYFUNCTION("""COMPUTED_VALUE"""),"be525f3b")</f>
        <v>be525f3b</v>
      </c>
      <c r="G498" s="211" t="str">
        <f>IFERROR(__xludf.DUMMYFUNCTION("""COMPUTED_VALUE"""),"LPG 12kg")</f>
        <v>LPG 12kg</v>
      </c>
      <c r="H498" s="214" t="str">
        <f>IFERROR(__xludf.DUMMYFUNCTION("""COMPUTED_VALUE"""),"IN")</f>
        <v>IN</v>
      </c>
      <c r="I498" s="214" t="str">
        <f>IFERROR(__xludf.DUMMYFUNCTION("""COMPUTED_VALUE"""),"EMPTY")</f>
        <v>EMPTY</v>
      </c>
      <c r="J498" s="211">
        <f>IFERROR(__xludf.DUMMYFUNCTION("""COMPUTED_VALUE"""),2.0)</f>
        <v>2</v>
      </c>
      <c r="K498" s="211"/>
      <c r="L498" s="211"/>
      <c r="M498" s="211"/>
      <c r="N498" s="211"/>
      <c r="O498" s="211"/>
      <c r="Q498" s="210" t="str">
        <f>IFERROR(__xludf.DUMMYFUNCTION("""COMPUTED_VALUE"""),"0b820aa9")</f>
        <v>0b820aa9</v>
      </c>
      <c r="R498" s="210" t="str">
        <f>IFERROR(__xludf.DUMMYFUNCTION("""COMPUTED_VALUE"""),"0b820aa9")</f>
        <v>0b820aa9</v>
      </c>
      <c r="S498" s="211" t="str">
        <f>IFERROR(__xludf.DUMMYFUNCTION("""COMPUTED_VALUE"""),"5f23ba17")</f>
        <v>5f23ba17</v>
      </c>
      <c r="T498" s="211" t="str">
        <f>IFERROR(__xludf.DUMMYFUNCTION("""COMPUTED_VALUE"""),"Bpk. Joko (Gresik)")</f>
        <v>Bpk. Joko (Gresik)</v>
      </c>
      <c r="U498" s="215">
        <f>IFERROR(__xludf.DUMMYFUNCTION("""COMPUTED_VALUE"""),45708.600694444445)</f>
        <v>45708.60069</v>
      </c>
      <c r="V498" s="211" t="str">
        <f>IFERROR(__xludf.DUMMYFUNCTION("""COMPUTED_VALUE"""),"Jl. Raya Wringinanom, Tanggungan, Lebaniwaras, Kec. Wringinanom, Kabupaten Gresik, Jawa Timur 61176")</f>
        <v>Jl. Raya Wringinanom, Tanggungan, Lebaniwaras, Kec. Wringinanom, Kabupaten Gresik, Jawa Timur 61176</v>
      </c>
      <c r="W498" s="211" t="str">
        <f>IFERROR(__xludf.DUMMYFUNCTION("""COMPUTED_VALUE"""),"IN")</f>
        <v>IN</v>
      </c>
      <c r="X498" s="211"/>
      <c r="Z498" s="211" t="str">
        <f>IFERROR(__xludf.DUMMYFUNCTION("""COMPUTED_VALUE"""),"122532012")</f>
        <v>122532012</v>
      </c>
      <c r="AC498" s="211"/>
      <c r="AD498" s="211"/>
      <c r="AE498" s="211"/>
      <c r="AF498" s="211"/>
      <c r="AG498" s="211"/>
      <c r="AH498" s="211"/>
      <c r="AI498" s="211"/>
      <c r="AJ498" s="211"/>
      <c r="AL498" s="211"/>
      <c r="AM498" s="211"/>
      <c r="AN498" s="211"/>
      <c r="AO498" s="211"/>
      <c r="AP498" s="215"/>
      <c r="AQ498" s="218"/>
      <c r="AR498" s="211"/>
      <c r="AS498" s="211"/>
      <c r="AT498" s="211"/>
      <c r="AU498" s="211"/>
      <c r="AV498" s="211"/>
      <c r="AW498" s="211"/>
      <c r="AX498" s="211"/>
      <c r="AY498" s="211"/>
      <c r="AZ498" s="211"/>
      <c r="BB498" s="211"/>
      <c r="BC498" s="211"/>
      <c r="BD498" s="211"/>
      <c r="BE498" s="211"/>
      <c r="BF498" s="211"/>
      <c r="BG498" s="211"/>
      <c r="BH498" s="211"/>
      <c r="BI498" s="211"/>
    </row>
    <row r="499">
      <c r="A499" s="210" t="str">
        <f>IFERROR(__xludf.DUMMYFUNCTION("""COMPUTED_VALUE"""),"01250214")</f>
        <v>01250214</v>
      </c>
      <c r="B499" s="210" t="str">
        <f>IFERROR(__xludf.DUMMYFUNCTION("""COMPUTED_VALUE"""),"01250214")</f>
        <v>01250214</v>
      </c>
      <c r="C499" s="213">
        <f>IFERROR(__xludf.DUMMYFUNCTION("""COMPUTED_VALUE"""),45672.35972222222)</f>
        <v>45672.35972</v>
      </c>
      <c r="D499" s="211" t="str">
        <f>IFERROR(__xludf.DUMMYFUNCTION("""COMPUTED_VALUE"""),"5f23ba17")</f>
        <v>5f23ba17</v>
      </c>
      <c r="E499" s="211" t="str">
        <f>IFERROR(__xludf.DUMMYFUNCTION("""COMPUTED_VALUE"""),"Bpk. Joko (Gresik)")</f>
        <v>Bpk. Joko (Gresik)</v>
      </c>
      <c r="F499" s="211" t="str">
        <f>IFERROR(__xludf.DUMMYFUNCTION("""COMPUTED_VALUE"""),"f6aab7a9")</f>
        <v>f6aab7a9</v>
      </c>
      <c r="G499" s="211" t="str">
        <f>IFERROR(__xludf.DUMMYFUNCTION("""COMPUTED_VALUE"""),"Oksigen 6m3 MR")</f>
        <v>Oksigen 6m3 MR</v>
      </c>
      <c r="H499" s="214" t="str">
        <f>IFERROR(__xludf.DUMMYFUNCTION("""COMPUTED_VALUE"""),"OUT")</f>
        <v>OUT</v>
      </c>
      <c r="I499" s="214" t="str">
        <f>IFERROR(__xludf.DUMMYFUNCTION("""COMPUTED_VALUE"""),"NORMAL")</f>
        <v>NORMAL</v>
      </c>
      <c r="J499" s="211">
        <f>IFERROR(__xludf.DUMMYFUNCTION("""COMPUTED_VALUE"""),14.0)</f>
        <v>14</v>
      </c>
      <c r="K499" s="211"/>
      <c r="L499" s="211">
        <f>IFERROR(__xludf.DUMMYFUNCTION("""COMPUTED_VALUE"""),55000.0)</f>
        <v>55000</v>
      </c>
      <c r="M499" s="211"/>
      <c r="N499" s="211"/>
      <c r="O499" s="211"/>
      <c r="Q499" s="210" t="str">
        <f>IFERROR(__xludf.DUMMYFUNCTION("""COMPUTED_VALUE"""),"02250273")</f>
        <v>02250273</v>
      </c>
      <c r="R499" s="210" t="str">
        <f>IFERROR(__xludf.DUMMYFUNCTION("""COMPUTED_VALUE"""),"02250273")</f>
        <v>02250273</v>
      </c>
      <c r="S499" s="211" t="str">
        <f>IFERROR(__xludf.DUMMYFUNCTION("""COMPUTED_VALUE"""),"785e0e07")</f>
        <v>785e0e07</v>
      </c>
      <c r="T499" s="211" t="str">
        <f>IFERROR(__xludf.DUMMYFUNCTION("""COMPUTED_VALUE"""),"Bpk. Sukirno (Bejo)")</f>
        <v>Bpk. Sukirno (Bejo)</v>
      </c>
      <c r="U499" s="215">
        <f>IFERROR(__xludf.DUMMYFUNCTION("""COMPUTED_VALUE"""),45709.37152777778)</f>
        <v>45709.37153</v>
      </c>
      <c r="V499" s="211" t="str">
        <f>IFERROR(__xludf.DUMMYFUNCTION("""COMPUTED_VALUE"""),"Krajan I, Wringinanom, Kec. Wringinanom, Kabupaten Gresik, Jawa Timur 61176")</f>
        <v>Krajan I, Wringinanom, Kec. Wringinanom, Kabupaten Gresik, Jawa Timur 61176</v>
      </c>
      <c r="W499" s="211" t="str">
        <f>IFERROR(__xludf.DUMMYFUNCTION("""COMPUTED_VALUE"""),"OUT")</f>
        <v>OUT</v>
      </c>
      <c r="X499" s="211"/>
      <c r="Z499" s="211" t="str">
        <f>IFERROR(__xludf.DUMMYFUNCTION("""COMPUTED_VALUE"""),"1225242006")</f>
        <v>1225242006</v>
      </c>
      <c r="AC499" s="211"/>
      <c r="AD499" s="211"/>
      <c r="AE499" s="211"/>
      <c r="AF499" s="211"/>
      <c r="AG499" s="211"/>
      <c r="AH499" s="211"/>
      <c r="AI499" s="211"/>
      <c r="AJ499" s="211"/>
      <c r="AL499" s="211"/>
      <c r="AM499" s="211"/>
      <c r="AN499" s="211"/>
      <c r="AO499" s="211"/>
      <c r="AP499" s="215"/>
      <c r="AQ499" s="218"/>
      <c r="AR499" s="211"/>
      <c r="AS499" s="211"/>
      <c r="AT499" s="211"/>
      <c r="AU499" s="211"/>
      <c r="AV499" s="211"/>
      <c r="AW499" s="211"/>
      <c r="AX499" s="211"/>
      <c r="AY499" s="211"/>
      <c r="AZ499" s="211"/>
      <c r="BB499" s="211"/>
      <c r="BC499" s="211"/>
      <c r="BD499" s="211"/>
      <c r="BE499" s="211"/>
      <c r="BF499" s="211"/>
      <c r="BG499" s="211"/>
      <c r="BH499" s="211"/>
      <c r="BI499" s="211"/>
    </row>
    <row r="500">
      <c r="A500" s="210" t="str">
        <f>IFERROR(__xludf.DUMMYFUNCTION("""COMPUTED_VALUE"""),"c1536df9")</f>
        <v>c1536df9</v>
      </c>
      <c r="B500" s="210" t="str">
        <f>IFERROR(__xludf.DUMMYFUNCTION("""COMPUTED_VALUE"""),"c1536df9")</f>
        <v>c1536df9</v>
      </c>
      <c r="C500" s="213">
        <f>IFERROR(__xludf.DUMMYFUNCTION("""COMPUTED_VALUE"""),45672.501388888886)</f>
        <v>45672.50139</v>
      </c>
      <c r="D500" s="211" t="str">
        <f>IFERROR(__xludf.DUMMYFUNCTION("""COMPUTED_VALUE"""),"37175874")</f>
        <v>37175874</v>
      </c>
      <c r="E500" s="211" t="str">
        <f>IFERROR(__xludf.DUMMYFUNCTION("""COMPUTED_VALUE"""),"PT TERAPAN NILAIOSILASI INDONESIA (TENO)")</f>
        <v>PT TERAPAN NILAIOSILASI INDONESIA (TENO)</v>
      </c>
      <c r="F500" s="211" t="str">
        <f>IFERROR(__xludf.DUMMYFUNCTION("""COMPUTED_VALUE"""),"8bdbe149")</f>
        <v>8bdbe149</v>
      </c>
      <c r="G500" s="211" t="str">
        <f>IFERROR(__xludf.DUMMYFUNCTION("""COMPUTED_VALUE"""),"Oksigen 6m3")</f>
        <v>Oksigen 6m3</v>
      </c>
      <c r="H500" s="214" t="str">
        <f>IFERROR(__xludf.DUMMYFUNCTION("""COMPUTED_VALUE"""),"IN")</f>
        <v>IN</v>
      </c>
      <c r="I500" s="214" t="str">
        <f>IFERROR(__xludf.DUMMYFUNCTION("""COMPUTED_VALUE"""),"EMPTY")</f>
        <v>EMPTY</v>
      </c>
      <c r="J500" s="211">
        <f>IFERROR(__xludf.DUMMYFUNCTION("""COMPUTED_VALUE"""),8.0)</f>
        <v>8</v>
      </c>
      <c r="K500" s="210" t="str">
        <f>IFERROR(__xludf.DUMMYFUNCTION("""COMPUTED_VALUE"""),"11164 11150 11136 11166 11148 11141 11193 11184")</f>
        <v>11164 11150 11136 11166 11148 11141 11193 11184</v>
      </c>
      <c r="L500" s="211"/>
      <c r="M500" s="211"/>
      <c r="N500" s="211"/>
      <c r="O500" s="211"/>
      <c r="Q500" s="210" t="str">
        <f>IFERROR(__xludf.DUMMYFUNCTION("""COMPUTED_VALUE"""),"02250274")</f>
        <v>02250274</v>
      </c>
      <c r="R500" s="210" t="str">
        <f>IFERROR(__xludf.DUMMYFUNCTION("""COMPUTED_VALUE"""),"02250274")</f>
        <v>02250274</v>
      </c>
      <c r="S500" s="211" t="str">
        <f>IFERROR(__xludf.DUMMYFUNCTION("""COMPUTED_VALUE"""),"e86baf3b")</f>
        <v>e86baf3b</v>
      </c>
      <c r="T500" s="211" t="str">
        <f>IFERROR(__xludf.DUMMYFUNCTION("""COMPUTED_VALUE"""),"PT GEMILANG CIPTA WAWASAN")</f>
        <v>PT GEMILANG CIPTA WAWASAN</v>
      </c>
      <c r="U500" s="215">
        <f>IFERROR(__xludf.DUMMYFUNCTION("""COMPUTED_VALUE"""),45709.375)</f>
        <v>45709.375</v>
      </c>
      <c r="V500" s="211" t="str">
        <f>IFERROR(__xludf.DUMMYFUNCTION("""COMPUTED_VALUE"""),"JL TEBET RAYA, 2A, TEBET BARAT, TEBET, KOTA ADM, JAKARTA SELATAN, DKI JAKARTA")</f>
        <v>JL TEBET RAYA, 2A, TEBET BARAT, TEBET, KOTA ADM, JAKARTA SELATAN, DKI JAKARTA</v>
      </c>
      <c r="W500" s="211" t="str">
        <f>IFERROR(__xludf.DUMMYFUNCTION("""COMPUTED_VALUE"""),"OUT")</f>
        <v>OUT</v>
      </c>
      <c r="X500" s="211"/>
      <c r="Z500" s="211" t="str">
        <f>IFERROR(__xludf.DUMMYFUNCTION("""COMPUTED_VALUE"""),"1225392008")</f>
        <v>1225392008</v>
      </c>
      <c r="AC500" s="211"/>
      <c r="AD500" s="211"/>
      <c r="AE500" s="211"/>
      <c r="AF500" s="211"/>
      <c r="AG500" s="211"/>
      <c r="AH500" s="211"/>
      <c r="AI500" s="211"/>
      <c r="AJ500" s="211"/>
      <c r="AL500" s="211"/>
      <c r="AM500" s="211"/>
      <c r="AN500" s="211"/>
      <c r="AO500" s="211"/>
      <c r="AP500" s="215"/>
      <c r="AQ500" s="218"/>
      <c r="AR500" s="211"/>
      <c r="AS500" s="211"/>
      <c r="AT500" s="211"/>
      <c r="AU500" s="211"/>
      <c r="AV500" s="211"/>
      <c r="AW500" s="211"/>
      <c r="AX500" s="211"/>
      <c r="AY500" s="211"/>
      <c r="AZ500" s="211"/>
      <c r="BB500" s="211"/>
      <c r="BC500" s="211"/>
      <c r="BD500" s="211"/>
      <c r="BE500" s="211"/>
      <c r="BF500" s="211"/>
      <c r="BG500" s="211"/>
      <c r="BH500" s="211"/>
      <c r="BI500" s="211"/>
    </row>
    <row r="501">
      <c r="A501" s="210" t="str">
        <f>IFERROR(__xludf.DUMMYFUNCTION("""COMPUTED_VALUE"""),"5c467d8f")</f>
        <v>5c467d8f</v>
      </c>
      <c r="B501" s="210" t="str">
        <f>IFERROR(__xludf.DUMMYFUNCTION("""COMPUTED_VALUE"""),"5c467d8f")</f>
        <v>5c467d8f</v>
      </c>
      <c r="C501" s="213">
        <f>IFERROR(__xludf.DUMMYFUNCTION("""COMPUTED_VALUE"""),45672.50277777778)</f>
        <v>45672.50278</v>
      </c>
      <c r="D501" s="211" t="str">
        <f>IFERROR(__xludf.DUMMYFUNCTION("""COMPUTED_VALUE"""),"5f23ba17")</f>
        <v>5f23ba17</v>
      </c>
      <c r="E501" s="211" t="str">
        <f>IFERROR(__xludf.DUMMYFUNCTION("""COMPUTED_VALUE"""),"Bpk. Joko (Gresik)")</f>
        <v>Bpk. Joko (Gresik)</v>
      </c>
      <c r="F501" s="211" t="str">
        <f>IFERROR(__xludf.DUMMYFUNCTION("""COMPUTED_VALUE"""),"f6aab7a9")</f>
        <v>f6aab7a9</v>
      </c>
      <c r="G501" s="211" t="str">
        <f>IFERROR(__xludf.DUMMYFUNCTION("""COMPUTED_VALUE"""),"Oksigen 6m3 MR")</f>
        <v>Oksigen 6m3 MR</v>
      </c>
      <c r="H501" s="214" t="str">
        <f>IFERROR(__xludf.DUMMYFUNCTION("""COMPUTED_VALUE"""),"IN")</f>
        <v>IN</v>
      </c>
      <c r="I501" s="214" t="str">
        <f>IFERROR(__xludf.DUMMYFUNCTION("""COMPUTED_VALUE"""),"EMPTY")</f>
        <v>EMPTY</v>
      </c>
      <c r="J501" s="211">
        <f>IFERROR(__xludf.DUMMYFUNCTION("""COMPUTED_VALUE"""),3.0)</f>
        <v>3</v>
      </c>
      <c r="K501" s="211"/>
      <c r="L501" s="211"/>
      <c r="M501" s="211"/>
      <c r="N501" s="211"/>
      <c r="O501" s="211"/>
      <c r="Q501" s="210" t="str">
        <f>IFERROR(__xludf.DUMMYFUNCTION("""COMPUTED_VALUE"""),"a255cf34")</f>
        <v>a255cf34</v>
      </c>
      <c r="R501" s="210" t="str">
        <f>IFERROR(__xludf.DUMMYFUNCTION("""COMPUTED_VALUE"""),"a255cf34")</f>
        <v>a255cf34</v>
      </c>
      <c r="S501" s="211" t="str">
        <f>IFERROR(__xludf.DUMMYFUNCTION("""COMPUTED_VALUE"""),"785e0e07")</f>
        <v>785e0e07</v>
      </c>
      <c r="T501" s="211" t="str">
        <f>IFERROR(__xludf.DUMMYFUNCTION("""COMPUTED_VALUE"""),"Bpk. Sukirno (Bejo)")</f>
        <v>Bpk. Sukirno (Bejo)</v>
      </c>
      <c r="U501" s="215">
        <f>IFERROR(__xludf.DUMMYFUNCTION("""COMPUTED_VALUE"""),45709.535416666666)</f>
        <v>45709.53542</v>
      </c>
      <c r="V501" s="211" t="str">
        <f>IFERROR(__xludf.DUMMYFUNCTION("""COMPUTED_VALUE"""),"Krajan I, Wringinanom, Kec. Wringinanom, Kabupaten Gresik, Jawa Timur 61176")</f>
        <v>Krajan I, Wringinanom, Kec. Wringinanom, Kabupaten Gresik, Jawa Timur 61176</v>
      </c>
      <c r="W501" s="211" t="str">
        <f>IFERROR(__xludf.DUMMYFUNCTION("""COMPUTED_VALUE"""),"IN")</f>
        <v>IN</v>
      </c>
      <c r="X501" s="211"/>
      <c r="Z501" s="211" t="str">
        <f>IFERROR(__xludf.DUMMYFUNCTION("""COMPUTED_VALUE"""),"1225382007")</f>
        <v>1225382007</v>
      </c>
      <c r="AC501" s="211"/>
      <c r="AD501" s="211"/>
      <c r="AE501" s="211"/>
      <c r="AF501" s="211"/>
      <c r="AG501" s="211"/>
      <c r="AH501" s="211"/>
      <c r="AI501" s="211"/>
      <c r="AJ501" s="211"/>
      <c r="AL501" s="211"/>
      <c r="AM501" s="211"/>
      <c r="AN501" s="211"/>
      <c r="AO501" s="211"/>
      <c r="AP501" s="215"/>
      <c r="AQ501" s="218"/>
      <c r="AR501" s="211"/>
      <c r="AS501" s="211"/>
      <c r="AT501" s="211"/>
      <c r="AU501" s="211"/>
      <c r="AV501" s="211"/>
      <c r="AW501" s="211"/>
      <c r="AX501" s="211"/>
      <c r="AY501" s="211"/>
      <c r="AZ501" s="211"/>
      <c r="BB501" s="211"/>
      <c r="BC501" s="211"/>
      <c r="BD501" s="211"/>
      <c r="BE501" s="211"/>
      <c r="BF501" s="211"/>
      <c r="BG501" s="211"/>
      <c r="BH501" s="211"/>
      <c r="BI501" s="211"/>
    </row>
    <row r="502">
      <c r="A502" s="210" t="str">
        <f>IFERROR(__xludf.DUMMYFUNCTION("""COMPUTED_VALUE"""),"5c467d8f")</f>
        <v>5c467d8f</v>
      </c>
      <c r="B502" s="210" t="str">
        <f>IFERROR(__xludf.DUMMYFUNCTION("""COMPUTED_VALUE"""),"5c467d8f")</f>
        <v>5c467d8f</v>
      </c>
      <c r="C502" s="213">
        <f>IFERROR(__xludf.DUMMYFUNCTION("""COMPUTED_VALUE"""),45672.504166666666)</f>
        <v>45672.50417</v>
      </c>
      <c r="D502" s="211" t="str">
        <f>IFERROR(__xludf.DUMMYFUNCTION("""COMPUTED_VALUE"""),"5f23ba17")</f>
        <v>5f23ba17</v>
      </c>
      <c r="E502" s="211" t="str">
        <f>IFERROR(__xludf.DUMMYFUNCTION("""COMPUTED_VALUE"""),"Bpk. Joko (Gresik)")</f>
        <v>Bpk. Joko (Gresik)</v>
      </c>
      <c r="F502" s="211" t="str">
        <f>IFERROR(__xludf.DUMMYFUNCTION("""COMPUTED_VALUE"""),"8bdbe149")</f>
        <v>8bdbe149</v>
      </c>
      <c r="G502" s="211" t="str">
        <f>IFERROR(__xludf.DUMMYFUNCTION("""COMPUTED_VALUE"""),"Oksigen 6m3")</f>
        <v>Oksigen 6m3</v>
      </c>
      <c r="H502" s="214" t="str">
        <f>IFERROR(__xludf.DUMMYFUNCTION("""COMPUTED_VALUE"""),"IN")</f>
        <v>IN</v>
      </c>
      <c r="I502" s="214" t="str">
        <f>IFERROR(__xludf.DUMMYFUNCTION("""COMPUTED_VALUE"""),"EMPTY")</f>
        <v>EMPTY</v>
      </c>
      <c r="J502" s="211">
        <f>IFERROR(__xludf.DUMMYFUNCTION("""COMPUTED_VALUE"""),2.0)</f>
        <v>2</v>
      </c>
      <c r="K502" s="210" t="str">
        <f>IFERROR(__xludf.DUMMYFUNCTION("""COMPUTED_VALUE"""),"1572 1752")</f>
        <v>1572 1752</v>
      </c>
      <c r="L502" s="211"/>
      <c r="M502" s="211"/>
      <c r="N502" s="211"/>
      <c r="O502" s="211"/>
      <c r="Q502" s="210" t="str">
        <f>IFERROR(__xludf.DUMMYFUNCTION("""COMPUTED_VALUE"""),"8e5f42db")</f>
        <v>8e5f42db</v>
      </c>
      <c r="R502" s="210" t="str">
        <f>IFERROR(__xludf.DUMMYFUNCTION("""COMPUTED_VALUE"""),"8e5f42db")</f>
        <v>8e5f42db</v>
      </c>
      <c r="S502" s="211" t="str">
        <f>IFERROR(__xludf.DUMMYFUNCTION("""COMPUTED_VALUE"""),"01158be1")</f>
        <v>01158be1</v>
      </c>
      <c r="T502" s="211" t="str">
        <f>IFERROR(__xludf.DUMMYFUNCTION("""COMPUTED_VALUE"""),"GYF")</f>
        <v>GYF</v>
      </c>
      <c r="U502" s="215">
        <f>IFERROR(__xludf.DUMMYFUNCTION("""COMPUTED_VALUE"""),45709.65486111111)</f>
        <v>45709.65486</v>
      </c>
      <c r="V502" s="211" t="str">
        <f>IFERROR(__xludf.DUMMYFUNCTION("""COMPUTED_VALUE"""),"Kangkungan, Lengkong, Kec. Mojoanyar, Kabupaten Mojokerto, Jawa Timur")</f>
        <v>Kangkungan, Lengkong, Kec. Mojoanyar, Kabupaten Mojokerto, Jawa Timur</v>
      </c>
      <c r="W502" s="211" t="str">
        <f>IFERROR(__xludf.DUMMYFUNCTION("""COMPUTED_VALUE"""),"IN")</f>
        <v>IN</v>
      </c>
      <c r="X502" s="211"/>
      <c r="Z502" s="211" t="str">
        <f>IFERROR(__xludf.DUMMYFUNCTION("""COMPUTED_VALUE"""),"1225332003")</f>
        <v>1225332003</v>
      </c>
      <c r="AC502" s="211"/>
      <c r="AD502" s="211"/>
      <c r="AE502" s="211"/>
      <c r="AF502" s="211"/>
      <c r="AG502" s="211"/>
      <c r="AH502" s="211"/>
      <c r="AI502" s="211"/>
      <c r="AJ502" s="211"/>
      <c r="AL502" s="211"/>
      <c r="AM502" s="211"/>
      <c r="AN502" s="211"/>
      <c r="AO502" s="211"/>
      <c r="AP502" s="215"/>
      <c r="AQ502" s="218"/>
      <c r="AR502" s="211"/>
      <c r="AS502" s="211"/>
      <c r="AT502" s="211"/>
      <c r="AU502" s="211"/>
      <c r="AV502" s="211"/>
      <c r="AW502" s="211"/>
      <c r="AX502" s="211"/>
      <c r="AY502" s="211"/>
      <c r="AZ502" s="211"/>
      <c r="BB502" s="211"/>
      <c r="BC502" s="211"/>
      <c r="BD502" s="211"/>
      <c r="BE502" s="211"/>
      <c r="BF502" s="211"/>
      <c r="BG502" s="211"/>
      <c r="BH502" s="211"/>
      <c r="BI502" s="211"/>
    </row>
    <row r="503">
      <c r="A503" s="210" t="str">
        <f>IFERROR(__xludf.DUMMYFUNCTION("""COMPUTED_VALUE"""),"5c467d8f")</f>
        <v>5c467d8f</v>
      </c>
      <c r="B503" s="210" t="str">
        <f>IFERROR(__xludf.DUMMYFUNCTION("""COMPUTED_VALUE"""),"5c467d8f")</f>
        <v>5c467d8f</v>
      </c>
      <c r="C503" s="213">
        <f>IFERROR(__xludf.DUMMYFUNCTION("""COMPUTED_VALUE"""),45672.50555555556)</f>
        <v>45672.50556</v>
      </c>
      <c r="D503" s="211" t="str">
        <f>IFERROR(__xludf.DUMMYFUNCTION("""COMPUTED_VALUE"""),"5f23ba17")</f>
        <v>5f23ba17</v>
      </c>
      <c r="E503" s="211" t="str">
        <f>IFERROR(__xludf.DUMMYFUNCTION("""COMPUTED_VALUE"""),"Bpk. Joko (Gresik)")</f>
        <v>Bpk. Joko (Gresik)</v>
      </c>
      <c r="F503" s="211" t="str">
        <f>IFERROR(__xludf.DUMMYFUNCTION("""COMPUTED_VALUE"""),"8bdbe149")</f>
        <v>8bdbe149</v>
      </c>
      <c r="G503" s="211" t="str">
        <f>IFERROR(__xludf.DUMMYFUNCTION("""COMPUTED_VALUE"""),"Oksigen 6m3")</f>
        <v>Oksigen 6m3</v>
      </c>
      <c r="H503" s="214" t="str">
        <f>IFERROR(__xludf.DUMMYFUNCTION("""COMPUTED_VALUE"""),"IN")</f>
        <v>IN</v>
      </c>
      <c r="I503" s="214" t="str">
        <f>IFERROR(__xludf.DUMMYFUNCTION("""COMPUTED_VALUE"""),"CLAIM")</f>
        <v>CLAIM</v>
      </c>
      <c r="J503" s="211">
        <f>IFERROR(__xludf.DUMMYFUNCTION("""COMPUTED_VALUE"""),1.0)</f>
        <v>1</v>
      </c>
      <c r="K503" s="210" t="str">
        <f>IFERROR(__xludf.DUMMYFUNCTION("""COMPUTED_VALUE"""),"11191")</f>
        <v>11191</v>
      </c>
      <c r="L503" s="211"/>
      <c r="M503" s="211"/>
      <c r="N503" s="211"/>
      <c r="O503" s="211"/>
      <c r="Q503" s="210" t="str">
        <f>IFERROR(__xludf.DUMMYFUNCTION("""COMPUTED_VALUE"""),"927b548e")</f>
        <v>927b548e</v>
      </c>
      <c r="R503" s="210" t="str">
        <f>IFERROR(__xludf.DUMMYFUNCTION("""COMPUTED_VALUE"""),"927b548e")</f>
        <v>927b548e</v>
      </c>
      <c r="S503" s="211" t="str">
        <f>IFERROR(__xludf.DUMMYFUNCTION("""COMPUTED_VALUE"""),"2d88931c")</f>
        <v>2d88931c</v>
      </c>
      <c r="T503" s="211" t="str">
        <f>IFERROR(__xludf.DUMMYFUNCTION("""COMPUTED_VALUE"""),"PT Dunia Berkat Marga Mulya")</f>
        <v>PT Dunia Berkat Marga Mulya</v>
      </c>
      <c r="U503" s="215">
        <f>IFERROR(__xludf.DUMMYFUNCTION("""COMPUTED_VALUE"""),45709.65694444445)</f>
        <v>45709.65694</v>
      </c>
      <c r="V503" s="211" t="str">
        <f>IFERROR(__xludf.DUMMYFUNCTION("""COMPUTED_VALUE"""),"JL JABARAN, WATESARI, BALONGBENDO, SIDOARJO, JAWA TIMUR")</f>
        <v>JL JABARAN, WATESARI, BALONGBENDO, SIDOARJO, JAWA TIMUR</v>
      </c>
      <c r="W503" s="211" t="str">
        <f>IFERROR(__xludf.DUMMYFUNCTION("""COMPUTED_VALUE"""),"IN")</f>
        <v>IN</v>
      </c>
      <c r="X503" s="211"/>
      <c r="Z503" s="211" t="str">
        <f>IFERROR(__xludf.DUMMYFUNCTION("""COMPUTED_VALUE"""),"122572002")</f>
        <v>122572002</v>
      </c>
      <c r="AC503" s="211"/>
      <c r="AD503" s="211"/>
      <c r="AE503" s="211"/>
      <c r="AF503" s="211"/>
      <c r="AG503" s="211"/>
      <c r="AH503" s="211"/>
      <c r="AI503" s="211"/>
      <c r="AJ503" s="211"/>
      <c r="AL503" s="211"/>
      <c r="AM503" s="211"/>
      <c r="AN503" s="211"/>
      <c r="AO503" s="211"/>
      <c r="AP503" s="215"/>
      <c r="AQ503" s="218"/>
      <c r="AR503" s="211"/>
      <c r="AS503" s="211"/>
      <c r="AT503" s="211"/>
      <c r="AU503" s="211"/>
      <c r="AV503" s="211"/>
      <c r="AW503" s="211"/>
      <c r="AX503" s="211"/>
      <c r="AY503" s="211"/>
      <c r="AZ503" s="211"/>
      <c r="BB503" s="211"/>
      <c r="BC503" s="211"/>
      <c r="BD503" s="211"/>
      <c r="BE503" s="211"/>
      <c r="BF503" s="211"/>
      <c r="BG503" s="211"/>
      <c r="BH503" s="211"/>
      <c r="BI503" s="211"/>
    </row>
    <row r="504">
      <c r="A504" s="210" t="str">
        <f>IFERROR(__xludf.DUMMYFUNCTION("""COMPUTED_VALUE"""),"1e869b59")</f>
        <v>1e869b59</v>
      </c>
      <c r="B504" s="210" t="str">
        <f>IFERROR(__xludf.DUMMYFUNCTION("""COMPUTED_VALUE"""),"1e869b59")</f>
        <v>1e869b59</v>
      </c>
      <c r="C504" s="213">
        <f>IFERROR(__xludf.DUMMYFUNCTION("""COMPUTED_VALUE"""),45672.50555555556)</f>
        <v>45672.50556</v>
      </c>
      <c r="D504" s="211" t="str">
        <f>IFERROR(__xludf.DUMMYFUNCTION("""COMPUTED_VALUE"""),"785e0e07")</f>
        <v>785e0e07</v>
      </c>
      <c r="E504" s="211" t="str">
        <f>IFERROR(__xludf.DUMMYFUNCTION("""COMPUTED_VALUE"""),"Bpk. Sukirno (Bejo)")</f>
        <v>Bpk. Sukirno (Bejo)</v>
      </c>
      <c r="F504" s="211" t="str">
        <f>IFERROR(__xludf.DUMMYFUNCTION("""COMPUTED_VALUE"""),"8bdbe149")</f>
        <v>8bdbe149</v>
      </c>
      <c r="G504" s="211" t="str">
        <f>IFERROR(__xludf.DUMMYFUNCTION("""COMPUTED_VALUE"""),"Oksigen 6m3")</f>
        <v>Oksigen 6m3</v>
      </c>
      <c r="H504" s="214" t="str">
        <f>IFERROR(__xludf.DUMMYFUNCTION("""COMPUTED_VALUE"""),"IN")</f>
        <v>IN</v>
      </c>
      <c r="I504" s="214" t="str">
        <f>IFERROR(__xludf.DUMMYFUNCTION("""COMPUTED_VALUE"""),"EMPTY")</f>
        <v>EMPTY</v>
      </c>
      <c r="J504" s="211">
        <f>IFERROR(__xludf.DUMMYFUNCTION("""COMPUTED_VALUE"""),7.0)</f>
        <v>7</v>
      </c>
      <c r="K504" s="210" t="str">
        <f>IFERROR(__xludf.DUMMYFUNCTION("""COMPUTED_VALUE"""),"1142 11115 1156 11163 11139 11145 11153")</f>
        <v>1142 11115 1156 11163 11139 11145 11153</v>
      </c>
      <c r="L504" s="211"/>
      <c r="M504" s="211"/>
      <c r="N504" s="211"/>
      <c r="O504" s="211"/>
      <c r="Q504" s="210" t="str">
        <f>IFERROR(__xludf.DUMMYFUNCTION("""COMPUTED_VALUE"""),"3c073b87")</f>
        <v>3c073b87</v>
      </c>
      <c r="R504" s="210" t="str">
        <f>IFERROR(__xludf.DUMMYFUNCTION("""COMPUTED_VALUE"""),"3c073b87")</f>
        <v>3c073b87</v>
      </c>
      <c r="S504" s="211" t="str">
        <f>IFERROR(__xludf.DUMMYFUNCTION("""COMPUTED_VALUE"""),"4ec68cf6")</f>
        <v>4ec68cf6</v>
      </c>
      <c r="T504" s="211" t="str">
        <f>IFERROR(__xludf.DUMMYFUNCTION("""COMPUTED_VALUE"""),"CV Sido Mukti Karya")</f>
        <v>CV Sido Mukti Karya</v>
      </c>
      <c r="U504" s="215">
        <f>IFERROR(__xludf.DUMMYFUNCTION("""COMPUTED_VALUE"""),45709.65763888889)</f>
        <v>45709.65764</v>
      </c>
      <c r="V504" s="211" t="str">
        <f>IFERROR(__xludf.DUMMYFUNCTION("""COMPUTED_VALUE"""),"Pergudangan Center Point no A3, Kemangsen")</f>
        <v>Pergudangan Center Point no A3, Kemangsen</v>
      </c>
      <c r="W504" s="211" t="str">
        <f>IFERROR(__xludf.DUMMYFUNCTION("""COMPUTED_VALUE"""),"IN")</f>
        <v>IN</v>
      </c>
      <c r="X504" s="211"/>
      <c r="Z504" s="211" t="str">
        <f>IFERROR(__xludf.DUMMYFUNCTION("""COMPUTED_VALUE"""),"1225552001")</f>
        <v>1225552001</v>
      </c>
      <c r="AC504" s="211"/>
      <c r="AD504" s="211"/>
      <c r="AE504" s="211"/>
      <c r="AF504" s="211"/>
      <c r="AG504" s="211"/>
      <c r="AH504" s="211"/>
      <c r="AI504" s="211"/>
      <c r="AJ504" s="211"/>
      <c r="AL504" s="211"/>
      <c r="AM504" s="211"/>
      <c r="AN504" s="211"/>
      <c r="AO504" s="211"/>
      <c r="AP504" s="215"/>
      <c r="AQ504" s="218"/>
      <c r="AR504" s="211"/>
      <c r="AS504" s="211"/>
      <c r="AT504" s="211"/>
      <c r="AU504" s="211"/>
      <c r="AV504" s="211"/>
      <c r="AW504" s="211"/>
      <c r="AX504" s="211"/>
      <c r="AY504" s="211"/>
      <c r="AZ504" s="211"/>
      <c r="BB504" s="211"/>
      <c r="BC504" s="211"/>
      <c r="BD504" s="211"/>
      <c r="BE504" s="211"/>
      <c r="BF504" s="211"/>
      <c r="BG504" s="211"/>
      <c r="BH504" s="211"/>
      <c r="BI504" s="211"/>
    </row>
    <row r="505">
      <c r="A505" s="210" t="str">
        <f>IFERROR(__xludf.DUMMYFUNCTION("""COMPUTED_VALUE"""),"01250215")</f>
        <v>01250215</v>
      </c>
      <c r="B505" s="210" t="str">
        <f>IFERROR(__xludf.DUMMYFUNCTION("""COMPUTED_VALUE"""),"01250215")</f>
        <v>01250215</v>
      </c>
      <c r="C505" s="213">
        <f>IFERROR(__xludf.DUMMYFUNCTION("""COMPUTED_VALUE"""),45672.51944444444)</f>
        <v>45672.51944</v>
      </c>
      <c r="D505" s="211" t="str">
        <f>IFERROR(__xludf.DUMMYFUNCTION("""COMPUTED_VALUE"""),"e86baf3b")</f>
        <v>e86baf3b</v>
      </c>
      <c r="E505" s="211" t="str">
        <f>IFERROR(__xludf.DUMMYFUNCTION("""COMPUTED_VALUE"""),"PT GEMILANG CIPTA WAWASAN")</f>
        <v>PT GEMILANG CIPTA WAWASAN</v>
      </c>
      <c r="F505" s="211" t="str">
        <f>IFERROR(__xludf.DUMMYFUNCTION("""COMPUTED_VALUE"""),"8bdbe149")</f>
        <v>8bdbe149</v>
      </c>
      <c r="G505" s="211" t="str">
        <f>IFERROR(__xludf.DUMMYFUNCTION("""COMPUTED_VALUE"""),"Oksigen 6m3")</f>
        <v>Oksigen 6m3</v>
      </c>
      <c r="H505" s="214" t="str">
        <f>IFERROR(__xludf.DUMMYFUNCTION("""COMPUTED_VALUE"""),"OUT")</f>
        <v>OUT</v>
      </c>
      <c r="I505" s="214" t="str">
        <f>IFERROR(__xludf.DUMMYFUNCTION("""COMPUTED_VALUE"""),"NORMAL")</f>
        <v>NORMAL</v>
      </c>
      <c r="J505" s="211">
        <f>IFERROR(__xludf.DUMMYFUNCTION("""COMPUTED_VALUE"""),10.0)</f>
        <v>10</v>
      </c>
      <c r="K505" s="210" t="str">
        <f>IFERROR(__xludf.DUMMYFUNCTION("""COMPUTED_VALUE"""),"1162 11196 1171 11183 11205 11192 1165 1161 11202 11206")</f>
        <v>1162 11196 1171 11183 11205 11192 1165 1161 11202 11206</v>
      </c>
      <c r="L505" s="211">
        <f>IFERROR(__xludf.DUMMYFUNCTION("""COMPUTED_VALUE"""),60000.0)</f>
        <v>60000</v>
      </c>
      <c r="M505" s="211"/>
      <c r="N505" s="211"/>
      <c r="O505" s="211"/>
      <c r="Q505" s="210" t="str">
        <f>IFERROR(__xludf.DUMMYFUNCTION("""COMPUTED_VALUE"""),"02250275")</f>
        <v>02250275</v>
      </c>
      <c r="R505" s="210" t="str">
        <f>IFERROR(__xludf.DUMMYFUNCTION("""COMPUTED_VALUE"""),"02250275")</f>
        <v>02250275</v>
      </c>
      <c r="S505" s="211" t="str">
        <f>IFERROR(__xludf.DUMMYFUNCTION("""COMPUTED_VALUE"""),"8f5ebaea")</f>
        <v>8f5ebaea</v>
      </c>
      <c r="T505" s="211" t="str">
        <f>IFERROR(__xludf.DUMMYFUNCTION("""COMPUTED_VALUE"""),"PT Hua Zong Mesindo")</f>
        <v>PT Hua Zong Mesindo</v>
      </c>
      <c r="U505" s="215">
        <f>IFERROR(__xludf.DUMMYFUNCTION("""COMPUTED_VALUE"""),45710.37222222222)</f>
        <v>45710.37222</v>
      </c>
      <c r="V505" s="211" t="str">
        <f>IFERROR(__xludf.DUMMYFUNCTION("""COMPUTED_VALUE"""),"Jl. Bypass Krian, Sidotemo, Sidomulyo, Kec. Krian, Kabupaten Sidoarjo, Jawa Timur 61262")</f>
        <v>Jl. Bypass Krian, Sidotemo, Sidomulyo, Kec. Krian, Kabupaten Sidoarjo, Jawa Timur 61262</v>
      </c>
      <c r="W505" s="211" t="str">
        <f>IFERROR(__xludf.DUMMYFUNCTION("""COMPUTED_VALUE"""),"OUT")</f>
        <v>OUT</v>
      </c>
      <c r="X505" s="211"/>
      <c r="Z505" s="211" t="str">
        <f>IFERROR(__xludf.DUMMYFUNCTION("""COMPUTED_VALUE"""),"122561994")</f>
        <v>122561994</v>
      </c>
      <c r="AC505" s="211"/>
      <c r="AD505" s="211"/>
      <c r="AE505" s="211"/>
      <c r="AF505" s="211"/>
      <c r="AG505" s="211"/>
      <c r="AH505" s="211"/>
      <c r="AI505" s="211"/>
      <c r="AJ505" s="211"/>
      <c r="AL505" s="211"/>
      <c r="AM505" s="211"/>
      <c r="AN505" s="211"/>
      <c r="AO505" s="211"/>
      <c r="AP505" s="215"/>
      <c r="AQ505" s="218"/>
      <c r="AR505" s="211"/>
      <c r="AS505" s="211"/>
      <c r="AT505" s="211"/>
      <c r="AU505" s="211"/>
      <c r="AV505" s="211"/>
      <c r="AW505" s="211"/>
      <c r="AX505" s="211"/>
      <c r="AY505" s="211"/>
      <c r="AZ505" s="211"/>
      <c r="BB505" s="211"/>
      <c r="BC505" s="211"/>
      <c r="BD505" s="211"/>
      <c r="BE505" s="211"/>
      <c r="BF505" s="211"/>
      <c r="BG505" s="211"/>
      <c r="BH505" s="211"/>
      <c r="BI505" s="211"/>
    </row>
    <row r="506">
      <c r="A506" s="210" t="str">
        <f>IFERROR(__xludf.DUMMYFUNCTION("""COMPUTED_VALUE"""),"01250216")</f>
        <v>01250216</v>
      </c>
      <c r="B506" s="210" t="str">
        <f>IFERROR(__xludf.DUMMYFUNCTION("""COMPUTED_VALUE"""),"01250216")</f>
        <v>01250216</v>
      </c>
      <c r="C506" s="213">
        <f>IFERROR(__xludf.DUMMYFUNCTION("""COMPUTED_VALUE"""),45673.34444444445)</f>
        <v>45673.34444</v>
      </c>
      <c r="D506" s="211" t="str">
        <f>IFERROR(__xludf.DUMMYFUNCTION("""COMPUTED_VALUE"""),"3fec37df")</f>
        <v>3fec37df</v>
      </c>
      <c r="E506" s="211" t="str">
        <f>IFERROR(__xludf.DUMMYFUNCTION("""COMPUTED_VALUE"""),"PT Jatim Abadi Perkasa Steel")</f>
        <v>PT Jatim Abadi Perkasa Steel</v>
      </c>
      <c r="F506" s="211" t="str">
        <f>IFERROR(__xludf.DUMMYFUNCTION("""COMPUTED_VALUE"""),"b7a8fff1")</f>
        <v>b7a8fff1</v>
      </c>
      <c r="G506" s="211" t="str">
        <f>IFERROR(__xludf.DUMMYFUNCTION("""COMPUTED_VALUE"""),"LPG 50kg")</f>
        <v>LPG 50kg</v>
      </c>
      <c r="H506" s="214" t="str">
        <f>IFERROR(__xludf.DUMMYFUNCTION("""COMPUTED_VALUE"""),"OUT")</f>
        <v>OUT</v>
      </c>
      <c r="I506" s="214" t="str">
        <f>IFERROR(__xludf.DUMMYFUNCTION("""COMPUTED_VALUE"""),"NORMAL")</f>
        <v>NORMAL</v>
      </c>
      <c r="J506" s="211">
        <f>IFERROR(__xludf.DUMMYFUNCTION("""COMPUTED_VALUE"""),5.0)</f>
        <v>5</v>
      </c>
      <c r="K506" s="211"/>
      <c r="L506" s="211">
        <f>IFERROR(__xludf.DUMMYFUNCTION("""COMPUTED_VALUE"""),900900.9009)</f>
        <v>900900.9009</v>
      </c>
      <c r="M506" s="211"/>
      <c r="N506" s="211"/>
      <c r="O506" s="211"/>
      <c r="Q506" s="210" t="str">
        <f>IFERROR(__xludf.DUMMYFUNCTION("""COMPUTED_VALUE"""),"36fda415")</f>
        <v>36fda415</v>
      </c>
      <c r="R506" s="210" t="str">
        <f>IFERROR(__xludf.DUMMYFUNCTION("""COMPUTED_VALUE"""),"36fda415")</f>
        <v>36fda415</v>
      </c>
      <c r="S506" s="211" t="str">
        <f>IFERROR(__xludf.DUMMYFUNCTION("""COMPUTED_VALUE"""),"8f5ebaea")</f>
        <v>8f5ebaea</v>
      </c>
      <c r="T506" s="211" t="str">
        <f>IFERROR(__xludf.DUMMYFUNCTION("""COMPUTED_VALUE"""),"PT Hua Zong Mesindo")</f>
        <v>PT Hua Zong Mesindo</v>
      </c>
      <c r="U506" s="215">
        <f>IFERROR(__xludf.DUMMYFUNCTION("""COMPUTED_VALUE"""),45710.459027777775)</f>
        <v>45710.45903</v>
      </c>
      <c r="V506" s="211" t="str">
        <f>IFERROR(__xludf.DUMMYFUNCTION("""COMPUTED_VALUE"""),"Jl. Bypass Krian, Sidotemo, Sidomulyo, Kec. Krian, Kabupaten Sidoarjo, Jawa Timur 61262")</f>
        <v>Jl. Bypass Krian, Sidotemo, Sidomulyo, Kec. Krian, Kabupaten Sidoarjo, Jawa Timur 61262</v>
      </c>
      <c r="W506" s="211" t="str">
        <f>IFERROR(__xludf.DUMMYFUNCTION("""COMPUTED_VALUE"""),"IN")</f>
        <v>IN</v>
      </c>
      <c r="X506" s="211"/>
      <c r="Z506" s="211" t="str">
        <f>IFERROR(__xludf.DUMMYFUNCTION("""COMPUTED_VALUE"""),"122521993")</f>
        <v>122521993</v>
      </c>
      <c r="AC506" s="211"/>
      <c r="AD506" s="211"/>
      <c r="AE506" s="211"/>
      <c r="AF506" s="211"/>
      <c r="AG506" s="211"/>
      <c r="AH506" s="211"/>
      <c r="AI506" s="211"/>
      <c r="AJ506" s="211"/>
      <c r="AL506" s="211"/>
      <c r="AM506" s="211"/>
      <c r="AN506" s="211"/>
      <c r="AO506" s="211"/>
      <c r="AP506" s="215"/>
      <c r="AQ506" s="218"/>
      <c r="AR506" s="211"/>
      <c r="AS506" s="211"/>
      <c r="AT506" s="211"/>
      <c r="AU506" s="211"/>
      <c r="AV506" s="211"/>
      <c r="AW506" s="211"/>
      <c r="AX506" s="211"/>
      <c r="AY506" s="211"/>
      <c r="AZ506" s="211"/>
      <c r="BB506" s="211"/>
      <c r="BC506" s="211"/>
      <c r="BD506" s="211"/>
      <c r="BE506" s="211"/>
      <c r="BF506" s="211"/>
      <c r="BG506" s="211"/>
      <c r="BH506" s="211"/>
      <c r="BI506" s="211"/>
    </row>
    <row r="507">
      <c r="A507" s="210" t="str">
        <f>IFERROR(__xludf.DUMMYFUNCTION("""COMPUTED_VALUE"""),"9a115787")</f>
        <v>9a115787</v>
      </c>
      <c r="B507" s="210" t="str">
        <f>IFERROR(__xludf.DUMMYFUNCTION("""COMPUTED_VALUE"""),"9a115787")</f>
        <v>9a115787</v>
      </c>
      <c r="C507" s="213">
        <f>IFERROR(__xludf.DUMMYFUNCTION("""COMPUTED_VALUE"""),45672.652083333334)</f>
        <v>45672.65208</v>
      </c>
      <c r="D507" s="211" t="str">
        <f>IFERROR(__xludf.DUMMYFUNCTION("""COMPUTED_VALUE"""),"e86baf3b")</f>
        <v>e86baf3b</v>
      </c>
      <c r="E507" s="211" t="str">
        <f>IFERROR(__xludf.DUMMYFUNCTION("""COMPUTED_VALUE"""),"PT GEMILANG CIPTA WAWASAN")</f>
        <v>PT GEMILANG CIPTA WAWASAN</v>
      </c>
      <c r="F507" s="211" t="str">
        <f>IFERROR(__xludf.DUMMYFUNCTION("""COMPUTED_VALUE"""),"8bdbe149")</f>
        <v>8bdbe149</v>
      </c>
      <c r="G507" s="211" t="str">
        <f>IFERROR(__xludf.DUMMYFUNCTION("""COMPUTED_VALUE"""),"Oksigen 6m3")</f>
        <v>Oksigen 6m3</v>
      </c>
      <c r="H507" s="214" t="str">
        <f>IFERROR(__xludf.DUMMYFUNCTION("""COMPUTED_VALUE"""),"IN")</f>
        <v>IN</v>
      </c>
      <c r="I507" s="214" t="str">
        <f>IFERROR(__xludf.DUMMYFUNCTION("""COMPUTED_VALUE"""),"EMPTY")</f>
        <v>EMPTY</v>
      </c>
      <c r="J507" s="211">
        <f>IFERROR(__xludf.DUMMYFUNCTION("""COMPUTED_VALUE"""),13.0)</f>
        <v>13</v>
      </c>
      <c r="K507" s="210" t="str">
        <f>IFERROR(__xludf.DUMMYFUNCTION("""COMPUTED_VALUE"""),"1191 1103 1118 11180 11101 1186 1157 1109 1101 1133 1196 1182 1666")</f>
        <v>1191 1103 1118 11180 11101 1186 1157 1109 1101 1133 1196 1182 1666</v>
      </c>
      <c r="L507" s="211"/>
      <c r="M507" s="211"/>
      <c r="N507" s="211"/>
      <c r="O507" s="211"/>
      <c r="Q507" s="210" t="str">
        <f>IFERROR(__xludf.DUMMYFUNCTION("""COMPUTED_VALUE"""),"f0b5026b")</f>
        <v>f0b5026b</v>
      </c>
      <c r="R507" s="210" t="str">
        <f>IFERROR(__xludf.DUMMYFUNCTION("""COMPUTED_VALUE"""),"f0b5026b")</f>
        <v>f0b5026b</v>
      </c>
      <c r="S507" s="211" t="str">
        <f>IFERROR(__xludf.DUMMYFUNCTION("""COMPUTED_VALUE"""),"37175874")</f>
        <v>37175874</v>
      </c>
      <c r="T507" s="211" t="str">
        <f>IFERROR(__xludf.DUMMYFUNCTION("""COMPUTED_VALUE"""),"PT TERAPAN NILAIOSILASI INDONESIA (TENO)")</f>
        <v>PT TERAPAN NILAIOSILASI INDONESIA (TENO)</v>
      </c>
      <c r="U507" s="215">
        <f>IFERROR(__xludf.DUMMYFUNCTION("""COMPUTED_VALUE"""),45712.45833333333)</f>
        <v>45712.45833</v>
      </c>
      <c r="V507" s="211" t="str">
        <f>IFERROR(__xludf.DUMMYFUNCTION("""COMPUTED_VALUE"""),"JL Raya Kertajaya Indah 153 / P116, Gebang Putih, Sukokilo, Kota Surabaya, Jawa Timur")</f>
        <v>JL Raya Kertajaya Indah 153 / P116, Gebang Putih, Sukokilo, Kota Surabaya, Jawa Timur</v>
      </c>
      <c r="W507" s="211" t="str">
        <f>IFERROR(__xludf.DUMMYFUNCTION("""COMPUTED_VALUE"""),"IN")</f>
        <v>IN</v>
      </c>
      <c r="X507" s="211"/>
      <c r="Z507" s="211" t="str">
        <f>IFERROR(__xludf.DUMMYFUNCTION("""COMPUTED_VALUE"""),"122591992")</f>
        <v>122591992</v>
      </c>
      <c r="AC507" s="211"/>
      <c r="AD507" s="211"/>
      <c r="AE507" s="211"/>
      <c r="AF507" s="211"/>
      <c r="AG507" s="211"/>
      <c r="AH507" s="211"/>
      <c r="AI507" s="211"/>
      <c r="AJ507" s="211"/>
      <c r="AL507" s="211"/>
      <c r="AM507" s="211"/>
      <c r="AN507" s="211"/>
      <c r="AO507" s="211"/>
      <c r="AP507" s="215"/>
      <c r="AQ507" s="218"/>
      <c r="AR507" s="211"/>
      <c r="AS507" s="211"/>
      <c r="AT507" s="211"/>
      <c r="AU507" s="211"/>
      <c r="AV507" s="211"/>
      <c r="AW507" s="211"/>
      <c r="AX507" s="211"/>
      <c r="AY507" s="211"/>
      <c r="AZ507" s="211"/>
      <c r="BB507" s="211"/>
      <c r="BC507" s="211"/>
      <c r="BD507" s="211"/>
      <c r="BE507" s="211"/>
      <c r="BF507" s="211"/>
      <c r="BG507" s="211"/>
      <c r="BH507" s="211"/>
      <c r="BI507" s="211"/>
    </row>
    <row r="508">
      <c r="A508" s="210" t="str">
        <f>IFERROR(__xludf.DUMMYFUNCTION("""COMPUTED_VALUE"""),"9a115787")</f>
        <v>9a115787</v>
      </c>
      <c r="B508" s="210" t="str">
        <f>IFERROR(__xludf.DUMMYFUNCTION("""COMPUTED_VALUE"""),"9a115787")</f>
        <v>9a115787</v>
      </c>
      <c r="C508" s="213">
        <f>IFERROR(__xludf.DUMMYFUNCTION("""COMPUTED_VALUE"""),45672.65625)</f>
        <v>45672.65625</v>
      </c>
      <c r="D508" s="211" t="str">
        <f>IFERROR(__xludf.DUMMYFUNCTION("""COMPUTED_VALUE"""),"e86baf3b")</f>
        <v>e86baf3b</v>
      </c>
      <c r="E508" s="211" t="str">
        <f>IFERROR(__xludf.DUMMYFUNCTION("""COMPUTED_VALUE"""),"PT GEMILANG CIPTA WAWASAN")</f>
        <v>PT GEMILANG CIPTA WAWASAN</v>
      </c>
      <c r="F508" s="211" t="str">
        <f>IFERROR(__xludf.DUMMYFUNCTION("""COMPUTED_VALUE"""),"ef306e54")</f>
        <v>ef306e54</v>
      </c>
      <c r="G508" s="211" t="str">
        <f>IFERROR(__xludf.DUMMYFUNCTION("""COMPUTED_VALUE"""),"Karbondioksida")</f>
        <v>Karbondioksida</v>
      </c>
      <c r="H508" s="214" t="str">
        <f>IFERROR(__xludf.DUMMYFUNCTION("""COMPUTED_VALUE"""),"IN")</f>
        <v>IN</v>
      </c>
      <c r="I508" s="214" t="str">
        <f>IFERROR(__xludf.DUMMYFUNCTION("""COMPUTED_VALUE"""),"EMPTY")</f>
        <v>EMPTY</v>
      </c>
      <c r="J508" s="211">
        <f>IFERROR(__xludf.DUMMYFUNCTION("""COMPUTED_VALUE"""),1.0)</f>
        <v>1</v>
      </c>
      <c r="K508" s="210" t="str">
        <f>IFERROR(__xludf.DUMMYFUNCTION("""COMPUTED_VALUE"""),"6712")</f>
        <v>6712</v>
      </c>
      <c r="L508" s="211">
        <f>IFERROR(__xludf.DUMMYFUNCTION("""COMPUTED_VALUE"""),0.0)</f>
        <v>0</v>
      </c>
      <c r="M508" s="211"/>
      <c r="N508" s="211"/>
      <c r="O508" s="211"/>
      <c r="Q508" s="210" t="str">
        <f>IFERROR(__xludf.DUMMYFUNCTION("""COMPUTED_VALUE"""),"eb0afca3")</f>
        <v>eb0afca3</v>
      </c>
      <c r="R508" s="210" t="str">
        <f>IFERROR(__xludf.DUMMYFUNCTION("""COMPUTED_VALUE"""),"eb0afca3")</f>
        <v>eb0afca3</v>
      </c>
      <c r="S508" s="211" t="str">
        <f>IFERROR(__xludf.DUMMYFUNCTION("""COMPUTED_VALUE"""),"785e0e07")</f>
        <v>785e0e07</v>
      </c>
      <c r="T508" s="211" t="str">
        <f>IFERROR(__xludf.DUMMYFUNCTION("""COMPUTED_VALUE"""),"Bpk. Sukirno (Bejo)")</f>
        <v>Bpk. Sukirno (Bejo)</v>
      </c>
      <c r="U508" s="215">
        <f>IFERROR(__xludf.DUMMYFUNCTION("""COMPUTED_VALUE"""),45712.45833333333)</f>
        <v>45712.45833</v>
      </c>
      <c r="V508" s="211" t="str">
        <f>IFERROR(__xludf.DUMMYFUNCTION("""COMPUTED_VALUE"""),"Krajan I, Wringinanom, Kec. Wringinanom, Kabupaten Gresik, Jawa Timur 61176")</f>
        <v>Krajan I, Wringinanom, Kec. Wringinanom, Kabupaten Gresik, Jawa Timur 61176</v>
      </c>
      <c r="W508" s="211" t="str">
        <f>IFERROR(__xludf.DUMMYFUNCTION("""COMPUTED_VALUE"""),"IN")</f>
        <v>IN</v>
      </c>
      <c r="X508" s="211"/>
      <c r="Z508" s="211" t="str">
        <f>IFERROR(__xludf.DUMMYFUNCTION("""COMPUTED_VALUE"""),"1225541989")</f>
        <v>1225541989</v>
      </c>
      <c r="AC508" s="211"/>
      <c r="AD508" s="211"/>
      <c r="AE508" s="211"/>
      <c r="AF508" s="211"/>
      <c r="AG508" s="211"/>
      <c r="AH508" s="211"/>
      <c r="AI508" s="211"/>
      <c r="AJ508" s="211"/>
      <c r="AL508" s="211"/>
      <c r="AM508" s="211"/>
      <c r="AN508" s="211"/>
      <c r="AO508" s="211"/>
      <c r="AP508" s="215"/>
      <c r="AQ508" s="218"/>
      <c r="AR508" s="211"/>
      <c r="AS508" s="211"/>
      <c r="AT508" s="211"/>
      <c r="AU508" s="211"/>
      <c r="AV508" s="211"/>
      <c r="AW508" s="211"/>
      <c r="AX508" s="211"/>
      <c r="AY508" s="211"/>
      <c r="AZ508" s="211"/>
      <c r="BB508" s="211"/>
      <c r="BC508" s="211"/>
      <c r="BD508" s="211"/>
      <c r="BE508" s="211"/>
      <c r="BF508" s="211"/>
      <c r="BG508" s="211"/>
      <c r="BH508" s="211"/>
      <c r="BI508" s="211"/>
    </row>
    <row r="509">
      <c r="A509" s="210" t="str">
        <f>IFERROR(__xludf.DUMMYFUNCTION("""COMPUTED_VALUE"""),"9a115787")</f>
        <v>9a115787</v>
      </c>
      <c r="B509" s="210" t="str">
        <f>IFERROR(__xludf.DUMMYFUNCTION("""COMPUTED_VALUE"""),"9a115787")</f>
        <v>9a115787</v>
      </c>
      <c r="C509" s="213">
        <f>IFERROR(__xludf.DUMMYFUNCTION("""COMPUTED_VALUE"""),45672.65694444445)</f>
        <v>45672.65694</v>
      </c>
      <c r="D509" s="211" t="str">
        <f>IFERROR(__xludf.DUMMYFUNCTION("""COMPUTED_VALUE"""),"e86baf3b")</f>
        <v>e86baf3b</v>
      </c>
      <c r="E509" s="211" t="str">
        <f>IFERROR(__xludf.DUMMYFUNCTION("""COMPUTED_VALUE"""),"PT GEMILANG CIPTA WAWASAN")</f>
        <v>PT GEMILANG CIPTA WAWASAN</v>
      </c>
      <c r="F509" s="211" t="str">
        <f>IFERROR(__xludf.DUMMYFUNCTION("""COMPUTED_VALUE"""),"66af7c72")</f>
        <v>66af7c72</v>
      </c>
      <c r="G509" s="211" t="str">
        <f>IFERROR(__xludf.DUMMYFUNCTION("""COMPUTED_VALUE"""),"Argon 6m3")</f>
        <v>Argon 6m3</v>
      </c>
      <c r="H509" s="214" t="str">
        <f>IFERROR(__xludf.DUMMYFUNCTION("""COMPUTED_VALUE"""),"IN")</f>
        <v>IN</v>
      </c>
      <c r="I509" s="214" t="str">
        <f>IFERROR(__xludf.DUMMYFUNCTION("""COMPUTED_VALUE"""),"EMPTY")</f>
        <v>EMPTY</v>
      </c>
      <c r="J509" s="211">
        <f>IFERROR(__xludf.DUMMYFUNCTION("""COMPUTED_VALUE"""),6.0)</f>
        <v>6</v>
      </c>
      <c r="K509" s="210" t="str">
        <f>IFERROR(__xludf.DUMMYFUNCTION("""COMPUTED_VALUE"""),"8331 8339 8239 8215 8187 8322")</f>
        <v>8331 8339 8239 8215 8187 8322</v>
      </c>
      <c r="L509" s="211"/>
      <c r="M509" s="211"/>
      <c r="N509" s="211"/>
      <c r="O509" s="211"/>
      <c r="Q509" s="210" t="str">
        <f>IFERROR(__xludf.DUMMYFUNCTION("""COMPUTED_VALUE"""),"02250276")</f>
        <v>02250276</v>
      </c>
      <c r="R509" s="210" t="str">
        <f>IFERROR(__xludf.DUMMYFUNCTION("""COMPUTED_VALUE"""),"02250276")</f>
        <v>02250276</v>
      </c>
      <c r="S509" s="211" t="str">
        <f>IFERROR(__xludf.DUMMYFUNCTION("""COMPUTED_VALUE"""),"01158be1")</f>
        <v>01158be1</v>
      </c>
      <c r="T509" s="211" t="str">
        <f>IFERROR(__xludf.DUMMYFUNCTION("""COMPUTED_VALUE"""),"GYF")</f>
        <v>GYF</v>
      </c>
      <c r="U509" s="215">
        <f>IFERROR(__xludf.DUMMYFUNCTION("""COMPUTED_VALUE"""),45712.57638888889)</f>
        <v>45712.57639</v>
      </c>
      <c r="V509" s="211" t="str">
        <f>IFERROR(__xludf.DUMMYFUNCTION("""COMPUTED_VALUE"""),"Kangkungan, Lengkong, Kec. Mojoanyar, Kabupaten Mojokerto, Jawa Timur")</f>
        <v>Kangkungan, Lengkong, Kec. Mojoanyar, Kabupaten Mojokerto, Jawa Timur</v>
      </c>
      <c r="W509" s="211" t="str">
        <f>IFERROR(__xludf.DUMMYFUNCTION("""COMPUTED_VALUE"""),"OUT")</f>
        <v>OUT</v>
      </c>
      <c r="X509" s="211"/>
      <c r="Z509" s="211" t="str">
        <f>IFERROR(__xludf.DUMMYFUNCTION("""COMPUTED_VALUE"""),"122551985")</f>
        <v>122551985</v>
      </c>
      <c r="AC509" s="211"/>
      <c r="AD509" s="211"/>
      <c r="AE509" s="211"/>
      <c r="AF509" s="211"/>
      <c r="AG509" s="211"/>
      <c r="AH509" s="211"/>
      <c r="AI509" s="211"/>
      <c r="AJ509" s="211"/>
      <c r="AL509" s="211"/>
      <c r="AM509" s="211"/>
      <c r="AN509" s="211"/>
      <c r="AO509" s="211"/>
      <c r="AP509" s="215"/>
      <c r="AQ509" s="218"/>
      <c r="AR509" s="211"/>
      <c r="AS509" s="211"/>
      <c r="AT509" s="211"/>
      <c r="AU509" s="211"/>
      <c r="AV509" s="211"/>
      <c r="AW509" s="211"/>
      <c r="AX509" s="211"/>
      <c r="AY509" s="211"/>
      <c r="AZ509" s="211"/>
      <c r="BB509" s="211"/>
      <c r="BC509" s="211"/>
      <c r="BD509" s="211"/>
      <c r="BE509" s="211"/>
      <c r="BF509" s="211"/>
      <c r="BG509" s="211"/>
      <c r="BH509" s="211"/>
      <c r="BI509" s="211"/>
    </row>
    <row r="510">
      <c r="A510" s="210" t="str">
        <f>IFERROR(__xludf.DUMMYFUNCTION("""COMPUTED_VALUE"""),"01250217")</f>
        <v>01250217</v>
      </c>
      <c r="B510" s="210" t="str">
        <f>IFERROR(__xludf.DUMMYFUNCTION("""COMPUTED_VALUE"""),"01250217")</f>
        <v>01250217</v>
      </c>
      <c r="C510" s="213">
        <f>IFERROR(__xludf.DUMMYFUNCTION("""COMPUTED_VALUE"""),45672.67222222222)</f>
        <v>45672.67222</v>
      </c>
      <c r="D510" s="211" t="str">
        <f>IFERROR(__xludf.DUMMYFUNCTION("""COMPUTED_VALUE"""),"5449a0b8")</f>
        <v>5449a0b8</v>
      </c>
      <c r="E510" s="211" t="str">
        <f>IFERROR(__xludf.DUMMYFUNCTION("""COMPUTED_VALUE"""),"Bpk. Supar")</f>
        <v>Bpk. Supar</v>
      </c>
      <c r="F510" s="211" t="str">
        <f>IFERROR(__xludf.DUMMYFUNCTION("""COMPUTED_VALUE"""),"8bdbe149")</f>
        <v>8bdbe149</v>
      </c>
      <c r="G510" s="211" t="str">
        <f>IFERROR(__xludf.DUMMYFUNCTION("""COMPUTED_VALUE"""),"Oksigen 6m3")</f>
        <v>Oksigen 6m3</v>
      </c>
      <c r="H510" s="214" t="str">
        <f>IFERROR(__xludf.DUMMYFUNCTION("""COMPUTED_VALUE"""),"OUT")</f>
        <v>OUT</v>
      </c>
      <c r="I510" s="214" t="str">
        <f>IFERROR(__xludf.DUMMYFUNCTION("""COMPUTED_VALUE"""),"NORMAL")</f>
        <v>NORMAL</v>
      </c>
      <c r="J510" s="211">
        <f>IFERROR(__xludf.DUMMYFUNCTION("""COMPUTED_VALUE"""),1.0)</f>
        <v>1</v>
      </c>
      <c r="K510" s="210" t="str">
        <f>IFERROR(__xludf.DUMMYFUNCTION("""COMPUTED_VALUE"""),"1153")</f>
        <v>1153</v>
      </c>
      <c r="L510" s="211">
        <f>IFERROR(__xludf.DUMMYFUNCTION("""COMPUTED_VALUE"""),70000.0)</f>
        <v>70000</v>
      </c>
      <c r="M510" s="211"/>
      <c r="N510" s="211"/>
      <c r="O510" s="211"/>
      <c r="Q510" s="210" t="str">
        <f>IFERROR(__xludf.DUMMYFUNCTION("""COMPUTED_VALUE"""),"3981b9ed")</f>
        <v>3981b9ed</v>
      </c>
      <c r="R510" s="210" t="str">
        <f>IFERROR(__xludf.DUMMYFUNCTION("""COMPUTED_VALUE"""),"3981b9ed")</f>
        <v>3981b9ed</v>
      </c>
      <c r="S510" s="211" t="str">
        <f>IFERROR(__xludf.DUMMYFUNCTION("""COMPUTED_VALUE"""),"103f3ae7")</f>
        <v>103f3ae7</v>
      </c>
      <c r="T510" s="211" t="str">
        <f>IFERROR(__xludf.DUMMYFUNCTION("""COMPUTED_VALUE"""),"PT ARYANA CAKASANA")</f>
        <v>PT ARYANA CAKASANA</v>
      </c>
      <c r="U510" s="215">
        <f>IFERROR(__xludf.DUMMYFUNCTION("""COMPUTED_VALUE"""),45712.580555555556)</f>
        <v>45712.58056</v>
      </c>
      <c r="V510" s="211" t="str">
        <f>IFERROR(__xludf.DUMMYFUNCTION("""COMPUTED_VALUE"""),"Jl Raya Tarik No. 45, Wonokupang, Bakalan, Balongbendo")</f>
        <v>Jl Raya Tarik No. 45, Wonokupang, Bakalan, Balongbendo</v>
      </c>
      <c r="W510" s="211" t="str">
        <f>IFERROR(__xludf.DUMMYFUNCTION("""COMPUTED_VALUE"""),"IN")</f>
        <v>IN</v>
      </c>
      <c r="X510" s="211"/>
      <c r="Z510" s="211" t="str">
        <f>IFERROR(__xludf.DUMMYFUNCTION("""COMPUTED_VALUE"""),"122511984")</f>
        <v>122511984</v>
      </c>
      <c r="AC510" s="211"/>
      <c r="AD510" s="211"/>
      <c r="AE510" s="211"/>
      <c r="AF510" s="211"/>
      <c r="AG510" s="211"/>
      <c r="AH510" s="211"/>
      <c r="AI510" s="211"/>
      <c r="AJ510" s="211"/>
      <c r="AL510" s="211"/>
      <c r="AM510" s="211"/>
      <c r="AN510" s="211"/>
      <c r="AO510" s="211"/>
      <c r="AP510" s="215"/>
      <c r="AQ510" s="218"/>
      <c r="AR510" s="211"/>
      <c r="AS510" s="211"/>
      <c r="AT510" s="211"/>
      <c r="AU510" s="211"/>
      <c r="AV510" s="211"/>
      <c r="AW510" s="211"/>
      <c r="AX510" s="211"/>
      <c r="AY510" s="211"/>
      <c r="AZ510" s="211"/>
      <c r="BB510" s="211"/>
      <c r="BC510" s="211"/>
      <c r="BD510" s="211"/>
      <c r="BE510" s="211"/>
      <c r="BF510" s="211"/>
      <c r="BG510" s="211"/>
      <c r="BH510" s="211"/>
      <c r="BI510" s="211"/>
    </row>
    <row r="511">
      <c r="A511" s="210" t="str">
        <f>IFERROR(__xludf.DUMMYFUNCTION("""COMPUTED_VALUE"""),"01250218")</f>
        <v>01250218</v>
      </c>
      <c r="B511" s="210" t="str">
        <f>IFERROR(__xludf.DUMMYFUNCTION("""COMPUTED_VALUE"""),"01250218")</f>
        <v>01250218</v>
      </c>
      <c r="C511" s="213">
        <f>IFERROR(__xludf.DUMMYFUNCTION("""COMPUTED_VALUE"""),45674.33541666667)</f>
        <v>45674.33542</v>
      </c>
      <c r="D511" s="211" t="str">
        <f>IFERROR(__xludf.DUMMYFUNCTION("""COMPUTED_VALUE"""),"01158be1")</f>
        <v>01158be1</v>
      </c>
      <c r="E511" s="211" t="str">
        <f>IFERROR(__xludf.DUMMYFUNCTION("""COMPUTED_VALUE"""),"GYF")</f>
        <v>GYF</v>
      </c>
      <c r="F511" s="211" t="str">
        <f>IFERROR(__xludf.DUMMYFUNCTION("""COMPUTED_VALUE"""),"8bdbe149")</f>
        <v>8bdbe149</v>
      </c>
      <c r="G511" s="211" t="str">
        <f>IFERROR(__xludf.DUMMYFUNCTION("""COMPUTED_VALUE"""),"Oksigen 6m3")</f>
        <v>Oksigen 6m3</v>
      </c>
      <c r="H511" s="214" t="str">
        <f>IFERROR(__xludf.DUMMYFUNCTION("""COMPUTED_VALUE"""),"OUT")</f>
        <v>OUT</v>
      </c>
      <c r="I511" s="214" t="str">
        <f>IFERROR(__xludf.DUMMYFUNCTION("""COMPUTED_VALUE"""),"NORMAL")</f>
        <v>NORMAL</v>
      </c>
      <c r="J511" s="211">
        <f>IFERROR(__xludf.DUMMYFUNCTION("""COMPUTED_VALUE"""),20.0)</f>
        <v>20</v>
      </c>
      <c r="K511" s="210" t="str">
        <f>IFERROR(__xludf.DUMMYFUNCTION("""COMPUTED_VALUE"""),"04 5969 1843 1659 1763 5518 1450 11135 11161 11141 11191 1123 11194 11201 11186 11195 11198 11208 11129 11203")</f>
        <v>04 5969 1843 1659 1763 5518 1450 11135 11161 11141 11191 1123 11194 11201 11186 11195 11198 11208 11129 11203</v>
      </c>
      <c r="L511" s="211">
        <f>IFERROR(__xludf.DUMMYFUNCTION("""COMPUTED_VALUE"""),45000.0)</f>
        <v>45000</v>
      </c>
      <c r="M511" s="211"/>
      <c r="N511" s="211"/>
      <c r="O511" s="211"/>
      <c r="Q511" s="210" t="str">
        <f>IFERROR(__xludf.DUMMYFUNCTION("""COMPUTED_VALUE"""),"02250277")</f>
        <v>02250277</v>
      </c>
      <c r="R511" s="210" t="str">
        <f>IFERROR(__xludf.DUMMYFUNCTION("""COMPUTED_VALUE"""),"02250277")</f>
        <v>02250277</v>
      </c>
      <c r="S511" s="211" t="str">
        <f>IFERROR(__xludf.DUMMYFUNCTION("""COMPUTED_VALUE"""),"2d88931c")</f>
        <v>2d88931c</v>
      </c>
      <c r="T511" s="211" t="str">
        <f>IFERROR(__xludf.DUMMYFUNCTION("""COMPUTED_VALUE"""),"PT Dunia Berkat Marga Mulya")</f>
        <v>PT Dunia Berkat Marga Mulya</v>
      </c>
      <c r="U511" s="215">
        <f>IFERROR(__xludf.DUMMYFUNCTION("""COMPUTED_VALUE"""),45713.42013888889)</f>
        <v>45713.42014</v>
      </c>
      <c r="V511" s="211" t="str">
        <f>IFERROR(__xludf.DUMMYFUNCTION("""COMPUTED_VALUE"""),"JL JABARAN, WATESARI, BALONGBENDO, SIDOARJO, JAWA TIMUR")</f>
        <v>JL JABARAN, WATESARI, BALONGBENDO, SIDOARJO, JAWA TIMUR</v>
      </c>
      <c r="W511" s="211" t="str">
        <f>IFERROR(__xludf.DUMMYFUNCTION("""COMPUTED_VALUE"""),"OUT")</f>
        <v>OUT</v>
      </c>
      <c r="X511" s="211"/>
      <c r="Z511" s="211" t="str">
        <f>IFERROR(__xludf.DUMMYFUNCTION("""COMPUTED_VALUE"""),"122511983")</f>
        <v>122511983</v>
      </c>
      <c r="AC511" s="211"/>
      <c r="AD511" s="211"/>
      <c r="AE511" s="211"/>
      <c r="AF511" s="211"/>
      <c r="AG511" s="211"/>
      <c r="AH511" s="211"/>
      <c r="AI511" s="211"/>
      <c r="AJ511" s="211"/>
      <c r="AL511" s="211"/>
      <c r="AM511" s="211"/>
      <c r="AN511" s="211"/>
      <c r="AO511" s="211"/>
      <c r="AP511" s="215"/>
      <c r="AQ511" s="218"/>
      <c r="AR511" s="211"/>
      <c r="AS511" s="211"/>
      <c r="AT511" s="211"/>
      <c r="AU511" s="211"/>
      <c r="AV511" s="211"/>
      <c r="AW511" s="211"/>
      <c r="AX511" s="211"/>
      <c r="AY511" s="211"/>
      <c r="AZ511" s="211"/>
      <c r="BB511" s="211"/>
      <c r="BC511" s="211"/>
      <c r="BD511" s="211"/>
      <c r="BE511" s="211"/>
      <c r="BF511" s="211"/>
      <c r="BG511" s="211"/>
      <c r="BH511" s="211"/>
      <c r="BI511" s="211"/>
    </row>
    <row r="512">
      <c r="A512" s="210" t="str">
        <f>IFERROR(__xludf.DUMMYFUNCTION("""COMPUTED_VALUE"""),"01250219")</f>
        <v>01250219</v>
      </c>
      <c r="B512" s="210" t="str">
        <f>IFERROR(__xludf.DUMMYFUNCTION("""COMPUTED_VALUE"""),"01250219")</f>
        <v>01250219</v>
      </c>
      <c r="C512" s="213">
        <f>IFERROR(__xludf.DUMMYFUNCTION("""COMPUTED_VALUE"""),45673.69930555556)</f>
        <v>45673.69931</v>
      </c>
      <c r="D512" s="211" t="str">
        <f>IFERROR(__xludf.DUMMYFUNCTION("""COMPUTED_VALUE"""),"e86baf3b")</f>
        <v>e86baf3b</v>
      </c>
      <c r="E512" s="211" t="str">
        <f>IFERROR(__xludf.DUMMYFUNCTION("""COMPUTED_VALUE"""),"PT GEMILANG CIPTA WAWASAN")</f>
        <v>PT GEMILANG CIPTA WAWASAN</v>
      </c>
      <c r="F512" s="211" t="str">
        <f>IFERROR(__xludf.DUMMYFUNCTION("""COMPUTED_VALUE"""),"66af7c72")</f>
        <v>66af7c72</v>
      </c>
      <c r="G512" s="211" t="str">
        <f>IFERROR(__xludf.DUMMYFUNCTION("""COMPUTED_VALUE"""),"Argon 6m3")</f>
        <v>Argon 6m3</v>
      </c>
      <c r="H512" s="214" t="str">
        <f>IFERROR(__xludf.DUMMYFUNCTION("""COMPUTED_VALUE"""),"OUT")</f>
        <v>OUT</v>
      </c>
      <c r="I512" s="214" t="str">
        <f>IFERROR(__xludf.DUMMYFUNCTION("""COMPUTED_VALUE"""),"NORMAL")</f>
        <v>NORMAL</v>
      </c>
      <c r="J512" s="211">
        <f>IFERROR(__xludf.DUMMYFUNCTION("""COMPUTED_VALUE"""),10.0)</f>
        <v>10</v>
      </c>
      <c r="K512" s="210" t="str">
        <f>IFERROR(__xludf.DUMMYFUNCTION("""COMPUTED_VALUE"""),"11139 11150 11164 11136 11148 11145 11166 11153 11163 11141")</f>
        <v>11139 11150 11164 11136 11148 11145 11166 11153 11163 11141</v>
      </c>
      <c r="L512" s="211">
        <f>IFERROR(__xludf.DUMMYFUNCTION("""COMPUTED_VALUE"""),185000.0)</f>
        <v>185000</v>
      </c>
      <c r="M512" s="211"/>
      <c r="N512" s="211"/>
      <c r="O512" s="211"/>
      <c r="Q512" s="210" t="str">
        <f>IFERROR(__xludf.DUMMYFUNCTION("""COMPUTED_VALUE"""),"c9207435")</f>
        <v>c9207435</v>
      </c>
      <c r="R512" s="210" t="str">
        <f>IFERROR(__xludf.DUMMYFUNCTION("""COMPUTED_VALUE"""),"c9207435")</f>
        <v>c9207435</v>
      </c>
      <c r="S512" s="211" t="str">
        <f>IFERROR(__xludf.DUMMYFUNCTION("""COMPUTED_VALUE"""),"ac52e1fa")</f>
        <v>ac52e1fa</v>
      </c>
      <c r="T512" s="211" t="str">
        <f>IFERROR(__xludf.DUMMYFUNCTION("""COMPUTED_VALUE"""),"Abah Mad")</f>
        <v>Abah Mad</v>
      </c>
      <c r="U512" s="215">
        <f>IFERROR(__xludf.DUMMYFUNCTION("""COMPUTED_VALUE"""),45713.54861111111)</f>
        <v>45713.54861</v>
      </c>
      <c r="V512" s="211" t="str">
        <f>IFERROR(__xludf.DUMMYFUNCTION("""COMPUTED_VALUE"""),"Jl. Raya Surabaya  Madiun, Sidotemo, Sidomulyo, Kec. Krian, Kabupaten Sidoarjo, Jawa Timur 61262")</f>
        <v>Jl. Raya Surabaya  Madiun, Sidotemo, Sidomulyo, Kec. Krian, Kabupaten Sidoarjo, Jawa Timur 61262</v>
      </c>
      <c r="W512" s="211" t="str">
        <f>IFERROR(__xludf.DUMMYFUNCTION("""COMPUTED_VALUE"""),"IN")</f>
        <v>IN</v>
      </c>
      <c r="X512" s="211"/>
      <c r="Z512" s="211" t="str">
        <f>IFERROR(__xludf.DUMMYFUNCTION("""COMPUTED_VALUE"""),"122561979")</f>
        <v>122561979</v>
      </c>
      <c r="AC512" s="211"/>
      <c r="AD512" s="211"/>
      <c r="AE512" s="211"/>
      <c r="AF512" s="211"/>
      <c r="AG512" s="211"/>
      <c r="AH512" s="211"/>
      <c r="AI512" s="211"/>
      <c r="AJ512" s="211"/>
      <c r="AL512" s="211"/>
      <c r="AM512" s="211"/>
      <c r="AN512" s="211"/>
      <c r="AO512" s="211"/>
      <c r="AP512" s="215"/>
      <c r="AQ512" s="218"/>
      <c r="AR512" s="211"/>
      <c r="AS512" s="211"/>
      <c r="AT512" s="211"/>
      <c r="AU512" s="211"/>
      <c r="AV512" s="211"/>
      <c r="AW512" s="211"/>
      <c r="AX512" s="211"/>
      <c r="AY512" s="211"/>
      <c r="AZ512" s="211"/>
      <c r="BB512" s="211"/>
      <c r="BC512" s="211"/>
      <c r="BD512" s="211"/>
      <c r="BE512" s="211"/>
      <c r="BF512" s="211"/>
      <c r="BG512" s="211"/>
      <c r="BH512" s="211"/>
      <c r="BI512" s="211"/>
    </row>
    <row r="513">
      <c r="A513" s="210" t="str">
        <f>IFERROR(__xludf.DUMMYFUNCTION("""COMPUTED_VALUE"""),"9a3c146f")</f>
        <v>9a3c146f</v>
      </c>
      <c r="B513" s="210" t="str">
        <f>IFERROR(__xludf.DUMMYFUNCTION("""COMPUTED_VALUE"""),"9a3c146f")</f>
        <v>9a3c146f</v>
      </c>
      <c r="C513" s="213">
        <f>IFERROR(__xludf.DUMMYFUNCTION("""COMPUTED_VALUE"""),45673.70347222222)</f>
        <v>45673.70347</v>
      </c>
      <c r="D513" s="211" t="str">
        <f>IFERROR(__xludf.DUMMYFUNCTION("""COMPUTED_VALUE"""),"72d9a70c")</f>
        <v>72d9a70c</v>
      </c>
      <c r="E513" s="211" t="str">
        <f>IFERROR(__xludf.DUMMYFUNCTION("""COMPUTED_VALUE"""),"PT Beton Prima Indonesia")</f>
        <v>PT Beton Prima Indonesia</v>
      </c>
      <c r="F513" s="211" t="str">
        <f>IFERROR(__xludf.DUMMYFUNCTION("""COMPUTED_VALUE"""),"8bdbe149")</f>
        <v>8bdbe149</v>
      </c>
      <c r="G513" s="211" t="str">
        <f>IFERROR(__xludf.DUMMYFUNCTION("""COMPUTED_VALUE"""),"Oksigen 6m3")</f>
        <v>Oksigen 6m3</v>
      </c>
      <c r="H513" s="214" t="str">
        <f>IFERROR(__xludf.DUMMYFUNCTION("""COMPUTED_VALUE"""),"IN")</f>
        <v>IN</v>
      </c>
      <c r="I513" s="214" t="str">
        <f>IFERROR(__xludf.DUMMYFUNCTION("""COMPUTED_VALUE"""),"EMPTY")</f>
        <v>EMPTY</v>
      </c>
      <c r="J513" s="211">
        <f>IFERROR(__xludf.DUMMYFUNCTION("""COMPUTED_VALUE"""),1.0)</f>
        <v>1</v>
      </c>
      <c r="K513" s="210" t="str">
        <f>IFERROR(__xludf.DUMMYFUNCTION("""COMPUTED_VALUE"""),"5130")</f>
        <v>5130</v>
      </c>
      <c r="L513" s="211"/>
      <c r="M513" s="211"/>
      <c r="N513" s="211"/>
      <c r="O513" s="211"/>
      <c r="Q513" s="210" t="str">
        <f>IFERROR(__xludf.DUMMYFUNCTION("""COMPUTED_VALUE"""),"71a3396b")</f>
        <v>71a3396b</v>
      </c>
      <c r="R513" s="210" t="str">
        <f>IFERROR(__xludf.DUMMYFUNCTION("""COMPUTED_VALUE"""),"71a3396b")</f>
        <v>71a3396b</v>
      </c>
      <c r="S513" s="211" t="str">
        <f>IFERROR(__xludf.DUMMYFUNCTION("""COMPUTED_VALUE"""),"4ec68cf6")</f>
        <v>4ec68cf6</v>
      </c>
      <c r="T513" s="211" t="str">
        <f>IFERROR(__xludf.DUMMYFUNCTION("""COMPUTED_VALUE"""),"CV Sido Mukti Karya")</f>
        <v>CV Sido Mukti Karya</v>
      </c>
      <c r="U513" s="215">
        <f>IFERROR(__xludf.DUMMYFUNCTION("""COMPUTED_VALUE"""),45713.549305555556)</f>
        <v>45713.54931</v>
      </c>
      <c r="V513" s="211" t="str">
        <f>IFERROR(__xludf.DUMMYFUNCTION("""COMPUTED_VALUE"""),"Pergudangan Center Point no A3, Kemangsen")</f>
        <v>Pergudangan Center Point no A3, Kemangsen</v>
      </c>
      <c r="W513" s="211" t="str">
        <f>IFERROR(__xludf.DUMMYFUNCTION("""COMPUTED_VALUE"""),"IN")</f>
        <v>IN</v>
      </c>
      <c r="X513" s="211"/>
      <c r="Z513" s="211" t="str">
        <f>IFERROR(__xludf.DUMMYFUNCTION("""COMPUTED_VALUE"""),"122551978")</f>
        <v>122551978</v>
      </c>
      <c r="AC513" s="211"/>
      <c r="AD513" s="211"/>
      <c r="AE513" s="211"/>
      <c r="AF513" s="211"/>
      <c r="AG513" s="211"/>
      <c r="AH513" s="211"/>
      <c r="AI513" s="211"/>
      <c r="AJ513" s="211"/>
      <c r="AL513" s="211"/>
      <c r="AM513" s="211"/>
      <c r="AN513" s="211"/>
      <c r="AO513" s="211"/>
      <c r="AP513" s="215"/>
      <c r="AQ513" s="218"/>
      <c r="AR513" s="211"/>
      <c r="AS513" s="211"/>
      <c r="AT513" s="211"/>
      <c r="AU513" s="211"/>
      <c r="AV513" s="211"/>
      <c r="AW513" s="211"/>
      <c r="AX513" s="211"/>
      <c r="AY513" s="211"/>
      <c r="AZ513" s="211"/>
      <c r="BB513" s="211"/>
      <c r="BC513" s="211"/>
      <c r="BD513" s="211"/>
      <c r="BE513" s="211"/>
      <c r="BF513" s="211"/>
      <c r="BG513" s="211"/>
      <c r="BH513" s="211"/>
      <c r="BI513" s="211"/>
    </row>
    <row r="514">
      <c r="A514" s="210" t="str">
        <f>IFERROR(__xludf.DUMMYFUNCTION("""COMPUTED_VALUE"""),"21d47fb2")</f>
        <v>21d47fb2</v>
      </c>
      <c r="B514" s="210" t="str">
        <f>IFERROR(__xludf.DUMMYFUNCTION("""COMPUTED_VALUE"""),"21d47fb2")</f>
        <v>21d47fb2</v>
      </c>
      <c r="C514" s="213">
        <f>IFERROR(__xludf.DUMMYFUNCTION("""COMPUTED_VALUE"""),45673.70347222222)</f>
        <v>45673.70347</v>
      </c>
      <c r="D514" s="211" t="str">
        <f>IFERROR(__xludf.DUMMYFUNCTION("""COMPUTED_VALUE"""),"3fec37df")</f>
        <v>3fec37df</v>
      </c>
      <c r="E514" s="211" t="str">
        <f>IFERROR(__xludf.DUMMYFUNCTION("""COMPUTED_VALUE"""),"PT Jatim Abadi Perkasa Steel")</f>
        <v>PT Jatim Abadi Perkasa Steel</v>
      </c>
      <c r="F514" s="211" t="str">
        <f>IFERROR(__xludf.DUMMYFUNCTION("""COMPUTED_VALUE"""),"b7a8fff1")</f>
        <v>b7a8fff1</v>
      </c>
      <c r="G514" s="211" t="str">
        <f>IFERROR(__xludf.DUMMYFUNCTION("""COMPUTED_VALUE"""),"LPG 50kg")</f>
        <v>LPG 50kg</v>
      </c>
      <c r="H514" s="214" t="str">
        <f>IFERROR(__xludf.DUMMYFUNCTION("""COMPUTED_VALUE"""),"IN")</f>
        <v>IN</v>
      </c>
      <c r="I514" s="214" t="str">
        <f>IFERROR(__xludf.DUMMYFUNCTION("""COMPUTED_VALUE"""),"EMPTY")</f>
        <v>EMPTY</v>
      </c>
      <c r="J514" s="211">
        <f>IFERROR(__xludf.DUMMYFUNCTION("""COMPUTED_VALUE"""),5.0)</f>
        <v>5</v>
      </c>
      <c r="K514" s="211"/>
      <c r="L514" s="211"/>
      <c r="M514" s="211"/>
      <c r="N514" s="211"/>
      <c r="O514" s="211"/>
      <c r="Q514" s="210" t="str">
        <f>IFERROR(__xludf.DUMMYFUNCTION("""COMPUTED_VALUE"""),"ab6d2028")</f>
        <v>ab6d2028</v>
      </c>
      <c r="R514" s="210" t="str">
        <f>IFERROR(__xludf.DUMMYFUNCTION("""COMPUTED_VALUE"""),"ab6d2028")</f>
        <v>ab6d2028</v>
      </c>
      <c r="S514" s="211" t="str">
        <f>IFERROR(__xludf.DUMMYFUNCTION("""COMPUTED_VALUE"""),"2d88931c")</f>
        <v>2d88931c</v>
      </c>
      <c r="T514" s="211" t="str">
        <f>IFERROR(__xludf.DUMMYFUNCTION("""COMPUTED_VALUE"""),"PT Dunia Berkat Marga Mulya")</f>
        <v>PT Dunia Berkat Marga Mulya</v>
      </c>
      <c r="U514" s="215">
        <f>IFERROR(__xludf.DUMMYFUNCTION("""COMPUTED_VALUE"""),45713.55)</f>
        <v>45713.55</v>
      </c>
      <c r="V514" s="211" t="str">
        <f>IFERROR(__xludf.DUMMYFUNCTION("""COMPUTED_VALUE"""),"JL JABARAN, WATESARI, BALONGBENDO, SIDOARJO, JAWA TIMUR")</f>
        <v>JL JABARAN, WATESARI, BALONGBENDO, SIDOARJO, JAWA TIMUR</v>
      </c>
      <c r="W514" s="211" t="str">
        <f>IFERROR(__xludf.DUMMYFUNCTION("""COMPUTED_VALUE"""),"IN")</f>
        <v>IN</v>
      </c>
      <c r="X514" s="211"/>
      <c r="Z514" s="211" t="str">
        <f>IFERROR(__xludf.DUMMYFUNCTION("""COMPUTED_VALUE"""),"1225401977")</f>
        <v>1225401977</v>
      </c>
      <c r="AC514" s="211"/>
      <c r="AD514" s="211"/>
      <c r="AE514" s="211"/>
      <c r="AF514" s="211"/>
      <c r="AG514" s="211"/>
      <c r="AH514" s="211"/>
      <c r="AI514" s="211"/>
      <c r="AJ514" s="211"/>
      <c r="AL514" s="211"/>
      <c r="AM514" s="211"/>
      <c r="AN514" s="211"/>
      <c r="AO514" s="211"/>
      <c r="AP514" s="215"/>
      <c r="AQ514" s="218"/>
      <c r="AR514" s="211"/>
      <c r="AS514" s="211"/>
      <c r="AT514" s="211"/>
      <c r="AU514" s="211"/>
      <c r="AV514" s="211"/>
      <c r="AW514" s="211"/>
      <c r="AX514" s="211"/>
      <c r="AY514" s="211"/>
      <c r="AZ514" s="211"/>
      <c r="BB514" s="211"/>
      <c r="BC514" s="211"/>
      <c r="BD514" s="211"/>
      <c r="BE514" s="211"/>
      <c r="BF514" s="211"/>
      <c r="BG514" s="211"/>
      <c r="BH514" s="211"/>
      <c r="BI514" s="211"/>
    </row>
    <row r="515">
      <c r="A515" s="210" t="str">
        <f>IFERROR(__xludf.DUMMYFUNCTION("""COMPUTED_VALUE"""),"40511c62")</f>
        <v>40511c62</v>
      </c>
      <c r="B515" s="210" t="str">
        <f>IFERROR(__xludf.DUMMYFUNCTION("""COMPUTED_VALUE"""),"40511c62")</f>
        <v>40511c62</v>
      </c>
      <c r="C515" s="213">
        <f>IFERROR(__xludf.DUMMYFUNCTION("""COMPUTED_VALUE"""),45674.52013888889)</f>
        <v>45674.52014</v>
      </c>
      <c r="D515" s="211" t="str">
        <f>IFERROR(__xludf.DUMMYFUNCTION("""COMPUTED_VALUE"""),"01158be1")</f>
        <v>01158be1</v>
      </c>
      <c r="E515" s="211" t="str">
        <f>IFERROR(__xludf.DUMMYFUNCTION("""COMPUTED_VALUE"""),"GYF")</f>
        <v>GYF</v>
      </c>
      <c r="F515" s="211" t="str">
        <f>IFERROR(__xludf.DUMMYFUNCTION("""COMPUTED_VALUE"""),"8bdbe149")</f>
        <v>8bdbe149</v>
      </c>
      <c r="G515" s="211" t="str">
        <f>IFERROR(__xludf.DUMMYFUNCTION("""COMPUTED_VALUE"""),"Oksigen 6m3")</f>
        <v>Oksigen 6m3</v>
      </c>
      <c r="H515" s="214" t="str">
        <f>IFERROR(__xludf.DUMMYFUNCTION("""COMPUTED_VALUE"""),"IN")</f>
        <v>IN</v>
      </c>
      <c r="I515" s="214" t="str">
        <f>IFERROR(__xludf.DUMMYFUNCTION("""COMPUTED_VALUE"""),"EMPTY")</f>
        <v>EMPTY</v>
      </c>
      <c r="J515" s="211">
        <f>IFERROR(__xludf.DUMMYFUNCTION("""COMPUTED_VALUE"""),11.0)</f>
        <v>11</v>
      </c>
      <c r="K515" s="210" t="str">
        <f>IFERROR(__xludf.DUMMYFUNCTION("""COMPUTED_VALUE"""),"11197 1113 5885 5425 11165 1124 11152 1115 5820 01 11211")</f>
        <v>11197 1113 5885 5425 11165 1124 11152 1115 5820 01 11211</v>
      </c>
      <c r="L515" s="211"/>
      <c r="M515" s="211"/>
      <c r="N515" s="211"/>
      <c r="O515" s="211"/>
      <c r="Q515" s="210" t="str">
        <f>IFERROR(__xludf.DUMMYFUNCTION("""COMPUTED_VALUE"""),"d696143c")</f>
        <v>d696143c</v>
      </c>
      <c r="R515" s="210" t="str">
        <f>IFERROR(__xludf.DUMMYFUNCTION("""COMPUTED_VALUE"""),"d696143c")</f>
        <v>d696143c</v>
      </c>
      <c r="S515" s="211" t="str">
        <f>IFERROR(__xludf.DUMMYFUNCTION("""COMPUTED_VALUE"""),"01158be1")</f>
        <v>01158be1</v>
      </c>
      <c r="T515" s="211" t="str">
        <f>IFERROR(__xludf.DUMMYFUNCTION("""COMPUTED_VALUE"""),"GYF")</f>
        <v>GYF</v>
      </c>
      <c r="U515" s="215">
        <f>IFERROR(__xludf.DUMMYFUNCTION("""COMPUTED_VALUE"""),45713.55)</f>
        <v>45713.55</v>
      </c>
      <c r="V515" s="211" t="str">
        <f>IFERROR(__xludf.DUMMYFUNCTION("""COMPUTED_VALUE"""),"Kangkungan, Lengkong, Kec. Mojoanyar, Kabupaten Mojokerto, Jawa Timur")</f>
        <v>Kangkungan, Lengkong, Kec. Mojoanyar, Kabupaten Mojokerto, Jawa Timur</v>
      </c>
      <c r="W515" s="211" t="str">
        <f>IFERROR(__xludf.DUMMYFUNCTION("""COMPUTED_VALUE"""),"IN")</f>
        <v>IN</v>
      </c>
      <c r="X515" s="211"/>
      <c r="Z515" s="211" t="str">
        <f>IFERROR(__xludf.DUMMYFUNCTION("""COMPUTED_VALUE"""),"122521975")</f>
        <v>122521975</v>
      </c>
      <c r="AC515" s="211"/>
      <c r="AD515" s="211"/>
      <c r="AE515" s="211"/>
      <c r="AF515" s="211"/>
      <c r="AG515" s="211"/>
      <c r="AH515" s="211"/>
      <c r="AI515" s="211"/>
      <c r="AJ515" s="211"/>
      <c r="AL515" s="211"/>
      <c r="AM515" s="211"/>
      <c r="AN515" s="211"/>
      <c r="AO515" s="211"/>
      <c r="AP515" s="215"/>
      <c r="AQ515" s="218"/>
      <c r="AR515" s="211"/>
      <c r="AS515" s="211"/>
      <c r="AT515" s="211"/>
      <c r="AU515" s="211"/>
      <c r="AV515" s="211"/>
      <c r="AW515" s="211"/>
      <c r="AX515" s="211"/>
      <c r="AY515" s="211"/>
      <c r="AZ515" s="211"/>
      <c r="BB515" s="211"/>
      <c r="BC515" s="211"/>
      <c r="BD515" s="211"/>
      <c r="BE515" s="211"/>
      <c r="BF515" s="211"/>
      <c r="BG515" s="211"/>
      <c r="BH515" s="211"/>
      <c r="BI515" s="211"/>
    </row>
    <row r="516">
      <c r="A516" s="210" t="str">
        <f>IFERROR(__xludf.DUMMYFUNCTION("""COMPUTED_VALUE"""),"a80efadb")</f>
        <v>a80efadb</v>
      </c>
      <c r="B516" s="210" t="str">
        <f>IFERROR(__xludf.DUMMYFUNCTION("""COMPUTED_VALUE"""),"a80efadb")</f>
        <v>a80efadb</v>
      </c>
      <c r="C516" s="213">
        <f>IFERROR(__xludf.DUMMYFUNCTION("""COMPUTED_VALUE"""),45674.520833333336)</f>
        <v>45674.52083</v>
      </c>
      <c r="D516" s="211" t="str">
        <f>IFERROR(__xludf.DUMMYFUNCTION("""COMPUTED_VALUE"""),"a9fe1bea")</f>
        <v>a9fe1bea</v>
      </c>
      <c r="E516" s="211" t="str">
        <f>IFERROR(__xludf.DUMMYFUNCTION("""COMPUTED_VALUE"""),"H. Suheiri")</f>
        <v>H. Suheiri</v>
      </c>
      <c r="F516" s="211" t="str">
        <f>IFERROR(__xludf.DUMMYFUNCTION("""COMPUTED_VALUE"""),"8bdbe149")</f>
        <v>8bdbe149</v>
      </c>
      <c r="G516" s="211" t="str">
        <f>IFERROR(__xludf.DUMMYFUNCTION("""COMPUTED_VALUE"""),"Oksigen 6m3")</f>
        <v>Oksigen 6m3</v>
      </c>
      <c r="H516" s="214" t="str">
        <f>IFERROR(__xludf.DUMMYFUNCTION("""COMPUTED_VALUE"""),"IN")</f>
        <v>IN</v>
      </c>
      <c r="I516" s="214" t="str">
        <f>IFERROR(__xludf.DUMMYFUNCTION("""COMPUTED_VALUE"""),"EMPTY")</f>
        <v>EMPTY</v>
      </c>
      <c r="J516" s="211">
        <f>IFERROR(__xludf.DUMMYFUNCTION("""COMPUTED_VALUE"""),7.0)</f>
        <v>7</v>
      </c>
      <c r="K516" s="210" t="str">
        <f>IFERROR(__xludf.DUMMYFUNCTION("""COMPUTED_VALUE"""),"11167 003 0003 5091 5917 5315 19")</f>
        <v>11167 003 0003 5091 5917 5315 19</v>
      </c>
      <c r="L516" s="211"/>
      <c r="M516" s="211"/>
      <c r="N516" s="211"/>
      <c r="O516" s="211"/>
      <c r="Q516" s="210" t="str">
        <f>IFERROR(__xludf.DUMMYFUNCTION("""COMPUTED_VALUE"""),"02250278")</f>
        <v>02250278</v>
      </c>
      <c r="R516" s="210" t="str">
        <f>IFERROR(__xludf.DUMMYFUNCTION("""COMPUTED_VALUE"""),"02250278")</f>
        <v>02250278</v>
      </c>
      <c r="S516" s="211" t="str">
        <f>IFERROR(__xludf.DUMMYFUNCTION("""COMPUTED_VALUE"""),"785e0e07")</f>
        <v>785e0e07</v>
      </c>
      <c r="T516" s="211" t="str">
        <f>IFERROR(__xludf.DUMMYFUNCTION("""COMPUTED_VALUE"""),"Bpk. Sukirno (Bejo)")</f>
        <v>Bpk. Sukirno (Bejo)</v>
      </c>
      <c r="U516" s="215">
        <f>IFERROR(__xludf.DUMMYFUNCTION("""COMPUTED_VALUE"""),45713.70138888889)</f>
        <v>45713.70139</v>
      </c>
      <c r="V516" s="211" t="str">
        <f>IFERROR(__xludf.DUMMYFUNCTION("""COMPUTED_VALUE"""),"Krajan I, Wringinanom, Kec. Wringinanom, Kabupaten Gresik, Jawa Timur 61176")</f>
        <v>Krajan I, Wringinanom, Kec. Wringinanom, Kabupaten Gresik, Jawa Timur 61176</v>
      </c>
      <c r="W516" s="211" t="str">
        <f>IFERROR(__xludf.DUMMYFUNCTION("""COMPUTED_VALUE"""),"OUT")</f>
        <v>OUT</v>
      </c>
      <c r="X516" s="211"/>
      <c r="Z516" s="211" t="str">
        <f>IFERROR(__xludf.DUMMYFUNCTION("""COMPUTED_VALUE"""),"1225321970")</f>
        <v>1225321970</v>
      </c>
      <c r="AC516" s="211"/>
      <c r="AD516" s="211"/>
      <c r="AE516" s="211"/>
      <c r="AF516" s="211"/>
      <c r="AG516" s="211"/>
      <c r="AH516" s="211"/>
      <c r="AI516" s="211"/>
      <c r="AJ516" s="211"/>
      <c r="AL516" s="211"/>
      <c r="AM516" s="211"/>
      <c r="AN516" s="211"/>
      <c r="AO516" s="211"/>
      <c r="AP516" s="215"/>
      <c r="AQ516" s="218"/>
      <c r="AR516" s="211"/>
      <c r="AS516" s="211"/>
      <c r="AT516" s="211"/>
      <c r="AU516" s="211"/>
      <c r="AV516" s="211"/>
      <c r="AW516" s="211"/>
      <c r="AX516" s="211"/>
      <c r="AY516" s="211"/>
      <c r="AZ516" s="211"/>
      <c r="BB516" s="211"/>
      <c r="BC516" s="211"/>
      <c r="BD516" s="211"/>
      <c r="BE516" s="211"/>
      <c r="BF516" s="211"/>
      <c r="BG516" s="211"/>
      <c r="BH516" s="211"/>
      <c r="BI516" s="211"/>
    </row>
    <row r="517">
      <c r="A517" s="210" t="str">
        <f>IFERROR(__xludf.DUMMYFUNCTION("""COMPUTED_VALUE"""),"33289c80")</f>
        <v>33289c80</v>
      </c>
      <c r="B517" s="210" t="str">
        <f>IFERROR(__xludf.DUMMYFUNCTION("""COMPUTED_VALUE"""),"33289c80")</f>
        <v>33289c80</v>
      </c>
      <c r="C517" s="213">
        <f>IFERROR(__xludf.DUMMYFUNCTION("""COMPUTED_VALUE"""),45675.47708333333)</f>
        <v>45675.47708</v>
      </c>
      <c r="D517" s="211" t="str">
        <f>IFERROR(__xludf.DUMMYFUNCTION("""COMPUTED_VALUE"""),"103f3ae7")</f>
        <v>103f3ae7</v>
      </c>
      <c r="E517" s="211" t="str">
        <f>IFERROR(__xludf.DUMMYFUNCTION("""COMPUTED_VALUE"""),"PT ARYANA CAKASANA")</f>
        <v>PT ARYANA CAKASANA</v>
      </c>
      <c r="F517" s="211" t="str">
        <f>IFERROR(__xludf.DUMMYFUNCTION("""COMPUTED_VALUE"""),"8bdbe149")</f>
        <v>8bdbe149</v>
      </c>
      <c r="G517" s="211" t="str">
        <f>IFERROR(__xludf.DUMMYFUNCTION("""COMPUTED_VALUE"""),"Oksigen 6m3")</f>
        <v>Oksigen 6m3</v>
      </c>
      <c r="H517" s="214" t="str">
        <f>IFERROR(__xludf.DUMMYFUNCTION("""COMPUTED_VALUE"""),"IN")</f>
        <v>IN</v>
      </c>
      <c r="I517" s="214" t="str">
        <f>IFERROR(__xludf.DUMMYFUNCTION("""COMPUTED_VALUE"""),"EMPTY")</f>
        <v>EMPTY</v>
      </c>
      <c r="J517" s="211">
        <f>IFERROR(__xludf.DUMMYFUNCTION("""COMPUTED_VALUE"""),3.0)</f>
        <v>3</v>
      </c>
      <c r="K517" s="210" t="str">
        <f>IFERROR(__xludf.DUMMYFUNCTION("""COMPUTED_VALUE"""),"1146 11114 1190")</f>
        <v>1146 11114 1190</v>
      </c>
      <c r="L517" s="211"/>
      <c r="M517" s="211"/>
      <c r="N517" s="211"/>
      <c r="O517" s="211"/>
      <c r="Q517" s="210" t="str">
        <f>IFERROR(__xludf.DUMMYFUNCTION("""COMPUTED_VALUE"""),"8212065b")</f>
        <v>8212065b</v>
      </c>
      <c r="R517" s="210" t="str">
        <f>IFERROR(__xludf.DUMMYFUNCTION("""COMPUTED_VALUE"""),"8212065b")</f>
        <v>8212065b</v>
      </c>
      <c r="S517" s="211" t="str">
        <f>IFERROR(__xludf.DUMMYFUNCTION("""COMPUTED_VALUE"""),"785e0e07")</f>
        <v>785e0e07</v>
      </c>
      <c r="T517" s="211" t="str">
        <f>IFERROR(__xludf.DUMMYFUNCTION("""COMPUTED_VALUE"""),"Bpk. Sukirno (Bejo)")</f>
        <v>Bpk. Sukirno (Bejo)</v>
      </c>
      <c r="U517" s="215">
        <f>IFERROR(__xludf.DUMMYFUNCTION("""COMPUTED_VALUE"""),45714.51527777778)</f>
        <v>45714.51528</v>
      </c>
      <c r="V517" s="211" t="str">
        <f>IFERROR(__xludf.DUMMYFUNCTION("""COMPUTED_VALUE"""),"Krajan I, Wringinanom, Kec. Wringinanom, Kabupaten Gresik, Jawa Timur 61176")</f>
        <v>Krajan I, Wringinanom, Kec. Wringinanom, Kabupaten Gresik, Jawa Timur 61176</v>
      </c>
      <c r="W517" s="211" t="str">
        <f>IFERROR(__xludf.DUMMYFUNCTION("""COMPUTED_VALUE"""),"IN")</f>
        <v>IN</v>
      </c>
      <c r="X517" s="211"/>
      <c r="Z517" s="211" t="str">
        <f>IFERROR(__xludf.DUMMYFUNCTION("""COMPUTED_VALUE"""),"1225531969")</f>
        <v>1225531969</v>
      </c>
      <c r="AC517" s="211"/>
      <c r="AD517" s="211"/>
      <c r="AE517" s="211"/>
      <c r="AF517" s="211"/>
      <c r="AG517" s="211"/>
      <c r="AH517" s="211"/>
      <c r="AI517" s="211"/>
      <c r="AJ517" s="211"/>
      <c r="AL517" s="211"/>
      <c r="AM517" s="211"/>
      <c r="AN517" s="211"/>
      <c r="AO517" s="211"/>
      <c r="AP517" s="215"/>
      <c r="AQ517" s="218"/>
      <c r="AR517" s="211"/>
      <c r="AS517" s="211"/>
      <c r="AT517" s="211"/>
      <c r="AU517" s="211"/>
      <c r="AV517" s="211"/>
      <c r="AW517" s="211"/>
      <c r="AX517" s="211"/>
      <c r="AY517" s="211"/>
      <c r="AZ517" s="211"/>
      <c r="BB517" s="211"/>
      <c r="BC517" s="211"/>
      <c r="BD517" s="211"/>
      <c r="BE517" s="211"/>
      <c r="BF517" s="211"/>
      <c r="BG517" s="211"/>
      <c r="BH517" s="211"/>
      <c r="BI517" s="211"/>
    </row>
    <row r="518">
      <c r="A518" s="210" t="str">
        <f>IFERROR(__xludf.DUMMYFUNCTION("""COMPUTED_VALUE"""),"01250220")</f>
        <v>01250220</v>
      </c>
      <c r="B518" s="210" t="str">
        <f>IFERROR(__xludf.DUMMYFUNCTION("""COMPUTED_VALUE"""),"01250220")</f>
        <v>01250220</v>
      </c>
      <c r="C518" s="213">
        <f>IFERROR(__xludf.DUMMYFUNCTION("""COMPUTED_VALUE"""),45677.345138888886)</f>
        <v>45677.34514</v>
      </c>
      <c r="D518" s="211" t="str">
        <f>IFERROR(__xludf.DUMMYFUNCTION("""COMPUTED_VALUE"""),"785e0e07")</f>
        <v>785e0e07</v>
      </c>
      <c r="E518" s="211" t="str">
        <f>IFERROR(__xludf.DUMMYFUNCTION("""COMPUTED_VALUE"""),"Bpk. Sukirno (Bejo)")</f>
        <v>Bpk. Sukirno (Bejo)</v>
      </c>
      <c r="F518" s="211" t="str">
        <f>IFERROR(__xludf.DUMMYFUNCTION("""COMPUTED_VALUE"""),"8bdbe149")</f>
        <v>8bdbe149</v>
      </c>
      <c r="G518" s="211" t="str">
        <f>IFERROR(__xludf.DUMMYFUNCTION("""COMPUTED_VALUE"""),"Oksigen 6m3")</f>
        <v>Oksigen 6m3</v>
      </c>
      <c r="H518" s="214" t="str">
        <f>IFERROR(__xludf.DUMMYFUNCTION("""COMPUTED_VALUE"""),"OUT")</f>
        <v>OUT</v>
      </c>
      <c r="I518" s="214" t="str">
        <f>IFERROR(__xludf.DUMMYFUNCTION("""COMPUTED_VALUE"""),"NORMAL")</f>
        <v>NORMAL</v>
      </c>
      <c r="J518" s="211">
        <f>IFERROR(__xludf.DUMMYFUNCTION("""COMPUTED_VALUE"""),15.0)</f>
        <v>15</v>
      </c>
      <c r="K518" s="210" t="str">
        <f>IFERROR(__xludf.DUMMYFUNCTION("""COMPUTED_VALUE"""),"11165 11184 11197 11123 11122 11103 11199 11175 11210 11209 11207 11211 1141 1139 1111")</f>
        <v>11165 11184 11197 11123 11122 11103 11199 11175 11210 11209 11207 11211 1141 1139 1111</v>
      </c>
      <c r="L518" s="211">
        <f>IFERROR(__xludf.DUMMYFUNCTION("""COMPUTED_VALUE"""),60000.0)</f>
        <v>60000</v>
      </c>
      <c r="M518" s="211"/>
      <c r="N518" s="211"/>
      <c r="O518" s="211"/>
      <c r="Q518" s="210" t="str">
        <f>IFERROR(__xludf.DUMMYFUNCTION("""COMPUTED_VALUE"""),"94f734d6")</f>
        <v>94f734d6</v>
      </c>
      <c r="R518" s="210" t="str">
        <f>IFERROR(__xludf.DUMMYFUNCTION("""COMPUTED_VALUE"""),"94f734d6")</f>
        <v>94f734d6</v>
      </c>
      <c r="S518" s="211" t="str">
        <f>IFERROR(__xludf.DUMMYFUNCTION("""COMPUTED_VALUE"""),"5f23ba17")</f>
        <v>5f23ba17</v>
      </c>
      <c r="T518" s="211" t="str">
        <f>IFERROR(__xludf.DUMMYFUNCTION("""COMPUTED_VALUE"""),"Bpk. Joko (Gresik)")</f>
        <v>Bpk. Joko (Gresik)</v>
      </c>
      <c r="U518" s="215">
        <f>IFERROR(__xludf.DUMMYFUNCTION("""COMPUTED_VALUE"""),45714.67222222222)</f>
        <v>45714.67222</v>
      </c>
      <c r="V518" s="211" t="str">
        <f>IFERROR(__xludf.DUMMYFUNCTION("""COMPUTED_VALUE"""),"Tanggungan, Lebaniwaras, Kec. Wringinanom, Kabupaten Gresik, Jawa Timur")</f>
        <v>Tanggungan, Lebaniwaras, Kec. Wringinanom, Kabupaten Gresik, Jawa Timur</v>
      </c>
      <c r="W518" s="211" t="str">
        <f>IFERROR(__xludf.DUMMYFUNCTION("""COMPUTED_VALUE"""),"IN")</f>
        <v>IN</v>
      </c>
      <c r="X518" s="211"/>
      <c r="Z518" s="211" t="str">
        <f>IFERROR(__xludf.DUMMYFUNCTION("""COMPUTED_VALUE"""),"122521967")</f>
        <v>122521967</v>
      </c>
      <c r="AC518" s="211"/>
      <c r="AD518" s="211"/>
      <c r="AE518" s="211"/>
      <c r="AF518" s="211"/>
      <c r="AG518" s="211"/>
      <c r="AH518" s="211"/>
      <c r="AI518" s="211"/>
      <c r="AJ518" s="211"/>
      <c r="AL518" s="211"/>
      <c r="AM518" s="211"/>
      <c r="AN518" s="211"/>
      <c r="AO518" s="211"/>
      <c r="AP518" s="215"/>
      <c r="AQ518" s="218"/>
      <c r="AR518" s="211"/>
      <c r="AS518" s="211"/>
      <c r="AT518" s="211"/>
      <c r="AU518" s="211"/>
      <c r="AV518" s="211"/>
      <c r="AW518" s="211"/>
      <c r="AX518" s="211"/>
      <c r="AY518" s="211"/>
      <c r="AZ518" s="211"/>
      <c r="BB518" s="211"/>
      <c r="BC518" s="211"/>
      <c r="BD518" s="211"/>
      <c r="BE518" s="211"/>
      <c r="BF518" s="211"/>
      <c r="BG518" s="211"/>
      <c r="BH518" s="211"/>
      <c r="BI518" s="211"/>
    </row>
    <row r="519">
      <c r="A519" s="210" t="str">
        <f>IFERROR(__xludf.DUMMYFUNCTION("""COMPUTED_VALUE"""),"6d2c5f13")</f>
        <v>6d2c5f13</v>
      </c>
      <c r="B519" s="210" t="str">
        <f>IFERROR(__xludf.DUMMYFUNCTION("""COMPUTED_VALUE"""),"6d2c5f13")</f>
        <v>6d2c5f13</v>
      </c>
      <c r="C519" s="213">
        <f>IFERROR(__xludf.DUMMYFUNCTION("""COMPUTED_VALUE"""),45677.663194444445)</f>
        <v>45677.66319</v>
      </c>
      <c r="D519" s="211" t="str">
        <f>IFERROR(__xludf.DUMMYFUNCTION("""COMPUTED_VALUE"""),"785e0e07")</f>
        <v>785e0e07</v>
      </c>
      <c r="E519" s="211" t="str">
        <f>IFERROR(__xludf.DUMMYFUNCTION("""COMPUTED_VALUE"""),"Bpk. Sukirno (Bejo)")</f>
        <v>Bpk. Sukirno (Bejo)</v>
      </c>
      <c r="F519" s="211" t="str">
        <f>IFERROR(__xludf.DUMMYFUNCTION("""COMPUTED_VALUE"""),"8bdbe149")</f>
        <v>8bdbe149</v>
      </c>
      <c r="G519" s="211" t="str">
        <f>IFERROR(__xludf.DUMMYFUNCTION("""COMPUTED_VALUE"""),"Oksigen 6m3")</f>
        <v>Oksigen 6m3</v>
      </c>
      <c r="H519" s="214" t="str">
        <f>IFERROR(__xludf.DUMMYFUNCTION("""COMPUTED_VALUE"""),"IN")</f>
        <v>IN</v>
      </c>
      <c r="I519" s="214" t="str">
        <f>IFERROR(__xludf.DUMMYFUNCTION("""COMPUTED_VALUE"""),"EMPTY")</f>
        <v>EMPTY</v>
      </c>
      <c r="J519" s="211">
        <f>IFERROR(__xludf.DUMMYFUNCTION("""COMPUTED_VALUE"""),15.0)</f>
        <v>15</v>
      </c>
      <c r="K519" s="210" t="str">
        <f>IFERROR(__xludf.DUMMYFUNCTION("""COMPUTED_VALUE"""),"5211 1626 1038 11204 11137 11130 11168 1431 11162 1563 1479 11200 31 49 1129")</f>
        <v>5211 1626 1038 11204 11137 11130 11168 1431 11162 1563 1479 11200 31 49 1129</v>
      </c>
      <c r="L519" s="211"/>
      <c r="M519" s="211"/>
      <c r="N519" s="211"/>
      <c r="O519" s="211"/>
      <c r="Q519" s="210" t="str">
        <f>IFERROR(__xludf.DUMMYFUNCTION("""COMPUTED_VALUE"""),"81afde86")</f>
        <v>81afde86</v>
      </c>
      <c r="R519" s="210" t="str">
        <f>IFERROR(__xludf.DUMMYFUNCTION("""COMPUTED_VALUE"""),"81afde86")</f>
        <v>81afde86</v>
      </c>
      <c r="S519" s="211" t="str">
        <f>IFERROR(__xludf.DUMMYFUNCTION("""COMPUTED_VALUE"""),"103f3ae7")</f>
        <v>103f3ae7</v>
      </c>
      <c r="T519" s="211" t="str">
        <f>IFERROR(__xludf.DUMMYFUNCTION("""COMPUTED_VALUE"""),"PT ARYANA CAKASANA")</f>
        <v>PT ARYANA CAKASANA</v>
      </c>
      <c r="U519" s="215">
        <f>IFERROR(__xludf.DUMMYFUNCTION("""COMPUTED_VALUE"""),45714.67291666666)</f>
        <v>45714.67292</v>
      </c>
      <c r="V519" s="211" t="str">
        <f>IFERROR(__xludf.DUMMYFUNCTION("""COMPUTED_VALUE"""),"Jl Raya Tarik No. 45, Wonokupang, Bakalan, Balongbendo")</f>
        <v>Jl Raya Tarik No. 45, Wonokupang, Bakalan, Balongbendo</v>
      </c>
      <c r="W519" s="211" t="str">
        <f>IFERROR(__xludf.DUMMYFUNCTION("""COMPUTED_VALUE"""),"IN")</f>
        <v>IN</v>
      </c>
      <c r="X519" s="211"/>
      <c r="Z519" s="211" t="str">
        <f>IFERROR(__xludf.DUMMYFUNCTION("""COMPUTED_VALUE"""),"122531966")</f>
        <v>122531966</v>
      </c>
      <c r="AC519" s="211"/>
      <c r="AD519" s="211"/>
      <c r="AE519" s="211"/>
      <c r="AF519" s="211"/>
      <c r="AG519" s="211"/>
      <c r="AH519" s="211"/>
      <c r="AI519" s="211"/>
      <c r="AJ519" s="211"/>
      <c r="AL519" s="211"/>
      <c r="AM519" s="211"/>
      <c r="AN519" s="211"/>
      <c r="AO519" s="211"/>
      <c r="AP519" s="215"/>
      <c r="AQ519" s="218"/>
      <c r="AR519" s="211"/>
      <c r="AS519" s="211"/>
      <c r="AT519" s="211"/>
      <c r="AU519" s="211"/>
      <c r="AV519" s="211"/>
      <c r="AW519" s="211"/>
      <c r="AX519" s="211"/>
      <c r="AY519" s="211"/>
      <c r="AZ519" s="211"/>
      <c r="BB519" s="211"/>
      <c r="BC519" s="211"/>
      <c r="BD519" s="211"/>
      <c r="BE519" s="211"/>
      <c r="BF519" s="211"/>
      <c r="BG519" s="211"/>
      <c r="BH519" s="211"/>
      <c r="BI519" s="211"/>
    </row>
    <row r="520">
      <c r="A520" s="210" t="str">
        <f>IFERROR(__xludf.DUMMYFUNCTION("""COMPUTED_VALUE"""),"bf31baba")</f>
        <v>bf31baba</v>
      </c>
      <c r="B520" s="210" t="str">
        <f>IFERROR(__xludf.DUMMYFUNCTION("""COMPUTED_VALUE"""),"bf31baba")</f>
        <v>bf31baba</v>
      </c>
      <c r="C520" s="213">
        <f>IFERROR(__xludf.DUMMYFUNCTION("""COMPUTED_VALUE"""),45677.66527777778)</f>
        <v>45677.66528</v>
      </c>
      <c r="D520" s="211" t="str">
        <f>IFERROR(__xludf.DUMMYFUNCTION("""COMPUTED_VALUE"""),"37175874")</f>
        <v>37175874</v>
      </c>
      <c r="E520" s="211" t="str">
        <f>IFERROR(__xludf.DUMMYFUNCTION("""COMPUTED_VALUE"""),"PT TERAPAN NILAIOSILASI INDONESIA (TENO)")</f>
        <v>PT TERAPAN NILAIOSILASI INDONESIA (TENO)</v>
      </c>
      <c r="F520" s="211" t="str">
        <f>IFERROR(__xludf.DUMMYFUNCTION("""COMPUTED_VALUE"""),"8bdbe149")</f>
        <v>8bdbe149</v>
      </c>
      <c r="G520" s="211" t="str">
        <f>IFERROR(__xludf.DUMMYFUNCTION("""COMPUTED_VALUE"""),"Oksigen 6m3")</f>
        <v>Oksigen 6m3</v>
      </c>
      <c r="H520" s="214" t="str">
        <f>IFERROR(__xludf.DUMMYFUNCTION("""COMPUTED_VALUE"""),"IN")</f>
        <v>IN</v>
      </c>
      <c r="I520" s="214" t="str">
        <f>IFERROR(__xludf.DUMMYFUNCTION("""COMPUTED_VALUE"""),"EMPTY")</f>
        <v>EMPTY</v>
      </c>
      <c r="J520" s="211">
        <f>IFERROR(__xludf.DUMMYFUNCTION("""COMPUTED_VALUE"""),1.0)</f>
        <v>1</v>
      </c>
      <c r="K520" s="210" t="str">
        <f>IFERROR(__xludf.DUMMYFUNCTION("""COMPUTED_VALUE"""),"11212")</f>
        <v>11212</v>
      </c>
      <c r="L520" s="211"/>
      <c r="M520" s="211"/>
      <c r="N520" s="211"/>
      <c r="O520" s="211"/>
      <c r="Q520" s="210" t="str">
        <f>IFERROR(__xludf.DUMMYFUNCTION("""COMPUTED_VALUE"""),"02250281")</f>
        <v>02250281</v>
      </c>
      <c r="R520" s="210" t="str">
        <f>IFERROR(__xludf.DUMMYFUNCTION("""COMPUTED_VALUE"""),"02250281")</f>
        <v>02250281</v>
      </c>
      <c r="S520" s="211" t="str">
        <f>IFERROR(__xludf.DUMMYFUNCTION("""COMPUTED_VALUE"""),"ed2cc96a")</f>
        <v>ed2cc96a</v>
      </c>
      <c r="T520" s="211" t="str">
        <f>IFERROR(__xludf.DUMMYFUNCTION("""COMPUTED_VALUE"""),"Bengkel Dian Jaya")</f>
        <v>Bengkel Dian Jaya</v>
      </c>
      <c r="U520" s="215">
        <f>IFERROR(__xludf.DUMMYFUNCTION("""COMPUTED_VALUE"""),45715.40486111111)</f>
        <v>45715.40486</v>
      </c>
      <c r="V520" s="211" t="str">
        <f>IFERROR(__xludf.DUMMYFUNCTION("""COMPUTED_VALUE"""),"Gg. 2, Kejagan, Kec. Trowulan, Kabupaten Mojokerto, Jawa Timur 61362")</f>
        <v>Gg. 2, Kejagan, Kec. Trowulan, Kabupaten Mojokerto, Jawa Timur 61362</v>
      </c>
      <c r="W520" s="211" t="str">
        <f>IFERROR(__xludf.DUMMYFUNCTION("""COMPUTED_VALUE"""),"OUT")</f>
        <v>OUT</v>
      </c>
      <c r="X520" s="211"/>
      <c r="Z520" s="211" t="str">
        <f>IFERROR(__xludf.DUMMYFUNCTION("""COMPUTED_VALUE"""),"1225131948")</f>
        <v>1225131948</v>
      </c>
      <c r="AC520" s="211"/>
      <c r="AD520" s="211"/>
      <c r="AE520" s="211"/>
      <c r="AF520" s="211"/>
      <c r="AG520" s="211"/>
      <c r="AH520" s="211"/>
      <c r="AI520" s="211"/>
      <c r="AJ520" s="211"/>
      <c r="AL520" s="211"/>
      <c r="AM520" s="211"/>
      <c r="AN520" s="211"/>
      <c r="AO520" s="211"/>
      <c r="AP520" s="215"/>
      <c r="AQ520" s="218"/>
      <c r="AR520" s="211"/>
      <c r="AS520" s="211"/>
      <c r="AT520" s="211"/>
      <c r="AU520" s="211"/>
      <c r="AV520" s="211"/>
      <c r="AW520" s="211"/>
      <c r="AX520" s="211"/>
      <c r="AY520" s="211"/>
      <c r="AZ520" s="211"/>
      <c r="BB520" s="211"/>
      <c r="BC520" s="211"/>
      <c r="BD520" s="211"/>
      <c r="BE520" s="211"/>
      <c r="BF520" s="211"/>
      <c r="BG520" s="211"/>
      <c r="BH520" s="211"/>
      <c r="BI520" s="211"/>
    </row>
    <row r="521">
      <c r="A521" s="210" t="str">
        <f>IFERROR(__xludf.DUMMYFUNCTION("""COMPUTED_VALUE"""),"bf31baba")</f>
        <v>bf31baba</v>
      </c>
      <c r="B521" s="210" t="str">
        <f>IFERROR(__xludf.DUMMYFUNCTION("""COMPUTED_VALUE"""),"bf31baba")</f>
        <v>bf31baba</v>
      </c>
      <c r="C521" s="213">
        <f>IFERROR(__xludf.DUMMYFUNCTION("""COMPUTED_VALUE"""),45677.66527777778)</f>
        <v>45677.66528</v>
      </c>
      <c r="D521" s="211" t="str">
        <f>IFERROR(__xludf.DUMMYFUNCTION("""COMPUTED_VALUE"""),"37175874")</f>
        <v>37175874</v>
      </c>
      <c r="E521" s="211" t="str">
        <f>IFERROR(__xludf.DUMMYFUNCTION("""COMPUTED_VALUE"""),"PT TERAPAN NILAIOSILASI INDONESIA (TENO)")</f>
        <v>PT TERAPAN NILAIOSILASI INDONESIA (TENO)</v>
      </c>
      <c r="F521" s="211" t="str">
        <f>IFERROR(__xludf.DUMMYFUNCTION("""COMPUTED_VALUE"""),"3b9d6a30")</f>
        <v>3b9d6a30</v>
      </c>
      <c r="G521" s="211" t="str">
        <f>IFERROR(__xludf.DUMMYFUNCTION("""COMPUTED_VALUE"""),"Acetyline")</f>
        <v>Acetyline</v>
      </c>
      <c r="H521" s="214" t="str">
        <f>IFERROR(__xludf.DUMMYFUNCTION("""COMPUTED_VALUE"""),"IN")</f>
        <v>IN</v>
      </c>
      <c r="I521" s="214" t="str">
        <f>IFERROR(__xludf.DUMMYFUNCTION("""COMPUTED_VALUE"""),"EMPTY")</f>
        <v>EMPTY</v>
      </c>
      <c r="J521" s="211">
        <f>IFERROR(__xludf.DUMMYFUNCTION("""COMPUTED_VALUE"""),2.0)</f>
        <v>2</v>
      </c>
      <c r="K521" s="210" t="str">
        <f>IFERROR(__xludf.DUMMYFUNCTION("""COMPUTED_VALUE"""),"7962 7926")</f>
        <v>7962 7926</v>
      </c>
      <c r="L521" s="211"/>
      <c r="M521" s="211"/>
      <c r="N521" s="211"/>
      <c r="O521" s="211"/>
      <c r="Q521" s="210" t="str">
        <f>IFERROR(__xludf.DUMMYFUNCTION("""COMPUTED_VALUE"""),"02250282")</f>
        <v>02250282</v>
      </c>
      <c r="R521" s="210" t="str">
        <f>IFERROR(__xludf.DUMMYFUNCTION("""COMPUTED_VALUE"""),"02250282")</f>
        <v>02250282</v>
      </c>
      <c r="S521" s="211" t="str">
        <f>IFERROR(__xludf.DUMMYFUNCTION("""COMPUTED_VALUE"""),"01158be1")</f>
        <v>01158be1</v>
      </c>
      <c r="T521" s="211" t="str">
        <f>IFERROR(__xludf.DUMMYFUNCTION("""COMPUTED_VALUE"""),"GYF")</f>
        <v>GYF</v>
      </c>
      <c r="U521" s="215">
        <f>IFERROR(__xludf.DUMMYFUNCTION("""COMPUTED_VALUE"""),45715.40625)</f>
        <v>45715.40625</v>
      </c>
      <c r="V521" s="211" t="str">
        <f>IFERROR(__xludf.DUMMYFUNCTION("""COMPUTED_VALUE"""),"Kangkungan, Lengkong, Kec. Mojoanyar, Kabupaten Mojokerto, Jawa Timur")</f>
        <v>Kangkungan, Lengkong, Kec. Mojoanyar, Kabupaten Mojokerto, Jawa Timur</v>
      </c>
      <c r="W521" s="211" t="str">
        <f>IFERROR(__xludf.DUMMYFUNCTION("""COMPUTED_VALUE"""),"OUT")</f>
        <v>OUT</v>
      </c>
      <c r="X521" s="211"/>
      <c r="Z521" s="211" t="str">
        <f>IFERROR(__xludf.DUMMYFUNCTION("""COMPUTED_VALUE"""),"122541947")</f>
        <v>122541947</v>
      </c>
      <c r="AC521" s="211"/>
      <c r="AD521" s="211"/>
      <c r="AE521" s="211"/>
      <c r="AF521" s="211"/>
      <c r="AG521" s="211"/>
      <c r="AH521" s="211"/>
      <c r="AI521" s="211"/>
      <c r="AJ521" s="211"/>
      <c r="AL521" s="211"/>
      <c r="AM521" s="211"/>
      <c r="AN521" s="211"/>
      <c r="AO521" s="211"/>
      <c r="AP521" s="215"/>
      <c r="AQ521" s="218"/>
      <c r="AR521" s="211"/>
      <c r="AS521" s="211"/>
      <c r="AT521" s="211"/>
      <c r="AU521" s="211"/>
      <c r="AV521" s="211"/>
      <c r="AW521" s="211"/>
      <c r="AX521" s="211"/>
      <c r="AY521" s="211"/>
      <c r="AZ521" s="211"/>
      <c r="BB521" s="211"/>
      <c r="BC521" s="211"/>
      <c r="BD521" s="211"/>
      <c r="BE521" s="211"/>
      <c r="BF521" s="211"/>
      <c r="BG521" s="211"/>
      <c r="BH521" s="211"/>
      <c r="BI521" s="211"/>
    </row>
    <row r="522">
      <c r="A522" s="210" t="str">
        <f>IFERROR(__xludf.DUMMYFUNCTION("""COMPUTED_VALUE"""),"01250221")</f>
        <v>01250221</v>
      </c>
      <c r="B522" s="210" t="str">
        <f>IFERROR(__xludf.DUMMYFUNCTION("""COMPUTED_VALUE"""),"01250221")</f>
        <v>01250221</v>
      </c>
      <c r="C522" s="213">
        <f>IFERROR(__xludf.DUMMYFUNCTION("""COMPUTED_VALUE"""),45678.493055555555)</f>
        <v>45678.49306</v>
      </c>
      <c r="D522" s="211" t="str">
        <f>IFERROR(__xludf.DUMMYFUNCTION("""COMPUTED_VALUE"""),"2d88931c")</f>
        <v>2d88931c</v>
      </c>
      <c r="E522" s="211" t="str">
        <f>IFERROR(__xludf.DUMMYFUNCTION("""COMPUTED_VALUE"""),"PT Dunia Berkat Marga Mulya")</f>
        <v>PT Dunia Berkat Marga Mulya</v>
      </c>
      <c r="F522" s="211" t="str">
        <f>IFERROR(__xludf.DUMMYFUNCTION("""COMPUTED_VALUE"""),"8bdbe149")</f>
        <v>8bdbe149</v>
      </c>
      <c r="G522" s="211" t="str">
        <f>IFERROR(__xludf.DUMMYFUNCTION("""COMPUTED_VALUE"""),"Oksigen 6m3")</f>
        <v>Oksigen 6m3</v>
      </c>
      <c r="H522" s="214" t="str">
        <f>IFERROR(__xludf.DUMMYFUNCTION("""COMPUTED_VALUE"""),"OUT")</f>
        <v>OUT</v>
      </c>
      <c r="I522" s="214" t="str">
        <f>IFERROR(__xludf.DUMMYFUNCTION("""COMPUTED_VALUE"""),"NORMAL")</f>
        <v>NORMAL</v>
      </c>
      <c r="J522" s="211">
        <f>IFERROR(__xludf.DUMMYFUNCTION("""COMPUTED_VALUE"""),5.0)</f>
        <v>5</v>
      </c>
      <c r="K522" s="210" t="str">
        <f>IFERROR(__xludf.DUMMYFUNCTION("""COMPUTED_VALUE"""),"1157 11101 1118 1196 1186")</f>
        <v>1157 11101 1118 1196 1186</v>
      </c>
      <c r="L522" s="211">
        <f>IFERROR(__xludf.DUMMYFUNCTION("""COMPUTED_VALUE"""),60000.0)</f>
        <v>60000</v>
      </c>
      <c r="M522" s="211"/>
      <c r="N522" s="211"/>
      <c r="O522" s="211"/>
      <c r="Q522" s="210" t="str">
        <f>IFERROR(__xludf.DUMMYFUNCTION("""COMPUTED_VALUE"""),"6f26605f")</f>
        <v>6f26605f</v>
      </c>
      <c r="R522" s="210" t="str">
        <f>IFERROR(__xludf.DUMMYFUNCTION("""COMPUTED_VALUE"""),"6f26605f")</f>
        <v>6f26605f</v>
      </c>
      <c r="S522" s="211" t="str">
        <f>IFERROR(__xludf.DUMMYFUNCTION("""COMPUTED_VALUE"""),"e86baf3b")</f>
        <v>e86baf3b</v>
      </c>
      <c r="T522" s="211" t="str">
        <f>IFERROR(__xludf.DUMMYFUNCTION("""COMPUTED_VALUE"""),"PT GEMILANG CIPTA WAWASAN")</f>
        <v>PT GEMILANG CIPTA WAWASAN</v>
      </c>
      <c r="U522" s="215">
        <f>IFERROR(__xludf.DUMMYFUNCTION("""COMPUTED_VALUE"""),45715.48611111111)</f>
        <v>45715.48611</v>
      </c>
      <c r="V522" s="211" t="str">
        <f>IFERROR(__xludf.DUMMYFUNCTION("""COMPUTED_VALUE"""),"JL TEBET RAYA, 2A, TEBET BARAT, TEBET, KOTA ADM, JAKARTA SELATAN, DKI JAKARTA")</f>
        <v>JL TEBET RAYA, 2A, TEBET BARAT, TEBET, KOTA ADM, JAKARTA SELATAN, DKI JAKARTA</v>
      </c>
      <c r="W522" s="211" t="str">
        <f>IFERROR(__xludf.DUMMYFUNCTION("""COMPUTED_VALUE"""),"IN")</f>
        <v>IN</v>
      </c>
      <c r="X522" s="211"/>
      <c r="Z522" s="211" t="str">
        <f>IFERROR(__xludf.DUMMYFUNCTION("""COMPUTED_VALUE"""),"1225521960")</f>
        <v>1225521960</v>
      </c>
      <c r="AC522" s="211"/>
      <c r="AD522" s="211"/>
      <c r="AE522" s="211"/>
      <c r="AF522" s="211"/>
      <c r="AG522" s="211"/>
      <c r="AH522" s="211"/>
      <c r="AI522" s="211"/>
      <c r="AJ522" s="211"/>
      <c r="AL522" s="211"/>
      <c r="AM522" s="211"/>
      <c r="AN522" s="211"/>
      <c r="AO522" s="211"/>
      <c r="AP522" s="215"/>
      <c r="AQ522" s="218"/>
      <c r="AR522" s="211"/>
      <c r="AS522" s="211"/>
      <c r="AT522" s="211"/>
      <c r="AU522" s="211"/>
      <c r="AV522" s="211"/>
      <c r="AW522" s="211"/>
      <c r="AX522" s="211"/>
      <c r="AY522" s="211"/>
      <c r="AZ522" s="211"/>
      <c r="BB522" s="211"/>
      <c r="BC522" s="211"/>
      <c r="BD522" s="211"/>
      <c r="BE522" s="211"/>
      <c r="BF522" s="211"/>
      <c r="BG522" s="211"/>
      <c r="BH522" s="211"/>
      <c r="BI522" s="211"/>
    </row>
    <row r="523">
      <c r="A523" s="210" t="str">
        <f>IFERROR(__xludf.DUMMYFUNCTION("""COMPUTED_VALUE"""),"01250222")</f>
        <v>01250222</v>
      </c>
      <c r="B523" s="210" t="str">
        <f>IFERROR(__xludf.DUMMYFUNCTION("""COMPUTED_VALUE"""),"01250222")</f>
        <v>01250222</v>
      </c>
      <c r="C523" s="213">
        <f>IFERROR(__xludf.DUMMYFUNCTION("""COMPUTED_VALUE"""),45678.561111111114)</f>
        <v>45678.56111</v>
      </c>
      <c r="D523" s="211" t="str">
        <f>IFERROR(__xludf.DUMMYFUNCTION("""COMPUTED_VALUE"""),"ce83e171")</f>
        <v>ce83e171</v>
      </c>
      <c r="E523" s="211" t="str">
        <f>IFERROR(__xludf.DUMMYFUNCTION("""COMPUTED_VALUE"""),"Bpk. Sulaiman")</f>
        <v>Bpk. Sulaiman</v>
      </c>
      <c r="F523" s="211" t="str">
        <f>IFERROR(__xludf.DUMMYFUNCTION("""COMPUTED_VALUE"""),"8bdbe149")</f>
        <v>8bdbe149</v>
      </c>
      <c r="G523" s="211" t="str">
        <f>IFERROR(__xludf.DUMMYFUNCTION("""COMPUTED_VALUE"""),"Oksigen 6m3")</f>
        <v>Oksigen 6m3</v>
      </c>
      <c r="H523" s="214" t="str">
        <f>IFERROR(__xludf.DUMMYFUNCTION("""COMPUTED_VALUE"""),"OUT")</f>
        <v>OUT</v>
      </c>
      <c r="I523" s="214" t="str">
        <f>IFERROR(__xludf.DUMMYFUNCTION("""COMPUTED_VALUE"""),"NORMAL")</f>
        <v>NORMAL</v>
      </c>
      <c r="J523" s="211">
        <f>IFERROR(__xludf.DUMMYFUNCTION("""COMPUTED_VALUE"""),5.0)</f>
        <v>5</v>
      </c>
      <c r="K523" s="210" t="str">
        <f>IFERROR(__xludf.DUMMYFUNCTION("""COMPUTED_VALUE"""),"1109 1182 1193 1146 1190")</f>
        <v>1109 1182 1193 1146 1190</v>
      </c>
      <c r="L523" s="211">
        <f>IFERROR(__xludf.DUMMYFUNCTION("""COMPUTED_VALUE"""),55000.0)</f>
        <v>55000</v>
      </c>
      <c r="M523" s="211"/>
      <c r="N523" s="211"/>
      <c r="O523" s="211"/>
      <c r="Q523" s="210" t="str">
        <f>IFERROR(__xludf.DUMMYFUNCTION("""COMPUTED_VALUE"""),"3c18d86a")</f>
        <v>3c18d86a</v>
      </c>
      <c r="R523" s="210" t="str">
        <f>IFERROR(__xludf.DUMMYFUNCTION("""COMPUTED_VALUE"""),"3c18d86a")</f>
        <v>3c18d86a</v>
      </c>
      <c r="S523" s="211" t="str">
        <f>IFERROR(__xludf.DUMMYFUNCTION("""COMPUTED_VALUE"""),"01158be1")</f>
        <v>01158be1</v>
      </c>
      <c r="T523" s="211" t="str">
        <f>IFERROR(__xludf.DUMMYFUNCTION("""COMPUTED_VALUE"""),"GYF")</f>
        <v>GYF</v>
      </c>
      <c r="U523" s="215">
        <f>IFERROR(__xludf.DUMMYFUNCTION("""COMPUTED_VALUE"""),45715.65)</f>
        <v>45715.65</v>
      </c>
      <c r="V523" s="211" t="str">
        <f>IFERROR(__xludf.DUMMYFUNCTION("""COMPUTED_VALUE"""),"Kangkungan, Lengkong, Kec. Mojoanyar, Kabupaten Mojokerto, Jawa Timur")</f>
        <v>Kangkungan, Lengkong, Kec. Mojoanyar, Kabupaten Mojokerto, Jawa Timur</v>
      </c>
      <c r="W523" s="211" t="str">
        <f>IFERROR(__xludf.DUMMYFUNCTION("""COMPUTED_VALUE"""),"IN")</f>
        <v>IN</v>
      </c>
      <c r="X523" s="211"/>
      <c r="Z523" s="211" t="str">
        <f>IFERROR(__xludf.DUMMYFUNCTION("""COMPUTED_VALUE"""),"1225251959")</f>
        <v>1225251959</v>
      </c>
      <c r="AC523" s="211"/>
      <c r="AD523" s="211"/>
      <c r="AE523" s="211"/>
      <c r="AF523" s="211"/>
      <c r="AG523" s="211"/>
      <c r="AH523" s="211"/>
      <c r="AI523" s="211"/>
      <c r="AJ523" s="211"/>
      <c r="AL523" s="211"/>
      <c r="AM523" s="211"/>
      <c r="AN523" s="211"/>
      <c r="AO523" s="211"/>
      <c r="AP523" s="215"/>
      <c r="AQ523" s="218"/>
      <c r="AR523" s="211"/>
      <c r="AS523" s="211"/>
      <c r="AT523" s="211"/>
      <c r="AU523" s="211"/>
      <c r="AV523" s="211"/>
      <c r="AW523" s="211"/>
      <c r="AX523" s="211"/>
      <c r="AY523" s="211"/>
      <c r="AZ523" s="211"/>
      <c r="BB523" s="211"/>
      <c r="BC523" s="211"/>
      <c r="BD523" s="211"/>
      <c r="BE523" s="211"/>
      <c r="BF523" s="211"/>
      <c r="BG523" s="211"/>
      <c r="BH523" s="211"/>
      <c r="BI523" s="211"/>
    </row>
    <row r="524">
      <c r="A524" s="210" t="str">
        <f>IFERROR(__xludf.DUMMYFUNCTION("""COMPUTED_VALUE"""),"a9d9b665")</f>
        <v>a9d9b665</v>
      </c>
      <c r="B524" s="210" t="str">
        <f>IFERROR(__xludf.DUMMYFUNCTION("""COMPUTED_VALUE"""),"a9d9b665")</f>
        <v>a9d9b665</v>
      </c>
      <c r="C524" s="213">
        <f>IFERROR(__xludf.DUMMYFUNCTION("""COMPUTED_VALUE"""),45678.62013888889)</f>
        <v>45678.62014</v>
      </c>
      <c r="D524" s="211" t="str">
        <f>IFERROR(__xludf.DUMMYFUNCTION("""COMPUTED_VALUE"""),"ce83e171")</f>
        <v>ce83e171</v>
      </c>
      <c r="E524" s="211" t="str">
        <f>IFERROR(__xludf.DUMMYFUNCTION("""COMPUTED_VALUE"""),"Bpk. Sulaiman")</f>
        <v>Bpk. Sulaiman</v>
      </c>
      <c r="F524" s="211" t="str">
        <f>IFERROR(__xludf.DUMMYFUNCTION("""COMPUTED_VALUE"""),"8bdbe149")</f>
        <v>8bdbe149</v>
      </c>
      <c r="G524" s="211" t="str">
        <f>IFERROR(__xludf.DUMMYFUNCTION("""COMPUTED_VALUE"""),"Oksigen 6m3")</f>
        <v>Oksigen 6m3</v>
      </c>
      <c r="H524" s="214" t="str">
        <f>IFERROR(__xludf.DUMMYFUNCTION("""COMPUTED_VALUE"""),"IN")</f>
        <v>IN</v>
      </c>
      <c r="I524" s="214" t="str">
        <f>IFERROR(__xludf.DUMMYFUNCTION("""COMPUTED_VALUE"""),"EMPTY")</f>
        <v>EMPTY</v>
      </c>
      <c r="J524" s="211">
        <f>IFERROR(__xludf.DUMMYFUNCTION("""COMPUTED_VALUE"""),4.0)</f>
        <v>4</v>
      </c>
      <c r="K524" s="210" t="str">
        <f>IFERROR(__xludf.DUMMYFUNCTION("""COMPUTED_VALUE"""),"11174 11169 11171 11172")</f>
        <v>11174 11169 11171 11172</v>
      </c>
      <c r="L524" s="211"/>
      <c r="M524" s="211"/>
      <c r="N524" s="211"/>
      <c r="O524" s="211"/>
      <c r="Q524" s="210" t="str">
        <f>IFERROR(__xludf.DUMMYFUNCTION("""COMPUTED_VALUE"""),"0fc65ecf")</f>
        <v>0fc65ecf</v>
      </c>
      <c r="R524" s="210" t="str">
        <f>IFERROR(__xludf.DUMMYFUNCTION("""COMPUTED_VALUE"""),"0fc65ecf")</f>
        <v>0fc65ecf</v>
      </c>
      <c r="S524" s="211" t="str">
        <f>IFERROR(__xludf.DUMMYFUNCTION("""COMPUTED_VALUE"""),"ed2cc96a")</f>
        <v>ed2cc96a</v>
      </c>
      <c r="T524" s="211" t="str">
        <f>IFERROR(__xludf.DUMMYFUNCTION("""COMPUTED_VALUE"""),"Bengkel Dian Jaya")</f>
        <v>Bengkel Dian Jaya</v>
      </c>
      <c r="U524" s="215">
        <f>IFERROR(__xludf.DUMMYFUNCTION("""COMPUTED_VALUE"""),45715.65)</f>
        <v>45715.65</v>
      </c>
      <c r="V524" s="211" t="str">
        <f>IFERROR(__xludf.DUMMYFUNCTION("""COMPUTED_VALUE"""),"Gg. 2, Kejagan, Kec. Trowulan, Kabupaten Mojokerto, Jawa Timur 61362")</f>
        <v>Gg. 2, Kejagan, Kec. Trowulan, Kabupaten Mojokerto, Jawa Timur 61362</v>
      </c>
      <c r="W524" s="211" t="str">
        <f>IFERROR(__xludf.DUMMYFUNCTION("""COMPUTED_VALUE"""),"IN")</f>
        <v>IN</v>
      </c>
      <c r="X524" s="211"/>
      <c r="Z524" s="211" t="str">
        <f>IFERROR(__xludf.DUMMYFUNCTION("""COMPUTED_VALUE"""),"1225731956")</f>
        <v>1225731956</v>
      </c>
      <c r="AC524" s="211"/>
      <c r="AD524" s="211"/>
      <c r="AE524" s="211"/>
      <c r="AF524" s="211"/>
      <c r="AG524" s="211"/>
      <c r="AH524" s="211"/>
      <c r="AI524" s="211"/>
      <c r="AJ524" s="211"/>
      <c r="AL524" s="211"/>
      <c r="AM524" s="211"/>
      <c r="AN524" s="211"/>
      <c r="AO524" s="211"/>
      <c r="AP524" s="215"/>
      <c r="AQ524" s="218"/>
      <c r="AR524" s="211"/>
      <c r="AS524" s="211"/>
      <c r="AT524" s="211"/>
      <c r="AU524" s="211"/>
      <c r="AV524" s="211"/>
      <c r="AW524" s="211"/>
      <c r="AX524" s="211"/>
      <c r="AY524" s="211"/>
      <c r="AZ524" s="211"/>
      <c r="BB524" s="211"/>
      <c r="BC524" s="211"/>
      <c r="BD524" s="211"/>
      <c r="BE524" s="211"/>
      <c r="BF524" s="211"/>
      <c r="BG524" s="211"/>
      <c r="BH524" s="211"/>
      <c r="BI524" s="211"/>
    </row>
    <row r="525">
      <c r="A525" s="210" t="str">
        <f>IFERROR(__xludf.DUMMYFUNCTION("""COMPUTED_VALUE"""),"52fd95b3")</f>
        <v>52fd95b3</v>
      </c>
      <c r="B525" s="210" t="str">
        <f>IFERROR(__xludf.DUMMYFUNCTION("""COMPUTED_VALUE"""),"52fd95b3")</f>
        <v>52fd95b3</v>
      </c>
      <c r="C525" s="213">
        <f>IFERROR(__xludf.DUMMYFUNCTION("""COMPUTED_VALUE"""),45678.620833333334)</f>
        <v>45678.62083</v>
      </c>
      <c r="D525" s="211" t="str">
        <f>IFERROR(__xludf.DUMMYFUNCTION("""COMPUTED_VALUE"""),"2d88931c")</f>
        <v>2d88931c</v>
      </c>
      <c r="E525" s="211" t="str">
        <f>IFERROR(__xludf.DUMMYFUNCTION("""COMPUTED_VALUE"""),"PT Dunia Berkat Marga Mulya")</f>
        <v>PT Dunia Berkat Marga Mulya</v>
      </c>
      <c r="F525" s="211" t="str">
        <f>IFERROR(__xludf.DUMMYFUNCTION("""COMPUTED_VALUE"""),"8bdbe149")</f>
        <v>8bdbe149</v>
      </c>
      <c r="G525" s="211" t="str">
        <f>IFERROR(__xludf.DUMMYFUNCTION("""COMPUTED_VALUE"""),"Oksigen 6m3")</f>
        <v>Oksigen 6m3</v>
      </c>
      <c r="H525" s="214" t="str">
        <f>IFERROR(__xludf.DUMMYFUNCTION("""COMPUTED_VALUE"""),"IN")</f>
        <v>IN</v>
      </c>
      <c r="I525" s="214" t="str">
        <f>IFERROR(__xludf.DUMMYFUNCTION("""COMPUTED_VALUE"""),"EMPTY")</f>
        <v>EMPTY</v>
      </c>
      <c r="J525" s="211">
        <f>IFERROR(__xludf.DUMMYFUNCTION("""COMPUTED_VALUE"""),5.0)</f>
        <v>5</v>
      </c>
      <c r="K525" s="210" t="str">
        <f>IFERROR(__xludf.DUMMYFUNCTION("""COMPUTED_VALUE"""),"1712 5888 1167 1199 5543")</f>
        <v>1712 5888 1167 1199 5543</v>
      </c>
      <c r="L525" s="211"/>
      <c r="M525" s="211"/>
      <c r="N525" s="211"/>
      <c r="O525" s="211"/>
      <c r="Q525" s="210" t="str">
        <f>IFERROR(__xludf.DUMMYFUNCTION("""COMPUTED_VALUE"""),"02250283")</f>
        <v>02250283</v>
      </c>
      <c r="R525" s="210" t="str">
        <f>IFERROR(__xludf.DUMMYFUNCTION("""COMPUTED_VALUE"""),"02250283")</f>
        <v>02250283</v>
      </c>
      <c r="S525" s="211" t="str">
        <f>IFERROR(__xludf.DUMMYFUNCTION("""COMPUTED_VALUE"""),"785e0e07")</f>
        <v>785e0e07</v>
      </c>
      <c r="T525" s="211" t="str">
        <f>IFERROR(__xludf.DUMMYFUNCTION("""COMPUTED_VALUE"""),"Bpk. Sukirno (Bejo)")</f>
        <v>Bpk. Sukirno (Bejo)</v>
      </c>
      <c r="U525" s="215">
        <f>IFERROR(__xludf.DUMMYFUNCTION("""COMPUTED_VALUE"""),45716.3875)</f>
        <v>45716.3875</v>
      </c>
      <c r="V525" s="211" t="str">
        <f>IFERROR(__xludf.DUMMYFUNCTION("""COMPUTED_VALUE"""),"Krajan I, Wringinanom, Kec. Wringinanom, Kabupaten Gresik, Jawa Timur 61176")</f>
        <v>Krajan I, Wringinanom, Kec. Wringinanom, Kabupaten Gresik, Jawa Timur 61176</v>
      </c>
      <c r="W525" s="211" t="str">
        <f>IFERROR(__xludf.DUMMYFUNCTION("""COMPUTED_VALUE"""),"OUT")</f>
        <v>OUT</v>
      </c>
      <c r="X525" s="211"/>
      <c r="Z525" s="211" t="str">
        <f>IFERROR(__xludf.DUMMYFUNCTION("""COMPUTED_VALUE"""),"1225311955")</f>
        <v>1225311955</v>
      </c>
      <c r="AC525" s="211"/>
      <c r="AD525" s="211"/>
      <c r="AE525" s="211"/>
      <c r="AF525" s="211"/>
      <c r="AG525" s="211"/>
      <c r="AH525" s="211"/>
      <c r="AI525" s="211"/>
      <c r="AJ525" s="211"/>
      <c r="AL525" s="211"/>
      <c r="AM525" s="211"/>
      <c r="AN525" s="211"/>
      <c r="AO525" s="211"/>
      <c r="AP525" s="215"/>
      <c r="AQ525" s="218"/>
      <c r="AR525" s="211"/>
      <c r="AS525" s="211"/>
      <c r="AT525" s="211"/>
      <c r="AU525" s="211"/>
      <c r="AV525" s="211"/>
      <c r="AW525" s="211"/>
      <c r="AX525" s="211"/>
      <c r="AY525" s="211"/>
      <c r="AZ525" s="211"/>
      <c r="BB525" s="211"/>
      <c r="BC525" s="211"/>
      <c r="BD525" s="211"/>
      <c r="BE525" s="211"/>
      <c r="BF525" s="211"/>
      <c r="BG525" s="211"/>
      <c r="BH525" s="211"/>
      <c r="BI525" s="211"/>
    </row>
    <row r="526">
      <c r="A526" s="210" t="str">
        <f>IFERROR(__xludf.DUMMYFUNCTION("""COMPUTED_VALUE"""),"01250223")</f>
        <v>01250223</v>
      </c>
      <c r="B526" s="210" t="str">
        <f>IFERROR(__xludf.DUMMYFUNCTION("""COMPUTED_VALUE"""),"01250223")</f>
        <v>01250223</v>
      </c>
      <c r="C526" s="213">
        <f>IFERROR(__xludf.DUMMYFUNCTION("""COMPUTED_VALUE"""),45679.34027777778)</f>
        <v>45679.34028</v>
      </c>
      <c r="D526" s="211" t="str">
        <f>IFERROR(__xludf.DUMMYFUNCTION("""COMPUTED_VALUE"""),"3fec37df")</f>
        <v>3fec37df</v>
      </c>
      <c r="E526" s="211" t="str">
        <f>IFERROR(__xludf.DUMMYFUNCTION("""COMPUTED_VALUE"""),"PT Jatim Abadi Perkasa Steel")</f>
        <v>PT Jatim Abadi Perkasa Steel</v>
      </c>
      <c r="F526" s="211" t="str">
        <f>IFERROR(__xludf.DUMMYFUNCTION("""COMPUTED_VALUE"""),"b7a8fff1")</f>
        <v>b7a8fff1</v>
      </c>
      <c r="G526" s="211" t="str">
        <f>IFERROR(__xludf.DUMMYFUNCTION("""COMPUTED_VALUE"""),"LPG 50kg")</f>
        <v>LPG 50kg</v>
      </c>
      <c r="H526" s="214" t="str">
        <f>IFERROR(__xludf.DUMMYFUNCTION("""COMPUTED_VALUE"""),"OUT")</f>
        <v>OUT</v>
      </c>
      <c r="I526" s="214" t="str">
        <f>IFERROR(__xludf.DUMMYFUNCTION("""COMPUTED_VALUE"""),"NORMAL")</f>
        <v>NORMAL</v>
      </c>
      <c r="J526" s="211">
        <f>IFERROR(__xludf.DUMMYFUNCTION("""COMPUTED_VALUE"""),5.0)</f>
        <v>5</v>
      </c>
      <c r="K526" s="211"/>
      <c r="L526" s="211">
        <f>IFERROR(__xludf.DUMMYFUNCTION("""COMPUTED_VALUE"""),900900.9009)</f>
        <v>900900.9009</v>
      </c>
      <c r="M526" s="211"/>
      <c r="N526" s="211"/>
      <c r="O526" s="211"/>
      <c r="Q526" s="210" t="str">
        <f>IFERROR(__xludf.DUMMYFUNCTION("""COMPUTED_VALUE"""),"e3272ccd")</f>
        <v>e3272ccd</v>
      </c>
      <c r="R526" s="210" t="str">
        <f>IFERROR(__xludf.DUMMYFUNCTION("""COMPUTED_VALUE"""),"e3272ccd")</f>
        <v>e3272ccd</v>
      </c>
      <c r="S526" s="211" t="str">
        <f>IFERROR(__xludf.DUMMYFUNCTION("""COMPUTED_VALUE"""),"785e0e07")</f>
        <v>785e0e07</v>
      </c>
      <c r="T526" s="211" t="str">
        <f>IFERROR(__xludf.DUMMYFUNCTION("""COMPUTED_VALUE"""),"Bpk. Sukirno (Bejo)")</f>
        <v>Bpk. Sukirno (Bejo)</v>
      </c>
      <c r="U526" s="215">
        <f>IFERROR(__xludf.DUMMYFUNCTION("""COMPUTED_VALUE"""),45716.49791666667)</f>
        <v>45716.49792</v>
      </c>
      <c r="V526" s="211" t="str">
        <f>IFERROR(__xludf.DUMMYFUNCTION("""COMPUTED_VALUE"""),"Krajan I, Wringinanom, Kec. Wringinanom, Kabupaten Gresik, Jawa Timur 61176")</f>
        <v>Krajan I, Wringinanom, Kec. Wringinanom, Kabupaten Gresik, Jawa Timur 61176</v>
      </c>
      <c r="W526" s="211" t="str">
        <f>IFERROR(__xludf.DUMMYFUNCTION("""COMPUTED_VALUE"""),"IN")</f>
        <v>IN</v>
      </c>
      <c r="X526" s="211"/>
      <c r="Z526" s="211" t="str">
        <f>IFERROR(__xludf.DUMMYFUNCTION("""COMPUTED_VALUE"""),"122541948")</f>
        <v>122541948</v>
      </c>
      <c r="AC526" s="211"/>
      <c r="AD526" s="211"/>
      <c r="AE526" s="211"/>
      <c r="AF526" s="211"/>
      <c r="AG526" s="211"/>
      <c r="AH526" s="211"/>
      <c r="AI526" s="211"/>
      <c r="AJ526" s="211"/>
      <c r="AL526" s="211"/>
      <c r="AM526" s="211"/>
      <c r="AN526" s="211"/>
      <c r="AO526" s="211"/>
      <c r="AP526" s="215"/>
      <c r="AQ526" s="218"/>
      <c r="AR526" s="211"/>
      <c r="AS526" s="211"/>
      <c r="AT526" s="211"/>
      <c r="AU526" s="211"/>
      <c r="AV526" s="211"/>
      <c r="AW526" s="211"/>
      <c r="AX526" s="211"/>
      <c r="AY526" s="211"/>
      <c r="AZ526" s="211"/>
      <c r="BB526" s="211"/>
      <c r="BC526" s="211"/>
      <c r="BD526" s="211"/>
      <c r="BE526" s="211"/>
      <c r="BF526" s="211"/>
      <c r="BG526" s="211"/>
      <c r="BH526" s="211"/>
      <c r="BI526" s="211"/>
    </row>
    <row r="527">
      <c r="A527" s="210" t="str">
        <f>IFERROR(__xludf.DUMMYFUNCTION("""COMPUTED_VALUE"""),"01250224")</f>
        <v>01250224</v>
      </c>
      <c r="B527" s="210" t="str">
        <f>IFERROR(__xludf.DUMMYFUNCTION("""COMPUTED_VALUE"""),"01250224")</f>
        <v>01250224</v>
      </c>
      <c r="C527" s="213">
        <f>IFERROR(__xludf.DUMMYFUNCTION("""COMPUTED_VALUE"""),45679.34166666667)</f>
        <v>45679.34167</v>
      </c>
      <c r="D527" s="211" t="str">
        <f>IFERROR(__xludf.DUMMYFUNCTION("""COMPUTED_VALUE"""),"ed2cc96a")</f>
        <v>ed2cc96a</v>
      </c>
      <c r="E527" s="211" t="str">
        <f>IFERROR(__xludf.DUMMYFUNCTION("""COMPUTED_VALUE"""),"Bengkel Dian Jaya")</f>
        <v>Bengkel Dian Jaya</v>
      </c>
      <c r="F527" s="211" t="str">
        <f>IFERROR(__xludf.DUMMYFUNCTION("""COMPUTED_VALUE"""),"8bdbe149")</f>
        <v>8bdbe149</v>
      </c>
      <c r="G527" s="211" t="str">
        <f>IFERROR(__xludf.DUMMYFUNCTION("""COMPUTED_VALUE"""),"Oksigen 6m3")</f>
        <v>Oksigen 6m3</v>
      </c>
      <c r="H527" s="214" t="str">
        <f>IFERROR(__xludf.DUMMYFUNCTION("""COMPUTED_VALUE"""),"OUT")</f>
        <v>OUT</v>
      </c>
      <c r="I527" s="214" t="str">
        <f>IFERROR(__xludf.DUMMYFUNCTION("""COMPUTED_VALUE"""),"NORMAL")</f>
        <v>NORMAL</v>
      </c>
      <c r="J527" s="211">
        <f>IFERROR(__xludf.DUMMYFUNCTION("""COMPUTED_VALUE"""),10.0)</f>
        <v>10</v>
      </c>
      <c r="K527" s="210" t="str">
        <f>IFERROR(__xludf.DUMMYFUNCTION("""COMPUTED_VALUE"""),"11115 11121 11114 1134 1181 1101 1103 1133 1142 1191")</f>
        <v>11115 11121 11114 1134 1181 1101 1103 1133 1142 1191</v>
      </c>
      <c r="L527" s="211">
        <f>IFERROR(__xludf.DUMMYFUNCTION("""COMPUTED_VALUE"""),50000.0)</f>
        <v>50000</v>
      </c>
      <c r="M527" s="211"/>
      <c r="N527" s="211"/>
      <c r="O527" s="211"/>
      <c r="Q527" s="210" t="str">
        <f>IFERROR(__xludf.DUMMYFUNCTION("""COMPUTED_VALUE"""),"f3aa7e70")</f>
        <v>f3aa7e70</v>
      </c>
      <c r="R527" s="210" t="str">
        <f>IFERROR(__xludf.DUMMYFUNCTION("""COMPUTED_VALUE"""),"f3aa7e70")</f>
        <v>f3aa7e70</v>
      </c>
      <c r="S527" s="211" t="str">
        <f>IFERROR(__xludf.DUMMYFUNCTION("""COMPUTED_VALUE"""),"4bef3bbf")</f>
        <v>4bef3bbf</v>
      </c>
      <c r="T527" s="211" t="str">
        <f>IFERROR(__xludf.DUMMYFUNCTION("""COMPUTED_VALUE"""),"PT Dingsheng Metal Indonesia (Ngoro)")</f>
        <v>PT Dingsheng Metal Indonesia (Ngoro)</v>
      </c>
      <c r="U527" s="215">
        <f>IFERROR(__xludf.DUMMYFUNCTION("""COMPUTED_VALUE"""),45716.68888888889)</f>
        <v>45716.68889</v>
      </c>
      <c r="V527" s="211" t="str">
        <f>IFERROR(__xludf.DUMMYFUNCTION("""COMPUTED_VALUE"""),"Kri Kilan, Watesnegoro, Kec. Ngoro, Kabupaten Mojokerto, Jawa Timur 61385")</f>
        <v>Kri Kilan, Watesnegoro, Kec. Ngoro, Kabupaten Mojokerto, Jawa Timur 61385</v>
      </c>
      <c r="W527" s="211" t="str">
        <f>IFERROR(__xludf.DUMMYFUNCTION("""COMPUTED_VALUE"""),"IN")</f>
        <v>IN</v>
      </c>
      <c r="X527" s="211"/>
      <c r="Z527" s="211" t="str">
        <f>IFERROR(__xludf.DUMMYFUNCTION("""COMPUTED_VALUE"""),"1225201947")</f>
        <v>1225201947</v>
      </c>
      <c r="AC527" s="211"/>
      <c r="AD527" s="211"/>
      <c r="AE527" s="211"/>
      <c r="AF527" s="211"/>
      <c r="AG527" s="211"/>
      <c r="AH527" s="211"/>
      <c r="AI527" s="211"/>
      <c r="AJ527" s="211"/>
      <c r="AL527" s="211"/>
      <c r="AM527" s="211"/>
      <c r="AN527" s="211"/>
      <c r="AO527" s="211"/>
      <c r="AP527" s="215"/>
      <c r="AQ527" s="218"/>
      <c r="AR527" s="211"/>
      <c r="AS527" s="211"/>
      <c r="AT527" s="211"/>
      <c r="AU527" s="211"/>
      <c r="AV527" s="211"/>
      <c r="AW527" s="211"/>
      <c r="AX527" s="211"/>
      <c r="AY527" s="211"/>
      <c r="AZ527" s="211"/>
      <c r="BB527" s="211"/>
      <c r="BC527" s="211"/>
      <c r="BD527" s="211"/>
      <c r="BE527" s="211"/>
      <c r="BF527" s="211"/>
      <c r="BG527" s="211"/>
      <c r="BH527" s="211"/>
      <c r="BI527" s="211"/>
    </row>
    <row r="528">
      <c r="A528" s="210" t="str">
        <f>IFERROR(__xludf.DUMMYFUNCTION("""COMPUTED_VALUE"""),"01250225")</f>
        <v>01250225</v>
      </c>
      <c r="B528" s="210" t="str">
        <f>IFERROR(__xludf.DUMMYFUNCTION("""COMPUTED_VALUE"""),"01250225")</f>
        <v>01250225</v>
      </c>
      <c r="C528" s="213">
        <f>IFERROR(__xludf.DUMMYFUNCTION("""COMPUTED_VALUE"""),45679.3625)</f>
        <v>45679.3625</v>
      </c>
      <c r="D528" s="211" t="str">
        <f>IFERROR(__xludf.DUMMYFUNCTION("""COMPUTED_VALUE"""),"785e0e07")</f>
        <v>785e0e07</v>
      </c>
      <c r="E528" s="211" t="str">
        <f>IFERROR(__xludf.DUMMYFUNCTION("""COMPUTED_VALUE"""),"Bpk. Sukirno (Bejo)")</f>
        <v>Bpk. Sukirno (Bejo)</v>
      </c>
      <c r="F528" s="211" t="str">
        <f>IFERROR(__xludf.DUMMYFUNCTION("""COMPUTED_VALUE"""),"8bdbe149")</f>
        <v>8bdbe149</v>
      </c>
      <c r="G528" s="211" t="str">
        <f>IFERROR(__xludf.DUMMYFUNCTION("""COMPUTED_VALUE"""),"Oksigen 6m3")</f>
        <v>Oksigen 6m3</v>
      </c>
      <c r="H528" s="214" t="str">
        <f>IFERROR(__xludf.DUMMYFUNCTION("""COMPUTED_VALUE"""),"OUT")</f>
        <v>OUT</v>
      </c>
      <c r="I528" s="214" t="str">
        <f>IFERROR(__xludf.DUMMYFUNCTION("""COMPUTED_VALUE"""),"NORMAL")</f>
        <v>NORMAL</v>
      </c>
      <c r="J528" s="211">
        <f>IFERROR(__xludf.DUMMYFUNCTION("""COMPUTED_VALUE"""),15.0)</f>
        <v>15</v>
      </c>
      <c r="K528" s="210" t="str">
        <f>IFERROR(__xludf.DUMMYFUNCTION("""COMPUTED_VALUE"""),"11180 1129 11112 11212 1106 1107 1115 11204 11193 1156 11130 11200 1124 1113 01")</f>
        <v>11180 1129 11112 11212 1106 1107 1115 11204 11193 1156 11130 11200 1124 1113 01</v>
      </c>
      <c r="L528" s="211">
        <f>IFERROR(__xludf.DUMMYFUNCTION("""COMPUTED_VALUE"""),60000.0)</f>
        <v>60000</v>
      </c>
      <c r="M528" s="211"/>
      <c r="N528" s="211"/>
      <c r="O528" s="211"/>
      <c r="Q528" s="210" t="str">
        <f>IFERROR(__xludf.DUMMYFUNCTION("""COMPUTED_VALUE"""),"03250284")</f>
        <v>03250284</v>
      </c>
      <c r="R528" s="210" t="str">
        <f>IFERROR(__xludf.DUMMYFUNCTION("""COMPUTED_VALUE"""),"03250284")</f>
        <v>03250284</v>
      </c>
      <c r="S528" s="211" t="str">
        <f>IFERROR(__xludf.DUMMYFUNCTION("""COMPUTED_VALUE"""),"785e0e07")</f>
        <v>785e0e07</v>
      </c>
      <c r="T528" s="211" t="str">
        <f>IFERROR(__xludf.DUMMYFUNCTION("""COMPUTED_VALUE"""),"Bpk. Sukirno (Bejo)")</f>
        <v>Bpk. Sukirno (Bejo)</v>
      </c>
      <c r="U528" s="215">
        <f>IFERROR(__xludf.DUMMYFUNCTION("""COMPUTED_VALUE"""),45717.38958333334)</f>
        <v>45717.38958</v>
      </c>
      <c r="V528" s="211" t="str">
        <f>IFERROR(__xludf.DUMMYFUNCTION("""COMPUTED_VALUE"""),"Krajan I, Wringinanom, Kec. Wringinanom, Kabupaten Gresik, Jawa Timur 61176")</f>
        <v>Krajan I, Wringinanom, Kec. Wringinanom, Kabupaten Gresik, Jawa Timur 61176</v>
      </c>
      <c r="W528" s="211" t="str">
        <f>IFERROR(__xludf.DUMMYFUNCTION("""COMPUTED_VALUE"""),"OUT")</f>
        <v>OUT</v>
      </c>
      <c r="X528" s="211"/>
      <c r="Z528" s="211" t="str">
        <f>IFERROR(__xludf.DUMMYFUNCTION("""COMPUTED_VALUE"""),"1225281944")</f>
        <v>1225281944</v>
      </c>
      <c r="AC528" s="211"/>
      <c r="AD528" s="211"/>
      <c r="AE528" s="211"/>
      <c r="AF528" s="211"/>
      <c r="AG528" s="211"/>
      <c r="AH528" s="211"/>
      <c r="AI528" s="211"/>
      <c r="AJ528" s="211"/>
      <c r="AL528" s="211"/>
      <c r="AM528" s="211"/>
      <c r="AN528" s="211"/>
      <c r="AO528" s="211"/>
      <c r="AP528" s="215"/>
      <c r="AQ528" s="218"/>
      <c r="AR528" s="211"/>
      <c r="AS528" s="211"/>
      <c r="AT528" s="211"/>
      <c r="AU528" s="211"/>
      <c r="AV528" s="211"/>
      <c r="AW528" s="211"/>
      <c r="AX528" s="211"/>
      <c r="AY528" s="211"/>
      <c r="AZ528" s="211"/>
      <c r="BB528" s="211"/>
      <c r="BC528" s="211"/>
      <c r="BD528" s="211"/>
      <c r="BE528" s="211"/>
      <c r="BF528" s="211"/>
      <c r="BG528" s="211"/>
      <c r="BH528" s="211"/>
      <c r="BI528" s="211"/>
    </row>
    <row r="529">
      <c r="A529" s="210" t="str">
        <f>IFERROR(__xludf.DUMMYFUNCTION("""COMPUTED_VALUE"""),"668c99c7")</f>
        <v>668c99c7</v>
      </c>
      <c r="B529" s="210" t="str">
        <f>IFERROR(__xludf.DUMMYFUNCTION("""COMPUTED_VALUE"""),"668c99c7")</f>
        <v>668c99c7</v>
      </c>
      <c r="C529" s="213">
        <f>IFERROR(__xludf.DUMMYFUNCTION("""COMPUTED_VALUE"""),45679.47222222222)</f>
        <v>45679.47222</v>
      </c>
      <c r="D529" s="211" t="str">
        <f>IFERROR(__xludf.DUMMYFUNCTION("""COMPUTED_VALUE"""),"785e0e07")</f>
        <v>785e0e07</v>
      </c>
      <c r="E529" s="211" t="str">
        <f>IFERROR(__xludf.DUMMYFUNCTION("""COMPUTED_VALUE"""),"Bpk. Sukirno (Bejo)")</f>
        <v>Bpk. Sukirno (Bejo)</v>
      </c>
      <c r="F529" s="211" t="str">
        <f>IFERROR(__xludf.DUMMYFUNCTION("""COMPUTED_VALUE"""),"8bdbe149")</f>
        <v>8bdbe149</v>
      </c>
      <c r="G529" s="211" t="str">
        <f>IFERROR(__xludf.DUMMYFUNCTION("""COMPUTED_VALUE"""),"Oksigen 6m3")</f>
        <v>Oksigen 6m3</v>
      </c>
      <c r="H529" s="214" t="str">
        <f>IFERROR(__xludf.DUMMYFUNCTION("""COMPUTED_VALUE"""),"IN")</f>
        <v>IN</v>
      </c>
      <c r="I529" s="214" t="str">
        <f>IFERROR(__xludf.DUMMYFUNCTION("""COMPUTED_VALUE"""),"EMPTY")</f>
        <v>EMPTY</v>
      </c>
      <c r="J529" s="211">
        <f>IFERROR(__xludf.DUMMYFUNCTION("""COMPUTED_VALUE"""),16.0)</f>
        <v>16</v>
      </c>
      <c r="K529" s="210" t="str">
        <f>IFERROR(__xludf.DUMMYFUNCTION("""COMPUTED_VALUE"""),"5568 5326 5840 11211 11197 11199 11123 11165 11122 11103 1139 11207 11184 1141 1111 11209")</f>
        <v>5568 5326 5840 11211 11197 11199 11123 11165 11122 11103 1139 11207 11184 1141 1111 11209</v>
      </c>
      <c r="L529" s="211"/>
      <c r="M529" s="211"/>
      <c r="N529" s="211"/>
      <c r="O529" s="211"/>
      <c r="Q529" s="210" t="str">
        <f>IFERROR(__xludf.DUMMYFUNCTION("""COMPUTED_VALUE"""),"03250285")</f>
        <v>03250285</v>
      </c>
      <c r="R529" s="210" t="str">
        <f>IFERROR(__xludf.DUMMYFUNCTION("""COMPUTED_VALUE"""),"03250285")</f>
        <v>03250285</v>
      </c>
      <c r="S529" s="211" t="str">
        <f>IFERROR(__xludf.DUMMYFUNCTION("""COMPUTED_VALUE"""),"e86baf3b")</f>
        <v>e86baf3b</v>
      </c>
      <c r="T529" s="211" t="str">
        <f>IFERROR(__xludf.DUMMYFUNCTION("""COMPUTED_VALUE"""),"PT GEMILANG CIPTA WAWASAN")</f>
        <v>PT GEMILANG CIPTA WAWASAN</v>
      </c>
      <c r="U529" s="215">
        <f>IFERROR(__xludf.DUMMYFUNCTION("""COMPUTED_VALUE"""),45717.40138888889)</f>
        <v>45717.40139</v>
      </c>
      <c r="V529" s="211" t="str">
        <f>IFERROR(__xludf.DUMMYFUNCTION("""COMPUTED_VALUE"""),"JL TEBET RAYA, 2A, TEBET BARAT, TEBET, KOTA ADM, JAKARTA SELATAN, DKI JAKARTA")</f>
        <v>JL TEBET RAYA, 2A, TEBET BARAT, TEBET, KOTA ADM, JAKARTA SELATAN, DKI JAKARTA</v>
      </c>
      <c r="W529" s="211" t="str">
        <f>IFERROR(__xludf.DUMMYFUNCTION("""COMPUTED_VALUE"""),"OUT")</f>
        <v>OUT</v>
      </c>
      <c r="X529" s="211"/>
      <c r="Z529" s="211" t="str">
        <f>IFERROR(__xludf.DUMMYFUNCTION("""COMPUTED_VALUE"""),"122581943")</f>
        <v>122581943</v>
      </c>
      <c r="AC529" s="211"/>
      <c r="AD529" s="211"/>
      <c r="AE529" s="211"/>
      <c r="AF529" s="211"/>
      <c r="AG529" s="211"/>
      <c r="AH529" s="211"/>
      <c r="AI529" s="211"/>
      <c r="AJ529" s="211"/>
      <c r="AL529" s="211"/>
      <c r="AM529" s="211"/>
      <c r="AN529" s="211"/>
      <c r="AO529" s="211"/>
      <c r="AP529" s="215"/>
      <c r="AQ529" s="218"/>
      <c r="AR529" s="211"/>
      <c r="AS529" s="211"/>
      <c r="AT529" s="211"/>
      <c r="AU529" s="211"/>
      <c r="AV529" s="211"/>
      <c r="AW529" s="211"/>
      <c r="AX529" s="211"/>
      <c r="AY529" s="211"/>
      <c r="AZ529" s="211"/>
      <c r="BB529" s="211"/>
      <c r="BC529" s="211"/>
      <c r="BD529" s="211"/>
      <c r="BE529" s="211"/>
      <c r="BF529" s="211"/>
      <c r="BG529" s="211"/>
      <c r="BH529" s="211"/>
      <c r="BI529" s="211"/>
    </row>
    <row r="530">
      <c r="A530" s="210" t="str">
        <f>IFERROR(__xludf.DUMMYFUNCTION("""COMPUTED_VALUE"""),"668c99c7")</f>
        <v>668c99c7</v>
      </c>
      <c r="B530" s="210" t="str">
        <f>IFERROR(__xludf.DUMMYFUNCTION("""COMPUTED_VALUE"""),"668c99c7")</f>
        <v>668c99c7</v>
      </c>
      <c r="C530" s="213">
        <f>IFERROR(__xludf.DUMMYFUNCTION("""COMPUTED_VALUE"""),45679.47430555556)</f>
        <v>45679.47431</v>
      </c>
      <c r="D530" s="211" t="str">
        <f>IFERROR(__xludf.DUMMYFUNCTION("""COMPUTED_VALUE"""),"785e0e07")</f>
        <v>785e0e07</v>
      </c>
      <c r="E530" s="211" t="str">
        <f>IFERROR(__xludf.DUMMYFUNCTION("""COMPUTED_VALUE"""),"Bpk. Sukirno (Bejo)")</f>
        <v>Bpk. Sukirno (Bejo)</v>
      </c>
      <c r="F530" s="211" t="str">
        <f>IFERROR(__xludf.DUMMYFUNCTION("""COMPUTED_VALUE"""),"b7a8fff1")</f>
        <v>b7a8fff1</v>
      </c>
      <c r="G530" s="211" t="str">
        <f>IFERROR(__xludf.DUMMYFUNCTION("""COMPUTED_VALUE"""),"LPG 50kg")</f>
        <v>LPG 50kg</v>
      </c>
      <c r="H530" s="214" t="str">
        <f>IFERROR(__xludf.DUMMYFUNCTION("""COMPUTED_VALUE"""),"IN")</f>
        <v>IN</v>
      </c>
      <c r="I530" s="214" t="str">
        <f>IFERROR(__xludf.DUMMYFUNCTION("""COMPUTED_VALUE"""),"EMPTY")</f>
        <v>EMPTY</v>
      </c>
      <c r="J530" s="211">
        <f>IFERROR(__xludf.DUMMYFUNCTION("""COMPUTED_VALUE"""),1.0)</f>
        <v>1</v>
      </c>
      <c r="K530" s="211"/>
      <c r="L530" s="211"/>
      <c r="M530" s="211"/>
      <c r="N530" s="211"/>
      <c r="O530" s="211"/>
      <c r="Q530" s="210" t="str">
        <f>IFERROR(__xludf.DUMMYFUNCTION("""COMPUTED_VALUE"""),"b70808e6")</f>
        <v>b70808e6</v>
      </c>
      <c r="R530" s="210" t="str">
        <f>IFERROR(__xludf.DUMMYFUNCTION("""COMPUTED_VALUE"""),"b70808e6")</f>
        <v>b70808e6</v>
      </c>
      <c r="S530" s="211" t="str">
        <f>IFERROR(__xludf.DUMMYFUNCTION("""COMPUTED_VALUE"""),"785e0e07")</f>
        <v>785e0e07</v>
      </c>
      <c r="T530" s="211" t="str">
        <f>IFERROR(__xludf.DUMMYFUNCTION("""COMPUTED_VALUE"""),"Bpk. Sukirno (Bejo)")</f>
        <v>Bpk. Sukirno (Bejo)</v>
      </c>
      <c r="U530" s="215">
        <f>IFERROR(__xludf.DUMMYFUNCTION("""COMPUTED_VALUE"""),45717.60416666667)</f>
        <v>45717.60417</v>
      </c>
      <c r="V530" s="211" t="str">
        <f>IFERROR(__xludf.DUMMYFUNCTION("""COMPUTED_VALUE"""),"Krajan I, Wringinanom, Kec. Wringinanom, Kabupaten Gresik, Jawa Timur 61176")</f>
        <v>Krajan I, Wringinanom, Kec. Wringinanom, Kabupaten Gresik, Jawa Timur 61176</v>
      </c>
      <c r="W530" s="211" t="str">
        <f>IFERROR(__xludf.DUMMYFUNCTION("""COMPUTED_VALUE"""),"IN")</f>
        <v>IN</v>
      </c>
      <c r="X530" s="211"/>
      <c r="Z530" s="211" t="str">
        <f>IFERROR(__xludf.DUMMYFUNCTION("""COMPUTED_VALUE"""),"1225301942")</f>
        <v>1225301942</v>
      </c>
      <c r="AC530" s="211"/>
      <c r="AD530" s="211"/>
      <c r="AE530" s="211"/>
      <c r="AF530" s="211"/>
      <c r="AG530" s="211"/>
      <c r="AH530" s="211"/>
      <c r="AI530" s="211"/>
      <c r="AJ530" s="211"/>
      <c r="AL530" s="211"/>
      <c r="AM530" s="211"/>
      <c r="AN530" s="211"/>
      <c r="AO530" s="211"/>
      <c r="AP530" s="215"/>
      <c r="AQ530" s="218"/>
      <c r="AR530" s="211"/>
      <c r="AS530" s="211"/>
      <c r="AT530" s="211"/>
      <c r="AU530" s="211"/>
      <c r="AV530" s="211"/>
      <c r="AW530" s="211"/>
      <c r="AX530" s="211"/>
      <c r="AY530" s="211"/>
      <c r="AZ530" s="211"/>
      <c r="BB530" s="211"/>
      <c r="BC530" s="211"/>
      <c r="BD530" s="211"/>
      <c r="BE530" s="211"/>
      <c r="BF530" s="211"/>
      <c r="BG530" s="211"/>
      <c r="BH530" s="211"/>
      <c r="BI530" s="211"/>
    </row>
    <row r="531">
      <c r="A531" s="210" t="str">
        <f>IFERROR(__xludf.DUMMYFUNCTION("""COMPUTED_VALUE"""),"9f41071c")</f>
        <v>9f41071c</v>
      </c>
      <c r="B531" s="210" t="str">
        <f>IFERROR(__xludf.DUMMYFUNCTION("""COMPUTED_VALUE"""),"9f41071c")</f>
        <v>9f41071c</v>
      </c>
      <c r="C531" s="213">
        <f>IFERROR(__xludf.DUMMYFUNCTION("""COMPUTED_VALUE"""),45679.775)</f>
        <v>45679.775</v>
      </c>
      <c r="D531" s="211" t="str">
        <f>IFERROR(__xludf.DUMMYFUNCTION("""COMPUTED_VALUE"""),"ed2cc96a")</f>
        <v>ed2cc96a</v>
      </c>
      <c r="E531" s="211" t="str">
        <f>IFERROR(__xludf.DUMMYFUNCTION("""COMPUTED_VALUE"""),"Bengkel Dian Jaya")</f>
        <v>Bengkel Dian Jaya</v>
      </c>
      <c r="F531" s="211" t="str">
        <f>IFERROR(__xludf.DUMMYFUNCTION("""COMPUTED_VALUE"""),"be525f3b")</f>
        <v>be525f3b</v>
      </c>
      <c r="G531" s="211" t="str">
        <f>IFERROR(__xludf.DUMMYFUNCTION("""COMPUTED_VALUE"""),"LPG 12kg")</f>
        <v>LPG 12kg</v>
      </c>
      <c r="H531" s="214" t="str">
        <f>IFERROR(__xludf.DUMMYFUNCTION("""COMPUTED_VALUE"""),"IN")</f>
        <v>IN</v>
      </c>
      <c r="I531" s="214" t="str">
        <f>IFERROR(__xludf.DUMMYFUNCTION("""COMPUTED_VALUE"""),"EMPTY")</f>
        <v>EMPTY</v>
      </c>
      <c r="J531" s="211">
        <f>IFERROR(__xludf.DUMMYFUNCTION("""COMPUTED_VALUE"""),1.0)</f>
        <v>1</v>
      </c>
      <c r="K531" s="211"/>
      <c r="L531" s="211"/>
      <c r="M531" s="211"/>
      <c r="N531" s="211"/>
      <c r="O531" s="211"/>
      <c r="Q531" s="210" t="str">
        <f>IFERROR(__xludf.DUMMYFUNCTION("""COMPUTED_VALUE"""),"03250287")</f>
        <v>03250287</v>
      </c>
      <c r="R531" s="210" t="str">
        <f>IFERROR(__xludf.DUMMYFUNCTION("""COMPUTED_VALUE"""),"03250287")</f>
        <v>03250287</v>
      </c>
      <c r="S531" s="211" t="str">
        <f>IFERROR(__xludf.DUMMYFUNCTION("""COMPUTED_VALUE"""),"df6bdc5d")</f>
        <v>df6bdc5d</v>
      </c>
      <c r="T531" s="211" t="str">
        <f>IFERROR(__xludf.DUMMYFUNCTION("""COMPUTED_VALUE"""),"Bpk. Maruf")</f>
        <v>Bpk. Maruf</v>
      </c>
      <c r="U531" s="215">
        <f>IFERROR(__xludf.DUMMYFUNCTION("""COMPUTED_VALUE"""),45719.39236111111)</f>
        <v>45719.39236</v>
      </c>
      <c r="V531" s="211" t="str">
        <f>IFERROR(__xludf.DUMMYFUNCTION("""COMPUTED_VALUE"""),"CC6P+83G, Padangasri, Kec. Jatirejo, Kabupaten Mojokerto, Jawa Timur 61373")</f>
        <v>CC6P+83G, Padangasri, Kec. Jatirejo, Kabupaten Mojokerto, Jawa Timur 61373</v>
      </c>
      <c r="W531" s="211" t="str">
        <f>IFERROR(__xludf.DUMMYFUNCTION("""COMPUTED_VALUE"""),"OUT")</f>
        <v>OUT</v>
      </c>
      <c r="X531" s="211"/>
      <c r="Z531" s="211" t="str">
        <f>IFERROR(__xludf.DUMMYFUNCTION("""COMPUTED_VALUE"""),"122561941")</f>
        <v>122561941</v>
      </c>
      <c r="AC531" s="211"/>
      <c r="AD531" s="211"/>
      <c r="AE531" s="211"/>
      <c r="AF531" s="211"/>
      <c r="AG531" s="211"/>
      <c r="AH531" s="211"/>
      <c r="AI531" s="211"/>
      <c r="AJ531" s="211"/>
      <c r="AL531" s="211"/>
      <c r="AM531" s="211"/>
      <c r="AN531" s="211"/>
      <c r="AO531" s="211"/>
      <c r="AP531" s="215"/>
      <c r="AQ531" s="218"/>
      <c r="AR531" s="211"/>
      <c r="AS531" s="211"/>
      <c r="AT531" s="211"/>
      <c r="AU531" s="211"/>
      <c r="AV531" s="211"/>
      <c r="AW531" s="211"/>
      <c r="AX531" s="211"/>
      <c r="AY531" s="211"/>
      <c r="AZ531" s="211"/>
      <c r="BB531" s="211"/>
      <c r="BC531" s="211"/>
      <c r="BD531" s="211"/>
      <c r="BE531" s="211"/>
      <c r="BF531" s="211"/>
      <c r="BG531" s="211"/>
      <c r="BH531" s="211"/>
      <c r="BI531" s="211"/>
    </row>
    <row r="532">
      <c r="A532" s="210" t="str">
        <f>IFERROR(__xludf.DUMMYFUNCTION("""COMPUTED_VALUE"""),"01250226")</f>
        <v>01250226</v>
      </c>
      <c r="B532" s="210" t="str">
        <f>IFERROR(__xludf.DUMMYFUNCTION("""COMPUTED_VALUE"""),"01250226")</f>
        <v>01250226</v>
      </c>
      <c r="C532" s="213">
        <f>IFERROR(__xludf.DUMMYFUNCTION("""COMPUTED_VALUE"""),45680.393055555556)</f>
        <v>45680.39306</v>
      </c>
      <c r="D532" s="211" t="str">
        <f>IFERROR(__xludf.DUMMYFUNCTION("""COMPUTED_VALUE"""),"e86baf3b")</f>
        <v>e86baf3b</v>
      </c>
      <c r="E532" s="211" t="str">
        <f>IFERROR(__xludf.DUMMYFUNCTION("""COMPUTED_VALUE"""),"PT GEMILANG CIPTA WAWASAN")</f>
        <v>PT GEMILANG CIPTA WAWASAN</v>
      </c>
      <c r="F532" s="211" t="str">
        <f>IFERROR(__xludf.DUMMYFUNCTION("""COMPUTED_VALUE"""),"66af7c72")</f>
        <v>66af7c72</v>
      </c>
      <c r="G532" s="211" t="str">
        <f>IFERROR(__xludf.DUMMYFUNCTION("""COMPUTED_VALUE"""),"Argon 6m3")</f>
        <v>Argon 6m3</v>
      </c>
      <c r="H532" s="214" t="str">
        <f>IFERROR(__xludf.DUMMYFUNCTION("""COMPUTED_VALUE"""),"OUT")</f>
        <v>OUT</v>
      </c>
      <c r="I532" s="214" t="str">
        <f>IFERROR(__xludf.DUMMYFUNCTION("""COMPUTED_VALUE"""),"NORMAL")</f>
        <v>NORMAL</v>
      </c>
      <c r="J532" s="211">
        <f>IFERROR(__xludf.DUMMYFUNCTION("""COMPUTED_VALUE"""),5.0)</f>
        <v>5</v>
      </c>
      <c r="K532" s="210" t="str">
        <f>IFERROR(__xludf.DUMMYFUNCTION("""COMPUTED_VALUE"""),"11168 11137 11162 11167 11152")</f>
        <v>11168 11137 11162 11167 11152</v>
      </c>
      <c r="L532" s="211">
        <f>IFERROR(__xludf.DUMMYFUNCTION("""COMPUTED_VALUE"""),185000.0)</f>
        <v>185000</v>
      </c>
      <c r="M532" s="211"/>
      <c r="N532" s="211"/>
      <c r="O532" s="211"/>
      <c r="Q532" s="210" t="str">
        <f>IFERROR(__xludf.DUMMYFUNCTION("""COMPUTED_VALUE"""),"78e6521b")</f>
        <v>78e6521b</v>
      </c>
      <c r="R532" s="210" t="str">
        <f>IFERROR(__xludf.DUMMYFUNCTION("""COMPUTED_VALUE"""),"78e6521b")</f>
        <v>78e6521b</v>
      </c>
      <c r="S532" s="211" t="str">
        <f>IFERROR(__xludf.DUMMYFUNCTION("""COMPUTED_VALUE"""),"2d88931c")</f>
        <v>2d88931c</v>
      </c>
      <c r="T532" s="211" t="str">
        <f>IFERROR(__xludf.DUMMYFUNCTION("""COMPUTED_VALUE"""),"PT Dunia Berkat Marga Mulya")</f>
        <v>PT Dunia Berkat Marga Mulya</v>
      </c>
      <c r="U532" s="215">
        <f>IFERROR(__xludf.DUMMYFUNCTION("""COMPUTED_VALUE"""),45719.63888888889)</f>
        <v>45719.63889</v>
      </c>
      <c r="V532" s="211" t="str">
        <f>IFERROR(__xludf.DUMMYFUNCTION("""COMPUTED_VALUE"""),"JL JABARAN, WATESARI, BALONGBENDO, SIDOARJO, JAWA TIMUR")</f>
        <v>JL JABARAN, WATESARI, BALONGBENDO, SIDOARJO, JAWA TIMUR</v>
      </c>
      <c r="W532" s="211" t="str">
        <f>IFERROR(__xludf.DUMMYFUNCTION("""COMPUTED_VALUE"""),"IN")</f>
        <v>IN</v>
      </c>
      <c r="X532" s="211"/>
      <c r="Z532" s="211" t="str">
        <f>IFERROR(__xludf.DUMMYFUNCTION("""COMPUTED_VALUE"""),"1225511940")</f>
        <v>1225511940</v>
      </c>
      <c r="AC532" s="211"/>
      <c r="AD532" s="211"/>
      <c r="AE532" s="211"/>
      <c r="AF532" s="211"/>
      <c r="AG532" s="211"/>
      <c r="AH532" s="211"/>
      <c r="AI532" s="211"/>
      <c r="AJ532" s="211"/>
      <c r="AL532" s="211"/>
      <c r="AM532" s="211"/>
      <c r="AN532" s="211"/>
      <c r="AO532" s="211"/>
      <c r="AP532" s="215"/>
      <c r="AQ532" s="218"/>
      <c r="AR532" s="211"/>
      <c r="AS532" s="211"/>
      <c r="AT532" s="211"/>
      <c r="AU532" s="211"/>
      <c r="AV532" s="211"/>
      <c r="AW532" s="211"/>
      <c r="AX532" s="211"/>
      <c r="AY532" s="211"/>
      <c r="AZ532" s="211"/>
      <c r="BB532" s="211"/>
      <c r="BC532" s="211"/>
      <c r="BD532" s="211"/>
      <c r="BE532" s="211"/>
      <c r="BF532" s="211"/>
      <c r="BG532" s="211"/>
      <c r="BH532" s="211"/>
      <c r="BI532" s="211"/>
    </row>
    <row r="533">
      <c r="A533" s="210" t="str">
        <f>IFERROR(__xludf.DUMMYFUNCTION("""COMPUTED_VALUE"""),"01250227")</f>
        <v>01250227</v>
      </c>
      <c r="B533" s="210" t="str">
        <f>IFERROR(__xludf.DUMMYFUNCTION("""COMPUTED_VALUE"""),"01250227")</f>
        <v>01250227</v>
      </c>
      <c r="C533" s="213">
        <f>IFERROR(__xludf.DUMMYFUNCTION("""COMPUTED_VALUE"""),45680.40555555555)</f>
        <v>45680.40556</v>
      </c>
      <c r="D533" s="211" t="str">
        <f>IFERROR(__xludf.DUMMYFUNCTION("""COMPUTED_VALUE"""),"4bef3bbf")</f>
        <v>4bef3bbf</v>
      </c>
      <c r="E533" s="211" t="str">
        <f>IFERROR(__xludf.DUMMYFUNCTION("""COMPUTED_VALUE"""),"PT Dingsheng Metal Indonesia (Ngoro)")</f>
        <v>PT Dingsheng Metal Indonesia (Ngoro)</v>
      </c>
      <c r="F533" s="211" t="str">
        <f>IFERROR(__xludf.DUMMYFUNCTION("""COMPUTED_VALUE"""),"8bdbe149")</f>
        <v>8bdbe149</v>
      </c>
      <c r="G533" s="211" t="str">
        <f>IFERROR(__xludf.DUMMYFUNCTION("""COMPUTED_VALUE"""),"Oksigen 6m3")</f>
        <v>Oksigen 6m3</v>
      </c>
      <c r="H533" s="214" t="str">
        <f>IFERROR(__xludf.DUMMYFUNCTION("""COMPUTED_VALUE"""),"OUT")</f>
        <v>OUT</v>
      </c>
      <c r="I533" s="214" t="str">
        <f>IFERROR(__xludf.DUMMYFUNCTION("""COMPUTED_VALUE"""),"NORMAL")</f>
        <v>NORMAL</v>
      </c>
      <c r="J533" s="211">
        <f>IFERROR(__xludf.DUMMYFUNCTION("""COMPUTED_VALUE"""),10.0)</f>
        <v>10</v>
      </c>
      <c r="K533" s="210" t="str">
        <f>IFERROR(__xludf.DUMMYFUNCTION("""COMPUTED_VALUE"""),"11165 11209 11207 11211 11199 11197 1167 1139 11103 11184")</f>
        <v>11165 11209 11207 11211 11199 11197 1167 1139 11103 11184</v>
      </c>
      <c r="L533" s="211">
        <f>IFERROR(__xludf.DUMMYFUNCTION("""COMPUTED_VALUE"""),45045.045)</f>
        <v>45045.045</v>
      </c>
      <c r="M533" s="211"/>
      <c r="N533" s="211"/>
      <c r="O533" s="211"/>
      <c r="Q533" s="210" t="str">
        <f>IFERROR(__xludf.DUMMYFUNCTION("""COMPUTED_VALUE"""),"5ca5d713")</f>
        <v>5ca5d713</v>
      </c>
      <c r="R533" s="210" t="str">
        <f>IFERROR(__xludf.DUMMYFUNCTION("""COMPUTED_VALUE"""),"5ca5d713")</f>
        <v>5ca5d713</v>
      </c>
      <c r="S533" s="211" t="str">
        <f>IFERROR(__xludf.DUMMYFUNCTION("""COMPUTED_VALUE"""),"4ec68cf6")</f>
        <v>4ec68cf6</v>
      </c>
      <c r="T533" s="211" t="str">
        <f>IFERROR(__xludf.DUMMYFUNCTION("""COMPUTED_VALUE"""),"CV Sido Mukti Karya")</f>
        <v>CV Sido Mukti Karya</v>
      </c>
      <c r="U533" s="215">
        <f>IFERROR(__xludf.DUMMYFUNCTION("""COMPUTED_VALUE"""),45719.63888888889)</f>
        <v>45719.63889</v>
      </c>
      <c r="V533" s="211" t="str">
        <f>IFERROR(__xludf.DUMMYFUNCTION("""COMPUTED_VALUE"""),"Pergudangan Center Point no A3, Kemangsen")</f>
        <v>Pergudangan Center Point no A3, Kemangsen</v>
      </c>
      <c r="W533" s="211" t="str">
        <f>IFERROR(__xludf.DUMMYFUNCTION("""COMPUTED_VALUE"""),"IN")</f>
        <v>IN</v>
      </c>
      <c r="X533" s="211"/>
      <c r="Z533" s="211" t="str">
        <f>IFERROR(__xludf.DUMMYFUNCTION("""COMPUTED_VALUE"""),"122521937")</f>
        <v>122521937</v>
      </c>
      <c r="AC533" s="211"/>
      <c r="AD533" s="211"/>
      <c r="AE533" s="211"/>
      <c r="AF533" s="211"/>
      <c r="AG533" s="211"/>
      <c r="AH533" s="211"/>
      <c r="AI533" s="211"/>
      <c r="AJ533" s="211"/>
      <c r="AL533" s="211"/>
      <c r="AM533" s="211"/>
      <c r="AN533" s="211"/>
      <c r="AO533" s="211"/>
      <c r="AP533" s="215"/>
      <c r="AQ533" s="218"/>
      <c r="AR533" s="211"/>
      <c r="AS533" s="211"/>
      <c r="AT533" s="211"/>
      <c r="AU533" s="211"/>
      <c r="AV533" s="211"/>
      <c r="AW533" s="211"/>
      <c r="AX533" s="211"/>
      <c r="AY533" s="211"/>
      <c r="AZ533" s="211"/>
      <c r="BB533" s="211"/>
      <c r="BC533" s="211"/>
      <c r="BD533" s="211"/>
      <c r="BE533" s="211"/>
      <c r="BF533" s="211"/>
      <c r="BG533" s="211"/>
      <c r="BH533" s="211"/>
      <c r="BI533" s="211"/>
    </row>
    <row r="534">
      <c r="A534" s="210" t="str">
        <f>IFERROR(__xludf.DUMMYFUNCTION("""COMPUTED_VALUE"""),"9ec8aec6")</f>
        <v>9ec8aec6</v>
      </c>
      <c r="B534" s="210" t="str">
        <f>IFERROR(__xludf.DUMMYFUNCTION("""COMPUTED_VALUE"""),"9ec8aec6")</f>
        <v>9ec8aec6</v>
      </c>
      <c r="C534" s="213">
        <f>IFERROR(__xludf.DUMMYFUNCTION("""COMPUTED_VALUE"""),45680.50555555556)</f>
        <v>45680.50556</v>
      </c>
      <c r="D534" s="211" t="str">
        <f>IFERROR(__xludf.DUMMYFUNCTION("""COMPUTED_VALUE"""),"e86baf3b")</f>
        <v>e86baf3b</v>
      </c>
      <c r="E534" s="211" t="str">
        <f>IFERROR(__xludf.DUMMYFUNCTION("""COMPUTED_VALUE"""),"PT GEMILANG CIPTA WAWASAN")</f>
        <v>PT GEMILANG CIPTA WAWASAN</v>
      </c>
      <c r="F534" s="211" t="str">
        <f>IFERROR(__xludf.DUMMYFUNCTION("""COMPUTED_VALUE"""),"be525f3b")</f>
        <v>be525f3b</v>
      </c>
      <c r="G534" s="211" t="str">
        <f>IFERROR(__xludf.DUMMYFUNCTION("""COMPUTED_VALUE"""),"LPG 12kg")</f>
        <v>LPG 12kg</v>
      </c>
      <c r="H534" s="214" t="str">
        <f>IFERROR(__xludf.DUMMYFUNCTION("""COMPUTED_VALUE"""),"IN")</f>
        <v>IN</v>
      </c>
      <c r="I534" s="214" t="str">
        <f>IFERROR(__xludf.DUMMYFUNCTION("""COMPUTED_VALUE"""),"EMPTY")</f>
        <v>EMPTY</v>
      </c>
      <c r="J534" s="211">
        <f>IFERROR(__xludf.DUMMYFUNCTION("""COMPUTED_VALUE"""),7.0)</f>
        <v>7</v>
      </c>
      <c r="K534" s="211"/>
      <c r="L534" s="211"/>
      <c r="M534" s="211"/>
      <c r="N534" s="211"/>
      <c r="O534" s="211"/>
      <c r="Q534" s="210" t="str">
        <f>IFERROR(__xludf.DUMMYFUNCTION("""COMPUTED_VALUE"""),"9fe4ced0")</f>
        <v>9fe4ced0</v>
      </c>
      <c r="R534" s="210" t="str">
        <f>IFERROR(__xludf.DUMMYFUNCTION("""COMPUTED_VALUE"""),"9fe4ced0")</f>
        <v>9fe4ced0</v>
      </c>
      <c r="S534" s="211" t="str">
        <f>IFERROR(__xludf.DUMMYFUNCTION("""COMPUTED_VALUE"""),"8f5ebaea")</f>
        <v>8f5ebaea</v>
      </c>
      <c r="T534" s="211" t="str">
        <f>IFERROR(__xludf.DUMMYFUNCTION("""COMPUTED_VALUE"""),"PT Hua Zong Mesindo")</f>
        <v>PT Hua Zong Mesindo</v>
      </c>
      <c r="U534" s="215">
        <f>IFERROR(__xludf.DUMMYFUNCTION("""COMPUTED_VALUE"""),45719.63958333334)</f>
        <v>45719.63958</v>
      </c>
      <c r="V534" s="211" t="str">
        <f>IFERROR(__xludf.DUMMYFUNCTION("""COMPUTED_VALUE"""),"Jl. Bypass Krian, Sidotemo, Sidomulyo, Kec. Krian, Kabupaten Sidoarjo, Jawa Timur 61262")</f>
        <v>Jl. Bypass Krian, Sidotemo, Sidomulyo, Kec. Krian, Kabupaten Sidoarjo, Jawa Timur 61262</v>
      </c>
      <c r="W534" s="211" t="str">
        <f>IFERROR(__xludf.DUMMYFUNCTION("""COMPUTED_VALUE"""),"IN")</f>
        <v>IN</v>
      </c>
      <c r="X534" s="211"/>
      <c r="Z534" s="211" t="str">
        <f>IFERROR(__xludf.DUMMYFUNCTION("""COMPUTED_VALUE"""),"122511935")</f>
        <v>122511935</v>
      </c>
      <c r="AC534" s="211"/>
      <c r="AD534" s="211"/>
      <c r="AE534" s="211"/>
      <c r="AF534" s="211"/>
      <c r="AG534" s="211"/>
      <c r="AH534" s="211"/>
      <c r="AI534" s="211"/>
      <c r="AJ534" s="211"/>
      <c r="AL534" s="211"/>
      <c r="AM534" s="211"/>
      <c r="AN534" s="211"/>
      <c r="AO534" s="211"/>
      <c r="AP534" s="215"/>
      <c r="AQ534" s="218"/>
      <c r="AR534" s="211"/>
      <c r="AS534" s="211"/>
      <c r="AT534" s="211"/>
      <c r="AU534" s="211"/>
      <c r="AV534" s="211"/>
      <c r="AW534" s="211"/>
      <c r="AX534" s="211"/>
      <c r="AY534" s="211"/>
      <c r="AZ534" s="211"/>
      <c r="BB534" s="211"/>
      <c r="BC534" s="211"/>
      <c r="BD534" s="211"/>
      <c r="BE534" s="211"/>
      <c r="BF534" s="211"/>
      <c r="BG534" s="211"/>
      <c r="BH534" s="211"/>
      <c r="BI534" s="211"/>
    </row>
    <row r="535">
      <c r="A535" s="210" t="str">
        <f>IFERROR(__xludf.DUMMYFUNCTION("""COMPUTED_VALUE"""),"9ec8aec6")</f>
        <v>9ec8aec6</v>
      </c>
      <c r="B535" s="210" t="str">
        <f>IFERROR(__xludf.DUMMYFUNCTION("""COMPUTED_VALUE"""),"9ec8aec6")</f>
        <v>9ec8aec6</v>
      </c>
      <c r="C535" s="213">
        <f>IFERROR(__xludf.DUMMYFUNCTION("""COMPUTED_VALUE"""),45680.50555555556)</f>
        <v>45680.50556</v>
      </c>
      <c r="D535" s="211" t="str">
        <f>IFERROR(__xludf.DUMMYFUNCTION("""COMPUTED_VALUE"""),"e86baf3b")</f>
        <v>e86baf3b</v>
      </c>
      <c r="E535" s="211" t="str">
        <f>IFERROR(__xludf.DUMMYFUNCTION("""COMPUTED_VALUE"""),"PT GEMILANG CIPTA WAWASAN")</f>
        <v>PT GEMILANG CIPTA WAWASAN</v>
      </c>
      <c r="F535" s="211" t="str">
        <f>IFERROR(__xludf.DUMMYFUNCTION("""COMPUTED_VALUE"""),"8bdbe149")</f>
        <v>8bdbe149</v>
      </c>
      <c r="G535" s="211" t="str">
        <f>IFERROR(__xludf.DUMMYFUNCTION("""COMPUTED_VALUE"""),"Oksigen 6m3")</f>
        <v>Oksigen 6m3</v>
      </c>
      <c r="H535" s="214" t="str">
        <f>IFERROR(__xludf.DUMMYFUNCTION("""COMPUTED_VALUE"""),"IN")</f>
        <v>IN</v>
      </c>
      <c r="I535" s="214" t="str">
        <f>IFERROR(__xludf.DUMMYFUNCTION("""COMPUTED_VALUE"""),"EMPTY")</f>
        <v>EMPTY</v>
      </c>
      <c r="J535" s="211">
        <f>IFERROR(__xludf.DUMMYFUNCTION("""COMPUTED_VALUE"""),1.0)</f>
        <v>1</v>
      </c>
      <c r="K535" s="210" t="str">
        <f>IFERROR(__xludf.DUMMYFUNCTION("""COMPUTED_VALUE"""),"1183")</f>
        <v>1183</v>
      </c>
      <c r="L535" s="211"/>
      <c r="M535" s="211"/>
      <c r="N535" s="211"/>
      <c r="O535" s="211"/>
      <c r="Q535" s="210" t="str">
        <f>IFERROR(__xludf.DUMMYFUNCTION("""COMPUTED_VALUE"""),"03250289")</f>
        <v>03250289</v>
      </c>
      <c r="R535" s="210" t="str">
        <f>IFERROR(__xludf.DUMMYFUNCTION("""COMPUTED_VALUE"""),"03250289")</f>
        <v>03250289</v>
      </c>
      <c r="S535" s="211" t="str">
        <f>IFERROR(__xludf.DUMMYFUNCTION("""COMPUTED_VALUE"""),"e86baf3b")</f>
        <v>e86baf3b</v>
      </c>
      <c r="T535" s="211" t="str">
        <f>IFERROR(__xludf.DUMMYFUNCTION("""COMPUTED_VALUE"""),"PT GEMILANG CIPTA WAWASAN")</f>
        <v>PT GEMILANG CIPTA WAWASAN</v>
      </c>
      <c r="U535" s="215">
        <f>IFERROR(__xludf.DUMMYFUNCTION("""COMPUTED_VALUE"""),45720.427777777775)</f>
        <v>45720.42778</v>
      </c>
      <c r="V535" s="211" t="str">
        <f>IFERROR(__xludf.DUMMYFUNCTION("""COMPUTED_VALUE"""),"JL TEBET RAYA, 2A, TEBET BARAT, TEBET, KOTA ADM, JAKARTA SELATAN, DKI JAKARTA")</f>
        <v>JL TEBET RAYA, 2A, TEBET BARAT, TEBET, KOTA ADM, JAKARTA SELATAN, DKI JAKARTA</v>
      </c>
      <c r="W535" s="211" t="str">
        <f>IFERROR(__xludf.DUMMYFUNCTION("""COMPUTED_VALUE"""),"OUT")</f>
        <v>OUT</v>
      </c>
      <c r="X535" s="211"/>
      <c r="Z535" s="211" t="str">
        <f>IFERROR(__xludf.DUMMYFUNCTION("""COMPUTED_VALUE"""),"1225391929")</f>
        <v>1225391929</v>
      </c>
      <c r="AC535" s="211"/>
      <c r="AD535" s="211"/>
      <c r="AE535" s="211"/>
      <c r="AF535" s="211"/>
      <c r="AG535" s="211"/>
      <c r="AH535" s="211"/>
      <c r="AI535" s="211"/>
      <c r="AJ535" s="211"/>
      <c r="AL535" s="211"/>
      <c r="AM535" s="211"/>
      <c r="AN535" s="211"/>
      <c r="AO535" s="211"/>
      <c r="AP535" s="215"/>
      <c r="AQ535" s="218"/>
      <c r="AR535" s="211"/>
      <c r="AS535" s="211"/>
      <c r="AT535" s="211"/>
      <c r="AU535" s="211"/>
      <c r="AV535" s="211"/>
      <c r="AW535" s="211"/>
      <c r="AX535" s="211"/>
      <c r="AY535" s="211"/>
      <c r="AZ535" s="211"/>
      <c r="BB535" s="211"/>
      <c r="BC535" s="211"/>
      <c r="BD535" s="211"/>
      <c r="BE535" s="211"/>
      <c r="BF535" s="211"/>
      <c r="BG535" s="211"/>
      <c r="BH535" s="211"/>
      <c r="BI535" s="211"/>
    </row>
    <row r="536">
      <c r="A536" s="210" t="str">
        <f>IFERROR(__xludf.DUMMYFUNCTION("""COMPUTED_VALUE"""),"733cb711")</f>
        <v>733cb711</v>
      </c>
      <c r="B536" s="210" t="str">
        <f>IFERROR(__xludf.DUMMYFUNCTION("""COMPUTED_VALUE"""),"733cb711")</f>
        <v>733cb711</v>
      </c>
      <c r="C536" s="213">
        <f>IFERROR(__xludf.DUMMYFUNCTION("""COMPUTED_VALUE"""),45680.50555555556)</f>
        <v>45680.50556</v>
      </c>
      <c r="D536" s="211" t="str">
        <f>IFERROR(__xludf.DUMMYFUNCTION("""COMPUTED_VALUE"""),"01158be1")</f>
        <v>01158be1</v>
      </c>
      <c r="E536" s="211" t="str">
        <f>IFERROR(__xludf.DUMMYFUNCTION("""COMPUTED_VALUE"""),"GYF")</f>
        <v>GYF</v>
      </c>
      <c r="F536" s="211" t="str">
        <f>IFERROR(__xludf.DUMMYFUNCTION("""COMPUTED_VALUE"""),"8bdbe149")</f>
        <v>8bdbe149</v>
      </c>
      <c r="G536" s="211" t="str">
        <f>IFERROR(__xludf.DUMMYFUNCTION("""COMPUTED_VALUE"""),"Oksigen 6m3")</f>
        <v>Oksigen 6m3</v>
      </c>
      <c r="H536" s="214" t="str">
        <f>IFERROR(__xludf.DUMMYFUNCTION("""COMPUTED_VALUE"""),"IN")</f>
        <v>IN</v>
      </c>
      <c r="I536" s="214" t="str">
        <f>IFERROR(__xludf.DUMMYFUNCTION("""COMPUTED_VALUE"""),"EMPTY")</f>
        <v>EMPTY</v>
      </c>
      <c r="J536" s="211">
        <f>IFERROR(__xludf.DUMMYFUNCTION("""COMPUTED_VALUE"""),12.0)</f>
        <v>12</v>
      </c>
      <c r="K536" s="210" t="str">
        <f>IFERROR(__xludf.DUMMYFUNCTION("""COMPUTED_VALUE"""),"11208 1414 11158 11138 5017 11109 11161 11194 5518 5512 5969 5117")</f>
        <v>11208 1414 11158 11138 5017 11109 11161 11194 5518 5512 5969 5117</v>
      </c>
      <c r="L536" s="211"/>
      <c r="M536" s="211"/>
      <c r="N536" s="211"/>
      <c r="O536" s="211"/>
      <c r="Q536" s="210" t="str">
        <f>IFERROR(__xludf.DUMMYFUNCTION("""COMPUTED_VALUE"""),"03250290")</f>
        <v>03250290</v>
      </c>
      <c r="R536" s="210" t="str">
        <f>IFERROR(__xludf.DUMMYFUNCTION("""COMPUTED_VALUE"""),"03250290")</f>
        <v>03250290</v>
      </c>
      <c r="S536" s="211" t="str">
        <f>IFERROR(__xludf.DUMMYFUNCTION("""COMPUTED_VALUE"""),"5f23ba17")</f>
        <v>5f23ba17</v>
      </c>
      <c r="T536" s="211" t="str">
        <f>IFERROR(__xludf.DUMMYFUNCTION("""COMPUTED_VALUE"""),"Bpk. Joko (Gresik)")</f>
        <v>Bpk. Joko (Gresik)</v>
      </c>
      <c r="U536" s="215">
        <f>IFERROR(__xludf.DUMMYFUNCTION("""COMPUTED_VALUE"""),45720.430555555555)</f>
        <v>45720.43056</v>
      </c>
      <c r="V536" s="211" t="str">
        <f>IFERROR(__xludf.DUMMYFUNCTION("""COMPUTED_VALUE"""),"Tanggungan, Lebaniwaras, Kec. Wringinanom, Kabupaten Gresik, Jawa Timur")</f>
        <v>Tanggungan, Lebaniwaras, Kec. Wringinanom, Kabupaten Gresik, Jawa Timur</v>
      </c>
      <c r="W536" s="211" t="str">
        <f>IFERROR(__xludf.DUMMYFUNCTION("""COMPUTED_VALUE"""),"OUT")</f>
        <v>OUT</v>
      </c>
      <c r="X536" s="211"/>
      <c r="Z536" s="211" t="str">
        <f>IFERROR(__xludf.DUMMYFUNCTION("""COMPUTED_VALUE"""),"122531930")</f>
        <v>122531930</v>
      </c>
      <c r="AC536" s="211"/>
      <c r="AD536" s="211"/>
      <c r="AE536" s="211"/>
      <c r="AF536" s="211"/>
      <c r="AG536" s="211"/>
      <c r="AH536" s="211"/>
      <c r="AI536" s="211"/>
      <c r="AJ536" s="211"/>
      <c r="AL536" s="211"/>
      <c r="AM536" s="211"/>
      <c r="AN536" s="211"/>
      <c r="AO536" s="211"/>
      <c r="AP536" s="215"/>
      <c r="AQ536" s="218"/>
      <c r="AR536" s="211"/>
      <c r="AS536" s="211"/>
      <c r="AT536" s="211"/>
      <c r="AU536" s="211"/>
      <c r="AV536" s="211"/>
      <c r="AW536" s="211"/>
      <c r="AX536" s="211"/>
      <c r="AY536" s="211"/>
      <c r="AZ536" s="211"/>
      <c r="BB536" s="211"/>
      <c r="BC536" s="211"/>
      <c r="BD536" s="211"/>
      <c r="BE536" s="211"/>
      <c r="BF536" s="211"/>
      <c r="BG536" s="211"/>
      <c r="BH536" s="211"/>
      <c r="BI536" s="211"/>
    </row>
    <row r="537">
      <c r="A537" s="210" t="str">
        <f>IFERROR(__xludf.DUMMYFUNCTION("""COMPUTED_VALUE"""),"3eec7843")</f>
        <v>3eec7843</v>
      </c>
      <c r="B537" s="210" t="str">
        <f>IFERROR(__xludf.DUMMYFUNCTION("""COMPUTED_VALUE"""),"3eec7843")</f>
        <v>3eec7843</v>
      </c>
      <c r="C537" s="213">
        <f>IFERROR(__xludf.DUMMYFUNCTION("""COMPUTED_VALUE"""),45680.73402777778)</f>
        <v>45680.73403</v>
      </c>
      <c r="D537" s="211" t="str">
        <f>IFERROR(__xludf.DUMMYFUNCTION("""COMPUTED_VALUE"""),"4bef3bbf")</f>
        <v>4bef3bbf</v>
      </c>
      <c r="E537" s="211" t="str">
        <f>IFERROR(__xludf.DUMMYFUNCTION("""COMPUTED_VALUE"""),"PT Dingsheng Metal Indonesia (Ngoro)")</f>
        <v>PT Dingsheng Metal Indonesia (Ngoro)</v>
      </c>
      <c r="F537" s="211" t="str">
        <f>IFERROR(__xludf.DUMMYFUNCTION("""COMPUTED_VALUE"""),"8bdbe149")</f>
        <v>8bdbe149</v>
      </c>
      <c r="G537" s="211" t="str">
        <f>IFERROR(__xludf.DUMMYFUNCTION("""COMPUTED_VALUE"""),"Oksigen 6m3")</f>
        <v>Oksigen 6m3</v>
      </c>
      <c r="H537" s="214" t="str">
        <f>IFERROR(__xludf.DUMMYFUNCTION("""COMPUTED_VALUE"""),"IN")</f>
        <v>IN</v>
      </c>
      <c r="I537" s="214" t="str">
        <f>IFERROR(__xludf.DUMMYFUNCTION("""COMPUTED_VALUE"""),"EMPTY")</f>
        <v>EMPTY</v>
      </c>
      <c r="J537" s="211">
        <f>IFERROR(__xludf.DUMMYFUNCTION("""COMPUTED_VALUE"""),3.0)</f>
        <v>3</v>
      </c>
      <c r="K537" s="210" t="str">
        <f>IFERROR(__xludf.DUMMYFUNCTION("""COMPUTED_VALUE"""),"11142 11173 11155")</f>
        <v>11142 11173 11155</v>
      </c>
      <c r="L537" s="211"/>
      <c r="M537" s="211"/>
      <c r="N537" s="211"/>
      <c r="O537" s="211"/>
      <c r="Q537" s="210" t="str">
        <f>IFERROR(__xludf.DUMMYFUNCTION("""COMPUTED_VALUE"""),"fd95a754")</f>
        <v>fd95a754</v>
      </c>
      <c r="R537" s="210" t="str">
        <f>IFERROR(__xludf.DUMMYFUNCTION("""COMPUTED_VALUE"""),"fd95a754")</f>
        <v>fd95a754</v>
      </c>
      <c r="S537" s="211" t="str">
        <f>IFERROR(__xludf.DUMMYFUNCTION("""COMPUTED_VALUE"""),"5f23ba17")</f>
        <v>5f23ba17</v>
      </c>
      <c r="T537" s="211" t="str">
        <f>IFERROR(__xludf.DUMMYFUNCTION("""COMPUTED_VALUE"""),"Bpk. Joko (Gresik)")</f>
        <v>Bpk. Joko (Gresik)</v>
      </c>
      <c r="U537" s="215">
        <f>IFERROR(__xludf.DUMMYFUNCTION("""COMPUTED_VALUE"""),45720.52222222222)</f>
        <v>45720.52222</v>
      </c>
      <c r="V537" s="211" t="str">
        <f>IFERROR(__xludf.DUMMYFUNCTION("""COMPUTED_VALUE"""),"Tanggungan, Lebaniwaras, Kec. Wringinanom, Kabupaten Gresik, Jawa Timur")</f>
        <v>Tanggungan, Lebaniwaras, Kec. Wringinanom, Kabupaten Gresik, Jawa Timur</v>
      </c>
      <c r="W537" s="211" t="str">
        <f>IFERROR(__xludf.DUMMYFUNCTION("""COMPUTED_VALUE"""),"IN")</f>
        <v>IN</v>
      </c>
      <c r="X537" s="211"/>
      <c r="Z537" s="211" t="str">
        <f>IFERROR(__xludf.DUMMYFUNCTION("""COMPUTED_VALUE"""),"122551931")</f>
        <v>122551931</v>
      </c>
      <c r="AC537" s="211"/>
      <c r="AD537" s="211"/>
      <c r="AE537" s="211"/>
      <c r="AF537" s="211"/>
      <c r="AG537" s="211"/>
      <c r="AH537" s="211"/>
      <c r="AI537" s="211"/>
      <c r="AJ537" s="211"/>
      <c r="AL537" s="211"/>
      <c r="AM537" s="211"/>
      <c r="AN537" s="211"/>
      <c r="AO537" s="211"/>
      <c r="AP537" s="215"/>
      <c r="AQ537" s="218"/>
      <c r="AR537" s="211"/>
      <c r="AS537" s="211"/>
      <c r="AT537" s="211"/>
      <c r="AU537" s="211"/>
      <c r="AV537" s="211"/>
      <c r="AW537" s="211"/>
      <c r="AX537" s="211"/>
      <c r="AY537" s="211"/>
      <c r="AZ537" s="211"/>
      <c r="BB537" s="211"/>
      <c r="BC537" s="211"/>
      <c r="BD537" s="211"/>
      <c r="BE537" s="211"/>
      <c r="BF537" s="211"/>
      <c r="BG537" s="211"/>
      <c r="BH537" s="211"/>
      <c r="BI537" s="211"/>
    </row>
    <row r="538">
      <c r="A538" s="210" t="str">
        <f>IFERROR(__xludf.DUMMYFUNCTION("""COMPUTED_VALUE"""),"3eec7843")</f>
        <v>3eec7843</v>
      </c>
      <c r="B538" s="210" t="str">
        <f>IFERROR(__xludf.DUMMYFUNCTION("""COMPUTED_VALUE"""),"3eec7843")</f>
        <v>3eec7843</v>
      </c>
      <c r="C538" s="213">
        <f>IFERROR(__xludf.DUMMYFUNCTION("""COMPUTED_VALUE"""),45680.73472222222)</f>
        <v>45680.73472</v>
      </c>
      <c r="D538" s="211" t="str">
        <f>IFERROR(__xludf.DUMMYFUNCTION("""COMPUTED_VALUE"""),"4bef3bbf")</f>
        <v>4bef3bbf</v>
      </c>
      <c r="E538" s="211" t="str">
        <f>IFERROR(__xludf.DUMMYFUNCTION("""COMPUTED_VALUE"""),"PT Dingsheng Metal Indonesia (Ngoro)")</f>
        <v>PT Dingsheng Metal Indonesia (Ngoro)</v>
      </c>
      <c r="F538" s="211" t="str">
        <f>IFERROR(__xludf.DUMMYFUNCTION("""COMPUTED_VALUE"""),"66af7c72")</f>
        <v>66af7c72</v>
      </c>
      <c r="G538" s="211" t="str">
        <f>IFERROR(__xludf.DUMMYFUNCTION("""COMPUTED_VALUE"""),"Argon 6m3")</f>
        <v>Argon 6m3</v>
      </c>
      <c r="H538" s="214" t="str">
        <f>IFERROR(__xludf.DUMMYFUNCTION("""COMPUTED_VALUE"""),"IN")</f>
        <v>IN</v>
      </c>
      <c r="I538" s="214" t="str">
        <f>IFERROR(__xludf.DUMMYFUNCTION("""COMPUTED_VALUE"""),"EMPTY")</f>
        <v>EMPTY</v>
      </c>
      <c r="J538" s="211">
        <f>IFERROR(__xludf.DUMMYFUNCTION("""COMPUTED_VALUE"""),1.0)</f>
        <v>1</v>
      </c>
      <c r="K538" s="210" t="str">
        <f>IFERROR(__xludf.DUMMYFUNCTION("""COMPUTED_VALUE"""),"12003")</f>
        <v>12003</v>
      </c>
      <c r="L538" s="211"/>
      <c r="M538" s="211"/>
      <c r="N538" s="211"/>
      <c r="O538" s="211"/>
      <c r="Q538" s="210" t="str">
        <f>IFERROR(__xludf.DUMMYFUNCTION("""COMPUTED_VALUE"""),"6f4dae45")</f>
        <v>6f4dae45</v>
      </c>
      <c r="R538" s="210" t="str">
        <f>IFERROR(__xludf.DUMMYFUNCTION("""COMPUTED_VALUE"""),"6f4dae45")</f>
        <v>6f4dae45</v>
      </c>
      <c r="S538" s="211" t="str">
        <f>IFERROR(__xludf.DUMMYFUNCTION("""COMPUTED_VALUE"""),"785e0e07")</f>
        <v>785e0e07</v>
      </c>
      <c r="T538" s="211" t="str">
        <f>IFERROR(__xludf.DUMMYFUNCTION("""COMPUTED_VALUE"""),"Bpk. Sukirno (Bejo)")</f>
        <v>Bpk. Sukirno (Bejo)</v>
      </c>
      <c r="U538" s="215">
        <f>IFERROR(__xludf.DUMMYFUNCTION("""COMPUTED_VALUE"""),45720.52222222222)</f>
        <v>45720.52222</v>
      </c>
      <c r="V538" s="211" t="str">
        <f>IFERROR(__xludf.DUMMYFUNCTION("""COMPUTED_VALUE"""),"Krajan I, Wringinanom, Kec. Wringinanom, Kabupaten Gresik, Jawa Timur 61176")</f>
        <v>Krajan I, Wringinanom, Kec. Wringinanom, Kabupaten Gresik, Jawa Timur 61176</v>
      </c>
      <c r="W538" s="211" t="str">
        <f>IFERROR(__xludf.DUMMYFUNCTION("""COMPUTED_VALUE"""),"IN")</f>
        <v>IN</v>
      </c>
      <c r="X538" s="211"/>
      <c r="Z538" s="211" t="str">
        <f>IFERROR(__xludf.DUMMYFUNCTION("""COMPUTED_VALUE"""),"122581930")</f>
        <v>122581930</v>
      </c>
      <c r="AC538" s="211"/>
      <c r="AD538" s="211"/>
      <c r="AE538" s="211"/>
      <c r="AF538" s="211"/>
      <c r="AG538" s="211"/>
      <c r="AH538" s="211"/>
      <c r="AI538" s="211"/>
      <c r="AJ538" s="211"/>
      <c r="AL538" s="211"/>
      <c r="AM538" s="211"/>
      <c r="AN538" s="211"/>
      <c r="AO538" s="211"/>
      <c r="AP538" s="215"/>
      <c r="AQ538" s="218"/>
      <c r="AR538" s="211"/>
      <c r="AS538" s="211"/>
      <c r="AT538" s="211"/>
      <c r="AU538" s="211"/>
      <c r="AV538" s="211"/>
      <c r="AW538" s="211"/>
      <c r="AX538" s="211"/>
      <c r="AY538" s="211"/>
      <c r="AZ538" s="211"/>
      <c r="BB538" s="211"/>
      <c r="BC538" s="211"/>
      <c r="BD538" s="211"/>
      <c r="BE538" s="211"/>
      <c r="BF538" s="211"/>
      <c r="BG538" s="211"/>
      <c r="BH538" s="211"/>
      <c r="BI538" s="211"/>
    </row>
    <row r="539">
      <c r="A539" s="210" t="str">
        <f>IFERROR(__xludf.DUMMYFUNCTION("""COMPUTED_VALUE"""),"01250228")</f>
        <v>01250228</v>
      </c>
      <c r="B539" s="210" t="str">
        <f>IFERROR(__xludf.DUMMYFUNCTION("""COMPUTED_VALUE"""),"01250228")</f>
        <v>01250228</v>
      </c>
      <c r="C539" s="213">
        <f>IFERROR(__xludf.DUMMYFUNCTION("""COMPUTED_VALUE"""),45681.36944444444)</f>
        <v>45681.36944</v>
      </c>
      <c r="D539" s="211" t="str">
        <f>IFERROR(__xludf.DUMMYFUNCTION("""COMPUTED_VALUE"""),"ac52e1fa")</f>
        <v>ac52e1fa</v>
      </c>
      <c r="E539" s="211" t="str">
        <f>IFERROR(__xludf.DUMMYFUNCTION("""COMPUTED_VALUE"""),"Abah Mad")</f>
        <v>Abah Mad</v>
      </c>
      <c r="F539" s="211" t="str">
        <f>IFERROR(__xludf.DUMMYFUNCTION("""COMPUTED_VALUE"""),"8bdbe149")</f>
        <v>8bdbe149</v>
      </c>
      <c r="G539" s="211" t="str">
        <f>IFERROR(__xludf.DUMMYFUNCTION("""COMPUTED_VALUE"""),"Oksigen 6m3")</f>
        <v>Oksigen 6m3</v>
      </c>
      <c r="H539" s="214" t="str">
        <f>IFERROR(__xludf.DUMMYFUNCTION("""COMPUTED_VALUE"""),"OUT")</f>
        <v>OUT</v>
      </c>
      <c r="I539" s="214" t="str">
        <f>IFERROR(__xludf.DUMMYFUNCTION("""COMPUTED_VALUE"""),"NORMAL")</f>
        <v>NORMAL</v>
      </c>
      <c r="J539" s="211">
        <f>IFERROR(__xludf.DUMMYFUNCTION("""COMPUTED_VALUE"""),10.0)</f>
        <v>10</v>
      </c>
      <c r="K539" s="210" t="str">
        <f>IFERROR(__xludf.DUMMYFUNCTION("""COMPUTED_VALUE"""),"11109 11194 11123 11208 1183 1141 1111 1199 1153 12")</f>
        <v>11109 11194 11123 11208 1183 1141 1111 1199 1153 12</v>
      </c>
      <c r="L539" s="211">
        <f>IFERROR(__xludf.DUMMYFUNCTION("""COMPUTED_VALUE"""),50000.0)</f>
        <v>50000</v>
      </c>
      <c r="M539" s="211"/>
      <c r="N539" s="211"/>
      <c r="O539" s="211"/>
      <c r="Q539" s="210" t="str">
        <f>IFERROR(__xludf.DUMMYFUNCTION("""COMPUTED_VALUE"""),"03250293")</f>
        <v>03250293</v>
      </c>
      <c r="R539" s="210" t="str">
        <f>IFERROR(__xludf.DUMMYFUNCTION("""COMPUTED_VALUE"""),"03250293")</f>
        <v>03250293</v>
      </c>
      <c r="S539" s="211" t="str">
        <f>IFERROR(__xludf.DUMMYFUNCTION("""COMPUTED_VALUE"""),"7b9d8eba")</f>
        <v>7b9d8eba</v>
      </c>
      <c r="T539" s="211" t="str">
        <f>IFERROR(__xludf.DUMMYFUNCTION("""COMPUTED_VALUE"""),"PT PELANGI INDOKARYA")</f>
        <v>PT PELANGI INDOKARYA</v>
      </c>
      <c r="U539" s="215">
        <f>IFERROR(__xludf.DUMMYFUNCTION("""COMPUTED_VALUE"""),45720.52638888889)</f>
        <v>45720.52639</v>
      </c>
      <c r="V539"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539" s="211" t="str">
        <f>IFERROR(__xludf.DUMMYFUNCTION("""COMPUTED_VALUE"""),"OUT")</f>
        <v>OUT</v>
      </c>
      <c r="X539" s="211"/>
      <c r="Z539" s="211" t="str">
        <f>IFERROR(__xludf.DUMMYFUNCTION("""COMPUTED_VALUE"""),"1225721928")</f>
        <v>1225721928</v>
      </c>
      <c r="AC539" s="211"/>
      <c r="AD539" s="211"/>
      <c r="AE539" s="211"/>
      <c r="AF539" s="211"/>
      <c r="AG539" s="211"/>
      <c r="AH539" s="211"/>
      <c r="AI539" s="211"/>
      <c r="AJ539" s="211"/>
      <c r="AL539" s="211"/>
      <c r="AM539" s="211"/>
      <c r="AN539" s="211"/>
      <c r="AO539" s="211"/>
      <c r="AP539" s="215"/>
      <c r="AQ539" s="218"/>
      <c r="AR539" s="211"/>
      <c r="AS539" s="211"/>
      <c r="AT539" s="211"/>
      <c r="AU539" s="211"/>
      <c r="AV539" s="211"/>
      <c r="AW539" s="211"/>
      <c r="AX539" s="211"/>
      <c r="AY539" s="211"/>
      <c r="AZ539" s="211"/>
      <c r="BB539" s="211"/>
      <c r="BC539" s="211"/>
      <c r="BD539" s="211"/>
      <c r="BE539" s="211"/>
      <c r="BF539" s="211"/>
      <c r="BG539" s="211"/>
      <c r="BH539" s="211"/>
      <c r="BI539" s="211"/>
    </row>
    <row r="540">
      <c r="A540" s="210" t="str">
        <f>IFERROR(__xludf.DUMMYFUNCTION("""COMPUTED_VALUE"""),"01250229")</f>
        <v>01250229</v>
      </c>
      <c r="B540" s="210" t="str">
        <f>IFERROR(__xludf.DUMMYFUNCTION("""COMPUTED_VALUE"""),"01250229")</f>
        <v>01250229</v>
      </c>
      <c r="C540" s="213">
        <f>IFERROR(__xludf.DUMMYFUNCTION("""COMPUTED_VALUE"""),45681.47986111111)</f>
        <v>45681.47986</v>
      </c>
      <c r="D540" s="211" t="str">
        <f>IFERROR(__xludf.DUMMYFUNCTION("""COMPUTED_VALUE"""),"785e0e07")</f>
        <v>785e0e07</v>
      </c>
      <c r="E540" s="211" t="str">
        <f>IFERROR(__xludf.DUMMYFUNCTION("""COMPUTED_VALUE"""),"Bpk. Sukirno (Bejo)")</f>
        <v>Bpk. Sukirno (Bejo)</v>
      </c>
      <c r="F540" s="211" t="str">
        <f>IFERROR(__xludf.DUMMYFUNCTION("""COMPUTED_VALUE"""),"8bdbe149")</f>
        <v>8bdbe149</v>
      </c>
      <c r="G540" s="211" t="str">
        <f>IFERROR(__xludf.DUMMYFUNCTION("""COMPUTED_VALUE"""),"Oksigen 6m3")</f>
        <v>Oksigen 6m3</v>
      </c>
      <c r="H540" s="214" t="str">
        <f>IFERROR(__xludf.DUMMYFUNCTION("""COMPUTED_VALUE"""),"OUT")</f>
        <v>OUT</v>
      </c>
      <c r="I540" s="214" t="str">
        <f>IFERROR(__xludf.DUMMYFUNCTION("""COMPUTED_VALUE"""),"NORMAL")</f>
        <v>NORMAL</v>
      </c>
      <c r="J540" s="211">
        <f>IFERROR(__xludf.DUMMYFUNCTION("""COMPUTED_VALUE"""),10.0)</f>
        <v>10</v>
      </c>
      <c r="K540" s="210" t="str">
        <f>IFERROR(__xludf.DUMMYFUNCTION("""COMPUTED_VALUE"""),"11142 11155 11173 11138 11161 11158 11169 111171 11172 11174")</f>
        <v>11142 11155 11173 11138 11161 11158 11169 111171 11172 11174</v>
      </c>
      <c r="L540" s="211">
        <f>IFERROR(__xludf.DUMMYFUNCTION("""COMPUTED_VALUE"""),60000.0)</f>
        <v>60000</v>
      </c>
      <c r="M540" s="211"/>
      <c r="N540" s="211"/>
      <c r="O540" s="211"/>
      <c r="Q540" s="210" t="str">
        <f>IFERROR(__xludf.DUMMYFUNCTION("""COMPUTED_VALUE"""),"b39071b8")</f>
        <v>b39071b8</v>
      </c>
      <c r="R540" s="210" t="str">
        <f>IFERROR(__xludf.DUMMYFUNCTION("""COMPUTED_VALUE"""),"b39071b8")</f>
        <v>b39071b8</v>
      </c>
      <c r="S540" s="211" t="str">
        <f>IFERROR(__xludf.DUMMYFUNCTION("""COMPUTED_VALUE"""),"7b9d8eba")</f>
        <v>7b9d8eba</v>
      </c>
      <c r="T540" s="211" t="str">
        <f>IFERROR(__xludf.DUMMYFUNCTION("""COMPUTED_VALUE"""),"PT PELANGI INDOKARYA")</f>
        <v>PT PELANGI INDOKARYA</v>
      </c>
      <c r="U540" s="215">
        <f>IFERROR(__xludf.DUMMYFUNCTION("""COMPUTED_VALUE"""),45720.65277777778)</f>
        <v>45720.65278</v>
      </c>
      <c r="V54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540" s="211" t="str">
        <f>IFERROR(__xludf.DUMMYFUNCTION("""COMPUTED_VALUE"""),"IN")</f>
        <v>IN</v>
      </c>
      <c r="X540" s="211"/>
      <c r="Z540" s="211" t="str">
        <f>IFERROR(__xludf.DUMMYFUNCTION("""COMPUTED_VALUE"""),"1225301927")</f>
        <v>1225301927</v>
      </c>
      <c r="AC540" s="211"/>
      <c r="AD540" s="211"/>
      <c r="AE540" s="211"/>
      <c r="AF540" s="211"/>
      <c r="AG540" s="211"/>
      <c r="AH540" s="211"/>
      <c r="AI540" s="211"/>
      <c r="AJ540" s="211"/>
      <c r="AL540" s="211"/>
      <c r="AM540" s="211"/>
      <c r="AN540" s="211"/>
      <c r="AO540" s="211"/>
      <c r="AP540" s="215"/>
      <c r="AQ540" s="218"/>
      <c r="AR540" s="211"/>
      <c r="AS540" s="211"/>
      <c r="AT540" s="211"/>
      <c r="AU540" s="211"/>
      <c r="AV540" s="211"/>
      <c r="AW540" s="211"/>
      <c r="AX540" s="211"/>
      <c r="AY540" s="211"/>
      <c r="AZ540" s="211"/>
      <c r="BB540" s="211"/>
      <c r="BC540" s="211"/>
      <c r="BD540" s="211"/>
      <c r="BE540" s="211"/>
      <c r="BF540" s="211"/>
      <c r="BG540" s="211"/>
      <c r="BH540" s="211"/>
      <c r="BI540" s="211"/>
    </row>
    <row r="541">
      <c r="A541" s="210" t="str">
        <f>IFERROR(__xludf.DUMMYFUNCTION("""COMPUTED_VALUE"""),"968acb5d")</f>
        <v>968acb5d</v>
      </c>
      <c r="B541" s="210" t="str">
        <f>IFERROR(__xludf.DUMMYFUNCTION("""COMPUTED_VALUE"""),"968acb5d")</f>
        <v>968acb5d</v>
      </c>
      <c r="C541" s="213">
        <f>IFERROR(__xludf.DUMMYFUNCTION("""COMPUTED_VALUE"""),45681.60625)</f>
        <v>45681.60625</v>
      </c>
      <c r="D541" s="211" t="str">
        <f>IFERROR(__xludf.DUMMYFUNCTION("""COMPUTED_VALUE"""),"8f5ebaea")</f>
        <v>8f5ebaea</v>
      </c>
      <c r="E541" s="211" t="str">
        <f>IFERROR(__xludf.DUMMYFUNCTION("""COMPUTED_VALUE"""),"PT Hua Zong Mesindo")</f>
        <v>PT Hua Zong Mesindo</v>
      </c>
      <c r="F541" s="211" t="str">
        <f>IFERROR(__xludf.DUMMYFUNCTION("""COMPUTED_VALUE"""),"66af7c72")</f>
        <v>66af7c72</v>
      </c>
      <c r="G541" s="211" t="str">
        <f>IFERROR(__xludf.DUMMYFUNCTION("""COMPUTED_VALUE"""),"Argon 6m3")</f>
        <v>Argon 6m3</v>
      </c>
      <c r="H541" s="214" t="str">
        <f>IFERROR(__xludf.DUMMYFUNCTION("""COMPUTED_VALUE"""),"IN")</f>
        <v>IN</v>
      </c>
      <c r="I541" s="214" t="str">
        <f>IFERROR(__xludf.DUMMYFUNCTION("""COMPUTED_VALUE"""),"EMPTY")</f>
        <v>EMPTY</v>
      </c>
      <c r="J541" s="211">
        <f>IFERROR(__xludf.DUMMYFUNCTION("""COMPUTED_VALUE"""),2.0)</f>
        <v>2</v>
      </c>
      <c r="K541" s="210" t="str">
        <f>IFERROR(__xludf.DUMMYFUNCTION("""COMPUTED_VALUE"""),"8194 8137")</f>
        <v>8194 8137</v>
      </c>
      <c r="L541" s="211"/>
      <c r="M541" s="211"/>
      <c r="N541" s="211"/>
      <c r="O541" s="211"/>
      <c r="Q541" s="210" t="str">
        <f>IFERROR(__xludf.DUMMYFUNCTION("""COMPUTED_VALUE"""),"497b4279")</f>
        <v>497b4279</v>
      </c>
      <c r="R541" s="210" t="str">
        <f>IFERROR(__xludf.DUMMYFUNCTION("""COMPUTED_VALUE"""),"497b4279")</f>
        <v>497b4279</v>
      </c>
      <c r="S541" s="211" t="str">
        <f>IFERROR(__xludf.DUMMYFUNCTION("""COMPUTED_VALUE"""),"01158be1")</f>
        <v>01158be1</v>
      </c>
      <c r="T541" s="211" t="str">
        <f>IFERROR(__xludf.DUMMYFUNCTION("""COMPUTED_VALUE"""),"GYF")</f>
        <v>GYF</v>
      </c>
      <c r="U541" s="215">
        <f>IFERROR(__xludf.DUMMYFUNCTION("""COMPUTED_VALUE"""),45720.65833333333)</f>
        <v>45720.65833</v>
      </c>
      <c r="V541" s="211" t="str">
        <f>IFERROR(__xludf.DUMMYFUNCTION("""COMPUTED_VALUE"""),"Kangkungan, Lengkong, Kec. Mojoanyar, Kabupaten Mojokerto, Jawa Timur")</f>
        <v>Kangkungan, Lengkong, Kec. Mojoanyar, Kabupaten Mojokerto, Jawa Timur</v>
      </c>
      <c r="W541" s="211" t="str">
        <f>IFERROR(__xludf.DUMMYFUNCTION("""COMPUTED_VALUE"""),"IN")</f>
        <v>IN</v>
      </c>
      <c r="X541" s="211"/>
      <c r="Z541" s="211" t="str">
        <f>IFERROR(__xludf.DUMMYFUNCTION("""COMPUTED_VALUE"""),"122551919")</f>
        <v>122551919</v>
      </c>
      <c r="AC541" s="211"/>
      <c r="AD541" s="211"/>
      <c r="AE541" s="211"/>
      <c r="AF541" s="211"/>
      <c r="AG541" s="211"/>
      <c r="AH541" s="211"/>
      <c r="AI541" s="211"/>
      <c r="AJ541" s="211"/>
      <c r="AL541" s="211"/>
      <c r="AM541" s="211"/>
      <c r="AN541" s="211"/>
      <c r="AO541" s="211"/>
      <c r="AP541" s="215"/>
      <c r="AQ541" s="218"/>
      <c r="AR541" s="211"/>
      <c r="AS541" s="211"/>
      <c r="AT541" s="211"/>
      <c r="AU541" s="211"/>
      <c r="AV541" s="211"/>
      <c r="AW541" s="211"/>
      <c r="AX541" s="211"/>
      <c r="AY541" s="211"/>
      <c r="AZ541" s="211"/>
      <c r="BB541" s="211"/>
      <c r="BC541" s="211"/>
      <c r="BD541" s="211"/>
      <c r="BE541" s="211"/>
      <c r="BF541" s="211"/>
      <c r="BG541" s="211"/>
      <c r="BH541" s="211"/>
      <c r="BI541" s="211"/>
    </row>
    <row r="542">
      <c r="A542" s="210" t="str">
        <f>IFERROR(__xludf.DUMMYFUNCTION("""COMPUTED_VALUE"""),"968acb5d")</f>
        <v>968acb5d</v>
      </c>
      <c r="B542" s="210" t="str">
        <f>IFERROR(__xludf.DUMMYFUNCTION("""COMPUTED_VALUE"""),"968acb5d")</f>
        <v>968acb5d</v>
      </c>
      <c r="C542" s="213">
        <f>IFERROR(__xludf.DUMMYFUNCTION("""COMPUTED_VALUE"""),45681.60625)</f>
        <v>45681.60625</v>
      </c>
      <c r="D542" s="211" t="str">
        <f>IFERROR(__xludf.DUMMYFUNCTION("""COMPUTED_VALUE"""),"8f5ebaea")</f>
        <v>8f5ebaea</v>
      </c>
      <c r="E542" s="211" t="str">
        <f>IFERROR(__xludf.DUMMYFUNCTION("""COMPUTED_VALUE"""),"PT Hua Zong Mesindo")</f>
        <v>PT Hua Zong Mesindo</v>
      </c>
      <c r="F542" s="211" t="str">
        <f>IFERROR(__xludf.DUMMYFUNCTION("""COMPUTED_VALUE"""),"8bdbe149")</f>
        <v>8bdbe149</v>
      </c>
      <c r="G542" s="211" t="str">
        <f>IFERROR(__xludf.DUMMYFUNCTION("""COMPUTED_VALUE"""),"Oksigen 6m3")</f>
        <v>Oksigen 6m3</v>
      </c>
      <c r="H542" s="214" t="str">
        <f>IFERROR(__xludf.DUMMYFUNCTION("""COMPUTED_VALUE"""),"IN")</f>
        <v>IN</v>
      </c>
      <c r="I542" s="214" t="str">
        <f>IFERROR(__xludf.DUMMYFUNCTION("""COMPUTED_VALUE"""),"EMPTY")</f>
        <v>EMPTY</v>
      </c>
      <c r="J542" s="211">
        <f>IFERROR(__xludf.DUMMYFUNCTION("""COMPUTED_VALUE"""),1.0)</f>
        <v>1</v>
      </c>
      <c r="K542" s="210" t="str">
        <f>IFERROR(__xludf.DUMMYFUNCTION("""COMPUTED_VALUE"""),"1112")</f>
        <v>1112</v>
      </c>
      <c r="L542" s="211"/>
      <c r="M542" s="211"/>
      <c r="N542" s="211"/>
      <c r="O542" s="211"/>
      <c r="Q542" s="210" t="str">
        <f>IFERROR(__xludf.DUMMYFUNCTION("""COMPUTED_VALUE"""),"369fdfbe")</f>
        <v>369fdfbe</v>
      </c>
      <c r="R542" s="210" t="str">
        <f>IFERROR(__xludf.DUMMYFUNCTION("""COMPUTED_VALUE"""),"369fdfbe")</f>
        <v>369fdfbe</v>
      </c>
      <c r="S542" s="211" t="str">
        <f>IFERROR(__xludf.DUMMYFUNCTION("""COMPUTED_VALUE"""),"e86baf3b")</f>
        <v>e86baf3b</v>
      </c>
      <c r="T542" s="211" t="str">
        <f>IFERROR(__xludf.DUMMYFUNCTION("""COMPUTED_VALUE"""),"PT GEMILANG CIPTA WAWASAN")</f>
        <v>PT GEMILANG CIPTA WAWASAN</v>
      </c>
      <c r="U542" s="215">
        <f>IFERROR(__xludf.DUMMYFUNCTION("""COMPUTED_VALUE"""),45720.65833333333)</f>
        <v>45720.65833</v>
      </c>
      <c r="V542" s="211" t="str">
        <f>IFERROR(__xludf.DUMMYFUNCTION("""COMPUTED_VALUE"""),"JL TEBET RAYA, 2A, TEBET BARAT, TEBET, KOTA ADM, JAKARTA SELATAN, DKI JAKARTA")</f>
        <v>JL TEBET RAYA, 2A, TEBET BARAT, TEBET, KOTA ADM, JAKARTA SELATAN, DKI JAKARTA</v>
      </c>
      <c r="W542" s="211" t="str">
        <f>IFERROR(__xludf.DUMMYFUNCTION("""COMPUTED_VALUE"""),"IN")</f>
        <v>IN</v>
      </c>
      <c r="X542" s="211"/>
      <c r="Z542" s="211" t="str">
        <f>IFERROR(__xludf.DUMMYFUNCTION("""COMPUTED_VALUE"""),"122511918")</f>
        <v>122511918</v>
      </c>
      <c r="AC542" s="211"/>
      <c r="AD542" s="211"/>
      <c r="AE542" s="211"/>
      <c r="AF542" s="211"/>
      <c r="AG542" s="211"/>
      <c r="AH542" s="211"/>
      <c r="AI542" s="211"/>
      <c r="AJ542" s="211"/>
      <c r="AL542" s="211"/>
      <c r="AM542" s="211"/>
      <c r="AN542" s="211"/>
      <c r="AO542" s="211"/>
      <c r="AP542" s="215"/>
      <c r="AQ542" s="218"/>
      <c r="AR542" s="211"/>
      <c r="AS542" s="211"/>
      <c r="AT542" s="211"/>
      <c r="AU542" s="211"/>
      <c r="AV542" s="211"/>
      <c r="AW542" s="211"/>
      <c r="AX542" s="211"/>
      <c r="AY542" s="211"/>
      <c r="AZ542" s="211"/>
      <c r="BB542" s="211"/>
      <c r="BC542" s="211"/>
      <c r="BD542" s="211"/>
      <c r="BE542" s="211"/>
      <c r="BF542" s="211"/>
      <c r="BG542" s="211"/>
      <c r="BH542" s="211"/>
      <c r="BI542" s="211"/>
    </row>
    <row r="543">
      <c r="A543" s="210" t="str">
        <f>IFERROR(__xludf.DUMMYFUNCTION("""COMPUTED_VALUE"""),"d40f2e1d")</f>
        <v>d40f2e1d</v>
      </c>
      <c r="B543" s="210" t="str">
        <f>IFERROR(__xludf.DUMMYFUNCTION("""COMPUTED_VALUE"""),"d40f2e1d")</f>
        <v>d40f2e1d</v>
      </c>
      <c r="C543" s="213">
        <f>IFERROR(__xludf.DUMMYFUNCTION("""COMPUTED_VALUE"""),45681.60625)</f>
        <v>45681.60625</v>
      </c>
      <c r="D543" s="211" t="str">
        <f>IFERROR(__xludf.DUMMYFUNCTION("""COMPUTED_VALUE"""),"ac52e1fa")</f>
        <v>ac52e1fa</v>
      </c>
      <c r="E543" s="211" t="str">
        <f>IFERROR(__xludf.DUMMYFUNCTION("""COMPUTED_VALUE"""),"Abah Mad")</f>
        <v>Abah Mad</v>
      </c>
      <c r="F543" s="211" t="str">
        <f>IFERROR(__xludf.DUMMYFUNCTION("""COMPUTED_VALUE"""),"be525f3b")</f>
        <v>be525f3b</v>
      </c>
      <c r="G543" s="211" t="str">
        <f>IFERROR(__xludf.DUMMYFUNCTION("""COMPUTED_VALUE"""),"LPG 12kg")</f>
        <v>LPG 12kg</v>
      </c>
      <c r="H543" s="214" t="str">
        <f>IFERROR(__xludf.DUMMYFUNCTION("""COMPUTED_VALUE"""),"IN")</f>
        <v>IN</v>
      </c>
      <c r="I543" s="214" t="str">
        <f>IFERROR(__xludf.DUMMYFUNCTION("""COMPUTED_VALUE"""),"EMPTY")</f>
        <v>EMPTY</v>
      </c>
      <c r="J543" s="211">
        <f>IFERROR(__xludf.DUMMYFUNCTION("""COMPUTED_VALUE"""),10.0)</f>
        <v>10</v>
      </c>
      <c r="K543" s="211"/>
      <c r="L543" s="211"/>
      <c r="M543" s="211"/>
      <c r="N543" s="211"/>
      <c r="O543" s="211"/>
      <c r="Q543" s="210" t="str">
        <f>IFERROR(__xludf.DUMMYFUNCTION("""COMPUTED_VALUE"""),"d8e75b96")</f>
        <v>d8e75b96</v>
      </c>
      <c r="R543" s="210" t="str">
        <f>IFERROR(__xludf.DUMMYFUNCTION("""COMPUTED_VALUE"""),"d8e75b96")</f>
        <v>d8e75b96</v>
      </c>
      <c r="S543" s="211" t="str">
        <f>IFERROR(__xludf.DUMMYFUNCTION("""COMPUTED_VALUE"""),"103f3ae7")</f>
        <v>103f3ae7</v>
      </c>
      <c r="T543" s="211" t="str">
        <f>IFERROR(__xludf.DUMMYFUNCTION("""COMPUTED_VALUE"""),"PT ARYANA CAKASANA")</f>
        <v>PT ARYANA CAKASANA</v>
      </c>
      <c r="U543" s="215">
        <f>IFERROR(__xludf.DUMMYFUNCTION("""COMPUTED_VALUE"""),45720.660416666666)</f>
        <v>45720.66042</v>
      </c>
      <c r="V543" s="211" t="str">
        <f>IFERROR(__xludf.DUMMYFUNCTION("""COMPUTED_VALUE"""),"Jl Raya Tarik No. 45, Wonokupang, Bakalan, Balongbendo")</f>
        <v>Jl Raya Tarik No. 45, Wonokupang, Bakalan, Balongbendo</v>
      </c>
      <c r="W543" s="211" t="str">
        <f>IFERROR(__xludf.DUMMYFUNCTION("""COMPUTED_VALUE"""),"IN")</f>
        <v>IN</v>
      </c>
      <c r="X543" s="211"/>
      <c r="Z543" s="211" t="str">
        <f>IFERROR(__xludf.DUMMYFUNCTION("""COMPUTED_VALUE"""),"122591917")</f>
        <v>122591917</v>
      </c>
      <c r="AC543" s="211"/>
      <c r="AD543" s="211"/>
      <c r="AE543" s="211"/>
      <c r="AF543" s="211"/>
      <c r="AG543" s="211"/>
      <c r="AH543" s="211"/>
      <c r="AI543" s="211"/>
      <c r="AJ543" s="211"/>
      <c r="AL543" s="211"/>
      <c r="AM543" s="211"/>
      <c r="AN543" s="211"/>
      <c r="AO543" s="211"/>
      <c r="AP543" s="215"/>
      <c r="AQ543" s="218"/>
      <c r="AR543" s="211"/>
      <c r="AS543" s="211"/>
      <c r="AT543" s="211"/>
      <c r="AU543" s="211"/>
      <c r="AV543" s="211"/>
      <c r="AW543" s="211"/>
      <c r="AX543" s="211"/>
      <c r="AY543" s="211"/>
      <c r="AZ543" s="211"/>
      <c r="BB543" s="211"/>
      <c r="BC543" s="211"/>
      <c r="BD543" s="211"/>
      <c r="BE543" s="211"/>
      <c r="BF543" s="211"/>
      <c r="BG543" s="211"/>
      <c r="BH543" s="211"/>
      <c r="BI543" s="211"/>
    </row>
    <row r="544">
      <c r="A544" s="210" t="str">
        <f>IFERROR(__xludf.DUMMYFUNCTION("""COMPUTED_VALUE"""),"d40f2e1d")</f>
        <v>d40f2e1d</v>
      </c>
      <c r="B544" s="210" t="str">
        <f>IFERROR(__xludf.DUMMYFUNCTION("""COMPUTED_VALUE"""),"d40f2e1d")</f>
        <v>d40f2e1d</v>
      </c>
      <c r="C544" s="213">
        <f>IFERROR(__xludf.DUMMYFUNCTION("""COMPUTED_VALUE"""),45681.606944444444)</f>
        <v>45681.60694</v>
      </c>
      <c r="D544" s="211" t="str">
        <f>IFERROR(__xludf.DUMMYFUNCTION("""COMPUTED_VALUE"""),"ac52e1fa")</f>
        <v>ac52e1fa</v>
      </c>
      <c r="E544" s="211" t="str">
        <f>IFERROR(__xludf.DUMMYFUNCTION("""COMPUTED_VALUE"""),"Abah Mad")</f>
        <v>Abah Mad</v>
      </c>
      <c r="F544" s="211" t="str">
        <f>IFERROR(__xludf.DUMMYFUNCTION("""COMPUTED_VALUE"""),"f6aab7a9")</f>
        <v>f6aab7a9</v>
      </c>
      <c r="G544" s="211" t="str">
        <f>IFERROR(__xludf.DUMMYFUNCTION("""COMPUTED_VALUE"""),"Oksigen 6m3 MR")</f>
        <v>Oksigen 6m3 MR</v>
      </c>
      <c r="H544" s="214" t="str">
        <f>IFERROR(__xludf.DUMMYFUNCTION("""COMPUTED_VALUE"""),"IN")</f>
        <v>IN</v>
      </c>
      <c r="I544" s="214" t="str">
        <f>IFERROR(__xludf.DUMMYFUNCTION("""COMPUTED_VALUE"""),"EMPTY")</f>
        <v>EMPTY</v>
      </c>
      <c r="J544" s="211">
        <f>IFERROR(__xludf.DUMMYFUNCTION("""COMPUTED_VALUE"""),10.0)</f>
        <v>10</v>
      </c>
      <c r="K544" s="211"/>
      <c r="L544" s="211"/>
      <c r="M544" s="211"/>
      <c r="N544" s="211"/>
      <c r="O544" s="211"/>
      <c r="Q544" s="210" t="str">
        <f>IFERROR(__xludf.DUMMYFUNCTION("""COMPUTED_VALUE"""),"03250294")</f>
        <v>03250294</v>
      </c>
      <c r="R544" s="210" t="str">
        <f>IFERROR(__xludf.DUMMYFUNCTION("""COMPUTED_VALUE"""),"03250294")</f>
        <v>03250294</v>
      </c>
      <c r="S544" s="211" t="str">
        <f>IFERROR(__xludf.DUMMYFUNCTION("""COMPUTED_VALUE"""),"01158be1")</f>
        <v>01158be1</v>
      </c>
      <c r="T544" s="211" t="str">
        <f>IFERROR(__xludf.DUMMYFUNCTION("""COMPUTED_VALUE"""),"GYF")</f>
        <v>GYF</v>
      </c>
      <c r="U544" s="215">
        <f>IFERROR(__xludf.DUMMYFUNCTION("""COMPUTED_VALUE"""),45721.42569444445)</f>
        <v>45721.42569</v>
      </c>
      <c r="V544" s="211" t="str">
        <f>IFERROR(__xludf.DUMMYFUNCTION("""COMPUTED_VALUE"""),"Kangkungan, Lengkong, Kec. Mojoanyar, Kabupaten Mojokerto, Jawa Timur")</f>
        <v>Kangkungan, Lengkong, Kec. Mojoanyar, Kabupaten Mojokerto, Jawa Timur</v>
      </c>
      <c r="W544" s="211" t="str">
        <f>IFERROR(__xludf.DUMMYFUNCTION("""COMPUTED_VALUE"""),"OUT")</f>
        <v>OUT</v>
      </c>
      <c r="X544" s="211"/>
      <c r="Z544" s="211" t="str">
        <f>IFERROR(__xludf.DUMMYFUNCTION("""COMPUTED_VALUE"""),"122561916")</f>
        <v>122561916</v>
      </c>
      <c r="AC544" s="211"/>
      <c r="AD544" s="211"/>
      <c r="AE544" s="211"/>
      <c r="AF544" s="211"/>
      <c r="AG544" s="211"/>
      <c r="AH544" s="211"/>
      <c r="AI544" s="211"/>
      <c r="AJ544" s="211"/>
      <c r="AL544" s="211"/>
      <c r="AM544" s="211"/>
      <c r="AN544" s="211"/>
      <c r="AO544" s="211"/>
      <c r="AP544" s="215"/>
      <c r="AQ544" s="218"/>
      <c r="AR544" s="211"/>
      <c r="AS544" s="211"/>
      <c r="AT544" s="211"/>
      <c r="AU544" s="211"/>
      <c r="AV544" s="211"/>
      <c r="AW544" s="211"/>
      <c r="AX544" s="211"/>
      <c r="AY544" s="211"/>
      <c r="AZ544" s="211"/>
      <c r="BB544" s="211"/>
      <c r="BC544" s="211"/>
      <c r="BD544" s="211"/>
      <c r="BE544" s="211"/>
      <c r="BF544" s="211"/>
      <c r="BG544" s="211"/>
      <c r="BH544" s="211"/>
      <c r="BI544" s="211"/>
    </row>
    <row r="545">
      <c r="A545" s="210" t="str">
        <f>IFERROR(__xludf.DUMMYFUNCTION("""COMPUTED_VALUE"""),"01250230")</f>
        <v>01250230</v>
      </c>
      <c r="B545" s="210" t="str">
        <f>IFERROR(__xludf.DUMMYFUNCTION("""COMPUTED_VALUE"""),"01250230")</f>
        <v>01250230</v>
      </c>
      <c r="C545" s="213">
        <f>IFERROR(__xludf.DUMMYFUNCTION("""COMPUTED_VALUE"""),45682.35208333333)</f>
        <v>45682.35208</v>
      </c>
      <c r="D545" s="211" t="str">
        <f>IFERROR(__xludf.DUMMYFUNCTION("""COMPUTED_VALUE"""),"3fec37df")</f>
        <v>3fec37df</v>
      </c>
      <c r="E545" s="211" t="str">
        <f>IFERROR(__xludf.DUMMYFUNCTION("""COMPUTED_VALUE"""),"PT Jatim Abadi Perkasa Steel")</f>
        <v>PT Jatim Abadi Perkasa Steel</v>
      </c>
      <c r="F545" s="211" t="str">
        <f>IFERROR(__xludf.DUMMYFUNCTION("""COMPUTED_VALUE"""),"b7a8fff1")</f>
        <v>b7a8fff1</v>
      </c>
      <c r="G545" s="211" t="str">
        <f>IFERROR(__xludf.DUMMYFUNCTION("""COMPUTED_VALUE"""),"LPG 50kg")</f>
        <v>LPG 50kg</v>
      </c>
      <c r="H545" s="214" t="str">
        <f>IFERROR(__xludf.DUMMYFUNCTION("""COMPUTED_VALUE"""),"OUT")</f>
        <v>OUT</v>
      </c>
      <c r="I545" s="214" t="str">
        <f>IFERROR(__xludf.DUMMYFUNCTION("""COMPUTED_VALUE"""),"NORMAL")</f>
        <v>NORMAL</v>
      </c>
      <c r="J545" s="211">
        <f>IFERROR(__xludf.DUMMYFUNCTION("""COMPUTED_VALUE"""),4.0)</f>
        <v>4</v>
      </c>
      <c r="K545" s="211"/>
      <c r="L545" s="211">
        <f>IFERROR(__xludf.DUMMYFUNCTION("""COMPUTED_VALUE"""),900900.9009)</f>
        <v>900900.9009</v>
      </c>
      <c r="M545" s="211"/>
      <c r="N545" s="211"/>
      <c r="O545" s="211"/>
      <c r="Q545" s="210" t="str">
        <f>IFERROR(__xludf.DUMMYFUNCTION("""COMPUTED_VALUE"""),"03250295")</f>
        <v>03250295</v>
      </c>
      <c r="R545" s="210" t="str">
        <f>IFERROR(__xludf.DUMMYFUNCTION("""COMPUTED_VALUE"""),"03250295")</f>
        <v>03250295</v>
      </c>
      <c r="S545" s="211" t="str">
        <f>IFERROR(__xludf.DUMMYFUNCTION("""COMPUTED_VALUE"""),"785e0e07")</f>
        <v>785e0e07</v>
      </c>
      <c r="T545" s="211" t="str">
        <f>IFERROR(__xludf.DUMMYFUNCTION("""COMPUTED_VALUE"""),"Bpk. Sukirno (Bejo)")</f>
        <v>Bpk. Sukirno (Bejo)</v>
      </c>
      <c r="U545" s="215">
        <f>IFERROR(__xludf.DUMMYFUNCTION("""COMPUTED_VALUE"""),45721.51944444445)</f>
        <v>45721.51944</v>
      </c>
      <c r="V545" s="211" t="str">
        <f>IFERROR(__xludf.DUMMYFUNCTION("""COMPUTED_VALUE"""),"Krajan I, Wringinanom, Kec. Wringinanom, Kabupaten Gresik, Jawa Timur 61176")</f>
        <v>Krajan I, Wringinanom, Kec. Wringinanom, Kabupaten Gresik, Jawa Timur 61176</v>
      </c>
      <c r="W545" s="211" t="str">
        <f>IFERROR(__xludf.DUMMYFUNCTION("""COMPUTED_VALUE"""),"OUT")</f>
        <v>OUT</v>
      </c>
      <c r="X545" s="211"/>
      <c r="Z545" s="211" t="str">
        <f>IFERROR(__xludf.DUMMYFUNCTION("""COMPUTED_VALUE"""),"1225241915")</f>
        <v>1225241915</v>
      </c>
      <c r="AC545" s="211"/>
      <c r="AD545" s="211"/>
      <c r="AE545" s="211"/>
      <c r="AF545" s="211"/>
      <c r="AG545" s="211"/>
      <c r="AH545" s="211"/>
      <c r="AI545" s="211"/>
      <c r="AJ545" s="211"/>
      <c r="AL545" s="211"/>
      <c r="AM545" s="211"/>
      <c r="AN545" s="211"/>
      <c r="AO545" s="211"/>
      <c r="AP545" s="215"/>
      <c r="AQ545" s="218"/>
      <c r="AR545" s="211"/>
      <c r="AS545" s="211"/>
      <c r="AT545" s="211"/>
      <c r="AU545" s="211"/>
      <c r="AV545" s="211"/>
      <c r="AW545" s="211"/>
      <c r="AX545" s="211"/>
      <c r="AY545" s="211"/>
      <c r="AZ545" s="211"/>
      <c r="BB545" s="211"/>
      <c r="BC545" s="211"/>
      <c r="BD545" s="211"/>
      <c r="BE545" s="211"/>
      <c r="BF545" s="211"/>
      <c r="BG545" s="211"/>
      <c r="BH545" s="211"/>
      <c r="BI545" s="211"/>
    </row>
    <row r="546">
      <c r="A546" s="210" t="str">
        <f>IFERROR(__xludf.DUMMYFUNCTION("""COMPUTED_VALUE"""),"00e9a395")</f>
        <v>00e9a395</v>
      </c>
      <c r="B546" s="210" t="str">
        <f>IFERROR(__xludf.DUMMYFUNCTION("""COMPUTED_VALUE"""),"00e9a395")</f>
        <v>00e9a395</v>
      </c>
      <c r="C546" s="213">
        <f>IFERROR(__xludf.DUMMYFUNCTION("""COMPUTED_VALUE"""),45681.67222222222)</f>
        <v>45681.67222</v>
      </c>
      <c r="D546" s="211" t="str">
        <f>IFERROR(__xludf.DUMMYFUNCTION("""COMPUTED_VALUE"""),"785e0e07")</f>
        <v>785e0e07</v>
      </c>
      <c r="E546" s="211" t="str">
        <f>IFERROR(__xludf.DUMMYFUNCTION("""COMPUTED_VALUE"""),"Bpk. Sukirno (Bejo)")</f>
        <v>Bpk. Sukirno (Bejo)</v>
      </c>
      <c r="F546" s="211" t="str">
        <f>IFERROR(__xludf.DUMMYFUNCTION("""COMPUTED_VALUE"""),"8bdbe149")</f>
        <v>8bdbe149</v>
      </c>
      <c r="G546" s="211" t="str">
        <f>IFERROR(__xludf.DUMMYFUNCTION("""COMPUTED_VALUE"""),"Oksigen 6m3")</f>
        <v>Oksigen 6m3</v>
      </c>
      <c r="H546" s="214" t="str">
        <f>IFERROR(__xludf.DUMMYFUNCTION("""COMPUTED_VALUE"""),"IN")</f>
        <v>IN</v>
      </c>
      <c r="I546" s="214" t="str">
        <f>IFERROR(__xludf.DUMMYFUNCTION("""COMPUTED_VALUE"""),"EMPTY")</f>
        <v>EMPTY</v>
      </c>
      <c r="J546" s="211">
        <f>IFERROR(__xludf.DUMMYFUNCTION("""COMPUTED_VALUE"""),14.0)</f>
        <v>14</v>
      </c>
      <c r="K546" s="210" t="str">
        <f>IFERROR(__xludf.DUMMYFUNCTION("""COMPUTED_VALUE"""),"11175 11210 1156 11212 11130 11112 11180 1106 1107 1129 1113 1115 1124 11204")</f>
        <v>11175 11210 1156 11212 11130 11112 11180 1106 1107 1129 1113 1115 1124 11204</v>
      </c>
      <c r="L546" s="211"/>
      <c r="M546" s="211"/>
      <c r="N546" s="211"/>
      <c r="O546" s="211"/>
      <c r="Q546" s="210" t="str">
        <f>IFERROR(__xludf.DUMMYFUNCTION("""COMPUTED_VALUE"""),"2d9fec6e")</f>
        <v>2d9fec6e</v>
      </c>
      <c r="R546" s="210" t="str">
        <f>IFERROR(__xludf.DUMMYFUNCTION("""COMPUTED_VALUE"""),"2d9fec6e")</f>
        <v>2d9fec6e</v>
      </c>
      <c r="S546" s="211" t="str">
        <f>IFERROR(__xludf.DUMMYFUNCTION("""COMPUTED_VALUE"""),"e86baf3b")</f>
        <v>e86baf3b</v>
      </c>
      <c r="T546" s="211" t="str">
        <f>IFERROR(__xludf.DUMMYFUNCTION("""COMPUTED_VALUE"""),"PT GEMILANG CIPTA WAWASAN")</f>
        <v>PT GEMILANG CIPTA WAWASAN</v>
      </c>
      <c r="U546" s="215">
        <f>IFERROR(__xludf.DUMMYFUNCTION("""COMPUTED_VALUE"""),45721.646527777775)</f>
        <v>45721.64653</v>
      </c>
      <c r="V546" s="211" t="str">
        <f>IFERROR(__xludf.DUMMYFUNCTION("""COMPUTED_VALUE"""),"JL TEBET RAYA, 2A, TEBET BARAT, TEBET, KOTA ADM, JAKARTA SELATAN, DKI JAKARTA")</f>
        <v>JL TEBET RAYA, 2A, TEBET BARAT, TEBET, KOTA ADM, JAKARTA SELATAN, DKI JAKARTA</v>
      </c>
      <c r="W546" s="211" t="str">
        <f>IFERROR(__xludf.DUMMYFUNCTION("""COMPUTED_VALUE"""),"IN")</f>
        <v>IN</v>
      </c>
      <c r="X546" s="211"/>
      <c r="Z546" s="211" t="str">
        <f>IFERROR(__xludf.DUMMYFUNCTION("""COMPUTED_VALUE"""),"122541914")</f>
        <v>122541914</v>
      </c>
      <c r="AC546" s="211"/>
      <c r="AD546" s="211"/>
      <c r="AE546" s="211"/>
      <c r="AF546" s="211"/>
      <c r="AG546" s="211"/>
      <c r="AH546" s="211"/>
      <c r="AI546" s="211"/>
      <c r="AJ546" s="211"/>
      <c r="AL546" s="211"/>
      <c r="AM546" s="211"/>
      <c r="AN546" s="211"/>
      <c r="AO546" s="211"/>
      <c r="AP546" s="215"/>
      <c r="AQ546" s="218"/>
      <c r="AR546" s="211"/>
      <c r="AS546" s="211"/>
      <c r="AT546" s="211"/>
      <c r="AU546" s="211"/>
      <c r="AV546" s="211"/>
      <c r="AW546" s="211"/>
      <c r="AX546" s="211"/>
      <c r="AY546" s="211"/>
      <c r="AZ546" s="211"/>
      <c r="BB546" s="211"/>
      <c r="BC546" s="211"/>
      <c r="BD546" s="211"/>
      <c r="BE546" s="211"/>
      <c r="BF546" s="211"/>
      <c r="BG546" s="211"/>
      <c r="BH546" s="211"/>
      <c r="BI546" s="211"/>
    </row>
    <row r="547">
      <c r="A547" s="210" t="str">
        <f>IFERROR(__xludf.DUMMYFUNCTION("""COMPUTED_VALUE"""),"01250231")</f>
        <v>01250231</v>
      </c>
      <c r="B547" s="210" t="str">
        <f>IFERROR(__xludf.DUMMYFUNCTION("""COMPUTED_VALUE"""),"01250231")</f>
        <v>01250231</v>
      </c>
      <c r="C547" s="213">
        <f>IFERROR(__xludf.DUMMYFUNCTION("""COMPUTED_VALUE"""),45682.3625)</f>
        <v>45682.3625</v>
      </c>
      <c r="D547" s="211" t="str">
        <f>IFERROR(__xludf.DUMMYFUNCTION("""COMPUTED_VALUE"""),"ed2cc96a")</f>
        <v>ed2cc96a</v>
      </c>
      <c r="E547" s="211" t="str">
        <f>IFERROR(__xludf.DUMMYFUNCTION("""COMPUTED_VALUE"""),"Bengkel Dian Jaya")</f>
        <v>Bengkel Dian Jaya</v>
      </c>
      <c r="F547" s="211" t="str">
        <f>IFERROR(__xludf.DUMMYFUNCTION("""COMPUTED_VALUE"""),"be525f3b")</f>
        <v>be525f3b</v>
      </c>
      <c r="G547" s="211" t="str">
        <f>IFERROR(__xludf.DUMMYFUNCTION("""COMPUTED_VALUE"""),"LPG 12kg")</f>
        <v>LPG 12kg</v>
      </c>
      <c r="H547" s="214" t="str">
        <f>IFERROR(__xludf.DUMMYFUNCTION("""COMPUTED_VALUE"""),"OUT")</f>
        <v>OUT</v>
      </c>
      <c r="I547" s="214" t="str">
        <f>IFERROR(__xludf.DUMMYFUNCTION("""COMPUTED_VALUE"""),"NORMAL")</f>
        <v>NORMAL</v>
      </c>
      <c r="J547" s="211">
        <f>IFERROR(__xludf.DUMMYFUNCTION("""COMPUTED_VALUE"""),2.0)</f>
        <v>2</v>
      </c>
      <c r="K547" s="211"/>
      <c r="L547" s="211">
        <f>IFERROR(__xludf.DUMMYFUNCTION("""COMPUTED_VALUE"""),215000.0)</f>
        <v>215000</v>
      </c>
      <c r="M547" s="211"/>
      <c r="N547" s="211"/>
      <c r="O547" s="211"/>
      <c r="Q547" s="210" t="str">
        <f>IFERROR(__xludf.DUMMYFUNCTION("""COMPUTED_VALUE"""),"9b3bf112")</f>
        <v>9b3bf112</v>
      </c>
      <c r="R547" s="210" t="str">
        <f>IFERROR(__xludf.DUMMYFUNCTION("""COMPUTED_VALUE"""),"9b3bf112")</f>
        <v>9b3bf112</v>
      </c>
      <c r="S547" s="211" t="str">
        <f>IFERROR(__xludf.DUMMYFUNCTION("""COMPUTED_VALUE"""),"01158be1")</f>
        <v>01158be1</v>
      </c>
      <c r="T547" s="211" t="str">
        <f>IFERROR(__xludf.DUMMYFUNCTION("""COMPUTED_VALUE"""),"GYF")</f>
        <v>GYF</v>
      </c>
      <c r="U547" s="215">
        <f>IFERROR(__xludf.DUMMYFUNCTION("""COMPUTED_VALUE"""),45721.67708333333)</f>
        <v>45721.67708</v>
      </c>
      <c r="V547" s="211" t="str">
        <f>IFERROR(__xludf.DUMMYFUNCTION("""COMPUTED_VALUE"""),"Kangkungan, Lengkong, Kec. Mojoanyar, Kabupaten Mojokerto, Jawa Timur")</f>
        <v>Kangkungan, Lengkong, Kec. Mojoanyar, Kabupaten Mojokerto, Jawa Timur</v>
      </c>
      <c r="W547" s="211" t="str">
        <f>IFERROR(__xludf.DUMMYFUNCTION("""COMPUTED_VALUE"""),"IN")</f>
        <v>IN</v>
      </c>
      <c r="X547" s="211"/>
      <c r="Z547" s="211" t="str">
        <f>IFERROR(__xludf.DUMMYFUNCTION("""COMPUTED_VALUE"""),"122551913")</f>
        <v>122551913</v>
      </c>
      <c r="AC547" s="211"/>
      <c r="AD547" s="211"/>
      <c r="AE547" s="211"/>
      <c r="AF547" s="211"/>
      <c r="AG547" s="211"/>
      <c r="AH547" s="211"/>
      <c r="AI547" s="211"/>
      <c r="AJ547" s="211"/>
      <c r="AL547" s="211"/>
      <c r="AM547" s="211"/>
      <c r="AN547" s="211"/>
      <c r="AO547" s="211"/>
      <c r="AP547" s="215"/>
      <c r="AQ547" s="218"/>
      <c r="AR547" s="211"/>
      <c r="AS547" s="211"/>
      <c r="AT547" s="211"/>
      <c r="AU547" s="211"/>
      <c r="AV547" s="211"/>
      <c r="AW547" s="211"/>
      <c r="AX547" s="211"/>
      <c r="AY547" s="211"/>
      <c r="AZ547" s="211"/>
      <c r="BB547" s="211"/>
      <c r="BC547" s="211"/>
      <c r="BD547" s="211"/>
      <c r="BE547" s="211"/>
      <c r="BF547" s="211"/>
      <c r="BG547" s="211"/>
      <c r="BH547" s="211"/>
      <c r="BI547" s="211"/>
    </row>
    <row r="548">
      <c r="A548" s="210" t="str">
        <f>IFERROR(__xludf.DUMMYFUNCTION("""COMPUTED_VALUE"""),"01250232")</f>
        <v>01250232</v>
      </c>
      <c r="B548" s="210" t="str">
        <f>IFERROR(__xludf.DUMMYFUNCTION("""COMPUTED_VALUE"""),"01250232")</f>
        <v>01250232</v>
      </c>
      <c r="C548" s="213">
        <f>IFERROR(__xludf.DUMMYFUNCTION("""COMPUTED_VALUE"""),45682.44305555556)</f>
        <v>45682.44306</v>
      </c>
      <c r="D548" s="211" t="str">
        <f>IFERROR(__xludf.DUMMYFUNCTION("""COMPUTED_VALUE"""),"ce83e171")</f>
        <v>ce83e171</v>
      </c>
      <c r="E548" s="211" t="str">
        <f>IFERROR(__xludf.DUMMYFUNCTION("""COMPUTED_VALUE"""),"Bpk. Sulaiman")</f>
        <v>Bpk. Sulaiman</v>
      </c>
      <c r="F548" s="211" t="str">
        <f>IFERROR(__xludf.DUMMYFUNCTION("""COMPUTED_VALUE"""),"8bdbe149")</f>
        <v>8bdbe149</v>
      </c>
      <c r="G548" s="211" t="str">
        <f>IFERROR(__xludf.DUMMYFUNCTION("""COMPUTED_VALUE"""),"Oksigen 6m3")</f>
        <v>Oksigen 6m3</v>
      </c>
      <c r="H548" s="214" t="str">
        <f>IFERROR(__xludf.DUMMYFUNCTION("""COMPUTED_VALUE"""),"OUT")</f>
        <v>OUT</v>
      </c>
      <c r="I548" s="214" t="str">
        <f>IFERROR(__xludf.DUMMYFUNCTION("""COMPUTED_VALUE"""),"NORMAL")</f>
        <v>NORMAL</v>
      </c>
      <c r="J548" s="211">
        <f>IFERROR(__xludf.DUMMYFUNCTION("""COMPUTED_VALUE"""),5.0)</f>
        <v>5</v>
      </c>
      <c r="K548" s="210" t="str">
        <f>IFERROR(__xludf.DUMMYFUNCTION("""COMPUTED_VALUE"""),"11210 1107 1115 11175 1156")</f>
        <v>11210 1107 1115 11175 1156</v>
      </c>
      <c r="L548" s="211">
        <f>IFERROR(__xludf.DUMMYFUNCTION("""COMPUTED_VALUE"""),55000.0)</f>
        <v>55000</v>
      </c>
      <c r="M548" s="211"/>
      <c r="N548" s="211"/>
      <c r="O548" s="211"/>
      <c r="Q548" s="210" t="str">
        <f>IFERROR(__xludf.DUMMYFUNCTION("""COMPUTED_VALUE"""),"03250297")</f>
        <v>03250297</v>
      </c>
      <c r="R548" s="210" t="str">
        <f>IFERROR(__xludf.DUMMYFUNCTION("""COMPUTED_VALUE"""),"03250297")</f>
        <v>03250297</v>
      </c>
      <c r="S548" s="211" t="str">
        <f>IFERROR(__xludf.DUMMYFUNCTION("""COMPUTED_VALUE"""),"103f3ae7")</f>
        <v>103f3ae7</v>
      </c>
      <c r="T548" s="211" t="str">
        <f>IFERROR(__xludf.DUMMYFUNCTION("""COMPUTED_VALUE"""),"PT ARYANA CAKASANA")</f>
        <v>PT ARYANA CAKASANA</v>
      </c>
      <c r="U548" s="215">
        <f>IFERROR(__xludf.DUMMYFUNCTION("""COMPUTED_VALUE"""),45722.35555555555)</f>
        <v>45722.35556</v>
      </c>
      <c r="V548" s="211" t="str">
        <f>IFERROR(__xludf.DUMMYFUNCTION("""COMPUTED_VALUE"""),"Jl Raya Tarik No. 45, Wonokupang, Bakalan, Balongbendo")</f>
        <v>Jl Raya Tarik No. 45, Wonokupang, Bakalan, Balongbendo</v>
      </c>
      <c r="W548" s="211" t="str">
        <f>IFERROR(__xludf.DUMMYFUNCTION("""COMPUTED_VALUE"""),"OUT")</f>
        <v>OUT</v>
      </c>
      <c r="X548" s="211"/>
      <c r="Z548" s="211" t="str">
        <f>IFERROR(__xludf.DUMMYFUNCTION("""COMPUTED_VALUE"""),"1225501911")</f>
        <v>1225501911</v>
      </c>
      <c r="AC548" s="211"/>
      <c r="AD548" s="211"/>
      <c r="AE548" s="211"/>
      <c r="AF548" s="211"/>
      <c r="AG548" s="211"/>
      <c r="AH548" s="211"/>
      <c r="AI548" s="211"/>
      <c r="AJ548" s="211"/>
      <c r="AL548" s="211"/>
      <c r="AM548" s="211"/>
      <c r="AN548" s="211"/>
      <c r="AO548" s="211"/>
      <c r="AP548" s="215"/>
      <c r="AQ548" s="218"/>
      <c r="AR548" s="211"/>
      <c r="AS548" s="211"/>
      <c r="AT548" s="211"/>
      <c r="AU548" s="211"/>
      <c r="AV548" s="211"/>
      <c r="AW548" s="211"/>
      <c r="AX548" s="211"/>
      <c r="AY548" s="211"/>
      <c r="AZ548" s="211"/>
      <c r="BB548" s="211"/>
      <c r="BC548" s="211"/>
      <c r="BD548" s="211"/>
      <c r="BE548" s="211"/>
      <c r="BF548" s="211"/>
      <c r="BG548" s="211"/>
      <c r="BH548" s="211"/>
      <c r="BI548" s="211"/>
    </row>
    <row r="549">
      <c r="A549" s="210" t="str">
        <f>IFERROR(__xludf.DUMMYFUNCTION("""COMPUTED_VALUE"""),"88e6eb63")</f>
        <v>88e6eb63</v>
      </c>
      <c r="B549" s="210" t="str">
        <f>IFERROR(__xludf.DUMMYFUNCTION("""COMPUTED_VALUE"""),"88e6eb63")</f>
        <v>88e6eb63</v>
      </c>
      <c r="C549" s="213">
        <f>IFERROR(__xludf.DUMMYFUNCTION("""COMPUTED_VALUE"""),45682.69513888889)</f>
        <v>45682.69514</v>
      </c>
      <c r="D549" s="211" t="str">
        <f>IFERROR(__xludf.DUMMYFUNCTION("""COMPUTED_VALUE"""),"3fec37df")</f>
        <v>3fec37df</v>
      </c>
      <c r="E549" s="211" t="str">
        <f>IFERROR(__xludf.DUMMYFUNCTION("""COMPUTED_VALUE"""),"PT Jatim Abadi Perkasa Steel")</f>
        <v>PT Jatim Abadi Perkasa Steel</v>
      </c>
      <c r="F549" s="211" t="str">
        <f>IFERROR(__xludf.DUMMYFUNCTION("""COMPUTED_VALUE"""),"b7a8fff1")</f>
        <v>b7a8fff1</v>
      </c>
      <c r="G549" s="211" t="str">
        <f>IFERROR(__xludf.DUMMYFUNCTION("""COMPUTED_VALUE"""),"LPG 50kg")</f>
        <v>LPG 50kg</v>
      </c>
      <c r="H549" s="214" t="str">
        <f>IFERROR(__xludf.DUMMYFUNCTION("""COMPUTED_VALUE"""),"IN")</f>
        <v>IN</v>
      </c>
      <c r="I549" s="214" t="str">
        <f>IFERROR(__xludf.DUMMYFUNCTION("""COMPUTED_VALUE"""),"EMPTY")</f>
        <v>EMPTY</v>
      </c>
      <c r="J549" s="211">
        <f>IFERROR(__xludf.DUMMYFUNCTION("""COMPUTED_VALUE"""),4.0)</f>
        <v>4</v>
      </c>
      <c r="K549" s="211"/>
      <c r="L549" s="211"/>
      <c r="M549" s="211"/>
      <c r="N549" s="211"/>
      <c r="O549" s="211"/>
      <c r="Q549" s="210" t="str">
        <f>IFERROR(__xludf.DUMMYFUNCTION("""COMPUTED_VALUE"""),"5cb56cea")</f>
        <v>5cb56cea</v>
      </c>
      <c r="R549" s="210" t="str">
        <f>IFERROR(__xludf.DUMMYFUNCTION("""COMPUTED_VALUE"""),"5cb56cea")</f>
        <v>5cb56cea</v>
      </c>
      <c r="S549" s="211" t="str">
        <f>IFERROR(__xludf.DUMMYFUNCTION("""COMPUTED_VALUE"""),"785e0e07")</f>
        <v>785e0e07</v>
      </c>
      <c r="T549" s="211" t="str">
        <f>IFERROR(__xludf.DUMMYFUNCTION("""COMPUTED_VALUE"""),"Bpk. Sukirno (Bejo)")</f>
        <v>Bpk. Sukirno (Bejo)</v>
      </c>
      <c r="U549" s="215">
        <f>IFERROR(__xludf.DUMMYFUNCTION("""COMPUTED_VALUE"""),45722.51111111111)</f>
        <v>45722.51111</v>
      </c>
      <c r="V549" s="211" t="str">
        <f>IFERROR(__xludf.DUMMYFUNCTION("""COMPUTED_VALUE"""),"Krajan I, Wringinanom, Kec. Wringinanom, Kabupaten Gresik, Jawa Timur 61176")</f>
        <v>Krajan I, Wringinanom, Kec. Wringinanom, Kabupaten Gresik, Jawa Timur 61176</v>
      </c>
      <c r="W549" s="211" t="str">
        <f>IFERROR(__xludf.DUMMYFUNCTION("""COMPUTED_VALUE"""),"IN")</f>
        <v>IN</v>
      </c>
      <c r="X549" s="211"/>
      <c r="Z549" s="211" t="str">
        <f>IFERROR(__xludf.DUMMYFUNCTION("""COMPUTED_VALUE"""),"122571903")</f>
        <v>122571903</v>
      </c>
      <c r="AC549" s="211"/>
      <c r="AD549" s="211"/>
      <c r="AE549" s="211"/>
      <c r="AF549" s="211"/>
      <c r="AG549" s="211"/>
      <c r="AH549" s="211"/>
      <c r="AI549" s="211"/>
      <c r="AJ549" s="211"/>
      <c r="AL549" s="211"/>
      <c r="AM549" s="211"/>
      <c r="AN549" s="211"/>
      <c r="AO549" s="211"/>
      <c r="AP549" s="215"/>
      <c r="AQ549" s="218"/>
      <c r="AR549" s="211"/>
      <c r="AS549" s="211"/>
      <c r="AT549" s="211"/>
      <c r="AU549" s="211"/>
      <c r="AV549" s="211"/>
      <c r="AW549" s="211"/>
      <c r="AX549" s="211"/>
      <c r="AY549" s="211"/>
      <c r="AZ549" s="211"/>
      <c r="BB549" s="211"/>
      <c r="BC549" s="211"/>
      <c r="BD549" s="211"/>
      <c r="BE549" s="211"/>
      <c r="BF549" s="211"/>
      <c r="BG549" s="211"/>
      <c r="BH549" s="211"/>
      <c r="BI549" s="211"/>
    </row>
    <row r="550">
      <c r="A550" s="210" t="str">
        <f>IFERROR(__xludf.DUMMYFUNCTION("""COMPUTED_VALUE"""),"01250233")</f>
        <v>01250233</v>
      </c>
      <c r="B550" s="210" t="str">
        <f>IFERROR(__xludf.DUMMYFUNCTION("""COMPUTED_VALUE"""),"01250233")</f>
        <v>01250233</v>
      </c>
      <c r="C550" s="213">
        <f>IFERROR(__xludf.DUMMYFUNCTION("""COMPUTED_VALUE"""),45685.34444444445)</f>
        <v>45685.34444</v>
      </c>
      <c r="D550" s="211" t="str">
        <f>IFERROR(__xludf.DUMMYFUNCTION("""COMPUTED_VALUE"""),"3fec37df")</f>
        <v>3fec37df</v>
      </c>
      <c r="E550" s="211" t="str">
        <f>IFERROR(__xludf.DUMMYFUNCTION("""COMPUTED_VALUE"""),"PT Jatim Abadi Perkasa Steel")</f>
        <v>PT Jatim Abadi Perkasa Steel</v>
      </c>
      <c r="F550" s="211" t="str">
        <f>IFERROR(__xludf.DUMMYFUNCTION("""COMPUTED_VALUE"""),"b7a8fff1")</f>
        <v>b7a8fff1</v>
      </c>
      <c r="G550" s="211" t="str">
        <f>IFERROR(__xludf.DUMMYFUNCTION("""COMPUTED_VALUE"""),"LPG 50kg")</f>
        <v>LPG 50kg</v>
      </c>
      <c r="H550" s="214" t="str">
        <f>IFERROR(__xludf.DUMMYFUNCTION("""COMPUTED_VALUE"""),"OUT")</f>
        <v>OUT</v>
      </c>
      <c r="I550" s="214" t="str">
        <f>IFERROR(__xludf.DUMMYFUNCTION("""COMPUTED_VALUE"""),"NORMAL")</f>
        <v>NORMAL</v>
      </c>
      <c r="J550" s="211">
        <f>IFERROR(__xludf.DUMMYFUNCTION("""COMPUTED_VALUE"""),2.0)</f>
        <v>2</v>
      </c>
      <c r="K550" s="211"/>
      <c r="L550" s="211">
        <f>IFERROR(__xludf.DUMMYFUNCTION("""COMPUTED_VALUE"""),900900.9009)</f>
        <v>900900.9009</v>
      </c>
      <c r="M550" s="211"/>
      <c r="N550" s="211"/>
      <c r="O550" s="211"/>
      <c r="Q550" s="210" t="str">
        <f>IFERROR(__xludf.DUMMYFUNCTION("""COMPUTED_VALUE"""),"03250298")</f>
        <v>03250298</v>
      </c>
      <c r="R550" s="210" t="str">
        <f>IFERROR(__xludf.DUMMYFUNCTION("""COMPUTED_VALUE"""),"03250298")</f>
        <v>03250298</v>
      </c>
      <c r="S550" s="211" t="str">
        <f>IFERROR(__xludf.DUMMYFUNCTION("""COMPUTED_VALUE"""),"3fec37df")</f>
        <v>3fec37df</v>
      </c>
      <c r="T550" s="211" t="str">
        <f>IFERROR(__xludf.DUMMYFUNCTION("""COMPUTED_VALUE"""),"PT Jatim Abadi Perkasa Steel")</f>
        <v>PT Jatim Abadi Perkasa Steel</v>
      </c>
      <c r="U550" s="215">
        <f>IFERROR(__xludf.DUMMYFUNCTION("""COMPUTED_VALUE"""),45722.518055555556)</f>
        <v>45722.51806</v>
      </c>
      <c r="V550" s="211" t="str">
        <f>IFERROR(__xludf.DUMMYFUNCTION("""COMPUTED_VALUE"""),"Dsn. Bulak Sempuh, Jatirejo, Kab. Mojokerto, Jawa Timur")</f>
        <v>Dsn. Bulak Sempuh, Jatirejo, Kab. Mojokerto, Jawa Timur</v>
      </c>
      <c r="W550" s="211" t="str">
        <f>IFERROR(__xludf.DUMMYFUNCTION("""COMPUTED_VALUE"""),"OUT")</f>
        <v>OUT</v>
      </c>
      <c r="X550" s="211"/>
      <c r="Z550" s="211" t="str">
        <f>IFERROR(__xludf.DUMMYFUNCTION("""COMPUTED_VALUE"""),"122531900")</f>
        <v>122531900</v>
      </c>
      <c r="AC550" s="211"/>
      <c r="AD550" s="211"/>
      <c r="AE550" s="211"/>
      <c r="AF550" s="211"/>
      <c r="AG550" s="211"/>
      <c r="AH550" s="211"/>
      <c r="AI550" s="211"/>
      <c r="AJ550" s="211"/>
      <c r="AL550" s="211"/>
      <c r="AM550" s="211"/>
      <c r="AN550" s="211"/>
      <c r="AO550" s="211"/>
      <c r="AP550" s="215"/>
      <c r="AQ550" s="218"/>
      <c r="AR550" s="211"/>
      <c r="AS550" s="211"/>
      <c r="AT550" s="211"/>
      <c r="AU550" s="211"/>
      <c r="AV550" s="211"/>
      <c r="AW550" s="211"/>
      <c r="AX550" s="211"/>
      <c r="AY550" s="211"/>
      <c r="AZ550" s="211"/>
      <c r="BB550" s="211"/>
      <c r="BC550" s="211"/>
      <c r="BD550" s="211"/>
      <c r="BE550" s="211"/>
      <c r="BF550" s="211"/>
      <c r="BG550" s="211"/>
      <c r="BH550" s="211"/>
      <c r="BI550" s="211"/>
    </row>
    <row r="551">
      <c r="A551" s="210" t="str">
        <f>IFERROR(__xludf.DUMMYFUNCTION("""COMPUTED_VALUE"""),"01250234")</f>
        <v>01250234</v>
      </c>
      <c r="B551" s="210" t="str">
        <f>IFERROR(__xludf.DUMMYFUNCTION("""COMPUTED_VALUE"""),"01250234")</f>
        <v>01250234</v>
      </c>
      <c r="C551" s="213">
        <f>IFERROR(__xludf.DUMMYFUNCTION("""COMPUTED_VALUE"""),45685.60972222222)</f>
        <v>45685.60972</v>
      </c>
      <c r="D551" s="211" t="str">
        <f>IFERROR(__xludf.DUMMYFUNCTION("""COMPUTED_VALUE"""),"01158be1")</f>
        <v>01158be1</v>
      </c>
      <c r="E551" s="211" t="str">
        <f>IFERROR(__xludf.DUMMYFUNCTION("""COMPUTED_VALUE"""),"GYF")</f>
        <v>GYF</v>
      </c>
      <c r="F551" s="211" t="str">
        <f>IFERROR(__xludf.DUMMYFUNCTION("""COMPUTED_VALUE"""),"8bdbe149")</f>
        <v>8bdbe149</v>
      </c>
      <c r="G551" s="211" t="str">
        <f>IFERROR(__xludf.DUMMYFUNCTION("""COMPUTED_VALUE"""),"Oksigen 6m3")</f>
        <v>Oksigen 6m3</v>
      </c>
      <c r="H551" s="214" t="str">
        <f>IFERROR(__xludf.DUMMYFUNCTION("""COMPUTED_VALUE"""),"OUT")</f>
        <v>OUT</v>
      </c>
      <c r="I551" s="214" t="str">
        <f>IFERROR(__xludf.DUMMYFUNCTION("""COMPUTED_VALUE"""),"NORMAL")</f>
        <v>NORMAL</v>
      </c>
      <c r="J551" s="211">
        <f>IFERROR(__xludf.DUMMYFUNCTION("""COMPUTED_VALUE"""),10.0)</f>
        <v>10</v>
      </c>
      <c r="K551" s="210" t="str">
        <f>IFERROR(__xludf.DUMMYFUNCTION("""COMPUTED_VALUE"""),"11112 11130 11212 11204 11130 11180 1106 1129 1112 1113")</f>
        <v>11112 11130 11212 11204 11130 11180 1106 1129 1112 1113</v>
      </c>
      <c r="L551" s="211">
        <f>IFERROR(__xludf.DUMMYFUNCTION("""COMPUTED_VALUE"""),45000.0)</f>
        <v>45000</v>
      </c>
      <c r="M551" s="211"/>
      <c r="N551" s="211"/>
      <c r="O551" s="211"/>
      <c r="Q551" s="210" t="str">
        <f>IFERROR(__xludf.DUMMYFUNCTION("""COMPUTED_VALUE"""),"03250299")</f>
        <v>03250299</v>
      </c>
      <c r="R551" s="210" t="str">
        <f>IFERROR(__xludf.DUMMYFUNCTION("""COMPUTED_VALUE"""),"03250299")</f>
        <v>03250299</v>
      </c>
      <c r="S551" s="211" t="str">
        <f>IFERROR(__xludf.DUMMYFUNCTION("""COMPUTED_VALUE"""),"df6bdc5d")</f>
        <v>df6bdc5d</v>
      </c>
      <c r="T551" s="211" t="str">
        <f>IFERROR(__xludf.DUMMYFUNCTION("""COMPUTED_VALUE"""),"Bpk. Maruf")</f>
        <v>Bpk. Maruf</v>
      </c>
      <c r="U551" s="215">
        <f>IFERROR(__xludf.DUMMYFUNCTION("""COMPUTED_VALUE"""),45722.55694444444)</f>
        <v>45722.55694</v>
      </c>
      <c r="V551" s="211" t="str">
        <f>IFERROR(__xludf.DUMMYFUNCTION("""COMPUTED_VALUE"""),"CC6P+83G, Padangasri, Kec. Jatirejo, Kabupaten Mojokerto, Jawa Timur 61373")</f>
        <v>CC6P+83G, Padangasri, Kec. Jatirejo, Kabupaten Mojokerto, Jawa Timur 61373</v>
      </c>
      <c r="W551" s="211" t="str">
        <f>IFERROR(__xludf.DUMMYFUNCTION("""COMPUTED_VALUE"""),"OUT")</f>
        <v>OUT</v>
      </c>
      <c r="X551" s="211"/>
      <c r="Z551" s="211" t="str">
        <f>IFERROR(__xludf.DUMMYFUNCTION("""COMPUTED_VALUE"""),"1225381898")</f>
        <v>1225381898</v>
      </c>
      <c r="AC551" s="211"/>
      <c r="AD551" s="211"/>
      <c r="AE551" s="211"/>
      <c r="AF551" s="211"/>
      <c r="AG551" s="211"/>
      <c r="AH551" s="211"/>
      <c r="AI551" s="211"/>
      <c r="AJ551" s="211"/>
      <c r="AL551" s="211"/>
      <c r="AM551" s="211"/>
      <c r="AN551" s="211"/>
      <c r="AO551" s="211"/>
      <c r="AP551" s="215"/>
      <c r="AQ551" s="218"/>
      <c r="AR551" s="211"/>
      <c r="AS551" s="211"/>
      <c r="AT551" s="211"/>
      <c r="AU551" s="211"/>
      <c r="AV551" s="211"/>
      <c r="AW551" s="211"/>
      <c r="AX551" s="211"/>
      <c r="AY551" s="211"/>
      <c r="AZ551" s="211"/>
      <c r="BB551" s="211"/>
      <c r="BC551" s="211"/>
      <c r="BD551" s="211"/>
      <c r="BE551" s="211"/>
      <c r="BF551" s="211"/>
      <c r="BG551" s="211"/>
      <c r="BH551" s="211"/>
      <c r="BI551" s="211"/>
    </row>
    <row r="552">
      <c r="A552" s="210" t="str">
        <f>IFERROR(__xludf.DUMMYFUNCTION("""COMPUTED_VALUE"""),"01250235")</f>
        <v>01250235</v>
      </c>
      <c r="B552" s="210" t="str">
        <f>IFERROR(__xludf.DUMMYFUNCTION("""COMPUTED_VALUE"""),"01250235")</f>
        <v>01250235</v>
      </c>
      <c r="C552" s="213">
        <f>IFERROR(__xludf.DUMMYFUNCTION("""COMPUTED_VALUE"""),45685.62708333333)</f>
        <v>45685.62708</v>
      </c>
      <c r="D552" s="211" t="str">
        <f>IFERROR(__xludf.DUMMYFUNCTION("""COMPUTED_VALUE"""),"785e0e07")</f>
        <v>785e0e07</v>
      </c>
      <c r="E552" s="211" t="str">
        <f>IFERROR(__xludf.DUMMYFUNCTION("""COMPUTED_VALUE"""),"Bpk. Sukirno (Bejo)")</f>
        <v>Bpk. Sukirno (Bejo)</v>
      </c>
      <c r="F552" s="211" t="str">
        <f>IFERROR(__xludf.DUMMYFUNCTION("""COMPUTED_VALUE"""),"8bdbe149")</f>
        <v>8bdbe149</v>
      </c>
      <c r="G552" s="211" t="str">
        <f>IFERROR(__xludf.DUMMYFUNCTION("""COMPUTED_VALUE"""),"Oksigen 6m3")</f>
        <v>Oksigen 6m3</v>
      </c>
      <c r="H552" s="214" t="str">
        <f>IFERROR(__xludf.DUMMYFUNCTION("""COMPUTED_VALUE"""),"OUT")</f>
        <v>OUT</v>
      </c>
      <c r="I552" s="214" t="str">
        <f>IFERROR(__xludf.DUMMYFUNCTION("""COMPUTED_VALUE"""),"NORMAL")</f>
        <v>NORMAL</v>
      </c>
      <c r="J552" s="211">
        <f>IFERROR(__xludf.DUMMYFUNCTION("""COMPUTED_VALUE"""),15.0)</f>
        <v>15</v>
      </c>
      <c r="K552" s="210" t="str">
        <f>IFERROR(__xludf.DUMMYFUNCTION("""COMPUTED_VALUE"""),"1146 1182 11200 11161 11144 11174 11155 11142 11138 11171 11172 1193 11193 11173 01")</f>
        <v>1146 1182 11200 11161 11144 11174 11155 11142 11138 11171 11172 1193 11193 11173 01</v>
      </c>
      <c r="L552" s="211">
        <f>IFERROR(__xludf.DUMMYFUNCTION("""COMPUTED_VALUE"""),60000.0)</f>
        <v>60000</v>
      </c>
      <c r="M552" s="211"/>
      <c r="N552" s="211"/>
      <c r="O552" s="211"/>
      <c r="Q552" s="210" t="str">
        <f>IFERROR(__xludf.DUMMYFUNCTION("""COMPUTED_VALUE"""),"03250302")</f>
        <v>03250302</v>
      </c>
      <c r="R552" s="210" t="str">
        <f>IFERROR(__xludf.DUMMYFUNCTION("""COMPUTED_VALUE"""),"03250302")</f>
        <v>03250302</v>
      </c>
      <c r="S552" s="211" t="str">
        <f>IFERROR(__xludf.DUMMYFUNCTION("""COMPUTED_VALUE"""),"df6bdc5d")</f>
        <v>df6bdc5d</v>
      </c>
      <c r="T552" s="211" t="str">
        <f>IFERROR(__xludf.DUMMYFUNCTION("""COMPUTED_VALUE"""),"Bpk. Maruf")</f>
        <v>Bpk. Maruf</v>
      </c>
      <c r="U552" s="215">
        <f>IFERROR(__xludf.DUMMYFUNCTION("""COMPUTED_VALUE"""),45723.35208333333)</f>
        <v>45723.35208</v>
      </c>
      <c r="V552" s="211" t="str">
        <f>IFERROR(__xludf.DUMMYFUNCTION("""COMPUTED_VALUE"""),"CC6P+83G, Padangasri, Kec. Jatirejo, Kabupaten Mojokerto, Jawa Timur 61373")</f>
        <v>CC6P+83G, Padangasri, Kec. Jatirejo, Kabupaten Mojokerto, Jawa Timur 61373</v>
      </c>
      <c r="W552" s="211" t="str">
        <f>IFERROR(__xludf.DUMMYFUNCTION("""COMPUTED_VALUE"""),"OUT")</f>
        <v>OUT</v>
      </c>
      <c r="X552" s="211"/>
      <c r="Z552" s="211" t="str">
        <f>IFERROR(__xludf.DUMMYFUNCTION("""COMPUTED_VALUE"""),"1225491897")</f>
        <v>1225491897</v>
      </c>
      <c r="AC552" s="211"/>
      <c r="AD552" s="211"/>
      <c r="AE552" s="211"/>
      <c r="AF552" s="211"/>
      <c r="AG552" s="211"/>
      <c r="AH552" s="211"/>
      <c r="AI552" s="211"/>
      <c r="AJ552" s="211"/>
      <c r="AL552" s="211"/>
      <c r="AM552" s="211"/>
      <c r="AN552" s="211"/>
      <c r="AO552" s="211"/>
      <c r="AP552" s="215"/>
      <c r="AQ552" s="218"/>
      <c r="AR552" s="211"/>
      <c r="AS552" s="211"/>
      <c r="AT552" s="211"/>
      <c r="AU552" s="211"/>
      <c r="AV552" s="211"/>
      <c r="AW552" s="211"/>
      <c r="AX552" s="211"/>
      <c r="AY552" s="211"/>
      <c r="AZ552" s="211"/>
      <c r="BB552" s="211"/>
      <c r="BC552" s="211"/>
      <c r="BD552" s="211"/>
      <c r="BE552" s="211"/>
      <c r="BF552" s="211"/>
      <c r="BG552" s="211"/>
      <c r="BH552" s="211"/>
      <c r="BI552" s="211"/>
    </row>
    <row r="553">
      <c r="A553" s="210" t="str">
        <f>IFERROR(__xludf.DUMMYFUNCTION("""COMPUTED_VALUE"""),"401250007")</f>
        <v>401250007</v>
      </c>
      <c r="B553" s="210" t="str">
        <f>IFERROR(__xludf.DUMMYFUNCTION("""COMPUTED_VALUE"""),"401250007")</f>
        <v>401250007</v>
      </c>
      <c r="C553" s="213">
        <f>IFERROR(__xludf.DUMMYFUNCTION("""COMPUTED_VALUE"""),45685.62777777778)</f>
        <v>45685.62778</v>
      </c>
      <c r="D553" s="211" t="str">
        <f>IFERROR(__xludf.DUMMYFUNCTION("""COMPUTED_VALUE"""),"785e0e07")</f>
        <v>785e0e07</v>
      </c>
      <c r="E553" s="211" t="str">
        <f>IFERROR(__xludf.DUMMYFUNCTION("""COMPUTED_VALUE"""),"Bpk. Sukirno (Bejo)")</f>
        <v>Bpk. Sukirno (Bejo)</v>
      </c>
      <c r="F553" s="211" t="str">
        <f>IFERROR(__xludf.DUMMYFUNCTION("""COMPUTED_VALUE"""),"b7a8fff1")</f>
        <v>b7a8fff1</v>
      </c>
      <c r="G553" s="211" t="str">
        <f>IFERROR(__xludf.DUMMYFUNCTION("""COMPUTED_VALUE"""),"LPG 50kg")</f>
        <v>LPG 50kg</v>
      </c>
      <c r="H553" s="214" t="str">
        <f>IFERROR(__xludf.DUMMYFUNCTION("""COMPUTED_VALUE"""),"OTHER")</f>
        <v>OTHER</v>
      </c>
      <c r="I553" s="214" t="str">
        <f>IFERROR(__xludf.DUMMYFUNCTION("""COMPUTED_VALUE"""),"RETUR CLAIM")</f>
        <v>RETUR CLAIM</v>
      </c>
      <c r="J553" s="211">
        <f>IFERROR(__xludf.DUMMYFUNCTION("""COMPUTED_VALUE"""),1.0)</f>
        <v>1</v>
      </c>
      <c r="K553" s="211"/>
      <c r="L553" s="211"/>
      <c r="M553" s="211"/>
      <c r="N553" s="211"/>
      <c r="O553" s="211"/>
      <c r="Q553" s="210" t="str">
        <f>IFERROR(__xludf.DUMMYFUNCTION("""COMPUTED_VALUE"""),"03250303")</f>
        <v>03250303</v>
      </c>
      <c r="R553" s="210" t="str">
        <f>IFERROR(__xludf.DUMMYFUNCTION("""COMPUTED_VALUE"""),"03250303")</f>
        <v>03250303</v>
      </c>
      <c r="S553" s="211" t="str">
        <f>IFERROR(__xludf.DUMMYFUNCTION("""COMPUTED_VALUE"""),"e76bc39c")</f>
        <v>e76bc39c</v>
      </c>
      <c r="T553" s="211" t="str">
        <f>IFERROR(__xludf.DUMMYFUNCTION("""COMPUTED_VALUE"""),"Bpk. Irul")</f>
        <v>Bpk. Irul</v>
      </c>
      <c r="U553" s="215">
        <f>IFERROR(__xludf.DUMMYFUNCTION("""COMPUTED_VALUE"""),45723.37152777778)</f>
        <v>45723.37153</v>
      </c>
      <c r="V553" s="211" t="str">
        <f>IFERROR(__xludf.DUMMYFUNCTION("""COMPUTED_VALUE"""),"Jl. Mayjen Bambang Yuwono, Ciro Kulon, Bakungtemenggungan, Kec. BalongBendo, Kabupaten Sidoarjo, Jawa Timur 61263")</f>
        <v>Jl. Mayjen Bambang Yuwono, Ciro Kulon, Bakungtemenggungan, Kec. BalongBendo, Kabupaten Sidoarjo, Jawa Timur 61263</v>
      </c>
      <c r="W553" s="211" t="str">
        <f>IFERROR(__xludf.DUMMYFUNCTION("""COMPUTED_VALUE"""),"OUT")</f>
        <v>OUT</v>
      </c>
      <c r="X553" s="211"/>
      <c r="Z553" s="211" t="str">
        <f>IFERROR(__xludf.DUMMYFUNCTION("""COMPUTED_VALUE"""),"122551896")</f>
        <v>122551896</v>
      </c>
      <c r="AC553" s="211"/>
      <c r="AD553" s="211"/>
      <c r="AE553" s="211"/>
      <c r="AF553" s="211"/>
      <c r="AG553" s="211"/>
      <c r="AH553" s="211"/>
      <c r="AI553" s="211"/>
      <c r="AJ553" s="211"/>
      <c r="AL553" s="211"/>
      <c r="AM553" s="211"/>
      <c r="AN553" s="211"/>
      <c r="AO553" s="211"/>
      <c r="AP553" s="215"/>
      <c r="AQ553" s="218"/>
      <c r="AR553" s="211"/>
      <c r="AS553" s="211"/>
      <c r="AT553" s="211"/>
      <c r="AU553" s="211"/>
      <c r="AV553" s="211"/>
      <c r="AW553" s="211"/>
      <c r="AX553" s="211"/>
      <c r="AY553" s="211"/>
      <c r="AZ553" s="211"/>
      <c r="BB553" s="211"/>
      <c r="BC553" s="211"/>
      <c r="BD553" s="211"/>
      <c r="BE553" s="211"/>
      <c r="BF553" s="211"/>
      <c r="BG553" s="211"/>
      <c r="BH553" s="211"/>
      <c r="BI553" s="211"/>
    </row>
    <row r="554">
      <c r="A554" s="210" t="str">
        <f>IFERROR(__xludf.DUMMYFUNCTION("""COMPUTED_VALUE"""),"01250236")</f>
        <v>01250236</v>
      </c>
      <c r="B554" s="210" t="str">
        <f>IFERROR(__xludf.DUMMYFUNCTION("""COMPUTED_VALUE"""),"01250236")</f>
        <v>01250236</v>
      </c>
      <c r="C554" s="213">
        <f>IFERROR(__xludf.DUMMYFUNCTION("""COMPUTED_VALUE"""),45687.342361111114)</f>
        <v>45687.34236</v>
      </c>
      <c r="D554" s="211" t="str">
        <f>IFERROR(__xludf.DUMMYFUNCTION("""COMPUTED_VALUE"""),"a9fe1bea")</f>
        <v>a9fe1bea</v>
      </c>
      <c r="E554" s="211" t="str">
        <f>IFERROR(__xludf.DUMMYFUNCTION("""COMPUTED_VALUE"""),"H. Suheiri")</f>
        <v>H. Suheiri</v>
      </c>
      <c r="F554" s="211" t="str">
        <f>IFERROR(__xludf.DUMMYFUNCTION("""COMPUTED_VALUE"""),"8bdbe149")</f>
        <v>8bdbe149</v>
      </c>
      <c r="G554" s="211" t="str">
        <f>IFERROR(__xludf.DUMMYFUNCTION("""COMPUTED_VALUE"""),"Oksigen 6m3")</f>
        <v>Oksigen 6m3</v>
      </c>
      <c r="H554" s="214" t="str">
        <f>IFERROR(__xludf.DUMMYFUNCTION("""COMPUTED_VALUE"""),"OUT")</f>
        <v>OUT</v>
      </c>
      <c r="I554" s="214" t="str">
        <f>IFERROR(__xludf.DUMMYFUNCTION("""COMPUTED_VALUE"""),"NORMAL")</f>
        <v>NORMAL</v>
      </c>
      <c r="J554" s="211">
        <f>IFERROR(__xludf.DUMMYFUNCTION("""COMPUTED_VALUE"""),10.0)</f>
        <v>10</v>
      </c>
      <c r="K554" s="210" t="str">
        <f>IFERROR(__xludf.DUMMYFUNCTION("""COMPUTED_VALUE"""),"1141 5784 5418 5321 1356 1740 5930 1066 5832 5645")</f>
        <v>1141 5784 5418 5321 1356 1740 5930 1066 5832 5645</v>
      </c>
      <c r="L554" s="211">
        <f>IFERROR(__xludf.DUMMYFUNCTION("""COMPUTED_VALUE"""),50000.0)</f>
        <v>50000</v>
      </c>
      <c r="M554" s="211"/>
      <c r="N554" s="211"/>
      <c r="O554" s="211"/>
      <c r="Q554" s="210" t="str">
        <f>IFERROR(__xludf.DUMMYFUNCTION("""COMPUTED_VALUE"""),"c2fd0134")</f>
        <v>c2fd0134</v>
      </c>
      <c r="R554" s="210" t="str">
        <f>IFERROR(__xludf.DUMMYFUNCTION("""COMPUTED_VALUE"""),"c2fd0134")</f>
        <v>c2fd0134</v>
      </c>
      <c r="S554" s="211" t="str">
        <f>IFERROR(__xludf.DUMMYFUNCTION("""COMPUTED_VALUE"""),"df6bdc5d")</f>
        <v>df6bdc5d</v>
      </c>
      <c r="T554" s="211" t="str">
        <f>IFERROR(__xludf.DUMMYFUNCTION("""COMPUTED_VALUE"""),"Bpk. Maruf")</f>
        <v>Bpk. Maruf</v>
      </c>
      <c r="U554" s="215">
        <f>IFERROR(__xludf.DUMMYFUNCTION("""COMPUTED_VALUE"""),45723.445138888885)</f>
        <v>45723.44514</v>
      </c>
      <c r="V554" s="211" t="str">
        <f>IFERROR(__xludf.DUMMYFUNCTION("""COMPUTED_VALUE"""),"CC6P+83G, Padangasri, Kec. Jatirejo, Kabupaten Mojokerto, Jawa Timur 61373")</f>
        <v>CC6P+83G, Padangasri, Kec. Jatirejo, Kabupaten Mojokerto, Jawa Timur 61373</v>
      </c>
      <c r="W554" s="211" t="str">
        <f>IFERROR(__xludf.DUMMYFUNCTION("""COMPUTED_VALUE"""),"IN")</f>
        <v>IN</v>
      </c>
      <c r="X554" s="211"/>
      <c r="Z554" s="211" t="str">
        <f>IFERROR(__xludf.DUMMYFUNCTION("""COMPUTED_VALUE"""),"122521892")</f>
        <v>122521892</v>
      </c>
      <c r="AC554" s="211"/>
      <c r="AD554" s="211"/>
      <c r="AE554" s="211"/>
      <c r="AF554" s="211"/>
      <c r="AG554" s="211"/>
      <c r="AH554" s="211"/>
      <c r="AI554" s="211"/>
      <c r="AJ554" s="211"/>
      <c r="AL554" s="211"/>
      <c r="AM554" s="211"/>
      <c r="AN554" s="211"/>
      <c r="AO554" s="211"/>
      <c r="AP554" s="215"/>
      <c r="AQ554" s="218"/>
      <c r="AR554" s="211"/>
      <c r="AS554" s="211"/>
      <c r="AT554" s="211"/>
      <c r="AU554" s="211"/>
      <c r="AV554" s="211"/>
      <c r="AW554" s="211"/>
      <c r="AX554" s="211"/>
      <c r="AY554" s="211"/>
      <c r="AZ554" s="211"/>
      <c r="BB554" s="211"/>
      <c r="BC554" s="211"/>
      <c r="BD554" s="211"/>
      <c r="BE554" s="211"/>
      <c r="BF554" s="211"/>
      <c r="BG554" s="211"/>
      <c r="BH554" s="211"/>
      <c r="BI554" s="211"/>
    </row>
    <row r="555">
      <c r="A555" s="210" t="str">
        <f>IFERROR(__xludf.DUMMYFUNCTION("""COMPUTED_VALUE"""),"c73c676c")</f>
        <v>c73c676c</v>
      </c>
      <c r="B555" s="210" t="str">
        <f>IFERROR(__xludf.DUMMYFUNCTION("""COMPUTED_VALUE"""),"c73c676c")</f>
        <v>c73c676c</v>
      </c>
      <c r="C555" s="213">
        <f>IFERROR(__xludf.DUMMYFUNCTION("""COMPUTED_VALUE"""),45685.46597222222)</f>
        <v>45685.46597</v>
      </c>
      <c r="D555" s="211" t="str">
        <f>IFERROR(__xludf.DUMMYFUNCTION("""COMPUTED_VALUE"""),"785e0e07")</f>
        <v>785e0e07</v>
      </c>
      <c r="E555" s="211" t="str">
        <f>IFERROR(__xludf.DUMMYFUNCTION("""COMPUTED_VALUE"""),"Bpk. Sukirno (Bejo)")</f>
        <v>Bpk. Sukirno (Bejo)</v>
      </c>
      <c r="F555" s="211" t="str">
        <f>IFERROR(__xludf.DUMMYFUNCTION("""COMPUTED_VALUE"""),"8bdbe149")</f>
        <v>8bdbe149</v>
      </c>
      <c r="G555" s="211" t="str">
        <f>IFERROR(__xludf.DUMMYFUNCTION("""COMPUTED_VALUE"""),"Oksigen 6m3")</f>
        <v>Oksigen 6m3</v>
      </c>
      <c r="H555" s="214" t="str">
        <f>IFERROR(__xludf.DUMMYFUNCTION("""COMPUTED_VALUE"""),"IN")</f>
        <v>IN</v>
      </c>
      <c r="I555" s="214" t="str">
        <f>IFERROR(__xludf.DUMMYFUNCTION("""COMPUTED_VALUE"""),"EMPTY")</f>
        <v>EMPTY</v>
      </c>
      <c r="J555" s="211">
        <f>IFERROR(__xludf.DUMMYFUNCTION("""COMPUTED_VALUE"""),2.0)</f>
        <v>2</v>
      </c>
      <c r="K555" s="210" t="str">
        <f>IFERROR(__xludf.DUMMYFUNCTION("""COMPUTED_VALUE"""),"11169 11158")</f>
        <v>11169 11158</v>
      </c>
      <c r="L555" s="211"/>
      <c r="M555" s="211"/>
      <c r="N555" s="211"/>
      <c r="O555" s="211"/>
      <c r="Q555" s="210" t="str">
        <f>IFERROR(__xludf.DUMMYFUNCTION("""COMPUTED_VALUE"""),"01aa3faf")</f>
        <v>01aa3faf</v>
      </c>
      <c r="R555" s="210" t="str">
        <f>IFERROR(__xludf.DUMMYFUNCTION("""COMPUTED_VALUE"""),"01aa3faf")</f>
        <v>01aa3faf</v>
      </c>
      <c r="S555" s="211" t="str">
        <f>IFERROR(__xludf.DUMMYFUNCTION("""COMPUTED_VALUE"""),"103f3ae7")</f>
        <v>103f3ae7</v>
      </c>
      <c r="T555" s="211" t="str">
        <f>IFERROR(__xludf.DUMMYFUNCTION("""COMPUTED_VALUE"""),"PT ARYANA CAKASANA")</f>
        <v>PT ARYANA CAKASANA</v>
      </c>
      <c r="U555" s="215">
        <f>IFERROR(__xludf.DUMMYFUNCTION("""COMPUTED_VALUE"""),45723.44583333333)</f>
        <v>45723.44583</v>
      </c>
      <c r="V555" s="211" t="str">
        <f>IFERROR(__xludf.DUMMYFUNCTION("""COMPUTED_VALUE"""),"Jl Raya Tarik No. 45, Wonokupang, Bakalan, Balongbendo")</f>
        <v>Jl Raya Tarik No. 45, Wonokupang, Bakalan, Balongbendo</v>
      </c>
      <c r="W555" s="211" t="str">
        <f>IFERROR(__xludf.DUMMYFUNCTION("""COMPUTED_VALUE"""),"IN")</f>
        <v>IN</v>
      </c>
      <c r="X555" s="211"/>
      <c r="Z555" s="211" t="str">
        <f>IFERROR(__xludf.DUMMYFUNCTION("""COMPUTED_VALUE"""),"1225481888")</f>
        <v>1225481888</v>
      </c>
      <c r="AC555" s="211"/>
      <c r="AD555" s="211"/>
      <c r="AE555" s="211"/>
      <c r="AF555" s="211"/>
      <c r="AG555" s="211"/>
      <c r="AH555" s="211"/>
      <c r="AI555" s="211"/>
      <c r="AJ555" s="211"/>
      <c r="AL555" s="211"/>
      <c r="AM555" s="211"/>
      <c r="AN555" s="211"/>
      <c r="AO555" s="211"/>
      <c r="AP555" s="215"/>
      <c r="AQ555" s="218"/>
      <c r="AR555" s="211"/>
      <c r="AS555" s="211"/>
      <c r="AT555" s="211"/>
      <c r="AU555" s="211"/>
      <c r="AV555" s="211"/>
      <c r="AW555" s="211"/>
      <c r="AX555" s="211"/>
      <c r="AY555" s="211"/>
      <c r="AZ555" s="211"/>
      <c r="BB555" s="211"/>
      <c r="BC555" s="211"/>
      <c r="BD555" s="211"/>
      <c r="BE555" s="211"/>
      <c r="BF555" s="211"/>
      <c r="BG555" s="211"/>
      <c r="BH555" s="211"/>
      <c r="BI555" s="211"/>
    </row>
    <row r="556">
      <c r="A556" s="210" t="str">
        <f>IFERROR(__xludf.DUMMYFUNCTION("""COMPUTED_VALUE"""),"41b83bf5")</f>
        <v>41b83bf5</v>
      </c>
      <c r="B556" s="210" t="str">
        <f>IFERROR(__xludf.DUMMYFUNCTION("""COMPUTED_VALUE"""),"41b83bf5")</f>
        <v>41b83bf5</v>
      </c>
      <c r="C556" s="213">
        <f>IFERROR(__xludf.DUMMYFUNCTION("""COMPUTED_VALUE"""),45682.46805555555)</f>
        <v>45682.46806</v>
      </c>
      <c r="D556" s="211" t="str">
        <f>IFERROR(__xludf.DUMMYFUNCTION("""COMPUTED_VALUE"""),"ce83e171")</f>
        <v>ce83e171</v>
      </c>
      <c r="E556" s="211" t="str">
        <f>IFERROR(__xludf.DUMMYFUNCTION("""COMPUTED_VALUE"""),"Bpk. Sulaiman")</f>
        <v>Bpk. Sulaiman</v>
      </c>
      <c r="F556" s="211" t="str">
        <f>IFERROR(__xludf.DUMMYFUNCTION("""COMPUTED_VALUE"""),"8bdbe149")</f>
        <v>8bdbe149</v>
      </c>
      <c r="G556" s="211" t="str">
        <f>IFERROR(__xludf.DUMMYFUNCTION("""COMPUTED_VALUE"""),"Oksigen 6m3")</f>
        <v>Oksigen 6m3</v>
      </c>
      <c r="H556" s="214" t="str">
        <f>IFERROR(__xludf.DUMMYFUNCTION("""COMPUTED_VALUE"""),"IN")</f>
        <v>IN</v>
      </c>
      <c r="I556" s="214" t="str">
        <f>IFERROR(__xludf.DUMMYFUNCTION("""COMPUTED_VALUE"""),"EMPTY")</f>
        <v>EMPTY</v>
      </c>
      <c r="J556" s="211">
        <f>IFERROR(__xludf.DUMMYFUNCTION("""COMPUTED_VALUE"""),4.0)</f>
        <v>4</v>
      </c>
      <c r="K556" s="210" t="str">
        <f>IFERROR(__xludf.DUMMYFUNCTION("""COMPUTED_VALUE"""),"11144 1146 1193 1182")</f>
        <v>11144 1146 1193 1182</v>
      </c>
      <c r="L556" s="211"/>
      <c r="M556" s="211"/>
      <c r="N556" s="211"/>
      <c r="O556" s="211"/>
      <c r="Q556" s="210" t="str">
        <f>IFERROR(__xludf.DUMMYFUNCTION("""COMPUTED_VALUE"""),"03250305")</f>
        <v>03250305</v>
      </c>
      <c r="R556" s="210" t="str">
        <f>IFERROR(__xludf.DUMMYFUNCTION("""COMPUTED_VALUE"""),"03250305")</f>
        <v>03250305</v>
      </c>
      <c r="S556" s="211" t="str">
        <f>IFERROR(__xludf.DUMMYFUNCTION("""COMPUTED_VALUE"""),"d78b2eaf")</f>
        <v>d78b2eaf</v>
      </c>
      <c r="T556" s="211" t="str">
        <f>IFERROR(__xludf.DUMMYFUNCTION("""COMPUTED_VALUE"""),"PT Sinar Indogreen Kencana")</f>
        <v>PT Sinar Indogreen Kencana</v>
      </c>
      <c r="U556" s="215">
        <f>IFERROR(__xludf.DUMMYFUNCTION("""COMPUTED_VALUE"""),45723.57777777778)</f>
        <v>45723.57778</v>
      </c>
      <c r="V556" s="211" t="str">
        <f>IFERROR(__xludf.DUMMYFUNCTION("""COMPUTED_VALUE"""),"Jl. Raya Ponokawan 8b RT/001 RW/002, Ponokawan, Krian, Sidoarjo")</f>
        <v>Jl. Raya Ponokawan 8b RT/001 RW/002, Ponokawan, Krian, Sidoarjo</v>
      </c>
      <c r="W556" s="211" t="str">
        <f>IFERROR(__xludf.DUMMYFUNCTION("""COMPUTED_VALUE"""),"OUT")</f>
        <v>OUT</v>
      </c>
      <c r="X556" s="211"/>
      <c r="Z556" s="211" t="str">
        <f>IFERROR(__xludf.DUMMYFUNCTION("""COMPUTED_VALUE"""),"122561888")</f>
        <v>122561888</v>
      </c>
      <c r="AC556" s="211"/>
      <c r="AD556" s="211"/>
      <c r="AE556" s="211"/>
      <c r="AF556" s="211"/>
      <c r="AG556" s="211"/>
      <c r="AH556" s="211"/>
      <c r="AI556" s="211"/>
      <c r="AJ556" s="211"/>
      <c r="AL556" s="211"/>
      <c r="AM556" s="211"/>
      <c r="AN556" s="211"/>
      <c r="AO556" s="211"/>
      <c r="AP556" s="215"/>
      <c r="AQ556" s="218"/>
      <c r="AR556" s="211"/>
      <c r="AS556" s="211"/>
      <c r="AT556" s="211"/>
      <c r="AU556" s="211"/>
      <c r="AV556" s="211"/>
      <c r="AW556" s="211"/>
      <c r="AX556" s="211"/>
      <c r="AY556" s="211"/>
      <c r="AZ556" s="211"/>
      <c r="BB556" s="211"/>
      <c r="BC556" s="211"/>
      <c r="BD556" s="211"/>
      <c r="BE556" s="211"/>
      <c r="BF556" s="211"/>
      <c r="BG556" s="211"/>
      <c r="BH556" s="211"/>
      <c r="BI556" s="211"/>
    </row>
    <row r="557">
      <c r="A557" s="210" t="str">
        <f>IFERROR(__xludf.DUMMYFUNCTION("""COMPUTED_VALUE"""),"9b78553f")</f>
        <v>9b78553f</v>
      </c>
      <c r="B557" s="210" t="str">
        <f>IFERROR(__xludf.DUMMYFUNCTION("""COMPUTED_VALUE"""),"9b78553f")</f>
        <v>9b78553f</v>
      </c>
      <c r="C557" s="213">
        <f>IFERROR(__xludf.DUMMYFUNCTION("""COMPUTED_VALUE"""),45685.47083333333)</f>
        <v>45685.47083</v>
      </c>
      <c r="D557" s="211" t="str">
        <f>IFERROR(__xludf.DUMMYFUNCTION("""COMPUTED_VALUE"""),"3fec37df")</f>
        <v>3fec37df</v>
      </c>
      <c r="E557" s="211" t="str">
        <f>IFERROR(__xludf.DUMMYFUNCTION("""COMPUTED_VALUE"""),"PT Jatim Abadi Perkasa Steel")</f>
        <v>PT Jatim Abadi Perkasa Steel</v>
      </c>
      <c r="F557" s="211" t="str">
        <f>IFERROR(__xludf.DUMMYFUNCTION("""COMPUTED_VALUE"""),"b7a8fff1")</f>
        <v>b7a8fff1</v>
      </c>
      <c r="G557" s="211" t="str">
        <f>IFERROR(__xludf.DUMMYFUNCTION("""COMPUTED_VALUE"""),"LPG 50kg")</f>
        <v>LPG 50kg</v>
      </c>
      <c r="H557" s="214" t="str">
        <f>IFERROR(__xludf.DUMMYFUNCTION("""COMPUTED_VALUE"""),"IN")</f>
        <v>IN</v>
      </c>
      <c r="I557" s="214" t="str">
        <f>IFERROR(__xludf.DUMMYFUNCTION("""COMPUTED_VALUE"""),"EMPTY")</f>
        <v>EMPTY</v>
      </c>
      <c r="J557" s="211">
        <f>IFERROR(__xludf.DUMMYFUNCTION("""COMPUTED_VALUE"""),2.0)</f>
        <v>2</v>
      </c>
      <c r="K557" s="211"/>
      <c r="L557" s="211"/>
      <c r="M557" s="211"/>
      <c r="N557" s="211"/>
      <c r="O557" s="211"/>
      <c r="Q557" s="210" t="str">
        <f>IFERROR(__xludf.DUMMYFUNCTION("""COMPUTED_VALUE"""),"77516aed")</f>
        <v>77516aed</v>
      </c>
      <c r="R557" s="210" t="str">
        <f>IFERROR(__xludf.DUMMYFUNCTION("""COMPUTED_VALUE"""),"77516aed")</f>
        <v>77516aed</v>
      </c>
      <c r="S557" s="211" t="str">
        <f>IFERROR(__xludf.DUMMYFUNCTION("""COMPUTED_VALUE"""),"d78b2eaf")</f>
        <v>d78b2eaf</v>
      </c>
      <c r="T557" s="211" t="str">
        <f>IFERROR(__xludf.DUMMYFUNCTION("""COMPUTED_VALUE"""),"PT Sinar Indogreen Kencana")</f>
        <v>PT Sinar Indogreen Kencana</v>
      </c>
      <c r="U557" s="215">
        <f>IFERROR(__xludf.DUMMYFUNCTION("""COMPUTED_VALUE"""),45723.63402777778)</f>
        <v>45723.63403</v>
      </c>
      <c r="V557" s="211" t="str">
        <f>IFERROR(__xludf.DUMMYFUNCTION("""COMPUTED_VALUE"""),"Jl. Raya Ponokawan 8b RT/001 RW/002, Ponokawan, Krian, Sidoarjo")</f>
        <v>Jl. Raya Ponokawan 8b RT/001 RW/002, Ponokawan, Krian, Sidoarjo</v>
      </c>
      <c r="W557" s="211" t="str">
        <f>IFERROR(__xludf.DUMMYFUNCTION("""COMPUTED_VALUE"""),"IN")</f>
        <v>IN</v>
      </c>
      <c r="X557" s="211"/>
      <c r="Z557" s="211" t="str">
        <f>IFERROR(__xludf.DUMMYFUNCTION("""COMPUTED_VALUE"""),"122551887")</f>
        <v>122551887</v>
      </c>
      <c r="AC557" s="211"/>
      <c r="AD557" s="211"/>
      <c r="AE557" s="211"/>
      <c r="AF557" s="211"/>
      <c r="AG557" s="211"/>
      <c r="AH557" s="211"/>
      <c r="AI557" s="211"/>
      <c r="AJ557" s="211"/>
      <c r="AL557" s="211"/>
      <c r="AM557" s="211"/>
      <c r="AN557" s="211"/>
      <c r="AO557" s="211"/>
      <c r="AP557" s="215"/>
      <c r="AQ557" s="218"/>
      <c r="AR557" s="211"/>
      <c r="AS557" s="211"/>
      <c r="AT557" s="211"/>
      <c r="AU557" s="211"/>
      <c r="AV557" s="211"/>
      <c r="AW557" s="211"/>
      <c r="AX557" s="211"/>
      <c r="AY557" s="211"/>
      <c r="AZ557" s="211"/>
      <c r="BB557" s="211"/>
      <c r="BC557" s="211"/>
      <c r="BD557" s="211"/>
      <c r="BE557" s="211"/>
      <c r="BF557" s="211"/>
      <c r="BG557" s="211"/>
      <c r="BH557" s="211"/>
      <c r="BI557" s="211"/>
    </row>
    <row r="558">
      <c r="A558" s="210" t="str">
        <f>IFERROR(__xludf.DUMMYFUNCTION("""COMPUTED_VALUE"""),"c73c676c")</f>
        <v>c73c676c</v>
      </c>
      <c r="B558" s="210" t="str">
        <f>IFERROR(__xludf.DUMMYFUNCTION("""COMPUTED_VALUE"""),"c73c676c")</f>
        <v>c73c676c</v>
      </c>
      <c r="C558" s="213">
        <f>IFERROR(__xludf.DUMMYFUNCTION("""COMPUTED_VALUE"""),45685.472916666666)</f>
        <v>45685.47292</v>
      </c>
      <c r="D558" s="211" t="str">
        <f>IFERROR(__xludf.DUMMYFUNCTION("""COMPUTED_VALUE"""),"785e0e07")</f>
        <v>785e0e07</v>
      </c>
      <c r="E558" s="211" t="str">
        <f>IFERROR(__xludf.DUMMYFUNCTION("""COMPUTED_VALUE"""),"Bpk. Sukirno (Bejo)")</f>
        <v>Bpk. Sukirno (Bejo)</v>
      </c>
      <c r="F558" s="211" t="str">
        <f>IFERROR(__xludf.DUMMYFUNCTION("""COMPUTED_VALUE"""),"8bdbe149")</f>
        <v>8bdbe149</v>
      </c>
      <c r="G558" s="211" t="str">
        <f>IFERROR(__xludf.DUMMYFUNCTION("""COMPUTED_VALUE"""),"Oksigen 6m3")</f>
        <v>Oksigen 6m3</v>
      </c>
      <c r="H558" s="214" t="str">
        <f>IFERROR(__xludf.DUMMYFUNCTION("""COMPUTED_VALUE"""),"IN")</f>
        <v>IN</v>
      </c>
      <c r="I558" s="214" t="str">
        <f>IFERROR(__xludf.DUMMYFUNCTION("""COMPUTED_VALUE"""),"EMPTY")</f>
        <v>EMPTY</v>
      </c>
      <c r="J558" s="211">
        <f>IFERROR(__xludf.DUMMYFUNCTION("""COMPUTED_VALUE"""),11.0)</f>
        <v>11</v>
      </c>
      <c r="K558" s="210" t="str">
        <f>IFERROR(__xludf.DUMMYFUNCTION("""COMPUTED_VALUE"""),"11142 11171 11172 11174 11173 11138 11161 11155 11200 11193 01")</f>
        <v>11142 11171 11172 11174 11173 11138 11161 11155 11200 11193 01</v>
      </c>
      <c r="L558" s="211"/>
      <c r="M558" s="211"/>
      <c r="N558" s="211"/>
      <c r="O558" s="211"/>
      <c r="Q558" s="210" t="str">
        <f>IFERROR(__xludf.DUMMYFUNCTION("""COMPUTED_VALUE"""),"03250307")</f>
        <v>03250307</v>
      </c>
      <c r="R558" s="210" t="str">
        <f>IFERROR(__xludf.DUMMYFUNCTION("""COMPUTED_VALUE"""),"03250307")</f>
        <v>03250307</v>
      </c>
      <c r="S558" s="211" t="str">
        <f>IFERROR(__xludf.DUMMYFUNCTION("""COMPUTED_VALUE"""),"e93f2c03")</f>
        <v>e93f2c03</v>
      </c>
      <c r="T558" s="211" t="str">
        <f>IFERROR(__xludf.DUMMYFUNCTION("""COMPUTED_VALUE"""),"Ibu Siti Barokah")</f>
        <v>Ibu Siti Barokah</v>
      </c>
      <c r="U558" s="215">
        <f>IFERROR(__xludf.DUMMYFUNCTION("""COMPUTED_VALUE"""),45723.63888888889)</f>
        <v>45723.63889</v>
      </c>
      <c r="V558" s="211" t="str">
        <f>IFERROR(__xludf.DUMMYFUNCTION("""COMPUTED_VALUE"""),"#N/A")</f>
        <v>#N/A</v>
      </c>
      <c r="W558" s="211" t="str">
        <f>IFERROR(__xludf.DUMMYFUNCTION("""COMPUTED_VALUE"""),"OUT")</f>
        <v>OUT</v>
      </c>
      <c r="X558" s="211"/>
      <c r="Z558" s="211" t="str">
        <f>IFERROR(__xludf.DUMMYFUNCTION("""COMPUTED_VALUE"""),"1225471882")</f>
        <v>1225471882</v>
      </c>
      <c r="AC558" s="211"/>
      <c r="AD558" s="211"/>
      <c r="AE558" s="211"/>
      <c r="AF558" s="211"/>
      <c r="AG558" s="211"/>
      <c r="AH558" s="211"/>
      <c r="AI558" s="211"/>
      <c r="AJ558" s="211"/>
      <c r="AL558" s="211"/>
      <c r="AM558" s="211"/>
      <c r="AN558" s="211"/>
      <c r="AO558" s="211"/>
      <c r="AP558" s="215"/>
      <c r="AQ558" s="218"/>
      <c r="AR558" s="211"/>
      <c r="AS558" s="211"/>
      <c r="AT558" s="211"/>
      <c r="AU558" s="211"/>
      <c r="AV558" s="211"/>
      <c r="AW558" s="211"/>
      <c r="AX558" s="211"/>
      <c r="AY558" s="211"/>
      <c r="AZ558" s="211"/>
      <c r="BB558" s="211"/>
      <c r="BC558" s="211"/>
      <c r="BD558" s="211"/>
      <c r="BE558" s="211"/>
      <c r="BF558" s="211"/>
      <c r="BG558" s="211"/>
      <c r="BH558" s="211"/>
      <c r="BI558" s="211"/>
    </row>
    <row r="559">
      <c r="A559" s="210" t="str">
        <f>IFERROR(__xludf.DUMMYFUNCTION("""COMPUTED_VALUE"""),"db1bcf63")</f>
        <v>db1bcf63</v>
      </c>
      <c r="B559" s="210" t="str">
        <f>IFERROR(__xludf.DUMMYFUNCTION("""COMPUTED_VALUE"""),"db1bcf63")</f>
        <v>db1bcf63</v>
      </c>
      <c r="C559" s="213">
        <f>IFERROR(__xludf.DUMMYFUNCTION("""COMPUTED_VALUE"""),45679.47777777778)</f>
        <v>45679.47778</v>
      </c>
      <c r="D559" s="211" t="str">
        <f>IFERROR(__xludf.DUMMYFUNCTION("""COMPUTED_VALUE"""),"3fec37df")</f>
        <v>3fec37df</v>
      </c>
      <c r="E559" s="211" t="str">
        <f>IFERROR(__xludf.DUMMYFUNCTION("""COMPUTED_VALUE"""),"PT Jatim Abadi Perkasa Steel")</f>
        <v>PT Jatim Abadi Perkasa Steel</v>
      </c>
      <c r="F559" s="211" t="str">
        <f>IFERROR(__xludf.DUMMYFUNCTION("""COMPUTED_VALUE"""),"b7a8fff1")</f>
        <v>b7a8fff1</v>
      </c>
      <c r="G559" s="211" t="str">
        <f>IFERROR(__xludf.DUMMYFUNCTION("""COMPUTED_VALUE"""),"LPG 50kg")</f>
        <v>LPG 50kg</v>
      </c>
      <c r="H559" s="214" t="str">
        <f>IFERROR(__xludf.DUMMYFUNCTION("""COMPUTED_VALUE"""),"IN")</f>
        <v>IN</v>
      </c>
      <c r="I559" s="214" t="str">
        <f>IFERROR(__xludf.DUMMYFUNCTION("""COMPUTED_VALUE"""),"EMPTY")</f>
        <v>EMPTY</v>
      </c>
      <c r="J559" s="211">
        <f>IFERROR(__xludf.DUMMYFUNCTION("""COMPUTED_VALUE"""),5.0)</f>
        <v>5</v>
      </c>
      <c r="K559" s="211"/>
      <c r="L559" s="211"/>
      <c r="M559" s="211"/>
      <c r="N559" s="211"/>
      <c r="O559" s="211"/>
      <c r="Q559" s="210" t="str">
        <f>IFERROR(__xludf.DUMMYFUNCTION("""COMPUTED_VALUE"""),"03250308")</f>
        <v>03250308</v>
      </c>
      <c r="R559" s="210" t="str">
        <f>IFERROR(__xludf.DUMMYFUNCTION("""COMPUTED_VALUE"""),"03250308")</f>
        <v>03250308</v>
      </c>
      <c r="S559" s="211" t="str">
        <f>IFERROR(__xludf.DUMMYFUNCTION("""COMPUTED_VALUE"""),"df6bdc5d")</f>
        <v>df6bdc5d</v>
      </c>
      <c r="T559" s="211" t="str">
        <f>IFERROR(__xludf.DUMMYFUNCTION("""COMPUTED_VALUE"""),"Bpk. Maruf")</f>
        <v>Bpk. Maruf</v>
      </c>
      <c r="U559" s="215">
        <f>IFERROR(__xludf.DUMMYFUNCTION("""COMPUTED_VALUE"""),45724.36944444444)</f>
        <v>45724.36944</v>
      </c>
      <c r="V559" s="211" t="str">
        <f>IFERROR(__xludf.DUMMYFUNCTION("""COMPUTED_VALUE"""),"CC6P+83G, Padangasri, Kec. Jatirejo, Kabupaten Mojokerto, Jawa Timur 61373")</f>
        <v>CC6P+83G, Padangasri, Kec. Jatirejo, Kabupaten Mojokerto, Jawa Timur 61373</v>
      </c>
      <c r="W559" s="211" t="str">
        <f>IFERROR(__xludf.DUMMYFUNCTION("""COMPUTED_VALUE"""),"OUT")</f>
        <v>OUT</v>
      </c>
      <c r="X559" s="211"/>
      <c r="Z559" s="211" t="str">
        <f>IFERROR(__xludf.DUMMYFUNCTION("""COMPUTED_VALUE"""),"122571877")</f>
        <v>122571877</v>
      </c>
      <c r="AC559" s="211"/>
      <c r="AD559" s="211"/>
      <c r="AE559" s="211"/>
      <c r="AF559" s="211"/>
      <c r="AG559" s="211"/>
      <c r="AH559" s="211"/>
      <c r="AI559" s="211"/>
      <c r="AJ559" s="211"/>
      <c r="AL559" s="211"/>
      <c r="AM559" s="211"/>
      <c r="AN559" s="211"/>
      <c r="AO559" s="211"/>
      <c r="AP559" s="215"/>
      <c r="AQ559" s="218"/>
      <c r="AR559" s="211"/>
      <c r="AS559" s="211"/>
      <c r="AT559" s="211"/>
      <c r="AU559" s="211"/>
      <c r="AV559" s="211"/>
      <c r="AW559" s="211"/>
      <c r="AX559" s="211"/>
      <c r="AY559" s="211"/>
      <c r="AZ559" s="211"/>
      <c r="BB559" s="211"/>
      <c r="BC559" s="211"/>
      <c r="BD559" s="211"/>
      <c r="BE559" s="211"/>
      <c r="BF559" s="211"/>
      <c r="BG559" s="211"/>
      <c r="BH559" s="211"/>
      <c r="BI559" s="211"/>
    </row>
    <row r="560">
      <c r="A560" s="210" t="str">
        <f>IFERROR(__xludf.DUMMYFUNCTION("""COMPUTED_VALUE"""),"7c462fa5")</f>
        <v>7c462fa5</v>
      </c>
      <c r="B560" s="210" t="str">
        <f>IFERROR(__xludf.DUMMYFUNCTION("""COMPUTED_VALUE"""),"7c462fa5")</f>
        <v>7c462fa5</v>
      </c>
      <c r="C560" s="213">
        <f>IFERROR(__xludf.DUMMYFUNCTION("""COMPUTED_VALUE"""),45687.49166666667)</f>
        <v>45687.49167</v>
      </c>
      <c r="D560" s="211" t="str">
        <f>IFERROR(__xludf.DUMMYFUNCTION("""COMPUTED_VALUE"""),"01158be1")</f>
        <v>01158be1</v>
      </c>
      <c r="E560" s="211" t="str">
        <f>IFERROR(__xludf.DUMMYFUNCTION("""COMPUTED_VALUE"""),"GYF")</f>
        <v>GYF</v>
      </c>
      <c r="F560" s="211" t="str">
        <f>IFERROR(__xludf.DUMMYFUNCTION("""COMPUTED_VALUE"""),"8bdbe149")</f>
        <v>8bdbe149</v>
      </c>
      <c r="G560" s="211" t="str">
        <f>IFERROR(__xludf.DUMMYFUNCTION("""COMPUTED_VALUE"""),"Oksigen 6m3")</f>
        <v>Oksigen 6m3</v>
      </c>
      <c r="H560" s="214" t="str">
        <f>IFERROR(__xludf.DUMMYFUNCTION("""COMPUTED_VALUE"""),"IN")</f>
        <v>IN</v>
      </c>
      <c r="I560" s="214" t="str">
        <f>IFERROR(__xludf.DUMMYFUNCTION("""COMPUTED_VALUE"""),"EMPTY")</f>
        <v>EMPTY</v>
      </c>
      <c r="J560" s="211">
        <f>IFERROR(__xludf.DUMMYFUNCTION("""COMPUTED_VALUE"""),4.0)</f>
        <v>4</v>
      </c>
      <c r="K560" s="210" t="str">
        <f>IFERROR(__xludf.DUMMYFUNCTION("""COMPUTED_VALUE"""),"11151 5478 11198 11135")</f>
        <v>11151 5478 11198 11135</v>
      </c>
      <c r="L560" s="211"/>
      <c r="M560" s="211"/>
      <c r="N560" s="211"/>
      <c r="O560" s="211"/>
      <c r="Q560" s="210" t="str">
        <f>IFERROR(__xludf.DUMMYFUNCTION("""COMPUTED_VALUE"""),"649b6cbf")</f>
        <v>649b6cbf</v>
      </c>
      <c r="R560" s="210" t="str">
        <f>IFERROR(__xludf.DUMMYFUNCTION("""COMPUTED_VALUE"""),"649b6cbf")</f>
        <v>649b6cbf</v>
      </c>
      <c r="S560" s="211" t="str">
        <f>IFERROR(__xludf.DUMMYFUNCTION("""COMPUTED_VALUE"""),"785e0e07")</f>
        <v>785e0e07</v>
      </c>
      <c r="T560" s="211" t="str">
        <f>IFERROR(__xludf.DUMMYFUNCTION("""COMPUTED_VALUE"""),"Bpk. Sukirno (Bejo)")</f>
        <v>Bpk. Sukirno (Bejo)</v>
      </c>
      <c r="U560" s="215">
        <f>IFERROR(__xludf.DUMMYFUNCTION("""COMPUTED_VALUE"""),45724.461805555555)</f>
        <v>45724.46181</v>
      </c>
      <c r="V560" s="211" t="str">
        <f>IFERROR(__xludf.DUMMYFUNCTION("""COMPUTED_VALUE"""),"Krajan I, Wringinanom, Kec. Wringinanom, Kabupaten Gresik, Jawa Timur 61176")</f>
        <v>Krajan I, Wringinanom, Kec. Wringinanom, Kabupaten Gresik, Jawa Timur 61176</v>
      </c>
      <c r="W560" s="211" t="str">
        <f>IFERROR(__xludf.DUMMYFUNCTION("""COMPUTED_VALUE"""),"IN")</f>
        <v>IN</v>
      </c>
      <c r="X560" s="211"/>
      <c r="Z560" s="211" t="str">
        <f>IFERROR(__xludf.DUMMYFUNCTION("""COMPUTED_VALUE"""),"1225291876")</f>
        <v>1225291876</v>
      </c>
      <c r="AC560" s="211"/>
      <c r="AD560" s="211"/>
      <c r="AE560" s="211"/>
      <c r="AF560" s="211"/>
      <c r="AG560" s="211"/>
      <c r="AH560" s="211"/>
      <c r="AI560" s="211"/>
      <c r="AJ560" s="211"/>
      <c r="AL560" s="211"/>
      <c r="AM560" s="211"/>
      <c r="AN560" s="211"/>
      <c r="AO560" s="211"/>
      <c r="AP560" s="215"/>
      <c r="AQ560" s="218"/>
      <c r="AR560" s="211"/>
      <c r="AS560" s="211"/>
      <c r="AT560" s="211"/>
      <c r="AU560" s="211"/>
      <c r="AV560" s="211"/>
      <c r="AW560" s="211"/>
      <c r="AX560" s="211"/>
      <c r="AY560" s="211"/>
      <c r="AZ560" s="211"/>
      <c r="BB560" s="211"/>
      <c r="BC560" s="211"/>
      <c r="BD560" s="211"/>
      <c r="BE560" s="211"/>
      <c r="BF560" s="211"/>
      <c r="BG560" s="211"/>
      <c r="BH560" s="211"/>
      <c r="BI560" s="211"/>
    </row>
    <row r="561">
      <c r="A561" s="210" t="str">
        <f>IFERROR(__xludf.DUMMYFUNCTION("""COMPUTED_VALUE"""),"01250237")</f>
        <v>01250237</v>
      </c>
      <c r="B561" s="210" t="str">
        <f>IFERROR(__xludf.DUMMYFUNCTION("""COMPUTED_VALUE"""),"01250237")</f>
        <v>01250237</v>
      </c>
      <c r="C561" s="213">
        <f>IFERROR(__xludf.DUMMYFUNCTION("""COMPUTED_VALUE"""),45687.5)</f>
        <v>45687.5</v>
      </c>
      <c r="D561" s="211" t="str">
        <f>IFERROR(__xludf.DUMMYFUNCTION("""COMPUTED_VALUE"""),"e86baf3b")</f>
        <v>e86baf3b</v>
      </c>
      <c r="E561" s="211" t="str">
        <f>IFERROR(__xludf.DUMMYFUNCTION("""COMPUTED_VALUE"""),"PT GEMILANG CIPTA WAWASAN")</f>
        <v>PT GEMILANG CIPTA WAWASAN</v>
      </c>
      <c r="F561" s="211" t="str">
        <f>IFERROR(__xludf.DUMMYFUNCTION("""COMPUTED_VALUE"""),"be525f3b")</f>
        <v>be525f3b</v>
      </c>
      <c r="G561" s="211" t="str">
        <f>IFERROR(__xludf.DUMMYFUNCTION("""COMPUTED_VALUE"""),"LPG 12kg")</f>
        <v>LPG 12kg</v>
      </c>
      <c r="H561" s="214" t="str">
        <f>IFERROR(__xludf.DUMMYFUNCTION("""COMPUTED_VALUE"""),"OUT")</f>
        <v>OUT</v>
      </c>
      <c r="I561" s="214" t="str">
        <f>IFERROR(__xludf.DUMMYFUNCTION("""COMPUTED_VALUE"""),"NORMAL")</f>
        <v>NORMAL</v>
      </c>
      <c r="J561" s="211">
        <f>IFERROR(__xludf.DUMMYFUNCTION("""COMPUTED_VALUE"""),7.0)</f>
        <v>7</v>
      </c>
      <c r="K561" s="211"/>
      <c r="L561" s="211">
        <f>IFERROR(__xludf.DUMMYFUNCTION("""COMPUTED_VALUE"""),210000.0)</f>
        <v>210000</v>
      </c>
      <c r="M561" s="211"/>
      <c r="N561" s="211"/>
      <c r="O561" s="211"/>
      <c r="Q561" s="210" t="str">
        <f>IFERROR(__xludf.DUMMYFUNCTION("""COMPUTED_VALUE"""),"03250310")</f>
        <v>03250310</v>
      </c>
      <c r="R561" s="210" t="str">
        <f>IFERROR(__xludf.DUMMYFUNCTION("""COMPUTED_VALUE"""),"03250310")</f>
        <v>03250310</v>
      </c>
      <c r="S561" s="211" t="str">
        <f>IFERROR(__xludf.DUMMYFUNCTION("""COMPUTED_VALUE"""),"e76bc39c")</f>
        <v>e76bc39c</v>
      </c>
      <c r="T561" s="211" t="str">
        <f>IFERROR(__xludf.DUMMYFUNCTION("""COMPUTED_VALUE"""),"Bpk. Irul")</f>
        <v>Bpk. Irul</v>
      </c>
      <c r="U561" s="215">
        <f>IFERROR(__xludf.DUMMYFUNCTION("""COMPUTED_VALUE"""),45724.589583333334)</f>
        <v>45724.58958</v>
      </c>
      <c r="V561" s="211" t="str">
        <f>IFERROR(__xludf.DUMMYFUNCTION("""COMPUTED_VALUE"""),"Jl. Mayjen Bambang Yuwono, Ciro Kulon, Bakungtemenggungan, Kec. BalongBendo, Kabupaten Sidoarjo, Jawa Timur 61263")</f>
        <v>Jl. Mayjen Bambang Yuwono, Ciro Kulon, Bakungtemenggungan, Kec. BalongBendo, Kabupaten Sidoarjo, Jawa Timur 61263</v>
      </c>
      <c r="W561" s="211" t="str">
        <f>IFERROR(__xludf.DUMMYFUNCTION("""COMPUTED_VALUE"""),"OUT")</f>
        <v>OUT</v>
      </c>
      <c r="X561" s="211"/>
      <c r="Z561" s="211" t="str">
        <f>IFERROR(__xludf.DUMMYFUNCTION("""COMPUTED_VALUE"""),"122551875")</f>
        <v>122551875</v>
      </c>
      <c r="AC561" s="211"/>
      <c r="AD561" s="211"/>
      <c r="AE561" s="211"/>
      <c r="AF561" s="211"/>
      <c r="AG561" s="211"/>
      <c r="AH561" s="211"/>
      <c r="AI561" s="211"/>
      <c r="AJ561" s="211"/>
      <c r="AL561" s="211"/>
      <c r="AM561" s="211"/>
      <c r="AN561" s="211"/>
      <c r="AO561" s="211"/>
      <c r="AP561" s="215"/>
      <c r="AQ561" s="218"/>
      <c r="AR561" s="211"/>
      <c r="AS561" s="211"/>
      <c r="AT561" s="211"/>
      <c r="AU561" s="211"/>
      <c r="AV561" s="211"/>
      <c r="AW561" s="211"/>
      <c r="AX561" s="211"/>
      <c r="AY561" s="211"/>
      <c r="AZ561" s="211"/>
      <c r="BB561" s="211"/>
      <c r="BC561" s="211"/>
      <c r="BD561" s="211"/>
      <c r="BE561" s="211"/>
      <c r="BF561" s="211"/>
      <c r="BG561" s="211"/>
      <c r="BH561" s="211"/>
      <c r="BI561" s="211"/>
    </row>
    <row r="562">
      <c r="A562" s="210" t="str">
        <f>IFERROR(__xludf.DUMMYFUNCTION("""COMPUTED_VALUE"""),"e8695bad")</f>
        <v>e8695bad</v>
      </c>
      <c r="B562" s="210" t="str">
        <f>IFERROR(__xludf.DUMMYFUNCTION("""COMPUTED_VALUE"""),"e8695bad")</f>
        <v>e8695bad</v>
      </c>
      <c r="C562" s="213">
        <f>IFERROR(__xludf.DUMMYFUNCTION("""COMPUTED_VALUE"""),45688.46111111111)</f>
        <v>45688.46111</v>
      </c>
      <c r="D562" s="211" t="str">
        <f>IFERROR(__xludf.DUMMYFUNCTION("""COMPUTED_VALUE"""),"4a01ccb6")</f>
        <v>4a01ccb6</v>
      </c>
      <c r="E562" s="211" t="str">
        <f>IFERROR(__xludf.DUMMYFUNCTION("""COMPUTED_VALUE"""),"CV ANUGERAH PERSADA TEKNIK")</f>
        <v>CV ANUGERAH PERSADA TEKNIK</v>
      </c>
      <c r="F562" s="211" t="str">
        <f>IFERROR(__xludf.DUMMYFUNCTION("""COMPUTED_VALUE"""),"8bdbe149")</f>
        <v>8bdbe149</v>
      </c>
      <c r="G562" s="211" t="str">
        <f>IFERROR(__xludf.DUMMYFUNCTION("""COMPUTED_VALUE"""),"Oksigen 6m3")</f>
        <v>Oksigen 6m3</v>
      </c>
      <c r="H562" s="214" t="str">
        <f>IFERROR(__xludf.DUMMYFUNCTION("""COMPUTED_VALUE"""),"IN")</f>
        <v>IN</v>
      </c>
      <c r="I562" s="214" t="str">
        <f>IFERROR(__xludf.DUMMYFUNCTION("""COMPUTED_VALUE"""),"CLAIM")</f>
        <v>CLAIM</v>
      </c>
      <c r="J562" s="211">
        <f>IFERROR(__xludf.DUMMYFUNCTION("""COMPUTED_VALUE"""),8.0)</f>
        <v>8</v>
      </c>
      <c r="K562" s="210" t="str">
        <f>IFERROR(__xludf.DUMMYFUNCTION("""COMPUTED_VALUE"""),"11124 1185 11177 1189 11182 1136 11181 1152")</f>
        <v>11124 1185 11177 1189 11182 1136 11181 1152</v>
      </c>
      <c r="L562" s="211"/>
      <c r="M562" s="211"/>
      <c r="N562" s="211"/>
      <c r="O562" s="211"/>
      <c r="Q562" s="210" t="str">
        <f>IFERROR(__xludf.DUMMYFUNCTION("""COMPUTED_VALUE"""),"a400f262")</f>
        <v>a400f262</v>
      </c>
      <c r="R562" s="210" t="str">
        <f>IFERROR(__xludf.DUMMYFUNCTION("""COMPUTED_VALUE"""),"a400f262")</f>
        <v>a400f262</v>
      </c>
      <c r="S562" s="211" t="str">
        <f>IFERROR(__xludf.DUMMYFUNCTION("""COMPUTED_VALUE"""),"df6bdc5d")</f>
        <v>df6bdc5d</v>
      </c>
      <c r="T562" s="211" t="str">
        <f>IFERROR(__xludf.DUMMYFUNCTION("""COMPUTED_VALUE"""),"Bpk. Maruf")</f>
        <v>Bpk. Maruf</v>
      </c>
      <c r="U562" s="215">
        <f>IFERROR(__xludf.DUMMYFUNCTION("""COMPUTED_VALUE"""),45724.65347222222)</f>
        <v>45724.65347</v>
      </c>
      <c r="V562" s="211" t="str">
        <f>IFERROR(__xludf.DUMMYFUNCTION("""COMPUTED_VALUE"""),"CC6P+83G, Padangasri, Kec. Jatirejo, Kabupaten Mojokerto, Jawa Timur 61373")</f>
        <v>CC6P+83G, Padangasri, Kec. Jatirejo, Kabupaten Mojokerto, Jawa Timur 61373</v>
      </c>
      <c r="W562" s="211" t="str">
        <f>IFERROR(__xludf.DUMMYFUNCTION("""COMPUTED_VALUE"""),"IN")</f>
        <v>IN</v>
      </c>
      <c r="X562" s="211"/>
      <c r="Z562" s="211" t="str">
        <f>IFERROR(__xludf.DUMMYFUNCTION("""COMPUTED_VALUE"""),"1225371873")</f>
        <v>1225371873</v>
      </c>
      <c r="AC562" s="211"/>
      <c r="AD562" s="211"/>
      <c r="AE562" s="211"/>
      <c r="AF562" s="211"/>
      <c r="AG562" s="211"/>
      <c r="AH562" s="211"/>
      <c r="AI562" s="211"/>
      <c r="AJ562" s="211"/>
      <c r="AL562" s="211"/>
      <c r="AM562" s="211"/>
      <c r="AN562" s="211"/>
      <c r="AO562" s="211"/>
      <c r="AP562" s="215"/>
      <c r="AQ562" s="218"/>
      <c r="AR562" s="211"/>
      <c r="AS562" s="211"/>
      <c r="AT562" s="211"/>
      <c r="AU562" s="211"/>
      <c r="AV562" s="211"/>
      <c r="AW562" s="211"/>
      <c r="AX562" s="211"/>
      <c r="AY562" s="211"/>
      <c r="AZ562" s="211"/>
      <c r="BB562" s="211"/>
      <c r="BC562" s="211"/>
      <c r="BD562" s="211"/>
      <c r="BE562" s="211"/>
      <c r="BF562" s="211"/>
      <c r="BG562" s="211"/>
      <c r="BH562" s="211"/>
      <c r="BI562" s="211"/>
    </row>
    <row r="563">
      <c r="A563" s="210" t="str">
        <f>IFERROR(__xludf.DUMMYFUNCTION("""COMPUTED_VALUE"""),"e8695bad")</f>
        <v>e8695bad</v>
      </c>
      <c r="B563" s="210" t="str">
        <f>IFERROR(__xludf.DUMMYFUNCTION("""COMPUTED_VALUE"""),"e8695bad")</f>
        <v>e8695bad</v>
      </c>
      <c r="C563" s="213">
        <f>IFERROR(__xludf.DUMMYFUNCTION("""COMPUTED_VALUE"""),45688.461805555555)</f>
        <v>45688.46181</v>
      </c>
      <c r="D563" s="211" t="str">
        <f>IFERROR(__xludf.DUMMYFUNCTION("""COMPUTED_VALUE"""),"4a01ccb6")</f>
        <v>4a01ccb6</v>
      </c>
      <c r="E563" s="211" t="str">
        <f>IFERROR(__xludf.DUMMYFUNCTION("""COMPUTED_VALUE"""),"CV ANUGERAH PERSADA TEKNIK")</f>
        <v>CV ANUGERAH PERSADA TEKNIK</v>
      </c>
      <c r="F563" s="211" t="str">
        <f>IFERROR(__xludf.DUMMYFUNCTION("""COMPUTED_VALUE"""),"ef306e54")</f>
        <v>ef306e54</v>
      </c>
      <c r="G563" s="211" t="str">
        <f>IFERROR(__xludf.DUMMYFUNCTION("""COMPUTED_VALUE"""),"Karbondioksida")</f>
        <v>Karbondioksida</v>
      </c>
      <c r="H563" s="214" t="str">
        <f>IFERROR(__xludf.DUMMYFUNCTION("""COMPUTED_VALUE"""),"IN")</f>
        <v>IN</v>
      </c>
      <c r="I563" s="214" t="str">
        <f>IFERROR(__xludf.DUMMYFUNCTION("""COMPUTED_VALUE"""),"CLAIM")</f>
        <v>CLAIM</v>
      </c>
      <c r="J563" s="211">
        <f>IFERROR(__xludf.DUMMYFUNCTION("""COMPUTED_VALUE"""),2.0)</f>
        <v>2</v>
      </c>
      <c r="K563" s="210" t="str">
        <f>IFERROR(__xludf.DUMMYFUNCTION("""COMPUTED_VALUE"""),"6769 6610")</f>
        <v>6769 6610</v>
      </c>
      <c r="L563" s="211"/>
      <c r="M563" s="211"/>
      <c r="N563" s="211"/>
      <c r="O563" s="211"/>
      <c r="Q563" s="210" t="str">
        <f>IFERROR(__xludf.DUMMYFUNCTION("""COMPUTED_VALUE"""),"03250311")</f>
        <v>03250311</v>
      </c>
      <c r="R563" s="210" t="str">
        <f>IFERROR(__xludf.DUMMYFUNCTION("""COMPUTED_VALUE"""),"03250311")</f>
        <v>03250311</v>
      </c>
      <c r="S563" s="211" t="str">
        <f>IFERROR(__xludf.DUMMYFUNCTION("""COMPUTED_VALUE"""),"01158be1")</f>
        <v>01158be1</v>
      </c>
      <c r="T563" s="211" t="str">
        <f>IFERROR(__xludf.DUMMYFUNCTION("""COMPUTED_VALUE"""),"GYF")</f>
        <v>GYF</v>
      </c>
      <c r="U563" s="215">
        <f>IFERROR(__xludf.DUMMYFUNCTION("""COMPUTED_VALUE"""),45726.48055555555)</f>
        <v>45726.48056</v>
      </c>
      <c r="V563" s="211" t="str">
        <f>IFERROR(__xludf.DUMMYFUNCTION("""COMPUTED_VALUE"""),"Kangkungan, Lengkong, Kec. Mojoanyar, Kabupaten Mojokerto, Jawa Timur")</f>
        <v>Kangkungan, Lengkong, Kec. Mojoanyar, Kabupaten Mojokerto, Jawa Timur</v>
      </c>
      <c r="W563" s="211" t="str">
        <f>IFERROR(__xludf.DUMMYFUNCTION("""COMPUTED_VALUE"""),"OUT")</f>
        <v>OUT</v>
      </c>
      <c r="X563" s="211"/>
      <c r="Z563" s="211" t="str">
        <f>IFERROR(__xludf.DUMMYFUNCTION("""COMPUTED_VALUE"""),"1225291872")</f>
        <v>1225291872</v>
      </c>
      <c r="AC563" s="211"/>
      <c r="AD563" s="211"/>
      <c r="AE563" s="211"/>
      <c r="AF563" s="211"/>
      <c r="AG563" s="211"/>
      <c r="AH563" s="211"/>
      <c r="AI563" s="211"/>
      <c r="AJ563" s="211"/>
      <c r="AL563" s="211"/>
      <c r="AM563" s="211"/>
      <c r="AN563" s="211"/>
      <c r="AO563" s="211"/>
      <c r="AP563" s="215"/>
      <c r="AQ563" s="218"/>
      <c r="AR563" s="211"/>
      <c r="AS563" s="211"/>
      <c r="AT563" s="211"/>
      <c r="AU563" s="211"/>
      <c r="AV563" s="211"/>
      <c r="AW563" s="211"/>
      <c r="AX563" s="211"/>
      <c r="AY563" s="211"/>
      <c r="AZ563" s="211"/>
      <c r="BB563" s="211"/>
      <c r="BC563" s="211"/>
      <c r="BD563" s="211"/>
      <c r="BE563" s="211"/>
      <c r="BF563" s="211"/>
      <c r="BG563" s="211"/>
      <c r="BH563" s="211"/>
      <c r="BI563" s="211"/>
    </row>
    <row r="564">
      <c r="A564" s="210" t="str">
        <f>IFERROR(__xludf.DUMMYFUNCTION("""COMPUTED_VALUE"""),"348a4b3e")</f>
        <v>348a4b3e</v>
      </c>
      <c r="B564" s="210" t="str">
        <f>IFERROR(__xludf.DUMMYFUNCTION("""COMPUTED_VALUE"""),"348a4b3e")</f>
        <v>348a4b3e</v>
      </c>
      <c r="C564" s="213">
        <f>IFERROR(__xludf.DUMMYFUNCTION("""COMPUTED_VALUE"""),45688.46666666667)</f>
        <v>45688.46667</v>
      </c>
      <c r="D564" s="211" t="str">
        <f>IFERROR(__xludf.DUMMYFUNCTION("""COMPUTED_VALUE"""),"785e0e07")</f>
        <v>785e0e07</v>
      </c>
      <c r="E564" s="211" t="str">
        <f>IFERROR(__xludf.DUMMYFUNCTION("""COMPUTED_VALUE"""),"Bpk. Sukirno (Bejo)")</f>
        <v>Bpk. Sukirno (Bejo)</v>
      </c>
      <c r="F564" s="211" t="str">
        <f>IFERROR(__xludf.DUMMYFUNCTION("""COMPUTED_VALUE"""),"8bdbe149")</f>
        <v>8bdbe149</v>
      </c>
      <c r="G564" s="211" t="str">
        <f>IFERROR(__xludf.DUMMYFUNCTION("""COMPUTED_VALUE"""),"Oksigen 6m3")</f>
        <v>Oksigen 6m3</v>
      </c>
      <c r="H564" s="214" t="str">
        <f>IFERROR(__xludf.DUMMYFUNCTION("""COMPUTED_VALUE"""),"IN")</f>
        <v>IN</v>
      </c>
      <c r="I564" s="214" t="str">
        <f>IFERROR(__xludf.DUMMYFUNCTION("""COMPUTED_VALUE"""),"EMPTY")</f>
        <v>EMPTY</v>
      </c>
      <c r="J564" s="211">
        <f>IFERROR(__xludf.DUMMYFUNCTION("""COMPUTED_VALUE"""),9.0)</f>
        <v>9</v>
      </c>
      <c r="K564" s="210" t="str">
        <f>IFERROR(__xludf.DUMMYFUNCTION("""COMPUTED_VALUE"""),"11142 01 11200 1193 11193 11161 11174 1182 11171")</f>
        <v>11142 01 11200 1193 11193 11161 11174 1182 11171</v>
      </c>
      <c r="L564" s="211"/>
      <c r="M564" s="211"/>
      <c r="N564" s="211"/>
      <c r="O564" s="211"/>
      <c r="Q564" s="210" t="str">
        <f>IFERROR(__xludf.DUMMYFUNCTION("""COMPUTED_VALUE"""),"03250312")</f>
        <v>03250312</v>
      </c>
      <c r="R564" s="210" t="str">
        <f>IFERROR(__xludf.DUMMYFUNCTION("""COMPUTED_VALUE"""),"03250312")</f>
        <v>03250312</v>
      </c>
      <c r="S564" s="211" t="str">
        <f>IFERROR(__xludf.DUMMYFUNCTION("""COMPUTED_VALUE"""),"8ea74d81")</f>
        <v>8ea74d81</v>
      </c>
      <c r="T564" s="211" t="str">
        <f>IFERROR(__xludf.DUMMYFUNCTION("""COMPUTED_VALUE"""),"Bengkel Adi Putra")</f>
        <v>Bengkel Adi Putra</v>
      </c>
      <c r="U564" s="215">
        <f>IFERROR(__xludf.DUMMYFUNCTION("""COMPUTED_VALUE"""),45726.48333333334)</f>
        <v>45726.48333</v>
      </c>
      <c r="V564" s="211" t="str">
        <f>IFERROR(__xludf.DUMMYFUNCTION("""COMPUTED_VALUE"""),"Bypass Balongbendo")</f>
        <v>Bypass Balongbendo</v>
      </c>
      <c r="W564" s="211" t="str">
        <f>IFERROR(__xludf.DUMMYFUNCTION("""COMPUTED_VALUE"""),"OUT")</f>
        <v>OUT</v>
      </c>
      <c r="X564" s="211"/>
      <c r="Z564" s="211" t="str">
        <f>IFERROR(__xludf.DUMMYFUNCTION("""COMPUTED_VALUE"""),"1225461871")</f>
        <v>1225461871</v>
      </c>
      <c r="AC564" s="211"/>
      <c r="AD564" s="211"/>
      <c r="AE564" s="211"/>
      <c r="AF564" s="211"/>
      <c r="AG564" s="211"/>
      <c r="AH564" s="211"/>
      <c r="AI564" s="211"/>
      <c r="AJ564" s="211"/>
      <c r="AL564" s="211"/>
      <c r="AM564" s="211"/>
      <c r="AN564" s="211"/>
      <c r="AO564" s="211"/>
      <c r="AP564" s="215"/>
      <c r="AQ564" s="218"/>
      <c r="AR564" s="211"/>
      <c r="AS564" s="211"/>
      <c r="AT564" s="211"/>
      <c r="AU564" s="211"/>
      <c r="AV564" s="211"/>
      <c r="AW564" s="211"/>
      <c r="AX564" s="211"/>
      <c r="AY564" s="211"/>
      <c r="AZ564" s="211"/>
      <c r="BB564" s="211"/>
      <c r="BC564" s="211"/>
      <c r="BD564" s="211"/>
      <c r="BE564" s="211"/>
      <c r="BF564" s="211"/>
      <c r="BG564" s="211"/>
      <c r="BH564" s="211"/>
      <c r="BI564" s="211"/>
    </row>
    <row r="565">
      <c r="A565" s="210" t="str">
        <f>IFERROR(__xludf.DUMMYFUNCTION("""COMPUTED_VALUE"""),"4550b9b2")</f>
        <v>4550b9b2</v>
      </c>
      <c r="B565" s="210" t="str">
        <f>IFERROR(__xludf.DUMMYFUNCTION("""COMPUTED_VALUE"""),"4550b9b2")</f>
        <v>4550b9b2</v>
      </c>
      <c r="C565" s="213">
        <f>IFERROR(__xludf.DUMMYFUNCTION("""COMPUTED_VALUE"""),45688.467361111114)</f>
        <v>45688.46736</v>
      </c>
      <c r="D565" s="211" t="str">
        <f>IFERROR(__xludf.DUMMYFUNCTION("""COMPUTED_VALUE"""),"37175874")</f>
        <v>37175874</v>
      </c>
      <c r="E565" s="211" t="str">
        <f>IFERROR(__xludf.DUMMYFUNCTION("""COMPUTED_VALUE"""),"PT TERAPAN NILAIOSILASI INDONESIA (TENO)")</f>
        <v>PT TERAPAN NILAIOSILASI INDONESIA (TENO)</v>
      </c>
      <c r="F565" s="211" t="str">
        <f>IFERROR(__xludf.DUMMYFUNCTION("""COMPUTED_VALUE"""),"3b9d6a30")</f>
        <v>3b9d6a30</v>
      </c>
      <c r="G565" s="211" t="str">
        <f>IFERROR(__xludf.DUMMYFUNCTION("""COMPUTED_VALUE"""),"Acetyline")</f>
        <v>Acetyline</v>
      </c>
      <c r="H565" s="214" t="str">
        <f>IFERROR(__xludf.DUMMYFUNCTION("""COMPUTED_VALUE"""),"IN")</f>
        <v>IN</v>
      </c>
      <c r="I565" s="214" t="str">
        <f>IFERROR(__xludf.DUMMYFUNCTION("""COMPUTED_VALUE"""),"EMPTY")</f>
        <v>EMPTY</v>
      </c>
      <c r="J565" s="211">
        <f>IFERROR(__xludf.DUMMYFUNCTION("""COMPUTED_VALUE"""),1.0)</f>
        <v>1</v>
      </c>
      <c r="K565" s="210" t="str">
        <f>IFERROR(__xludf.DUMMYFUNCTION("""COMPUTED_VALUE"""),"7976")</f>
        <v>7976</v>
      </c>
      <c r="L565" s="211"/>
      <c r="M565" s="211"/>
      <c r="N565" s="211"/>
      <c r="O565" s="211"/>
      <c r="Q565" s="210" t="str">
        <f>IFERROR(__xludf.DUMMYFUNCTION("""COMPUTED_VALUE"""),"86555015")</f>
        <v>86555015</v>
      </c>
      <c r="R565" s="210" t="str">
        <f>IFERROR(__xludf.DUMMYFUNCTION("""COMPUTED_VALUE"""),"86555015")</f>
        <v>86555015</v>
      </c>
      <c r="S565" s="211" t="str">
        <f>IFERROR(__xludf.DUMMYFUNCTION("""COMPUTED_VALUE"""),"df6bdc5d")</f>
        <v>df6bdc5d</v>
      </c>
      <c r="T565" s="211" t="str">
        <f>IFERROR(__xludf.DUMMYFUNCTION("""COMPUTED_VALUE"""),"Bpk. Maruf")</f>
        <v>Bpk. Maruf</v>
      </c>
      <c r="U565" s="215">
        <f>IFERROR(__xludf.DUMMYFUNCTION("""COMPUTED_VALUE"""),45726.54166666667)</f>
        <v>45726.54167</v>
      </c>
      <c r="V565" s="211" t="str">
        <f>IFERROR(__xludf.DUMMYFUNCTION("""COMPUTED_VALUE"""),"CC6P+83G, Padangasri, Kec. Jatirejo, Kabupaten Mojokerto, Jawa Timur 61373")</f>
        <v>CC6P+83G, Padangasri, Kec. Jatirejo, Kabupaten Mojokerto, Jawa Timur 61373</v>
      </c>
      <c r="W565" s="211" t="str">
        <f>IFERROR(__xludf.DUMMYFUNCTION("""COMPUTED_VALUE"""),"IN")</f>
        <v>IN</v>
      </c>
      <c r="X565" s="211"/>
      <c r="Z565" s="211" t="str">
        <f>IFERROR(__xludf.DUMMYFUNCTION("""COMPUTED_VALUE"""),"122541863")</f>
        <v>122541863</v>
      </c>
      <c r="AC565" s="211"/>
      <c r="AD565" s="211"/>
      <c r="AE565" s="211"/>
      <c r="AF565" s="211"/>
      <c r="AG565" s="211"/>
      <c r="AH565" s="211"/>
      <c r="AI565" s="211"/>
      <c r="AJ565" s="211"/>
      <c r="AL565" s="211"/>
      <c r="AM565" s="211"/>
      <c r="AN565" s="211"/>
      <c r="AO565" s="211"/>
      <c r="AP565" s="215"/>
      <c r="AQ565" s="218"/>
      <c r="AR565" s="211"/>
      <c r="AS565" s="211"/>
      <c r="AT565" s="211"/>
      <c r="AU565" s="211"/>
      <c r="AV565" s="211"/>
      <c r="AW565" s="211"/>
      <c r="AX565" s="211"/>
      <c r="AY565" s="211"/>
      <c r="AZ565" s="211"/>
      <c r="BB565" s="211"/>
      <c r="BC565" s="211"/>
      <c r="BD565" s="211"/>
      <c r="BE565" s="211"/>
      <c r="BF565" s="211"/>
      <c r="BG565" s="211"/>
      <c r="BH565" s="211"/>
      <c r="BI565" s="211"/>
    </row>
    <row r="566">
      <c r="A566" s="210" t="str">
        <f>IFERROR(__xludf.DUMMYFUNCTION("""COMPUTED_VALUE"""),"02250238")</f>
        <v>02250238</v>
      </c>
      <c r="B566" s="210" t="str">
        <f>IFERROR(__xludf.DUMMYFUNCTION("""COMPUTED_VALUE"""),"02250238")</f>
        <v>02250238</v>
      </c>
      <c r="C566" s="213">
        <f>IFERROR(__xludf.DUMMYFUNCTION("""COMPUTED_VALUE"""),45689.558333333334)</f>
        <v>45689.55833</v>
      </c>
      <c r="D566" s="211" t="str">
        <f>IFERROR(__xludf.DUMMYFUNCTION("""COMPUTED_VALUE"""),"785e0e07")</f>
        <v>785e0e07</v>
      </c>
      <c r="E566" s="211" t="str">
        <f>IFERROR(__xludf.DUMMYFUNCTION("""COMPUTED_VALUE"""),"Bpk. Sukirno (Bejo)")</f>
        <v>Bpk. Sukirno (Bejo)</v>
      </c>
      <c r="F566" s="211" t="str">
        <f>IFERROR(__xludf.DUMMYFUNCTION("""COMPUTED_VALUE"""),"8bdbe149")</f>
        <v>8bdbe149</v>
      </c>
      <c r="G566" s="211" t="str">
        <f>IFERROR(__xludf.DUMMYFUNCTION("""COMPUTED_VALUE"""),"Oksigen 6m3")</f>
        <v>Oksigen 6m3</v>
      </c>
      <c r="H566" s="214" t="str">
        <f>IFERROR(__xludf.DUMMYFUNCTION("""COMPUTED_VALUE"""),"OUT")</f>
        <v>OUT</v>
      </c>
      <c r="I566" s="214" t="str">
        <f>IFERROR(__xludf.DUMMYFUNCTION("""COMPUTED_VALUE"""),"NORMAL")</f>
        <v>NORMAL</v>
      </c>
      <c r="J566" s="211">
        <f>IFERROR(__xludf.DUMMYFUNCTION("""COMPUTED_VALUE"""),17.0)</f>
        <v>17</v>
      </c>
      <c r="K566" s="210" t="str">
        <f>IFERROR(__xludf.DUMMYFUNCTION("""COMPUTED_VALUE"""),"1189 1152 1182 1193 1185 1136 11124 11177 11193 11181 11182 11200 11174 11161 11171 11142 01")</f>
        <v>1189 1152 1182 1193 1185 1136 11124 11177 11193 11181 11182 11200 11174 11161 11171 11142 01</v>
      </c>
      <c r="L566" s="211">
        <f>IFERROR(__xludf.DUMMYFUNCTION("""COMPUTED_VALUE"""),60000.0)</f>
        <v>60000</v>
      </c>
      <c r="M566" s="211"/>
      <c r="N566" s="211"/>
      <c r="O566" s="211"/>
      <c r="Q566" s="210" t="str">
        <f>IFERROR(__xludf.DUMMYFUNCTION("""COMPUTED_VALUE"""),"00034b73")</f>
        <v>00034b73</v>
      </c>
      <c r="R566" s="210" t="str">
        <f>IFERROR(__xludf.DUMMYFUNCTION("""COMPUTED_VALUE"""),"00034b73")</f>
        <v>00034b73</v>
      </c>
      <c r="S566" s="211" t="str">
        <f>IFERROR(__xludf.DUMMYFUNCTION("""COMPUTED_VALUE"""),"ed2cc96a")</f>
        <v>ed2cc96a</v>
      </c>
      <c r="T566" s="211" t="str">
        <f>IFERROR(__xludf.DUMMYFUNCTION("""COMPUTED_VALUE"""),"Bengkel Dian Jaya")</f>
        <v>Bengkel Dian Jaya</v>
      </c>
      <c r="U566" s="215">
        <f>IFERROR(__xludf.DUMMYFUNCTION("""COMPUTED_VALUE"""),45726.54166666667)</f>
        <v>45726.54167</v>
      </c>
      <c r="V566" s="211" t="str">
        <f>IFERROR(__xludf.DUMMYFUNCTION("""COMPUTED_VALUE"""),"Gg. 2, Kejagan, Kec. Trowulan, Kabupaten Mojokerto, Jawa Timur 61362")</f>
        <v>Gg. 2, Kejagan, Kec. Trowulan, Kabupaten Mojokerto, Jawa Timur 61362</v>
      </c>
      <c r="W566" s="211" t="str">
        <f>IFERROR(__xludf.DUMMYFUNCTION("""COMPUTED_VALUE"""),"IN")</f>
        <v>IN</v>
      </c>
      <c r="X566" s="211"/>
      <c r="Z566" s="211" t="str">
        <f>IFERROR(__xludf.DUMMYFUNCTION("""COMPUTED_VALUE"""),"1225271862")</f>
        <v>1225271862</v>
      </c>
      <c r="AC566" s="211"/>
      <c r="AD566" s="211"/>
      <c r="AE566" s="211"/>
      <c r="AF566" s="211"/>
      <c r="AG566" s="211"/>
      <c r="AH566" s="211"/>
      <c r="AI566" s="211"/>
      <c r="AJ566" s="211"/>
      <c r="AL566" s="211"/>
      <c r="AM566" s="211"/>
      <c r="AN566" s="211"/>
      <c r="AO566" s="211"/>
      <c r="AP566" s="215"/>
      <c r="AQ566" s="218"/>
      <c r="AR566" s="211"/>
      <c r="AS566" s="211"/>
      <c r="AT566" s="211"/>
      <c r="AU566" s="211"/>
      <c r="AV566" s="211"/>
      <c r="AW566" s="211"/>
      <c r="AX566" s="211"/>
      <c r="AY566" s="211"/>
      <c r="AZ566" s="211"/>
      <c r="BB566" s="211"/>
      <c r="BC566" s="211"/>
      <c r="BD566" s="211"/>
      <c r="BE566" s="211"/>
      <c r="BF566" s="211"/>
      <c r="BG566" s="211"/>
      <c r="BH566" s="211"/>
      <c r="BI566" s="211"/>
    </row>
    <row r="567">
      <c r="A567" s="210" t="str">
        <f>IFERROR(__xludf.DUMMYFUNCTION("""COMPUTED_VALUE"""),"9bc02a51")</f>
        <v>9bc02a51</v>
      </c>
      <c r="B567" s="210" t="str">
        <f>IFERROR(__xludf.DUMMYFUNCTION("""COMPUTED_VALUE"""),"9bc02a51")</f>
        <v>9bc02a51</v>
      </c>
      <c r="C567" s="213">
        <f>IFERROR(__xludf.DUMMYFUNCTION("""COMPUTED_VALUE"""),45689.57708333333)</f>
        <v>45689.57708</v>
      </c>
      <c r="D567" s="211" t="str">
        <f>IFERROR(__xludf.DUMMYFUNCTION("""COMPUTED_VALUE"""),"01158be1")</f>
        <v>01158be1</v>
      </c>
      <c r="E567" s="211" t="str">
        <f>IFERROR(__xludf.DUMMYFUNCTION("""COMPUTED_VALUE"""),"GYF")</f>
        <v>GYF</v>
      </c>
      <c r="F567" s="211" t="str">
        <f>IFERROR(__xludf.DUMMYFUNCTION("""COMPUTED_VALUE"""),"8bdbe149")</f>
        <v>8bdbe149</v>
      </c>
      <c r="G567" s="211" t="str">
        <f>IFERROR(__xludf.DUMMYFUNCTION("""COMPUTED_VALUE"""),"Oksigen 6m3")</f>
        <v>Oksigen 6m3</v>
      </c>
      <c r="H567" s="214" t="str">
        <f>IFERROR(__xludf.DUMMYFUNCTION("""COMPUTED_VALUE"""),"IN")</f>
        <v>IN</v>
      </c>
      <c r="I567" s="214" t="str">
        <f>IFERROR(__xludf.DUMMYFUNCTION("""COMPUTED_VALUE"""),"EMPTY")</f>
        <v>EMPTY</v>
      </c>
      <c r="J567" s="211">
        <f>IFERROR(__xludf.DUMMYFUNCTION("""COMPUTED_VALUE"""),12.0)</f>
        <v>12</v>
      </c>
      <c r="K567" s="210" t="str">
        <f>IFERROR(__xludf.DUMMYFUNCTION("""COMPUTED_VALUE"""),"1450 1659 11195 1763 11191 11186 11129 11180 1129 11201 1123 11112")</f>
        <v>1450 1659 11195 1763 11191 11186 11129 11180 1129 11201 1123 11112</v>
      </c>
      <c r="L567" s="211"/>
      <c r="M567" s="211"/>
      <c r="N567" s="211"/>
      <c r="O567" s="211"/>
      <c r="Q567" s="210" t="str">
        <f>IFERROR(__xludf.DUMMYFUNCTION("""COMPUTED_VALUE"""),"ad35d820")</f>
        <v>ad35d820</v>
      </c>
      <c r="R567" s="210" t="str">
        <f>IFERROR(__xludf.DUMMYFUNCTION("""COMPUTED_VALUE"""),"ad35d820")</f>
        <v>ad35d820</v>
      </c>
      <c r="S567" s="211" t="str">
        <f>IFERROR(__xludf.DUMMYFUNCTION("""COMPUTED_VALUE"""),"785e0e07")</f>
        <v>785e0e07</v>
      </c>
      <c r="T567" s="211" t="str">
        <f>IFERROR(__xludf.DUMMYFUNCTION("""COMPUTED_VALUE"""),"Bpk. Sukirno (Bejo)")</f>
        <v>Bpk. Sukirno (Bejo)</v>
      </c>
      <c r="U567" s="215">
        <f>IFERROR(__xludf.DUMMYFUNCTION("""COMPUTED_VALUE"""),45726.64027777778)</f>
        <v>45726.64028</v>
      </c>
      <c r="V567" s="211" t="str">
        <f>IFERROR(__xludf.DUMMYFUNCTION("""COMPUTED_VALUE"""),"Krajan I, Wringinanom, Kec. Wringinanom, Kabupaten Gresik, Jawa Timur 61176")</f>
        <v>Krajan I, Wringinanom, Kec. Wringinanom, Kabupaten Gresik, Jawa Timur 61176</v>
      </c>
      <c r="W567" s="211" t="str">
        <f>IFERROR(__xludf.DUMMYFUNCTION("""COMPUTED_VALUE"""),"IN")</f>
        <v>IN</v>
      </c>
      <c r="X567" s="211"/>
      <c r="Z567" s="211" t="str">
        <f>IFERROR(__xludf.DUMMYFUNCTION("""COMPUTED_VALUE"""),"122511859")</f>
        <v>122511859</v>
      </c>
      <c r="AC567" s="211"/>
      <c r="AD567" s="211"/>
      <c r="AE567" s="211"/>
      <c r="AF567" s="211"/>
      <c r="AG567" s="211"/>
      <c r="AH567" s="211"/>
      <c r="AI567" s="211"/>
      <c r="AJ567" s="211"/>
      <c r="AL567" s="211"/>
      <c r="AM567" s="211"/>
      <c r="AN567" s="211"/>
      <c r="AO567" s="211"/>
      <c r="AP567" s="215"/>
      <c r="AQ567" s="218"/>
      <c r="AR567" s="211"/>
      <c r="AS567" s="211"/>
      <c r="AT567" s="211"/>
      <c r="AU567" s="211"/>
      <c r="AV567" s="211"/>
      <c r="AW567" s="211"/>
      <c r="AX567" s="211"/>
      <c r="AY567" s="211"/>
      <c r="AZ567" s="211"/>
      <c r="BB567" s="211"/>
      <c r="BC567" s="211"/>
      <c r="BD567" s="211"/>
      <c r="BE567" s="211"/>
      <c r="BF567" s="211"/>
      <c r="BG567" s="211"/>
      <c r="BH567" s="211"/>
      <c r="BI567" s="211"/>
    </row>
    <row r="568">
      <c r="A568" s="210" t="str">
        <f>IFERROR(__xludf.DUMMYFUNCTION("""COMPUTED_VALUE"""),"2340917f")</f>
        <v>2340917f</v>
      </c>
      <c r="B568" s="210" t="str">
        <f>IFERROR(__xludf.DUMMYFUNCTION("""COMPUTED_VALUE"""),"2340917f")</f>
        <v>2340917f</v>
      </c>
      <c r="C568" s="213">
        <f>IFERROR(__xludf.DUMMYFUNCTION("""COMPUTED_VALUE"""),45689.67569444444)</f>
        <v>45689.67569</v>
      </c>
      <c r="D568" s="211" t="str">
        <f>IFERROR(__xludf.DUMMYFUNCTION("""COMPUTED_VALUE"""),"785e0e07")</f>
        <v>785e0e07</v>
      </c>
      <c r="E568" s="211" t="str">
        <f>IFERROR(__xludf.DUMMYFUNCTION("""COMPUTED_VALUE"""),"Bpk. Sukirno (Bejo)")</f>
        <v>Bpk. Sukirno (Bejo)</v>
      </c>
      <c r="F568" s="211" t="str">
        <f>IFERROR(__xludf.DUMMYFUNCTION("""COMPUTED_VALUE"""),"8bdbe149")</f>
        <v>8bdbe149</v>
      </c>
      <c r="G568" s="211" t="str">
        <f>IFERROR(__xludf.DUMMYFUNCTION("""COMPUTED_VALUE"""),"Oksigen 6m3")</f>
        <v>Oksigen 6m3</v>
      </c>
      <c r="H568" s="214" t="str">
        <f>IFERROR(__xludf.DUMMYFUNCTION("""COMPUTED_VALUE"""),"IN")</f>
        <v>IN</v>
      </c>
      <c r="I568" s="214" t="str">
        <f>IFERROR(__xludf.DUMMYFUNCTION("""COMPUTED_VALUE"""),"EMPTY")</f>
        <v>EMPTY</v>
      </c>
      <c r="J568" s="211">
        <f>IFERROR(__xludf.DUMMYFUNCTION("""COMPUTED_VALUE"""),6.0)</f>
        <v>6</v>
      </c>
      <c r="K568" s="210" t="str">
        <f>IFERROR(__xludf.DUMMYFUNCTION("""COMPUTED_VALUE"""),"1146 11144 11172 11155 11173 11138")</f>
        <v>1146 11144 11172 11155 11173 11138</v>
      </c>
      <c r="L568" s="211"/>
      <c r="M568" s="211"/>
      <c r="N568" s="211"/>
      <c r="O568" s="211"/>
      <c r="Q568" s="210" t="str">
        <f>IFERROR(__xludf.DUMMYFUNCTION("""COMPUTED_VALUE"""),"9f3587e4")</f>
        <v>9f3587e4</v>
      </c>
      <c r="R568" s="210" t="str">
        <f>IFERROR(__xludf.DUMMYFUNCTION("""COMPUTED_VALUE"""),"9f3587e4")</f>
        <v>9f3587e4</v>
      </c>
      <c r="S568" s="211" t="str">
        <f>IFERROR(__xludf.DUMMYFUNCTION("""COMPUTED_VALUE"""),"8f5ebaea")</f>
        <v>8f5ebaea</v>
      </c>
      <c r="T568" s="211" t="str">
        <f>IFERROR(__xludf.DUMMYFUNCTION("""COMPUTED_VALUE"""),"PT Hua Zong Mesindo")</f>
        <v>PT Hua Zong Mesindo</v>
      </c>
      <c r="U568" s="215">
        <f>IFERROR(__xludf.DUMMYFUNCTION("""COMPUTED_VALUE"""),45726.64097222222)</f>
        <v>45726.64097</v>
      </c>
      <c r="V568" s="211" t="str">
        <f>IFERROR(__xludf.DUMMYFUNCTION("""COMPUTED_VALUE"""),"Jl. Bypass Krian, Sidotemo, Sidomulyo, Kec. Krian, Kabupaten Sidoarjo, Jawa Timur 61262")</f>
        <v>Jl. Bypass Krian, Sidotemo, Sidomulyo, Kec. Krian, Kabupaten Sidoarjo, Jawa Timur 61262</v>
      </c>
      <c r="W568" s="211" t="str">
        <f>IFERROR(__xludf.DUMMYFUNCTION("""COMPUTED_VALUE"""),"IN")</f>
        <v>IN</v>
      </c>
      <c r="X568" s="211"/>
      <c r="Z568" s="211" t="str">
        <f>IFERROR(__xludf.DUMMYFUNCTION("""COMPUTED_VALUE"""),"1125711857")</f>
        <v>1125711857</v>
      </c>
      <c r="AC568" s="211"/>
      <c r="AD568" s="211"/>
      <c r="AE568" s="211"/>
      <c r="AF568" s="211"/>
      <c r="AG568" s="211"/>
      <c r="AH568" s="211"/>
      <c r="AI568" s="211"/>
      <c r="AJ568" s="211"/>
      <c r="AL568" s="211"/>
      <c r="AM568" s="211"/>
      <c r="AN568" s="211"/>
      <c r="AO568" s="211"/>
      <c r="AP568" s="215"/>
      <c r="AQ568" s="218"/>
      <c r="AR568" s="211"/>
      <c r="AS568" s="211"/>
      <c r="AT568" s="211"/>
      <c r="AU568" s="211"/>
      <c r="AV568" s="211"/>
      <c r="AW568" s="211"/>
      <c r="AX568" s="211"/>
      <c r="AY568" s="211"/>
      <c r="AZ568" s="211"/>
      <c r="BB568" s="211"/>
      <c r="BC568" s="211"/>
      <c r="BD568" s="211"/>
      <c r="BE568" s="211"/>
      <c r="BF568" s="211"/>
      <c r="BG568" s="211"/>
      <c r="BH568" s="211"/>
      <c r="BI568" s="211"/>
    </row>
    <row r="569">
      <c r="A569" s="210" t="str">
        <f>IFERROR(__xludf.DUMMYFUNCTION("""COMPUTED_VALUE"""),"5ace096d")</f>
        <v>5ace096d</v>
      </c>
      <c r="B569" s="210" t="str">
        <f>IFERROR(__xludf.DUMMYFUNCTION("""COMPUTED_VALUE"""),"5ace096d")</f>
        <v>5ace096d</v>
      </c>
      <c r="C569" s="213">
        <f>IFERROR(__xludf.DUMMYFUNCTION("""COMPUTED_VALUE"""),45691.45486111111)</f>
        <v>45691.45486</v>
      </c>
      <c r="D569" s="211" t="str">
        <f>IFERROR(__xludf.DUMMYFUNCTION("""COMPUTED_VALUE"""),"4a01ccb6")</f>
        <v>4a01ccb6</v>
      </c>
      <c r="E569" s="211" t="str">
        <f>IFERROR(__xludf.DUMMYFUNCTION("""COMPUTED_VALUE"""),"CV ANUGERAH PERSADA TEKNIK")</f>
        <v>CV ANUGERAH PERSADA TEKNIK</v>
      </c>
      <c r="F569" s="211" t="str">
        <f>IFERROR(__xludf.DUMMYFUNCTION("""COMPUTED_VALUE"""),"8bdbe149")</f>
        <v>8bdbe149</v>
      </c>
      <c r="G569" s="211" t="str">
        <f>IFERROR(__xludf.DUMMYFUNCTION("""COMPUTED_VALUE"""),"Oksigen 6m3")</f>
        <v>Oksigen 6m3</v>
      </c>
      <c r="H569" s="214" t="str">
        <f>IFERROR(__xludf.DUMMYFUNCTION("""COMPUTED_VALUE"""),"IN")</f>
        <v>IN</v>
      </c>
      <c r="I569" s="214" t="str">
        <f>IFERROR(__xludf.DUMMYFUNCTION("""COMPUTED_VALUE"""),"EMPTY")</f>
        <v>EMPTY</v>
      </c>
      <c r="J569" s="211">
        <f>IFERROR(__xludf.DUMMYFUNCTION("""COMPUTED_VALUE"""),8.0)</f>
        <v>8</v>
      </c>
      <c r="K569" s="210" t="str">
        <f>IFERROR(__xludf.DUMMYFUNCTION("""COMPUTED_VALUE"""),"1149 1159 1114 1127 5044 5033 1826 1827")</f>
        <v>1149 1159 1114 1127 5044 5033 1826 1827</v>
      </c>
      <c r="L569" s="211"/>
      <c r="M569" s="211"/>
      <c r="N569" s="211"/>
      <c r="O569" s="211"/>
      <c r="Q569" s="210" t="str">
        <f>IFERROR(__xludf.DUMMYFUNCTION("""COMPUTED_VALUE"""),"85672760")</f>
        <v>85672760</v>
      </c>
      <c r="R569" s="210" t="str">
        <f>IFERROR(__xludf.DUMMYFUNCTION("""COMPUTED_VALUE"""),"85672760")</f>
        <v>85672760</v>
      </c>
      <c r="S569" s="211" t="str">
        <f>IFERROR(__xludf.DUMMYFUNCTION("""COMPUTED_VALUE"""),"8ea74d81")</f>
        <v>8ea74d81</v>
      </c>
      <c r="T569" s="211" t="str">
        <f>IFERROR(__xludf.DUMMYFUNCTION("""COMPUTED_VALUE"""),"Bengkel Adi Putra")</f>
        <v>Bengkel Adi Putra</v>
      </c>
      <c r="U569" s="215">
        <f>IFERROR(__xludf.DUMMYFUNCTION("""COMPUTED_VALUE"""),45726.64236111111)</f>
        <v>45726.64236</v>
      </c>
      <c r="V569" s="211" t="str">
        <f>IFERROR(__xludf.DUMMYFUNCTION("""COMPUTED_VALUE"""),"Bypass Balongbendo")</f>
        <v>Bypass Balongbendo</v>
      </c>
      <c r="W569" s="211" t="str">
        <f>IFERROR(__xludf.DUMMYFUNCTION("""COMPUTED_VALUE"""),"IN")</f>
        <v>IN</v>
      </c>
      <c r="X569" s="211"/>
      <c r="Z569" s="211" t="str">
        <f>IFERROR(__xludf.DUMMYFUNCTION("""COMPUTED_VALUE"""),"112511856")</f>
        <v>112511856</v>
      </c>
      <c r="AC569" s="211"/>
      <c r="AD569" s="211"/>
      <c r="AE569" s="211"/>
      <c r="AF569" s="211"/>
      <c r="AG569" s="211"/>
      <c r="AH569" s="211"/>
      <c r="AI569" s="211"/>
      <c r="AJ569" s="211"/>
      <c r="AL569" s="211"/>
      <c r="AM569" s="211"/>
      <c r="AN569" s="211"/>
      <c r="AO569" s="211"/>
      <c r="AP569" s="215"/>
      <c r="AQ569" s="218"/>
      <c r="AR569" s="211"/>
      <c r="AS569" s="211"/>
      <c r="AT569" s="211"/>
      <c r="AU569" s="211"/>
      <c r="AV569" s="211"/>
      <c r="AW569" s="211"/>
      <c r="AX569" s="211"/>
      <c r="AY569" s="211"/>
      <c r="AZ569" s="211"/>
      <c r="BB569" s="211"/>
      <c r="BC569" s="211"/>
      <c r="BD569" s="211"/>
      <c r="BE569" s="211"/>
      <c r="BF569" s="211"/>
      <c r="BG569" s="211"/>
      <c r="BH569" s="211"/>
      <c r="BI569" s="211"/>
    </row>
    <row r="570">
      <c r="A570" s="210" t="str">
        <f>IFERROR(__xludf.DUMMYFUNCTION("""COMPUTED_VALUE"""),"5ace096d")</f>
        <v>5ace096d</v>
      </c>
      <c r="B570" s="210" t="str">
        <f>IFERROR(__xludf.DUMMYFUNCTION("""COMPUTED_VALUE"""),"5ace096d")</f>
        <v>5ace096d</v>
      </c>
      <c r="C570" s="213">
        <f>IFERROR(__xludf.DUMMYFUNCTION("""COMPUTED_VALUE"""),45691.455555555556)</f>
        <v>45691.45556</v>
      </c>
      <c r="D570" s="211" t="str">
        <f>IFERROR(__xludf.DUMMYFUNCTION("""COMPUTED_VALUE"""),"4a01ccb6")</f>
        <v>4a01ccb6</v>
      </c>
      <c r="E570" s="211" t="str">
        <f>IFERROR(__xludf.DUMMYFUNCTION("""COMPUTED_VALUE"""),"CV ANUGERAH PERSADA TEKNIK")</f>
        <v>CV ANUGERAH PERSADA TEKNIK</v>
      </c>
      <c r="F570" s="211" t="str">
        <f>IFERROR(__xludf.DUMMYFUNCTION("""COMPUTED_VALUE"""),"ef306e54")</f>
        <v>ef306e54</v>
      </c>
      <c r="G570" s="211" t="str">
        <f>IFERROR(__xludf.DUMMYFUNCTION("""COMPUTED_VALUE"""),"Karbondioksida")</f>
        <v>Karbondioksida</v>
      </c>
      <c r="H570" s="214" t="str">
        <f>IFERROR(__xludf.DUMMYFUNCTION("""COMPUTED_VALUE"""),"IN")</f>
        <v>IN</v>
      </c>
      <c r="I570" s="214" t="str">
        <f>IFERROR(__xludf.DUMMYFUNCTION("""COMPUTED_VALUE"""),"CLAIM")</f>
        <v>CLAIM</v>
      </c>
      <c r="J570" s="211">
        <f>IFERROR(__xludf.DUMMYFUNCTION("""COMPUTED_VALUE"""),2.0)</f>
        <v>2</v>
      </c>
      <c r="K570" s="210" t="str">
        <f>IFERROR(__xludf.DUMMYFUNCTION("""COMPUTED_VALUE"""),"6900 6609")</f>
        <v>6900 6609</v>
      </c>
      <c r="L570" s="211"/>
      <c r="M570" s="211"/>
      <c r="N570" s="211"/>
      <c r="O570" s="211"/>
      <c r="Q570" s="210" t="str">
        <f>IFERROR(__xludf.DUMMYFUNCTION("""COMPUTED_VALUE"""),"638eadbf")</f>
        <v>638eadbf</v>
      </c>
      <c r="R570" s="210" t="str">
        <f>IFERROR(__xludf.DUMMYFUNCTION("""COMPUTED_VALUE"""),"638eadbf")</f>
        <v>638eadbf</v>
      </c>
      <c r="S570" s="211" t="str">
        <f>IFERROR(__xludf.DUMMYFUNCTION("""COMPUTED_VALUE"""),"01158be1")</f>
        <v>01158be1</v>
      </c>
      <c r="T570" s="211" t="str">
        <f>IFERROR(__xludf.DUMMYFUNCTION("""COMPUTED_VALUE"""),"GYF")</f>
        <v>GYF</v>
      </c>
      <c r="U570" s="215">
        <f>IFERROR(__xludf.DUMMYFUNCTION("""COMPUTED_VALUE"""),45726.6625)</f>
        <v>45726.6625</v>
      </c>
      <c r="V570" s="211" t="str">
        <f>IFERROR(__xludf.DUMMYFUNCTION("""COMPUTED_VALUE"""),"Kangkungan, Lengkong, Kec. Mojoanyar, Kabupaten Mojokerto, Jawa Timur")</f>
        <v>Kangkungan, Lengkong, Kec. Mojoanyar, Kabupaten Mojokerto, Jawa Timur</v>
      </c>
      <c r="W570" s="211" t="str">
        <f>IFERROR(__xludf.DUMMYFUNCTION("""COMPUTED_VALUE"""),"IN")</f>
        <v>IN</v>
      </c>
      <c r="X570" s="211"/>
      <c r="Z570" s="211" t="str">
        <f>IFERROR(__xludf.DUMMYFUNCTION("""COMPUTED_VALUE"""),"1125451853")</f>
        <v>1125451853</v>
      </c>
      <c r="AC570" s="211"/>
      <c r="AD570" s="211"/>
      <c r="AE570" s="211"/>
      <c r="AF570" s="211"/>
      <c r="AG570" s="211"/>
      <c r="AH570" s="211"/>
      <c r="AI570" s="211"/>
      <c r="AJ570" s="211"/>
      <c r="AL570" s="211"/>
      <c r="AM570" s="211"/>
      <c r="AN570" s="211"/>
      <c r="AO570" s="211"/>
      <c r="AP570" s="215"/>
      <c r="AQ570" s="218"/>
      <c r="AR570" s="211"/>
      <c r="AS570" s="211"/>
      <c r="AT570" s="211"/>
      <c r="AU570" s="211"/>
      <c r="AV570" s="211"/>
      <c r="AW570" s="211"/>
      <c r="AX570" s="211"/>
      <c r="AY570" s="211"/>
      <c r="AZ570" s="211"/>
      <c r="BB570" s="211"/>
      <c r="BC570" s="211"/>
      <c r="BD570" s="211"/>
      <c r="BE570" s="211"/>
      <c r="BF570" s="211"/>
      <c r="BG570" s="211"/>
      <c r="BH570" s="211"/>
      <c r="BI570" s="211"/>
    </row>
    <row r="571">
      <c r="A571" s="210" t="str">
        <f>IFERROR(__xludf.DUMMYFUNCTION("""COMPUTED_VALUE"""),"5ace096d")</f>
        <v>5ace096d</v>
      </c>
      <c r="B571" s="210" t="str">
        <f>IFERROR(__xludf.DUMMYFUNCTION("""COMPUTED_VALUE"""),"5ace096d")</f>
        <v>5ace096d</v>
      </c>
      <c r="C571" s="213">
        <f>IFERROR(__xludf.DUMMYFUNCTION("""COMPUTED_VALUE"""),45691.455555555556)</f>
        <v>45691.45556</v>
      </c>
      <c r="D571" s="211" t="str">
        <f>IFERROR(__xludf.DUMMYFUNCTION("""COMPUTED_VALUE"""),"4a01ccb6")</f>
        <v>4a01ccb6</v>
      </c>
      <c r="E571" s="211" t="str">
        <f>IFERROR(__xludf.DUMMYFUNCTION("""COMPUTED_VALUE"""),"CV ANUGERAH PERSADA TEKNIK")</f>
        <v>CV ANUGERAH PERSADA TEKNIK</v>
      </c>
      <c r="F571" s="211" t="str">
        <f>IFERROR(__xludf.DUMMYFUNCTION("""COMPUTED_VALUE"""),"66af7c72")</f>
        <v>66af7c72</v>
      </c>
      <c r="G571" s="211" t="str">
        <f>IFERROR(__xludf.DUMMYFUNCTION("""COMPUTED_VALUE"""),"Argon 6m3")</f>
        <v>Argon 6m3</v>
      </c>
      <c r="H571" s="214" t="str">
        <f>IFERROR(__xludf.DUMMYFUNCTION("""COMPUTED_VALUE"""),"IN")</f>
        <v>IN</v>
      </c>
      <c r="I571" s="214" t="str">
        <f>IFERROR(__xludf.DUMMYFUNCTION("""COMPUTED_VALUE"""),"EMPTY")</f>
        <v>EMPTY</v>
      </c>
      <c r="J571" s="211">
        <f>IFERROR(__xludf.DUMMYFUNCTION("""COMPUTED_VALUE"""),8.0)</f>
        <v>8</v>
      </c>
      <c r="K571" s="210" t="str">
        <f>IFERROR(__xludf.DUMMYFUNCTION("""COMPUTED_VALUE"""),"8224 8069 8184 8055 8056 12002 12001 8286")</f>
        <v>8224 8069 8184 8055 8056 12002 12001 8286</v>
      </c>
      <c r="L571" s="211"/>
      <c r="M571" s="211"/>
      <c r="N571" s="211"/>
      <c r="O571" s="211"/>
      <c r="Q571" s="210" t="str">
        <f>IFERROR(__xludf.DUMMYFUNCTION("""COMPUTED_VALUE"""),"03250313")</f>
        <v>03250313</v>
      </c>
      <c r="R571" s="210" t="str">
        <f>IFERROR(__xludf.DUMMYFUNCTION("""COMPUTED_VALUE"""),"03250313")</f>
        <v>03250313</v>
      </c>
      <c r="S571" s="211" t="str">
        <f>IFERROR(__xludf.DUMMYFUNCTION("""COMPUTED_VALUE"""),"5f23ba17")</f>
        <v>5f23ba17</v>
      </c>
      <c r="T571" s="211" t="str">
        <f>IFERROR(__xludf.DUMMYFUNCTION("""COMPUTED_VALUE"""),"Bpk. Joko (Gresik)")</f>
        <v>Bpk. Joko (Gresik)</v>
      </c>
      <c r="U571" s="215">
        <f>IFERROR(__xludf.DUMMYFUNCTION("""COMPUTED_VALUE"""),45727.37430555555)</f>
        <v>45727.37431</v>
      </c>
      <c r="V571" s="211" t="str">
        <f>IFERROR(__xludf.DUMMYFUNCTION("""COMPUTED_VALUE"""),"Tanggungan, Lebaniwaras, Kec. Wringinanom, Kabupaten Gresik, Jawa Timur")</f>
        <v>Tanggungan, Lebaniwaras, Kec. Wringinanom, Kabupaten Gresik, Jawa Timur</v>
      </c>
      <c r="W571" s="211" t="str">
        <f>IFERROR(__xludf.DUMMYFUNCTION("""COMPUTED_VALUE"""),"OUT")</f>
        <v>OUT</v>
      </c>
      <c r="X571" s="211"/>
      <c r="Z571" s="211" t="str">
        <f>IFERROR(__xludf.DUMMYFUNCTION("""COMPUTED_VALUE"""),"1125371849")</f>
        <v>1125371849</v>
      </c>
      <c r="AC571" s="211"/>
      <c r="AD571" s="211"/>
      <c r="AE571" s="211"/>
      <c r="AF571" s="211"/>
      <c r="AG571" s="211"/>
      <c r="AH571" s="211"/>
      <c r="AI571" s="211"/>
      <c r="AJ571" s="211"/>
      <c r="AL571" s="211"/>
      <c r="AM571" s="211"/>
      <c r="AN571" s="211"/>
      <c r="AO571" s="211"/>
      <c r="AP571" s="215"/>
      <c r="AQ571" s="218"/>
      <c r="AR571" s="211"/>
      <c r="AS571" s="211"/>
      <c r="AT571" s="211"/>
      <c r="AU571" s="211"/>
      <c r="AV571" s="211"/>
      <c r="AW571" s="211"/>
      <c r="AX571" s="211"/>
      <c r="AY571" s="211"/>
      <c r="AZ571" s="211"/>
      <c r="BB571" s="211"/>
      <c r="BC571" s="211"/>
      <c r="BD571" s="211"/>
      <c r="BE571" s="211"/>
      <c r="BF571" s="211"/>
      <c r="BG571" s="211"/>
      <c r="BH571" s="211"/>
      <c r="BI571" s="211"/>
    </row>
    <row r="572">
      <c r="A572" s="210" t="str">
        <f>IFERROR(__xludf.DUMMYFUNCTION("""COMPUTED_VALUE"""),"dd28eeb9")</f>
        <v>dd28eeb9</v>
      </c>
      <c r="B572" s="210" t="str">
        <f>IFERROR(__xludf.DUMMYFUNCTION("""COMPUTED_VALUE"""),"dd28eeb9")</f>
        <v>dd28eeb9</v>
      </c>
      <c r="C572" s="213">
        <f>IFERROR(__xludf.DUMMYFUNCTION("""COMPUTED_VALUE"""),45691.46666666667)</f>
        <v>45691.46667</v>
      </c>
      <c r="D572" s="211" t="str">
        <f>IFERROR(__xludf.DUMMYFUNCTION("""COMPUTED_VALUE"""),"8f5ebaea")</f>
        <v>8f5ebaea</v>
      </c>
      <c r="E572" s="211" t="str">
        <f>IFERROR(__xludf.DUMMYFUNCTION("""COMPUTED_VALUE"""),"PT Hua Zong Mesindo")</f>
        <v>PT Hua Zong Mesindo</v>
      </c>
      <c r="F572" s="211" t="str">
        <f>IFERROR(__xludf.DUMMYFUNCTION("""COMPUTED_VALUE"""),"66af7c72")</f>
        <v>66af7c72</v>
      </c>
      <c r="G572" s="211" t="str">
        <f>IFERROR(__xludf.DUMMYFUNCTION("""COMPUTED_VALUE"""),"Argon 6m3")</f>
        <v>Argon 6m3</v>
      </c>
      <c r="H572" s="214" t="str">
        <f>IFERROR(__xludf.DUMMYFUNCTION("""COMPUTED_VALUE"""),"IN")</f>
        <v>IN</v>
      </c>
      <c r="I572" s="214" t="str">
        <f>IFERROR(__xludf.DUMMYFUNCTION("""COMPUTED_VALUE"""),"EMPTY")</f>
        <v>EMPTY</v>
      </c>
      <c r="J572" s="211">
        <f>IFERROR(__xludf.DUMMYFUNCTION("""COMPUTED_VALUE"""),2.0)</f>
        <v>2</v>
      </c>
      <c r="K572" s="210" t="str">
        <f>IFERROR(__xludf.DUMMYFUNCTION("""COMPUTED_VALUE"""),"8123 8091")</f>
        <v>8123 8091</v>
      </c>
      <c r="L572" s="211">
        <f>IFERROR(__xludf.DUMMYFUNCTION("""COMPUTED_VALUE"""),0.0)</f>
        <v>0</v>
      </c>
      <c r="M572" s="211"/>
      <c r="N572" s="211"/>
      <c r="O572" s="211"/>
      <c r="Q572" s="210" t="str">
        <f>IFERROR(__xludf.DUMMYFUNCTION("""COMPUTED_VALUE"""),"03250314")</f>
        <v>03250314</v>
      </c>
      <c r="R572" s="210" t="str">
        <f>IFERROR(__xludf.DUMMYFUNCTION("""COMPUTED_VALUE"""),"03250314")</f>
        <v>03250314</v>
      </c>
      <c r="S572" s="211" t="str">
        <f>IFERROR(__xludf.DUMMYFUNCTION("""COMPUTED_VALUE"""),"ac52e1fa")</f>
        <v>ac52e1fa</v>
      </c>
      <c r="T572" s="211" t="str">
        <f>IFERROR(__xludf.DUMMYFUNCTION("""COMPUTED_VALUE"""),"Abah Mad")</f>
        <v>Abah Mad</v>
      </c>
      <c r="U572" s="215">
        <f>IFERROR(__xludf.DUMMYFUNCTION("""COMPUTED_VALUE"""),45727.33541666667)</f>
        <v>45727.33542</v>
      </c>
      <c r="V572" s="211" t="str">
        <f>IFERROR(__xludf.DUMMYFUNCTION("""COMPUTED_VALUE"""),"Jl. Raya Surabaya  Madiun, Sidotemo, Sidomulyo, Kec. Krian, Kabupaten Sidoarjo, Jawa Timur 61262")</f>
        <v>Jl. Raya Surabaya  Madiun, Sidotemo, Sidomulyo, Kec. Krian, Kabupaten Sidoarjo, Jawa Timur 61262</v>
      </c>
      <c r="W572" s="211" t="str">
        <f>IFERROR(__xludf.DUMMYFUNCTION("""COMPUTED_VALUE"""),"OUT")</f>
        <v>OUT</v>
      </c>
      <c r="X572" s="211"/>
      <c r="Z572" s="211" t="str">
        <f>IFERROR(__xludf.DUMMYFUNCTION("""COMPUTED_VALUE"""),"112561848")</f>
        <v>112561848</v>
      </c>
      <c r="AC572" s="211"/>
      <c r="AD572" s="211"/>
      <c r="AE572" s="211"/>
      <c r="AF572" s="211"/>
      <c r="AG572" s="211"/>
      <c r="AH572" s="211"/>
      <c r="AI572" s="211"/>
      <c r="AJ572" s="211"/>
      <c r="AL572" s="211"/>
      <c r="AM572" s="211"/>
      <c r="AN572" s="211"/>
      <c r="AO572" s="211"/>
      <c r="AP572" s="215"/>
      <c r="AQ572" s="218"/>
      <c r="AR572" s="211"/>
      <c r="AS572" s="211"/>
      <c r="AT572" s="211"/>
      <c r="AU572" s="211"/>
      <c r="AV572" s="211"/>
      <c r="AW572" s="211"/>
      <c r="AX572" s="211"/>
      <c r="AY572" s="211"/>
      <c r="AZ572" s="211"/>
      <c r="BB572" s="211"/>
      <c r="BC572" s="211"/>
      <c r="BD572" s="211"/>
      <c r="BE572" s="211"/>
      <c r="BF572" s="211"/>
      <c r="BG572" s="211"/>
      <c r="BH572" s="211"/>
      <c r="BI572" s="211"/>
    </row>
    <row r="573">
      <c r="A573" s="210" t="str">
        <f>IFERROR(__xludf.DUMMYFUNCTION("""COMPUTED_VALUE"""),"dd28eeb9")</f>
        <v>dd28eeb9</v>
      </c>
      <c r="B573" s="210" t="str">
        <f>IFERROR(__xludf.DUMMYFUNCTION("""COMPUTED_VALUE"""),"dd28eeb9")</f>
        <v>dd28eeb9</v>
      </c>
      <c r="C573" s="213">
        <f>IFERROR(__xludf.DUMMYFUNCTION("""COMPUTED_VALUE"""),45691.46805555555)</f>
        <v>45691.46806</v>
      </c>
      <c r="D573" s="211" t="str">
        <f>IFERROR(__xludf.DUMMYFUNCTION("""COMPUTED_VALUE"""),"8f5ebaea")</f>
        <v>8f5ebaea</v>
      </c>
      <c r="E573" s="211" t="str">
        <f>IFERROR(__xludf.DUMMYFUNCTION("""COMPUTED_VALUE"""),"PT Hua Zong Mesindo")</f>
        <v>PT Hua Zong Mesindo</v>
      </c>
      <c r="F573" s="211" t="str">
        <f>IFERROR(__xludf.DUMMYFUNCTION("""COMPUTED_VALUE"""),"8bdbe149")</f>
        <v>8bdbe149</v>
      </c>
      <c r="G573" s="211" t="str">
        <f>IFERROR(__xludf.DUMMYFUNCTION("""COMPUTED_VALUE"""),"Oksigen 6m3")</f>
        <v>Oksigen 6m3</v>
      </c>
      <c r="H573" s="214" t="str">
        <f>IFERROR(__xludf.DUMMYFUNCTION("""COMPUTED_VALUE"""),"IN")</f>
        <v>IN</v>
      </c>
      <c r="I573" s="214" t="str">
        <f>IFERROR(__xludf.DUMMYFUNCTION("""COMPUTED_VALUE"""),"EMPTY")</f>
        <v>EMPTY</v>
      </c>
      <c r="J573" s="211">
        <f>IFERROR(__xludf.DUMMYFUNCTION("""COMPUTED_VALUE"""),1.0)</f>
        <v>1</v>
      </c>
      <c r="K573" s="210" t="str">
        <f>IFERROR(__xludf.DUMMYFUNCTION("""COMPUTED_VALUE"""),"1188")</f>
        <v>1188</v>
      </c>
      <c r="L573" s="211"/>
      <c r="M573" s="211"/>
      <c r="N573" s="211"/>
      <c r="O573" s="211"/>
      <c r="Q573" s="210" t="str">
        <f>IFERROR(__xludf.DUMMYFUNCTION("""COMPUTED_VALUE"""),"03250315")</f>
        <v>03250315</v>
      </c>
      <c r="R573" s="210" t="str">
        <f>IFERROR(__xludf.DUMMYFUNCTION("""COMPUTED_VALUE"""),"03250315")</f>
        <v>03250315</v>
      </c>
      <c r="S573" s="211" t="str">
        <f>IFERROR(__xludf.DUMMYFUNCTION("""COMPUTED_VALUE"""),"ed2cc96a")</f>
        <v>ed2cc96a</v>
      </c>
      <c r="T573" s="211" t="str">
        <f>IFERROR(__xludf.DUMMYFUNCTION("""COMPUTED_VALUE"""),"Bengkel Dian Jaya")</f>
        <v>Bengkel Dian Jaya</v>
      </c>
      <c r="U573" s="215">
        <f>IFERROR(__xludf.DUMMYFUNCTION("""COMPUTED_VALUE"""),45727.34236111111)</f>
        <v>45727.34236</v>
      </c>
      <c r="V573" s="211" t="str">
        <f>IFERROR(__xludf.DUMMYFUNCTION("""COMPUTED_VALUE"""),"Gg. 2, Kejagan, Kec. Trowulan, Kabupaten Mojokerto, Jawa Timur 61362")</f>
        <v>Gg. 2, Kejagan, Kec. Trowulan, Kabupaten Mojokerto, Jawa Timur 61362</v>
      </c>
      <c r="W573" s="211" t="str">
        <f>IFERROR(__xludf.DUMMYFUNCTION("""COMPUTED_VALUE"""),"OUT")</f>
        <v>OUT</v>
      </c>
      <c r="X573" s="211"/>
      <c r="Z573" s="211" t="str">
        <f>IFERROR(__xludf.DUMMYFUNCTION("""COMPUTED_VALUE"""),"112581846")</f>
        <v>112581846</v>
      </c>
      <c r="AC573" s="211"/>
      <c r="AD573" s="211"/>
      <c r="AE573" s="211"/>
      <c r="AF573" s="211"/>
      <c r="AG573" s="211"/>
      <c r="AH573" s="211"/>
      <c r="AI573" s="211"/>
      <c r="AJ573" s="211"/>
      <c r="AL573" s="211"/>
      <c r="AM573" s="211"/>
      <c r="AN573" s="211"/>
      <c r="AO573" s="211"/>
      <c r="AP573" s="215"/>
      <c r="AQ573" s="218"/>
      <c r="AR573" s="211"/>
      <c r="AS573" s="211"/>
      <c r="AT573" s="211"/>
      <c r="AU573" s="211"/>
      <c r="AV573" s="211"/>
      <c r="AW573" s="211"/>
      <c r="AX573" s="211"/>
      <c r="AY573" s="211"/>
      <c r="AZ573" s="211"/>
      <c r="BB573" s="211"/>
      <c r="BC573" s="211"/>
      <c r="BD573" s="211"/>
      <c r="BE573" s="211"/>
      <c r="BF573" s="211"/>
      <c r="BG573" s="211"/>
      <c r="BH573" s="211"/>
      <c r="BI573" s="211"/>
    </row>
    <row r="574">
      <c r="A574" s="210" t="str">
        <f>IFERROR(__xludf.DUMMYFUNCTION("""COMPUTED_VALUE"""),"dd28eeb9")</f>
        <v>dd28eeb9</v>
      </c>
      <c r="B574" s="210" t="str">
        <f>IFERROR(__xludf.DUMMYFUNCTION("""COMPUTED_VALUE"""),"dd28eeb9")</f>
        <v>dd28eeb9</v>
      </c>
      <c r="C574" s="213">
        <f>IFERROR(__xludf.DUMMYFUNCTION("""COMPUTED_VALUE"""),45691.46875)</f>
        <v>45691.46875</v>
      </c>
      <c r="D574" s="211" t="str">
        <f>IFERROR(__xludf.DUMMYFUNCTION("""COMPUTED_VALUE"""),"8f5ebaea")</f>
        <v>8f5ebaea</v>
      </c>
      <c r="E574" s="211" t="str">
        <f>IFERROR(__xludf.DUMMYFUNCTION("""COMPUTED_VALUE"""),"PT Hua Zong Mesindo")</f>
        <v>PT Hua Zong Mesindo</v>
      </c>
      <c r="F574" s="211" t="str">
        <f>IFERROR(__xludf.DUMMYFUNCTION("""COMPUTED_VALUE"""),"ef306e54")</f>
        <v>ef306e54</v>
      </c>
      <c r="G574" s="211" t="str">
        <f>IFERROR(__xludf.DUMMYFUNCTION("""COMPUTED_VALUE"""),"Karbondioksida")</f>
        <v>Karbondioksida</v>
      </c>
      <c r="H574" s="214" t="str">
        <f>IFERROR(__xludf.DUMMYFUNCTION("""COMPUTED_VALUE"""),"IN")</f>
        <v>IN</v>
      </c>
      <c r="I574" s="214" t="str">
        <f>IFERROR(__xludf.DUMMYFUNCTION("""COMPUTED_VALUE"""),"CLAIM")</f>
        <v>CLAIM</v>
      </c>
      <c r="J574" s="211">
        <f>IFERROR(__xludf.DUMMYFUNCTION("""COMPUTED_VALUE"""),1.0)</f>
        <v>1</v>
      </c>
      <c r="K574" s="210" t="str">
        <f>IFERROR(__xludf.DUMMYFUNCTION("""COMPUTED_VALUE"""),"6760")</f>
        <v>6760</v>
      </c>
      <c r="L574" s="211"/>
      <c r="M574" s="211"/>
      <c r="N574" s="211"/>
      <c r="O574" s="211"/>
      <c r="Q574" s="210" t="str">
        <f>IFERROR(__xludf.DUMMYFUNCTION("""COMPUTED_VALUE"""),"03250317")</f>
        <v>03250317</v>
      </c>
      <c r="R574" s="210" t="str">
        <f>IFERROR(__xludf.DUMMYFUNCTION("""COMPUTED_VALUE"""),"03250317")</f>
        <v>03250317</v>
      </c>
      <c r="S574" s="211" t="str">
        <f>IFERROR(__xludf.DUMMYFUNCTION("""COMPUTED_VALUE"""),"df6bdc5d")</f>
        <v>df6bdc5d</v>
      </c>
      <c r="T574" s="211" t="str">
        <f>IFERROR(__xludf.DUMMYFUNCTION("""COMPUTED_VALUE"""),"Bpk. Maruf")</f>
        <v>Bpk. Maruf</v>
      </c>
      <c r="U574" s="215">
        <f>IFERROR(__xludf.DUMMYFUNCTION("""COMPUTED_VALUE"""),45727.56736111111)</f>
        <v>45727.56736</v>
      </c>
      <c r="V574" s="211" t="str">
        <f>IFERROR(__xludf.DUMMYFUNCTION("""COMPUTED_VALUE"""),"CC6P+83G, Padangasri, Kec. Jatirejo, Kabupaten Mojokerto, Jawa Timur 61373")</f>
        <v>CC6P+83G, Padangasri, Kec. Jatirejo, Kabupaten Mojokerto, Jawa Timur 61373</v>
      </c>
      <c r="W574" s="211" t="str">
        <f>IFERROR(__xludf.DUMMYFUNCTION("""COMPUTED_VALUE"""),"OUT")</f>
        <v>OUT</v>
      </c>
      <c r="X574" s="211"/>
      <c r="Z574" s="211" t="str">
        <f>IFERROR(__xludf.DUMMYFUNCTION("""COMPUTED_VALUE"""),"112561845")</f>
        <v>112561845</v>
      </c>
      <c r="AC574" s="211"/>
      <c r="AD574" s="211"/>
      <c r="AE574" s="211"/>
      <c r="AF574" s="211"/>
      <c r="AG574" s="211"/>
      <c r="AH574" s="211"/>
      <c r="AI574" s="211"/>
      <c r="AJ574" s="211"/>
      <c r="AL574" s="211"/>
      <c r="AM574" s="211"/>
      <c r="AN574" s="211"/>
      <c r="AO574" s="211"/>
      <c r="AP574" s="215"/>
      <c r="AQ574" s="218"/>
      <c r="AR574" s="211"/>
      <c r="AS574" s="211"/>
      <c r="AT574" s="211"/>
      <c r="AU574" s="211"/>
      <c r="AV574" s="211"/>
      <c r="AW574" s="211"/>
      <c r="AX574" s="211"/>
      <c r="AY574" s="211"/>
      <c r="AZ574" s="211"/>
      <c r="BB574" s="211"/>
      <c r="BC574" s="211"/>
      <c r="BD574" s="211"/>
      <c r="BE574" s="211"/>
      <c r="BF574" s="211"/>
      <c r="BG574" s="211"/>
      <c r="BH574" s="211"/>
      <c r="BI574" s="211"/>
    </row>
    <row r="575">
      <c r="A575" s="210" t="str">
        <f>IFERROR(__xludf.DUMMYFUNCTION("""COMPUTED_VALUE"""),"4aedb87d")</f>
        <v>4aedb87d</v>
      </c>
      <c r="B575" s="210" t="str">
        <f>IFERROR(__xludf.DUMMYFUNCTION("""COMPUTED_VALUE"""),"4aedb87d")</f>
        <v>4aedb87d</v>
      </c>
      <c r="C575" s="213">
        <f>IFERROR(__xludf.DUMMYFUNCTION("""COMPUTED_VALUE"""),45691.46944444445)</f>
        <v>45691.46944</v>
      </c>
      <c r="D575" s="211" t="str">
        <f>IFERROR(__xludf.DUMMYFUNCTION("""COMPUTED_VALUE"""),"8ea74d81")</f>
        <v>8ea74d81</v>
      </c>
      <c r="E575" s="211" t="str">
        <f>IFERROR(__xludf.DUMMYFUNCTION("""COMPUTED_VALUE"""),"Bengkel Adi Putra")</f>
        <v>Bengkel Adi Putra</v>
      </c>
      <c r="F575" s="211" t="str">
        <f>IFERROR(__xludf.DUMMYFUNCTION("""COMPUTED_VALUE"""),"8bdbe149")</f>
        <v>8bdbe149</v>
      </c>
      <c r="G575" s="211" t="str">
        <f>IFERROR(__xludf.DUMMYFUNCTION("""COMPUTED_VALUE"""),"Oksigen 6m3")</f>
        <v>Oksigen 6m3</v>
      </c>
      <c r="H575" s="214" t="str">
        <f>IFERROR(__xludf.DUMMYFUNCTION("""COMPUTED_VALUE"""),"IN")</f>
        <v>IN</v>
      </c>
      <c r="I575" s="214" t="str">
        <f>IFERROR(__xludf.DUMMYFUNCTION("""COMPUTED_VALUE"""),"EMPTY")</f>
        <v>EMPTY</v>
      </c>
      <c r="J575" s="211">
        <f>IFERROR(__xludf.DUMMYFUNCTION("""COMPUTED_VALUE"""),2.0)</f>
        <v>2</v>
      </c>
      <c r="K575" s="210" t="str">
        <f>IFERROR(__xludf.DUMMYFUNCTION("""COMPUTED_VALUE"""),"11187 11189")</f>
        <v>11187 11189</v>
      </c>
      <c r="L575" s="211"/>
      <c r="M575" s="211"/>
      <c r="N575" s="211"/>
      <c r="O575" s="211"/>
      <c r="Q575" s="210" t="str">
        <f>IFERROR(__xludf.DUMMYFUNCTION("""COMPUTED_VALUE"""),"0257f267")</f>
        <v>0257f267</v>
      </c>
      <c r="R575" s="210" t="str">
        <f>IFERROR(__xludf.DUMMYFUNCTION("""COMPUTED_VALUE"""),"0257f267")</f>
        <v>0257f267</v>
      </c>
      <c r="S575" s="211" t="str">
        <f>IFERROR(__xludf.DUMMYFUNCTION("""COMPUTED_VALUE"""),"5f23ba17")</f>
        <v>5f23ba17</v>
      </c>
      <c r="T575" s="211" t="str">
        <f>IFERROR(__xludf.DUMMYFUNCTION("""COMPUTED_VALUE"""),"Bpk. Joko (Gresik)")</f>
        <v>Bpk. Joko (Gresik)</v>
      </c>
      <c r="U575" s="215">
        <f>IFERROR(__xludf.DUMMYFUNCTION("""COMPUTED_VALUE"""),45727.57708333334)</f>
        <v>45727.57708</v>
      </c>
      <c r="V575" s="211" t="str">
        <f>IFERROR(__xludf.DUMMYFUNCTION("""COMPUTED_VALUE"""),"Tanggungan, Lebaniwaras, Kec. Wringinanom, Kabupaten Gresik, Jawa Timur")</f>
        <v>Tanggungan, Lebaniwaras, Kec. Wringinanom, Kabupaten Gresik, Jawa Timur</v>
      </c>
      <c r="W575" s="211" t="str">
        <f>IFERROR(__xludf.DUMMYFUNCTION("""COMPUTED_VALUE"""),"IN")</f>
        <v>IN</v>
      </c>
      <c r="X575" s="211"/>
      <c r="Z575" s="211" t="str">
        <f>IFERROR(__xludf.DUMMYFUNCTION("""COMPUTED_VALUE"""),"112551839")</f>
        <v>112551839</v>
      </c>
      <c r="AC575" s="211"/>
      <c r="AD575" s="211"/>
      <c r="AE575" s="211"/>
      <c r="AF575" s="211"/>
      <c r="AG575" s="211"/>
      <c r="AH575" s="211"/>
      <c r="AI575" s="211"/>
      <c r="AJ575" s="211"/>
      <c r="AL575" s="211"/>
      <c r="AM575" s="211"/>
      <c r="AN575" s="211"/>
      <c r="AO575" s="211"/>
      <c r="AP575" s="215"/>
      <c r="AQ575" s="218"/>
      <c r="AR575" s="211"/>
      <c r="AS575" s="211"/>
      <c r="AT575" s="211"/>
      <c r="AU575" s="211"/>
      <c r="AV575" s="211"/>
      <c r="AW575" s="211"/>
      <c r="AX575" s="211"/>
      <c r="AY575" s="211"/>
      <c r="AZ575" s="211"/>
      <c r="BB575" s="211"/>
      <c r="BC575" s="211"/>
      <c r="BD575" s="211"/>
      <c r="BE575" s="211"/>
      <c r="BF575" s="211"/>
      <c r="BG575" s="211"/>
      <c r="BH575" s="211"/>
      <c r="BI575" s="211"/>
    </row>
    <row r="576">
      <c r="A576" s="210" t="str">
        <f>IFERROR(__xludf.DUMMYFUNCTION("""COMPUTED_VALUE"""),"4aedb87d")</f>
        <v>4aedb87d</v>
      </c>
      <c r="B576" s="210" t="str">
        <f>IFERROR(__xludf.DUMMYFUNCTION("""COMPUTED_VALUE"""),"4aedb87d")</f>
        <v>4aedb87d</v>
      </c>
      <c r="C576" s="213">
        <f>IFERROR(__xludf.DUMMYFUNCTION("""COMPUTED_VALUE"""),45691.470138888886)</f>
        <v>45691.47014</v>
      </c>
      <c r="D576" s="211" t="str">
        <f>IFERROR(__xludf.DUMMYFUNCTION("""COMPUTED_VALUE"""),"8ea74d81")</f>
        <v>8ea74d81</v>
      </c>
      <c r="E576" s="211" t="str">
        <f>IFERROR(__xludf.DUMMYFUNCTION("""COMPUTED_VALUE"""),"Bengkel Adi Putra")</f>
        <v>Bengkel Adi Putra</v>
      </c>
      <c r="F576" s="211" t="str">
        <f>IFERROR(__xludf.DUMMYFUNCTION("""COMPUTED_VALUE"""),"3b9d6a30")</f>
        <v>3b9d6a30</v>
      </c>
      <c r="G576" s="211" t="str">
        <f>IFERROR(__xludf.DUMMYFUNCTION("""COMPUTED_VALUE"""),"Acetyline")</f>
        <v>Acetyline</v>
      </c>
      <c r="H576" s="214" t="str">
        <f>IFERROR(__xludf.DUMMYFUNCTION("""COMPUTED_VALUE"""),"IN")</f>
        <v>IN</v>
      </c>
      <c r="I576" s="214" t="str">
        <f>IFERROR(__xludf.DUMMYFUNCTION("""COMPUTED_VALUE"""),"EMPTY")</f>
        <v>EMPTY</v>
      </c>
      <c r="J576" s="211">
        <f>IFERROR(__xludf.DUMMYFUNCTION("""COMPUTED_VALUE"""),1.0)</f>
        <v>1</v>
      </c>
      <c r="K576" s="210" t="str">
        <f>IFERROR(__xludf.DUMMYFUNCTION("""COMPUTED_VALUE"""),"7975")</f>
        <v>7975</v>
      </c>
      <c r="L576" s="211"/>
      <c r="M576" s="211"/>
      <c r="N576" s="211"/>
      <c r="O576" s="211"/>
      <c r="Q576" s="210" t="str">
        <f>IFERROR(__xludf.DUMMYFUNCTION("""COMPUTED_VALUE"""),"2e0d2246")</f>
        <v>2e0d2246</v>
      </c>
      <c r="R576" s="210" t="str">
        <f>IFERROR(__xludf.DUMMYFUNCTION("""COMPUTED_VALUE"""),"2e0d2246")</f>
        <v>2e0d2246</v>
      </c>
      <c r="S576" s="211" t="str">
        <f>IFERROR(__xludf.DUMMYFUNCTION("""COMPUTED_VALUE"""),"ac52e1fa")</f>
        <v>ac52e1fa</v>
      </c>
      <c r="T576" s="211" t="str">
        <f>IFERROR(__xludf.DUMMYFUNCTION("""COMPUTED_VALUE"""),"Abah Mad")</f>
        <v>Abah Mad</v>
      </c>
      <c r="U576" s="215">
        <f>IFERROR(__xludf.DUMMYFUNCTION("""COMPUTED_VALUE"""),45727.57777777778)</f>
        <v>45727.57778</v>
      </c>
      <c r="V576" s="211" t="str">
        <f>IFERROR(__xludf.DUMMYFUNCTION("""COMPUTED_VALUE"""),"Jl. Raya Surabaya  Madiun, Sidotemo, Sidomulyo, Kec. Krian, Kabupaten Sidoarjo, Jawa Timur 61262")</f>
        <v>Jl. Raya Surabaya  Madiun, Sidotemo, Sidomulyo, Kec. Krian, Kabupaten Sidoarjo, Jawa Timur 61262</v>
      </c>
      <c r="W576" s="211" t="str">
        <f>IFERROR(__xludf.DUMMYFUNCTION("""COMPUTED_VALUE"""),"IN")</f>
        <v>IN</v>
      </c>
      <c r="X576" s="211"/>
      <c r="Z576" s="211" t="str">
        <f>IFERROR(__xludf.DUMMYFUNCTION("""COMPUTED_VALUE"""),"112551833")</f>
        <v>112551833</v>
      </c>
      <c r="AC576" s="211"/>
      <c r="AD576" s="211"/>
      <c r="AE576" s="211"/>
      <c r="AF576" s="211"/>
      <c r="AG576" s="211"/>
      <c r="AH576" s="211"/>
      <c r="AI576" s="211"/>
      <c r="AJ576" s="211"/>
      <c r="AL576" s="211"/>
      <c r="AM576" s="211"/>
      <c r="AN576" s="211"/>
      <c r="AO576" s="211"/>
      <c r="AP576" s="215"/>
      <c r="AQ576" s="218"/>
      <c r="AR576" s="211"/>
      <c r="AS576" s="211"/>
      <c r="AT576" s="211"/>
      <c r="AU576" s="211"/>
      <c r="AV576" s="211"/>
      <c r="AW576" s="211"/>
      <c r="AX576" s="211"/>
      <c r="AY576" s="211"/>
      <c r="AZ576" s="211"/>
      <c r="BB576" s="211"/>
      <c r="BC576" s="211"/>
      <c r="BD576" s="211"/>
      <c r="BE576" s="211"/>
      <c r="BF576" s="211"/>
      <c r="BG576" s="211"/>
      <c r="BH576" s="211"/>
      <c r="BI576" s="211"/>
    </row>
    <row r="577">
      <c r="A577" s="210" t="str">
        <f>IFERROR(__xludf.DUMMYFUNCTION("""COMPUTED_VALUE"""),"402250008")</f>
        <v>402250008</v>
      </c>
      <c r="B577" s="210" t="str">
        <f>IFERROR(__xludf.DUMMYFUNCTION("""COMPUTED_VALUE"""),"402250008")</f>
        <v>402250008</v>
      </c>
      <c r="C577" s="213">
        <f>IFERROR(__xludf.DUMMYFUNCTION("""COMPUTED_VALUE"""),45692.35833333333)</f>
        <v>45692.35833</v>
      </c>
      <c r="D577" s="211" t="str">
        <f>IFERROR(__xludf.DUMMYFUNCTION("""COMPUTED_VALUE"""),"5f23ba17")</f>
        <v>5f23ba17</v>
      </c>
      <c r="E577" s="211" t="str">
        <f>IFERROR(__xludf.DUMMYFUNCTION("""COMPUTED_VALUE"""),"Bpk. Joko (Gresik)")</f>
        <v>Bpk. Joko (Gresik)</v>
      </c>
      <c r="F577" s="211" t="str">
        <f>IFERROR(__xludf.DUMMYFUNCTION("""COMPUTED_VALUE"""),"8bdbe149")</f>
        <v>8bdbe149</v>
      </c>
      <c r="G577" s="211" t="str">
        <f>IFERROR(__xludf.DUMMYFUNCTION("""COMPUTED_VALUE"""),"Oksigen 6m3")</f>
        <v>Oksigen 6m3</v>
      </c>
      <c r="H577" s="214" t="str">
        <f>IFERROR(__xludf.DUMMYFUNCTION("""COMPUTED_VALUE"""),"OTHER")</f>
        <v>OTHER</v>
      </c>
      <c r="I577" s="214" t="str">
        <f>IFERROR(__xludf.DUMMYFUNCTION("""COMPUTED_VALUE"""),"RETUR CLAIM")</f>
        <v>RETUR CLAIM</v>
      </c>
      <c r="J577" s="211">
        <f>IFERROR(__xludf.DUMMYFUNCTION("""COMPUTED_VALUE"""),1.0)</f>
        <v>1</v>
      </c>
      <c r="K577" s="210" t="str">
        <f>IFERROR(__xludf.DUMMYFUNCTION("""COMPUTED_VALUE"""),"11180")</f>
        <v>11180</v>
      </c>
      <c r="L577" s="211"/>
      <c r="M577" s="211"/>
      <c r="N577" s="211"/>
      <c r="O577" s="211"/>
      <c r="Q577" s="210" t="str">
        <f>IFERROR(__xludf.DUMMYFUNCTION("""COMPUTED_VALUE"""),"e772d2ec")</f>
        <v>e772d2ec</v>
      </c>
      <c r="R577" s="210" t="str">
        <f>IFERROR(__xludf.DUMMYFUNCTION("""COMPUTED_VALUE"""),"e772d2ec")</f>
        <v>e772d2ec</v>
      </c>
      <c r="S577" s="211" t="str">
        <f>IFERROR(__xludf.DUMMYFUNCTION("""COMPUTED_VALUE"""),"d78b2eaf")</f>
        <v>d78b2eaf</v>
      </c>
      <c r="T577" s="211" t="str">
        <f>IFERROR(__xludf.DUMMYFUNCTION("""COMPUTED_VALUE"""),"PT Sinar Indogreen Kencana")</f>
        <v>PT Sinar Indogreen Kencana</v>
      </c>
      <c r="U577" s="215">
        <f>IFERROR(__xludf.DUMMYFUNCTION("""COMPUTED_VALUE"""),45727.64722222222)</f>
        <v>45727.64722</v>
      </c>
      <c r="V577" s="211" t="str">
        <f>IFERROR(__xludf.DUMMYFUNCTION("""COMPUTED_VALUE"""),"Jl. Raya Ponokawan 8b RT/001 RW/002, Ponokawan, Krian, Sidoarjo")</f>
        <v>Jl. Raya Ponokawan 8b RT/001 RW/002, Ponokawan, Krian, Sidoarjo</v>
      </c>
      <c r="W577" s="211" t="str">
        <f>IFERROR(__xludf.DUMMYFUNCTION("""COMPUTED_VALUE"""),"IN")</f>
        <v>IN</v>
      </c>
      <c r="X577" s="211"/>
      <c r="Z577" s="211" t="str">
        <f>IFERROR(__xludf.DUMMYFUNCTION("""COMPUTED_VALUE"""),"1125231832")</f>
        <v>1125231832</v>
      </c>
      <c r="AC577" s="211"/>
      <c r="AD577" s="211"/>
      <c r="AE577" s="211"/>
      <c r="AF577" s="211"/>
      <c r="AG577" s="211"/>
      <c r="AH577" s="211"/>
      <c r="AI577" s="211"/>
      <c r="AJ577" s="211"/>
      <c r="AL577" s="211"/>
      <c r="AM577" s="211"/>
      <c r="AN577" s="211"/>
      <c r="AO577" s="211"/>
      <c r="AP577" s="215"/>
      <c r="AQ577" s="218"/>
      <c r="AR577" s="211"/>
      <c r="AS577" s="211"/>
      <c r="AT577" s="211"/>
      <c r="AU577" s="211"/>
      <c r="AV577" s="211"/>
      <c r="AW577" s="211"/>
      <c r="AX577" s="211"/>
      <c r="AY577" s="211"/>
      <c r="AZ577" s="211"/>
      <c r="BB577" s="211"/>
      <c r="BC577" s="211"/>
      <c r="BD577" s="211"/>
      <c r="BE577" s="211"/>
      <c r="BF577" s="211"/>
      <c r="BG577" s="211"/>
      <c r="BH577" s="211"/>
      <c r="BI577" s="211"/>
    </row>
    <row r="578">
      <c r="A578" s="210" t="str">
        <f>IFERROR(__xludf.DUMMYFUNCTION("""COMPUTED_VALUE"""),"02250239")</f>
        <v>02250239</v>
      </c>
      <c r="B578" s="210" t="str">
        <f>IFERROR(__xludf.DUMMYFUNCTION("""COMPUTED_VALUE"""),"02250239")</f>
        <v>02250239</v>
      </c>
      <c r="C578" s="213">
        <f>IFERROR(__xludf.DUMMYFUNCTION("""COMPUTED_VALUE"""),45692.35833333333)</f>
        <v>45692.35833</v>
      </c>
      <c r="D578" s="211" t="str">
        <f>IFERROR(__xludf.DUMMYFUNCTION("""COMPUTED_VALUE"""),"5f23ba17")</f>
        <v>5f23ba17</v>
      </c>
      <c r="E578" s="211" t="str">
        <f>IFERROR(__xludf.DUMMYFUNCTION("""COMPUTED_VALUE"""),"Bpk. Joko (Gresik)")</f>
        <v>Bpk. Joko (Gresik)</v>
      </c>
      <c r="F578" s="211" t="str">
        <f>IFERROR(__xludf.DUMMYFUNCTION("""COMPUTED_VALUE"""),"f6aab7a9")</f>
        <v>f6aab7a9</v>
      </c>
      <c r="G578" s="211" t="str">
        <f>IFERROR(__xludf.DUMMYFUNCTION("""COMPUTED_VALUE"""),"Oksigen 6m3 MR")</f>
        <v>Oksigen 6m3 MR</v>
      </c>
      <c r="H578" s="214" t="str">
        <f>IFERROR(__xludf.DUMMYFUNCTION("""COMPUTED_VALUE"""),"OUT")</f>
        <v>OUT</v>
      </c>
      <c r="I578" s="214" t="str">
        <f>IFERROR(__xludf.DUMMYFUNCTION("""COMPUTED_VALUE"""),"NORMAL")</f>
        <v>NORMAL</v>
      </c>
      <c r="J578" s="211">
        <f>IFERROR(__xludf.DUMMYFUNCTION("""COMPUTED_VALUE"""),16.0)</f>
        <v>16</v>
      </c>
      <c r="K578" s="211"/>
      <c r="L578" s="211">
        <f>IFERROR(__xludf.DUMMYFUNCTION("""COMPUTED_VALUE"""),55000.0)</f>
        <v>55000</v>
      </c>
      <c r="M578" s="211"/>
      <c r="N578" s="211"/>
      <c r="O578" s="211"/>
      <c r="Q578" s="210" t="str">
        <f>IFERROR(__xludf.DUMMYFUNCTION("""COMPUTED_VALUE"""),"b6e54624")</f>
        <v>b6e54624</v>
      </c>
      <c r="R578" s="210" t="str">
        <f>IFERROR(__xludf.DUMMYFUNCTION("""COMPUTED_VALUE"""),"b6e54624")</f>
        <v>b6e54624</v>
      </c>
      <c r="S578" s="211" t="str">
        <f>IFERROR(__xludf.DUMMYFUNCTION("""COMPUTED_VALUE"""),"e86baf3b")</f>
        <v>e86baf3b</v>
      </c>
      <c r="T578" s="211" t="str">
        <f>IFERROR(__xludf.DUMMYFUNCTION("""COMPUTED_VALUE"""),"PT GEMILANG CIPTA WAWASAN")</f>
        <v>PT GEMILANG CIPTA WAWASAN</v>
      </c>
      <c r="U578" s="215">
        <f>IFERROR(__xludf.DUMMYFUNCTION("""COMPUTED_VALUE"""),45727.67847222222)</f>
        <v>45727.67847</v>
      </c>
      <c r="V578" s="211" t="str">
        <f>IFERROR(__xludf.DUMMYFUNCTION("""COMPUTED_VALUE"""),"JL TEBET RAYA, 2A, TEBET BARAT, TEBET, KOTA ADM, JAKARTA SELATAN, DKI JAKARTA")</f>
        <v>JL TEBET RAYA, 2A, TEBET BARAT, TEBET, KOTA ADM, JAKARTA SELATAN, DKI JAKARTA</v>
      </c>
      <c r="W578" s="211" t="str">
        <f>IFERROR(__xludf.DUMMYFUNCTION("""COMPUTED_VALUE"""),"IN")</f>
        <v>IN</v>
      </c>
      <c r="X578" s="211"/>
      <c r="Z578" s="211" t="str">
        <f>IFERROR(__xludf.DUMMYFUNCTION("""COMPUTED_VALUE"""),"112541828")</f>
        <v>112541828</v>
      </c>
      <c r="AC578" s="211"/>
      <c r="AD578" s="211"/>
      <c r="AE578" s="211"/>
      <c r="AF578" s="211"/>
      <c r="AG578" s="211"/>
      <c r="AH578" s="211"/>
      <c r="AI578" s="211"/>
      <c r="AJ578" s="211"/>
      <c r="AL578" s="211"/>
      <c r="AM578" s="211"/>
      <c r="AN578" s="211"/>
      <c r="AO578" s="211"/>
      <c r="AP578" s="215"/>
      <c r="AQ578" s="218"/>
      <c r="AR578" s="211"/>
      <c r="AS578" s="211"/>
      <c r="AT578" s="211"/>
      <c r="AU578" s="211"/>
      <c r="AV578" s="211"/>
      <c r="AW578" s="211"/>
      <c r="AX578" s="211"/>
      <c r="AY578" s="211"/>
      <c r="AZ578" s="211"/>
      <c r="BB578" s="211"/>
      <c r="BC578" s="211"/>
      <c r="BD578" s="211"/>
      <c r="BE578" s="211"/>
      <c r="BF578" s="211"/>
      <c r="BG578" s="211"/>
      <c r="BH578" s="211"/>
      <c r="BI578" s="211"/>
    </row>
    <row r="579">
      <c r="A579" s="210" t="str">
        <f>IFERROR(__xludf.DUMMYFUNCTION("""COMPUTED_VALUE"""),"02250240")</f>
        <v>02250240</v>
      </c>
      <c r="B579" s="210" t="str">
        <f>IFERROR(__xludf.DUMMYFUNCTION("""COMPUTED_VALUE"""),"02250240")</f>
        <v>02250240</v>
      </c>
      <c r="C579" s="213">
        <f>IFERROR(__xludf.DUMMYFUNCTION("""COMPUTED_VALUE"""),45692.35902777778)</f>
        <v>45692.35903</v>
      </c>
      <c r="D579" s="211" t="str">
        <f>IFERROR(__xludf.DUMMYFUNCTION("""COMPUTED_VALUE"""),"3fec37df")</f>
        <v>3fec37df</v>
      </c>
      <c r="E579" s="211" t="str">
        <f>IFERROR(__xludf.DUMMYFUNCTION("""COMPUTED_VALUE"""),"PT Jatim Abadi Perkasa Steel")</f>
        <v>PT Jatim Abadi Perkasa Steel</v>
      </c>
      <c r="F579" s="211" t="str">
        <f>IFERROR(__xludf.DUMMYFUNCTION("""COMPUTED_VALUE"""),"b7a8fff1")</f>
        <v>b7a8fff1</v>
      </c>
      <c r="G579" s="211" t="str">
        <f>IFERROR(__xludf.DUMMYFUNCTION("""COMPUTED_VALUE"""),"LPG 50kg")</f>
        <v>LPG 50kg</v>
      </c>
      <c r="H579" s="214" t="str">
        <f>IFERROR(__xludf.DUMMYFUNCTION("""COMPUTED_VALUE"""),"OUT")</f>
        <v>OUT</v>
      </c>
      <c r="I579" s="214" t="str">
        <f>IFERROR(__xludf.DUMMYFUNCTION("""COMPUTED_VALUE"""),"NORMAL")</f>
        <v>NORMAL</v>
      </c>
      <c r="J579" s="211">
        <f>IFERROR(__xludf.DUMMYFUNCTION("""COMPUTED_VALUE"""),4.0)</f>
        <v>4</v>
      </c>
      <c r="K579" s="211"/>
      <c r="L579" s="211">
        <f>IFERROR(__xludf.DUMMYFUNCTION("""COMPUTED_VALUE"""),900900.9009)</f>
        <v>900900.9009</v>
      </c>
      <c r="M579" s="211"/>
      <c r="N579" s="211"/>
      <c r="O579" s="211"/>
      <c r="Q579" s="210" t="str">
        <f>IFERROR(__xludf.DUMMYFUNCTION("""COMPUTED_VALUE"""),"403250010")</f>
        <v>403250010</v>
      </c>
      <c r="R579" s="210" t="str">
        <f>IFERROR(__xludf.DUMMYFUNCTION("""COMPUTED_VALUE"""),"403250010")</f>
        <v>403250010</v>
      </c>
      <c r="S579" s="211" t="str">
        <f>IFERROR(__xludf.DUMMYFUNCTION("""COMPUTED_VALUE"""),"ac52e1fa")</f>
        <v>ac52e1fa</v>
      </c>
      <c r="T579" s="211" t="str">
        <f>IFERROR(__xludf.DUMMYFUNCTION("""COMPUTED_VALUE"""),"Abah Mad")</f>
        <v>Abah Mad</v>
      </c>
      <c r="U579" s="215">
        <f>IFERROR(__xludf.DUMMYFUNCTION("""COMPUTED_VALUE"""),45728.35763888889)</f>
        <v>45728.35764</v>
      </c>
      <c r="V579" s="211" t="str">
        <f>IFERROR(__xludf.DUMMYFUNCTION("""COMPUTED_VALUE"""),"Jl. Raya Surabaya  Madiun, Sidotemo, Sidomulyo, Kec. Krian, Kabupaten Sidoarjo, Jawa Timur 61262")</f>
        <v>Jl. Raya Surabaya  Madiun, Sidotemo, Sidomulyo, Kec. Krian, Kabupaten Sidoarjo, Jawa Timur 61262</v>
      </c>
      <c r="W579" s="211" t="str">
        <f>IFERROR(__xludf.DUMMYFUNCTION("""COMPUTED_VALUE"""),"OTHER")</f>
        <v>OTHER</v>
      </c>
      <c r="X579" s="211"/>
      <c r="Z579" s="211" t="str">
        <f>IFERROR(__xludf.DUMMYFUNCTION("""COMPUTED_VALUE"""),"112541827")</f>
        <v>112541827</v>
      </c>
      <c r="AC579" s="211"/>
      <c r="AD579" s="211"/>
      <c r="AE579" s="211"/>
      <c r="AF579" s="211"/>
      <c r="AG579" s="211"/>
      <c r="AH579" s="211"/>
      <c r="AI579" s="211"/>
      <c r="AJ579" s="211"/>
      <c r="AL579" s="211"/>
      <c r="AM579" s="211"/>
      <c r="AN579" s="211"/>
      <c r="AO579" s="211"/>
      <c r="AP579" s="215"/>
      <c r="AQ579" s="218"/>
      <c r="AR579" s="211"/>
      <c r="AS579" s="211"/>
      <c r="AT579" s="211"/>
      <c r="AU579" s="211"/>
      <c r="AV579" s="211"/>
      <c r="AW579" s="211"/>
      <c r="AX579" s="211"/>
      <c r="AY579" s="211"/>
      <c r="AZ579" s="211"/>
      <c r="BB579" s="211"/>
      <c r="BC579" s="211"/>
      <c r="BD579" s="211"/>
      <c r="BE579" s="211"/>
      <c r="BF579" s="211"/>
      <c r="BG579" s="211"/>
      <c r="BH579" s="211"/>
      <c r="BI579" s="211"/>
    </row>
    <row r="580">
      <c r="A580" s="210" t="str">
        <f>IFERROR(__xludf.DUMMYFUNCTION("""COMPUTED_VALUE"""),"02250241")</f>
        <v>02250241</v>
      </c>
      <c r="B580" s="210" t="str">
        <f>IFERROR(__xludf.DUMMYFUNCTION("""COMPUTED_VALUE"""),"02250241")</f>
        <v>02250241</v>
      </c>
      <c r="C580" s="213">
        <f>IFERROR(__xludf.DUMMYFUNCTION("""COMPUTED_VALUE"""),45692.361805555556)</f>
        <v>45692.36181</v>
      </c>
      <c r="D580" s="211" t="str">
        <f>IFERROR(__xludf.DUMMYFUNCTION("""COMPUTED_VALUE"""),"103f3ae7")</f>
        <v>103f3ae7</v>
      </c>
      <c r="E580" s="211" t="str">
        <f>IFERROR(__xludf.DUMMYFUNCTION("""COMPUTED_VALUE"""),"PT ARYANA CAKASANA")</f>
        <v>PT ARYANA CAKASANA</v>
      </c>
      <c r="F580" s="211" t="str">
        <f>IFERROR(__xludf.DUMMYFUNCTION("""COMPUTED_VALUE"""),"8bdbe149")</f>
        <v>8bdbe149</v>
      </c>
      <c r="G580" s="211" t="str">
        <f>IFERROR(__xludf.DUMMYFUNCTION("""COMPUTED_VALUE"""),"Oksigen 6m3")</f>
        <v>Oksigen 6m3</v>
      </c>
      <c r="H580" s="214" t="str">
        <f>IFERROR(__xludf.DUMMYFUNCTION("""COMPUTED_VALUE"""),"OUT")</f>
        <v>OUT</v>
      </c>
      <c r="I580" s="214" t="str">
        <f>IFERROR(__xludf.DUMMYFUNCTION("""COMPUTED_VALUE"""),"NORMAL")</f>
        <v>NORMAL</v>
      </c>
      <c r="J580" s="211">
        <f>IFERROR(__xludf.DUMMYFUNCTION("""COMPUTED_VALUE"""),5.0)</f>
        <v>5</v>
      </c>
      <c r="K580" s="210" t="str">
        <f>IFERROR(__xludf.DUMMYFUNCTION("""COMPUTED_VALUE"""),"1149 1123 1159 1114 1188")</f>
        <v>1149 1123 1159 1114 1188</v>
      </c>
      <c r="L580" s="211">
        <f>IFERROR(__xludf.DUMMYFUNCTION("""COMPUTED_VALUE"""),47297.2973)</f>
        <v>47297.2973</v>
      </c>
      <c r="M580" s="211"/>
      <c r="N580" s="211"/>
      <c r="O580" s="211"/>
      <c r="Q580" s="210" t="str">
        <f>IFERROR(__xludf.DUMMYFUNCTION("""COMPUTED_VALUE"""),"24be59b7")</f>
        <v>24be59b7</v>
      </c>
      <c r="R580" s="210" t="str">
        <f>IFERROR(__xludf.DUMMYFUNCTION("""COMPUTED_VALUE"""),"24be59b7")</f>
        <v>24be59b7</v>
      </c>
      <c r="S580" s="211" t="str">
        <f>IFERROR(__xludf.DUMMYFUNCTION("""COMPUTED_VALUE"""),"df6bdc5d")</f>
        <v>df6bdc5d</v>
      </c>
      <c r="T580" s="211" t="str">
        <f>IFERROR(__xludf.DUMMYFUNCTION("""COMPUTED_VALUE"""),"Bpk. Maruf")</f>
        <v>Bpk. Maruf</v>
      </c>
      <c r="U580" s="215">
        <f>IFERROR(__xludf.DUMMYFUNCTION("""COMPUTED_VALUE"""),45728.464583333334)</f>
        <v>45728.46458</v>
      </c>
      <c r="V580" s="211" t="str">
        <f>IFERROR(__xludf.DUMMYFUNCTION("""COMPUTED_VALUE"""),"CC6P+83G, Padangasri, Kec. Jatirejo, Kabupaten Mojokerto, Jawa Timur 61373")</f>
        <v>CC6P+83G, Padangasri, Kec. Jatirejo, Kabupaten Mojokerto, Jawa Timur 61373</v>
      </c>
      <c r="W580" s="211" t="str">
        <f>IFERROR(__xludf.DUMMYFUNCTION("""COMPUTED_VALUE"""),"IN")</f>
        <v>IN</v>
      </c>
      <c r="X580" s="211"/>
      <c r="Z580" s="211" t="str">
        <f>IFERROR(__xludf.DUMMYFUNCTION("""COMPUTED_VALUE"""),"1125321826")</f>
        <v>1125321826</v>
      </c>
      <c r="AC580" s="211"/>
      <c r="AD580" s="211"/>
      <c r="AE580" s="211"/>
      <c r="AF580" s="211"/>
      <c r="AG580" s="211"/>
      <c r="AH580" s="211"/>
      <c r="AI580" s="211"/>
      <c r="AJ580" s="211"/>
      <c r="AL580" s="211"/>
      <c r="AM580" s="211"/>
      <c r="AN580" s="211"/>
      <c r="AO580" s="211"/>
      <c r="AP580" s="215"/>
      <c r="AQ580" s="218"/>
      <c r="AR580" s="211"/>
      <c r="AS580" s="211"/>
      <c r="AT580" s="211"/>
      <c r="AU580" s="211"/>
      <c r="AV580" s="211"/>
      <c r="AW580" s="211"/>
      <c r="AX580" s="211"/>
      <c r="AY580" s="211"/>
      <c r="AZ580" s="211"/>
      <c r="BB580" s="211"/>
      <c r="BC580" s="211"/>
      <c r="BD580" s="211"/>
      <c r="BE580" s="211"/>
      <c r="BF580" s="211"/>
      <c r="BG580" s="211"/>
      <c r="BH580" s="211"/>
      <c r="BI580" s="211"/>
    </row>
    <row r="581">
      <c r="A581" s="210" t="str">
        <f>IFERROR(__xludf.DUMMYFUNCTION("""COMPUTED_VALUE"""),"02250242")</f>
        <v>02250242</v>
      </c>
      <c r="B581" s="210" t="str">
        <f>IFERROR(__xludf.DUMMYFUNCTION("""COMPUTED_VALUE"""),"02250242")</f>
        <v>02250242</v>
      </c>
      <c r="C581" s="213">
        <f>IFERROR(__xludf.DUMMYFUNCTION("""COMPUTED_VALUE"""),45692.4)</f>
        <v>45692.4</v>
      </c>
      <c r="D581" s="211" t="str">
        <f>IFERROR(__xludf.DUMMYFUNCTION("""COMPUTED_VALUE"""),"4ec68cf6")</f>
        <v>4ec68cf6</v>
      </c>
      <c r="E581" s="211" t="str">
        <f>IFERROR(__xludf.DUMMYFUNCTION("""COMPUTED_VALUE"""),"CV Sido Mukti Karya")</f>
        <v>CV Sido Mukti Karya</v>
      </c>
      <c r="F581" s="211" t="str">
        <f>IFERROR(__xludf.DUMMYFUNCTION("""COMPUTED_VALUE"""),"8bdbe149")</f>
        <v>8bdbe149</v>
      </c>
      <c r="G581" s="211" t="str">
        <f>IFERROR(__xludf.DUMMYFUNCTION("""COMPUTED_VALUE"""),"Oksigen 6m3")</f>
        <v>Oksigen 6m3</v>
      </c>
      <c r="H581" s="214" t="str">
        <f>IFERROR(__xludf.DUMMYFUNCTION("""COMPUTED_VALUE"""),"OUT")</f>
        <v>OUT</v>
      </c>
      <c r="I581" s="214" t="str">
        <f>IFERROR(__xludf.DUMMYFUNCTION("""COMPUTED_VALUE"""),"NORMAL")</f>
        <v>NORMAL</v>
      </c>
      <c r="J581" s="211">
        <f>IFERROR(__xludf.DUMMYFUNCTION("""COMPUTED_VALUE"""),10.0)</f>
        <v>10</v>
      </c>
      <c r="K581" s="210" t="str">
        <f>IFERROR(__xludf.DUMMYFUNCTION("""COMPUTED_VALUE"""),"11198 11129 11191 11201 11189 11186 11112 1127 1129 1146")</f>
        <v>11198 11129 11191 11201 11189 11186 11112 1127 1129 1146</v>
      </c>
      <c r="L581" s="211">
        <f>IFERROR(__xludf.DUMMYFUNCTION("""COMPUTED_VALUE"""),60000.0)</f>
        <v>60000</v>
      </c>
      <c r="M581" s="211"/>
      <c r="N581" s="211"/>
      <c r="O581" s="211"/>
      <c r="Q581" s="210" t="str">
        <f>IFERROR(__xludf.DUMMYFUNCTION("""COMPUTED_VALUE"""),"403250011")</f>
        <v>403250011</v>
      </c>
      <c r="R581" s="210" t="str">
        <f>IFERROR(__xludf.DUMMYFUNCTION("""COMPUTED_VALUE"""),"403250011")</f>
        <v>403250011</v>
      </c>
      <c r="S581" s="211" t="str">
        <f>IFERROR(__xludf.DUMMYFUNCTION("""COMPUTED_VALUE"""),"ed2cc96a")</f>
        <v>ed2cc96a</v>
      </c>
      <c r="T581" s="211" t="str">
        <f>IFERROR(__xludf.DUMMYFUNCTION("""COMPUTED_VALUE"""),"Bengkel Dian Jaya")</f>
        <v>Bengkel Dian Jaya</v>
      </c>
      <c r="U581" s="215">
        <f>IFERROR(__xludf.DUMMYFUNCTION("""COMPUTED_VALUE"""),45726.48263888889)</f>
        <v>45726.48264</v>
      </c>
      <c r="V581" s="211" t="str">
        <f>IFERROR(__xludf.DUMMYFUNCTION("""COMPUTED_VALUE"""),"Gg. 2, Kejagan, Kec. Trowulan, Kabupaten Mojokerto, Jawa Timur 61362")</f>
        <v>Gg. 2, Kejagan, Kec. Trowulan, Kabupaten Mojokerto, Jawa Timur 61362</v>
      </c>
      <c r="W581" s="211" t="str">
        <f>IFERROR(__xludf.DUMMYFUNCTION("""COMPUTED_VALUE"""),"OTHER")</f>
        <v>OTHER</v>
      </c>
      <c r="X581" s="211"/>
      <c r="Z581" s="211" t="str">
        <f>IFERROR(__xludf.DUMMYFUNCTION("""COMPUTED_VALUE"""),"1125131825")</f>
        <v>1125131825</v>
      </c>
      <c r="AC581" s="211"/>
      <c r="AD581" s="211"/>
      <c r="AE581" s="211"/>
      <c r="AF581" s="211"/>
      <c r="AG581" s="211"/>
      <c r="AH581" s="211"/>
      <c r="AI581" s="211"/>
      <c r="AJ581" s="211"/>
      <c r="AL581" s="211"/>
      <c r="AM581" s="211"/>
      <c r="AN581" s="211"/>
      <c r="AO581" s="211"/>
      <c r="AP581" s="215"/>
      <c r="AQ581" s="218"/>
      <c r="AR581" s="211"/>
      <c r="AS581" s="211"/>
      <c r="AT581" s="211"/>
      <c r="AU581" s="211"/>
      <c r="AV581" s="211"/>
      <c r="AW581" s="211"/>
      <c r="AX581" s="211"/>
      <c r="AY581" s="211"/>
      <c r="AZ581" s="211"/>
      <c r="BB581" s="211"/>
      <c r="BC581" s="211"/>
      <c r="BD581" s="211"/>
      <c r="BE581" s="211"/>
      <c r="BF581" s="211"/>
      <c r="BG581" s="211"/>
      <c r="BH581" s="211"/>
      <c r="BI581" s="211"/>
    </row>
    <row r="582">
      <c r="A582" s="210" t="str">
        <f>IFERROR(__xludf.DUMMYFUNCTION("""COMPUTED_VALUE"""),"0d0d89e0")</f>
        <v>0d0d89e0</v>
      </c>
      <c r="B582" s="210" t="str">
        <f>IFERROR(__xludf.DUMMYFUNCTION("""COMPUTED_VALUE"""),"0d0d89e0")</f>
        <v>0d0d89e0</v>
      </c>
      <c r="C582" s="213">
        <f>IFERROR(__xludf.DUMMYFUNCTION("""COMPUTED_VALUE"""),45691.42986111111)</f>
        <v>45691.42986</v>
      </c>
      <c r="D582" s="211" t="str">
        <f>IFERROR(__xludf.DUMMYFUNCTION("""COMPUTED_VALUE"""),"5f23ba17")</f>
        <v>5f23ba17</v>
      </c>
      <c r="E582" s="211" t="str">
        <f>IFERROR(__xludf.DUMMYFUNCTION("""COMPUTED_VALUE"""),"Bpk. Joko (Gresik)")</f>
        <v>Bpk. Joko (Gresik)</v>
      </c>
      <c r="F582" s="211" t="str">
        <f>IFERROR(__xludf.DUMMYFUNCTION("""COMPUTED_VALUE"""),"8bdbe149")</f>
        <v>8bdbe149</v>
      </c>
      <c r="G582" s="211" t="str">
        <f>IFERROR(__xludf.DUMMYFUNCTION("""COMPUTED_VALUE"""),"Oksigen 6m3")</f>
        <v>Oksigen 6m3</v>
      </c>
      <c r="H582" s="214" t="str">
        <f>IFERROR(__xludf.DUMMYFUNCTION("""COMPUTED_VALUE"""),"IN")</f>
        <v>IN</v>
      </c>
      <c r="I582" s="214" t="str">
        <f>IFERROR(__xludf.DUMMYFUNCTION("""COMPUTED_VALUE"""),"EMPTY")</f>
        <v>EMPTY</v>
      </c>
      <c r="J582" s="211">
        <f>IFERROR(__xludf.DUMMYFUNCTION("""COMPUTED_VALUE"""),7.0)</f>
        <v>7</v>
      </c>
      <c r="K582" s="210" t="str">
        <f>IFERROR(__xludf.DUMMYFUNCTION("""COMPUTED_VALUE"""),"1140 1128 1178 5560 5605 5932 5995")</f>
        <v>1140 1128 1178 5560 5605 5932 5995</v>
      </c>
      <c r="L582" s="211"/>
      <c r="M582" s="211"/>
      <c r="N582" s="211"/>
      <c r="O582" s="211"/>
      <c r="Q582" s="210" t="str">
        <f>IFERROR(__xludf.DUMMYFUNCTION("""COMPUTED_VALUE"""),"03250319")</f>
        <v>03250319</v>
      </c>
      <c r="R582" s="210" t="str">
        <f>IFERROR(__xludf.DUMMYFUNCTION("""COMPUTED_VALUE"""),"03250319")</f>
        <v>03250319</v>
      </c>
      <c r="S582" s="211" t="str">
        <f>IFERROR(__xludf.DUMMYFUNCTION("""COMPUTED_VALUE"""),"785e0e07")</f>
        <v>785e0e07</v>
      </c>
      <c r="T582" s="211" t="str">
        <f>IFERROR(__xludf.DUMMYFUNCTION("""COMPUTED_VALUE"""),"Bpk. Sukirno (Bejo)")</f>
        <v>Bpk. Sukirno (Bejo)</v>
      </c>
      <c r="U582" s="215">
        <f>IFERROR(__xludf.DUMMYFUNCTION("""COMPUTED_VALUE"""),45728.51597222222)</f>
        <v>45728.51597</v>
      </c>
      <c r="V582" s="211" t="str">
        <f>IFERROR(__xludf.DUMMYFUNCTION("""COMPUTED_VALUE"""),"Krajan I, Wringinanom, Kec. Wringinanom, Kabupaten Gresik, Jawa Timur 61176")</f>
        <v>Krajan I, Wringinanom, Kec. Wringinanom, Kabupaten Gresik, Jawa Timur 61176</v>
      </c>
      <c r="W582" s="211" t="str">
        <f>IFERROR(__xludf.DUMMYFUNCTION("""COMPUTED_VALUE"""),"OUT")</f>
        <v>OUT</v>
      </c>
      <c r="X582" s="211"/>
      <c r="Z582" s="211" t="str">
        <f>IFERROR(__xludf.DUMMYFUNCTION("""COMPUTED_VALUE"""),"1125121806")</f>
        <v>1125121806</v>
      </c>
      <c r="AC582" s="211"/>
      <c r="AD582" s="211"/>
      <c r="AE582" s="211"/>
      <c r="AF582" s="211"/>
      <c r="AG582" s="211"/>
      <c r="AH582" s="211"/>
      <c r="AI582" s="211"/>
      <c r="AJ582" s="211"/>
      <c r="AL582" s="211"/>
      <c r="AM582" s="211"/>
      <c r="AN582" s="211"/>
      <c r="AO582" s="211"/>
      <c r="AP582" s="215"/>
      <c r="AQ582" s="218"/>
      <c r="AR582" s="211"/>
      <c r="AS582" s="211"/>
      <c r="AT582" s="211"/>
      <c r="AU582" s="211"/>
      <c r="AV582" s="211"/>
      <c r="AW582" s="211"/>
      <c r="AX582" s="211"/>
      <c r="AY582" s="211"/>
      <c r="AZ582" s="211"/>
      <c r="BB582" s="211"/>
      <c r="BC582" s="211"/>
      <c r="BD582" s="211"/>
      <c r="BE582" s="211"/>
      <c r="BF582" s="211"/>
      <c r="BG582" s="211"/>
      <c r="BH582" s="211"/>
      <c r="BI582" s="211"/>
    </row>
    <row r="583">
      <c r="A583" s="210" t="str">
        <f>IFERROR(__xludf.DUMMYFUNCTION("""COMPUTED_VALUE"""),"0d0d89e0")</f>
        <v>0d0d89e0</v>
      </c>
      <c r="B583" s="210" t="str">
        <f>IFERROR(__xludf.DUMMYFUNCTION("""COMPUTED_VALUE"""),"0d0d89e0")</f>
        <v>0d0d89e0</v>
      </c>
      <c r="C583" s="213">
        <f>IFERROR(__xludf.DUMMYFUNCTION("""COMPUTED_VALUE"""),45691.43125)</f>
        <v>45691.43125</v>
      </c>
      <c r="D583" s="211" t="str">
        <f>IFERROR(__xludf.DUMMYFUNCTION("""COMPUTED_VALUE"""),"5f23ba17")</f>
        <v>5f23ba17</v>
      </c>
      <c r="E583" s="211" t="str">
        <f>IFERROR(__xludf.DUMMYFUNCTION("""COMPUTED_VALUE"""),"Bpk. Joko (Gresik)")</f>
        <v>Bpk. Joko (Gresik)</v>
      </c>
      <c r="F583" s="211" t="str">
        <f>IFERROR(__xludf.DUMMYFUNCTION("""COMPUTED_VALUE"""),"f6aab7a9")</f>
        <v>f6aab7a9</v>
      </c>
      <c r="G583" s="211" t="str">
        <f>IFERROR(__xludf.DUMMYFUNCTION("""COMPUTED_VALUE"""),"Oksigen 6m3 MR")</f>
        <v>Oksigen 6m3 MR</v>
      </c>
      <c r="H583" s="214" t="str">
        <f>IFERROR(__xludf.DUMMYFUNCTION("""COMPUTED_VALUE"""),"IN")</f>
        <v>IN</v>
      </c>
      <c r="I583" s="214" t="str">
        <f>IFERROR(__xludf.DUMMYFUNCTION("""COMPUTED_VALUE"""),"EMPTY")</f>
        <v>EMPTY</v>
      </c>
      <c r="J583" s="211">
        <f>IFERROR(__xludf.DUMMYFUNCTION("""COMPUTED_VALUE"""),13.0)</f>
        <v>13</v>
      </c>
      <c r="K583" s="211"/>
      <c r="L583" s="211"/>
      <c r="M583" s="211"/>
      <c r="N583" s="211"/>
      <c r="O583" s="211"/>
      <c r="Q583" s="210" t="str">
        <f>IFERROR(__xludf.DUMMYFUNCTION("""COMPUTED_VALUE"""),"03250320")</f>
        <v>03250320</v>
      </c>
      <c r="R583" s="210" t="str">
        <f>IFERROR(__xludf.DUMMYFUNCTION("""COMPUTED_VALUE"""),"03250320")</f>
        <v>03250320</v>
      </c>
      <c r="S583" s="211" t="str">
        <f>IFERROR(__xludf.DUMMYFUNCTION("""COMPUTED_VALUE"""),"103f3ae7")</f>
        <v>103f3ae7</v>
      </c>
      <c r="T583" s="211" t="str">
        <f>IFERROR(__xludf.DUMMYFUNCTION("""COMPUTED_VALUE"""),"PT ARYANA CAKASANA")</f>
        <v>PT ARYANA CAKASANA</v>
      </c>
      <c r="U583" s="215">
        <f>IFERROR(__xludf.DUMMYFUNCTION("""COMPUTED_VALUE"""),45729.35208333333)</f>
        <v>45729.35208</v>
      </c>
      <c r="V583" s="211" t="str">
        <f>IFERROR(__xludf.DUMMYFUNCTION("""COMPUTED_VALUE"""),"Jl Raya Tarik No. 45, Wonokupang, Bakalan, Balongbendo")</f>
        <v>Jl Raya Tarik No. 45, Wonokupang, Bakalan, Balongbendo</v>
      </c>
      <c r="W583" s="211" t="str">
        <f>IFERROR(__xludf.DUMMYFUNCTION("""COMPUTED_VALUE"""),"OUT")</f>
        <v>OUT</v>
      </c>
      <c r="X583" s="211"/>
      <c r="Z583" s="211" t="str">
        <f>IFERROR(__xludf.DUMMYFUNCTION("""COMPUTED_VALUE"""),"112541817")</f>
        <v>112541817</v>
      </c>
      <c r="AC583" s="211"/>
      <c r="AD583" s="211"/>
      <c r="AE583" s="211"/>
      <c r="AF583" s="211"/>
      <c r="AG583" s="211"/>
      <c r="AH583" s="211"/>
      <c r="AI583" s="211"/>
      <c r="AJ583" s="211"/>
      <c r="AL583" s="211"/>
      <c r="AM583" s="211"/>
      <c r="AN583" s="211"/>
      <c r="AO583" s="211"/>
      <c r="AP583" s="215"/>
      <c r="AQ583" s="218"/>
      <c r="AR583" s="211"/>
      <c r="AS583" s="211"/>
      <c r="AT583" s="211"/>
      <c r="AU583" s="211"/>
      <c r="AV583" s="211"/>
      <c r="AW583" s="211"/>
      <c r="AX583" s="211"/>
      <c r="AY583" s="211"/>
      <c r="AZ583" s="211"/>
      <c r="BB583" s="211"/>
      <c r="BC583" s="211"/>
      <c r="BD583" s="211"/>
      <c r="BE583" s="211"/>
      <c r="BF583" s="211"/>
      <c r="BG583" s="211"/>
      <c r="BH583" s="211"/>
      <c r="BI583" s="211"/>
    </row>
    <row r="584">
      <c r="A584" s="210" t="str">
        <f>IFERROR(__xludf.DUMMYFUNCTION("""COMPUTED_VALUE"""),"26668de2")</f>
        <v>26668de2</v>
      </c>
      <c r="B584" s="210" t="str">
        <f>IFERROR(__xludf.DUMMYFUNCTION("""COMPUTED_VALUE"""),"26668de2")</f>
        <v>26668de2</v>
      </c>
      <c r="C584" s="213">
        <f>IFERROR(__xludf.DUMMYFUNCTION("""COMPUTED_VALUE"""),45692.43194444444)</f>
        <v>45692.43194</v>
      </c>
      <c r="D584" s="211" t="str">
        <f>IFERROR(__xludf.DUMMYFUNCTION("""COMPUTED_VALUE"""),"4ec68cf6")</f>
        <v>4ec68cf6</v>
      </c>
      <c r="E584" s="211" t="str">
        <f>IFERROR(__xludf.DUMMYFUNCTION("""COMPUTED_VALUE"""),"CV Sido Mukti Karya")</f>
        <v>CV Sido Mukti Karya</v>
      </c>
      <c r="F584" s="211" t="str">
        <f>IFERROR(__xludf.DUMMYFUNCTION("""COMPUTED_VALUE"""),"8bdbe149")</f>
        <v>8bdbe149</v>
      </c>
      <c r="G584" s="211" t="str">
        <f>IFERROR(__xludf.DUMMYFUNCTION("""COMPUTED_VALUE"""),"Oksigen 6m3")</f>
        <v>Oksigen 6m3</v>
      </c>
      <c r="H584" s="214" t="str">
        <f>IFERROR(__xludf.DUMMYFUNCTION("""COMPUTED_VALUE"""),"IN")</f>
        <v>IN</v>
      </c>
      <c r="I584" s="214" t="str">
        <f>IFERROR(__xludf.DUMMYFUNCTION("""COMPUTED_VALUE"""),"EMPTY")</f>
        <v>EMPTY</v>
      </c>
      <c r="J584" s="211">
        <f>IFERROR(__xludf.DUMMYFUNCTION("""COMPUTED_VALUE"""),2.0)</f>
        <v>2</v>
      </c>
      <c r="K584" s="210" t="str">
        <f>IFERROR(__xludf.DUMMYFUNCTION("""COMPUTED_VALUE"""),"11127 5457")</f>
        <v>11127 5457</v>
      </c>
      <c r="L584" s="211"/>
      <c r="M584" s="211"/>
      <c r="N584" s="211"/>
      <c r="O584" s="211"/>
      <c r="Q584" s="210" t="str">
        <f>IFERROR(__xludf.DUMMYFUNCTION("""COMPUTED_VALUE"""),"7f6f348f")</f>
        <v>7f6f348f</v>
      </c>
      <c r="R584" s="210" t="str">
        <f>IFERROR(__xludf.DUMMYFUNCTION("""COMPUTED_VALUE"""),"7f6f348f")</f>
        <v>7f6f348f</v>
      </c>
      <c r="S584" s="211" t="str">
        <f>IFERROR(__xludf.DUMMYFUNCTION("""COMPUTED_VALUE"""),"01158be1")</f>
        <v>01158be1</v>
      </c>
      <c r="T584" s="211" t="str">
        <f>IFERROR(__xludf.DUMMYFUNCTION("""COMPUTED_VALUE"""),"GYF")</f>
        <v>GYF</v>
      </c>
      <c r="U584" s="215">
        <f>IFERROR(__xludf.DUMMYFUNCTION("""COMPUTED_VALUE"""),45728.68680555555)</f>
        <v>45728.68681</v>
      </c>
      <c r="V584" s="211" t="str">
        <f>IFERROR(__xludf.DUMMYFUNCTION("""COMPUTED_VALUE"""),"Kangkungan, Lengkong, Kec. Mojoanyar, Kabupaten Mojokerto, Jawa Timur")</f>
        <v>Kangkungan, Lengkong, Kec. Mojoanyar, Kabupaten Mojokerto, Jawa Timur</v>
      </c>
      <c r="W584" s="211" t="str">
        <f>IFERROR(__xludf.DUMMYFUNCTION("""COMPUTED_VALUE"""),"IN")</f>
        <v>IN</v>
      </c>
      <c r="X584" s="211"/>
      <c r="Z584" s="211" t="str">
        <f>IFERROR(__xludf.DUMMYFUNCTION("""COMPUTED_VALUE"""),"1125441816")</f>
        <v>1125441816</v>
      </c>
      <c r="AC584" s="211"/>
      <c r="AD584" s="211"/>
      <c r="AE584" s="211"/>
      <c r="AF584" s="211"/>
      <c r="AG584" s="211"/>
      <c r="AH584" s="211"/>
      <c r="AI584" s="211"/>
      <c r="AJ584" s="211"/>
      <c r="AL584" s="211"/>
      <c r="AM584" s="211"/>
      <c r="AN584" s="211"/>
      <c r="AO584" s="211"/>
      <c r="AP584" s="215"/>
      <c r="AQ584" s="218"/>
      <c r="AR584" s="211"/>
      <c r="AS584" s="211"/>
      <c r="AT584" s="211"/>
      <c r="AU584" s="211"/>
      <c r="AV584" s="211"/>
      <c r="AW584" s="211"/>
      <c r="AX584" s="211"/>
      <c r="AY584" s="211"/>
      <c r="AZ584" s="211"/>
      <c r="BB584" s="211"/>
      <c r="BC584" s="211"/>
      <c r="BD584" s="211"/>
      <c r="BE584" s="211"/>
      <c r="BF584" s="211"/>
      <c r="BG584" s="211"/>
      <c r="BH584" s="211"/>
      <c r="BI584" s="211"/>
    </row>
    <row r="585">
      <c r="A585" s="210" t="str">
        <f>IFERROR(__xludf.DUMMYFUNCTION("""COMPUTED_VALUE"""),"82838f54")</f>
        <v>82838f54</v>
      </c>
      <c r="B585" s="210" t="str">
        <f>IFERROR(__xludf.DUMMYFUNCTION("""COMPUTED_VALUE"""),"82838f54")</f>
        <v>82838f54</v>
      </c>
      <c r="C585" s="213">
        <f>IFERROR(__xludf.DUMMYFUNCTION("""COMPUTED_VALUE"""),45692.53958333333)</f>
        <v>45692.53958</v>
      </c>
      <c r="D585" s="211" t="str">
        <f>IFERROR(__xludf.DUMMYFUNCTION("""COMPUTED_VALUE"""),"785e0e07")</f>
        <v>785e0e07</v>
      </c>
      <c r="E585" s="211" t="str">
        <f>IFERROR(__xludf.DUMMYFUNCTION("""COMPUTED_VALUE"""),"Bpk. Sukirno (Bejo)")</f>
        <v>Bpk. Sukirno (Bejo)</v>
      </c>
      <c r="F585" s="211" t="str">
        <f>IFERROR(__xludf.DUMMYFUNCTION("""COMPUTED_VALUE"""),"8bdbe149")</f>
        <v>8bdbe149</v>
      </c>
      <c r="G585" s="211" t="str">
        <f>IFERROR(__xludf.DUMMYFUNCTION("""COMPUTED_VALUE"""),"Oksigen 6m3")</f>
        <v>Oksigen 6m3</v>
      </c>
      <c r="H585" s="214" t="str">
        <f>IFERROR(__xludf.DUMMYFUNCTION("""COMPUTED_VALUE"""),"IN")</f>
        <v>IN</v>
      </c>
      <c r="I585" s="214" t="str">
        <f>IFERROR(__xludf.DUMMYFUNCTION("""COMPUTED_VALUE"""),"EMPTY")</f>
        <v>EMPTY</v>
      </c>
      <c r="J585" s="211">
        <f>IFERROR(__xludf.DUMMYFUNCTION("""COMPUTED_VALUE"""),8.0)</f>
        <v>8</v>
      </c>
      <c r="K585" s="210" t="str">
        <f>IFERROR(__xludf.DUMMYFUNCTION("""COMPUTED_VALUE"""),"11181 11124 1152 1193 11200 11177 11142 11171")</f>
        <v>11181 11124 1152 1193 11200 11177 11142 11171</v>
      </c>
      <c r="L585" s="211"/>
      <c r="M585" s="211"/>
      <c r="N585" s="211"/>
      <c r="O585" s="211"/>
      <c r="Q585" s="210" t="str">
        <f>IFERROR(__xludf.DUMMYFUNCTION("""COMPUTED_VALUE"""),"c10fcfb0")</f>
        <v>c10fcfb0</v>
      </c>
      <c r="R585" s="210" t="str">
        <f>IFERROR(__xludf.DUMMYFUNCTION("""COMPUTED_VALUE"""),"c10fcfb0")</f>
        <v>c10fcfb0</v>
      </c>
      <c r="S585" s="211" t="str">
        <f>IFERROR(__xludf.DUMMYFUNCTION("""COMPUTED_VALUE"""),"785e0e07")</f>
        <v>785e0e07</v>
      </c>
      <c r="T585" s="211" t="str">
        <f>IFERROR(__xludf.DUMMYFUNCTION("""COMPUTED_VALUE"""),"Bpk. Sukirno (Bejo)")</f>
        <v>Bpk. Sukirno (Bejo)</v>
      </c>
      <c r="U585" s="215">
        <f>IFERROR(__xludf.DUMMYFUNCTION("""COMPUTED_VALUE"""),45728.6875)</f>
        <v>45728.6875</v>
      </c>
      <c r="V585" s="211" t="str">
        <f>IFERROR(__xludf.DUMMYFUNCTION("""COMPUTED_VALUE"""),"Krajan I, Wringinanom, Kec. Wringinanom, Kabupaten Gresik, Jawa Timur 61176")</f>
        <v>Krajan I, Wringinanom, Kec. Wringinanom, Kabupaten Gresik, Jawa Timur 61176</v>
      </c>
      <c r="W585" s="211" t="str">
        <f>IFERROR(__xludf.DUMMYFUNCTION("""COMPUTED_VALUE"""),"IN")</f>
        <v>IN</v>
      </c>
      <c r="X585" s="211"/>
      <c r="Z585" s="211" t="str">
        <f>IFERROR(__xludf.DUMMYFUNCTION("""COMPUTED_VALUE"""),"112531815")</f>
        <v>112531815</v>
      </c>
      <c r="AC585" s="211"/>
      <c r="AD585" s="211"/>
      <c r="AE585" s="211"/>
      <c r="AF585" s="211"/>
      <c r="AG585" s="211"/>
      <c r="AH585" s="211"/>
      <c r="AI585" s="211"/>
      <c r="AJ585" s="211"/>
      <c r="AL585" s="211"/>
      <c r="AM585" s="211"/>
      <c r="AN585" s="211"/>
      <c r="AO585" s="211"/>
      <c r="AP585" s="215"/>
      <c r="AQ585" s="218"/>
      <c r="AR585" s="211"/>
      <c r="AS585" s="211"/>
      <c r="AT585" s="211"/>
      <c r="AU585" s="211"/>
      <c r="AV585" s="211"/>
      <c r="AW585" s="211"/>
      <c r="AX585" s="211"/>
      <c r="AY585" s="211"/>
      <c r="AZ585" s="211"/>
      <c r="BB585" s="211"/>
      <c r="BC585" s="211"/>
      <c r="BD585" s="211"/>
      <c r="BE585" s="211"/>
      <c r="BF585" s="211"/>
      <c r="BG585" s="211"/>
      <c r="BH585" s="211"/>
      <c r="BI585" s="211"/>
    </row>
    <row r="586">
      <c r="A586" s="210" t="str">
        <f>IFERROR(__xludf.DUMMYFUNCTION("""COMPUTED_VALUE"""),"4d9e96c9")</f>
        <v>4d9e96c9</v>
      </c>
      <c r="B586" s="210" t="str">
        <f>IFERROR(__xludf.DUMMYFUNCTION("""COMPUTED_VALUE"""),"4d9e96c9")</f>
        <v>4d9e96c9</v>
      </c>
      <c r="C586" s="213">
        <f>IFERROR(__xludf.DUMMYFUNCTION("""COMPUTED_VALUE"""),45692.65833333333)</f>
        <v>45692.65833</v>
      </c>
      <c r="D586" s="211" t="str">
        <f>IFERROR(__xludf.DUMMYFUNCTION("""COMPUTED_VALUE"""),"a9fe1bea")</f>
        <v>a9fe1bea</v>
      </c>
      <c r="E586" s="211" t="str">
        <f>IFERROR(__xludf.DUMMYFUNCTION("""COMPUTED_VALUE"""),"H. Suheiri")</f>
        <v>H. Suheiri</v>
      </c>
      <c r="F586" s="211" t="str">
        <f>IFERROR(__xludf.DUMMYFUNCTION("""COMPUTED_VALUE"""),"8bdbe149")</f>
        <v>8bdbe149</v>
      </c>
      <c r="G586" s="211" t="str">
        <f>IFERROR(__xludf.DUMMYFUNCTION("""COMPUTED_VALUE"""),"Oksigen 6m3")</f>
        <v>Oksigen 6m3</v>
      </c>
      <c r="H586" s="214" t="str">
        <f>IFERROR(__xludf.DUMMYFUNCTION("""COMPUTED_VALUE"""),"IN")</f>
        <v>IN</v>
      </c>
      <c r="I586" s="214" t="str">
        <f>IFERROR(__xludf.DUMMYFUNCTION("""COMPUTED_VALUE"""),"EMPTY")</f>
        <v>EMPTY</v>
      </c>
      <c r="J586" s="211">
        <f>IFERROR(__xludf.DUMMYFUNCTION("""COMPUTED_VALUE"""),5.0)</f>
        <v>5</v>
      </c>
      <c r="K586" s="210" t="str">
        <f>IFERROR(__xludf.DUMMYFUNCTION("""COMPUTED_VALUE"""),"1141 1356 5418 1066 5227")</f>
        <v>1141 1356 5418 1066 5227</v>
      </c>
      <c r="L586" s="211"/>
      <c r="M586" s="211"/>
      <c r="N586" s="211"/>
      <c r="O586" s="211"/>
      <c r="Q586" s="210" t="str">
        <f>IFERROR(__xludf.DUMMYFUNCTION("""COMPUTED_VALUE"""),"5945486c")</f>
        <v>5945486c</v>
      </c>
      <c r="R586" s="210" t="str">
        <f>IFERROR(__xludf.DUMMYFUNCTION("""COMPUTED_VALUE"""),"5945486c")</f>
        <v>5945486c</v>
      </c>
      <c r="S586" s="211" t="str">
        <f>IFERROR(__xludf.DUMMYFUNCTION("""COMPUTED_VALUE"""),"2d88931c")</f>
        <v>2d88931c</v>
      </c>
      <c r="T586" s="211" t="str">
        <f>IFERROR(__xludf.DUMMYFUNCTION("""COMPUTED_VALUE"""),"PT Dunia Berkat Marga Mulya")</f>
        <v>PT Dunia Berkat Marga Mulya</v>
      </c>
      <c r="U586" s="215">
        <f>IFERROR(__xludf.DUMMYFUNCTION("""COMPUTED_VALUE"""),45728.68888888889)</f>
        <v>45728.68889</v>
      </c>
      <c r="V586" s="211" t="str">
        <f>IFERROR(__xludf.DUMMYFUNCTION("""COMPUTED_VALUE"""),"JL JABARAN, WATESARI, BALONGBENDO, SIDOARJO, JAWA TIMUR")</f>
        <v>JL JABARAN, WATESARI, BALONGBENDO, SIDOARJO, JAWA TIMUR</v>
      </c>
      <c r="W586" s="211" t="str">
        <f>IFERROR(__xludf.DUMMYFUNCTION("""COMPUTED_VALUE"""),"IN")</f>
        <v>IN</v>
      </c>
      <c r="X586" s="211"/>
      <c r="Z586" s="211" t="str">
        <f>IFERROR(__xludf.DUMMYFUNCTION("""COMPUTED_VALUE"""),"112561814")</f>
        <v>112561814</v>
      </c>
      <c r="AC586" s="211"/>
      <c r="AD586" s="211"/>
      <c r="AE586" s="211"/>
      <c r="AF586" s="211"/>
      <c r="AG586" s="211"/>
      <c r="AH586" s="211"/>
      <c r="AI586" s="211"/>
      <c r="AJ586" s="211"/>
      <c r="AL586" s="211"/>
      <c r="AM586" s="211"/>
      <c r="AN586" s="211"/>
      <c r="AO586" s="211"/>
      <c r="AP586" s="215"/>
      <c r="AQ586" s="218"/>
      <c r="AR586" s="211"/>
      <c r="AS586" s="211"/>
      <c r="AT586" s="211"/>
      <c r="AU586" s="211"/>
      <c r="AV586" s="211"/>
      <c r="AW586" s="211"/>
      <c r="AX586" s="211"/>
      <c r="AY586" s="211"/>
      <c r="AZ586" s="211"/>
      <c r="BB586" s="211"/>
      <c r="BC586" s="211"/>
      <c r="BD586" s="211"/>
      <c r="BE586" s="211"/>
      <c r="BF586" s="211"/>
      <c r="BG586" s="211"/>
      <c r="BH586" s="211"/>
      <c r="BI586" s="211"/>
    </row>
    <row r="587">
      <c r="A587" s="210" t="str">
        <f>IFERROR(__xludf.DUMMYFUNCTION("""COMPUTED_VALUE"""),"ed9804ed")</f>
        <v>ed9804ed</v>
      </c>
      <c r="B587" s="210" t="str">
        <f>IFERROR(__xludf.DUMMYFUNCTION("""COMPUTED_VALUE"""),"ed9804ed")</f>
        <v>ed9804ed</v>
      </c>
      <c r="C587" s="213">
        <f>IFERROR(__xludf.DUMMYFUNCTION("""COMPUTED_VALUE"""),45692.66111111111)</f>
        <v>45692.66111</v>
      </c>
      <c r="D587" s="211" t="str">
        <f>IFERROR(__xludf.DUMMYFUNCTION("""COMPUTED_VALUE"""),"ce83e171")</f>
        <v>ce83e171</v>
      </c>
      <c r="E587" s="211" t="str">
        <f>IFERROR(__xludf.DUMMYFUNCTION("""COMPUTED_VALUE"""),"Bpk. Sulaiman")</f>
        <v>Bpk. Sulaiman</v>
      </c>
      <c r="F587" s="211" t="str">
        <f>IFERROR(__xludf.DUMMYFUNCTION("""COMPUTED_VALUE"""),"8bdbe149")</f>
        <v>8bdbe149</v>
      </c>
      <c r="G587" s="211" t="str">
        <f>IFERROR(__xludf.DUMMYFUNCTION("""COMPUTED_VALUE"""),"Oksigen 6m3")</f>
        <v>Oksigen 6m3</v>
      </c>
      <c r="H587" s="214" t="str">
        <f>IFERROR(__xludf.DUMMYFUNCTION("""COMPUTED_VALUE"""),"IN")</f>
        <v>IN</v>
      </c>
      <c r="I587" s="214" t="str">
        <f>IFERROR(__xludf.DUMMYFUNCTION("""COMPUTED_VALUE"""),"EMPTY")</f>
        <v>EMPTY</v>
      </c>
      <c r="J587" s="211">
        <f>IFERROR(__xludf.DUMMYFUNCTION("""COMPUTED_VALUE"""),6.0)</f>
        <v>6</v>
      </c>
      <c r="K587" s="210" t="str">
        <f>IFERROR(__xludf.DUMMYFUNCTION("""COMPUTED_VALUE"""),"1107 1156 1109 1190 1115 11175")</f>
        <v>1107 1156 1109 1190 1115 11175</v>
      </c>
      <c r="L587" s="211"/>
      <c r="M587" s="211"/>
      <c r="N587" s="211"/>
      <c r="O587" s="211"/>
      <c r="Q587" s="210" t="str">
        <f>IFERROR(__xludf.DUMMYFUNCTION("""COMPUTED_VALUE"""),"03250321")</f>
        <v>03250321</v>
      </c>
      <c r="R587" s="210" t="str">
        <f>IFERROR(__xludf.DUMMYFUNCTION("""COMPUTED_VALUE"""),"03250321")</f>
        <v>03250321</v>
      </c>
      <c r="S587" s="211" t="str">
        <f>IFERROR(__xludf.DUMMYFUNCTION("""COMPUTED_VALUE"""),"2d88931c")</f>
        <v>2d88931c</v>
      </c>
      <c r="T587" s="211" t="str">
        <f>IFERROR(__xludf.DUMMYFUNCTION("""COMPUTED_VALUE"""),"PT Dunia Berkat Marga Mulya")</f>
        <v>PT Dunia Berkat Marga Mulya</v>
      </c>
      <c r="U587" s="215">
        <f>IFERROR(__xludf.DUMMYFUNCTION("""COMPUTED_VALUE"""),45729.35416666667)</f>
        <v>45729.35417</v>
      </c>
      <c r="V587" s="211" t="str">
        <f>IFERROR(__xludf.DUMMYFUNCTION("""COMPUTED_VALUE"""),"JL JABARAN, WATESARI, BALONGBENDO, SIDOARJO, JAWA TIMUR")</f>
        <v>JL JABARAN, WATESARI, BALONGBENDO, SIDOARJO, JAWA TIMUR</v>
      </c>
      <c r="W587" s="211" t="str">
        <f>IFERROR(__xludf.DUMMYFUNCTION("""COMPUTED_VALUE"""),"OUT")</f>
        <v>OUT</v>
      </c>
      <c r="X587" s="211"/>
      <c r="Z587" s="211" t="str">
        <f>IFERROR(__xludf.DUMMYFUNCTION("""COMPUTED_VALUE"""),"112511806")</f>
        <v>112511806</v>
      </c>
      <c r="AC587" s="211"/>
      <c r="AD587" s="211"/>
      <c r="AE587" s="211"/>
      <c r="AF587" s="211"/>
      <c r="AG587" s="211"/>
      <c r="AH587" s="211"/>
      <c r="AI587" s="211"/>
      <c r="AJ587" s="211"/>
      <c r="AL587" s="211"/>
      <c r="AM587" s="211"/>
      <c r="AN587" s="211"/>
      <c r="AO587" s="211"/>
      <c r="AP587" s="215"/>
      <c r="AQ587" s="218"/>
      <c r="AR587" s="211"/>
      <c r="AS587" s="211"/>
      <c r="AT587" s="211"/>
      <c r="AU587" s="211"/>
      <c r="AV587" s="211"/>
      <c r="AW587" s="211"/>
      <c r="AX587" s="211"/>
      <c r="AY587" s="211"/>
      <c r="AZ587" s="211"/>
      <c r="BB587" s="211"/>
      <c r="BC587" s="211"/>
      <c r="BD587" s="211"/>
      <c r="BE587" s="211"/>
      <c r="BF587" s="211"/>
      <c r="BG587" s="211"/>
      <c r="BH587" s="211"/>
      <c r="BI587" s="211"/>
    </row>
    <row r="588">
      <c r="A588" s="210" t="str">
        <f>IFERROR(__xludf.DUMMYFUNCTION("""COMPUTED_VALUE"""),"c0c6db1f")</f>
        <v>c0c6db1f</v>
      </c>
      <c r="B588" s="210" t="str">
        <f>IFERROR(__xludf.DUMMYFUNCTION("""COMPUTED_VALUE"""),"c0c6db1f")</f>
        <v>c0c6db1f</v>
      </c>
      <c r="C588" s="213">
        <f>IFERROR(__xludf.DUMMYFUNCTION("""COMPUTED_VALUE"""),45692.6625)</f>
        <v>45692.6625</v>
      </c>
      <c r="D588" s="211" t="str">
        <f>IFERROR(__xludf.DUMMYFUNCTION("""COMPUTED_VALUE"""),"3fec37df")</f>
        <v>3fec37df</v>
      </c>
      <c r="E588" s="211" t="str">
        <f>IFERROR(__xludf.DUMMYFUNCTION("""COMPUTED_VALUE"""),"PT Jatim Abadi Perkasa Steel")</f>
        <v>PT Jatim Abadi Perkasa Steel</v>
      </c>
      <c r="F588" s="211" t="str">
        <f>IFERROR(__xludf.DUMMYFUNCTION("""COMPUTED_VALUE"""),"b7a8fff1")</f>
        <v>b7a8fff1</v>
      </c>
      <c r="G588" s="211" t="str">
        <f>IFERROR(__xludf.DUMMYFUNCTION("""COMPUTED_VALUE"""),"LPG 50kg")</f>
        <v>LPG 50kg</v>
      </c>
      <c r="H588" s="214" t="str">
        <f>IFERROR(__xludf.DUMMYFUNCTION("""COMPUTED_VALUE"""),"IN")</f>
        <v>IN</v>
      </c>
      <c r="I588" s="214" t="str">
        <f>IFERROR(__xludf.DUMMYFUNCTION("""COMPUTED_VALUE"""),"EMPTY")</f>
        <v>EMPTY</v>
      </c>
      <c r="J588" s="211">
        <f>IFERROR(__xludf.DUMMYFUNCTION("""COMPUTED_VALUE"""),4.0)</f>
        <v>4</v>
      </c>
      <c r="K588" s="211"/>
      <c r="L588" s="211"/>
      <c r="M588" s="211"/>
      <c r="N588" s="211"/>
      <c r="O588" s="211"/>
      <c r="Q588" s="210" t="str">
        <f>IFERROR(__xludf.DUMMYFUNCTION("""COMPUTED_VALUE"""),"03250322")</f>
        <v>03250322</v>
      </c>
      <c r="R588" s="210" t="str">
        <f>IFERROR(__xludf.DUMMYFUNCTION("""COMPUTED_VALUE"""),"03250322")</f>
        <v>03250322</v>
      </c>
      <c r="S588" s="211" t="str">
        <f>IFERROR(__xludf.DUMMYFUNCTION("""COMPUTED_VALUE"""),"df6bdc5d")</f>
        <v>df6bdc5d</v>
      </c>
      <c r="T588" s="211" t="str">
        <f>IFERROR(__xludf.DUMMYFUNCTION("""COMPUTED_VALUE"""),"Bpk. Maruf")</f>
        <v>Bpk. Maruf</v>
      </c>
      <c r="U588" s="215">
        <f>IFERROR(__xludf.DUMMYFUNCTION("""COMPUTED_VALUE"""),45729.36111111111)</f>
        <v>45729.36111</v>
      </c>
      <c r="V588" s="211" t="str">
        <f>IFERROR(__xludf.DUMMYFUNCTION("""COMPUTED_VALUE"""),"CC6P+83G, Padangasri, Kec. Jatirejo, Kabupaten Mojokerto, Jawa Timur 61373")</f>
        <v>CC6P+83G, Padangasri, Kec. Jatirejo, Kabupaten Mojokerto, Jawa Timur 61373</v>
      </c>
      <c r="W588" s="211" t="str">
        <f>IFERROR(__xludf.DUMMYFUNCTION("""COMPUTED_VALUE"""),"OUT")</f>
        <v>OUT</v>
      </c>
      <c r="X588" s="211"/>
      <c r="Z588" s="211" t="str">
        <f>IFERROR(__xludf.DUMMYFUNCTION("""COMPUTED_VALUE"""),"112571805")</f>
        <v>112571805</v>
      </c>
      <c r="AC588" s="211"/>
      <c r="AD588" s="211"/>
      <c r="AE588" s="211"/>
      <c r="AF588" s="211"/>
      <c r="AG588" s="211"/>
      <c r="AH588" s="211"/>
      <c r="AI588" s="211"/>
      <c r="AJ588" s="211"/>
      <c r="AL588" s="211"/>
      <c r="AM588" s="211"/>
      <c r="AN588" s="211"/>
      <c r="AO588" s="211"/>
      <c r="AP588" s="215"/>
      <c r="AQ588" s="218"/>
      <c r="AR588" s="211"/>
      <c r="AS588" s="211"/>
      <c r="AT588" s="211"/>
      <c r="AU588" s="211"/>
      <c r="AV588" s="211"/>
      <c r="AW588" s="211"/>
      <c r="AX588" s="211"/>
      <c r="AY588" s="211"/>
      <c r="AZ588" s="211"/>
      <c r="BB588" s="211"/>
      <c r="BC588" s="211"/>
      <c r="BD588" s="211"/>
      <c r="BE588" s="211"/>
      <c r="BF588" s="211"/>
      <c r="BG588" s="211"/>
      <c r="BH588" s="211"/>
      <c r="BI588" s="211"/>
    </row>
    <row r="589">
      <c r="A589" s="210" t="str">
        <f>IFERROR(__xludf.DUMMYFUNCTION("""COMPUTED_VALUE"""),"02250243")</f>
        <v>02250243</v>
      </c>
      <c r="B589" s="210" t="str">
        <f>IFERROR(__xludf.DUMMYFUNCTION("""COMPUTED_VALUE"""),"02250243")</f>
        <v>02250243</v>
      </c>
      <c r="C589" s="213">
        <f>IFERROR(__xludf.DUMMYFUNCTION("""COMPUTED_VALUE"""),45693.34861111111)</f>
        <v>45693.34861</v>
      </c>
      <c r="D589" s="211" t="str">
        <f>IFERROR(__xludf.DUMMYFUNCTION("""COMPUTED_VALUE"""),"8f5ebaea")</f>
        <v>8f5ebaea</v>
      </c>
      <c r="E589" s="211" t="str">
        <f>IFERROR(__xludf.DUMMYFUNCTION("""COMPUTED_VALUE"""),"PT Hua Zong Mesindo")</f>
        <v>PT Hua Zong Mesindo</v>
      </c>
      <c r="F589" s="211" t="str">
        <f>IFERROR(__xludf.DUMMYFUNCTION("""COMPUTED_VALUE"""),"8bdbe149")</f>
        <v>8bdbe149</v>
      </c>
      <c r="G589" s="211" t="str">
        <f>IFERROR(__xludf.DUMMYFUNCTION("""COMPUTED_VALUE"""),"Oksigen 6m3")</f>
        <v>Oksigen 6m3</v>
      </c>
      <c r="H589" s="214" t="str">
        <f>IFERROR(__xludf.DUMMYFUNCTION("""COMPUTED_VALUE"""),"OUT")</f>
        <v>OUT</v>
      </c>
      <c r="I589" s="214" t="str">
        <f>IFERROR(__xludf.DUMMYFUNCTION("""COMPUTED_VALUE"""),"NORMAL")</f>
        <v>NORMAL</v>
      </c>
      <c r="J589" s="211">
        <f>IFERROR(__xludf.DUMMYFUNCTION("""COMPUTED_VALUE"""),3.0)</f>
        <v>3</v>
      </c>
      <c r="K589" s="210" t="str">
        <f>IFERROR(__xludf.DUMMYFUNCTION("""COMPUTED_VALUE"""),"1128 1140 11187")</f>
        <v>1128 1140 11187</v>
      </c>
      <c r="L589" s="211">
        <f>IFERROR(__xludf.DUMMYFUNCTION("""COMPUTED_VALUE"""),60000.0)</f>
        <v>60000</v>
      </c>
      <c r="M589" s="211"/>
      <c r="N589" s="211"/>
      <c r="O589" s="211"/>
      <c r="Q589" s="210" t="str">
        <f>IFERROR(__xludf.DUMMYFUNCTION("""COMPUTED_VALUE"""),"403250012")</f>
        <v>403250012</v>
      </c>
      <c r="R589" s="210" t="str">
        <f>IFERROR(__xludf.DUMMYFUNCTION("""COMPUTED_VALUE"""),"403250012")</f>
        <v>403250012</v>
      </c>
      <c r="S589" s="211" t="str">
        <f>IFERROR(__xludf.DUMMYFUNCTION("""COMPUTED_VALUE"""),"df6bdc5d")</f>
        <v>df6bdc5d</v>
      </c>
      <c r="T589" s="211" t="str">
        <f>IFERROR(__xludf.DUMMYFUNCTION("""COMPUTED_VALUE"""),"Bpk. Maruf")</f>
        <v>Bpk. Maruf</v>
      </c>
      <c r="U589" s="215">
        <f>IFERROR(__xludf.DUMMYFUNCTION("""COMPUTED_VALUE"""),45729.36111111111)</f>
        <v>45729.36111</v>
      </c>
      <c r="V589" s="211" t="str">
        <f>IFERROR(__xludf.DUMMYFUNCTION("""COMPUTED_VALUE"""),"CC6P+83G, Padangasri, Kec. Jatirejo, Kabupaten Mojokerto, Jawa Timur 61373")</f>
        <v>CC6P+83G, Padangasri, Kec. Jatirejo, Kabupaten Mojokerto, Jawa Timur 61373</v>
      </c>
      <c r="W589" s="211" t="str">
        <f>IFERROR(__xludf.DUMMYFUNCTION("""COMPUTED_VALUE"""),"OTHER")</f>
        <v>OTHER</v>
      </c>
      <c r="X589" s="211"/>
      <c r="Z589" s="211" t="str">
        <f>IFERROR(__xludf.DUMMYFUNCTION("""COMPUTED_VALUE"""),"1125121804")</f>
        <v>1125121804</v>
      </c>
      <c r="AC589" s="211"/>
      <c r="AD589" s="211"/>
      <c r="AE589" s="211"/>
      <c r="AF589" s="211"/>
      <c r="AG589" s="211"/>
      <c r="AH589" s="211"/>
      <c r="AI589" s="211"/>
      <c r="AJ589" s="211"/>
      <c r="AL589" s="211"/>
      <c r="AM589" s="211"/>
      <c r="AN589" s="211"/>
      <c r="AO589" s="211"/>
      <c r="AP589" s="215"/>
      <c r="AQ589" s="218"/>
      <c r="AR589" s="211"/>
      <c r="AS589" s="211"/>
      <c r="AT589" s="211"/>
      <c r="AU589" s="211"/>
      <c r="AV589" s="211"/>
      <c r="AW589" s="211"/>
      <c r="AX589" s="211"/>
      <c r="AY589" s="211"/>
      <c r="AZ589" s="211"/>
      <c r="BB589" s="211"/>
      <c r="BC589" s="211"/>
      <c r="BD589" s="211"/>
      <c r="BE589" s="211"/>
      <c r="BF589" s="211"/>
      <c r="BG589" s="211"/>
      <c r="BH589" s="211"/>
      <c r="BI589" s="211"/>
    </row>
    <row r="590">
      <c r="A590" s="210" t="str">
        <f>IFERROR(__xludf.DUMMYFUNCTION("""COMPUTED_VALUE"""),"02250243")</f>
        <v>02250243</v>
      </c>
      <c r="B590" s="210" t="str">
        <f>IFERROR(__xludf.DUMMYFUNCTION("""COMPUTED_VALUE"""),"02250243")</f>
        <v>02250243</v>
      </c>
      <c r="C590" s="213">
        <f>IFERROR(__xludf.DUMMYFUNCTION("""COMPUTED_VALUE"""),45693.34861111111)</f>
        <v>45693.34861</v>
      </c>
      <c r="D590" s="211" t="str">
        <f>IFERROR(__xludf.DUMMYFUNCTION("""COMPUTED_VALUE"""),"8f5ebaea")</f>
        <v>8f5ebaea</v>
      </c>
      <c r="E590" s="211" t="str">
        <f>IFERROR(__xludf.DUMMYFUNCTION("""COMPUTED_VALUE"""),"PT Hua Zong Mesindo")</f>
        <v>PT Hua Zong Mesindo</v>
      </c>
      <c r="F590" s="211" t="str">
        <f>IFERROR(__xludf.DUMMYFUNCTION("""COMPUTED_VALUE"""),"66af7c72")</f>
        <v>66af7c72</v>
      </c>
      <c r="G590" s="211" t="str">
        <f>IFERROR(__xludf.DUMMYFUNCTION("""COMPUTED_VALUE"""),"Argon 6m3")</f>
        <v>Argon 6m3</v>
      </c>
      <c r="H590" s="214" t="str">
        <f>IFERROR(__xludf.DUMMYFUNCTION("""COMPUTED_VALUE"""),"OUT")</f>
        <v>OUT</v>
      </c>
      <c r="I590" s="214" t="str">
        <f>IFERROR(__xludf.DUMMYFUNCTION("""COMPUTED_VALUE"""),"NORMAL")</f>
        <v>NORMAL</v>
      </c>
      <c r="J590" s="211">
        <f>IFERROR(__xludf.DUMMYFUNCTION("""COMPUTED_VALUE"""),3.0)</f>
        <v>3</v>
      </c>
      <c r="K590" s="210" t="str">
        <f>IFERROR(__xludf.DUMMYFUNCTION("""COMPUTED_VALUE"""),"12002 12001 12003")</f>
        <v>12002 12001 12003</v>
      </c>
      <c r="L590" s="211">
        <f>IFERROR(__xludf.DUMMYFUNCTION("""COMPUTED_VALUE"""),190000.0)</f>
        <v>190000</v>
      </c>
      <c r="M590" s="211"/>
      <c r="N590" s="211"/>
      <c r="O590" s="211"/>
      <c r="Q590" s="210" t="str">
        <f>IFERROR(__xludf.DUMMYFUNCTION("""COMPUTED_VALUE"""),"2cf4335d")</f>
        <v>2cf4335d</v>
      </c>
      <c r="R590" s="210" t="str">
        <f>IFERROR(__xludf.DUMMYFUNCTION("""COMPUTED_VALUE"""),"2cf4335d")</f>
        <v>2cf4335d</v>
      </c>
      <c r="S590" s="211" t="str">
        <f>IFERROR(__xludf.DUMMYFUNCTION("""COMPUTED_VALUE"""),"4a01ccb6")</f>
        <v>4a01ccb6</v>
      </c>
      <c r="T590" s="211" t="str">
        <f>IFERROR(__xludf.DUMMYFUNCTION("""COMPUTED_VALUE"""),"CV ANUGERAH PERSADA TEKNIK")</f>
        <v>CV ANUGERAH PERSADA TEKNIK</v>
      </c>
      <c r="U590" s="215">
        <f>IFERROR(__xludf.DUMMYFUNCTION("""COMPUTED_VALUE"""),45729.47013888889)</f>
        <v>45729.47014</v>
      </c>
      <c r="V590" s="211" t="str">
        <f>IFERROR(__xludf.DUMMYFUNCTION("""COMPUTED_VALUE"""),"JL. Raya Trosobo, Blok 3/14, Taman Sidoarjo Lingkungan Industri Kecil, Sepanjang, Jawa Timur, 61257")</f>
        <v>JL. Raya Trosobo, Blok 3/14, Taman Sidoarjo Lingkungan Industri Kecil, Sepanjang, Jawa Timur, 61257</v>
      </c>
      <c r="W590" s="211" t="str">
        <f>IFERROR(__xludf.DUMMYFUNCTION("""COMPUTED_VALUE"""),"IN")</f>
        <v>IN</v>
      </c>
      <c r="X590" s="211"/>
      <c r="Z590" s="211" t="str">
        <f>IFERROR(__xludf.DUMMYFUNCTION("""COMPUTED_VALUE"""),"112541796")</f>
        <v>112541796</v>
      </c>
      <c r="AC590" s="211"/>
      <c r="AD590" s="211"/>
      <c r="AE590" s="211"/>
      <c r="AF590" s="211"/>
      <c r="AG590" s="211"/>
      <c r="AH590" s="211"/>
      <c r="AI590" s="211"/>
      <c r="AJ590" s="211"/>
      <c r="AL590" s="211"/>
      <c r="AM590" s="211"/>
      <c r="AN590" s="211"/>
      <c r="AO590" s="211"/>
      <c r="AP590" s="215"/>
      <c r="AQ590" s="218"/>
      <c r="AR590" s="211"/>
      <c r="AS590" s="211"/>
      <c r="AT590" s="211"/>
      <c r="AU590" s="211"/>
      <c r="AV590" s="211"/>
      <c r="AW590" s="211"/>
      <c r="AX590" s="211"/>
      <c r="AY590" s="211"/>
      <c r="AZ590" s="211"/>
      <c r="BB590" s="211"/>
      <c r="BC590" s="211"/>
      <c r="BD590" s="211"/>
      <c r="BE590" s="211"/>
      <c r="BF590" s="211"/>
      <c r="BG590" s="211"/>
      <c r="BH590" s="211"/>
      <c r="BI590" s="211"/>
    </row>
    <row r="591">
      <c r="A591" s="210" t="str">
        <f>IFERROR(__xludf.DUMMYFUNCTION("""COMPUTED_VALUE"""),"02250245")</f>
        <v>02250245</v>
      </c>
      <c r="B591" s="210" t="str">
        <f>IFERROR(__xludf.DUMMYFUNCTION("""COMPUTED_VALUE"""),"02250245")</f>
        <v>02250245</v>
      </c>
      <c r="C591" s="213">
        <f>IFERROR(__xludf.DUMMYFUNCTION("""COMPUTED_VALUE"""),45693.57638888889)</f>
        <v>45693.57639</v>
      </c>
      <c r="D591" s="211" t="str">
        <f>IFERROR(__xludf.DUMMYFUNCTION("""COMPUTED_VALUE"""),"785e0e07")</f>
        <v>785e0e07</v>
      </c>
      <c r="E591" s="211" t="str">
        <f>IFERROR(__xludf.DUMMYFUNCTION("""COMPUTED_VALUE"""),"Bpk. Sukirno (Bejo)")</f>
        <v>Bpk. Sukirno (Bejo)</v>
      </c>
      <c r="F591" s="211" t="str">
        <f>IFERROR(__xludf.DUMMYFUNCTION("""COMPUTED_VALUE"""),"8bdbe149")</f>
        <v>8bdbe149</v>
      </c>
      <c r="G591" s="211" t="str">
        <f>IFERROR(__xludf.DUMMYFUNCTION("""COMPUTED_VALUE"""),"Oksigen 6m3")</f>
        <v>Oksigen 6m3</v>
      </c>
      <c r="H591" s="214" t="str">
        <f>IFERROR(__xludf.DUMMYFUNCTION("""COMPUTED_VALUE"""),"OUT")</f>
        <v>OUT</v>
      </c>
      <c r="I591" s="214" t="str">
        <f>IFERROR(__xludf.DUMMYFUNCTION("""COMPUTED_VALUE"""),"NORMAL")</f>
        <v>NORMAL</v>
      </c>
      <c r="J591" s="211">
        <f>IFERROR(__xludf.DUMMYFUNCTION("""COMPUTED_VALUE"""),20.0)</f>
        <v>20</v>
      </c>
      <c r="K591" s="210" t="str">
        <f>IFERROR(__xludf.DUMMYFUNCTION("""COMPUTED_VALUE"""),"11135 11169 11151 11158 11173 11172 11177 11142 11195 11144 11155 11138 11175 11181 11127 11177 11200 1193 1156 1109")</f>
        <v>11135 11169 11151 11158 11173 11172 11177 11142 11195 11144 11155 11138 11175 11181 11127 11177 11200 1193 1156 1109</v>
      </c>
      <c r="L591" s="211">
        <f>IFERROR(__xludf.DUMMYFUNCTION("""COMPUTED_VALUE"""),60000.0)</f>
        <v>60000</v>
      </c>
      <c r="M591" s="211"/>
      <c r="N591" s="211"/>
      <c r="O591" s="211"/>
      <c r="Q591" s="210" t="str">
        <f>IFERROR(__xludf.DUMMYFUNCTION("""COMPUTED_VALUE"""),"80112b23")</f>
        <v>80112b23</v>
      </c>
      <c r="R591" s="210" t="str">
        <f>IFERROR(__xludf.DUMMYFUNCTION("""COMPUTED_VALUE"""),"80112b23")</f>
        <v>80112b23</v>
      </c>
      <c r="S591" s="211" t="str">
        <f>IFERROR(__xludf.DUMMYFUNCTION("""COMPUTED_VALUE"""),"06d600f6")</f>
        <v>06d600f6</v>
      </c>
      <c r="T591" s="211" t="str">
        <f>IFERROR(__xludf.DUMMYFUNCTION("""COMPUTED_VALUE"""),"Ibu Ida")</f>
        <v>Ibu Ida</v>
      </c>
      <c r="U591" s="215">
        <f>IFERROR(__xludf.DUMMYFUNCTION("""COMPUTED_VALUE"""),45729.50902777778)</f>
        <v>45729.50903</v>
      </c>
      <c r="V591" s="211" t="str">
        <f>IFERROR(__xludf.DUMMYFUNCTION("""COMPUTED_VALUE"""),"Wonoayu rt 1 rw 4, Kec wonoayu, Kab. Sidoarjo")</f>
        <v>Wonoayu rt 1 rw 4, Kec wonoayu, Kab. Sidoarjo</v>
      </c>
      <c r="W591" s="211" t="str">
        <f>IFERROR(__xludf.DUMMYFUNCTION("""COMPUTED_VALUE"""),"IN")</f>
        <v>IN</v>
      </c>
      <c r="X591" s="211"/>
      <c r="Z591" s="211" t="str">
        <f>IFERROR(__xludf.DUMMYFUNCTION("""COMPUTED_VALUE"""),"1125111794")</f>
        <v>1125111794</v>
      </c>
      <c r="AC591" s="211"/>
      <c r="AD591" s="211"/>
      <c r="AE591" s="211"/>
      <c r="AF591" s="211"/>
      <c r="AG591" s="211"/>
      <c r="AH591" s="211"/>
      <c r="AI591" s="211"/>
      <c r="AJ591" s="211"/>
      <c r="AL591" s="211"/>
      <c r="AM591" s="211"/>
      <c r="AN591" s="211"/>
      <c r="AO591" s="211"/>
      <c r="AP591" s="215"/>
      <c r="AQ591" s="218"/>
      <c r="AR591" s="211"/>
      <c r="AS591" s="211"/>
      <c r="AT591" s="211"/>
      <c r="AU591" s="211"/>
      <c r="AV591" s="211"/>
      <c r="AW591" s="211"/>
      <c r="AX591" s="211"/>
      <c r="AY591" s="211"/>
      <c r="AZ591" s="211"/>
      <c r="BB591" s="211"/>
      <c r="BC591" s="211"/>
      <c r="BD591" s="211"/>
      <c r="BE591" s="211"/>
      <c r="BF591" s="211"/>
      <c r="BG591" s="211"/>
      <c r="BH591" s="211"/>
      <c r="BI591" s="211"/>
    </row>
    <row r="592">
      <c r="A592" s="210" t="str">
        <f>IFERROR(__xludf.DUMMYFUNCTION("""COMPUTED_VALUE"""),"ad83419e")</f>
        <v>ad83419e</v>
      </c>
      <c r="B592" s="210" t="str">
        <f>IFERROR(__xludf.DUMMYFUNCTION("""COMPUTED_VALUE"""),"ad83419e")</f>
        <v>ad83419e</v>
      </c>
      <c r="C592" s="213">
        <f>IFERROR(__xludf.DUMMYFUNCTION("""COMPUTED_VALUE"""),45693.58819444444)</f>
        <v>45693.58819</v>
      </c>
      <c r="D592" s="211" t="str">
        <f>IFERROR(__xludf.DUMMYFUNCTION("""COMPUTED_VALUE"""),"8f5ebaea")</f>
        <v>8f5ebaea</v>
      </c>
      <c r="E592" s="211" t="str">
        <f>IFERROR(__xludf.DUMMYFUNCTION("""COMPUTED_VALUE"""),"PT Hua Zong Mesindo")</f>
        <v>PT Hua Zong Mesindo</v>
      </c>
      <c r="F592" s="211" t="str">
        <f>IFERROR(__xludf.DUMMYFUNCTION("""COMPUTED_VALUE"""),"66af7c72")</f>
        <v>66af7c72</v>
      </c>
      <c r="G592" s="211" t="str">
        <f>IFERROR(__xludf.DUMMYFUNCTION("""COMPUTED_VALUE"""),"Argon 6m3")</f>
        <v>Argon 6m3</v>
      </c>
      <c r="H592" s="214" t="str">
        <f>IFERROR(__xludf.DUMMYFUNCTION("""COMPUTED_VALUE"""),"IN")</f>
        <v>IN</v>
      </c>
      <c r="I592" s="214" t="str">
        <f>IFERROR(__xludf.DUMMYFUNCTION("""COMPUTED_VALUE"""),"EMPTY")</f>
        <v>EMPTY</v>
      </c>
      <c r="J592" s="211">
        <f>IFERROR(__xludf.DUMMYFUNCTION("""COMPUTED_VALUE"""),1.0)</f>
        <v>1</v>
      </c>
      <c r="K592" s="210" t="str">
        <f>IFERROR(__xludf.DUMMYFUNCTION("""COMPUTED_VALUE"""),"8288")</f>
        <v>8288</v>
      </c>
      <c r="L592" s="211"/>
      <c r="M592" s="211"/>
      <c r="N592" s="211"/>
      <c r="O592" s="211"/>
      <c r="Q592" s="210" t="str">
        <f>IFERROR(__xludf.DUMMYFUNCTION("""COMPUTED_VALUE"""),"7e0bb35d")</f>
        <v>7e0bb35d</v>
      </c>
      <c r="R592" s="210" t="str">
        <f>IFERROR(__xludf.DUMMYFUNCTION("""COMPUTED_VALUE"""),"7e0bb35d")</f>
        <v>7e0bb35d</v>
      </c>
      <c r="S592" s="211" t="str">
        <f>IFERROR(__xludf.DUMMYFUNCTION("""COMPUTED_VALUE"""),"df6bdc5d")</f>
        <v>df6bdc5d</v>
      </c>
      <c r="T592" s="211" t="str">
        <f>IFERROR(__xludf.DUMMYFUNCTION("""COMPUTED_VALUE"""),"Bpk. Maruf")</f>
        <v>Bpk. Maruf</v>
      </c>
      <c r="U592" s="215">
        <f>IFERROR(__xludf.DUMMYFUNCTION("""COMPUTED_VALUE"""),45729.61944444444)</f>
        <v>45729.61944</v>
      </c>
      <c r="V592" s="211" t="str">
        <f>IFERROR(__xludf.DUMMYFUNCTION("""COMPUTED_VALUE"""),"CC6P+83G, Padangasri, Kec. Jatirejo, Kabupaten Mojokerto, Jawa Timur 61373")</f>
        <v>CC6P+83G, Padangasri, Kec. Jatirejo, Kabupaten Mojokerto, Jawa Timur 61373</v>
      </c>
      <c r="W592" s="211" t="str">
        <f>IFERROR(__xludf.DUMMYFUNCTION("""COMPUTED_VALUE"""),"IN")</f>
        <v>IN</v>
      </c>
      <c r="X592" s="211"/>
      <c r="Z592" s="211" t="str">
        <f>IFERROR(__xludf.DUMMYFUNCTION("""COMPUTED_VALUE"""),"112521793")</f>
        <v>112521793</v>
      </c>
      <c r="AC592" s="211"/>
      <c r="AD592" s="211"/>
      <c r="AE592" s="211"/>
      <c r="AF592" s="211"/>
      <c r="AG592" s="211"/>
      <c r="AH592" s="211"/>
      <c r="AI592" s="211"/>
      <c r="AJ592" s="211"/>
      <c r="AL592" s="211"/>
      <c r="AM592" s="211"/>
      <c r="AN592" s="211"/>
      <c r="AO592" s="211"/>
      <c r="AP592" s="215"/>
      <c r="AQ592" s="218"/>
      <c r="AR592" s="211"/>
      <c r="AS592" s="211"/>
      <c r="AT592" s="211"/>
      <c r="AU592" s="211"/>
      <c r="AV592" s="211"/>
      <c r="AW592" s="211"/>
      <c r="AX592" s="211"/>
      <c r="AY592" s="211"/>
      <c r="AZ592" s="211"/>
      <c r="BB592" s="211"/>
      <c r="BC592" s="211"/>
      <c r="BD592" s="211"/>
      <c r="BE592" s="211"/>
      <c r="BF592" s="211"/>
      <c r="BG592" s="211"/>
      <c r="BH592" s="211"/>
      <c r="BI592" s="211"/>
    </row>
    <row r="593">
      <c r="A593" s="210" t="str">
        <f>IFERROR(__xludf.DUMMYFUNCTION("""COMPUTED_VALUE"""),"4ae6af74")</f>
        <v>4ae6af74</v>
      </c>
      <c r="B593" s="210" t="str">
        <f>IFERROR(__xludf.DUMMYFUNCTION("""COMPUTED_VALUE"""),"4ae6af74")</f>
        <v>4ae6af74</v>
      </c>
      <c r="C593" s="213">
        <f>IFERROR(__xludf.DUMMYFUNCTION("""COMPUTED_VALUE"""),45693.58888888889)</f>
        <v>45693.58889</v>
      </c>
      <c r="D593" s="211" t="str">
        <f>IFERROR(__xludf.DUMMYFUNCTION("""COMPUTED_VALUE"""),"e86baf3b")</f>
        <v>e86baf3b</v>
      </c>
      <c r="E593" s="211" t="str">
        <f>IFERROR(__xludf.DUMMYFUNCTION("""COMPUTED_VALUE"""),"PT GEMILANG CIPTA WAWASAN")</f>
        <v>PT GEMILANG CIPTA WAWASAN</v>
      </c>
      <c r="F593" s="211" t="str">
        <f>IFERROR(__xludf.DUMMYFUNCTION("""COMPUTED_VALUE"""),"8bdbe149")</f>
        <v>8bdbe149</v>
      </c>
      <c r="G593" s="211" t="str">
        <f>IFERROR(__xludf.DUMMYFUNCTION("""COMPUTED_VALUE"""),"Oksigen 6m3")</f>
        <v>Oksigen 6m3</v>
      </c>
      <c r="H593" s="214" t="str">
        <f>IFERROR(__xludf.DUMMYFUNCTION("""COMPUTED_VALUE"""),"IN")</f>
        <v>IN</v>
      </c>
      <c r="I593" s="214" t="str">
        <f>IFERROR(__xludf.DUMMYFUNCTION("""COMPUTED_VALUE"""),"EMPTY")</f>
        <v>EMPTY</v>
      </c>
      <c r="J593" s="211">
        <f>IFERROR(__xludf.DUMMYFUNCTION("""COMPUTED_VALUE"""),6.0)</f>
        <v>6</v>
      </c>
      <c r="K593" s="210" t="str">
        <f>IFERROR(__xludf.DUMMYFUNCTION("""COMPUTED_VALUE"""),"1171 1138 1125 1163 1102 1166")</f>
        <v>1171 1138 1125 1163 1102 1166</v>
      </c>
      <c r="L593" s="211"/>
      <c r="M593" s="211"/>
      <c r="N593" s="211"/>
      <c r="O593" s="211"/>
      <c r="Q593" s="210" t="str">
        <f>IFERROR(__xludf.DUMMYFUNCTION("""COMPUTED_VALUE"""),"94876ad9")</f>
        <v>94876ad9</v>
      </c>
      <c r="R593" s="210" t="str">
        <f>IFERROR(__xludf.DUMMYFUNCTION("""COMPUTED_VALUE"""),"94876ad9")</f>
        <v>94876ad9</v>
      </c>
      <c r="S593" s="211" t="str">
        <f>IFERROR(__xludf.DUMMYFUNCTION("""COMPUTED_VALUE"""),"3fec37df")</f>
        <v>3fec37df</v>
      </c>
      <c r="T593" s="211" t="str">
        <f>IFERROR(__xludf.DUMMYFUNCTION("""COMPUTED_VALUE"""),"PT Jatim Abadi Perkasa Steel")</f>
        <v>PT Jatim Abadi Perkasa Steel</v>
      </c>
      <c r="U593" s="215">
        <f>IFERROR(__xludf.DUMMYFUNCTION("""COMPUTED_VALUE"""),45729.62013888889)</f>
        <v>45729.62014</v>
      </c>
      <c r="V593" s="211" t="str">
        <f>IFERROR(__xludf.DUMMYFUNCTION("""COMPUTED_VALUE"""),"Dsn. Bulak Sempuh, Jatirejo, Kab. Mojokerto, Jawa Timur")</f>
        <v>Dsn. Bulak Sempuh, Jatirejo, Kab. Mojokerto, Jawa Timur</v>
      </c>
      <c r="W593" s="211" t="str">
        <f>IFERROR(__xludf.DUMMYFUNCTION("""COMPUTED_VALUE"""),"IN")</f>
        <v>IN</v>
      </c>
      <c r="X593" s="211"/>
      <c r="Z593" s="211" t="str">
        <f>IFERROR(__xludf.DUMMYFUNCTION("""COMPUTED_VALUE"""),"1125311791")</f>
        <v>1125311791</v>
      </c>
      <c r="AC593" s="211"/>
      <c r="AD593" s="211"/>
      <c r="AE593" s="211"/>
      <c r="AF593" s="211"/>
      <c r="AG593" s="211"/>
      <c r="AH593" s="211"/>
      <c r="AI593" s="211"/>
      <c r="AJ593" s="211"/>
      <c r="AL593" s="211"/>
      <c r="AM593" s="211"/>
      <c r="AN593" s="211"/>
      <c r="AO593" s="211"/>
      <c r="AP593" s="215"/>
      <c r="AQ593" s="218"/>
      <c r="AR593" s="211"/>
      <c r="AS593" s="211"/>
      <c r="AT593" s="211"/>
      <c r="AU593" s="211"/>
      <c r="AV593" s="211"/>
      <c r="AW593" s="211"/>
      <c r="AX593" s="211"/>
      <c r="AY593" s="211"/>
      <c r="AZ593" s="211"/>
      <c r="BB593" s="211"/>
      <c r="BC593" s="211"/>
      <c r="BD593" s="211"/>
      <c r="BE593" s="211"/>
      <c r="BF593" s="211"/>
      <c r="BG593" s="211"/>
      <c r="BH593" s="211"/>
      <c r="BI593" s="211"/>
    </row>
    <row r="594">
      <c r="A594" s="210" t="str">
        <f>IFERROR(__xludf.DUMMYFUNCTION("""COMPUTED_VALUE"""),"4ae6af74")</f>
        <v>4ae6af74</v>
      </c>
      <c r="B594" s="210" t="str">
        <f>IFERROR(__xludf.DUMMYFUNCTION("""COMPUTED_VALUE"""),"4ae6af74")</f>
        <v>4ae6af74</v>
      </c>
      <c r="C594" s="213">
        <f>IFERROR(__xludf.DUMMYFUNCTION("""COMPUTED_VALUE"""),45693.589583333334)</f>
        <v>45693.58958</v>
      </c>
      <c r="D594" s="211" t="str">
        <f>IFERROR(__xludf.DUMMYFUNCTION("""COMPUTED_VALUE"""),"e86baf3b")</f>
        <v>e86baf3b</v>
      </c>
      <c r="E594" s="211" t="str">
        <f>IFERROR(__xludf.DUMMYFUNCTION("""COMPUTED_VALUE"""),"PT GEMILANG CIPTA WAWASAN")</f>
        <v>PT GEMILANG CIPTA WAWASAN</v>
      </c>
      <c r="F594" s="211" t="str">
        <f>IFERROR(__xludf.DUMMYFUNCTION("""COMPUTED_VALUE"""),"66af7c72")</f>
        <v>66af7c72</v>
      </c>
      <c r="G594" s="211" t="str">
        <f>IFERROR(__xludf.DUMMYFUNCTION("""COMPUTED_VALUE"""),"Argon 6m3")</f>
        <v>Argon 6m3</v>
      </c>
      <c r="H594" s="214" t="str">
        <f>IFERROR(__xludf.DUMMYFUNCTION("""COMPUTED_VALUE"""),"IN")</f>
        <v>IN</v>
      </c>
      <c r="I594" s="214" t="str">
        <f>IFERROR(__xludf.DUMMYFUNCTION("""COMPUTED_VALUE"""),"EMPTY")</f>
        <v>EMPTY</v>
      </c>
      <c r="J594" s="211">
        <f>IFERROR(__xludf.DUMMYFUNCTION("""COMPUTED_VALUE"""),1.0)</f>
        <v>1</v>
      </c>
      <c r="K594" s="210" t="str">
        <f>IFERROR(__xludf.DUMMYFUNCTION("""COMPUTED_VALUE"""),"12004")</f>
        <v>12004</v>
      </c>
      <c r="L594" s="211"/>
      <c r="M594" s="211"/>
      <c r="N594" s="211"/>
      <c r="O594" s="211"/>
      <c r="Q594" s="210" t="str">
        <f>IFERROR(__xludf.DUMMYFUNCTION("""COMPUTED_VALUE"""),"03250324")</f>
        <v>03250324</v>
      </c>
      <c r="R594" s="210" t="str">
        <f>IFERROR(__xludf.DUMMYFUNCTION("""COMPUTED_VALUE"""),"03250324")</f>
        <v>03250324</v>
      </c>
      <c r="S594" s="211" t="str">
        <f>IFERROR(__xludf.DUMMYFUNCTION("""COMPUTED_VALUE"""),"06d600f6")</f>
        <v>06d600f6</v>
      </c>
      <c r="T594" s="211" t="str">
        <f>IFERROR(__xludf.DUMMYFUNCTION("""COMPUTED_VALUE"""),"Ibu Ida")</f>
        <v>Ibu Ida</v>
      </c>
      <c r="U594" s="215">
        <f>IFERROR(__xludf.DUMMYFUNCTION("""COMPUTED_VALUE"""),45730.39166666666)</f>
        <v>45730.39167</v>
      </c>
      <c r="V594" s="211" t="str">
        <f>IFERROR(__xludf.DUMMYFUNCTION("""COMPUTED_VALUE"""),"Wonoayu rt 1 rw 4, Kec wonoayu, Kab. Sidoarjo")</f>
        <v>Wonoayu rt 1 rw 4, Kec wonoayu, Kab. Sidoarjo</v>
      </c>
      <c r="W594" s="211" t="str">
        <f>IFERROR(__xludf.DUMMYFUNCTION("""COMPUTED_VALUE"""),"OUT")</f>
        <v>OUT</v>
      </c>
      <c r="X594" s="211"/>
      <c r="Z594" s="211" t="str">
        <f>IFERROR(__xludf.DUMMYFUNCTION("""COMPUTED_VALUE"""),"1125431786")</f>
        <v>1125431786</v>
      </c>
      <c r="AC594" s="211"/>
      <c r="AD594" s="211"/>
      <c r="AE594" s="211"/>
      <c r="AF594" s="211"/>
      <c r="AG594" s="211"/>
      <c r="AH594" s="211"/>
      <c r="AI594" s="211"/>
      <c r="AJ594" s="211"/>
      <c r="AL594" s="211"/>
      <c r="AM594" s="211"/>
      <c r="AN594" s="211"/>
      <c r="AO594" s="211"/>
      <c r="AP594" s="215"/>
      <c r="AQ594" s="218"/>
      <c r="AR594" s="211"/>
      <c r="AS594" s="211"/>
      <c r="AT594" s="211"/>
      <c r="AU594" s="211"/>
      <c r="AV594" s="211"/>
      <c r="AW594" s="211"/>
      <c r="AX594" s="211"/>
      <c r="AY594" s="211"/>
      <c r="AZ594" s="211"/>
      <c r="BB594" s="211"/>
      <c r="BC594" s="211"/>
      <c r="BD594" s="211"/>
      <c r="BE594" s="211"/>
      <c r="BF594" s="211"/>
      <c r="BG594" s="211"/>
      <c r="BH594" s="211"/>
      <c r="BI594" s="211"/>
    </row>
    <row r="595">
      <c r="A595" s="210" t="str">
        <f>IFERROR(__xludf.DUMMYFUNCTION("""COMPUTED_VALUE"""),"4ae6af74")</f>
        <v>4ae6af74</v>
      </c>
      <c r="B595" s="210" t="str">
        <f>IFERROR(__xludf.DUMMYFUNCTION("""COMPUTED_VALUE"""),"4ae6af74")</f>
        <v>4ae6af74</v>
      </c>
      <c r="C595" s="213">
        <f>IFERROR(__xludf.DUMMYFUNCTION("""COMPUTED_VALUE"""),45693.589583333334)</f>
        <v>45693.58958</v>
      </c>
      <c r="D595" s="211" t="str">
        <f>IFERROR(__xludf.DUMMYFUNCTION("""COMPUTED_VALUE"""),"e86baf3b")</f>
        <v>e86baf3b</v>
      </c>
      <c r="E595" s="211" t="str">
        <f>IFERROR(__xludf.DUMMYFUNCTION("""COMPUTED_VALUE"""),"PT GEMILANG CIPTA WAWASAN")</f>
        <v>PT GEMILANG CIPTA WAWASAN</v>
      </c>
      <c r="F595" s="211" t="str">
        <f>IFERROR(__xludf.DUMMYFUNCTION("""COMPUTED_VALUE"""),"be525f3b")</f>
        <v>be525f3b</v>
      </c>
      <c r="G595" s="211" t="str">
        <f>IFERROR(__xludf.DUMMYFUNCTION("""COMPUTED_VALUE"""),"LPG 12kg")</f>
        <v>LPG 12kg</v>
      </c>
      <c r="H595" s="214" t="str">
        <f>IFERROR(__xludf.DUMMYFUNCTION("""COMPUTED_VALUE"""),"IN")</f>
        <v>IN</v>
      </c>
      <c r="I595" s="214" t="str">
        <f>IFERROR(__xludf.DUMMYFUNCTION("""COMPUTED_VALUE"""),"EMPTY")</f>
        <v>EMPTY</v>
      </c>
      <c r="J595" s="211">
        <f>IFERROR(__xludf.DUMMYFUNCTION("""COMPUTED_VALUE"""),5.0)</f>
        <v>5</v>
      </c>
      <c r="K595" s="211"/>
      <c r="L595" s="211"/>
      <c r="M595" s="211"/>
      <c r="N595" s="211"/>
      <c r="O595" s="211"/>
      <c r="Q595" s="210" t="str">
        <f>IFERROR(__xludf.DUMMYFUNCTION("""COMPUTED_VALUE"""),"03250325")</f>
        <v>03250325</v>
      </c>
      <c r="R595" s="210" t="str">
        <f>IFERROR(__xludf.DUMMYFUNCTION("""COMPUTED_VALUE"""),"03250325")</f>
        <v>03250325</v>
      </c>
      <c r="S595" s="211" t="str">
        <f>IFERROR(__xludf.DUMMYFUNCTION("""COMPUTED_VALUE"""),"785e0e07")</f>
        <v>785e0e07</v>
      </c>
      <c r="T595" s="211" t="str">
        <f>IFERROR(__xludf.DUMMYFUNCTION("""COMPUTED_VALUE"""),"Bpk. Sukirno (Bejo)")</f>
        <v>Bpk. Sukirno (Bejo)</v>
      </c>
      <c r="U595" s="215">
        <f>IFERROR(__xludf.DUMMYFUNCTION("""COMPUTED_VALUE"""),45730.39236111111)</f>
        <v>45730.39236</v>
      </c>
      <c r="V595" s="211" t="str">
        <f>IFERROR(__xludf.DUMMYFUNCTION("""COMPUTED_VALUE"""),"Krajan I, Wringinanom, Kec. Wringinanom, Kabupaten Gresik, Jawa Timur 61176")</f>
        <v>Krajan I, Wringinanom, Kec. Wringinanom, Kabupaten Gresik, Jawa Timur 61176</v>
      </c>
      <c r="W595" s="211" t="str">
        <f>IFERROR(__xludf.DUMMYFUNCTION("""COMPUTED_VALUE"""),"OUT")</f>
        <v>OUT</v>
      </c>
      <c r="X595" s="211"/>
      <c r="Z595" s="211" t="str">
        <f>IFERROR(__xludf.DUMMYFUNCTION("""COMPUTED_VALUE"""),"112521786")</f>
        <v>112521786</v>
      </c>
      <c r="AC595" s="211"/>
      <c r="AD595" s="211"/>
      <c r="AE595" s="211"/>
      <c r="AF595" s="211"/>
      <c r="AG595" s="211"/>
      <c r="AH595" s="211"/>
      <c r="AI595" s="211"/>
      <c r="AJ595" s="211"/>
      <c r="AL595" s="211"/>
      <c r="AM595" s="211"/>
      <c r="AN595" s="211"/>
      <c r="AO595" s="211"/>
      <c r="AP595" s="215"/>
      <c r="AQ595" s="218"/>
      <c r="AR595" s="211"/>
      <c r="AS595" s="211"/>
      <c r="AT595" s="211"/>
      <c r="AU595" s="211"/>
      <c r="AV595" s="211"/>
      <c r="AW595" s="211"/>
      <c r="AX595" s="211"/>
      <c r="AY595" s="211"/>
      <c r="AZ595" s="211"/>
      <c r="BB595" s="211"/>
      <c r="BC595" s="211"/>
      <c r="BD595" s="211"/>
      <c r="BE595" s="211"/>
      <c r="BF595" s="211"/>
      <c r="BG595" s="211"/>
      <c r="BH595" s="211"/>
      <c r="BI595" s="211"/>
    </row>
    <row r="596">
      <c r="A596" s="210" t="str">
        <f>IFERROR(__xludf.DUMMYFUNCTION("""COMPUTED_VALUE"""),"02250246")</f>
        <v>02250246</v>
      </c>
      <c r="B596" s="210" t="str">
        <f>IFERROR(__xludf.DUMMYFUNCTION("""COMPUTED_VALUE"""),"02250246")</f>
        <v>02250246</v>
      </c>
      <c r="C596" s="213">
        <f>IFERROR(__xludf.DUMMYFUNCTION("""COMPUTED_VALUE"""),45693.70277777778)</f>
        <v>45693.70278</v>
      </c>
      <c r="D596" s="211" t="str">
        <f>IFERROR(__xludf.DUMMYFUNCTION("""COMPUTED_VALUE"""),"71909be0")</f>
        <v>71909be0</v>
      </c>
      <c r="E596" s="211" t="str">
        <f>IFERROR(__xludf.DUMMYFUNCTION("""COMPUTED_VALUE"""),"Bpk. Pendik")</f>
        <v>Bpk. Pendik</v>
      </c>
      <c r="F596" s="211" t="str">
        <f>IFERROR(__xludf.DUMMYFUNCTION("""COMPUTED_VALUE"""),"be525f3b")</f>
        <v>be525f3b</v>
      </c>
      <c r="G596" s="211" t="str">
        <f>IFERROR(__xludf.DUMMYFUNCTION("""COMPUTED_VALUE"""),"LPG 12kg")</f>
        <v>LPG 12kg</v>
      </c>
      <c r="H596" s="214" t="str">
        <f>IFERROR(__xludf.DUMMYFUNCTION("""COMPUTED_VALUE"""),"OUT")</f>
        <v>OUT</v>
      </c>
      <c r="I596" s="214" t="str">
        <f>IFERROR(__xludf.DUMMYFUNCTION("""COMPUTED_VALUE"""),"NORMAL")</f>
        <v>NORMAL</v>
      </c>
      <c r="J596" s="211">
        <f>IFERROR(__xludf.DUMMYFUNCTION("""COMPUTED_VALUE"""),1.0)</f>
        <v>1</v>
      </c>
      <c r="K596" s="211"/>
      <c r="L596" s="211">
        <f>IFERROR(__xludf.DUMMYFUNCTION("""COMPUTED_VALUE"""),500000.0)</f>
        <v>500000</v>
      </c>
      <c r="M596" s="211"/>
      <c r="N596" s="211"/>
      <c r="O596" s="211"/>
      <c r="Q596" s="210" t="str">
        <f>IFERROR(__xludf.DUMMYFUNCTION("""COMPUTED_VALUE"""),"403250013")</f>
        <v>403250013</v>
      </c>
      <c r="R596" s="210" t="str">
        <f>IFERROR(__xludf.DUMMYFUNCTION("""COMPUTED_VALUE"""),"403250013")</f>
        <v>403250013</v>
      </c>
      <c r="S596" s="211" t="str">
        <f>IFERROR(__xludf.DUMMYFUNCTION("""COMPUTED_VALUE"""),"ac52e1fa")</f>
        <v>ac52e1fa</v>
      </c>
      <c r="T596" s="211" t="str">
        <f>IFERROR(__xludf.DUMMYFUNCTION("""COMPUTED_VALUE"""),"Abah Mad")</f>
        <v>Abah Mad</v>
      </c>
      <c r="U596" s="215">
        <f>IFERROR(__xludf.DUMMYFUNCTION("""COMPUTED_VALUE"""),45730.39236111111)</f>
        <v>45730.39236</v>
      </c>
      <c r="V596" s="211" t="str">
        <f>IFERROR(__xludf.DUMMYFUNCTION("""COMPUTED_VALUE"""),"Jl. Raya Surabaya  Madiun, Sidotemo, Sidomulyo, Kec. Krian, Kabupaten Sidoarjo, Jawa Timur 61262")</f>
        <v>Jl. Raya Surabaya  Madiun, Sidotemo, Sidomulyo, Kec. Krian, Kabupaten Sidoarjo, Jawa Timur 61262</v>
      </c>
      <c r="W596" s="211" t="str">
        <f>IFERROR(__xludf.DUMMYFUNCTION("""COMPUTED_VALUE"""),"OTHER")</f>
        <v>OTHER</v>
      </c>
      <c r="X596" s="211"/>
      <c r="Z596" s="211" t="str">
        <f>IFERROR(__xludf.DUMMYFUNCTION("""COMPUTED_VALUE"""),"1125101785")</f>
        <v>1125101785</v>
      </c>
      <c r="AC596" s="211"/>
      <c r="AD596" s="211"/>
      <c r="AE596" s="211"/>
      <c r="AF596" s="211"/>
      <c r="AG596" s="211"/>
      <c r="AH596" s="211"/>
      <c r="AI596" s="211"/>
      <c r="AJ596" s="211"/>
      <c r="AL596" s="211"/>
      <c r="AM596" s="211"/>
      <c r="AN596" s="211"/>
      <c r="AO596" s="211"/>
      <c r="AP596" s="215"/>
      <c r="AQ596" s="218"/>
      <c r="AR596" s="211"/>
      <c r="AS596" s="211"/>
      <c r="AT596" s="211"/>
      <c r="AU596" s="211"/>
      <c r="AV596" s="211"/>
      <c r="AW596" s="211"/>
      <c r="AX596" s="211"/>
      <c r="AY596" s="211"/>
      <c r="AZ596" s="211"/>
      <c r="BB596" s="211"/>
      <c r="BC596" s="211"/>
      <c r="BD596" s="211"/>
      <c r="BE596" s="211"/>
      <c r="BF596" s="211"/>
      <c r="BG596" s="211"/>
      <c r="BH596" s="211"/>
      <c r="BI596" s="211"/>
    </row>
    <row r="597">
      <c r="A597" s="210" t="str">
        <f>IFERROR(__xludf.DUMMYFUNCTION("""COMPUTED_VALUE"""),"a813ae08")</f>
        <v>a813ae08</v>
      </c>
      <c r="B597" s="210" t="str">
        <f>IFERROR(__xludf.DUMMYFUNCTION("""COMPUTED_VALUE"""),"a813ae08")</f>
        <v>a813ae08</v>
      </c>
      <c r="C597" s="213">
        <f>IFERROR(__xludf.DUMMYFUNCTION("""COMPUTED_VALUE"""),45693.709027777775)</f>
        <v>45693.70903</v>
      </c>
      <c r="D597" s="211" t="str">
        <f>IFERROR(__xludf.DUMMYFUNCTION("""COMPUTED_VALUE"""),"785e0e07")</f>
        <v>785e0e07</v>
      </c>
      <c r="E597" s="211" t="str">
        <f>IFERROR(__xludf.DUMMYFUNCTION("""COMPUTED_VALUE"""),"Bpk. Sukirno (Bejo)")</f>
        <v>Bpk. Sukirno (Bejo)</v>
      </c>
      <c r="F597" s="211" t="str">
        <f>IFERROR(__xludf.DUMMYFUNCTION("""COMPUTED_VALUE"""),"8bdbe149")</f>
        <v>8bdbe149</v>
      </c>
      <c r="G597" s="211" t="str">
        <f>IFERROR(__xludf.DUMMYFUNCTION("""COMPUTED_VALUE"""),"Oksigen 6m3")</f>
        <v>Oksigen 6m3</v>
      </c>
      <c r="H597" s="214" t="str">
        <f>IFERROR(__xludf.DUMMYFUNCTION("""COMPUTED_VALUE"""),"IN")</f>
        <v>IN</v>
      </c>
      <c r="I597" s="214" t="str">
        <f>IFERROR(__xludf.DUMMYFUNCTION("""COMPUTED_VALUE"""),"EMPTY")</f>
        <v>EMPTY</v>
      </c>
      <c r="J597" s="211">
        <f>IFERROR(__xludf.DUMMYFUNCTION("""COMPUTED_VALUE"""),5.0)</f>
        <v>5</v>
      </c>
      <c r="K597" s="210" t="str">
        <f>IFERROR(__xludf.DUMMYFUNCTION("""COMPUTED_VALUE"""),"1136 1185 1182 11161 01")</f>
        <v>1136 1185 1182 11161 01</v>
      </c>
      <c r="L597" s="211"/>
      <c r="M597" s="211"/>
      <c r="N597" s="211"/>
      <c r="O597" s="211"/>
      <c r="Q597" s="210" t="str">
        <f>IFERROR(__xludf.DUMMYFUNCTION("""COMPUTED_VALUE"""),"4248a097")</f>
        <v>4248a097</v>
      </c>
      <c r="R597" s="210" t="str">
        <f>IFERROR(__xludf.DUMMYFUNCTION("""COMPUTED_VALUE"""),"4248a097")</f>
        <v>4248a097</v>
      </c>
      <c r="S597" s="211" t="str">
        <f>IFERROR(__xludf.DUMMYFUNCTION("""COMPUTED_VALUE"""),"ac52e1fa")</f>
        <v>ac52e1fa</v>
      </c>
      <c r="T597" s="211" t="str">
        <f>IFERROR(__xludf.DUMMYFUNCTION("""COMPUTED_VALUE"""),"Abah Mad")</f>
        <v>Abah Mad</v>
      </c>
      <c r="U597" s="215">
        <f>IFERROR(__xludf.DUMMYFUNCTION("""COMPUTED_VALUE"""),45730.35833333334)</f>
        <v>45730.35833</v>
      </c>
      <c r="V597" s="211" t="str">
        <f>IFERROR(__xludf.DUMMYFUNCTION("""COMPUTED_VALUE"""),"Jl. Raya Surabaya  Madiun, Sidotemo, Sidomulyo, Kec. Krian, Kabupaten Sidoarjo, Jawa Timur 61262")</f>
        <v>Jl. Raya Surabaya  Madiun, Sidotemo, Sidomulyo, Kec. Krian, Kabupaten Sidoarjo, Jawa Timur 61262</v>
      </c>
      <c r="W597" s="211" t="str">
        <f>IFERROR(__xludf.DUMMYFUNCTION("""COMPUTED_VALUE"""),"IN")</f>
        <v>IN</v>
      </c>
      <c r="X597" s="211"/>
      <c r="Z597" s="211" t="str">
        <f>IFERROR(__xludf.DUMMYFUNCTION("""COMPUTED_VALUE"""),"1125111784")</f>
        <v>1125111784</v>
      </c>
      <c r="AC597" s="211"/>
      <c r="AD597" s="211"/>
      <c r="AE597" s="211"/>
      <c r="AF597" s="211"/>
      <c r="AG597" s="211"/>
      <c r="AH597" s="211"/>
      <c r="AI597" s="211"/>
      <c r="AJ597" s="211"/>
      <c r="AL597" s="211"/>
      <c r="AM597" s="211"/>
      <c r="AN597" s="211"/>
      <c r="AO597" s="211"/>
      <c r="AP597" s="215"/>
      <c r="AQ597" s="218"/>
      <c r="AR597" s="211"/>
      <c r="AS597" s="211"/>
      <c r="AT597" s="211"/>
      <c r="AU597" s="211"/>
      <c r="AV597" s="211"/>
      <c r="AW597" s="211"/>
      <c r="AX597" s="211"/>
      <c r="AY597" s="211"/>
      <c r="AZ597" s="211"/>
      <c r="BB597" s="211"/>
      <c r="BC597" s="211"/>
      <c r="BD597" s="211"/>
      <c r="BE597" s="211"/>
      <c r="BF597" s="211"/>
      <c r="BG597" s="211"/>
      <c r="BH597" s="211"/>
      <c r="BI597" s="211"/>
    </row>
    <row r="598">
      <c r="A598" s="210" t="str">
        <f>IFERROR(__xludf.DUMMYFUNCTION("""COMPUTED_VALUE"""),"a813ae08")</f>
        <v>a813ae08</v>
      </c>
      <c r="B598" s="210" t="str">
        <f>IFERROR(__xludf.DUMMYFUNCTION("""COMPUTED_VALUE"""),"a813ae08")</f>
        <v>a813ae08</v>
      </c>
      <c r="C598" s="213">
        <f>IFERROR(__xludf.DUMMYFUNCTION("""COMPUTED_VALUE"""),45693.71041666667)</f>
        <v>45693.71042</v>
      </c>
      <c r="D598" s="211" t="str">
        <f>IFERROR(__xludf.DUMMYFUNCTION("""COMPUTED_VALUE"""),"785e0e07")</f>
        <v>785e0e07</v>
      </c>
      <c r="E598" s="211" t="str">
        <f>IFERROR(__xludf.DUMMYFUNCTION("""COMPUTED_VALUE"""),"Bpk. Sukirno (Bejo)")</f>
        <v>Bpk. Sukirno (Bejo)</v>
      </c>
      <c r="F598" s="211" t="str">
        <f>IFERROR(__xludf.DUMMYFUNCTION("""COMPUTED_VALUE"""),"b7a8fff1")</f>
        <v>b7a8fff1</v>
      </c>
      <c r="G598" s="211" t="str">
        <f>IFERROR(__xludf.DUMMYFUNCTION("""COMPUTED_VALUE"""),"LPG 50kg")</f>
        <v>LPG 50kg</v>
      </c>
      <c r="H598" s="214" t="str">
        <f>IFERROR(__xludf.DUMMYFUNCTION("""COMPUTED_VALUE"""),"IN")</f>
        <v>IN</v>
      </c>
      <c r="I598" s="214" t="str">
        <f>IFERROR(__xludf.DUMMYFUNCTION("""COMPUTED_VALUE"""),"EMPTY")</f>
        <v>EMPTY</v>
      </c>
      <c r="J598" s="211">
        <f>IFERROR(__xludf.DUMMYFUNCTION("""COMPUTED_VALUE"""),1.0)</f>
        <v>1</v>
      </c>
      <c r="K598" s="211"/>
      <c r="L598" s="211"/>
      <c r="M598" s="211"/>
      <c r="N598" s="211"/>
      <c r="O598" s="211"/>
      <c r="Q598" s="210" t="str">
        <f>IFERROR(__xludf.DUMMYFUNCTION("""COMPUTED_VALUE"""),"fd23d9f1")</f>
        <v>fd23d9f1</v>
      </c>
      <c r="R598" s="210" t="str">
        <f>IFERROR(__xludf.DUMMYFUNCTION("""COMPUTED_VALUE"""),"fd23d9f1")</f>
        <v>fd23d9f1</v>
      </c>
      <c r="S598" s="211" t="str">
        <f>IFERROR(__xludf.DUMMYFUNCTION("""COMPUTED_VALUE"""),"785e0e07")</f>
        <v>785e0e07</v>
      </c>
      <c r="T598" s="211" t="str">
        <f>IFERROR(__xludf.DUMMYFUNCTION("""COMPUTED_VALUE"""),"Bpk. Sukirno (Bejo)")</f>
        <v>Bpk. Sukirno (Bejo)</v>
      </c>
      <c r="U598" s="215">
        <f>IFERROR(__xludf.DUMMYFUNCTION("""COMPUTED_VALUE"""),45730.52291666667)</f>
        <v>45730.52292</v>
      </c>
      <c r="V598" s="211" t="str">
        <f>IFERROR(__xludf.DUMMYFUNCTION("""COMPUTED_VALUE"""),"Krajan I, Wringinanom, Kec. Wringinanom, Kabupaten Gresik, Jawa Timur 61176")</f>
        <v>Krajan I, Wringinanom, Kec. Wringinanom, Kabupaten Gresik, Jawa Timur 61176</v>
      </c>
      <c r="W598" s="211" t="str">
        <f>IFERROR(__xludf.DUMMYFUNCTION("""COMPUTED_VALUE"""),"IN")</f>
        <v>IN</v>
      </c>
      <c r="X598" s="211"/>
      <c r="Z598" s="211" t="str">
        <f>IFERROR(__xludf.DUMMYFUNCTION("""COMPUTED_VALUE"""),"1125101783")</f>
        <v>1125101783</v>
      </c>
      <c r="AC598" s="211"/>
      <c r="AD598" s="211"/>
      <c r="AE598" s="211"/>
      <c r="AF598" s="211"/>
      <c r="AG598" s="211"/>
      <c r="AH598" s="211"/>
      <c r="AI598" s="211"/>
      <c r="AJ598" s="211"/>
      <c r="AL598" s="211"/>
      <c r="AM598" s="211"/>
      <c r="AN598" s="211"/>
      <c r="AO598" s="211"/>
      <c r="AP598" s="215"/>
      <c r="AQ598" s="218"/>
      <c r="AR598" s="211"/>
      <c r="AS598" s="211"/>
      <c r="AT598" s="211"/>
      <c r="AU598" s="211"/>
      <c r="AV598" s="211"/>
      <c r="AW598" s="211"/>
      <c r="AX598" s="211"/>
      <c r="AY598" s="211"/>
      <c r="AZ598" s="211"/>
      <c r="BB598" s="211"/>
      <c r="BC598" s="211"/>
      <c r="BD598" s="211"/>
      <c r="BE598" s="211"/>
      <c r="BF598" s="211"/>
      <c r="BG598" s="211"/>
      <c r="BH598" s="211"/>
      <c r="BI598" s="211"/>
    </row>
    <row r="599">
      <c r="A599" s="210" t="str">
        <f>IFERROR(__xludf.DUMMYFUNCTION("""COMPUTED_VALUE"""),"02250247")</f>
        <v>02250247</v>
      </c>
      <c r="B599" s="210" t="str">
        <f>IFERROR(__xludf.DUMMYFUNCTION("""COMPUTED_VALUE"""),"02250247")</f>
        <v>02250247</v>
      </c>
      <c r="C599" s="213">
        <f>IFERROR(__xludf.DUMMYFUNCTION("""COMPUTED_VALUE"""),45694.37291666667)</f>
        <v>45694.37292</v>
      </c>
      <c r="D599" s="211" t="str">
        <f>IFERROR(__xludf.DUMMYFUNCTION("""COMPUTED_VALUE"""),"ce83e171")</f>
        <v>ce83e171</v>
      </c>
      <c r="E599" s="211" t="str">
        <f>IFERROR(__xludf.DUMMYFUNCTION("""COMPUTED_VALUE"""),"Bpk. Sulaiman")</f>
        <v>Bpk. Sulaiman</v>
      </c>
      <c r="F599" s="211" t="str">
        <f>IFERROR(__xludf.DUMMYFUNCTION("""COMPUTED_VALUE"""),"8bdbe149")</f>
        <v>8bdbe149</v>
      </c>
      <c r="G599" s="211" t="str">
        <f>IFERROR(__xludf.DUMMYFUNCTION("""COMPUTED_VALUE"""),"Oksigen 6m3")</f>
        <v>Oksigen 6m3</v>
      </c>
      <c r="H599" s="214" t="str">
        <f>IFERROR(__xludf.DUMMYFUNCTION("""COMPUTED_VALUE"""),"OUT")</f>
        <v>OUT</v>
      </c>
      <c r="I599" s="214" t="str">
        <f>IFERROR(__xludf.DUMMYFUNCTION("""COMPUTED_VALUE"""),"NORMAL")</f>
        <v>NORMAL</v>
      </c>
      <c r="J599" s="211">
        <f>IFERROR(__xludf.DUMMYFUNCTION("""COMPUTED_VALUE"""),5.0)</f>
        <v>5</v>
      </c>
      <c r="K599" s="210" t="str">
        <f>IFERROR(__xludf.DUMMYFUNCTION("""COMPUTED_VALUE"""),"1115 1107 1190 1152 11124")</f>
        <v>1115 1107 1190 1152 11124</v>
      </c>
      <c r="L599" s="211">
        <f>IFERROR(__xludf.DUMMYFUNCTION("""COMPUTED_VALUE"""),55000.0)</f>
        <v>55000</v>
      </c>
      <c r="M599" s="211"/>
      <c r="N599" s="211"/>
      <c r="O599" s="211"/>
      <c r="Q599" s="210" t="str">
        <f>IFERROR(__xludf.DUMMYFUNCTION("""COMPUTED_VALUE"""),"0a5880c1")</f>
        <v>0a5880c1</v>
      </c>
      <c r="R599" s="210" t="str">
        <f>IFERROR(__xludf.DUMMYFUNCTION("""COMPUTED_VALUE"""),"0a5880c1")</f>
        <v>0a5880c1</v>
      </c>
      <c r="S599" s="211" t="str">
        <f>IFERROR(__xludf.DUMMYFUNCTION("""COMPUTED_VALUE"""),"01158be1")</f>
        <v>01158be1</v>
      </c>
      <c r="T599" s="211" t="str">
        <f>IFERROR(__xludf.DUMMYFUNCTION("""COMPUTED_VALUE"""),"GYF")</f>
        <v>GYF</v>
      </c>
      <c r="U599" s="215">
        <f>IFERROR(__xludf.DUMMYFUNCTION("""COMPUTED_VALUE"""),45730.66111111111)</f>
        <v>45730.66111</v>
      </c>
      <c r="V599" s="211" t="str">
        <f>IFERROR(__xludf.DUMMYFUNCTION("""COMPUTED_VALUE"""),"Kangkungan, Lengkong, Kec. Mojoanyar, Kabupaten Mojokerto, Jawa Timur")</f>
        <v>Kangkungan, Lengkong, Kec. Mojoanyar, Kabupaten Mojokerto, Jawa Timur</v>
      </c>
      <c r="W599" s="211" t="str">
        <f>IFERROR(__xludf.DUMMYFUNCTION("""COMPUTED_VALUE"""),"IN")</f>
        <v>IN</v>
      </c>
      <c r="X599" s="211"/>
      <c r="Z599" s="211" t="str">
        <f>IFERROR(__xludf.DUMMYFUNCTION("""COMPUTED_VALUE"""),"112531782")</f>
        <v>112531782</v>
      </c>
      <c r="AC599" s="211"/>
      <c r="AD599" s="211"/>
      <c r="AE599" s="211"/>
      <c r="AF599" s="211"/>
      <c r="AG599" s="211"/>
      <c r="AH599" s="211"/>
      <c r="AI599" s="211"/>
      <c r="AJ599" s="211"/>
      <c r="AL599" s="211"/>
      <c r="AM599" s="211"/>
      <c r="AN599" s="211"/>
      <c r="AO599" s="211"/>
      <c r="AP599" s="215"/>
      <c r="AQ599" s="218"/>
      <c r="AR599" s="211"/>
      <c r="AS599" s="211"/>
      <c r="AT599" s="211"/>
      <c r="AU599" s="211"/>
      <c r="AV599" s="211"/>
      <c r="AW599" s="211"/>
      <c r="AX599" s="211"/>
      <c r="AY599" s="211"/>
      <c r="AZ599" s="211"/>
      <c r="BB599" s="211"/>
      <c r="BC599" s="211"/>
      <c r="BD599" s="211"/>
      <c r="BE599" s="211"/>
      <c r="BF599" s="211"/>
      <c r="BG599" s="211"/>
      <c r="BH599" s="211"/>
      <c r="BI599" s="211"/>
    </row>
    <row r="600">
      <c r="A600" s="210" t="str">
        <f>IFERROR(__xludf.DUMMYFUNCTION("""COMPUTED_VALUE"""),"02250248")</f>
        <v>02250248</v>
      </c>
      <c r="B600" s="210" t="str">
        <f>IFERROR(__xludf.DUMMYFUNCTION("""COMPUTED_VALUE"""),"02250248")</f>
        <v>02250248</v>
      </c>
      <c r="C600" s="213">
        <f>IFERROR(__xludf.DUMMYFUNCTION("""COMPUTED_VALUE"""),45694.375)</f>
        <v>45694.375</v>
      </c>
      <c r="D600" s="211" t="str">
        <f>IFERROR(__xludf.DUMMYFUNCTION("""COMPUTED_VALUE"""),"01158be1")</f>
        <v>01158be1</v>
      </c>
      <c r="E600" s="211" t="str">
        <f>IFERROR(__xludf.DUMMYFUNCTION("""COMPUTED_VALUE"""),"GYF")</f>
        <v>GYF</v>
      </c>
      <c r="F600" s="211" t="str">
        <f>IFERROR(__xludf.DUMMYFUNCTION("""COMPUTED_VALUE"""),"8bdbe149")</f>
        <v>8bdbe149</v>
      </c>
      <c r="G600" s="211" t="str">
        <f>IFERROR(__xludf.DUMMYFUNCTION("""COMPUTED_VALUE"""),"Oksigen 6m3")</f>
        <v>Oksigen 6m3</v>
      </c>
      <c r="H600" s="214" t="str">
        <f>IFERROR(__xludf.DUMMYFUNCTION("""COMPUTED_VALUE"""),"OUT")</f>
        <v>OUT</v>
      </c>
      <c r="I600" s="214" t="str">
        <f>IFERROR(__xludf.DUMMYFUNCTION("""COMPUTED_VALUE"""),"NORMAL")</f>
        <v>NORMAL</v>
      </c>
      <c r="J600" s="211">
        <f>IFERROR(__xludf.DUMMYFUNCTION("""COMPUTED_VALUE"""),10.0)</f>
        <v>10</v>
      </c>
      <c r="K600" s="210" t="str">
        <f>IFERROR(__xludf.DUMMYFUNCTION("""COMPUTED_VALUE"""),"11164 1125 1136 1185 1182 1163 1171 1166 1138")</f>
        <v>11164 1125 1136 1185 1182 1163 1171 1166 1138</v>
      </c>
      <c r="L600" s="211">
        <f>IFERROR(__xludf.DUMMYFUNCTION("""COMPUTED_VALUE"""),45000.0)</f>
        <v>45000</v>
      </c>
      <c r="M600" s="211"/>
      <c r="N600" s="211"/>
      <c r="O600" s="211"/>
      <c r="Q600" s="210" t="str">
        <f>IFERROR(__xludf.DUMMYFUNCTION("""COMPUTED_VALUE"""),"03250326")</f>
        <v>03250326</v>
      </c>
      <c r="R600" s="210" t="str">
        <f>IFERROR(__xludf.DUMMYFUNCTION("""COMPUTED_VALUE"""),"03250326")</f>
        <v>03250326</v>
      </c>
      <c r="S600" s="211" t="str">
        <f>IFERROR(__xludf.DUMMYFUNCTION("""COMPUTED_VALUE"""),"ce83e171")</f>
        <v>ce83e171</v>
      </c>
      <c r="T600" s="211" t="str">
        <f>IFERROR(__xludf.DUMMYFUNCTION("""COMPUTED_VALUE"""),"Bpk. Sulaiman")</f>
        <v>Bpk. Sulaiman</v>
      </c>
      <c r="U600" s="215">
        <f>IFERROR(__xludf.DUMMYFUNCTION("""COMPUTED_VALUE"""),45731.42291666666)</f>
        <v>45731.42292</v>
      </c>
      <c r="V600" s="211" t="str">
        <f>IFERROR(__xludf.DUMMYFUNCTION("""COMPUTED_VALUE"""),"Jl. Raya Kramat Temenggung No.43, Kramat, Kramat Temenggung, Kec. Tarik, Kabupaten Sidoarjo, Jawa Timur 61265")</f>
        <v>Jl. Raya Kramat Temenggung No.43, Kramat, Kramat Temenggung, Kec. Tarik, Kabupaten Sidoarjo, Jawa Timur 61265</v>
      </c>
      <c r="W600" s="211" t="str">
        <f>IFERROR(__xludf.DUMMYFUNCTION("""COMPUTED_VALUE"""),"OUT")</f>
        <v>OUT</v>
      </c>
      <c r="X600" s="211"/>
      <c r="Z600" s="211" t="str">
        <f>IFERROR(__xludf.DUMMYFUNCTION("""COMPUTED_VALUE"""),"1125161774")</f>
        <v>1125161774</v>
      </c>
      <c r="AC600" s="211"/>
      <c r="AD600" s="211"/>
      <c r="AE600" s="211"/>
      <c r="AF600" s="211"/>
      <c r="AG600" s="211"/>
      <c r="AH600" s="211"/>
      <c r="AI600" s="211"/>
      <c r="AJ600" s="211"/>
      <c r="AL600" s="211"/>
      <c r="AM600" s="211"/>
      <c r="AN600" s="211"/>
      <c r="AO600" s="211"/>
      <c r="AP600" s="215"/>
      <c r="AQ600" s="218"/>
      <c r="AR600" s="211"/>
      <c r="AS600" s="211"/>
      <c r="AT600" s="211"/>
      <c r="AU600" s="211"/>
      <c r="AV600" s="211"/>
      <c r="AW600" s="211"/>
      <c r="AX600" s="211"/>
      <c r="AY600" s="211"/>
      <c r="AZ600" s="211"/>
      <c r="BB600" s="211"/>
      <c r="BC600" s="211"/>
      <c r="BD600" s="211"/>
      <c r="BE600" s="211"/>
      <c r="BF600" s="211"/>
      <c r="BG600" s="211"/>
      <c r="BH600" s="211"/>
      <c r="BI600" s="211"/>
    </row>
    <row r="601">
      <c r="A601" s="210" t="str">
        <f>IFERROR(__xludf.DUMMYFUNCTION("""COMPUTED_VALUE"""),"3753da25")</f>
        <v>3753da25</v>
      </c>
      <c r="B601" s="210" t="str">
        <f>IFERROR(__xludf.DUMMYFUNCTION("""COMPUTED_VALUE"""),"3753da25")</f>
        <v>3753da25</v>
      </c>
      <c r="C601" s="213">
        <f>IFERROR(__xludf.DUMMYFUNCTION("""COMPUTED_VALUE"""),45694.506944444445)</f>
        <v>45694.50694</v>
      </c>
      <c r="D601" s="211" t="str">
        <f>IFERROR(__xludf.DUMMYFUNCTION("""COMPUTED_VALUE"""),"01158be1")</f>
        <v>01158be1</v>
      </c>
      <c r="E601" s="211" t="str">
        <f>IFERROR(__xludf.DUMMYFUNCTION("""COMPUTED_VALUE"""),"GYF")</f>
        <v>GYF</v>
      </c>
      <c r="F601" s="211" t="str">
        <f>IFERROR(__xludf.DUMMYFUNCTION("""COMPUTED_VALUE"""),"8bdbe149")</f>
        <v>8bdbe149</v>
      </c>
      <c r="G601" s="211" t="str">
        <f>IFERROR(__xludf.DUMMYFUNCTION("""COMPUTED_VALUE"""),"Oksigen 6m3")</f>
        <v>Oksigen 6m3</v>
      </c>
      <c r="H601" s="214" t="str">
        <f>IFERROR(__xludf.DUMMYFUNCTION("""COMPUTED_VALUE"""),"IN")</f>
        <v>IN</v>
      </c>
      <c r="I601" s="214" t="str">
        <f>IFERROR(__xludf.DUMMYFUNCTION("""COMPUTED_VALUE"""),"EMPTY")</f>
        <v>EMPTY</v>
      </c>
      <c r="J601" s="211">
        <f>IFERROR(__xludf.DUMMYFUNCTION("""COMPUTED_VALUE"""),6.0)</f>
        <v>6</v>
      </c>
      <c r="K601" s="210" t="str">
        <f>IFERROR(__xludf.DUMMYFUNCTION("""COMPUTED_VALUE"""),"1112 04 11143 1843 1124 11130")</f>
        <v>1112 04 11143 1843 1124 11130</v>
      </c>
      <c r="L601" s="211"/>
      <c r="M601" s="211"/>
      <c r="N601" s="211"/>
      <c r="O601" s="211"/>
      <c r="Q601" s="210" t="str">
        <f>IFERROR(__xludf.DUMMYFUNCTION("""COMPUTED_VALUE"""),"6b02c58b")</f>
        <v>6b02c58b</v>
      </c>
      <c r="R601" s="210" t="str">
        <f>IFERROR(__xludf.DUMMYFUNCTION("""COMPUTED_VALUE"""),"6b02c58b")</f>
        <v>6b02c58b</v>
      </c>
      <c r="S601" s="211" t="str">
        <f>IFERROR(__xludf.DUMMYFUNCTION("""COMPUTED_VALUE"""),"df6bdc5d")</f>
        <v>df6bdc5d</v>
      </c>
      <c r="T601" s="211" t="str">
        <f>IFERROR(__xludf.DUMMYFUNCTION("""COMPUTED_VALUE"""),"Bpk. Maruf")</f>
        <v>Bpk. Maruf</v>
      </c>
      <c r="U601" s="215">
        <f>IFERROR(__xludf.DUMMYFUNCTION("""COMPUTED_VALUE"""),45731.46736111111)</f>
        <v>45731.46736</v>
      </c>
      <c r="V601" s="211" t="str">
        <f>IFERROR(__xludf.DUMMYFUNCTION("""COMPUTED_VALUE"""),"CC6P+83G, Padangasri, Kec. Jatirejo, Kabupaten Mojokerto, Jawa Timur 61373")</f>
        <v>CC6P+83G, Padangasri, Kec. Jatirejo, Kabupaten Mojokerto, Jawa Timur 61373</v>
      </c>
      <c r="W601" s="211" t="str">
        <f>IFERROR(__xludf.DUMMYFUNCTION("""COMPUTED_VALUE"""),"IN")</f>
        <v>IN</v>
      </c>
      <c r="X601" s="211"/>
      <c r="Z601" s="211" t="str">
        <f>IFERROR(__xludf.DUMMYFUNCTION("""COMPUTED_VALUE"""),"1125281773")</f>
        <v>1125281773</v>
      </c>
      <c r="AC601" s="211"/>
      <c r="AD601" s="211"/>
      <c r="AE601" s="211"/>
      <c r="AF601" s="211"/>
      <c r="AG601" s="211"/>
      <c r="AH601" s="211"/>
      <c r="AI601" s="211"/>
      <c r="AJ601" s="211"/>
      <c r="AL601" s="211"/>
      <c r="AM601" s="211"/>
      <c r="AN601" s="211"/>
      <c r="AO601" s="211"/>
      <c r="AP601" s="215"/>
      <c r="AQ601" s="218"/>
      <c r="AR601" s="211"/>
      <c r="AS601" s="211"/>
      <c r="AT601" s="211"/>
      <c r="AU601" s="211"/>
      <c r="AV601" s="211"/>
      <c r="AW601" s="211"/>
      <c r="AX601" s="211"/>
      <c r="AY601" s="211"/>
      <c r="AZ601" s="211"/>
      <c r="BB601" s="211"/>
      <c r="BC601" s="211"/>
      <c r="BD601" s="211"/>
      <c r="BE601" s="211"/>
      <c r="BF601" s="211"/>
      <c r="BG601" s="211"/>
      <c r="BH601" s="211"/>
      <c r="BI601" s="211"/>
    </row>
    <row r="602">
      <c r="A602" s="210" t="str">
        <f>IFERROR(__xludf.DUMMYFUNCTION("""COMPUTED_VALUE"""),"02250249")</f>
        <v>02250249</v>
      </c>
      <c r="B602" s="210" t="str">
        <f>IFERROR(__xludf.DUMMYFUNCTION("""COMPUTED_VALUE"""),"02250249")</f>
        <v>02250249</v>
      </c>
      <c r="C602" s="213">
        <f>IFERROR(__xludf.DUMMYFUNCTION("""COMPUTED_VALUE"""),45694.51597222222)</f>
        <v>45694.51597</v>
      </c>
      <c r="D602" s="211" t="str">
        <f>IFERROR(__xludf.DUMMYFUNCTION("""COMPUTED_VALUE"""),"ac52e1fa")</f>
        <v>ac52e1fa</v>
      </c>
      <c r="E602" s="211" t="str">
        <f>IFERROR(__xludf.DUMMYFUNCTION("""COMPUTED_VALUE"""),"Abah Mad")</f>
        <v>Abah Mad</v>
      </c>
      <c r="F602" s="211" t="str">
        <f>IFERROR(__xludf.DUMMYFUNCTION("""COMPUTED_VALUE"""),"f6aab7a9")</f>
        <v>f6aab7a9</v>
      </c>
      <c r="G602" s="211" t="str">
        <f>IFERROR(__xludf.DUMMYFUNCTION("""COMPUTED_VALUE"""),"Oksigen 6m3 MR")</f>
        <v>Oksigen 6m3 MR</v>
      </c>
      <c r="H602" s="214" t="str">
        <f>IFERROR(__xludf.DUMMYFUNCTION("""COMPUTED_VALUE"""),"OUT")</f>
        <v>OUT</v>
      </c>
      <c r="I602" s="214" t="str">
        <f>IFERROR(__xludf.DUMMYFUNCTION("""COMPUTED_VALUE"""),"NORMAL")</f>
        <v>NORMAL</v>
      </c>
      <c r="J602" s="211">
        <f>IFERROR(__xludf.DUMMYFUNCTION("""COMPUTED_VALUE"""),10.0)</f>
        <v>10</v>
      </c>
      <c r="K602" s="211"/>
      <c r="L602" s="211">
        <f>IFERROR(__xludf.DUMMYFUNCTION("""COMPUTED_VALUE"""),45000.0)</f>
        <v>45000</v>
      </c>
      <c r="M602" s="211"/>
      <c r="N602" s="211"/>
      <c r="O602" s="211"/>
      <c r="Q602" s="210" t="str">
        <f>IFERROR(__xludf.DUMMYFUNCTION("""COMPUTED_VALUE"""),"e2ef158d")</f>
        <v>e2ef158d</v>
      </c>
      <c r="R602" s="210" t="str">
        <f>IFERROR(__xludf.DUMMYFUNCTION("""COMPUTED_VALUE"""),"e2ef158d")</f>
        <v>e2ef158d</v>
      </c>
      <c r="S602" s="211" t="str">
        <f>IFERROR(__xludf.DUMMYFUNCTION("""COMPUTED_VALUE"""),"ce83e171")</f>
        <v>ce83e171</v>
      </c>
      <c r="T602" s="211" t="str">
        <f>IFERROR(__xludf.DUMMYFUNCTION("""COMPUTED_VALUE"""),"Bpk. Sulaiman")</f>
        <v>Bpk. Sulaiman</v>
      </c>
      <c r="U602" s="215">
        <f>IFERROR(__xludf.DUMMYFUNCTION("""COMPUTED_VALUE"""),45731.572222222225)</f>
        <v>45731.57222</v>
      </c>
      <c r="V602" s="211" t="str">
        <f>IFERROR(__xludf.DUMMYFUNCTION("""COMPUTED_VALUE"""),"Jl. Raya Kramat Temenggung No.43, Kramat, Kramat Temenggung, Kec. Tarik, Kabupaten Sidoarjo, Jawa Timur 61265")</f>
        <v>Jl. Raya Kramat Temenggung No.43, Kramat, Kramat Temenggung, Kec. Tarik, Kabupaten Sidoarjo, Jawa Timur 61265</v>
      </c>
      <c r="W602" s="211" t="str">
        <f>IFERROR(__xludf.DUMMYFUNCTION("""COMPUTED_VALUE"""),"IN")</f>
        <v>IN</v>
      </c>
      <c r="X602" s="211"/>
      <c r="Z602" s="211" t="str">
        <f>IFERROR(__xludf.DUMMYFUNCTION("""COMPUTED_VALUE"""),"1125421770")</f>
        <v>1125421770</v>
      </c>
      <c r="AC602" s="211"/>
      <c r="AD602" s="211"/>
      <c r="AE602" s="211"/>
      <c r="AF602" s="211"/>
      <c r="AG602" s="211"/>
      <c r="AH602" s="211"/>
      <c r="AI602" s="211"/>
      <c r="AJ602" s="211"/>
      <c r="AL602" s="211"/>
      <c r="AM602" s="211"/>
      <c r="AN602" s="211"/>
      <c r="AO602" s="211"/>
      <c r="AP602" s="215"/>
      <c r="AQ602" s="218"/>
      <c r="AR602" s="211"/>
      <c r="AS602" s="211"/>
      <c r="AT602" s="211"/>
      <c r="AU602" s="211"/>
      <c r="AV602" s="211"/>
      <c r="AW602" s="211"/>
      <c r="AX602" s="211"/>
      <c r="AY602" s="211"/>
      <c r="AZ602" s="211"/>
      <c r="BB602" s="211"/>
      <c r="BC602" s="211"/>
      <c r="BD602" s="211"/>
      <c r="BE602" s="211"/>
      <c r="BF602" s="211"/>
      <c r="BG602" s="211"/>
      <c r="BH602" s="211"/>
      <c r="BI602" s="211"/>
    </row>
    <row r="603">
      <c r="A603" s="210" t="str">
        <f>IFERROR(__xludf.DUMMYFUNCTION("""COMPUTED_VALUE"""),"02250249")</f>
        <v>02250249</v>
      </c>
      <c r="B603" s="210" t="str">
        <f>IFERROR(__xludf.DUMMYFUNCTION("""COMPUTED_VALUE"""),"02250249")</f>
        <v>02250249</v>
      </c>
      <c r="C603" s="213">
        <f>IFERROR(__xludf.DUMMYFUNCTION("""COMPUTED_VALUE"""),45694.518055555556)</f>
        <v>45694.51806</v>
      </c>
      <c r="D603" s="211" t="str">
        <f>IFERROR(__xludf.DUMMYFUNCTION("""COMPUTED_VALUE"""),"ac52e1fa")</f>
        <v>ac52e1fa</v>
      </c>
      <c r="E603" s="211" t="str">
        <f>IFERROR(__xludf.DUMMYFUNCTION("""COMPUTED_VALUE"""),"Abah Mad")</f>
        <v>Abah Mad</v>
      </c>
      <c r="F603" s="211" t="str">
        <f>IFERROR(__xludf.DUMMYFUNCTION("""COMPUTED_VALUE"""),"be525f3b")</f>
        <v>be525f3b</v>
      </c>
      <c r="G603" s="211" t="str">
        <f>IFERROR(__xludf.DUMMYFUNCTION("""COMPUTED_VALUE"""),"LPG 12kg")</f>
        <v>LPG 12kg</v>
      </c>
      <c r="H603" s="214" t="str">
        <f>IFERROR(__xludf.DUMMYFUNCTION("""COMPUTED_VALUE"""),"OUT")</f>
        <v>OUT</v>
      </c>
      <c r="I603" s="214" t="str">
        <f>IFERROR(__xludf.DUMMYFUNCTION("""COMPUTED_VALUE"""),"NORMAL")</f>
        <v>NORMAL</v>
      </c>
      <c r="J603" s="211">
        <f>IFERROR(__xludf.DUMMYFUNCTION("""COMPUTED_VALUE"""),10.0)</f>
        <v>10</v>
      </c>
      <c r="K603" s="211"/>
      <c r="L603" s="211">
        <f>IFERROR(__xludf.DUMMYFUNCTION("""COMPUTED_VALUE"""),200000.0)</f>
        <v>200000</v>
      </c>
      <c r="M603" s="211"/>
      <c r="N603" s="211"/>
      <c r="O603" s="211"/>
      <c r="Q603" s="210" t="str">
        <f>IFERROR(__xludf.DUMMYFUNCTION("""COMPUTED_VALUE"""),"563bf1fe")</f>
        <v>563bf1fe</v>
      </c>
      <c r="R603" s="210" t="str">
        <f>IFERROR(__xludf.DUMMYFUNCTION("""COMPUTED_VALUE"""),"563bf1fe")</f>
        <v>563bf1fe</v>
      </c>
      <c r="S603" s="211" t="str">
        <f>IFERROR(__xludf.DUMMYFUNCTION("""COMPUTED_VALUE"""),"df6bdc5d")</f>
        <v>df6bdc5d</v>
      </c>
      <c r="T603" s="211" t="str">
        <f>IFERROR(__xludf.DUMMYFUNCTION("""COMPUTED_VALUE"""),"Bpk. Maruf")</f>
        <v>Bpk. Maruf</v>
      </c>
      <c r="U603" s="215">
        <f>IFERROR(__xludf.DUMMYFUNCTION("""COMPUTED_VALUE"""),45733.48472222222)</f>
        <v>45733.48472</v>
      </c>
      <c r="V603" s="211" t="str">
        <f>IFERROR(__xludf.DUMMYFUNCTION("""COMPUTED_VALUE"""),"CC6P+83G, Padangasri, Kec. Jatirejo, Kabupaten Mojokerto, Jawa Timur 61373")</f>
        <v>CC6P+83G, Padangasri, Kec. Jatirejo, Kabupaten Mojokerto, Jawa Timur 61373</v>
      </c>
      <c r="W603" s="211" t="str">
        <f>IFERROR(__xludf.DUMMYFUNCTION("""COMPUTED_VALUE"""),"IN")</f>
        <v>IN</v>
      </c>
      <c r="X603" s="211"/>
      <c r="Z603" s="211" t="str">
        <f>IFERROR(__xludf.DUMMYFUNCTION("""COMPUTED_VALUE"""),"112541768")</f>
        <v>112541768</v>
      </c>
      <c r="AC603" s="211"/>
      <c r="AD603" s="211"/>
      <c r="AE603" s="211"/>
      <c r="AF603" s="211"/>
      <c r="AG603" s="211"/>
      <c r="AH603" s="211"/>
      <c r="AI603" s="211"/>
      <c r="AJ603" s="211"/>
      <c r="AL603" s="211"/>
      <c r="AM603" s="211"/>
      <c r="AN603" s="211"/>
      <c r="AO603" s="211"/>
      <c r="AP603" s="215"/>
      <c r="AQ603" s="218"/>
      <c r="AR603" s="211"/>
      <c r="AS603" s="211"/>
      <c r="AT603" s="211"/>
      <c r="AU603" s="211"/>
      <c r="AV603" s="211"/>
      <c r="AW603" s="211"/>
      <c r="AX603" s="211"/>
      <c r="AY603" s="211"/>
      <c r="AZ603" s="211"/>
      <c r="BB603" s="211"/>
      <c r="BC603" s="211"/>
      <c r="BD603" s="211"/>
      <c r="BE603" s="211"/>
      <c r="BF603" s="211"/>
      <c r="BG603" s="211"/>
      <c r="BH603" s="211"/>
      <c r="BI603" s="211"/>
    </row>
    <row r="604">
      <c r="A604" s="210" t="str">
        <f>IFERROR(__xludf.DUMMYFUNCTION("""COMPUTED_VALUE"""),"d14d7259")</f>
        <v>d14d7259</v>
      </c>
      <c r="B604" s="210" t="str">
        <f>IFERROR(__xludf.DUMMYFUNCTION("""COMPUTED_VALUE"""),"d14d7259")</f>
        <v>d14d7259</v>
      </c>
      <c r="C604" s="213">
        <f>IFERROR(__xludf.DUMMYFUNCTION("""COMPUTED_VALUE"""),45694.65)</f>
        <v>45694.65</v>
      </c>
      <c r="D604" s="211" t="str">
        <f>IFERROR(__xludf.DUMMYFUNCTION("""COMPUTED_VALUE"""),"06d600f6")</f>
        <v>06d600f6</v>
      </c>
      <c r="E604" s="211" t="str">
        <f>IFERROR(__xludf.DUMMYFUNCTION("""COMPUTED_VALUE"""),"Ibu Ida")</f>
        <v>Ibu Ida</v>
      </c>
      <c r="F604" s="211" t="str">
        <f>IFERROR(__xludf.DUMMYFUNCTION("""COMPUTED_VALUE"""),"8bdbe149")</f>
        <v>8bdbe149</v>
      </c>
      <c r="G604" s="211" t="str">
        <f>IFERROR(__xludf.DUMMYFUNCTION("""COMPUTED_VALUE"""),"Oksigen 6m3")</f>
        <v>Oksigen 6m3</v>
      </c>
      <c r="H604" s="214" t="str">
        <f>IFERROR(__xludf.DUMMYFUNCTION("""COMPUTED_VALUE"""),"IN")</f>
        <v>IN</v>
      </c>
      <c r="I604" s="214" t="str">
        <f>IFERROR(__xludf.DUMMYFUNCTION("""COMPUTED_VALUE"""),"EMPTY")</f>
        <v>EMPTY</v>
      </c>
      <c r="J604" s="211">
        <f>IFERROR(__xludf.DUMMYFUNCTION("""COMPUTED_VALUE"""),4.0)</f>
        <v>4</v>
      </c>
      <c r="K604" s="210" t="str">
        <f>IFERROR(__xludf.DUMMYFUNCTION("""COMPUTED_VALUE"""),"1173 11133 1170 1175")</f>
        <v>1173 11133 1170 1175</v>
      </c>
      <c r="L604" s="211"/>
      <c r="M604" s="211"/>
      <c r="N604" s="211"/>
      <c r="O604" s="211"/>
      <c r="Q604" s="210" t="str">
        <f>IFERROR(__xludf.DUMMYFUNCTION("""COMPUTED_VALUE"""),"03250327")</f>
        <v>03250327</v>
      </c>
      <c r="R604" s="210" t="str">
        <f>IFERROR(__xludf.DUMMYFUNCTION("""COMPUTED_VALUE"""),"03250327")</f>
        <v>03250327</v>
      </c>
      <c r="S604" s="211" t="str">
        <f>IFERROR(__xludf.DUMMYFUNCTION("""COMPUTED_VALUE"""),"785e0e07")</f>
        <v>785e0e07</v>
      </c>
      <c r="T604" s="211" t="str">
        <f>IFERROR(__xludf.DUMMYFUNCTION("""COMPUTED_VALUE"""),"Bpk. Sukirno (Bejo)")</f>
        <v>Bpk. Sukirno (Bejo)</v>
      </c>
      <c r="U604" s="215">
        <f>IFERROR(__xludf.DUMMYFUNCTION("""COMPUTED_VALUE"""),45733.51458333334)</f>
        <v>45733.51458</v>
      </c>
      <c r="V604" s="211" t="str">
        <f>IFERROR(__xludf.DUMMYFUNCTION("""COMPUTED_VALUE"""),"Krajan I, Wringinanom, Kec. Wringinanom, Kabupaten Gresik, Jawa Timur 61176")</f>
        <v>Krajan I, Wringinanom, Kec. Wringinanom, Kabupaten Gresik, Jawa Timur 61176</v>
      </c>
      <c r="W604" s="211" t="str">
        <f>IFERROR(__xludf.DUMMYFUNCTION("""COMPUTED_VALUE"""),"OUT")</f>
        <v>OUT</v>
      </c>
      <c r="X604" s="211"/>
      <c r="Z604" s="211" t="str">
        <f>IFERROR(__xludf.DUMMYFUNCTION("""COMPUTED_VALUE"""),"1125221767")</f>
        <v>1125221767</v>
      </c>
      <c r="AC604" s="211"/>
      <c r="AD604" s="211"/>
      <c r="AE604" s="211"/>
      <c r="AF604" s="211"/>
      <c r="AG604" s="211"/>
      <c r="AH604" s="211"/>
      <c r="AI604" s="211"/>
      <c r="AJ604" s="211"/>
      <c r="AL604" s="211"/>
      <c r="AM604" s="211"/>
      <c r="AN604" s="211"/>
      <c r="AO604" s="211"/>
      <c r="AP604" s="215"/>
      <c r="AQ604" s="218"/>
      <c r="AR604" s="211"/>
      <c r="AS604" s="211"/>
      <c r="AT604" s="211"/>
      <c r="AU604" s="211"/>
      <c r="AV604" s="211"/>
      <c r="AW604" s="211"/>
      <c r="AX604" s="211"/>
      <c r="AY604" s="211"/>
      <c r="AZ604" s="211"/>
      <c r="BB604" s="211"/>
      <c r="BC604" s="211"/>
      <c r="BD604" s="211"/>
      <c r="BE604" s="211"/>
      <c r="BF604" s="211"/>
      <c r="BG604" s="211"/>
      <c r="BH604" s="211"/>
      <c r="BI604" s="211"/>
    </row>
    <row r="605">
      <c r="A605" s="210" t="str">
        <f>IFERROR(__xludf.DUMMYFUNCTION("""COMPUTED_VALUE"""),"bacc95cb")</f>
        <v>bacc95cb</v>
      </c>
      <c r="B605" s="210" t="str">
        <f>IFERROR(__xludf.DUMMYFUNCTION("""COMPUTED_VALUE"""),"bacc95cb")</f>
        <v>bacc95cb</v>
      </c>
      <c r="C605" s="213">
        <f>IFERROR(__xludf.DUMMYFUNCTION("""COMPUTED_VALUE"""),45694.65069444444)</f>
        <v>45694.65069</v>
      </c>
      <c r="D605" s="211" t="str">
        <f>IFERROR(__xludf.DUMMYFUNCTION("""COMPUTED_VALUE"""),"6b737895")</f>
        <v>6b737895</v>
      </c>
      <c r="E605" s="211" t="str">
        <f>IFERROR(__xludf.DUMMYFUNCTION("""COMPUTED_VALUE"""),"Ibu Yanti")</f>
        <v>Ibu Yanti</v>
      </c>
      <c r="F605" s="211" t="str">
        <f>IFERROR(__xludf.DUMMYFUNCTION("""COMPUTED_VALUE"""),"e8544a46")</f>
        <v>e8544a46</v>
      </c>
      <c r="G605" s="211" t="str">
        <f>IFERROR(__xludf.DUMMYFUNCTION("""COMPUTED_VALUE"""),"Oksigen 1m3")</f>
        <v>Oksigen 1m3</v>
      </c>
      <c r="H605" s="214" t="str">
        <f>IFERROR(__xludf.DUMMYFUNCTION("""COMPUTED_VALUE"""),"IN")</f>
        <v>IN</v>
      </c>
      <c r="I605" s="214" t="str">
        <f>IFERROR(__xludf.DUMMYFUNCTION("""COMPUTED_VALUE"""),"EMPTY")</f>
        <v>EMPTY</v>
      </c>
      <c r="J605" s="211">
        <f>IFERROR(__xludf.DUMMYFUNCTION("""COMPUTED_VALUE"""),2.0)</f>
        <v>2</v>
      </c>
      <c r="K605" s="210" t="str">
        <f>IFERROR(__xludf.DUMMYFUNCTION("""COMPUTED_VALUE"""),"2002 01")</f>
        <v>2002 01</v>
      </c>
      <c r="L605" s="211"/>
      <c r="M605" s="211"/>
      <c r="N605" s="211"/>
      <c r="O605" s="211"/>
      <c r="Q605" s="210" t="str">
        <f>IFERROR(__xludf.DUMMYFUNCTION("""COMPUTED_VALUE"""),"03250328")</f>
        <v>03250328</v>
      </c>
      <c r="R605" s="210" t="str">
        <f>IFERROR(__xludf.DUMMYFUNCTION("""COMPUTED_VALUE"""),"03250328")</f>
        <v>03250328</v>
      </c>
      <c r="S605" s="211" t="str">
        <f>IFERROR(__xludf.DUMMYFUNCTION("""COMPUTED_VALUE"""),"5f23ba17")</f>
        <v>5f23ba17</v>
      </c>
      <c r="T605" s="211" t="str">
        <f>IFERROR(__xludf.DUMMYFUNCTION("""COMPUTED_VALUE"""),"Bpk. Joko (Gresik)")</f>
        <v>Bpk. Joko (Gresik)</v>
      </c>
      <c r="U605" s="215">
        <f>IFERROR(__xludf.DUMMYFUNCTION("""COMPUTED_VALUE"""),45733.51527777778)</f>
        <v>45733.51528</v>
      </c>
      <c r="V605" s="211" t="str">
        <f>IFERROR(__xludf.DUMMYFUNCTION("""COMPUTED_VALUE"""),"Tanggungan, Lebaniwaras, Kec. Wringinanom, Kabupaten Gresik, Jawa Timur")</f>
        <v>Tanggungan, Lebaniwaras, Kec. Wringinanom, Kabupaten Gresik, Jawa Timur</v>
      </c>
      <c r="W605" s="211" t="str">
        <f>IFERROR(__xludf.DUMMYFUNCTION("""COMPUTED_VALUE"""),"OUT")</f>
        <v>OUT</v>
      </c>
      <c r="X605" s="211"/>
      <c r="Z605" s="211" t="str">
        <f>IFERROR(__xludf.DUMMYFUNCTION("""COMPUTED_VALUE"""),"112511766")</f>
        <v>112511766</v>
      </c>
      <c r="AC605" s="211"/>
      <c r="AD605" s="211"/>
      <c r="AE605" s="211"/>
      <c r="AF605" s="211"/>
      <c r="AG605" s="211"/>
      <c r="AH605" s="211"/>
      <c r="AI605" s="211"/>
      <c r="AJ605" s="211"/>
      <c r="AL605" s="211"/>
      <c r="AM605" s="211"/>
      <c r="AN605" s="211"/>
      <c r="AO605" s="211"/>
      <c r="AP605" s="215"/>
      <c r="AQ605" s="218"/>
      <c r="AR605" s="211"/>
      <c r="AS605" s="211"/>
      <c r="AT605" s="211"/>
      <c r="AU605" s="211"/>
      <c r="AV605" s="211"/>
      <c r="AW605" s="211"/>
      <c r="AX605" s="211"/>
      <c r="AY605" s="211"/>
      <c r="AZ605" s="211"/>
      <c r="BB605" s="211"/>
      <c r="BC605" s="211"/>
      <c r="BD605" s="211"/>
      <c r="BE605" s="211"/>
      <c r="BF605" s="211"/>
      <c r="BG605" s="211"/>
      <c r="BH605" s="211"/>
      <c r="BI605" s="211"/>
    </row>
    <row r="606">
      <c r="A606" s="210" t="str">
        <f>IFERROR(__xludf.DUMMYFUNCTION("""COMPUTED_VALUE"""),"02250251")</f>
        <v>02250251</v>
      </c>
      <c r="B606" s="210" t="str">
        <f>IFERROR(__xludf.DUMMYFUNCTION("""COMPUTED_VALUE"""),"02250251")</f>
        <v>02250251</v>
      </c>
      <c r="C606" s="213">
        <f>IFERROR(__xludf.DUMMYFUNCTION("""COMPUTED_VALUE"""),45695.37430555555)</f>
        <v>45695.37431</v>
      </c>
      <c r="D606" s="211" t="str">
        <f>IFERROR(__xludf.DUMMYFUNCTION("""COMPUTED_VALUE"""),"8f5ebaea")</f>
        <v>8f5ebaea</v>
      </c>
      <c r="E606" s="211" t="str">
        <f>IFERROR(__xludf.DUMMYFUNCTION("""COMPUTED_VALUE"""),"PT Hua Zong Mesindo")</f>
        <v>PT Hua Zong Mesindo</v>
      </c>
      <c r="F606" s="211" t="str">
        <f>IFERROR(__xludf.DUMMYFUNCTION("""COMPUTED_VALUE"""),"8bdbe149")</f>
        <v>8bdbe149</v>
      </c>
      <c r="G606" s="211" t="str">
        <f>IFERROR(__xludf.DUMMYFUNCTION("""COMPUTED_VALUE"""),"Oksigen 6m3")</f>
        <v>Oksigen 6m3</v>
      </c>
      <c r="H606" s="214" t="str">
        <f>IFERROR(__xludf.DUMMYFUNCTION("""COMPUTED_VALUE"""),"OUT")</f>
        <v>OUT</v>
      </c>
      <c r="I606" s="214" t="str">
        <f>IFERROR(__xludf.DUMMYFUNCTION("""COMPUTED_VALUE"""),"NORMAL")</f>
        <v>NORMAL</v>
      </c>
      <c r="J606" s="211">
        <f>IFERROR(__xludf.DUMMYFUNCTION("""COMPUTED_VALUE"""),2.0)</f>
        <v>2</v>
      </c>
      <c r="K606" s="210" t="str">
        <f>IFERROR(__xludf.DUMMYFUNCTION("""COMPUTED_VALUE"""),"1124 1112")</f>
        <v>1124 1112</v>
      </c>
      <c r="L606" s="211">
        <f>IFERROR(__xludf.DUMMYFUNCTION("""COMPUTED_VALUE"""),60000.0)</f>
        <v>60000</v>
      </c>
      <c r="M606" s="211"/>
      <c r="N606" s="211"/>
      <c r="O606" s="211"/>
      <c r="Q606" s="210" t="str">
        <f>IFERROR(__xludf.DUMMYFUNCTION("""COMPUTED_VALUE"""),"0325201090")</f>
        <v>0325201090</v>
      </c>
      <c r="R606" s="210" t="str">
        <f>IFERROR(__xludf.DUMMYFUNCTION("""COMPUTED_VALUE"""),"0325201090")</f>
        <v>0325201090</v>
      </c>
      <c r="S606" s="211" t="str">
        <f>IFERROR(__xludf.DUMMYFUNCTION("""COMPUTED_VALUE"""),"5f23ba17")</f>
        <v>5f23ba17</v>
      </c>
      <c r="T606" s="211" t="str">
        <f>IFERROR(__xludf.DUMMYFUNCTION("""COMPUTED_VALUE"""),"Bpk. Joko (Gresik)")</f>
        <v>Bpk. Joko (Gresik)</v>
      </c>
      <c r="U606" s="215">
        <f>IFERROR(__xludf.DUMMYFUNCTION("""COMPUTED_VALUE"""),45733.51527777778)</f>
        <v>45733.51528</v>
      </c>
      <c r="V606" s="211" t="str">
        <f>IFERROR(__xludf.DUMMYFUNCTION("""COMPUTED_VALUE"""),"Jl. Raya Wringinanom, Tanggungan, Lebaniwaras, Kec. Wringinanom, Kabupaten Gresik, Jawa Timur 61176")</f>
        <v>Jl. Raya Wringinanom, Tanggungan, Lebaniwaras, Kec. Wringinanom, Kabupaten Gresik, Jawa Timur 61176</v>
      </c>
      <c r="W606" s="211" t="str">
        <f>IFERROR(__xludf.DUMMYFUNCTION("""COMPUTED_VALUE"""),"OUT")</f>
        <v>OUT</v>
      </c>
      <c r="X606" s="211"/>
      <c r="Z606" s="211" t="str">
        <f>IFERROR(__xludf.DUMMYFUNCTION("""COMPUTED_VALUE"""),"112531764")</f>
        <v>112531764</v>
      </c>
      <c r="AC606" s="211"/>
      <c r="AD606" s="211"/>
      <c r="AE606" s="211"/>
      <c r="AF606" s="211"/>
      <c r="AG606" s="211"/>
      <c r="AH606" s="211"/>
      <c r="AI606" s="211"/>
      <c r="AJ606" s="211"/>
      <c r="AL606" s="211"/>
      <c r="AM606" s="211"/>
      <c r="AN606" s="211"/>
      <c r="AO606" s="211"/>
      <c r="AP606" s="215"/>
      <c r="AQ606" s="218"/>
      <c r="AR606" s="211"/>
      <c r="AS606" s="211"/>
      <c r="AT606" s="211"/>
      <c r="AU606" s="211"/>
      <c r="AV606" s="211"/>
      <c r="AW606" s="211"/>
      <c r="AX606" s="211"/>
      <c r="AY606" s="211"/>
      <c r="AZ606" s="211"/>
      <c r="BB606" s="211"/>
      <c r="BC606" s="211"/>
      <c r="BD606" s="211"/>
      <c r="BE606" s="211"/>
      <c r="BF606" s="211"/>
      <c r="BG606" s="211"/>
      <c r="BH606" s="211"/>
      <c r="BI606" s="211"/>
    </row>
    <row r="607">
      <c r="A607" s="210" t="str">
        <f>IFERROR(__xludf.DUMMYFUNCTION("""COMPUTED_VALUE"""),"402250009")</f>
        <v>402250009</v>
      </c>
      <c r="B607" s="210" t="str">
        <f>IFERROR(__xludf.DUMMYFUNCTION("""COMPUTED_VALUE"""),"402250009")</f>
        <v>402250009</v>
      </c>
      <c r="C607" s="213">
        <f>IFERROR(__xludf.DUMMYFUNCTION("""COMPUTED_VALUE"""),45695.37430555555)</f>
        <v>45695.37431</v>
      </c>
      <c r="D607" s="211" t="str">
        <f>IFERROR(__xludf.DUMMYFUNCTION("""COMPUTED_VALUE"""),"72d9a70c")</f>
        <v>72d9a70c</v>
      </c>
      <c r="E607" s="211" t="str">
        <f>IFERROR(__xludf.DUMMYFUNCTION("""COMPUTED_VALUE"""),"PT Beton Prima Indonesia")</f>
        <v>PT Beton Prima Indonesia</v>
      </c>
      <c r="F607" s="211" t="str">
        <f>IFERROR(__xludf.DUMMYFUNCTION("""COMPUTED_VALUE"""),"8bdbe149")</f>
        <v>8bdbe149</v>
      </c>
      <c r="G607" s="211" t="str">
        <f>IFERROR(__xludf.DUMMYFUNCTION("""COMPUTED_VALUE"""),"Oksigen 6m3")</f>
        <v>Oksigen 6m3</v>
      </c>
      <c r="H607" s="214" t="str">
        <f>IFERROR(__xludf.DUMMYFUNCTION("""COMPUTED_VALUE"""),"OTHER")</f>
        <v>OTHER</v>
      </c>
      <c r="I607" s="214" t="str">
        <f>IFERROR(__xludf.DUMMYFUNCTION("""COMPUTED_VALUE"""),"RETUR CLAIM")</f>
        <v>RETUR CLAIM</v>
      </c>
      <c r="J607" s="211">
        <f>IFERROR(__xludf.DUMMYFUNCTION("""COMPUTED_VALUE"""),1.0)</f>
        <v>1</v>
      </c>
      <c r="K607" s="210" t="str">
        <f>IFERROR(__xludf.DUMMYFUNCTION("""COMPUTED_VALUE"""),"11143")</f>
        <v>11143</v>
      </c>
      <c r="L607" s="211"/>
      <c r="M607" s="211"/>
      <c r="N607" s="211"/>
      <c r="O607" s="211"/>
      <c r="Q607" s="210" t="str">
        <f>IFERROR(__xludf.DUMMYFUNCTION("""COMPUTED_VALUE"""),"03250331")</f>
        <v>03250331</v>
      </c>
      <c r="R607" s="210" t="str">
        <f>IFERROR(__xludf.DUMMYFUNCTION("""COMPUTED_VALUE"""),"03250331")</f>
        <v>03250331</v>
      </c>
      <c r="S607" s="211" t="str">
        <f>IFERROR(__xludf.DUMMYFUNCTION("""COMPUTED_VALUE"""),"3fec37df")</f>
        <v>3fec37df</v>
      </c>
      <c r="T607" s="211" t="str">
        <f>IFERROR(__xludf.DUMMYFUNCTION("""COMPUTED_VALUE"""),"PT Jatim Abadi Perkasa Steel")</f>
        <v>PT Jatim Abadi Perkasa Steel</v>
      </c>
      <c r="U607" s="215">
        <f>IFERROR(__xludf.DUMMYFUNCTION("""COMPUTED_VALUE"""),45733.51597222222)</f>
        <v>45733.51597</v>
      </c>
      <c r="V607" s="211" t="str">
        <f>IFERROR(__xludf.DUMMYFUNCTION("""COMPUTED_VALUE"""),"Dsn. Bulak Sempuh, Jatirejo, Kab. Mojokerto, Jawa Timur")</f>
        <v>Dsn. Bulak Sempuh, Jatirejo, Kab. Mojokerto, Jawa Timur</v>
      </c>
      <c r="W607" s="211" t="str">
        <f>IFERROR(__xludf.DUMMYFUNCTION("""COMPUTED_VALUE"""),"OUT")</f>
        <v>OUT</v>
      </c>
      <c r="X607" s="211"/>
      <c r="Z607" s="211" t="str">
        <f>IFERROR(__xludf.DUMMYFUNCTION("""COMPUTED_VALUE"""),"112531760")</f>
        <v>112531760</v>
      </c>
      <c r="AC607" s="211"/>
      <c r="AD607" s="211"/>
      <c r="AE607" s="211"/>
      <c r="AF607" s="211"/>
      <c r="AG607" s="211"/>
      <c r="AH607" s="211"/>
      <c r="AI607" s="211"/>
      <c r="AJ607" s="211"/>
      <c r="AL607" s="211"/>
      <c r="AM607" s="211"/>
      <c r="AN607" s="211"/>
      <c r="AO607" s="211"/>
      <c r="AP607" s="215"/>
      <c r="AQ607" s="218"/>
      <c r="AR607" s="211"/>
      <c r="AS607" s="211"/>
      <c r="AT607" s="211"/>
      <c r="AU607" s="211"/>
      <c r="AV607" s="211"/>
      <c r="AW607" s="211"/>
      <c r="AX607" s="211"/>
      <c r="AY607" s="211"/>
      <c r="AZ607" s="211"/>
      <c r="BB607" s="211"/>
      <c r="BC607" s="211"/>
      <c r="BD607" s="211"/>
      <c r="BE607" s="211"/>
      <c r="BF607" s="211"/>
      <c r="BG607" s="211"/>
      <c r="BH607" s="211"/>
      <c r="BI607" s="211"/>
    </row>
    <row r="608">
      <c r="A608" s="210" t="str">
        <f>IFERROR(__xludf.DUMMYFUNCTION("""COMPUTED_VALUE"""),"c429d1aa")</f>
        <v>c429d1aa</v>
      </c>
      <c r="B608" s="210" t="str">
        <f>IFERROR(__xludf.DUMMYFUNCTION("""COMPUTED_VALUE"""),"c429d1aa")</f>
        <v>c429d1aa</v>
      </c>
      <c r="C608" s="213">
        <f>IFERROR(__xludf.DUMMYFUNCTION("""COMPUTED_VALUE"""),45695.521527777775)</f>
        <v>45695.52153</v>
      </c>
      <c r="D608" s="211" t="str">
        <f>IFERROR(__xludf.DUMMYFUNCTION("""COMPUTED_VALUE"""),"785e0e07")</f>
        <v>785e0e07</v>
      </c>
      <c r="E608" s="211" t="str">
        <f>IFERROR(__xludf.DUMMYFUNCTION("""COMPUTED_VALUE"""),"Bpk. Sukirno (Bejo)")</f>
        <v>Bpk. Sukirno (Bejo)</v>
      </c>
      <c r="F608" s="211" t="str">
        <f>IFERROR(__xludf.DUMMYFUNCTION("""COMPUTED_VALUE"""),"8bdbe149")</f>
        <v>8bdbe149</v>
      </c>
      <c r="G608" s="211" t="str">
        <f>IFERROR(__xludf.DUMMYFUNCTION("""COMPUTED_VALUE"""),"Oksigen 6m3")</f>
        <v>Oksigen 6m3</v>
      </c>
      <c r="H608" s="214" t="str">
        <f>IFERROR(__xludf.DUMMYFUNCTION("""COMPUTED_VALUE"""),"IN")</f>
        <v>IN</v>
      </c>
      <c r="I608" s="214" t="str">
        <f>IFERROR(__xludf.DUMMYFUNCTION("""COMPUTED_VALUE"""),"EMPTY")</f>
        <v>EMPTY</v>
      </c>
      <c r="J608" s="211">
        <f>IFERROR(__xludf.DUMMYFUNCTION("""COMPUTED_VALUE"""),7.0)</f>
        <v>7</v>
      </c>
      <c r="K608" s="210" t="str">
        <f>IFERROR(__xludf.DUMMYFUNCTION("""COMPUTED_VALUE"""),"11144 11171 1189 11174 11142 11182 11169")</f>
        <v>11144 11171 1189 11174 11142 11182 11169</v>
      </c>
      <c r="L608" s="211"/>
      <c r="M608" s="211"/>
      <c r="N608" s="211"/>
      <c r="O608" s="211"/>
      <c r="Q608" s="210" t="str">
        <f>IFERROR(__xludf.DUMMYFUNCTION("""COMPUTED_VALUE"""),"03250332")</f>
        <v>03250332</v>
      </c>
      <c r="R608" s="210" t="str">
        <f>IFERROR(__xludf.DUMMYFUNCTION("""COMPUTED_VALUE"""),"03250332")</f>
        <v>03250332</v>
      </c>
      <c r="S608" s="211" t="str">
        <f>IFERROR(__xludf.DUMMYFUNCTION("""COMPUTED_VALUE"""),"01158be1")</f>
        <v>01158be1</v>
      </c>
      <c r="T608" s="211" t="str">
        <f>IFERROR(__xludf.DUMMYFUNCTION("""COMPUTED_VALUE"""),"GYF")</f>
        <v>GYF</v>
      </c>
      <c r="U608" s="215">
        <f>IFERROR(__xludf.DUMMYFUNCTION("""COMPUTED_VALUE"""),45734.368055555555)</f>
        <v>45734.36806</v>
      </c>
      <c r="V608" s="211" t="str">
        <f>IFERROR(__xludf.DUMMYFUNCTION("""COMPUTED_VALUE"""),"Kangkungan, Lengkong, Kec. Mojoanyar, Kabupaten Mojokerto, Jawa Timur")</f>
        <v>Kangkungan, Lengkong, Kec. Mojoanyar, Kabupaten Mojokerto, Jawa Timur</v>
      </c>
      <c r="W608" s="211" t="str">
        <f>IFERROR(__xludf.DUMMYFUNCTION("""COMPUTED_VALUE"""),"OUT")</f>
        <v>OUT</v>
      </c>
      <c r="X608" s="211"/>
      <c r="Z608" s="211" t="str">
        <f>IFERROR(__xludf.DUMMYFUNCTION("""COMPUTED_VALUE"""),"112551759")</f>
        <v>112551759</v>
      </c>
      <c r="AC608" s="211"/>
      <c r="AD608" s="211"/>
      <c r="AE608" s="211"/>
      <c r="AF608" s="211"/>
      <c r="AG608" s="211"/>
      <c r="AH608" s="211"/>
      <c r="AI608" s="211"/>
      <c r="AJ608" s="211"/>
      <c r="AL608" s="211"/>
      <c r="AM608" s="211"/>
      <c r="AN608" s="211"/>
      <c r="AO608" s="211"/>
      <c r="AP608" s="215"/>
      <c r="AQ608" s="218"/>
      <c r="AR608" s="211"/>
      <c r="AS608" s="211"/>
      <c r="AT608" s="211"/>
      <c r="AU608" s="211"/>
      <c r="AV608" s="211"/>
      <c r="AW608" s="211"/>
      <c r="AX608" s="211"/>
      <c r="AY608" s="211"/>
      <c r="AZ608" s="211"/>
      <c r="BB608" s="211"/>
      <c r="BC608" s="211"/>
      <c r="BD608" s="211"/>
      <c r="BE608" s="211"/>
      <c r="BF608" s="211"/>
      <c r="BG608" s="211"/>
      <c r="BH608" s="211"/>
      <c r="BI608" s="211"/>
    </row>
    <row r="609">
      <c r="A609" s="210" t="str">
        <f>IFERROR(__xludf.DUMMYFUNCTION("""COMPUTED_VALUE"""),"1da69cb9")</f>
        <v>1da69cb9</v>
      </c>
      <c r="B609" s="210" t="str">
        <f>IFERROR(__xludf.DUMMYFUNCTION("""COMPUTED_VALUE"""),"1da69cb9")</f>
        <v>1da69cb9</v>
      </c>
      <c r="C609" s="213">
        <f>IFERROR(__xludf.DUMMYFUNCTION("""COMPUTED_VALUE"""),45695.52222222222)</f>
        <v>45695.52222</v>
      </c>
      <c r="D609" s="211" t="str">
        <f>IFERROR(__xludf.DUMMYFUNCTION("""COMPUTED_VALUE"""),"37175874")</f>
        <v>37175874</v>
      </c>
      <c r="E609" s="211" t="str">
        <f>IFERROR(__xludf.DUMMYFUNCTION("""COMPUTED_VALUE"""),"PT TERAPAN NILAIOSILASI INDONESIA (TENO)")</f>
        <v>PT TERAPAN NILAIOSILASI INDONESIA (TENO)</v>
      </c>
      <c r="F609" s="211" t="str">
        <f>IFERROR(__xludf.DUMMYFUNCTION("""COMPUTED_VALUE"""),"8bdbe149")</f>
        <v>8bdbe149</v>
      </c>
      <c r="G609" s="211" t="str">
        <f>IFERROR(__xludf.DUMMYFUNCTION("""COMPUTED_VALUE"""),"Oksigen 6m3")</f>
        <v>Oksigen 6m3</v>
      </c>
      <c r="H609" s="214" t="str">
        <f>IFERROR(__xludf.DUMMYFUNCTION("""COMPUTED_VALUE"""),"IN")</f>
        <v>IN</v>
      </c>
      <c r="I609" s="214" t="str">
        <f>IFERROR(__xludf.DUMMYFUNCTION("""COMPUTED_VALUE"""),"EMPTY")</f>
        <v>EMPTY</v>
      </c>
      <c r="J609" s="211">
        <f>IFERROR(__xludf.DUMMYFUNCTION("""COMPUTED_VALUE"""),2.0)</f>
        <v>2</v>
      </c>
      <c r="K609" s="210" t="str">
        <f>IFERROR(__xludf.DUMMYFUNCTION("""COMPUTED_VALUE"""),"11157 11159")</f>
        <v>11157 11159</v>
      </c>
      <c r="L609" s="211"/>
      <c r="M609" s="211"/>
      <c r="N609" s="211"/>
      <c r="O609" s="211"/>
      <c r="Q609" s="210" t="str">
        <f>IFERROR(__xludf.DUMMYFUNCTION("""COMPUTED_VALUE"""),"403250014")</f>
        <v>403250014</v>
      </c>
      <c r="R609" s="210" t="str">
        <f>IFERROR(__xludf.DUMMYFUNCTION("""COMPUTED_VALUE"""),"403250014")</f>
        <v>403250014</v>
      </c>
      <c r="S609" s="211" t="str">
        <f>IFERROR(__xludf.DUMMYFUNCTION("""COMPUTED_VALUE"""),"d78b2eaf")</f>
        <v>d78b2eaf</v>
      </c>
      <c r="T609" s="211" t="str">
        <f>IFERROR(__xludf.DUMMYFUNCTION("""COMPUTED_VALUE"""),"PT Sinar Indogreen Kencana")</f>
        <v>PT Sinar Indogreen Kencana</v>
      </c>
      <c r="U609" s="215">
        <f>IFERROR(__xludf.DUMMYFUNCTION("""COMPUTED_VALUE"""),45734.34583333333)</f>
        <v>45734.34583</v>
      </c>
      <c r="V609" s="211" t="str">
        <f>IFERROR(__xludf.DUMMYFUNCTION("""COMPUTED_VALUE"""),"Jl. Raya Ponokawan 8b RT/001 RW/002, Ponokawan, Krian, Sidoarjo")</f>
        <v>Jl. Raya Ponokawan 8b RT/001 RW/002, Ponokawan, Krian, Sidoarjo</v>
      </c>
      <c r="W609" s="211" t="str">
        <f>IFERROR(__xludf.DUMMYFUNCTION("""COMPUTED_VALUE"""),"OTHER")</f>
        <v>OTHER</v>
      </c>
      <c r="X609" s="211"/>
      <c r="Z609" s="211" t="str">
        <f>IFERROR(__xludf.DUMMYFUNCTION("""COMPUTED_VALUE"""),"1125701757")</f>
        <v>1125701757</v>
      </c>
      <c r="AC609" s="211"/>
      <c r="AD609" s="211"/>
      <c r="AE609" s="211"/>
      <c r="AF609" s="211"/>
      <c r="AG609" s="211"/>
      <c r="AH609" s="211"/>
      <c r="AI609" s="211"/>
      <c r="AJ609" s="211"/>
      <c r="AL609" s="211"/>
      <c r="AM609" s="211"/>
      <c r="AN609" s="211"/>
      <c r="AO609" s="211"/>
      <c r="AP609" s="215"/>
      <c r="AQ609" s="218"/>
      <c r="AR609" s="211"/>
      <c r="AS609" s="211"/>
      <c r="AT609" s="211"/>
      <c r="AU609" s="211"/>
      <c r="AV609" s="211"/>
      <c r="AW609" s="211"/>
      <c r="AX609" s="211"/>
      <c r="AY609" s="211"/>
      <c r="AZ609" s="211"/>
      <c r="BB609" s="211"/>
      <c r="BC609" s="211"/>
      <c r="BD609" s="211"/>
      <c r="BE609" s="211"/>
      <c r="BF609" s="211"/>
      <c r="BG609" s="211"/>
      <c r="BH609" s="211"/>
      <c r="BI609" s="211"/>
    </row>
    <row r="610">
      <c r="A610" s="210" t="str">
        <f>IFERROR(__xludf.DUMMYFUNCTION("""COMPUTED_VALUE"""),"1da69cb9")</f>
        <v>1da69cb9</v>
      </c>
      <c r="B610" s="210" t="str">
        <f>IFERROR(__xludf.DUMMYFUNCTION("""COMPUTED_VALUE"""),"1da69cb9")</f>
        <v>1da69cb9</v>
      </c>
      <c r="C610" s="213">
        <f>IFERROR(__xludf.DUMMYFUNCTION("""COMPUTED_VALUE"""),45695.52291666667)</f>
        <v>45695.52292</v>
      </c>
      <c r="D610" s="211" t="str">
        <f>IFERROR(__xludf.DUMMYFUNCTION("""COMPUTED_VALUE"""),"37175874")</f>
        <v>37175874</v>
      </c>
      <c r="E610" s="211" t="str">
        <f>IFERROR(__xludf.DUMMYFUNCTION("""COMPUTED_VALUE"""),"PT TERAPAN NILAIOSILASI INDONESIA (TENO)")</f>
        <v>PT TERAPAN NILAIOSILASI INDONESIA (TENO)</v>
      </c>
      <c r="F610" s="211" t="str">
        <f>IFERROR(__xludf.DUMMYFUNCTION("""COMPUTED_VALUE"""),"ef306e54")</f>
        <v>ef306e54</v>
      </c>
      <c r="G610" s="211" t="str">
        <f>IFERROR(__xludf.DUMMYFUNCTION("""COMPUTED_VALUE"""),"Karbondioksida")</f>
        <v>Karbondioksida</v>
      </c>
      <c r="H610" s="214" t="str">
        <f>IFERROR(__xludf.DUMMYFUNCTION("""COMPUTED_VALUE"""),"IN")</f>
        <v>IN</v>
      </c>
      <c r="I610" s="214" t="str">
        <f>IFERROR(__xludf.DUMMYFUNCTION("""COMPUTED_VALUE"""),"EMPTY")</f>
        <v>EMPTY</v>
      </c>
      <c r="J610" s="211">
        <f>IFERROR(__xludf.DUMMYFUNCTION("""COMPUTED_VALUE"""),1.0)</f>
        <v>1</v>
      </c>
      <c r="K610" s="210" t="str">
        <f>IFERROR(__xludf.DUMMYFUNCTION("""COMPUTED_VALUE"""),"6748")</f>
        <v>6748</v>
      </c>
      <c r="L610" s="211"/>
      <c r="M610" s="211"/>
      <c r="N610" s="211"/>
      <c r="O610" s="211"/>
      <c r="Q610" s="210" t="str">
        <f>IFERROR(__xludf.DUMMYFUNCTION("""COMPUTED_VALUE"""),"6d2057e9")</f>
        <v>6d2057e9</v>
      </c>
      <c r="R610" s="210" t="str">
        <f>IFERROR(__xludf.DUMMYFUNCTION("""COMPUTED_VALUE"""),"6d2057e9")</f>
        <v>6d2057e9</v>
      </c>
      <c r="S610" s="211" t="str">
        <f>IFERROR(__xludf.DUMMYFUNCTION("""COMPUTED_VALUE"""),"5f23ba17")</f>
        <v>5f23ba17</v>
      </c>
      <c r="T610" s="211" t="str">
        <f>IFERROR(__xludf.DUMMYFUNCTION("""COMPUTED_VALUE"""),"Bpk. Joko (Gresik)")</f>
        <v>Bpk. Joko (Gresik)</v>
      </c>
      <c r="U610" s="215">
        <f>IFERROR(__xludf.DUMMYFUNCTION("""COMPUTED_VALUE"""),45733.70694444445)</f>
        <v>45733.70694</v>
      </c>
      <c r="V610" s="211" t="str">
        <f>IFERROR(__xludf.DUMMYFUNCTION("""COMPUTED_VALUE"""),"Tanggungan, Lebaniwaras, Kec. Wringinanom, Kabupaten Gresik, Jawa Timur")</f>
        <v>Tanggungan, Lebaniwaras, Kec. Wringinanom, Kabupaten Gresik, Jawa Timur</v>
      </c>
      <c r="W610" s="211" t="str">
        <f>IFERROR(__xludf.DUMMYFUNCTION("""COMPUTED_VALUE"""),"IN")</f>
        <v>IN</v>
      </c>
      <c r="X610" s="211"/>
      <c r="Z610" s="211" t="str">
        <f>IFERROR(__xludf.DUMMYFUNCTION("""COMPUTED_VALUE"""),"112521754")</f>
        <v>112521754</v>
      </c>
      <c r="AC610" s="211"/>
      <c r="AD610" s="211"/>
      <c r="AE610" s="211"/>
      <c r="AF610" s="211"/>
      <c r="AG610" s="211"/>
      <c r="AH610" s="211"/>
      <c r="AI610" s="211"/>
      <c r="AJ610" s="211"/>
      <c r="AL610" s="211"/>
      <c r="AM610" s="211"/>
      <c r="AN610" s="211"/>
      <c r="AO610" s="211"/>
      <c r="AP610" s="215"/>
      <c r="AQ610" s="218"/>
      <c r="AR610" s="211"/>
      <c r="AS610" s="211"/>
      <c r="AT610" s="211"/>
      <c r="AU610" s="211"/>
      <c r="AV610" s="211"/>
      <c r="AW610" s="211"/>
      <c r="AX610" s="211"/>
      <c r="AY610" s="211"/>
      <c r="AZ610" s="211"/>
      <c r="BB610" s="211"/>
      <c r="BC610" s="211"/>
      <c r="BD610" s="211"/>
      <c r="BE610" s="211"/>
      <c r="BF610" s="211"/>
      <c r="BG610" s="211"/>
      <c r="BH610" s="211"/>
      <c r="BI610" s="211"/>
    </row>
    <row r="611">
      <c r="A611" s="210" t="str">
        <f>IFERROR(__xludf.DUMMYFUNCTION("""COMPUTED_VALUE"""),"464eaa94")</f>
        <v>464eaa94</v>
      </c>
      <c r="B611" s="210" t="str">
        <f>IFERROR(__xludf.DUMMYFUNCTION("""COMPUTED_VALUE"""),"464eaa94")</f>
        <v>464eaa94</v>
      </c>
      <c r="C611" s="213">
        <f>IFERROR(__xludf.DUMMYFUNCTION("""COMPUTED_VALUE"""),45695.52291666667)</f>
        <v>45695.52292</v>
      </c>
      <c r="D611" s="211" t="str">
        <f>IFERROR(__xludf.DUMMYFUNCTION("""COMPUTED_VALUE"""),"8f5ebaea")</f>
        <v>8f5ebaea</v>
      </c>
      <c r="E611" s="211" t="str">
        <f>IFERROR(__xludf.DUMMYFUNCTION("""COMPUTED_VALUE"""),"PT Hua Zong Mesindo")</f>
        <v>PT Hua Zong Mesindo</v>
      </c>
      <c r="F611" s="211" t="str">
        <f>IFERROR(__xludf.DUMMYFUNCTION("""COMPUTED_VALUE"""),"8bdbe149")</f>
        <v>8bdbe149</v>
      </c>
      <c r="G611" s="211" t="str">
        <f>IFERROR(__xludf.DUMMYFUNCTION("""COMPUTED_VALUE"""),"Oksigen 6m3")</f>
        <v>Oksigen 6m3</v>
      </c>
      <c r="H611" s="214" t="str">
        <f>IFERROR(__xludf.DUMMYFUNCTION("""COMPUTED_VALUE"""),"IN")</f>
        <v>IN</v>
      </c>
      <c r="I611" s="214" t="str">
        <f>IFERROR(__xludf.DUMMYFUNCTION("""COMPUTED_VALUE"""),"EMPTY")</f>
        <v>EMPTY</v>
      </c>
      <c r="J611" s="211">
        <f>IFERROR(__xludf.DUMMYFUNCTION("""COMPUTED_VALUE"""),1.0)</f>
        <v>1</v>
      </c>
      <c r="K611" s="210" t="str">
        <f>IFERROR(__xludf.DUMMYFUNCTION("""COMPUTED_VALUE"""),"1111")</f>
        <v>1111</v>
      </c>
      <c r="L611" s="211"/>
      <c r="M611" s="211"/>
      <c r="N611" s="211"/>
      <c r="O611" s="211"/>
      <c r="Q611" s="210" t="str">
        <f>IFERROR(__xludf.DUMMYFUNCTION("""COMPUTED_VALUE"""),"b157a973")</f>
        <v>b157a973</v>
      </c>
      <c r="R611" s="210" t="str">
        <f>IFERROR(__xludf.DUMMYFUNCTION("""COMPUTED_VALUE"""),"b157a973")</f>
        <v>b157a973</v>
      </c>
      <c r="S611" s="211" t="str">
        <f>IFERROR(__xludf.DUMMYFUNCTION("""COMPUTED_VALUE"""),"5f23ba17")</f>
        <v>5f23ba17</v>
      </c>
      <c r="T611" s="211" t="str">
        <f>IFERROR(__xludf.DUMMYFUNCTION("""COMPUTED_VALUE"""),"Bpk. Joko (Gresik)")</f>
        <v>Bpk. Joko (Gresik)</v>
      </c>
      <c r="U611" s="215">
        <f>IFERROR(__xludf.DUMMYFUNCTION("""COMPUTED_VALUE"""),45733.70972222222)</f>
        <v>45733.70972</v>
      </c>
      <c r="V611" s="211" t="str">
        <f>IFERROR(__xludf.DUMMYFUNCTION("""COMPUTED_VALUE"""),"Jl. Raya Wringinanom, Tanggungan, Lebaniwaras, Kec. Wringinanom, Kabupaten Gresik, Jawa Timur 61176")</f>
        <v>Jl. Raya Wringinanom, Tanggungan, Lebaniwaras, Kec. Wringinanom, Kabupaten Gresik, Jawa Timur 61176</v>
      </c>
      <c r="W611" s="211" t="str">
        <f>IFERROR(__xludf.DUMMYFUNCTION("""COMPUTED_VALUE"""),"IN")</f>
        <v>IN</v>
      </c>
      <c r="X611" s="211"/>
      <c r="Z611" s="211" t="str">
        <f>IFERROR(__xludf.DUMMYFUNCTION("""COMPUTED_VALUE"""),"112541747")</f>
        <v>112541747</v>
      </c>
      <c r="AC611" s="211"/>
      <c r="AD611" s="211"/>
      <c r="AE611" s="211"/>
      <c r="AF611" s="211"/>
      <c r="AG611" s="211"/>
      <c r="AH611" s="211"/>
      <c r="AI611" s="211"/>
      <c r="AJ611" s="211"/>
      <c r="AL611" s="211"/>
      <c r="AM611" s="211"/>
      <c r="AN611" s="211"/>
      <c r="AO611" s="211"/>
      <c r="AP611" s="215"/>
      <c r="AQ611" s="218"/>
      <c r="AR611" s="211"/>
      <c r="AS611" s="211"/>
      <c r="AT611" s="211"/>
      <c r="AU611" s="211"/>
      <c r="AV611" s="211"/>
      <c r="AW611" s="211"/>
      <c r="AX611" s="211"/>
      <c r="AY611" s="211"/>
      <c r="AZ611" s="211"/>
      <c r="BB611" s="211"/>
      <c r="BC611" s="211"/>
      <c r="BD611" s="211"/>
      <c r="BE611" s="211"/>
      <c r="BF611" s="211"/>
      <c r="BG611" s="211"/>
      <c r="BH611" s="211"/>
      <c r="BI611" s="211"/>
    </row>
    <row r="612">
      <c r="A612" s="210" t="str">
        <f>IFERROR(__xludf.DUMMYFUNCTION("""COMPUTED_VALUE"""),"a6bdfd84")</f>
        <v>a6bdfd84</v>
      </c>
      <c r="B612" s="210" t="str">
        <f>IFERROR(__xludf.DUMMYFUNCTION("""COMPUTED_VALUE"""),"a6bdfd84")</f>
        <v>a6bdfd84</v>
      </c>
      <c r="C612" s="213">
        <f>IFERROR(__xludf.DUMMYFUNCTION("""COMPUTED_VALUE"""),45695.56180555555)</f>
        <v>45695.56181</v>
      </c>
      <c r="D612" s="211" t="str">
        <f>IFERROR(__xludf.DUMMYFUNCTION("""COMPUTED_VALUE"""),"72d9a70c")</f>
        <v>72d9a70c</v>
      </c>
      <c r="E612" s="211" t="str">
        <f>IFERROR(__xludf.DUMMYFUNCTION("""COMPUTED_VALUE"""),"PT Beton Prima Indonesia")</f>
        <v>PT Beton Prima Indonesia</v>
      </c>
      <c r="F612" s="211" t="str">
        <f>IFERROR(__xludf.DUMMYFUNCTION("""COMPUTED_VALUE"""),"8bdbe149")</f>
        <v>8bdbe149</v>
      </c>
      <c r="G612" s="211" t="str">
        <f>IFERROR(__xludf.DUMMYFUNCTION("""COMPUTED_VALUE"""),"Oksigen 6m3")</f>
        <v>Oksigen 6m3</v>
      </c>
      <c r="H612" s="214" t="str">
        <f>IFERROR(__xludf.DUMMYFUNCTION("""COMPUTED_VALUE"""),"IN")</f>
        <v>IN</v>
      </c>
      <c r="I612" s="214" t="str">
        <f>IFERROR(__xludf.DUMMYFUNCTION("""COMPUTED_VALUE"""),"EMPTY")</f>
        <v>EMPTY</v>
      </c>
      <c r="J612" s="211">
        <f>IFERROR(__xludf.DUMMYFUNCTION("""COMPUTED_VALUE"""),1.0)</f>
        <v>1</v>
      </c>
      <c r="K612" s="210" t="str">
        <f>IFERROR(__xludf.DUMMYFUNCTION("""COMPUTED_VALUE"""),"5709")</f>
        <v>5709</v>
      </c>
      <c r="L612" s="211"/>
      <c r="M612" s="211"/>
      <c r="N612" s="211"/>
      <c r="O612" s="211"/>
      <c r="Q612" s="210" t="str">
        <f>IFERROR(__xludf.DUMMYFUNCTION("""COMPUTED_VALUE"""),"20193ded")</f>
        <v>20193ded</v>
      </c>
      <c r="R612" s="210" t="str">
        <f>IFERROR(__xludf.DUMMYFUNCTION("""COMPUTED_VALUE"""),"20193ded")</f>
        <v>20193ded</v>
      </c>
      <c r="S612" s="211" t="str">
        <f>IFERROR(__xludf.DUMMYFUNCTION("""COMPUTED_VALUE"""),"3fec37df")</f>
        <v>3fec37df</v>
      </c>
      <c r="T612" s="211" t="str">
        <f>IFERROR(__xludf.DUMMYFUNCTION("""COMPUTED_VALUE"""),"PT Jatim Abadi Perkasa Steel")</f>
        <v>PT Jatim Abadi Perkasa Steel</v>
      </c>
      <c r="U612" s="215">
        <f>IFERROR(__xludf.DUMMYFUNCTION("""COMPUTED_VALUE"""),45733.711805555555)</f>
        <v>45733.71181</v>
      </c>
      <c r="V612" s="211" t="str">
        <f>IFERROR(__xludf.DUMMYFUNCTION("""COMPUTED_VALUE"""),"Dsn. Bulak Sempuh, Jatirejo, Kab. Mojokerto, Jawa Timur")</f>
        <v>Dsn. Bulak Sempuh, Jatirejo, Kab. Mojokerto, Jawa Timur</v>
      </c>
      <c r="W612" s="211" t="str">
        <f>IFERROR(__xludf.DUMMYFUNCTION("""COMPUTED_VALUE"""),"IN")</f>
        <v>IN</v>
      </c>
      <c r="X612" s="211"/>
      <c r="Z612" s="211" t="str">
        <f>IFERROR(__xludf.DUMMYFUNCTION("""COMPUTED_VALUE"""),"112591746")</f>
        <v>112591746</v>
      </c>
      <c r="AC612" s="211"/>
      <c r="AD612" s="211"/>
      <c r="AE612" s="211"/>
      <c r="AF612" s="211"/>
      <c r="AG612" s="211"/>
      <c r="AH612" s="211"/>
      <c r="AI612" s="211"/>
      <c r="AJ612" s="211"/>
      <c r="AL612" s="211"/>
      <c r="AM612" s="211"/>
      <c r="AN612" s="211"/>
      <c r="AO612" s="211"/>
      <c r="AP612" s="215"/>
      <c r="AQ612" s="218"/>
      <c r="AR612" s="211"/>
      <c r="AS612" s="211"/>
      <c r="AT612" s="211"/>
      <c r="AU612" s="211"/>
      <c r="AV612" s="211"/>
      <c r="AW612" s="211"/>
      <c r="AX612" s="211"/>
      <c r="AY612" s="211"/>
      <c r="AZ612" s="211"/>
      <c r="BB612" s="211"/>
      <c r="BC612" s="211"/>
      <c r="BD612" s="211"/>
      <c r="BE612" s="211"/>
      <c r="BF612" s="211"/>
      <c r="BG612" s="211"/>
      <c r="BH612" s="211"/>
      <c r="BI612" s="211"/>
    </row>
    <row r="613">
      <c r="A613" s="210" t="str">
        <f>IFERROR(__xludf.DUMMYFUNCTION("""COMPUTED_VALUE"""),"511ce463")</f>
        <v>511ce463</v>
      </c>
      <c r="B613" s="210" t="str">
        <f>IFERROR(__xludf.DUMMYFUNCTION("""COMPUTED_VALUE"""),"511ce463")</f>
        <v>511ce463</v>
      </c>
      <c r="C613" s="213">
        <f>IFERROR(__xludf.DUMMYFUNCTION("""COMPUTED_VALUE"""),45695.56319444445)</f>
        <v>45695.56319</v>
      </c>
      <c r="D613" s="211" t="str">
        <f>IFERROR(__xludf.DUMMYFUNCTION("""COMPUTED_VALUE"""),"a9fe1bea")</f>
        <v>a9fe1bea</v>
      </c>
      <c r="E613" s="211" t="str">
        <f>IFERROR(__xludf.DUMMYFUNCTION("""COMPUTED_VALUE"""),"H. Suheiri")</f>
        <v>H. Suheiri</v>
      </c>
      <c r="F613" s="211" t="str">
        <f>IFERROR(__xludf.DUMMYFUNCTION("""COMPUTED_VALUE"""),"8bdbe149")</f>
        <v>8bdbe149</v>
      </c>
      <c r="G613" s="211" t="str">
        <f>IFERROR(__xludf.DUMMYFUNCTION("""COMPUTED_VALUE"""),"Oksigen 6m3")</f>
        <v>Oksigen 6m3</v>
      </c>
      <c r="H613" s="214" t="str">
        <f>IFERROR(__xludf.DUMMYFUNCTION("""COMPUTED_VALUE"""),"IN")</f>
        <v>IN</v>
      </c>
      <c r="I613" s="214" t="str">
        <f>IFERROR(__xludf.DUMMYFUNCTION("""COMPUTED_VALUE"""),"EMPTY")</f>
        <v>EMPTY</v>
      </c>
      <c r="J613" s="211">
        <f>IFERROR(__xludf.DUMMYFUNCTION("""COMPUTED_VALUE"""),3.0)</f>
        <v>3</v>
      </c>
      <c r="K613" s="210" t="str">
        <f>IFERROR(__xludf.DUMMYFUNCTION("""COMPUTED_VALUE"""),"5321 5645 5784")</f>
        <v>5321 5645 5784</v>
      </c>
      <c r="L613" s="211"/>
      <c r="M613" s="211"/>
      <c r="N613" s="211"/>
      <c r="O613" s="211"/>
      <c r="Q613" s="210" t="str">
        <f>IFERROR(__xludf.DUMMYFUNCTION("""COMPUTED_VALUE"""),"af57a0cd")</f>
        <v>af57a0cd</v>
      </c>
      <c r="R613" s="210" t="str">
        <f>IFERROR(__xludf.DUMMYFUNCTION("""COMPUTED_VALUE"""),"af57a0cd")</f>
        <v>af57a0cd</v>
      </c>
      <c r="S613" s="211" t="str">
        <f>IFERROR(__xludf.DUMMYFUNCTION("""COMPUTED_VALUE"""),"785e0e07")</f>
        <v>785e0e07</v>
      </c>
      <c r="T613" s="211" t="str">
        <f>IFERROR(__xludf.DUMMYFUNCTION("""COMPUTED_VALUE"""),"Bpk. Sukirno (Bejo)")</f>
        <v>Bpk. Sukirno (Bejo)</v>
      </c>
      <c r="U613" s="215">
        <f>IFERROR(__xludf.DUMMYFUNCTION("""COMPUTED_VALUE"""),45733.71388888889)</f>
        <v>45733.71389</v>
      </c>
      <c r="V613" s="211" t="str">
        <f>IFERROR(__xludf.DUMMYFUNCTION("""COMPUTED_VALUE"""),"Krajan I, Wringinanom, Kec. Wringinanom, Kabupaten Gresik, Jawa Timur 61176")</f>
        <v>Krajan I, Wringinanom, Kec. Wringinanom, Kabupaten Gresik, Jawa Timur 61176</v>
      </c>
      <c r="W613" s="211" t="str">
        <f>IFERROR(__xludf.DUMMYFUNCTION("""COMPUTED_VALUE"""),"IN")</f>
        <v>IN</v>
      </c>
      <c r="X613" s="211"/>
      <c r="Z613" s="211" t="str">
        <f>IFERROR(__xludf.DUMMYFUNCTION("""COMPUTED_VALUE"""),"112541745")</f>
        <v>112541745</v>
      </c>
      <c r="AC613" s="211"/>
      <c r="AD613" s="211"/>
      <c r="AE613" s="211"/>
      <c r="AF613" s="211"/>
      <c r="AG613" s="211"/>
      <c r="AH613" s="211"/>
      <c r="AI613" s="211"/>
      <c r="AJ613" s="211"/>
      <c r="AL613" s="211"/>
      <c r="AM613" s="211"/>
      <c r="AN613" s="211"/>
      <c r="AO613" s="211"/>
      <c r="AP613" s="215"/>
      <c r="AQ613" s="218"/>
      <c r="AR613" s="211"/>
      <c r="AS613" s="211"/>
      <c r="AT613" s="211"/>
      <c r="AU613" s="211"/>
      <c r="AV613" s="211"/>
      <c r="AW613" s="211"/>
      <c r="AX613" s="211"/>
      <c r="AY613" s="211"/>
      <c r="AZ613" s="211"/>
      <c r="BB613" s="211"/>
      <c r="BC613" s="211"/>
      <c r="BD613" s="211"/>
      <c r="BE613" s="211"/>
      <c r="BF613" s="211"/>
      <c r="BG613" s="211"/>
      <c r="BH613" s="211"/>
      <c r="BI613" s="211"/>
    </row>
    <row r="614">
      <c r="A614" s="210" t="str">
        <f>IFERROR(__xludf.DUMMYFUNCTION("""COMPUTED_VALUE"""),"02250252")</f>
        <v>02250252</v>
      </c>
      <c r="B614" s="210" t="str">
        <f>IFERROR(__xludf.DUMMYFUNCTION("""COMPUTED_VALUE"""),"02250252")</f>
        <v>02250252</v>
      </c>
      <c r="C614" s="213">
        <f>IFERROR(__xludf.DUMMYFUNCTION("""COMPUTED_VALUE"""),45696.41875)</f>
        <v>45696.41875</v>
      </c>
      <c r="D614" s="211" t="str">
        <f>IFERROR(__xludf.DUMMYFUNCTION("""COMPUTED_VALUE"""),"e86baf3b")</f>
        <v>e86baf3b</v>
      </c>
      <c r="E614" s="211" t="str">
        <f>IFERROR(__xludf.DUMMYFUNCTION("""COMPUTED_VALUE"""),"PT GEMILANG CIPTA WAWASAN")</f>
        <v>PT GEMILANG CIPTA WAWASAN</v>
      </c>
      <c r="F614" s="211" t="str">
        <f>IFERROR(__xludf.DUMMYFUNCTION("""COMPUTED_VALUE"""),"8bdbe149")</f>
        <v>8bdbe149</v>
      </c>
      <c r="G614" s="211" t="str">
        <f>IFERROR(__xludf.DUMMYFUNCTION("""COMPUTED_VALUE"""),"Oksigen 6m3")</f>
        <v>Oksigen 6m3</v>
      </c>
      <c r="H614" s="214" t="str">
        <f>IFERROR(__xludf.DUMMYFUNCTION("""COMPUTED_VALUE"""),"OUT")</f>
        <v>OUT</v>
      </c>
      <c r="I614" s="214" t="str">
        <f>IFERROR(__xludf.DUMMYFUNCTION("""COMPUTED_VALUE"""),"NORMAL")</f>
        <v>NORMAL</v>
      </c>
      <c r="J614" s="211">
        <f>IFERROR(__xludf.DUMMYFUNCTION("""COMPUTED_VALUE"""),10.0)</f>
        <v>10</v>
      </c>
      <c r="K614" s="210" t="str">
        <f>IFERROR(__xludf.DUMMYFUNCTION("""COMPUTED_VALUE"""),"11174 11111 11157 11159 11171 11144 11169 11142 11182 1189")</f>
        <v>11174 11111 11157 11159 11171 11144 11169 11142 11182 1189</v>
      </c>
      <c r="L614" s="211">
        <f>IFERROR(__xludf.DUMMYFUNCTION("""COMPUTED_VALUE"""),60000.0)</f>
        <v>60000</v>
      </c>
      <c r="M614" s="211"/>
      <c r="N614" s="211"/>
      <c r="O614" s="211"/>
      <c r="Q614" s="210" t="str">
        <f>IFERROR(__xludf.DUMMYFUNCTION("""COMPUTED_VALUE"""),"a0fbaab7")</f>
        <v>a0fbaab7</v>
      </c>
      <c r="R614" s="210" t="str">
        <f>IFERROR(__xludf.DUMMYFUNCTION("""COMPUTED_VALUE"""),"a0fbaab7")</f>
        <v>a0fbaab7</v>
      </c>
      <c r="S614" s="211" t="str">
        <f>IFERROR(__xludf.DUMMYFUNCTION("""COMPUTED_VALUE"""),"d78b2eaf")</f>
        <v>d78b2eaf</v>
      </c>
      <c r="T614" s="211" t="str">
        <f>IFERROR(__xludf.DUMMYFUNCTION("""COMPUTED_VALUE"""),"PT Sinar Indogreen Kencana")</f>
        <v>PT Sinar Indogreen Kencana</v>
      </c>
      <c r="U614" s="215">
        <f>IFERROR(__xludf.DUMMYFUNCTION("""COMPUTED_VALUE"""),45734.44791666667)</f>
        <v>45734.44792</v>
      </c>
      <c r="V614" s="211" t="str">
        <f>IFERROR(__xludf.DUMMYFUNCTION("""COMPUTED_VALUE"""),"Jl. Raya Ponokawan 8b RT/001 RW/002, Ponokawan, Krian, Sidoarjo")</f>
        <v>Jl. Raya Ponokawan 8b RT/001 RW/002, Ponokawan, Krian, Sidoarjo</v>
      </c>
      <c r="W614" s="211" t="str">
        <f>IFERROR(__xludf.DUMMYFUNCTION("""COMPUTED_VALUE"""),"IN")</f>
        <v>IN</v>
      </c>
      <c r="X614" s="211"/>
      <c r="Z614" s="211" t="str">
        <f>IFERROR(__xludf.DUMMYFUNCTION("""COMPUTED_VALUE"""),"112531744")</f>
        <v>112531744</v>
      </c>
      <c r="AC614" s="211"/>
      <c r="AD614" s="211"/>
      <c r="AE614" s="211"/>
      <c r="AF614" s="211"/>
      <c r="AG614" s="211"/>
      <c r="AH614" s="211"/>
      <c r="AI614" s="211"/>
      <c r="AJ614" s="211"/>
      <c r="AL614" s="211"/>
      <c r="AM614" s="211"/>
      <c r="AN614" s="211"/>
      <c r="AO614" s="211"/>
      <c r="AP614" s="215"/>
      <c r="AQ614" s="218"/>
      <c r="AR614" s="211"/>
      <c r="AS614" s="211"/>
      <c r="AT614" s="211"/>
      <c r="AU614" s="211"/>
      <c r="AV614" s="211"/>
      <c r="AW614" s="211"/>
      <c r="AX614" s="211"/>
      <c r="AY614" s="211"/>
      <c r="AZ614" s="211"/>
      <c r="BB614" s="211"/>
      <c r="BC614" s="211"/>
      <c r="BD614" s="211"/>
      <c r="BE614" s="211"/>
      <c r="BF614" s="211"/>
      <c r="BG614" s="211"/>
      <c r="BH614" s="211"/>
      <c r="BI614" s="211"/>
    </row>
    <row r="615">
      <c r="A615" s="210" t="str">
        <f>IFERROR(__xludf.DUMMYFUNCTION("""COMPUTED_VALUE"""),"50d896b5")</f>
        <v>50d896b5</v>
      </c>
      <c r="B615" s="210" t="str">
        <f>IFERROR(__xludf.DUMMYFUNCTION("""COMPUTED_VALUE"""),"50d896b5")</f>
        <v>50d896b5</v>
      </c>
      <c r="C615" s="213">
        <f>IFERROR(__xludf.DUMMYFUNCTION("""COMPUTED_VALUE"""),45696.603472222225)</f>
        <v>45696.60347</v>
      </c>
      <c r="D615" s="211" t="str">
        <f>IFERROR(__xludf.DUMMYFUNCTION("""COMPUTED_VALUE"""),"103f3ae7")</f>
        <v>103f3ae7</v>
      </c>
      <c r="E615" s="211" t="str">
        <f>IFERROR(__xludf.DUMMYFUNCTION("""COMPUTED_VALUE"""),"PT ARYANA CAKASANA")</f>
        <v>PT ARYANA CAKASANA</v>
      </c>
      <c r="F615" s="211" t="str">
        <f>IFERROR(__xludf.DUMMYFUNCTION("""COMPUTED_VALUE"""),"8bdbe149")</f>
        <v>8bdbe149</v>
      </c>
      <c r="G615" s="211" t="str">
        <f>IFERROR(__xludf.DUMMYFUNCTION("""COMPUTED_VALUE"""),"Oksigen 6m3")</f>
        <v>Oksigen 6m3</v>
      </c>
      <c r="H615" s="214" t="str">
        <f>IFERROR(__xludf.DUMMYFUNCTION("""COMPUTED_VALUE"""),"IN")</f>
        <v>IN</v>
      </c>
      <c r="I615" s="214" t="str">
        <f>IFERROR(__xludf.DUMMYFUNCTION("""COMPUTED_VALUE"""),"EMPTY")</f>
        <v>EMPTY</v>
      </c>
      <c r="J615" s="211">
        <f>IFERROR(__xludf.DUMMYFUNCTION("""COMPUTED_VALUE"""),3.0)</f>
        <v>3</v>
      </c>
      <c r="K615" s="210" t="str">
        <f>IFERROR(__xludf.DUMMYFUNCTION("""COMPUTED_VALUE"""),"11107 11117 11134")</f>
        <v>11107 11117 11134</v>
      </c>
      <c r="L615" s="211"/>
      <c r="M615" s="211"/>
      <c r="N615" s="211"/>
      <c r="O615" s="211"/>
      <c r="Q615" s="210" t="str">
        <f>IFERROR(__xludf.DUMMYFUNCTION("""COMPUTED_VALUE"""),"03250333")</f>
        <v>03250333</v>
      </c>
      <c r="R615" s="210" t="str">
        <f>IFERROR(__xludf.DUMMYFUNCTION("""COMPUTED_VALUE"""),"03250333")</f>
        <v>03250333</v>
      </c>
      <c r="S615" s="211" t="str">
        <f>IFERROR(__xludf.DUMMYFUNCTION("""COMPUTED_VALUE"""),"103f3ae7")</f>
        <v>103f3ae7</v>
      </c>
      <c r="T615" s="211" t="str">
        <f>IFERROR(__xludf.DUMMYFUNCTION("""COMPUTED_VALUE"""),"PT ARYANA CAKASANA")</f>
        <v>PT ARYANA CAKASANA</v>
      </c>
      <c r="U615" s="215">
        <f>IFERROR(__xludf.DUMMYFUNCTION("""COMPUTED_VALUE"""),45735.34930555556)</f>
        <v>45735.34931</v>
      </c>
      <c r="V615" s="211" t="str">
        <f>IFERROR(__xludf.DUMMYFUNCTION("""COMPUTED_VALUE"""),"Jl Raya Tarik No. 45, Wonokupang, Bakalan, Balongbendo")</f>
        <v>Jl Raya Tarik No. 45, Wonokupang, Bakalan, Balongbendo</v>
      </c>
      <c r="W615" s="211" t="str">
        <f>IFERROR(__xludf.DUMMYFUNCTION("""COMPUTED_VALUE"""),"OUT")</f>
        <v>OUT</v>
      </c>
      <c r="X615" s="211"/>
      <c r="Z615" s="211" t="str">
        <f>IFERROR(__xludf.DUMMYFUNCTION("""COMPUTED_VALUE"""),"112521743")</f>
        <v>112521743</v>
      </c>
      <c r="AC615" s="211"/>
      <c r="AD615" s="211"/>
      <c r="AE615" s="211"/>
      <c r="AF615" s="211"/>
      <c r="AG615" s="211"/>
      <c r="AH615" s="211"/>
      <c r="AI615" s="211"/>
      <c r="AJ615" s="211"/>
      <c r="AL615" s="211"/>
      <c r="AM615" s="211"/>
      <c r="AN615" s="211"/>
      <c r="AO615" s="211"/>
      <c r="AP615" s="215"/>
      <c r="AQ615" s="218"/>
      <c r="AR615" s="211"/>
      <c r="AS615" s="211"/>
      <c r="AT615" s="211"/>
      <c r="AU615" s="211"/>
      <c r="AV615" s="211"/>
      <c r="AW615" s="211"/>
      <c r="AX615" s="211"/>
      <c r="AY615" s="211"/>
      <c r="AZ615" s="211"/>
      <c r="BB615" s="211"/>
      <c r="BC615" s="211"/>
      <c r="BD615" s="211"/>
      <c r="BE615" s="211"/>
      <c r="BF615" s="211"/>
      <c r="BG615" s="211"/>
      <c r="BH615" s="211"/>
      <c r="BI615" s="211"/>
    </row>
    <row r="616">
      <c r="A616" s="210" t="str">
        <f>IFERROR(__xludf.DUMMYFUNCTION("""COMPUTED_VALUE"""),"7Dec8631")</f>
        <v>7Dec8631</v>
      </c>
      <c r="B616" s="210" t="str">
        <f>IFERROR(__xludf.DUMMYFUNCTION("""COMPUTED_VALUE"""),"7Dec8631")</f>
        <v>7Dec8631</v>
      </c>
      <c r="C616" s="213">
        <f>IFERROR(__xludf.DUMMYFUNCTION("""COMPUTED_VALUE"""),45696.604166666664)</f>
        <v>45696.60417</v>
      </c>
      <c r="D616" s="211" t="str">
        <f>IFERROR(__xludf.DUMMYFUNCTION("""COMPUTED_VALUE"""),"01158be1")</f>
        <v>01158be1</v>
      </c>
      <c r="E616" s="211" t="str">
        <f>IFERROR(__xludf.DUMMYFUNCTION("""COMPUTED_VALUE"""),"GYF")</f>
        <v>GYF</v>
      </c>
      <c r="F616" s="211" t="str">
        <f>IFERROR(__xludf.DUMMYFUNCTION("""COMPUTED_VALUE"""),"8bdbe149")</f>
        <v>8bdbe149</v>
      </c>
      <c r="G616" s="211" t="str">
        <f>IFERROR(__xludf.DUMMYFUNCTION("""COMPUTED_VALUE"""),"Oksigen 6m3")</f>
        <v>Oksigen 6m3</v>
      </c>
      <c r="H616" s="214" t="str">
        <f>IFERROR(__xludf.DUMMYFUNCTION("""COMPUTED_VALUE"""),"IN")</f>
        <v>IN</v>
      </c>
      <c r="I616" s="214" t="str">
        <f>IFERROR(__xludf.DUMMYFUNCTION("""COMPUTED_VALUE"""),"EMPTY")</f>
        <v>EMPTY</v>
      </c>
      <c r="J616" s="211">
        <f>IFERROR(__xludf.DUMMYFUNCTION("""COMPUTED_VALUE"""),4.0)</f>
        <v>4</v>
      </c>
      <c r="K616" s="210" t="str">
        <f>IFERROR(__xludf.DUMMYFUNCTION("""COMPUTED_VALUE"""),"1113 11204 11203 11212")</f>
        <v>1113 11204 11203 11212</v>
      </c>
      <c r="L616" s="211"/>
      <c r="M616" s="211"/>
      <c r="N616" s="211"/>
      <c r="O616" s="211"/>
      <c r="Q616" s="210" t="str">
        <f>IFERROR(__xludf.DUMMYFUNCTION("""COMPUTED_VALUE"""),"22078399")</f>
        <v>22078399</v>
      </c>
      <c r="R616" s="210" t="str">
        <f>IFERROR(__xludf.DUMMYFUNCTION("""COMPUTED_VALUE"""),"22078399")</f>
        <v>22078399</v>
      </c>
      <c r="S616" s="211" t="str">
        <f>IFERROR(__xludf.DUMMYFUNCTION("""COMPUTED_VALUE"""),"01158be1")</f>
        <v>01158be1</v>
      </c>
      <c r="T616" s="211" t="str">
        <f>IFERROR(__xludf.DUMMYFUNCTION("""COMPUTED_VALUE"""),"GYF")</f>
        <v>GYF</v>
      </c>
      <c r="U616" s="215">
        <f>IFERROR(__xludf.DUMMYFUNCTION("""COMPUTED_VALUE"""),45734.64791666667)</f>
        <v>45734.64792</v>
      </c>
      <c r="V616" s="211" t="str">
        <f>IFERROR(__xludf.DUMMYFUNCTION("""COMPUTED_VALUE"""),"Kangkungan, Lengkong, Kec. Mojoanyar, Kabupaten Mojokerto, Jawa Timur")</f>
        <v>Kangkungan, Lengkong, Kec. Mojoanyar, Kabupaten Mojokerto, Jawa Timur</v>
      </c>
      <c r="W616" s="211" t="str">
        <f>IFERROR(__xludf.DUMMYFUNCTION("""COMPUTED_VALUE"""),"IN")</f>
        <v>IN</v>
      </c>
      <c r="X616" s="211"/>
      <c r="Z616" s="211" t="str">
        <f>IFERROR(__xludf.DUMMYFUNCTION("""COMPUTED_VALUE"""),"112511742")</f>
        <v>112511742</v>
      </c>
      <c r="AC616" s="211"/>
      <c r="AD616" s="211"/>
      <c r="AE616" s="211"/>
      <c r="AF616" s="211"/>
      <c r="AG616" s="211"/>
      <c r="AH616" s="211"/>
      <c r="AI616" s="211"/>
      <c r="AJ616" s="211"/>
      <c r="AL616" s="211"/>
      <c r="AM616" s="211"/>
      <c r="AN616" s="211"/>
      <c r="AO616" s="211"/>
      <c r="AP616" s="215"/>
      <c r="AQ616" s="218"/>
      <c r="AR616" s="211"/>
      <c r="AS616" s="211"/>
      <c r="AT616" s="211"/>
      <c r="AU616" s="211"/>
      <c r="AV616" s="211"/>
      <c r="AW616" s="211"/>
      <c r="AX616" s="211"/>
      <c r="AY616" s="211"/>
      <c r="AZ616" s="211"/>
      <c r="BB616" s="211"/>
      <c r="BC616" s="211"/>
      <c r="BD616" s="211"/>
      <c r="BE616" s="211"/>
      <c r="BF616" s="211"/>
      <c r="BG616" s="211"/>
      <c r="BH616" s="211"/>
      <c r="BI616" s="211"/>
    </row>
    <row r="617">
      <c r="A617" s="210" t="str">
        <f>IFERROR(__xludf.DUMMYFUNCTION("""COMPUTED_VALUE"""),"02250253")</f>
        <v>02250253</v>
      </c>
      <c r="B617" s="210" t="str">
        <f>IFERROR(__xludf.DUMMYFUNCTION("""COMPUTED_VALUE"""),"02250253")</f>
        <v>02250253</v>
      </c>
      <c r="C617" s="213">
        <f>IFERROR(__xludf.DUMMYFUNCTION("""COMPUTED_VALUE"""),45698.364583333336)</f>
        <v>45698.36458</v>
      </c>
      <c r="D617" s="211" t="str">
        <f>IFERROR(__xludf.DUMMYFUNCTION("""COMPUTED_VALUE"""),"4ec68cf6")</f>
        <v>4ec68cf6</v>
      </c>
      <c r="E617" s="211" t="str">
        <f>IFERROR(__xludf.DUMMYFUNCTION("""COMPUTED_VALUE"""),"CV Sido Mukti Karya")</f>
        <v>CV Sido Mukti Karya</v>
      </c>
      <c r="F617" s="211" t="str">
        <f>IFERROR(__xludf.DUMMYFUNCTION("""COMPUTED_VALUE"""),"8bdbe149")</f>
        <v>8bdbe149</v>
      </c>
      <c r="G617" s="211" t="str">
        <f>IFERROR(__xludf.DUMMYFUNCTION("""COMPUTED_VALUE"""),"Oksigen 6m3")</f>
        <v>Oksigen 6m3</v>
      </c>
      <c r="H617" s="214" t="str">
        <f>IFERROR(__xludf.DUMMYFUNCTION("""COMPUTED_VALUE"""),"OUT")</f>
        <v>OUT</v>
      </c>
      <c r="I617" s="214" t="str">
        <f>IFERROR(__xludf.DUMMYFUNCTION("""COMPUTED_VALUE"""),"NORMAL")</f>
        <v>NORMAL</v>
      </c>
      <c r="J617" s="211">
        <f>IFERROR(__xludf.DUMMYFUNCTION("""COMPUTED_VALUE"""),8.0)</f>
        <v>8</v>
      </c>
      <c r="K617" s="210" t="str">
        <f>IFERROR(__xludf.DUMMYFUNCTION("""COMPUTED_VALUE"""),"11133 11130 11134 11203 11204 1175 1173 1170")</f>
        <v>11133 11130 11134 11203 11204 1175 1173 1170</v>
      </c>
      <c r="L617" s="211">
        <f>IFERROR(__xludf.DUMMYFUNCTION("""COMPUTED_VALUE"""),60000.0)</f>
        <v>60000</v>
      </c>
      <c r="M617" s="211"/>
      <c r="N617" s="211"/>
      <c r="O617" s="211"/>
      <c r="Q617" s="210" t="str">
        <f>IFERROR(__xludf.DUMMYFUNCTION("""COMPUTED_VALUE"""),"03250334")</f>
        <v>03250334</v>
      </c>
      <c r="R617" s="210" t="str">
        <f>IFERROR(__xludf.DUMMYFUNCTION("""COMPUTED_VALUE"""),"03250334")</f>
        <v>03250334</v>
      </c>
      <c r="S617" s="211" t="str">
        <f>IFERROR(__xludf.DUMMYFUNCTION("""COMPUTED_VALUE"""),"785e0e07")</f>
        <v>785e0e07</v>
      </c>
      <c r="T617" s="211" t="str">
        <f>IFERROR(__xludf.DUMMYFUNCTION("""COMPUTED_VALUE"""),"Bpk. Sukirno (Bejo)")</f>
        <v>Bpk. Sukirno (Bejo)</v>
      </c>
      <c r="U617" s="215">
        <f>IFERROR(__xludf.DUMMYFUNCTION("""COMPUTED_VALUE"""),45735.370833333334)</f>
        <v>45735.37083</v>
      </c>
      <c r="V617" s="211" t="str">
        <f>IFERROR(__xludf.DUMMYFUNCTION("""COMPUTED_VALUE"""),"Krajan I, Wringinanom, Kec. Wringinanom, Kabupaten Gresik, Jawa Timur 61176")</f>
        <v>Krajan I, Wringinanom, Kec. Wringinanom, Kabupaten Gresik, Jawa Timur 61176</v>
      </c>
      <c r="W617" s="211" t="str">
        <f>IFERROR(__xludf.DUMMYFUNCTION("""COMPUTED_VALUE"""),"OUT")</f>
        <v>OUT</v>
      </c>
      <c r="X617" s="211"/>
      <c r="Z617" s="211" t="str">
        <f>IFERROR(__xludf.DUMMYFUNCTION("""COMPUTED_VALUE"""),"1125411740")</f>
        <v>1125411740</v>
      </c>
      <c r="AC617" s="211"/>
      <c r="AD617" s="211"/>
      <c r="AE617" s="211"/>
      <c r="AF617" s="211"/>
      <c r="AG617" s="211"/>
      <c r="AH617" s="211"/>
      <c r="AI617" s="211"/>
      <c r="AJ617" s="211"/>
      <c r="AL617" s="211"/>
      <c r="AM617" s="211"/>
      <c r="AN617" s="211"/>
      <c r="AO617" s="211"/>
      <c r="AP617" s="215"/>
      <c r="AQ617" s="218"/>
      <c r="AR617" s="211"/>
      <c r="AS617" s="211"/>
      <c r="AT617" s="211"/>
      <c r="AU617" s="211"/>
      <c r="AV617" s="211"/>
      <c r="AW617" s="211"/>
      <c r="AX617" s="211"/>
      <c r="AY617" s="211"/>
      <c r="AZ617" s="211"/>
      <c r="BB617" s="211"/>
      <c r="BC617" s="211"/>
      <c r="BD617" s="211"/>
      <c r="BE617" s="211"/>
      <c r="BF617" s="211"/>
      <c r="BG617" s="211"/>
      <c r="BH617" s="211"/>
      <c r="BI617" s="211"/>
    </row>
    <row r="618">
      <c r="A618" s="210" t="str">
        <f>IFERROR(__xludf.DUMMYFUNCTION("""COMPUTED_VALUE"""),"02250254")</f>
        <v>02250254</v>
      </c>
      <c r="B618" s="210" t="str">
        <f>IFERROR(__xludf.DUMMYFUNCTION("""COMPUTED_VALUE"""),"02250254")</f>
        <v>02250254</v>
      </c>
      <c r="C618" s="213">
        <f>IFERROR(__xludf.DUMMYFUNCTION("""COMPUTED_VALUE"""),45698.41180555556)</f>
        <v>45698.41181</v>
      </c>
      <c r="D618" s="211" t="str">
        <f>IFERROR(__xludf.DUMMYFUNCTION("""COMPUTED_VALUE"""),"2d88931c")</f>
        <v>2d88931c</v>
      </c>
      <c r="E618" s="211" t="str">
        <f>IFERROR(__xludf.DUMMYFUNCTION("""COMPUTED_VALUE"""),"PT Dunia Berkat Marga Mulya")</f>
        <v>PT Dunia Berkat Marga Mulya</v>
      </c>
      <c r="F618" s="211" t="str">
        <f>IFERROR(__xludf.DUMMYFUNCTION("""COMPUTED_VALUE"""),"8bdbe149")</f>
        <v>8bdbe149</v>
      </c>
      <c r="G618" s="211" t="str">
        <f>IFERROR(__xludf.DUMMYFUNCTION("""COMPUTED_VALUE"""),"Oksigen 6m3")</f>
        <v>Oksigen 6m3</v>
      </c>
      <c r="H618" s="214" t="str">
        <f>IFERROR(__xludf.DUMMYFUNCTION("""COMPUTED_VALUE"""),"OUT")</f>
        <v>OUT</v>
      </c>
      <c r="I618" s="214" t="str">
        <f>IFERROR(__xludf.DUMMYFUNCTION("""COMPUTED_VALUE"""),"NORMAL")</f>
        <v>NORMAL</v>
      </c>
      <c r="J618" s="211">
        <f>IFERROR(__xludf.DUMMYFUNCTION("""COMPUTED_VALUE"""),4.0)</f>
        <v>4</v>
      </c>
      <c r="K618" s="210" t="str">
        <f>IFERROR(__xludf.DUMMYFUNCTION("""COMPUTED_VALUE"""),"11212 11117 11107 1113")</f>
        <v>11212 11117 11107 1113</v>
      </c>
      <c r="L618" s="211">
        <f>IFERROR(__xludf.DUMMYFUNCTION("""COMPUTED_VALUE"""),60000.0)</f>
        <v>60000</v>
      </c>
      <c r="M618" s="211"/>
      <c r="N618" s="211"/>
      <c r="O618" s="211"/>
      <c r="Q618" s="210" t="str">
        <f>IFERROR(__xludf.DUMMYFUNCTION("""COMPUTED_VALUE"""),"49ec4723")</f>
        <v>49ec4723</v>
      </c>
      <c r="R618" s="210" t="str">
        <f>IFERROR(__xludf.DUMMYFUNCTION("""COMPUTED_VALUE"""),"49ec4723")</f>
        <v>49ec4723</v>
      </c>
      <c r="S618" s="211" t="str">
        <f>IFERROR(__xludf.DUMMYFUNCTION("""COMPUTED_VALUE"""),"e76bc39c")</f>
        <v>e76bc39c</v>
      </c>
      <c r="T618" s="211" t="str">
        <f>IFERROR(__xludf.DUMMYFUNCTION("""COMPUTED_VALUE"""),"Bpk. Irul")</f>
        <v>Bpk. Irul</v>
      </c>
      <c r="U618" s="215">
        <f>IFERROR(__xludf.DUMMYFUNCTION("""COMPUTED_VALUE"""),45735.69861111111)</f>
        <v>45735.69861</v>
      </c>
      <c r="V618" s="211" t="str">
        <f>IFERROR(__xludf.DUMMYFUNCTION("""COMPUTED_VALUE"""),"Jl. Mayjen Bambang Yuwono, Ciro Kulon, Bakungtemenggungan, Kec. BalongBendo, Kabupaten Sidoarjo, Jawa Timur 61263")</f>
        <v>Jl. Mayjen Bambang Yuwono, Ciro Kulon, Bakungtemenggungan, Kec. BalongBendo, Kabupaten Sidoarjo, Jawa Timur 61263</v>
      </c>
      <c r="W618" s="211" t="str">
        <f>IFERROR(__xludf.DUMMYFUNCTION("""COMPUTED_VALUE"""),"IN")</f>
        <v>IN</v>
      </c>
      <c r="X618" s="211"/>
      <c r="Z618" s="211" t="str">
        <f>IFERROR(__xludf.DUMMYFUNCTION("""COMPUTED_VALUE"""),"1125361739")</f>
        <v>1125361739</v>
      </c>
      <c r="AC618" s="211"/>
      <c r="AD618" s="211"/>
      <c r="AE618" s="211"/>
      <c r="AF618" s="211"/>
      <c r="AG618" s="211"/>
      <c r="AH618" s="211"/>
      <c r="AI618" s="211"/>
      <c r="AJ618" s="211"/>
      <c r="AL618" s="211"/>
      <c r="AM618" s="211"/>
      <c r="AN618" s="211"/>
      <c r="AO618" s="211"/>
      <c r="AP618" s="215"/>
      <c r="AQ618" s="218"/>
      <c r="AR618" s="211"/>
      <c r="AS618" s="211"/>
      <c r="AT618" s="211"/>
      <c r="AU618" s="211"/>
      <c r="AV618" s="211"/>
      <c r="AW618" s="211"/>
      <c r="AX618" s="211"/>
      <c r="AY618" s="211"/>
      <c r="AZ618" s="211"/>
      <c r="BB618" s="211"/>
      <c r="BC618" s="211"/>
      <c r="BD618" s="211"/>
      <c r="BE618" s="211"/>
      <c r="BF618" s="211"/>
      <c r="BG618" s="211"/>
      <c r="BH618" s="211"/>
      <c r="BI618" s="211"/>
    </row>
    <row r="619">
      <c r="A619" s="210" t="str">
        <f>IFERROR(__xludf.DUMMYFUNCTION("""COMPUTED_VALUE"""),"02250253")</f>
        <v>02250253</v>
      </c>
      <c r="B619" s="210" t="str">
        <f>IFERROR(__xludf.DUMMYFUNCTION("""COMPUTED_VALUE"""),"02250253")</f>
        <v>02250253</v>
      </c>
      <c r="C619" s="213">
        <f>IFERROR(__xludf.DUMMYFUNCTION("""COMPUTED_VALUE"""),45698.470138888886)</f>
        <v>45698.47014</v>
      </c>
      <c r="D619" s="211" t="str">
        <f>IFERROR(__xludf.DUMMYFUNCTION("""COMPUTED_VALUE"""),"4ec68cf6")</f>
        <v>4ec68cf6</v>
      </c>
      <c r="E619" s="211" t="str">
        <f>IFERROR(__xludf.DUMMYFUNCTION("""COMPUTED_VALUE"""),"CV Sido Mukti Karya")</f>
        <v>CV Sido Mukti Karya</v>
      </c>
      <c r="F619" s="211" t="str">
        <f>IFERROR(__xludf.DUMMYFUNCTION("""COMPUTED_VALUE"""),"ef306e54")</f>
        <v>ef306e54</v>
      </c>
      <c r="G619" s="211" t="str">
        <f>IFERROR(__xludf.DUMMYFUNCTION("""COMPUTED_VALUE"""),"Karbondioksida")</f>
        <v>Karbondioksida</v>
      </c>
      <c r="H619" s="214" t="str">
        <f>IFERROR(__xludf.DUMMYFUNCTION("""COMPUTED_VALUE"""),"OUT")</f>
        <v>OUT</v>
      </c>
      <c r="I619" s="214" t="str">
        <f>IFERROR(__xludf.DUMMYFUNCTION("""COMPUTED_VALUE"""),"NORMAL")</f>
        <v>NORMAL</v>
      </c>
      <c r="J619" s="211">
        <f>IFERROR(__xludf.DUMMYFUNCTION("""COMPUTED_VALUE"""),2.0)</f>
        <v>2</v>
      </c>
      <c r="K619" s="210" t="str">
        <f>IFERROR(__xludf.DUMMYFUNCTION("""COMPUTED_VALUE"""),"6769 6900")</f>
        <v>6769 6900</v>
      </c>
      <c r="L619" s="211">
        <f>IFERROR(__xludf.DUMMYFUNCTION("""COMPUTED_VALUE"""),170000.0)</f>
        <v>170000</v>
      </c>
      <c r="M619" s="211"/>
      <c r="N619" s="211"/>
      <c r="O619" s="211"/>
      <c r="Q619" s="210" t="str">
        <f>IFERROR(__xludf.DUMMYFUNCTION("""COMPUTED_VALUE"""),"9935724f")</f>
        <v>9935724f</v>
      </c>
      <c r="R619" s="210" t="str">
        <f>IFERROR(__xludf.DUMMYFUNCTION("""COMPUTED_VALUE"""),"9935724f")</f>
        <v>9935724f</v>
      </c>
      <c r="S619" s="211" t="str">
        <f>IFERROR(__xludf.DUMMYFUNCTION("""COMPUTED_VALUE"""),"785e0e07")</f>
        <v>785e0e07</v>
      </c>
      <c r="T619" s="211" t="str">
        <f>IFERROR(__xludf.DUMMYFUNCTION("""COMPUTED_VALUE"""),"Bpk. Sukirno (Bejo)")</f>
        <v>Bpk. Sukirno (Bejo)</v>
      </c>
      <c r="U619" s="215">
        <f>IFERROR(__xludf.DUMMYFUNCTION("""COMPUTED_VALUE"""),45735.69861111111)</f>
        <v>45735.69861</v>
      </c>
      <c r="V619" s="211" t="str">
        <f>IFERROR(__xludf.DUMMYFUNCTION("""COMPUTED_VALUE"""),"Krajan I, Wringinanom, Kec. Wringinanom, Kabupaten Gresik, Jawa Timur 61176")</f>
        <v>Krajan I, Wringinanom, Kec. Wringinanom, Kabupaten Gresik, Jawa Timur 61176</v>
      </c>
      <c r="W619" s="211" t="str">
        <f>IFERROR(__xludf.DUMMYFUNCTION("""COMPUTED_VALUE"""),"IN")</f>
        <v>IN</v>
      </c>
      <c r="X619" s="211"/>
      <c r="Z619" s="211" t="str">
        <f>IFERROR(__xludf.DUMMYFUNCTION("""COMPUTED_VALUE"""),"1125361738")</f>
        <v>1125361738</v>
      </c>
      <c r="AC619" s="211"/>
      <c r="AD619" s="211"/>
      <c r="AE619" s="211"/>
      <c r="AF619" s="211"/>
      <c r="AG619" s="211"/>
      <c r="AH619" s="211"/>
      <c r="AI619" s="211"/>
      <c r="AJ619" s="211"/>
      <c r="AL619" s="211"/>
      <c r="AM619" s="211"/>
      <c r="AN619" s="211"/>
      <c r="AO619" s="211"/>
      <c r="AP619" s="215"/>
      <c r="AQ619" s="218"/>
      <c r="AR619" s="211"/>
      <c r="AS619" s="211"/>
      <c r="AT619" s="211"/>
      <c r="AU619" s="211"/>
      <c r="AV619" s="211"/>
      <c r="AW619" s="211"/>
      <c r="AX619" s="211"/>
      <c r="AY619" s="211"/>
      <c r="AZ619" s="211"/>
      <c r="BB619" s="211"/>
      <c r="BC619" s="211"/>
      <c r="BD619" s="211"/>
      <c r="BE619" s="211"/>
      <c r="BF619" s="211"/>
      <c r="BG619" s="211"/>
      <c r="BH619" s="211"/>
      <c r="BI619" s="211"/>
    </row>
    <row r="620">
      <c r="A620" s="210" t="str">
        <f>IFERROR(__xludf.DUMMYFUNCTION("""COMPUTED_VALUE"""),"eb57e32d")</f>
        <v>eb57e32d</v>
      </c>
      <c r="B620" s="210" t="str">
        <f>IFERROR(__xludf.DUMMYFUNCTION("""COMPUTED_VALUE"""),"eb57e32d")</f>
        <v>eb57e32d</v>
      </c>
      <c r="C620" s="213">
        <f>IFERROR(__xludf.DUMMYFUNCTION("""COMPUTED_VALUE"""),45698.47152777778)</f>
        <v>45698.47153</v>
      </c>
      <c r="D620" s="211" t="str">
        <f>IFERROR(__xludf.DUMMYFUNCTION("""COMPUTED_VALUE"""),"2d88931c")</f>
        <v>2d88931c</v>
      </c>
      <c r="E620" s="211" t="str">
        <f>IFERROR(__xludf.DUMMYFUNCTION("""COMPUTED_VALUE"""),"PT Dunia Berkat Marga Mulya")</f>
        <v>PT Dunia Berkat Marga Mulya</v>
      </c>
      <c r="F620" s="211" t="str">
        <f>IFERROR(__xludf.DUMMYFUNCTION("""COMPUTED_VALUE"""),"8bdbe149")</f>
        <v>8bdbe149</v>
      </c>
      <c r="G620" s="211" t="str">
        <f>IFERROR(__xludf.DUMMYFUNCTION("""COMPUTED_VALUE"""),"Oksigen 6m3")</f>
        <v>Oksigen 6m3</v>
      </c>
      <c r="H620" s="214" t="str">
        <f>IFERROR(__xludf.DUMMYFUNCTION("""COMPUTED_VALUE"""),"IN")</f>
        <v>IN</v>
      </c>
      <c r="I620" s="214" t="str">
        <f>IFERROR(__xludf.DUMMYFUNCTION("""COMPUTED_VALUE"""),"EMPTY")</f>
        <v>EMPTY</v>
      </c>
      <c r="J620" s="211">
        <f>IFERROR(__xludf.DUMMYFUNCTION("""COMPUTED_VALUE"""),3.0)</f>
        <v>3</v>
      </c>
      <c r="K620" s="210" t="str">
        <f>IFERROR(__xludf.DUMMYFUNCTION("""COMPUTED_VALUE"""),"1196 1118 1456")</f>
        <v>1196 1118 1456</v>
      </c>
      <c r="L620" s="211"/>
      <c r="M620" s="211"/>
      <c r="N620" s="211"/>
      <c r="O620" s="211"/>
      <c r="Q620" s="210" t="str">
        <f>IFERROR(__xludf.DUMMYFUNCTION("""COMPUTED_VALUE"""),"03250335")</f>
        <v>03250335</v>
      </c>
      <c r="R620" s="210" t="str">
        <f>IFERROR(__xludf.DUMMYFUNCTION("""COMPUTED_VALUE"""),"03250335")</f>
        <v>03250335</v>
      </c>
      <c r="S620" s="211" t="str">
        <f>IFERROR(__xludf.DUMMYFUNCTION("""COMPUTED_VALUE"""),"5f23ba17")</f>
        <v>5f23ba17</v>
      </c>
      <c r="T620" s="211" t="str">
        <f>IFERROR(__xludf.DUMMYFUNCTION("""COMPUTED_VALUE"""),"Bpk. Joko (Gresik)")</f>
        <v>Bpk. Joko (Gresik)</v>
      </c>
      <c r="U620" s="215">
        <f>IFERROR(__xludf.DUMMYFUNCTION("""COMPUTED_VALUE"""),45736.37013888889)</f>
        <v>45736.37014</v>
      </c>
      <c r="V620" s="211" t="str">
        <f>IFERROR(__xludf.DUMMYFUNCTION("""COMPUTED_VALUE"""),"Tanggungan, Lebaniwaras, Kec. Wringinanom, Kabupaten Gresik, Jawa Timur")</f>
        <v>Tanggungan, Lebaniwaras, Kec. Wringinanom, Kabupaten Gresik, Jawa Timur</v>
      </c>
      <c r="W620" s="211" t="str">
        <f>IFERROR(__xludf.DUMMYFUNCTION("""COMPUTED_VALUE"""),"OUT")</f>
        <v>OUT</v>
      </c>
      <c r="X620" s="211"/>
      <c r="Z620" s="211" t="str">
        <f>IFERROR(__xludf.DUMMYFUNCTION("""COMPUTED_VALUE"""),"1125361741")</f>
        <v>1125361741</v>
      </c>
      <c r="AC620" s="211"/>
      <c r="AD620" s="211"/>
      <c r="AE620" s="211"/>
      <c r="AF620" s="211"/>
      <c r="AG620" s="211"/>
      <c r="AH620" s="211"/>
      <c r="AI620" s="211"/>
      <c r="AJ620" s="211"/>
      <c r="AL620" s="211"/>
      <c r="AM620" s="211"/>
      <c r="AN620" s="211"/>
      <c r="AO620" s="211"/>
      <c r="AP620" s="215"/>
      <c r="AQ620" s="218"/>
      <c r="AR620" s="211"/>
      <c r="AS620" s="211"/>
      <c r="AT620" s="211"/>
      <c r="AU620" s="211"/>
      <c r="AV620" s="211"/>
      <c r="AW620" s="211"/>
      <c r="AX620" s="211"/>
      <c r="AY620" s="211"/>
      <c r="AZ620" s="211"/>
      <c r="BB620" s="211"/>
      <c r="BC620" s="211"/>
      <c r="BD620" s="211"/>
      <c r="BE620" s="211"/>
      <c r="BF620" s="211"/>
      <c r="BG620" s="211"/>
      <c r="BH620" s="211"/>
      <c r="BI620" s="211"/>
    </row>
    <row r="621">
      <c r="A621" s="210" t="str">
        <f>IFERROR(__xludf.DUMMYFUNCTION("""COMPUTED_VALUE"""),"d4c40682")</f>
        <v>d4c40682</v>
      </c>
      <c r="B621" s="210" t="str">
        <f>IFERROR(__xludf.DUMMYFUNCTION("""COMPUTED_VALUE"""),"d4c40682")</f>
        <v>d4c40682</v>
      </c>
      <c r="C621" s="213">
        <f>IFERROR(__xludf.DUMMYFUNCTION("""COMPUTED_VALUE"""),45698.5)</f>
        <v>45698.5</v>
      </c>
      <c r="D621" s="211" t="str">
        <f>IFERROR(__xludf.DUMMYFUNCTION("""COMPUTED_VALUE"""),"a9fe1bea")</f>
        <v>a9fe1bea</v>
      </c>
      <c r="E621" s="211" t="str">
        <f>IFERROR(__xludf.DUMMYFUNCTION("""COMPUTED_VALUE"""),"H. Suheiri")</f>
        <v>H. Suheiri</v>
      </c>
      <c r="F621" s="211" t="str">
        <f>IFERROR(__xludf.DUMMYFUNCTION("""COMPUTED_VALUE"""),"8bdbe149")</f>
        <v>8bdbe149</v>
      </c>
      <c r="G621" s="211" t="str">
        <f>IFERROR(__xludf.DUMMYFUNCTION("""COMPUTED_VALUE"""),"Oksigen 6m3")</f>
        <v>Oksigen 6m3</v>
      </c>
      <c r="H621" s="214" t="str">
        <f>IFERROR(__xludf.DUMMYFUNCTION("""COMPUTED_VALUE"""),"IN")</f>
        <v>IN</v>
      </c>
      <c r="I621" s="214" t="str">
        <f>IFERROR(__xludf.DUMMYFUNCTION("""COMPUTED_VALUE"""),"EMPTY")</f>
        <v>EMPTY</v>
      </c>
      <c r="J621" s="211">
        <f>IFERROR(__xludf.DUMMYFUNCTION("""COMPUTED_VALUE"""),2.0)</f>
        <v>2</v>
      </c>
      <c r="K621" s="210" t="str">
        <f>IFERROR(__xludf.DUMMYFUNCTION("""COMPUTED_VALUE"""),"5930 1740")</f>
        <v>5930 1740</v>
      </c>
      <c r="L621" s="211"/>
      <c r="M621" s="211"/>
      <c r="N621" s="211"/>
      <c r="O621" s="211"/>
      <c r="Q621" s="210" t="str">
        <f>IFERROR(__xludf.DUMMYFUNCTION("""COMPUTED_VALUE"""),"cb8383eb")</f>
        <v>cb8383eb</v>
      </c>
      <c r="R621" s="210" t="str">
        <f>IFERROR(__xludf.DUMMYFUNCTION("""COMPUTED_VALUE"""),"cb8383eb")</f>
        <v>cb8383eb</v>
      </c>
      <c r="S621" s="211" t="str">
        <f>IFERROR(__xludf.DUMMYFUNCTION("""COMPUTED_VALUE"""),"103f3ae7")</f>
        <v>103f3ae7</v>
      </c>
      <c r="T621" s="211" t="str">
        <f>IFERROR(__xludf.DUMMYFUNCTION("""COMPUTED_VALUE"""),"PT ARYANA CAKASANA")</f>
        <v>PT ARYANA CAKASANA</v>
      </c>
      <c r="U621" s="215">
        <f>IFERROR(__xludf.DUMMYFUNCTION("""COMPUTED_VALUE"""),45736.46805555555)</f>
        <v>45736.46806</v>
      </c>
      <c r="V621" s="211" t="str">
        <f>IFERROR(__xludf.DUMMYFUNCTION("""COMPUTED_VALUE"""),"Jl Raya Tarik No. 45, Wonokupang, Bakalan, Balongbendo")</f>
        <v>Jl Raya Tarik No. 45, Wonokupang, Bakalan, Balongbendo</v>
      </c>
      <c r="W621" s="211" t="str">
        <f>IFERROR(__xludf.DUMMYFUNCTION("""COMPUTED_VALUE"""),"IN")</f>
        <v>IN</v>
      </c>
      <c r="X621" s="211"/>
      <c r="Z621" s="211" t="str">
        <f>IFERROR(__xludf.DUMMYFUNCTION("""COMPUTED_VALUE"""),"112531733")</f>
        <v>112531733</v>
      </c>
      <c r="AC621" s="211"/>
      <c r="AD621" s="211"/>
      <c r="AE621" s="211"/>
      <c r="AF621" s="211"/>
      <c r="AG621" s="211"/>
      <c r="AH621" s="211"/>
      <c r="AI621" s="211"/>
      <c r="AJ621" s="211"/>
      <c r="AL621" s="211"/>
      <c r="AM621" s="211"/>
      <c r="AN621" s="211"/>
      <c r="AO621" s="211"/>
      <c r="AP621" s="215"/>
      <c r="AQ621" s="218"/>
      <c r="AR621" s="211"/>
      <c r="AS621" s="211"/>
      <c r="AT621" s="211"/>
      <c r="AU621" s="211"/>
      <c r="AV621" s="211"/>
      <c r="AW621" s="211"/>
      <c r="AX621" s="211"/>
      <c r="AY621" s="211"/>
      <c r="AZ621" s="211"/>
      <c r="BB621" s="211"/>
      <c r="BC621" s="211"/>
      <c r="BD621" s="211"/>
      <c r="BE621" s="211"/>
      <c r="BF621" s="211"/>
      <c r="BG621" s="211"/>
      <c r="BH621" s="211"/>
      <c r="BI621" s="211"/>
    </row>
    <row r="622">
      <c r="A622" s="210" t="str">
        <f>IFERROR(__xludf.DUMMYFUNCTION("""COMPUTED_VALUE"""),"acb0439f")</f>
        <v>acb0439f</v>
      </c>
      <c r="B622" s="210" t="str">
        <f>IFERROR(__xludf.DUMMYFUNCTION("""COMPUTED_VALUE"""),"acb0439f")</f>
        <v>acb0439f</v>
      </c>
      <c r="C622" s="213">
        <f>IFERROR(__xludf.DUMMYFUNCTION("""COMPUTED_VALUE"""),45698.5)</f>
        <v>45698.5</v>
      </c>
      <c r="D622" s="211" t="str">
        <f>IFERROR(__xludf.DUMMYFUNCTION("""COMPUTED_VALUE"""),"5f23ba17")</f>
        <v>5f23ba17</v>
      </c>
      <c r="E622" s="211" t="str">
        <f>IFERROR(__xludf.DUMMYFUNCTION("""COMPUTED_VALUE"""),"Bpk. Joko (Gresik)")</f>
        <v>Bpk. Joko (Gresik)</v>
      </c>
      <c r="F622" s="211" t="str">
        <f>IFERROR(__xludf.DUMMYFUNCTION("""COMPUTED_VALUE"""),"8bdbe149")</f>
        <v>8bdbe149</v>
      </c>
      <c r="G622" s="211" t="str">
        <f>IFERROR(__xludf.DUMMYFUNCTION("""COMPUTED_VALUE"""),"Oksigen 6m3")</f>
        <v>Oksigen 6m3</v>
      </c>
      <c r="H622" s="214" t="str">
        <f>IFERROR(__xludf.DUMMYFUNCTION("""COMPUTED_VALUE"""),"IN")</f>
        <v>IN</v>
      </c>
      <c r="I622" s="214" t="str">
        <f>IFERROR(__xludf.DUMMYFUNCTION("""COMPUTED_VALUE"""),"EMPTY")</f>
        <v>EMPTY</v>
      </c>
      <c r="J622" s="211">
        <f>IFERROR(__xludf.DUMMYFUNCTION("""COMPUTED_VALUE"""),2.0)</f>
        <v>2</v>
      </c>
      <c r="K622" s="210" t="str">
        <f>IFERROR(__xludf.DUMMYFUNCTION("""COMPUTED_VALUE"""),"11180 5294")</f>
        <v>11180 5294</v>
      </c>
      <c r="L622" s="211"/>
      <c r="M622" s="211"/>
      <c r="N622" s="211"/>
      <c r="O622" s="211"/>
      <c r="Q622" s="210" t="str">
        <f>IFERROR(__xludf.DUMMYFUNCTION("""COMPUTED_VALUE"""),"6549dd9b")</f>
        <v>6549dd9b</v>
      </c>
      <c r="R622" s="210" t="str">
        <f>IFERROR(__xludf.DUMMYFUNCTION("""COMPUTED_VALUE"""),"6549dd9b")</f>
        <v>6549dd9b</v>
      </c>
      <c r="S622" s="211" t="str">
        <f>IFERROR(__xludf.DUMMYFUNCTION("""COMPUTED_VALUE"""),"69d002bb")</f>
        <v>69d002bb</v>
      </c>
      <c r="T622" s="211" t="str">
        <f>IFERROR(__xludf.DUMMYFUNCTION("""COMPUTED_VALUE"""),"Bengkel Putra Sanjaya (Bpk. Amin)")</f>
        <v>Bengkel Putra Sanjaya (Bpk. Amin)</v>
      </c>
      <c r="U622" s="215">
        <f>IFERROR(__xludf.DUMMYFUNCTION("""COMPUTED_VALUE"""),45736.475694444445)</f>
        <v>45736.47569</v>
      </c>
      <c r="V622" s="211" t="str">
        <f>IFERROR(__xludf.DUMMYFUNCTION("""COMPUTED_VALUE"""),"Sidomukti, Kraton, Kec. Krian, Kabupaten Sidoarjo, Jawa Timur 61262")</f>
        <v>Sidomukti, Kraton, Kec. Krian, Kabupaten Sidoarjo, Jawa Timur 61262</v>
      </c>
      <c r="W622" s="211" t="str">
        <f>IFERROR(__xludf.DUMMYFUNCTION("""COMPUTED_VALUE"""),"IN")</f>
        <v>IN</v>
      </c>
      <c r="X622" s="211"/>
      <c r="Z622" s="211" t="str">
        <f>IFERROR(__xludf.DUMMYFUNCTION("""COMPUTED_VALUE"""),"112511731")</f>
        <v>112511731</v>
      </c>
      <c r="AC622" s="211"/>
      <c r="AD622" s="211"/>
      <c r="AE622" s="211"/>
      <c r="AF622" s="211"/>
      <c r="AG622" s="211"/>
      <c r="AH622" s="211"/>
      <c r="AI622" s="211"/>
      <c r="AJ622" s="211"/>
      <c r="AL622" s="211"/>
      <c r="AM622" s="211"/>
      <c r="AN622" s="211"/>
      <c r="AO622" s="211"/>
      <c r="AP622" s="215"/>
      <c r="AQ622" s="218"/>
      <c r="AR622" s="211"/>
      <c r="AS622" s="211"/>
      <c r="AT622" s="211"/>
      <c r="AU622" s="211"/>
      <c r="AV622" s="211"/>
      <c r="AW622" s="211"/>
      <c r="AX622" s="211"/>
      <c r="AY622" s="211"/>
      <c r="AZ622" s="211"/>
      <c r="BB622" s="211"/>
      <c r="BC622" s="211"/>
      <c r="BD622" s="211"/>
      <c r="BE622" s="211"/>
      <c r="BF622" s="211"/>
      <c r="BG622" s="211"/>
      <c r="BH622" s="211"/>
      <c r="BI622" s="211"/>
    </row>
    <row r="623">
      <c r="A623" s="210" t="str">
        <f>IFERROR(__xludf.DUMMYFUNCTION("""COMPUTED_VALUE"""),"acb0439f")</f>
        <v>acb0439f</v>
      </c>
      <c r="B623" s="210" t="str">
        <f>IFERROR(__xludf.DUMMYFUNCTION("""COMPUTED_VALUE"""),"acb0439f")</f>
        <v>acb0439f</v>
      </c>
      <c r="C623" s="213">
        <f>IFERROR(__xludf.DUMMYFUNCTION("""COMPUTED_VALUE"""),45698.50069444445)</f>
        <v>45698.50069</v>
      </c>
      <c r="D623" s="211" t="str">
        <f>IFERROR(__xludf.DUMMYFUNCTION("""COMPUTED_VALUE"""),"5f23ba17")</f>
        <v>5f23ba17</v>
      </c>
      <c r="E623" s="211" t="str">
        <f>IFERROR(__xludf.DUMMYFUNCTION("""COMPUTED_VALUE"""),"Bpk. Joko (Gresik)")</f>
        <v>Bpk. Joko (Gresik)</v>
      </c>
      <c r="F623" s="211" t="str">
        <f>IFERROR(__xludf.DUMMYFUNCTION("""COMPUTED_VALUE"""),"f6aab7a9")</f>
        <v>f6aab7a9</v>
      </c>
      <c r="G623" s="211" t="str">
        <f>IFERROR(__xludf.DUMMYFUNCTION("""COMPUTED_VALUE"""),"Oksigen 6m3 MR")</f>
        <v>Oksigen 6m3 MR</v>
      </c>
      <c r="H623" s="214" t="str">
        <f>IFERROR(__xludf.DUMMYFUNCTION("""COMPUTED_VALUE"""),"IN")</f>
        <v>IN</v>
      </c>
      <c r="I623" s="214" t="str">
        <f>IFERROR(__xludf.DUMMYFUNCTION("""COMPUTED_VALUE"""),"EMPTY")</f>
        <v>EMPTY</v>
      </c>
      <c r="J623" s="211">
        <f>IFERROR(__xludf.DUMMYFUNCTION("""COMPUTED_VALUE"""),9.0)</f>
        <v>9</v>
      </c>
      <c r="K623" s="211"/>
      <c r="L623" s="211"/>
      <c r="M623" s="211"/>
      <c r="N623" s="211"/>
      <c r="O623" s="211"/>
      <c r="Q623" s="210" t="str">
        <f>IFERROR(__xludf.DUMMYFUNCTION("""COMPUTED_VALUE"""),"738f3ed2")</f>
        <v>738f3ed2</v>
      </c>
      <c r="R623" s="210" t="str">
        <f>IFERROR(__xludf.DUMMYFUNCTION("""COMPUTED_VALUE"""),"738f3ed2")</f>
        <v>738f3ed2</v>
      </c>
      <c r="S623" s="211" t="str">
        <f>IFERROR(__xludf.DUMMYFUNCTION("""COMPUTED_VALUE"""),"e76bc39c")</f>
        <v>e76bc39c</v>
      </c>
      <c r="T623" s="211" t="str">
        <f>IFERROR(__xludf.DUMMYFUNCTION("""COMPUTED_VALUE"""),"Bpk. Irul")</f>
        <v>Bpk. Irul</v>
      </c>
      <c r="U623" s="215">
        <f>IFERROR(__xludf.DUMMYFUNCTION("""COMPUTED_VALUE"""),45736.476388888885)</f>
        <v>45736.47639</v>
      </c>
      <c r="V623" s="211" t="str">
        <f>IFERROR(__xludf.DUMMYFUNCTION("""COMPUTED_VALUE"""),"Jl. Mayjen Bambang Yuwono, Ciro Kulon, Bakungtemenggungan, Kec. BalongBendo, Kabupaten Sidoarjo, Jawa Timur 61263")</f>
        <v>Jl. Mayjen Bambang Yuwono, Ciro Kulon, Bakungtemenggungan, Kec. BalongBendo, Kabupaten Sidoarjo, Jawa Timur 61263</v>
      </c>
      <c r="W623" s="211" t="str">
        <f>IFERROR(__xludf.DUMMYFUNCTION("""COMPUTED_VALUE"""),"IN")</f>
        <v>IN</v>
      </c>
      <c r="X623" s="211"/>
      <c r="Z623" s="211" t="str">
        <f>IFERROR(__xludf.DUMMYFUNCTION("""COMPUTED_VALUE"""),"1125231728")</f>
        <v>1125231728</v>
      </c>
      <c r="AC623" s="211"/>
      <c r="AD623" s="211"/>
      <c r="AE623" s="211"/>
      <c r="AF623" s="211"/>
      <c r="AG623" s="211"/>
      <c r="AH623" s="211"/>
      <c r="AI623" s="211"/>
      <c r="AJ623" s="211"/>
      <c r="AL623" s="211"/>
      <c r="AM623" s="211"/>
      <c r="AN623" s="211"/>
      <c r="AO623" s="211"/>
      <c r="AP623" s="215"/>
      <c r="AQ623" s="218"/>
      <c r="AR623" s="211"/>
      <c r="AS623" s="211"/>
      <c r="AT623" s="211"/>
      <c r="AU623" s="211"/>
      <c r="AV623" s="211"/>
      <c r="AW623" s="211"/>
      <c r="AX623" s="211"/>
      <c r="AY623" s="211"/>
      <c r="AZ623" s="211"/>
      <c r="BB623" s="211"/>
      <c r="BC623" s="211"/>
      <c r="BD623" s="211"/>
      <c r="BE623" s="211"/>
      <c r="BF623" s="211"/>
      <c r="BG623" s="211"/>
      <c r="BH623" s="211"/>
      <c r="BI623" s="211"/>
    </row>
    <row r="624">
      <c r="A624" s="210" t="str">
        <f>IFERROR(__xludf.DUMMYFUNCTION("""COMPUTED_VALUE"""),"1ca49797")</f>
        <v>1ca49797</v>
      </c>
      <c r="B624" s="210" t="str">
        <f>IFERROR(__xludf.DUMMYFUNCTION("""COMPUTED_VALUE"""),"1ca49797")</f>
        <v>1ca49797</v>
      </c>
      <c r="C624" s="213">
        <f>IFERROR(__xludf.DUMMYFUNCTION("""COMPUTED_VALUE"""),45698.50069444445)</f>
        <v>45698.50069</v>
      </c>
      <c r="D624" s="211" t="str">
        <f>IFERROR(__xludf.DUMMYFUNCTION("""COMPUTED_VALUE"""),"785e0e07")</f>
        <v>785e0e07</v>
      </c>
      <c r="E624" s="211" t="str">
        <f>IFERROR(__xludf.DUMMYFUNCTION("""COMPUTED_VALUE"""),"Bpk. Sukirno (Bejo)")</f>
        <v>Bpk. Sukirno (Bejo)</v>
      </c>
      <c r="F624" s="211" t="str">
        <f>IFERROR(__xludf.DUMMYFUNCTION("""COMPUTED_VALUE"""),"8bdbe149")</f>
        <v>8bdbe149</v>
      </c>
      <c r="G624" s="211" t="str">
        <f>IFERROR(__xludf.DUMMYFUNCTION("""COMPUTED_VALUE"""),"Oksigen 6m3")</f>
        <v>Oksigen 6m3</v>
      </c>
      <c r="H624" s="214" t="str">
        <f>IFERROR(__xludf.DUMMYFUNCTION("""COMPUTED_VALUE"""),"IN")</f>
        <v>IN</v>
      </c>
      <c r="I624" s="214" t="str">
        <f>IFERROR(__xludf.DUMMYFUNCTION("""COMPUTED_VALUE"""),"EMPTY")</f>
        <v>EMPTY</v>
      </c>
      <c r="J624" s="211">
        <f>IFERROR(__xludf.DUMMYFUNCTION("""COMPUTED_VALUE"""),7.0)</f>
        <v>7</v>
      </c>
      <c r="K624" s="210" t="str">
        <f>IFERROR(__xludf.DUMMYFUNCTION("""COMPUTED_VALUE"""),"11135 11195 11173 11181 11172 11193 11192")</f>
        <v>11135 11195 11173 11181 11172 11193 11192</v>
      </c>
      <c r="L624" s="211"/>
      <c r="M624" s="211"/>
      <c r="N624" s="211"/>
      <c r="O624" s="211"/>
      <c r="Q624" s="210" t="str">
        <f>IFERROR(__xludf.DUMMYFUNCTION("""COMPUTED_VALUE"""),"0cac82e5")</f>
        <v>0cac82e5</v>
      </c>
      <c r="R624" s="210" t="str">
        <f>IFERROR(__xludf.DUMMYFUNCTION("""COMPUTED_VALUE"""),"0cac82e5")</f>
        <v>0cac82e5</v>
      </c>
      <c r="S624" s="211" t="str">
        <f>IFERROR(__xludf.DUMMYFUNCTION("""COMPUTED_VALUE"""),"785e0e07")</f>
        <v>785e0e07</v>
      </c>
      <c r="T624" s="211" t="str">
        <f>IFERROR(__xludf.DUMMYFUNCTION("""COMPUTED_VALUE"""),"Bpk. Sukirno (Bejo)")</f>
        <v>Bpk. Sukirno (Bejo)</v>
      </c>
      <c r="U624" s="215">
        <f>IFERROR(__xludf.DUMMYFUNCTION("""COMPUTED_VALUE"""),45736.476388888885)</f>
        <v>45736.47639</v>
      </c>
      <c r="V624" s="211" t="str">
        <f>IFERROR(__xludf.DUMMYFUNCTION("""COMPUTED_VALUE"""),"Krajan I, Wringinanom, Kec. Wringinanom, Kabupaten Gresik, Jawa Timur 61176")</f>
        <v>Krajan I, Wringinanom, Kec. Wringinanom, Kabupaten Gresik, Jawa Timur 61176</v>
      </c>
      <c r="W624" s="211" t="str">
        <f>IFERROR(__xludf.DUMMYFUNCTION("""COMPUTED_VALUE"""),"IN")</f>
        <v>IN</v>
      </c>
      <c r="X624" s="211"/>
      <c r="Z624" s="211" t="str">
        <f>IFERROR(__xludf.DUMMYFUNCTION("""COMPUTED_VALUE"""),"1125211723")</f>
        <v>1125211723</v>
      </c>
      <c r="AC624" s="211"/>
      <c r="AD624" s="211"/>
      <c r="AE624" s="211"/>
      <c r="AF624" s="211"/>
      <c r="AG624" s="211"/>
      <c r="AH624" s="211"/>
      <c r="AI624" s="211"/>
      <c r="AJ624" s="211"/>
      <c r="AL624" s="211"/>
      <c r="AM624" s="211"/>
      <c r="AN624" s="211"/>
      <c r="AO624" s="211"/>
      <c r="AP624" s="215"/>
      <c r="AQ624" s="218"/>
      <c r="AR624" s="211"/>
      <c r="AS624" s="211"/>
      <c r="AT624" s="211"/>
      <c r="AU624" s="211"/>
      <c r="AV624" s="211"/>
      <c r="AW624" s="211"/>
      <c r="AX624" s="211"/>
      <c r="AY624" s="211"/>
      <c r="AZ624" s="211"/>
      <c r="BB624" s="211"/>
      <c r="BC624" s="211"/>
      <c r="BD624" s="211"/>
      <c r="BE624" s="211"/>
      <c r="BF624" s="211"/>
      <c r="BG624" s="211"/>
      <c r="BH624" s="211"/>
      <c r="BI624" s="211"/>
    </row>
    <row r="625">
      <c r="A625" s="210" t="str">
        <f>IFERROR(__xludf.DUMMYFUNCTION("""COMPUTED_VALUE"""),"dd78776b")</f>
        <v>dd78776b</v>
      </c>
      <c r="B625" s="210" t="str">
        <f>IFERROR(__xludf.DUMMYFUNCTION("""COMPUTED_VALUE"""),"dd78776b")</f>
        <v>dd78776b</v>
      </c>
      <c r="C625" s="213">
        <f>IFERROR(__xludf.DUMMYFUNCTION("""COMPUTED_VALUE"""),45698.50208333333)</f>
        <v>45698.50208</v>
      </c>
      <c r="D625" s="211" t="str">
        <f>IFERROR(__xludf.DUMMYFUNCTION("""COMPUTED_VALUE"""),"4ec68cf6")</f>
        <v>4ec68cf6</v>
      </c>
      <c r="E625" s="211" t="str">
        <f>IFERROR(__xludf.DUMMYFUNCTION("""COMPUTED_VALUE"""),"CV Sido Mukti Karya")</f>
        <v>CV Sido Mukti Karya</v>
      </c>
      <c r="F625" s="211" t="str">
        <f>IFERROR(__xludf.DUMMYFUNCTION("""COMPUTED_VALUE"""),"8bdbe149")</f>
        <v>8bdbe149</v>
      </c>
      <c r="G625" s="211" t="str">
        <f>IFERROR(__xludf.DUMMYFUNCTION("""COMPUTED_VALUE"""),"Oksigen 6m3")</f>
        <v>Oksigen 6m3</v>
      </c>
      <c r="H625" s="214" t="str">
        <f>IFERROR(__xludf.DUMMYFUNCTION("""COMPUTED_VALUE"""),"IN")</f>
        <v>IN</v>
      </c>
      <c r="I625" s="214" t="str">
        <f>IFERROR(__xludf.DUMMYFUNCTION("""COMPUTED_VALUE"""),"EMPTY")</f>
        <v>EMPTY</v>
      </c>
      <c r="J625" s="211">
        <f>IFERROR(__xludf.DUMMYFUNCTION("""COMPUTED_VALUE"""),7.0)</f>
        <v>7</v>
      </c>
      <c r="K625" s="210" t="str">
        <f>IFERROR(__xludf.DUMMYFUNCTION("""COMPUTED_VALUE"""),"11186 11198 1146 11185 11112 1129 1127")</f>
        <v>11186 11198 1146 11185 11112 1129 1127</v>
      </c>
      <c r="L625" s="211"/>
      <c r="M625" s="211"/>
      <c r="N625" s="211"/>
      <c r="O625" s="211"/>
      <c r="Q625" s="210" t="str">
        <f>IFERROR(__xludf.DUMMYFUNCTION("""COMPUTED_VALUE"""),"03250337")</f>
        <v>03250337</v>
      </c>
      <c r="R625" s="210" t="str">
        <f>IFERROR(__xludf.DUMMYFUNCTION("""COMPUTED_VALUE"""),"03250337")</f>
        <v>03250337</v>
      </c>
      <c r="S625" s="211" t="str">
        <f>IFERROR(__xludf.DUMMYFUNCTION("""COMPUTED_VALUE"""),"e86baf3b")</f>
        <v>e86baf3b</v>
      </c>
      <c r="T625" s="211" t="str">
        <f>IFERROR(__xludf.DUMMYFUNCTION("""COMPUTED_VALUE"""),"PT GEMILANG CIPTA WAWASAN")</f>
        <v>PT GEMILANG CIPTA WAWASAN</v>
      </c>
      <c r="U625" s="215">
        <f>IFERROR(__xludf.DUMMYFUNCTION("""COMPUTED_VALUE"""),45736.507638888885)</f>
        <v>45736.50764</v>
      </c>
      <c r="V625" s="211" t="str">
        <f>IFERROR(__xludf.DUMMYFUNCTION("""COMPUTED_VALUE"""),"JL TEBET RAYA, 2A, TEBET BARAT, TEBET, KOTA ADM, JAKARTA SELATAN, DKI JAKARTA")</f>
        <v>JL TEBET RAYA, 2A, TEBET BARAT, TEBET, KOTA ADM, JAKARTA SELATAN, DKI JAKARTA</v>
      </c>
      <c r="W625" s="211" t="str">
        <f>IFERROR(__xludf.DUMMYFUNCTION("""COMPUTED_VALUE"""),"OUT")</f>
        <v>OUT</v>
      </c>
      <c r="X625" s="211"/>
      <c r="Z625" s="211" t="str">
        <f>IFERROR(__xludf.DUMMYFUNCTION("""COMPUTED_VALUE"""),"1125351737")</f>
        <v>1125351737</v>
      </c>
      <c r="AC625" s="211"/>
      <c r="AD625" s="211"/>
      <c r="AE625" s="211"/>
      <c r="AF625" s="211"/>
      <c r="AG625" s="211"/>
      <c r="AH625" s="211"/>
      <c r="AI625" s="211"/>
      <c r="AJ625" s="211"/>
      <c r="AL625" s="211"/>
      <c r="AM625" s="211"/>
      <c r="AN625" s="211"/>
      <c r="AO625" s="211"/>
      <c r="AP625" s="215"/>
      <c r="AQ625" s="218"/>
      <c r="AR625" s="211"/>
      <c r="AS625" s="211"/>
      <c r="AT625" s="211"/>
      <c r="AU625" s="211"/>
      <c r="AV625" s="211"/>
      <c r="AW625" s="211"/>
      <c r="AX625" s="211"/>
      <c r="AY625" s="211"/>
      <c r="AZ625" s="211"/>
      <c r="BB625" s="211"/>
      <c r="BC625" s="211"/>
      <c r="BD625" s="211"/>
      <c r="BE625" s="211"/>
      <c r="BF625" s="211"/>
      <c r="BG625" s="211"/>
      <c r="BH625" s="211"/>
      <c r="BI625" s="211"/>
    </row>
    <row r="626">
      <c r="A626" s="210" t="str">
        <f>IFERROR(__xludf.DUMMYFUNCTION("""COMPUTED_VALUE"""),"02250256")</f>
        <v>02250256</v>
      </c>
      <c r="B626" s="210" t="str">
        <f>IFERROR(__xludf.DUMMYFUNCTION("""COMPUTED_VALUE"""),"02250256")</f>
        <v>02250256</v>
      </c>
      <c r="C626" s="213">
        <f>IFERROR(__xludf.DUMMYFUNCTION("""COMPUTED_VALUE"""),45699.36388888889)</f>
        <v>45699.36389</v>
      </c>
      <c r="D626" s="211" t="str">
        <f>IFERROR(__xludf.DUMMYFUNCTION("""COMPUTED_VALUE"""),"785e0e07")</f>
        <v>785e0e07</v>
      </c>
      <c r="E626" s="211" t="str">
        <f>IFERROR(__xludf.DUMMYFUNCTION("""COMPUTED_VALUE"""),"Bpk. Sukirno (Bejo)")</f>
        <v>Bpk. Sukirno (Bejo)</v>
      </c>
      <c r="F626" s="211" t="str">
        <f>IFERROR(__xludf.DUMMYFUNCTION("""COMPUTED_VALUE"""),"8bdbe149")</f>
        <v>8bdbe149</v>
      </c>
      <c r="G626" s="211" t="str">
        <f>IFERROR(__xludf.DUMMYFUNCTION("""COMPUTED_VALUE"""),"Oksigen 6m3")</f>
        <v>Oksigen 6m3</v>
      </c>
      <c r="H626" s="214" t="str">
        <f>IFERROR(__xludf.DUMMYFUNCTION("""COMPUTED_VALUE"""),"OUT")</f>
        <v>OUT</v>
      </c>
      <c r="I626" s="214" t="str">
        <f>IFERROR(__xludf.DUMMYFUNCTION("""COMPUTED_VALUE"""),"NORMAL")</f>
        <v>NORMAL</v>
      </c>
      <c r="J626" s="211">
        <f>IFERROR(__xludf.DUMMYFUNCTION("""COMPUTED_VALUE"""),15.0)</f>
        <v>15</v>
      </c>
      <c r="K626" s="210" t="str">
        <f>IFERROR(__xludf.DUMMYFUNCTION("""COMPUTED_VALUE"""),"11195 11198 11173 11193 11181 11172 11185 11135 11180 11186 1193 1146 1118 1129 01")</f>
        <v>11195 11198 11173 11193 11181 11172 11185 11135 11180 11186 1193 1146 1118 1129 01</v>
      </c>
      <c r="L626" s="211">
        <f>IFERROR(__xludf.DUMMYFUNCTION("""COMPUTED_VALUE"""),60000.0)</f>
        <v>60000</v>
      </c>
      <c r="M626" s="211"/>
      <c r="N626" s="211"/>
      <c r="O626" s="211"/>
      <c r="Q626" s="210" t="str">
        <f>IFERROR(__xludf.DUMMYFUNCTION("""COMPUTED_VALUE"""),"03250339")</f>
        <v>03250339</v>
      </c>
      <c r="R626" s="210" t="str">
        <f>IFERROR(__xludf.DUMMYFUNCTION("""COMPUTED_VALUE"""),"03250339")</f>
        <v>03250339</v>
      </c>
      <c r="S626" s="211" t="str">
        <f>IFERROR(__xludf.DUMMYFUNCTION("""COMPUTED_VALUE"""),"2d88931c")</f>
        <v>2d88931c</v>
      </c>
      <c r="T626" s="211" t="str">
        <f>IFERROR(__xludf.DUMMYFUNCTION("""COMPUTED_VALUE"""),"PT Dunia Berkat Marga Mulya")</f>
        <v>PT Dunia Berkat Marga Mulya</v>
      </c>
      <c r="U626" s="215">
        <f>IFERROR(__xludf.DUMMYFUNCTION("""COMPUTED_VALUE"""),45737.34097222222)</f>
        <v>45737.34097</v>
      </c>
      <c r="V626" s="211" t="str">
        <f>IFERROR(__xludf.DUMMYFUNCTION("""COMPUTED_VALUE"""),"JL JABARAN, WATESARI, BALONGBENDO, SIDOARJO, JAWA TIMUR")</f>
        <v>JL JABARAN, WATESARI, BALONGBENDO, SIDOARJO, JAWA TIMUR</v>
      </c>
      <c r="W626" s="211" t="str">
        <f>IFERROR(__xludf.DUMMYFUNCTION("""COMPUTED_VALUE"""),"OUT")</f>
        <v>OUT</v>
      </c>
      <c r="X626" s="211"/>
      <c r="Z626" s="211" t="str">
        <f>IFERROR(__xludf.DUMMYFUNCTION("""COMPUTED_VALUE"""),"112531718")</f>
        <v>112531718</v>
      </c>
      <c r="AC626" s="211"/>
      <c r="AD626" s="211"/>
      <c r="AE626" s="211"/>
      <c r="AF626" s="211"/>
      <c r="AG626" s="211"/>
      <c r="AH626" s="211"/>
      <c r="AI626" s="211"/>
      <c r="AJ626" s="211"/>
      <c r="AL626" s="211"/>
      <c r="AM626" s="211"/>
      <c r="AN626" s="211"/>
      <c r="AO626" s="211"/>
      <c r="AP626" s="215"/>
      <c r="AQ626" s="218"/>
      <c r="AR626" s="211"/>
      <c r="AS626" s="211"/>
      <c r="AT626" s="211"/>
      <c r="AU626" s="211"/>
      <c r="AV626" s="211"/>
      <c r="AW626" s="211"/>
      <c r="AX626" s="211"/>
      <c r="AY626" s="211"/>
      <c r="AZ626" s="211"/>
      <c r="BB626" s="211"/>
      <c r="BC626" s="211"/>
      <c r="BD626" s="211"/>
      <c r="BE626" s="211"/>
      <c r="BF626" s="211"/>
      <c r="BG626" s="211"/>
      <c r="BH626" s="211"/>
      <c r="BI626" s="211"/>
    </row>
    <row r="627">
      <c r="A627" s="210" t="str">
        <f>IFERROR(__xludf.DUMMYFUNCTION("""COMPUTED_VALUE"""),"02250257")</f>
        <v>02250257</v>
      </c>
      <c r="B627" s="210" t="str">
        <f>IFERROR(__xludf.DUMMYFUNCTION("""COMPUTED_VALUE"""),"02250257")</f>
        <v>02250257</v>
      </c>
      <c r="C627" s="213">
        <f>IFERROR(__xludf.DUMMYFUNCTION("""COMPUTED_VALUE"""),45699.48055555556)</f>
        <v>45699.48056</v>
      </c>
      <c r="D627" s="211" t="str">
        <f>IFERROR(__xludf.DUMMYFUNCTION("""COMPUTED_VALUE"""),"8f5ebaea")</f>
        <v>8f5ebaea</v>
      </c>
      <c r="E627" s="211" t="str">
        <f>IFERROR(__xludf.DUMMYFUNCTION("""COMPUTED_VALUE"""),"PT Hua Zong Mesindo")</f>
        <v>PT Hua Zong Mesindo</v>
      </c>
      <c r="F627" s="211" t="str">
        <f>IFERROR(__xludf.DUMMYFUNCTION("""COMPUTED_VALUE"""),"8bdbe149")</f>
        <v>8bdbe149</v>
      </c>
      <c r="G627" s="211" t="str">
        <f>IFERROR(__xludf.DUMMYFUNCTION("""COMPUTED_VALUE"""),"Oksigen 6m3")</f>
        <v>Oksigen 6m3</v>
      </c>
      <c r="H627" s="214" t="str">
        <f>IFERROR(__xludf.DUMMYFUNCTION("""COMPUTED_VALUE"""),"OUT")</f>
        <v>OUT</v>
      </c>
      <c r="I627" s="214" t="str">
        <f>IFERROR(__xludf.DUMMYFUNCTION("""COMPUTED_VALUE"""),"NORMAL")</f>
        <v>NORMAL</v>
      </c>
      <c r="J627" s="211">
        <f>IFERROR(__xludf.DUMMYFUNCTION("""COMPUTED_VALUE"""),3.0)</f>
        <v>3</v>
      </c>
      <c r="K627" s="210" t="str">
        <f>IFERROR(__xludf.DUMMYFUNCTION("""COMPUTED_VALUE"""),"1196 1127 11112")</f>
        <v>1196 1127 11112</v>
      </c>
      <c r="L627" s="211">
        <f>IFERROR(__xludf.DUMMYFUNCTION("""COMPUTED_VALUE"""),60000.0)</f>
        <v>60000</v>
      </c>
      <c r="M627" s="211"/>
      <c r="N627" s="211"/>
      <c r="O627" s="211"/>
      <c r="Q627" s="210" t="str">
        <f>IFERROR(__xludf.DUMMYFUNCTION("""COMPUTED_VALUE"""),"03250340")</f>
        <v>03250340</v>
      </c>
      <c r="R627" s="210" t="str">
        <f>IFERROR(__xludf.DUMMYFUNCTION("""COMPUTED_VALUE"""),"03250340")</f>
        <v>03250340</v>
      </c>
      <c r="S627" s="211" t="str">
        <f>IFERROR(__xludf.DUMMYFUNCTION("""COMPUTED_VALUE"""),"8f5ebaea")</f>
        <v>8f5ebaea</v>
      </c>
      <c r="T627" s="211" t="str">
        <f>IFERROR(__xludf.DUMMYFUNCTION("""COMPUTED_VALUE"""),"PT Hua Zong Mesindo")</f>
        <v>PT Hua Zong Mesindo</v>
      </c>
      <c r="U627" s="215">
        <f>IFERROR(__xludf.DUMMYFUNCTION("""COMPUTED_VALUE"""),45736.61319444445)</f>
        <v>45736.61319</v>
      </c>
      <c r="V627" s="211" t="str">
        <f>IFERROR(__xludf.DUMMYFUNCTION("""COMPUTED_VALUE"""),"Jl. Bypass Krian, Sidotemo, Sidomulyo, Kec. Krian, Kabupaten Sidoarjo, Jawa Timur 61262")</f>
        <v>Jl. Bypass Krian, Sidotemo, Sidomulyo, Kec. Krian, Kabupaten Sidoarjo, Jawa Timur 61262</v>
      </c>
      <c r="W627" s="211" t="str">
        <f>IFERROR(__xludf.DUMMYFUNCTION("""COMPUTED_VALUE"""),"OUT")</f>
        <v>OUT</v>
      </c>
      <c r="X627" s="211"/>
      <c r="Z627" s="211" t="str">
        <f>IFERROR(__xludf.DUMMYFUNCTION("""COMPUTED_VALUE"""),"1125401722")</f>
        <v>1125401722</v>
      </c>
      <c r="AC627" s="211"/>
      <c r="AD627" s="211"/>
      <c r="AE627" s="211"/>
      <c r="AF627" s="211"/>
      <c r="AG627" s="211"/>
      <c r="AH627" s="211"/>
      <c r="AI627" s="211"/>
      <c r="AJ627" s="211"/>
      <c r="AL627" s="211"/>
      <c r="AM627" s="211"/>
      <c r="AN627" s="211"/>
      <c r="AO627" s="211"/>
      <c r="AP627" s="215"/>
      <c r="AQ627" s="218"/>
      <c r="AR627" s="211"/>
      <c r="AS627" s="211"/>
      <c r="AT627" s="211"/>
      <c r="AU627" s="211"/>
      <c r="AV627" s="211"/>
      <c r="AW627" s="211"/>
      <c r="AX627" s="211"/>
      <c r="AY627" s="211"/>
      <c r="AZ627" s="211"/>
      <c r="BB627" s="211"/>
      <c r="BC627" s="211"/>
      <c r="BD627" s="211"/>
      <c r="BE627" s="211"/>
      <c r="BF627" s="211"/>
      <c r="BG627" s="211"/>
      <c r="BH627" s="211"/>
      <c r="BI627" s="211"/>
    </row>
    <row r="628">
      <c r="A628" s="210" t="str">
        <f>IFERROR(__xludf.DUMMYFUNCTION("""COMPUTED_VALUE"""),"02250258")</f>
        <v>02250258</v>
      </c>
      <c r="B628" s="210" t="str">
        <f>IFERROR(__xludf.DUMMYFUNCTION("""COMPUTED_VALUE"""),"02250258")</f>
        <v>02250258</v>
      </c>
      <c r="C628" s="213">
        <f>IFERROR(__xludf.DUMMYFUNCTION("""COMPUTED_VALUE"""),45700.37222222222)</f>
        <v>45700.37222</v>
      </c>
      <c r="D628" s="211" t="str">
        <f>IFERROR(__xludf.DUMMYFUNCTION("""COMPUTED_VALUE"""),"4ec68cf6")</f>
        <v>4ec68cf6</v>
      </c>
      <c r="E628" s="211" t="str">
        <f>IFERROR(__xludf.DUMMYFUNCTION("""COMPUTED_VALUE"""),"CV Sido Mukti Karya")</f>
        <v>CV Sido Mukti Karya</v>
      </c>
      <c r="F628" s="211" t="str">
        <f>IFERROR(__xludf.DUMMYFUNCTION("""COMPUTED_VALUE"""),"8bdbe149")</f>
        <v>8bdbe149</v>
      </c>
      <c r="G628" s="211" t="str">
        <f>IFERROR(__xludf.DUMMYFUNCTION("""COMPUTED_VALUE"""),"Oksigen 6m3")</f>
        <v>Oksigen 6m3</v>
      </c>
      <c r="H628" s="214" t="str">
        <f>IFERROR(__xludf.DUMMYFUNCTION("""COMPUTED_VALUE"""),"OUT")</f>
        <v>OUT</v>
      </c>
      <c r="I628" s="214" t="str">
        <f>IFERROR(__xludf.DUMMYFUNCTION("""COMPUTED_VALUE"""),"NORMAL")</f>
        <v>NORMAL</v>
      </c>
      <c r="J628" s="211">
        <f>IFERROR(__xludf.DUMMYFUNCTION("""COMPUTED_VALUE"""),7.0)</f>
        <v>7</v>
      </c>
      <c r="K628" s="210" t="str">
        <f>IFERROR(__xludf.DUMMYFUNCTION("""COMPUTED_VALUE"""),"11151 11175 11191 11126 11129 11210 11104")</f>
        <v>11151 11175 11191 11126 11129 11210 11104</v>
      </c>
      <c r="L628" s="211">
        <f>IFERROR(__xludf.DUMMYFUNCTION("""COMPUTED_VALUE"""),60000.0)</f>
        <v>60000</v>
      </c>
      <c r="M628" s="211"/>
      <c r="N628" s="211"/>
      <c r="O628" s="211"/>
      <c r="Q628" s="210" t="str">
        <f>IFERROR(__xludf.DUMMYFUNCTION("""COMPUTED_VALUE"""),"32f52641")</f>
        <v>32f52641</v>
      </c>
      <c r="R628" s="210" t="str">
        <f>IFERROR(__xludf.DUMMYFUNCTION("""COMPUTED_VALUE"""),"32f52641")</f>
        <v>32f52641</v>
      </c>
      <c r="S628" s="211" t="str">
        <f>IFERROR(__xludf.DUMMYFUNCTION("""COMPUTED_VALUE"""),"2d88931c")</f>
        <v>2d88931c</v>
      </c>
      <c r="T628" s="211" t="str">
        <f>IFERROR(__xludf.DUMMYFUNCTION("""COMPUTED_VALUE"""),"PT Dunia Berkat Marga Mulya")</f>
        <v>PT Dunia Berkat Marga Mulya</v>
      </c>
      <c r="U628" s="215">
        <f>IFERROR(__xludf.DUMMYFUNCTION("""COMPUTED_VALUE"""),45737.48611111111)</f>
        <v>45737.48611</v>
      </c>
      <c r="V628" s="211" t="str">
        <f>IFERROR(__xludf.DUMMYFUNCTION("""COMPUTED_VALUE"""),"JL JABARAN, WATESARI, BALONGBENDO, SIDOARJO, JAWA TIMUR")</f>
        <v>JL JABARAN, WATESARI, BALONGBENDO, SIDOARJO, JAWA TIMUR</v>
      </c>
      <c r="W628" s="211" t="str">
        <f>IFERROR(__xludf.DUMMYFUNCTION("""COMPUTED_VALUE"""),"IN")</f>
        <v>IN</v>
      </c>
      <c r="X628" s="211"/>
      <c r="Z628" s="211" t="str">
        <f>IFERROR(__xludf.DUMMYFUNCTION("""COMPUTED_VALUE"""),"1125331721")</f>
        <v>1125331721</v>
      </c>
      <c r="AC628" s="211"/>
      <c r="AD628" s="211"/>
      <c r="AE628" s="211"/>
      <c r="AF628" s="211"/>
      <c r="AG628" s="211"/>
      <c r="AH628" s="211"/>
      <c r="AI628" s="211"/>
      <c r="AJ628" s="211"/>
      <c r="AL628" s="211"/>
      <c r="AM628" s="211"/>
      <c r="AN628" s="211"/>
      <c r="AO628" s="211"/>
      <c r="AP628" s="215"/>
      <c r="AQ628" s="218"/>
      <c r="AR628" s="211"/>
      <c r="AS628" s="211"/>
      <c r="AT628" s="211"/>
      <c r="AU628" s="211"/>
      <c r="AV628" s="211"/>
      <c r="AW628" s="211"/>
      <c r="AX628" s="211"/>
      <c r="AY628" s="211"/>
      <c r="AZ628" s="211"/>
      <c r="BB628" s="211"/>
      <c r="BC628" s="211"/>
      <c r="BD628" s="211"/>
      <c r="BE628" s="211"/>
      <c r="BF628" s="211"/>
      <c r="BG628" s="211"/>
      <c r="BH628" s="211"/>
      <c r="BI628" s="211"/>
    </row>
    <row r="629">
      <c r="A629" s="210" t="str">
        <f>IFERROR(__xludf.DUMMYFUNCTION("""COMPUTED_VALUE"""),"02250258")</f>
        <v>02250258</v>
      </c>
      <c r="B629" s="210" t="str">
        <f>IFERROR(__xludf.DUMMYFUNCTION("""COMPUTED_VALUE"""),"02250258")</f>
        <v>02250258</v>
      </c>
      <c r="C629" s="213">
        <f>IFERROR(__xludf.DUMMYFUNCTION("""COMPUTED_VALUE"""),45700.37291666667)</f>
        <v>45700.37292</v>
      </c>
      <c r="D629" s="211" t="str">
        <f>IFERROR(__xludf.DUMMYFUNCTION("""COMPUTED_VALUE"""),"4ec68cf6")</f>
        <v>4ec68cf6</v>
      </c>
      <c r="E629" s="211" t="str">
        <f>IFERROR(__xludf.DUMMYFUNCTION("""COMPUTED_VALUE"""),"CV Sido Mukti Karya")</f>
        <v>CV Sido Mukti Karya</v>
      </c>
      <c r="F629" s="211" t="str">
        <f>IFERROR(__xludf.DUMMYFUNCTION("""COMPUTED_VALUE"""),"ef306e54")</f>
        <v>ef306e54</v>
      </c>
      <c r="G629" s="211" t="str">
        <f>IFERROR(__xludf.DUMMYFUNCTION("""COMPUTED_VALUE"""),"Karbondioksida")</f>
        <v>Karbondioksida</v>
      </c>
      <c r="H629" s="214" t="str">
        <f>IFERROR(__xludf.DUMMYFUNCTION("""COMPUTED_VALUE"""),"OUT")</f>
        <v>OUT</v>
      </c>
      <c r="I629" s="214" t="str">
        <f>IFERROR(__xludf.DUMMYFUNCTION("""COMPUTED_VALUE"""),"NORMAL")</f>
        <v>NORMAL</v>
      </c>
      <c r="J629" s="211">
        <f>IFERROR(__xludf.DUMMYFUNCTION("""COMPUTED_VALUE"""),3.0)</f>
        <v>3</v>
      </c>
      <c r="K629" s="210" t="str">
        <f>IFERROR(__xludf.DUMMYFUNCTION("""COMPUTED_VALUE"""),"6609 6610 6760")</f>
        <v>6609 6610 6760</v>
      </c>
      <c r="L629" s="211">
        <f>IFERROR(__xludf.DUMMYFUNCTION("""COMPUTED_VALUE"""),170000.0)</f>
        <v>170000</v>
      </c>
      <c r="M629" s="211"/>
      <c r="N629" s="211"/>
      <c r="O629" s="211"/>
      <c r="Q629" s="210" t="str">
        <f>IFERROR(__xludf.DUMMYFUNCTION("""COMPUTED_VALUE"""),"03250341")</f>
        <v>03250341</v>
      </c>
      <c r="R629" s="210" t="str">
        <f>IFERROR(__xludf.DUMMYFUNCTION("""COMPUTED_VALUE"""),"03250341")</f>
        <v>03250341</v>
      </c>
      <c r="S629" s="211" t="str">
        <f>IFERROR(__xludf.DUMMYFUNCTION("""COMPUTED_VALUE"""),"103f3ae7")</f>
        <v>103f3ae7</v>
      </c>
      <c r="T629" s="211" t="str">
        <f>IFERROR(__xludf.DUMMYFUNCTION("""COMPUTED_VALUE"""),"PT ARYANA CAKASANA")</f>
        <v>PT ARYANA CAKASANA</v>
      </c>
      <c r="U629" s="215">
        <f>IFERROR(__xludf.DUMMYFUNCTION("""COMPUTED_VALUE"""),45740.33888888889)</f>
        <v>45740.33889</v>
      </c>
      <c r="V629" s="211" t="str">
        <f>IFERROR(__xludf.DUMMYFUNCTION("""COMPUTED_VALUE"""),"Jl Raya Tarik No. 45, Wonokupang, Bakalan, Balongbendo")</f>
        <v>Jl Raya Tarik No. 45, Wonokupang, Bakalan, Balongbendo</v>
      </c>
      <c r="W629" s="211" t="str">
        <f>IFERROR(__xludf.DUMMYFUNCTION("""COMPUTED_VALUE"""),"OUT")</f>
        <v>OUT</v>
      </c>
      <c r="X629" s="211"/>
      <c r="Z629" s="211" t="str">
        <f>IFERROR(__xludf.DUMMYFUNCTION("""COMPUTED_VALUE"""),"1125691720")</f>
        <v>1125691720</v>
      </c>
      <c r="AC629" s="211"/>
      <c r="AD629" s="211"/>
      <c r="AE629" s="211"/>
      <c r="AF629" s="211"/>
      <c r="AG629" s="211"/>
      <c r="AH629" s="211"/>
      <c r="AI629" s="211"/>
      <c r="AJ629" s="211"/>
      <c r="AL629" s="211"/>
      <c r="AM629" s="211"/>
      <c r="AN629" s="211"/>
      <c r="AO629" s="211"/>
      <c r="AP629" s="215"/>
      <c r="AQ629" s="218"/>
      <c r="AR629" s="211"/>
      <c r="AS629" s="211"/>
      <c r="AT629" s="211"/>
      <c r="AU629" s="211"/>
      <c r="AV629" s="211"/>
      <c r="AW629" s="211"/>
      <c r="AX629" s="211"/>
      <c r="AY629" s="211"/>
      <c r="AZ629" s="211"/>
      <c r="BB629" s="211"/>
      <c r="BC629" s="211"/>
      <c r="BD629" s="211"/>
      <c r="BE629" s="211"/>
      <c r="BF629" s="211"/>
      <c r="BG629" s="211"/>
      <c r="BH629" s="211"/>
      <c r="BI629" s="211"/>
    </row>
    <row r="630">
      <c r="A630" s="210" t="str">
        <f>IFERROR(__xludf.DUMMYFUNCTION("""COMPUTED_VALUE"""),"e4821033")</f>
        <v>e4821033</v>
      </c>
      <c r="B630" s="210" t="str">
        <f>IFERROR(__xludf.DUMMYFUNCTION("""COMPUTED_VALUE"""),"e4821033")</f>
        <v>e4821033</v>
      </c>
      <c r="C630" s="213">
        <f>IFERROR(__xludf.DUMMYFUNCTION("""COMPUTED_VALUE"""),45700.48541666667)</f>
        <v>45700.48542</v>
      </c>
      <c r="D630" s="211" t="str">
        <f>IFERROR(__xludf.DUMMYFUNCTION("""COMPUTED_VALUE"""),"4ec68cf6")</f>
        <v>4ec68cf6</v>
      </c>
      <c r="E630" s="211" t="str">
        <f>IFERROR(__xludf.DUMMYFUNCTION("""COMPUTED_VALUE"""),"CV Sido Mukti Karya")</f>
        <v>CV Sido Mukti Karya</v>
      </c>
      <c r="F630" s="211" t="str">
        <f>IFERROR(__xludf.DUMMYFUNCTION("""COMPUTED_VALUE"""),"8bdbe149")</f>
        <v>8bdbe149</v>
      </c>
      <c r="G630" s="211" t="str">
        <f>IFERROR(__xludf.DUMMYFUNCTION("""COMPUTED_VALUE"""),"Oksigen 6m3")</f>
        <v>Oksigen 6m3</v>
      </c>
      <c r="H630" s="214" t="str">
        <f>IFERROR(__xludf.DUMMYFUNCTION("""COMPUTED_VALUE"""),"IN")</f>
        <v>IN</v>
      </c>
      <c r="I630" s="214" t="str">
        <f>IFERROR(__xludf.DUMMYFUNCTION("""COMPUTED_VALUE"""),"EMPTY")</f>
        <v>EMPTY</v>
      </c>
      <c r="J630" s="211">
        <f>IFERROR(__xludf.DUMMYFUNCTION("""COMPUTED_VALUE"""),2.0)</f>
        <v>2</v>
      </c>
      <c r="K630" s="210" t="str">
        <f>IFERROR(__xludf.DUMMYFUNCTION("""COMPUTED_VALUE"""),"11133 11134")</f>
        <v>11133 11134</v>
      </c>
      <c r="L630" s="211"/>
      <c r="M630" s="211"/>
      <c r="N630" s="211"/>
      <c r="O630" s="211"/>
      <c r="Q630" s="210" t="str">
        <f>IFERROR(__xludf.DUMMYFUNCTION("""COMPUTED_VALUE"""),"ae2fce97")</f>
        <v>ae2fce97</v>
      </c>
      <c r="R630" s="210" t="str">
        <f>IFERROR(__xludf.DUMMYFUNCTION("""COMPUTED_VALUE"""),"ae2fce97")</f>
        <v>ae2fce97</v>
      </c>
      <c r="S630" s="211" t="str">
        <f>IFERROR(__xludf.DUMMYFUNCTION("""COMPUTED_VALUE"""),"785e0e07")</f>
        <v>785e0e07</v>
      </c>
      <c r="T630" s="211" t="str">
        <f>IFERROR(__xludf.DUMMYFUNCTION("""COMPUTED_VALUE"""),"Bpk. Sukirno (Bejo)")</f>
        <v>Bpk. Sukirno (Bejo)</v>
      </c>
      <c r="U630" s="215">
        <f>IFERROR(__xludf.DUMMYFUNCTION("""COMPUTED_VALUE"""),45738.57430555555)</f>
        <v>45738.57431</v>
      </c>
      <c r="V630" s="211" t="str">
        <f>IFERROR(__xludf.DUMMYFUNCTION("""COMPUTED_VALUE"""),"Krajan I, Wringinanom, Kec. Wringinanom, Kabupaten Gresik, Jawa Timur 61176")</f>
        <v>Krajan I, Wringinanom, Kec. Wringinanom, Kabupaten Gresik, Jawa Timur 61176</v>
      </c>
      <c r="W630" s="211" t="str">
        <f>IFERROR(__xludf.DUMMYFUNCTION("""COMPUTED_VALUE"""),"IN")</f>
        <v>IN</v>
      </c>
      <c r="X630" s="211"/>
      <c r="Z630" s="211" t="str">
        <f>IFERROR(__xludf.DUMMYFUNCTION("""COMPUTED_VALUE"""),"112571718")</f>
        <v>112571718</v>
      </c>
      <c r="AC630" s="211"/>
      <c r="AD630" s="211"/>
      <c r="AE630" s="211"/>
      <c r="AF630" s="211"/>
      <c r="AG630" s="211"/>
      <c r="AH630" s="211"/>
      <c r="AI630" s="211"/>
      <c r="AJ630" s="211"/>
      <c r="AL630" s="211"/>
      <c r="AM630" s="211"/>
      <c r="AN630" s="211"/>
      <c r="AO630" s="211"/>
      <c r="AP630" s="215"/>
      <c r="AQ630" s="218"/>
      <c r="AR630" s="211"/>
      <c r="AS630" s="211"/>
      <c r="AT630" s="211"/>
      <c r="AU630" s="211"/>
      <c r="AV630" s="211"/>
      <c r="AW630" s="211"/>
      <c r="AX630" s="211"/>
      <c r="AY630" s="211"/>
      <c r="AZ630" s="211"/>
      <c r="BB630" s="211"/>
      <c r="BC630" s="211"/>
      <c r="BD630" s="211"/>
      <c r="BE630" s="211"/>
      <c r="BF630" s="211"/>
      <c r="BG630" s="211"/>
      <c r="BH630" s="211"/>
      <c r="BI630" s="211"/>
    </row>
    <row r="631">
      <c r="A631" s="210" t="str">
        <f>IFERROR(__xludf.DUMMYFUNCTION("""COMPUTED_VALUE"""),"e4821033")</f>
        <v>e4821033</v>
      </c>
      <c r="B631" s="210" t="str">
        <f>IFERROR(__xludf.DUMMYFUNCTION("""COMPUTED_VALUE"""),"e4821033")</f>
        <v>e4821033</v>
      </c>
      <c r="C631" s="213">
        <f>IFERROR(__xludf.DUMMYFUNCTION("""COMPUTED_VALUE"""),45700.486805555556)</f>
        <v>45700.48681</v>
      </c>
      <c r="D631" s="211" t="str">
        <f>IFERROR(__xludf.DUMMYFUNCTION("""COMPUTED_VALUE"""),"4ec68cf6")</f>
        <v>4ec68cf6</v>
      </c>
      <c r="E631" s="211" t="str">
        <f>IFERROR(__xludf.DUMMYFUNCTION("""COMPUTED_VALUE"""),"CV Sido Mukti Karya")</f>
        <v>CV Sido Mukti Karya</v>
      </c>
      <c r="F631" s="211" t="str">
        <f>IFERROR(__xludf.DUMMYFUNCTION("""COMPUTED_VALUE"""),"ef306e54")</f>
        <v>ef306e54</v>
      </c>
      <c r="G631" s="211" t="str">
        <f>IFERROR(__xludf.DUMMYFUNCTION("""COMPUTED_VALUE"""),"Karbondioksida")</f>
        <v>Karbondioksida</v>
      </c>
      <c r="H631" s="214" t="str">
        <f>IFERROR(__xludf.DUMMYFUNCTION("""COMPUTED_VALUE"""),"IN")</f>
        <v>IN</v>
      </c>
      <c r="I631" s="214" t="str">
        <f>IFERROR(__xludf.DUMMYFUNCTION("""COMPUTED_VALUE"""),"EMPTY")</f>
        <v>EMPTY</v>
      </c>
      <c r="J631" s="211">
        <f>IFERROR(__xludf.DUMMYFUNCTION("""COMPUTED_VALUE"""),1.0)</f>
        <v>1</v>
      </c>
      <c r="K631" s="210" t="str">
        <f>IFERROR(__xludf.DUMMYFUNCTION("""COMPUTED_VALUE"""),"6900")</f>
        <v>6900</v>
      </c>
      <c r="L631" s="211"/>
      <c r="M631" s="211"/>
      <c r="N631" s="211"/>
      <c r="O631" s="211"/>
      <c r="Q631" s="210" t="str">
        <f>IFERROR(__xludf.DUMMYFUNCTION("""COMPUTED_VALUE"""),"03250342")</f>
        <v>03250342</v>
      </c>
      <c r="R631" s="210" t="str">
        <f>IFERROR(__xludf.DUMMYFUNCTION("""COMPUTED_VALUE"""),"03250342")</f>
        <v>03250342</v>
      </c>
      <c r="S631" s="211" t="str">
        <f>IFERROR(__xludf.DUMMYFUNCTION("""COMPUTED_VALUE"""),"785e0e07")</f>
        <v>785e0e07</v>
      </c>
      <c r="T631" s="211" t="str">
        <f>IFERROR(__xludf.DUMMYFUNCTION("""COMPUTED_VALUE"""),"Bpk. Sukirno (Bejo)")</f>
        <v>Bpk. Sukirno (Bejo)</v>
      </c>
      <c r="U631" s="215">
        <f>IFERROR(__xludf.DUMMYFUNCTION("""COMPUTED_VALUE"""),45740.37777777778)</f>
        <v>45740.37778</v>
      </c>
      <c r="V631" s="211" t="str">
        <f>IFERROR(__xludf.DUMMYFUNCTION("""COMPUTED_VALUE"""),"Krajan I, Wringinanom, Kec. Wringinanom, Kabupaten Gresik, Jawa Timur 61176")</f>
        <v>Krajan I, Wringinanom, Kec. Wringinanom, Kabupaten Gresik, Jawa Timur 61176</v>
      </c>
      <c r="W631" s="211" t="str">
        <f>IFERROR(__xludf.DUMMYFUNCTION("""COMPUTED_VALUE"""),"OUT")</f>
        <v>OUT</v>
      </c>
      <c r="X631" s="211"/>
      <c r="Z631" s="211" t="str">
        <f>IFERROR(__xludf.DUMMYFUNCTION("""COMPUTED_VALUE"""),"112511711")</f>
        <v>112511711</v>
      </c>
      <c r="AC631" s="211"/>
      <c r="AD631" s="211"/>
      <c r="AE631" s="211"/>
      <c r="AF631" s="211"/>
      <c r="AG631" s="211"/>
      <c r="AH631" s="211"/>
      <c r="AI631" s="211"/>
      <c r="AJ631" s="211"/>
      <c r="AL631" s="211"/>
      <c r="AM631" s="211"/>
      <c r="AN631" s="211"/>
      <c r="AO631" s="211"/>
      <c r="AP631" s="215"/>
      <c r="AQ631" s="218"/>
      <c r="AR631" s="211"/>
      <c r="AS631" s="211"/>
      <c r="AT631" s="211"/>
      <c r="AU631" s="211"/>
      <c r="AV631" s="211"/>
      <c r="AW631" s="211"/>
      <c r="AX631" s="211"/>
      <c r="AY631" s="211"/>
      <c r="AZ631" s="211"/>
      <c r="BB631" s="211"/>
      <c r="BC631" s="211"/>
      <c r="BD631" s="211"/>
      <c r="BE631" s="211"/>
      <c r="BF631" s="211"/>
      <c r="BG631" s="211"/>
      <c r="BH631" s="211"/>
      <c r="BI631" s="211"/>
    </row>
    <row r="632">
      <c r="A632" s="210" t="str">
        <f>IFERROR(__xludf.DUMMYFUNCTION("""COMPUTED_VALUE"""),"96f13925")</f>
        <v>96f13925</v>
      </c>
      <c r="B632" s="210" t="str">
        <f>IFERROR(__xludf.DUMMYFUNCTION("""COMPUTED_VALUE"""),"96f13925")</f>
        <v>96f13925</v>
      </c>
      <c r="C632" s="213">
        <f>IFERROR(__xludf.DUMMYFUNCTION("""COMPUTED_VALUE"""),45700.490277777775)</f>
        <v>45700.49028</v>
      </c>
      <c r="D632" s="211" t="str">
        <f>IFERROR(__xludf.DUMMYFUNCTION("""COMPUTED_VALUE"""),"7b9d8eba")</f>
        <v>7b9d8eba</v>
      </c>
      <c r="E632" s="211" t="str">
        <f>IFERROR(__xludf.DUMMYFUNCTION("""COMPUTED_VALUE"""),"PT PELANGI INDOKARYA")</f>
        <v>PT PELANGI INDOKARYA</v>
      </c>
      <c r="F632" s="211" t="str">
        <f>IFERROR(__xludf.DUMMYFUNCTION("""COMPUTED_VALUE"""),"8bdbe149")</f>
        <v>8bdbe149</v>
      </c>
      <c r="G632" s="211" t="str">
        <f>IFERROR(__xludf.DUMMYFUNCTION("""COMPUTED_VALUE"""),"Oksigen 6m3")</f>
        <v>Oksigen 6m3</v>
      </c>
      <c r="H632" s="214" t="str">
        <f>IFERROR(__xludf.DUMMYFUNCTION("""COMPUTED_VALUE"""),"IN")</f>
        <v>IN</v>
      </c>
      <c r="I632" s="214" t="str">
        <f>IFERROR(__xludf.DUMMYFUNCTION("""COMPUTED_VALUE"""),"EMPTY")</f>
        <v>EMPTY</v>
      </c>
      <c r="J632" s="211">
        <f>IFERROR(__xludf.DUMMYFUNCTION("""COMPUTED_VALUE"""),2.0)</f>
        <v>2</v>
      </c>
      <c r="K632" s="210" t="str">
        <f>IFERROR(__xludf.DUMMYFUNCTION("""COMPUTED_VALUE"""),"1157 1160")</f>
        <v>1157 1160</v>
      </c>
      <c r="L632" s="211"/>
      <c r="M632" s="211"/>
      <c r="N632" s="211"/>
      <c r="O632" s="211"/>
      <c r="Q632" s="210" t="str">
        <f>IFERROR(__xludf.DUMMYFUNCTION("""COMPUTED_VALUE"""),"a0361dc0")</f>
        <v>a0361dc0</v>
      </c>
      <c r="R632" s="210" t="str">
        <f>IFERROR(__xludf.DUMMYFUNCTION("""COMPUTED_VALUE"""),"a0361dc0")</f>
        <v>a0361dc0</v>
      </c>
      <c r="S632" s="211" t="str">
        <f>IFERROR(__xludf.DUMMYFUNCTION("""COMPUTED_VALUE"""),"5f23ba17")</f>
        <v>5f23ba17</v>
      </c>
      <c r="T632" s="211" t="str">
        <f>IFERROR(__xludf.DUMMYFUNCTION("""COMPUTED_VALUE"""),"Bpk. Joko (Gresik)")</f>
        <v>Bpk. Joko (Gresik)</v>
      </c>
      <c r="U632" s="215">
        <f>IFERROR(__xludf.DUMMYFUNCTION("""COMPUTED_VALUE"""),45740.49444444444)</f>
        <v>45740.49444</v>
      </c>
      <c r="V632" s="211" t="str">
        <f>IFERROR(__xludf.DUMMYFUNCTION("""COMPUTED_VALUE"""),"Tanggungan, Lebaniwaras, Kec. Wringinanom, Kabupaten Gresik, Jawa Timur")</f>
        <v>Tanggungan, Lebaniwaras, Kec. Wringinanom, Kabupaten Gresik, Jawa Timur</v>
      </c>
      <c r="W632" s="211" t="str">
        <f>IFERROR(__xludf.DUMMYFUNCTION("""COMPUTED_VALUE"""),"IN")</f>
        <v>IN</v>
      </c>
      <c r="X632" s="211"/>
      <c r="Z632" s="211" t="str">
        <f>IFERROR(__xludf.DUMMYFUNCTION("""COMPUTED_VALUE"""),"1125321715")</f>
        <v>1125321715</v>
      </c>
      <c r="AC632" s="211"/>
      <c r="AD632" s="211"/>
      <c r="AE632" s="211"/>
      <c r="AF632" s="211"/>
      <c r="AG632" s="211"/>
      <c r="AH632" s="211"/>
      <c r="AI632" s="211"/>
      <c r="AJ632" s="211"/>
      <c r="AL632" s="211"/>
      <c r="AM632" s="211"/>
      <c r="AN632" s="211"/>
      <c r="AO632" s="211"/>
      <c r="AP632" s="215"/>
      <c r="AQ632" s="218"/>
      <c r="AR632" s="211"/>
      <c r="AS632" s="211"/>
      <c r="AT632" s="211"/>
      <c r="AU632" s="211"/>
      <c r="AV632" s="211"/>
      <c r="AW632" s="211"/>
      <c r="AX632" s="211"/>
      <c r="AY632" s="211"/>
      <c r="AZ632" s="211"/>
      <c r="BB632" s="211"/>
      <c r="BC632" s="211"/>
      <c r="BD632" s="211"/>
      <c r="BE632" s="211"/>
      <c r="BF632" s="211"/>
      <c r="BG632" s="211"/>
      <c r="BH632" s="211"/>
      <c r="BI632" s="211"/>
    </row>
    <row r="633">
      <c r="A633" s="210" t="str">
        <f>IFERROR(__xludf.DUMMYFUNCTION("""COMPUTED_VALUE"""),"a74b304d")</f>
        <v>a74b304d</v>
      </c>
      <c r="B633" s="210" t="str">
        <f>IFERROR(__xludf.DUMMYFUNCTION("""COMPUTED_VALUE"""),"a74b304d")</f>
        <v>a74b304d</v>
      </c>
      <c r="C633" s="213">
        <f>IFERROR(__xludf.DUMMYFUNCTION("""COMPUTED_VALUE"""),45700.490277777775)</f>
        <v>45700.49028</v>
      </c>
      <c r="D633" s="211" t="str">
        <f>IFERROR(__xludf.DUMMYFUNCTION("""COMPUTED_VALUE"""),"f01dab70")</f>
        <v>f01dab70</v>
      </c>
      <c r="E633" s="211" t="str">
        <f>IFERROR(__xludf.DUMMYFUNCTION("""COMPUTED_VALUE"""),"Bpk. Yudi")</f>
        <v>Bpk. Yudi</v>
      </c>
      <c r="F633" s="211" t="str">
        <f>IFERROR(__xludf.DUMMYFUNCTION("""COMPUTED_VALUE"""),"66af7c72")</f>
        <v>66af7c72</v>
      </c>
      <c r="G633" s="211" t="str">
        <f>IFERROR(__xludf.DUMMYFUNCTION("""COMPUTED_VALUE"""),"Argon 6m3")</f>
        <v>Argon 6m3</v>
      </c>
      <c r="H633" s="214" t="str">
        <f>IFERROR(__xludf.DUMMYFUNCTION("""COMPUTED_VALUE"""),"IN")</f>
        <v>IN</v>
      </c>
      <c r="I633" s="214" t="str">
        <f>IFERROR(__xludf.DUMMYFUNCTION("""COMPUTED_VALUE"""),"EMPTY")</f>
        <v>EMPTY</v>
      </c>
      <c r="J633" s="211">
        <f>IFERROR(__xludf.DUMMYFUNCTION("""COMPUTED_VALUE"""),1.0)</f>
        <v>1</v>
      </c>
      <c r="K633" s="210" t="str">
        <f>IFERROR(__xludf.DUMMYFUNCTION("""COMPUTED_VALUE"""),"12009")</f>
        <v>12009</v>
      </c>
      <c r="L633" s="211"/>
      <c r="M633" s="211"/>
      <c r="N633" s="211"/>
      <c r="O633" s="211"/>
      <c r="Q633" s="210" t="str">
        <f>IFERROR(__xludf.DUMMYFUNCTION("""COMPUTED_VALUE"""),"61c6eb5f")</f>
        <v>61c6eb5f</v>
      </c>
      <c r="R633" s="210" t="str">
        <f>IFERROR(__xludf.DUMMYFUNCTION("""COMPUTED_VALUE"""),"61c6eb5f")</f>
        <v>61c6eb5f</v>
      </c>
      <c r="S633" s="211" t="str">
        <f>IFERROR(__xludf.DUMMYFUNCTION("""COMPUTED_VALUE"""),"785e0e07")</f>
        <v>785e0e07</v>
      </c>
      <c r="T633" s="211" t="str">
        <f>IFERROR(__xludf.DUMMYFUNCTION("""COMPUTED_VALUE"""),"Bpk. Sukirno (Bejo)")</f>
        <v>Bpk. Sukirno (Bejo)</v>
      </c>
      <c r="U633" s="215">
        <f>IFERROR(__xludf.DUMMYFUNCTION("""COMPUTED_VALUE"""),45740.49513888889)</f>
        <v>45740.49514</v>
      </c>
      <c r="V633" s="211" t="str">
        <f>IFERROR(__xludf.DUMMYFUNCTION("""COMPUTED_VALUE"""),"Krajan I, Wringinanom, Kec. Wringinanom, Kabupaten Gresik, Jawa Timur 61176")</f>
        <v>Krajan I, Wringinanom, Kec. Wringinanom, Kabupaten Gresik, Jawa Timur 61176</v>
      </c>
      <c r="W633" s="211" t="str">
        <f>IFERROR(__xludf.DUMMYFUNCTION("""COMPUTED_VALUE"""),"IN")</f>
        <v>IN</v>
      </c>
      <c r="X633" s="211"/>
      <c r="Z633" s="211" t="str">
        <f>IFERROR(__xludf.DUMMYFUNCTION("""COMPUTED_VALUE"""),"112551711")</f>
        <v>112551711</v>
      </c>
      <c r="AC633" s="211"/>
      <c r="AD633" s="211"/>
      <c r="AE633" s="211"/>
      <c r="AF633" s="211"/>
      <c r="AG633" s="211"/>
      <c r="AH633" s="211"/>
      <c r="AI633" s="211"/>
      <c r="AJ633" s="211"/>
      <c r="AL633" s="211"/>
      <c r="AM633" s="211"/>
      <c r="AN633" s="211"/>
      <c r="AO633" s="211"/>
      <c r="AP633" s="215"/>
      <c r="AQ633" s="218"/>
      <c r="AR633" s="211"/>
      <c r="AS633" s="211"/>
      <c r="AT633" s="211"/>
      <c r="AU633" s="211"/>
      <c r="AV633" s="211"/>
      <c r="AW633" s="211"/>
      <c r="AX633" s="211"/>
      <c r="AY633" s="211"/>
      <c r="AZ633" s="211"/>
      <c r="BB633" s="211"/>
      <c r="BC633" s="211"/>
      <c r="BD633" s="211"/>
      <c r="BE633" s="211"/>
      <c r="BF633" s="211"/>
      <c r="BG633" s="211"/>
      <c r="BH633" s="211"/>
      <c r="BI633" s="211"/>
    </row>
    <row r="634">
      <c r="A634" s="210" t="str">
        <f>IFERROR(__xludf.DUMMYFUNCTION("""COMPUTED_VALUE"""),"767f7e9e")</f>
        <v>767f7e9e</v>
      </c>
      <c r="B634" s="210" t="str">
        <f>IFERROR(__xludf.DUMMYFUNCTION("""COMPUTED_VALUE"""),"767f7e9e")</f>
        <v>767f7e9e</v>
      </c>
      <c r="C634" s="213">
        <f>IFERROR(__xludf.DUMMYFUNCTION("""COMPUTED_VALUE"""),45699.49166666667)</f>
        <v>45699.49167</v>
      </c>
      <c r="D634" s="211" t="str">
        <f>IFERROR(__xludf.DUMMYFUNCTION("""COMPUTED_VALUE"""),"8f5ebaea")</f>
        <v>8f5ebaea</v>
      </c>
      <c r="E634" s="211" t="str">
        <f>IFERROR(__xludf.DUMMYFUNCTION("""COMPUTED_VALUE"""),"PT Hua Zong Mesindo")</f>
        <v>PT Hua Zong Mesindo</v>
      </c>
      <c r="F634" s="211" t="str">
        <f>IFERROR(__xludf.DUMMYFUNCTION("""COMPUTED_VALUE"""),"8bdbe149")</f>
        <v>8bdbe149</v>
      </c>
      <c r="G634" s="211" t="str">
        <f>IFERROR(__xludf.DUMMYFUNCTION("""COMPUTED_VALUE"""),"Oksigen 6m3")</f>
        <v>Oksigen 6m3</v>
      </c>
      <c r="H634" s="214" t="str">
        <f>IFERROR(__xludf.DUMMYFUNCTION("""COMPUTED_VALUE"""),"IN")</f>
        <v>IN</v>
      </c>
      <c r="I634" s="214" t="str">
        <f>IFERROR(__xludf.DUMMYFUNCTION("""COMPUTED_VALUE"""),"EMPTY")</f>
        <v>EMPTY</v>
      </c>
      <c r="J634" s="211">
        <f>IFERROR(__xludf.DUMMYFUNCTION("""COMPUTED_VALUE"""),5.0)</f>
        <v>5</v>
      </c>
      <c r="K634" s="210" t="str">
        <f>IFERROR(__xludf.DUMMYFUNCTION("""COMPUTED_VALUE"""),"11104 1140 1112 11126 11125")</f>
        <v>11104 1140 1112 11126 11125</v>
      </c>
      <c r="L634" s="211"/>
      <c r="M634" s="211"/>
      <c r="N634" s="211"/>
      <c r="O634" s="211"/>
      <c r="Q634" s="210" t="str">
        <f>IFERROR(__xludf.DUMMYFUNCTION("""COMPUTED_VALUE"""),"29d571d9")</f>
        <v>29d571d9</v>
      </c>
      <c r="R634" s="210" t="str">
        <f>IFERROR(__xludf.DUMMYFUNCTION("""COMPUTED_VALUE"""),"29d571d9")</f>
        <v>29d571d9</v>
      </c>
      <c r="S634" s="211" t="str">
        <f>IFERROR(__xludf.DUMMYFUNCTION("""COMPUTED_VALUE"""),"e86baf3b")</f>
        <v>e86baf3b</v>
      </c>
      <c r="T634" s="211" t="str">
        <f>IFERROR(__xludf.DUMMYFUNCTION("""COMPUTED_VALUE"""),"PT GEMILANG CIPTA WAWASAN")</f>
        <v>PT GEMILANG CIPTA WAWASAN</v>
      </c>
      <c r="U634" s="215">
        <f>IFERROR(__xludf.DUMMYFUNCTION("""COMPUTED_VALUE"""),45741.65069444444)</f>
        <v>45741.65069</v>
      </c>
      <c r="V634" s="211" t="str">
        <f>IFERROR(__xludf.DUMMYFUNCTION("""COMPUTED_VALUE"""),"JL TEBET RAYA, 2A, TEBET BARAT, TEBET, KOTA ADM, JAKARTA SELATAN, DKI JAKARTA")</f>
        <v>JL TEBET RAYA, 2A, TEBET BARAT, TEBET, KOTA ADM, JAKARTA SELATAN, DKI JAKARTA</v>
      </c>
      <c r="W634" s="211" t="str">
        <f>IFERROR(__xludf.DUMMYFUNCTION("""COMPUTED_VALUE"""),"IN")</f>
        <v>IN</v>
      </c>
      <c r="X634" s="211"/>
      <c r="Z634" s="211" t="str">
        <f>IFERROR(__xludf.DUMMYFUNCTION("""COMPUTED_VALUE"""),"1125221710")</f>
        <v>1125221710</v>
      </c>
      <c r="AC634" s="211"/>
      <c r="AD634" s="211"/>
      <c r="AE634" s="211"/>
      <c r="AF634" s="211"/>
      <c r="AG634" s="211"/>
      <c r="AH634" s="211"/>
      <c r="AI634" s="211"/>
      <c r="AJ634" s="211"/>
      <c r="AL634" s="211"/>
      <c r="AM634" s="211"/>
      <c r="AN634" s="211"/>
      <c r="AO634" s="211"/>
      <c r="AP634" s="215"/>
      <c r="AQ634" s="218"/>
      <c r="AR634" s="211"/>
      <c r="AS634" s="211"/>
      <c r="AT634" s="211"/>
      <c r="AU634" s="211"/>
      <c r="AV634" s="211"/>
      <c r="AW634" s="211"/>
      <c r="AX634" s="211"/>
      <c r="AY634" s="211"/>
      <c r="AZ634" s="211"/>
      <c r="BB634" s="211"/>
      <c r="BC634" s="211"/>
      <c r="BD634" s="211"/>
      <c r="BE634" s="211"/>
      <c r="BF634" s="211"/>
      <c r="BG634" s="211"/>
      <c r="BH634" s="211"/>
      <c r="BI634" s="211"/>
    </row>
    <row r="635">
      <c r="A635" s="210" t="str">
        <f>IFERROR(__xludf.DUMMYFUNCTION("""COMPUTED_VALUE"""),"748164dd")</f>
        <v>748164dd</v>
      </c>
      <c r="B635" s="210" t="str">
        <f>IFERROR(__xludf.DUMMYFUNCTION("""COMPUTED_VALUE"""),"748164dd")</f>
        <v>748164dd</v>
      </c>
      <c r="C635" s="213">
        <f>IFERROR(__xludf.DUMMYFUNCTION("""COMPUTED_VALUE"""),45699.49236111111)</f>
        <v>45699.49236</v>
      </c>
      <c r="D635" s="211" t="str">
        <f>IFERROR(__xludf.DUMMYFUNCTION("""COMPUTED_VALUE"""),"4ec68cf6")</f>
        <v>4ec68cf6</v>
      </c>
      <c r="E635" s="211" t="str">
        <f>IFERROR(__xludf.DUMMYFUNCTION("""COMPUTED_VALUE"""),"CV Sido Mukti Karya")</f>
        <v>CV Sido Mukti Karya</v>
      </c>
      <c r="F635" s="211" t="str">
        <f>IFERROR(__xludf.DUMMYFUNCTION("""COMPUTED_VALUE"""),"8bdbe149")</f>
        <v>8bdbe149</v>
      </c>
      <c r="G635" s="211" t="str">
        <f>IFERROR(__xludf.DUMMYFUNCTION("""COMPUTED_VALUE"""),"Oksigen 6m3")</f>
        <v>Oksigen 6m3</v>
      </c>
      <c r="H635" s="214" t="str">
        <f>IFERROR(__xludf.DUMMYFUNCTION("""COMPUTED_VALUE"""),"IN")</f>
        <v>IN</v>
      </c>
      <c r="I635" s="214" t="str">
        <f>IFERROR(__xludf.DUMMYFUNCTION("""COMPUTED_VALUE"""),"EMPTY")</f>
        <v>EMPTY</v>
      </c>
      <c r="J635" s="211">
        <f>IFERROR(__xludf.DUMMYFUNCTION("""COMPUTED_VALUE"""),2.0)</f>
        <v>2</v>
      </c>
      <c r="K635" s="210" t="str">
        <f>IFERROR(__xludf.DUMMYFUNCTION("""COMPUTED_VALUE"""),"11191 11129")</f>
        <v>11191 11129</v>
      </c>
      <c r="L635" s="211"/>
      <c r="M635" s="211"/>
      <c r="N635" s="211"/>
      <c r="O635" s="211"/>
      <c r="Q635" s="210" t="str">
        <f>IFERROR(__xludf.DUMMYFUNCTION("""COMPUTED_VALUE"""),"03250344")</f>
        <v>03250344</v>
      </c>
      <c r="R635" s="210" t="str">
        <f>IFERROR(__xludf.DUMMYFUNCTION("""COMPUTED_VALUE"""),"03250344")</f>
        <v>03250344</v>
      </c>
      <c r="S635" s="211" t="str">
        <f>IFERROR(__xludf.DUMMYFUNCTION("""COMPUTED_VALUE"""),"5f23ba17")</f>
        <v>5f23ba17</v>
      </c>
      <c r="T635" s="211" t="str">
        <f>IFERROR(__xludf.DUMMYFUNCTION("""COMPUTED_VALUE"""),"Bpk. Joko (Gresik)")</f>
        <v>Bpk. Joko (Gresik)</v>
      </c>
      <c r="U635" s="215">
        <f>IFERROR(__xludf.DUMMYFUNCTION("""COMPUTED_VALUE"""),45742.399305555555)</f>
        <v>45742.39931</v>
      </c>
      <c r="V635" s="211" t="str">
        <f>IFERROR(__xludf.DUMMYFUNCTION("""COMPUTED_VALUE"""),"Tanggungan, Lebaniwaras, Kec. Wringinanom, Kabupaten Gresik, Jawa Timur")</f>
        <v>Tanggungan, Lebaniwaras, Kec. Wringinanom, Kabupaten Gresik, Jawa Timur</v>
      </c>
      <c r="W635" s="211" t="str">
        <f>IFERROR(__xludf.DUMMYFUNCTION("""COMPUTED_VALUE"""),"OUT")</f>
        <v>OUT</v>
      </c>
      <c r="X635" s="211"/>
      <c r="Z635" s="211" t="str">
        <f>IFERROR(__xludf.DUMMYFUNCTION("""COMPUTED_VALUE"""),"112541709")</f>
        <v>112541709</v>
      </c>
      <c r="AC635" s="211"/>
      <c r="AD635" s="211"/>
      <c r="AE635" s="211"/>
      <c r="AF635" s="211"/>
      <c r="AG635" s="211"/>
      <c r="AH635" s="211"/>
      <c r="AI635" s="211"/>
      <c r="AJ635" s="211"/>
      <c r="AL635" s="211"/>
      <c r="AM635" s="211"/>
      <c r="AN635" s="211"/>
      <c r="AO635" s="211"/>
      <c r="AP635" s="215"/>
      <c r="AQ635" s="218"/>
      <c r="AR635" s="211"/>
      <c r="AS635" s="211"/>
      <c r="AT635" s="211"/>
      <c r="AU635" s="211"/>
      <c r="AV635" s="211"/>
      <c r="AW635" s="211"/>
      <c r="AX635" s="211"/>
      <c r="AY635" s="211"/>
      <c r="AZ635" s="211"/>
      <c r="BB635" s="211"/>
      <c r="BC635" s="211"/>
      <c r="BD635" s="211"/>
      <c r="BE635" s="211"/>
      <c r="BF635" s="211"/>
      <c r="BG635" s="211"/>
      <c r="BH635" s="211"/>
      <c r="BI635" s="211"/>
    </row>
    <row r="636">
      <c r="A636" s="210" t="str">
        <f>IFERROR(__xludf.DUMMYFUNCTION("""COMPUTED_VALUE"""),"748164dd")</f>
        <v>748164dd</v>
      </c>
      <c r="B636" s="210" t="str">
        <f>IFERROR(__xludf.DUMMYFUNCTION("""COMPUTED_VALUE"""),"748164dd")</f>
        <v>748164dd</v>
      </c>
      <c r="C636" s="213">
        <f>IFERROR(__xludf.DUMMYFUNCTION("""COMPUTED_VALUE"""),45699.493055555555)</f>
        <v>45699.49306</v>
      </c>
      <c r="D636" s="211" t="str">
        <f>IFERROR(__xludf.DUMMYFUNCTION("""COMPUTED_VALUE"""),"4ec68cf6")</f>
        <v>4ec68cf6</v>
      </c>
      <c r="E636" s="211" t="str">
        <f>IFERROR(__xludf.DUMMYFUNCTION("""COMPUTED_VALUE"""),"CV Sido Mukti Karya")</f>
        <v>CV Sido Mukti Karya</v>
      </c>
      <c r="F636" s="211" t="str">
        <f>IFERROR(__xludf.DUMMYFUNCTION("""COMPUTED_VALUE"""),"ef306e54")</f>
        <v>ef306e54</v>
      </c>
      <c r="G636" s="211" t="str">
        <f>IFERROR(__xludf.DUMMYFUNCTION("""COMPUTED_VALUE"""),"Karbondioksida")</f>
        <v>Karbondioksida</v>
      </c>
      <c r="H636" s="214" t="str">
        <f>IFERROR(__xludf.DUMMYFUNCTION("""COMPUTED_VALUE"""),"IN")</f>
        <v>IN</v>
      </c>
      <c r="I636" s="214" t="str">
        <f>IFERROR(__xludf.DUMMYFUNCTION("""COMPUTED_VALUE"""),"EMPTY")</f>
        <v>EMPTY</v>
      </c>
      <c r="J636" s="211">
        <f>IFERROR(__xludf.DUMMYFUNCTION("""COMPUTED_VALUE"""),1.0)</f>
        <v>1</v>
      </c>
      <c r="K636" s="210" t="str">
        <f>IFERROR(__xludf.DUMMYFUNCTION("""COMPUTED_VALUE"""),"6648")</f>
        <v>6648</v>
      </c>
      <c r="L636" s="211"/>
      <c r="M636" s="211"/>
      <c r="N636" s="211"/>
      <c r="O636" s="211"/>
      <c r="Q636" s="210" t="str">
        <f>IFERROR(__xludf.DUMMYFUNCTION("""COMPUTED_VALUE"""),"03250345")</f>
        <v>03250345</v>
      </c>
      <c r="R636" s="210" t="str">
        <f>IFERROR(__xludf.DUMMYFUNCTION("""COMPUTED_VALUE"""),"03250345")</f>
        <v>03250345</v>
      </c>
      <c r="S636" s="211" t="str">
        <f>IFERROR(__xludf.DUMMYFUNCTION("""COMPUTED_VALUE"""),"3fec37df")</f>
        <v>3fec37df</v>
      </c>
      <c r="T636" s="211" t="str">
        <f>IFERROR(__xludf.DUMMYFUNCTION("""COMPUTED_VALUE"""),"PT Jatim Abadi Perkasa Steel")</f>
        <v>PT Jatim Abadi Perkasa Steel</v>
      </c>
      <c r="U636" s="215">
        <f>IFERROR(__xludf.DUMMYFUNCTION("""COMPUTED_VALUE"""),45743.34305555555)</f>
        <v>45743.34306</v>
      </c>
      <c r="V636" s="211" t="str">
        <f>IFERROR(__xludf.DUMMYFUNCTION("""COMPUTED_VALUE"""),"Dsn. Bulak Sempuh, Jatirejo, Kab. Mojokerto, Jawa Timur")</f>
        <v>Dsn. Bulak Sempuh, Jatirejo, Kab. Mojokerto, Jawa Timur</v>
      </c>
      <c r="W636" s="211" t="str">
        <f>IFERROR(__xludf.DUMMYFUNCTION("""COMPUTED_VALUE"""),"OUT")</f>
        <v>OUT</v>
      </c>
      <c r="X636" s="211"/>
      <c r="Z636" s="211" t="str">
        <f>IFERROR(__xludf.DUMMYFUNCTION("""COMPUTED_VALUE"""),"112511708")</f>
        <v>112511708</v>
      </c>
      <c r="AC636" s="211"/>
      <c r="AD636" s="211"/>
      <c r="AE636" s="211"/>
      <c r="AF636" s="211"/>
      <c r="AG636" s="211"/>
      <c r="AH636" s="211"/>
      <c r="AI636" s="211"/>
      <c r="AJ636" s="211"/>
      <c r="AL636" s="211"/>
      <c r="AM636" s="211"/>
      <c r="AN636" s="211"/>
      <c r="AO636" s="211"/>
      <c r="AP636" s="215"/>
      <c r="AQ636" s="218"/>
      <c r="AR636" s="211"/>
      <c r="AS636" s="211"/>
      <c r="AT636" s="211"/>
      <c r="AU636" s="211"/>
      <c r="AV636" s="211"/>
      <c r="AW636" s="211"/>
      <c r="AX636" s="211"/>
      <c r="AY636" s="211"/>
      <c r="AZ636" s="211"/>
      <c r="BB636" s="211"/>
      <c r="BC636" s="211"/>
      <c r="BD636" s="211"/>
      <c r="BE636" s="211"/>
      <c r="BF636" s="211"/>
      <c r="BG636" s="211"/>
      <c r="BH636" s="211"/>
      <c r="BI636" s="211"/>
    </row>
    <row r="637">
      <c r="A637" s="210" t="str">
        <f>IFERROR(__xludf.DUMMYFUNCTION("""COMPUTED_VALUE"""),"c068d23f")</f>
        <v>c068d23f</v>
      </c>
      <c r="B637" s="210" t="str">
        <f>IFERROR(__xludf.DUMMYFUNCTION("""COMPUTED_VALUE"""),"c068d23f")</f>
        <v>c068d23f</v>
      </c>
      <c r="C637" s="213">
        <f>IFERROR(__xludf.DUMMYFUNCTION("""COMPUTED_VALUE"""),45699.493055555555)</f>
        <v>45699.49306</v>
      </c>
      <c r="D637" s="211" t="str">
        <f>IFERROR(__xludf.DUMMYFUNCTION("""COMPUTED_VALUE"""),"785e0e07")</f>
        <v>785e0e07</v>
      </c>
      <c r="E637" s="211" t="str">
        <f>IFERROR(__xludf.DUMMYFUNCTION("""COMPUTED_VALUE"""),"Bpk. Sukirno (Bejo)")</f>
        <v>Bpk. Sukirno (Bejo)</v>
      </c>
      <c r="F637" s="211" t="str">
        <f>IFERROR(__xludf.DUMMYFUNCTION("""COMPUTED_VALUE"""),"8bdbe149")</f>
        <v>8bdbe149</v>
      </c>
      <c r="G637" s="211" t="str">
        <f>IFERROR(__xludf.DUMMYFUNCTION("""COMPUTED_VALUE"""),"Oksigen 6m3")</f>
        <v>Oksigen 6m3</v>
      </c>
      <c r="H637" s="214" t="str">
        <f>IFERROR(__xludf.DUMMYFUNCTION("""COMPUTED_VALUE"""),"IN")</f>
        <v>IN</v>
      </c>
      <c r="I637" s="214" t="str">
        <f>IFERROR(__xludf.DUMMYFUNCTION("""COMPUTED_VALUE"""),"EMPTY")</f>
        <v>EMPTY</v>
      </c>
      <c r="J637" s="211">
        <f>IFERROR(__xludf.DUMMYFUNCTION("""COMPUTED_VALUE"""),2.0)</f>
        <v>2</v>
      </c>
      <c r="K637" s="210" t="str">
        <f>IFERROR(__xludf.DUMMYFUNCTION("""COMPUTED_VALUE"""),"11175 11151")</f>
        <v>11175 11151</v>
      </c>
      <c r="L637" s="211"/>
      <c r="M637" s="211"/>
      <c r="N637" s="211"/>
      <c r="O637" s="211"/>
      <c r="Q637" s="210" t="str">
        <f>IFERROR(__xludf.DUMMYFUNCTION("""COMPUTED_VALUE"""),"a109d5fe")</f>
        <v>a109d5fe</v>
      </c>
      <c r="R637" s="210" t="str">
        <f>IFERROR(__xludf.DUMMYFUNCTION("""COMPUTED_VALUE"""),"a109d5fe")</f>
        <v>a109d5fe</v>
      </c>
      <c r="S637" s="211" t="str">
        <f>IFERROR(__xludf.DUMMYFUNCTION("""COMPUTED_VALUE"""),"785e0e07")</f>
        <v>785e0e07</v>
      </c>
      <c r="T637" s="211" t="str">
        <f>IFERROR(__xludf.DUMMYFUNCTION("""COMPUTED_VALUE"""),"Bpk. Sukirno (Bejo)")</f>
        <v>Bpk. Sukirno (Bejo)</v>
      </c>
      <c r="U637" s="215">
        <f>IFERROR(__xludf.DUMMYFUNCTION("""COMPUTED_VALUE"""),45742.49861111111)</f>
        <v>45742.49861</v>
      </c>
      <c r="V637" s="211" t="str">
        <f>IFERROR(__xludf.DUMMYFUNCTION("""COMPUTED_VALUE"""),"Krajan I, Wringinanom, Kec. Wringinanom, Kabupaten Gresik, Jawa Timur 61176")</f>
        <v>Krajan I, Wringinanom, Kec. Wringinanom, Kabupaten Gresik, Jawa Timur 61176</v>
      </c>
      <c r="W637" s="211" t="str">
        <f>IFERROR(__xludf.DUMMYFUNCTION("""COMPUTED_VALUE"""),"IN")</f>
        <v>IN</v>
      </c>
      <c r="X637" s="211"/>
      <c r="Z637" s="211" t="str">
        <f>IFERROR(__xludf.DUMMYFUNCTION("""COMPUTED_VALUE"""),"1125391704")</f>
        <v>1125391704</v>
      </c>
      <c r="AC637" s="211"/>
      <c r="AD637" s="211"/>
      <c r="AE637" s="211"/>
      <c r="AF637" s="211"/>
      <c r="AG637" s="211"/>
      <c r="AH637" s="211"/>
      <c r="AI637" s="211"/>
      <c r="AJ637" s="211"/>
      <c r="AL637" s="211"/>
      <c r="AM637" s="211"/>
      <c r="AN637" s="211"/>
      <c r="AO637" s="211"/>
      <c r="AP637" s="215"/>
      <c r="AQ637" s="218"/>
      <c r="AR637" s="211"/>
      <c r="AS637" s="211"/>
      <c r="AT637" s="211"/>
      <c r="AU637" s="211"/>
      <c r="AV637" s="211"/>
      <c r="AW637" s="211"/>
      <c r="AX637" s="211"/>
      <c r="AY637" s="211"/>
      <c r="AZ637" s="211"/>
      <c r="BB637" s="211"/>
      <c r="BC637" s="211"/>
      <c r="BD637" s="211"/>
      <c r="BE637" s="211"/>
      <c r="BF637" s="211"/>
      <c r="BG637" s="211"/>
      <c r="BH637" s="211"/>
      <c r="BI637" s="211"/>
    </row>
    <row r="638">
      <c r="A638" s="210" t="str">
        <f>IFERROR(__xludf.DUMMYFUNCTION("""COMPUTED_VALUE"""),"5b243fb0")</f>
        <v>5b243fb0</v>
      </c>
      <c r="B638" s="210" t="str">
        <f>IFERROR(__xludf.DUMMYFUNCTION("""COMPUTED_VALUE"""),"5b243fb0")</f>
        <v>5b243fb0</v>
      </c>
      <c r="C638" s="213">
        <f>IFERROR(__xludf.DUMMYFUNCTION("""COMPUTED_VALUE"""),45699.49375)</f>
        <v>45699.49375</v>
      </c>
      <c r="D638" s="211" t="str">
        <f>IFERROR(__xludf.DUMMYFUNCTION("""COMPUTED_VALUE"""),"ce83e171")</f>
        <v>ce83e171</v>
      </c>
      <c r="E638" s="211" t="str">
        <f>IFERROR(__xludf.DUMMYFUNCTION("""COMPUTED_VALUE"""),"Bpk. Sulaiman")</f>
        <v>Bpk. Sulaiman</v>
      </c>
      <c r="F638" s="211" t="str">
        <f>IFERROR(__xludf.DUMMYFUNCTION("""COMPUTED_VALUE"""),"8bdbe149")</f>
        <v>8bdbe149</v>
      </c>
      <c r="G638" s="211" t="str">
        <f>IFERROR(__xludf.DUMMYFUNCTION("""COMPUTED_VALUE"""),"Oksigen 6m3")</f>
        <v>Oksigen 6m3</v>
      </c>
      <c r="H638" s="214" t="str">
        <f>IFERROR(__xludf.DUMMYFUNCTION("""COMPUTED_VALUE"""),"IN")</f>
        <v>IN</v>
      </c>
      <c r="I638" s="214" t="str">
        <f>IFERROR(__xludf.DUMMYFUNCTION("""COMPUTED_VALUE"""),"EMPTY")</f>
        <v>EMPTY</v>
      </c>
      <c r="J638" s="211">
        <f>IFERROR(__xludf.DUMMYFUNCTION("""COMPUTED_VALUE"""),1.0)</f>
        <v>1</v>
      </c>
      <c r="K638" s="210" t="str">
        <f>IFERROR(__xludf.DUMMYFUNCTION("""COMPUTED_VALUE"""),"11210")</f>
        <v>11210</v>
      </c>
      <c r="L638" s="211"/>
      <c r="M638" s="211"/>
      <c r="N638" s="211"/>
      <c r="O638" s="211"/>
      <c r="Q638" s="210" t="str">
        <f>IFERROR(__xludf.DUMMYFUNCTION("""COMPUTED_VALUE"""),"97f4a55c")</f>
        <v>97f4a55c</v>
      </c>
      <c r="R638" s="210" t="str">
        <f>IFERROR(__xludf.DUMMYFUNCTION("""COMPUTED_VALUE"""),"97f4a55c")</f>
        <v>97f4a55c</v>
      </c>
      <c r="S638" s="211" t="str">
        <f>IFERROR(__xludf.DUMMYFUNCTION("""COMPUTED_VALUE"""),"103f3ae7")</f>
        <v>103f3ae7</v>
      </c>
      <c r="T638" s="211" t="str">
        <f>IFERROR(__xludf.DUMMYFUNCTION("""COMPUTED_VALUE"""),"PT ARYANA CAKASANA")</f>
        <v>PT ARYANA CAKASANA</v>
      </c>
      <c r="U638" s="215">
        <f>IFERROR(__xludf.DUMMYFUNCTION("""COMPUTED_VALUE"""),45742.49930555555)</f>
        <v>45742.49931</v>
      </c>
      <c r="V638" s="211" t="str">
        <f>IFERROR(__xludf.DUMMYFUNCTION("""COMPUTED_VALUE"""),"Jl Raya Tarik No. 45, Wonokupang, Bakalan, Balongbendo")</f>
        <v>Jl Raya Tarik No. 45, Wonokupang, Bakalan, Balongbendo</v>
      </c>
      <c r="W638" s="211" t="str">
        <f>IFERROR(__xludf.DUMMYFUNCTION("""COMPUTED_VALUE"""),"IN")</f>
        <v>IN</v>
      </c>
      <c r="X638" s="211"/>
      <c r="Z638" s="211" t="str">
        <f>IFERROR(__xludf.DUMMYFUNCTION("""COMPUTED_VALUE"""),"1125281702")</f>
        <v>1125281702</v>
      </c>
      <c r="AC638" s="211"/>
      <c r="AD638" s="211"/>
      <c r="AE638" s="211"/>
      <c r="AF638" s="211"/>
      <c r="AG638" s="211"/>
      <c r="AH638" s="211"/>
      <c r="AI638" s="211"/>
      <c r="AJ638" s="211"/>
      <c r="AL638" s="211"/>
      <c r="AM638" s="211"/>
      <c r="AN638" s="211"/>
      <c r="AO638" s="211"/>
      <c r="AP638" s="215"/>
      <c r="AQ638" s="218"/>
      <c r="AR638" s="211"/>
      <c r="AS638" s="211"/>
      <c r="AT638" s="211"/>
      <c r="AU638" s="211"/>
      <c r="AV638" s="211"/>
      <c r="AW638" s="211"/>
      <c r="AX638" s="211"/>
      <c r="AY638" s="211"/>
      <c r="AZ638" s="211"/>
      <c r="BB638" s="211"/>
      <c r="BC638" s="211"/>
      <c r="BD638" s="211"/>
      <c r="BE638" s="211"/>
      <c r="BF638" s="211"/>
      <c r="BG638" s="211"/>
      <c r="BH638" s="211"/>
      <c r="BI638" s="211"/>
    </row>
    <row r="639">
      <c r="A639" s="210" t="str">
        <f>IFERROR(__xludf.DUMMYFUNCTION("""COMPUTED_VALUE"""),"425f363e")</f>
        <v>425f363e</v>
      </c>
      <c r="B639" s="210" t="str">
        <f>IFERROR(__xludf.DUMMYFUNCTION("""COMPUTED_VALUE"""),"425f363e")</f>
        <v>425f363e</v>
      </c>
      <c r="C639" s="213">
        <f>IFERROR(__xludf.DUMMYFUNCTION("""COMPUTED_VALUE"""),45699.49444444444)</f>
        <v>45699.49444</v>
      </c>
      <c r="D639" s="211" t="str">
        <f>IFERROR(__xludf.DUMMYFUNCTION("""COMPUTED_VALUE"""),"01158be1")</f>
        <v>01158be1</v>
      </c>
      <c r="E639" s="211" t="str">
        <f>IFERROR(__xludf.DUMMYFUNCTION("""COMPUTED_VALUE"""),"GYF")</f>
        <v>GYF</v>
      </c>
      <c r="F639" s="211" t="str">
        <f>IFERROR(__xludf.DUMMYFUNCTION("""COMPUTED_VALUE"""),"8bdbe149")</f>
        <v>8bdbe149</v>
      </c>
      <c r="G639" s="211" t="str">
        <f>IFERROR(__xludf.DUMMYFUNCTION("""COMPUTED_VALUE"""),"Oksigen 6m3")</f>
        <v>Oksigen 6m3</v>
      </c>
      <c r="H639" s="214" t="str">
        <f>IFERROR(__xludf.DUMMYFUNCTION("""COMPUTED_VALUE"""),"IN")</f>
        <v>IN</v>
      </c>
      <c r="I639" s="214" t="str">
        <f>IFERROR(__xludf.DUMMYFUNCTION("""COMPUTED_VALUE"""),"EMPTY")</f>
        <v>EMPTY</v>
      </c>
      <c r="J639" s="211">
        <f>IFERROR(__xludf.DUMMYFUNCTION("""COMPUTED_VALUE"""),2.0)</f>
        <v>2</v>
      </c>
      <c r="K639" s="210" t="str">
        <f>IFERROR(__xludf.DUMMYFUNCTION("""COMPUTED_VALUE"""),"1125 1102")</f>
        <v>1125 1102</v>
      </c>
      <c r="L639" s="211"/>
      <c r="M639" s="211"/>
      <c r="N639" s="211"/>
      <c r="O639" s="211"/>
      <c r="Q639" s="210" t="str">
        <f>IFERROR(__xludf.DUMMYFUNCTION("""COMPUTED_VALUE"""),"03250346")</f>
        <v>03250346</v>
      </c>
      <c r="R639" s="210" t="str">
        <f>IFERROR(__xludf.DUMMYFUNCTION("""COMPUTED_VALUE"""),"03250346")</f>
        <v>03250346</v>
      </c>
      <c r="S639" s="211" t="str">
        <f>IFERROR(__xludf.DUMMYFUNCTION("""COMPUTED_VALUE"""),"71909be0")</f>
        <v>71909be0</v>
      </c>
      <c r="T639" s="211" t="str">
        <f>IFERROR(__xludf.DUMMYFUNCTION("""COMPUTED_VALUE"""),"Bpk. Pendik")</f>
        <v>Bpk. Pendik</v>
      </c>
      <c r="U639" s="215">
        <f>IFERROR(__xludf.DUMMYFUNCTION("""COMPUTED_VALUE"""),45742.53125)</f>
        <v>45742.53125</v>
      </c>
      <c r="V639" s="211"/>
      <c r="W639" s="211" t="str">
        <f>IFERROR(__xludf.DUMMYFUNCTION("""COMPUTED_VALUE"""),"OUT")</f>
        <v>OUT</v>
      </c>
      <c r="X639" s="211"/>
      <c r="Z639" s="211" t="str">
        <f>IFERROR(__xludf.DUMMYFUNCTION("""COMPUTED_VALUE"""),"1125271701")</f>
        <v>1125271701</v>
      </c>
      <c r="AC639" s="211"/>
      <c r="AD639" s="211"/>
      <c r="AE639" s="211"/>
      <c r="AF639" s="211"/>
      <c r="AG639" s="211"/>
      <c r="AH639" s="211"/>
      <c r="AI639" s="211"/>
      <c r="AJ639" s="211"/>
      <c r="AL639" s="211"/>
      <c r="AM639" s="211"/>
      <c r="AN639" s="211"/>
      <c r="AO639" s="211"/>
      <c r="AP639" s="215"/>
      <c r="AQ639" s="218"/>
      <c r="AR639" s="211"/>
      <c r="AS639" s="211"/>
      <c r="AT639" s="211"/>
      <c r="AU639" s="211"/>
      <c r="AV639" s="211"/>
      <c r="AW639" s="211"/>
      <c r="AX639" s="211"/>
      <c r="AY639" s="211"/>
      <c r="AZ639" s="211"/>
      <c r="BB639" s="211"/>
      <c r="BC639" s="211"/>
      <c r="BD639" s="211"/>
      <c r="BE639" s="211"/>
      <c r="BF639" s="211"/>
      <c r="BG639" s="211"/>
      <c r="BH639" s="211"/>
      <c r="BI639" s="211"/>
    </row>
    <row r="640">
      <c r="A640" s="210" t="str">
        <f>IFERROR(__xludf.DUMMYFUNCTION("""COMPUTED_VALUE"""),"31eb9b83")</f>
        <v>31eb9b83</v>
      </c>
      <c r="B640" s="210" t="str">
        <f>IFERROR(__xludf.DUMMYFUNCTION("""COMPUTED_VALUE"""),"31eb9b83")</f>
        <v>31eb9b83</v>
      </c>
      <c r="C640" s="213">
        <f>IFERROR(__xludf.DUMMYFUNCTION("""COMPUTED_VALUE"""),45700.64236111111)</f>
        <v>45700.64236</v>
      </c>
      <c r="D640" s="211" t="str">
        <f>IFERROR(__xludf.DUMMYFUNCTION("""COMPUTED_VALUE"""),"e968afef")</f>
        <v>e968afef</v>
      </c>
      <c r="E640" s="211" t="str">
        <f>IFERROR(__xludf.DUMMYFUNCTION("""COMPUTED_VALUE"""),"Bpk. Agus")</f>
        <v>Bpk. Agus</v>
      </c>
      <c r="F640" s="211" t="str">
        <f>IFERROR(__xludf.DUMMYFUNCTION("""COMPUTED_VALUE"""),"8bdbe149")</f>
        <v>8bdbe149</v>
      </c>
      <c r="G640" s="211" t="str">
        <f>IFERROR(__xludf.DUMMYFUNCTION("""COMPUTED_VALUE"""),"Oksigen 6m3")</f>
        <v>Oksigen 6m3</v>
      </c>
      <c r="H640" s="214" t="str">
        <f>IFERROR(__xludf.DUMMYFUNCTION("""COMPUTED_VALUE"""),"IN")</f>
        <v>IN</v>
      </c>
      <c r="I640" s="214" t="str">
        <f>IFERROR(__xludf.DUMMYFUNCTION("""COMPUTED_VALUE"""),"CLAIM")</f>
        <v>CLAIM</v>
      </c>
      <c r="J640" s="211">
        <f>IFERROR(__xludf.DUMMYFUNCTION("""COMPUTED_VALUE"""),1.0)</f>
        <v>1</v>
      </c>
      <c r="K640" s="210" t="str">
        <f>IFERROR(__xludf.DUMMYFUNCTION("""COMPUTED_VALUE"""),"1168")</f>
        <v>1168</v>
      </c>
      <c r="L640" s="211"/>
      <c r="M640" s="211"/>
      <c r="N640" s="211"/>
      <c r="O640" s="211"/>
      <c r="Q640" s="210" t="str">
        <f>IFERROR(__xludf.DUMMYFUNCTION("""COMPUTED_VALUE"""),"03250347")</f>
        <v>03250347</v>
      </c>
      <c r="R640" s="210" t="str">
        <f>IFERROR(__xludf.DUMMYFUNCTION("""COMPUTED_VALUE"""),"03250347")</f>
        <v>03250347</v>
      </c>
      <c r="S640" s="211" t="str">
        <f>IFERROR(__xludf.DUMMYFUNCTION("""COMPUTED_VALUE"""),"slmt76")</f>
        <v>slmt76</v>
      </c>
      <c r="T640" s="211" t="str">
        <f>IFERROR(__xludf.DUMMYFUNCTION("""COMPUTED_VALUE"""),"Bpk. Slamet")</f>
        <v>Bpk. Slamet</v>
      </c>
      <c r="U640" s="215">
        <f>IFERROR(__xludf.DUMMYFUNCTION("""COMPUTED_VALUE"""),45743.45208333334)</f>
        <v>45743.45208</v>
      </c>
      <c r="V640" s="211" t="str">
        <f>IFERROR(__xludf.DUMMYFUNCTION("""COMPUTED_VALUE"""),"#N/A")</f>
        <v>#N/A</v>
      </c>
      <c r="W640" s="211" t="str">
        <f>IFERROR(__xludf.DUMMYFUNCTION("""COMPUTED_VALUE"""),"OUT")</f>
        <v>OUT</v>
      </c>
      <c r="X640" s="211"/>
      <c r="Z640" s="211" t="str">
        <f>IFERROR(__xludf.DUMMYFUNCTION("""COMPUTED_VALUE"""),"112581697")</f>
        <v>112581697</v>
      </c>
      <c r="AC640" s="211"/>
      <c r="AD640" s="211"/>
      <c r="AE640" s="211"/>
      <c r="AF640" s="211"/>
      <c r="AG640" s="211"/>
      <c r="AH640" s="211"/>
      <c r="AI640" s="211"/>
      <c r="AJ640" s="211"/>
      <c r="AL640" s="211"/>
      <c r="AM640" s="211"/>
      <c r="AN640" s="211"/>
      <c r="AO640" s="211"/>
      <c r="AP640" s="215"/>
      <c r="AQ640" s="218"/>
      <c r="AR640" s="211"/>
      <c r="AS640" s="211"/>
      <c r="AT640" s="211"/>
      <c r="AU640" s="211"/>
      <c r="AV640" s="211"/>
      <c r="AW640" s="211"/>
      <c r="AX640" s="211"/>
      <c r="AY640" s="211"/>
      <c r="AZ640" s="211"/>
      <c r="BB640" s="211"/>
      <c r="BC640" s="211"/>
      <c r="BD640" s="211"/>
      <c r="BE640" s="211"/>
      <c r="BF640" s="211"/>
      <c r="BG640" s="211"/>
      <c r="BH640" s="211"/>
      <c r="BI640" s="211"/>
    </row>
    <row r="641">
      <c r="A641" s="210" t="str">
        <f>IFERROR(__xludf.DUMMYFUNCTION("""COMPUTED_VALUE"""),"aceba60f")</f>
        <v>aceba60f</v>
      </c>
      <c r="B641" s="210" t="str">
        <f>IFERROR(__xludf.DUMMYFUNCTION("""COMPUTED_VALUE"""),"aceba60f")</f>
        <v>aceba60f</v>
      </c>
      <c r="C641" s="213">
        <f>IFERROR(__xludf.DUMMYFUNCTION("""COMPUTED_VALUE"""),45700.64236111111)</f>
        <v>45700.64236</v>
      </c>
      <c r="D641" s="211" t="str">
        <f>IFERROR(__xludf.DUMMYFUNCTION("""COMPUTED_VALUE"""),"37175874")</f>
        <v>37175874</v>
      </c>
      <c r="E641" s="211" t="str">
        <f>IFERROR(__xludf.DUMMYFUNCTION("""COMPUTED_VALUE"""),"PT TERAPAN NILAIOSILASI INDONESIA (TENO)")</f>
        <v>PT TERAPAN NILAIOSILASI INDONESIA (TENO)</v>
      </c>
      <c r="F641" s="211" t="str">
        <f>IFERROR(__xludf.DUMMYFUNCTION("""COMPUTED_VALUE"""),"ef306e54")</f>
        <v>ef306e54</v>
      </c>
      <c r="G641" s="211" t="str">
        <f>IFERROR(__xludf.DUMMYFUNCTION("""COMPUTED_VALUE"""),"Karbondioksida")</f>
        <v>Karbondioksida</v>
      </c>
      <c r="H641" s="214" t="str">
        <f>IFERROR(__xludf.DUMMYFUNCTION("""COMPUTED_VALUE"""),"IN")</f>
        <v>IN</v>
      </c>
      <c r="I641" s="214" t="str">
        <f>IFERROR(__xludf.DUMMYFUNCTION("""COMPUTED_VALUE"""),"EMPTY")</f>
        <v>EMPTY</v>
      </c>
      <c r="J641" s="211">
        <f>IFERROR(__xludf.DUMMYFUNCTION("""COMPUTED_VALUE"""),1.0)</f>
        <v>1</v>
      </c>
      <c r="K641" s="210" t="str">
        <f>IFERROR(__xludf.DUMMYFUNCTION("""COMPUTED_VALUE"""),"6735")</f>
        <v>6735</v>
      </c>
      <c r="L641" s="211"/>
      <c r="M641" s="211"/>
      <c r="N641" s="211"/>
      <c r="O641" s="211"/>
      <c r="Q641" s="210" t="str">
        <f>IFERROR(__xludf.DUMMYFUNCTION("""COMPUTED_VALUE"""),"994cb360")</f>
        <v>994cb360</v>
      </c>
      <c r="R641" s="210" t="str">
        <f>IFERROR(__xludf.DUMMYFUNCTION("""COMPUTED_VALUE"""),"994cb360")</f>
        <v>994cb360</v>
      </c>
      <c r="S641" s="211" t="str">
        <f>IFERROR(__xludf.DUMMYFUNCTION("""COMPUTED_VALUE"""),"ce83e171")</f>
        <v>ce83e171</v>
      </c>
      <c r="T641" s="211" t="str">
        <f>IFERROR(__xludf.DUMMYFUNCTION("""COMPUTED_VALUE"""),"Bpk. Sulaiman")</f>
        <v>Bpk. Sulaiman</v>
      </c>
      <c r="U641" s="215">
        <f>IFERROR(__xludf.DUMMYFUNCTION("""COMPUTED_VALUE"""),45743.49097222222)</f>
        <v>45743.49097</v>
      </c>
      <c r="V641" s="211" t="str">
        <f>IFERROR(__xludf.DUMMYFUNCTION("""COMPUTED_VALUE"""),"Jl. Raya Kramat Temenggung No.43, Kramat, Kramat Temenggung, Kec. Tarik, Kabupaten Sidoarjo, Jawa Timur 61265")</f>
        <v>Jl. Raya Kramat Temenggung No.43, Kramat, Kramat Temenggung, Kec. Tarik, Kabupaten Sidoarjo, Jawa Timur 61265</v>
      </c>
      <c r="W641" s="211" t="str">
        <f>IFERROR(__xludf.DUMMYFUNCTION("""COMPUTED_VALUE"""),"IN")</f>
        <v>IN</v>
      </c>
      <c r="X641" s="211"/>
      <c r="Z641" s="211" t="str">
        <f>IFERROR(__xludf.DUMMYFUNCTION("""COMPUTED_VALUE"""),"112521696")</f>
        <v>112521696</v>
      </c>
      <c r="AC641" s="211"/>
      <c r="AD641" s="211"/>
      <c r="AE641" s="211"/>
      <c r="AF641" s="211"/>
      <c r="AG641" s="211"/>
      <c r="AH641" s="211"/>
      <c r="AI641" s="211"/>
      <c r="AJ641" s="211"/>
      <c r="AL641" s="211"/>
      <c r="AM641" s="211"/>
      <c r="AN641" s="211"/>
      <c r="AO641" s="211"/>
      <c r="AP641" s="215"/>
      <c r="AQ641" s="218"/>
      <c r="AR641" s="211"/>
      <c r="AS641" s="211"/>
      <c r="AT641" s="211"/>
      <c r="AU641" s="211"/>
      <c r="AV641" s="211"/>
      <c r="AW641" s="211"/>
      <c r="AX641" s="211"/>
      <c r="AY641" s="211"/>
      <c r="AZ641" s="211"/>
      <c r="BB641" s="211"/>
      <c r="BC641" s="211"/>
      <c r="BD641" s="211"/>
      <c r="BE641" s="211"/>
      <c r="BF641" s="211"/>
      <c r="BG641" s="211"/>
      <c r="BH641" s="211"/>
      <c r="BI641" s="211"/>
    </row>
    <row r="642">
      <c r="A642" s="210" t="str">
        <f>IFERROR(__xludf.DUMMYFUNCTION("""COMPUTED_VALUE"""),"aceba60f")</f>
        <v>aceba60f</v>
      </c>
      <c r="B642" s="210" t="str">
        <f>IFERROR(__xludf.DUMMYFUNCTION("""COMPUTED_VALUE"""),"aceba60f")</f>
        <v>aceba60f</v>
      </c>
      <c r="C642" s="213">
        <f>IFERROR(__xludf.DUMMYFUNCTION("""COMPUTED_VALUE"""),45700.643055555556)</f>
        <v>45700.64306</v>
      </c>
      <c r="D642" s="211" t="str">
        <f>IFERROR(__xludf.DUMMYFUNCTION("""COMPUTED_VALUE"""),"37175874")</f>
        <v>37175874</v>
      </c>
      <c r="E642" s="211" t="str">
        <f>IFERROR(__xludf.DUMMYFUNCTION("""COMPUTED_VALUE"""),"PT TERAPAN NILAIOSILASI INDONESIA (TENO)")</f>
        <v>PT TERAPAN NILAIOSILASI INDONESIA (TENO)</v>
      </c>
      <c r="F642" s="211" t="str">
        <f>IFERROR(__xludf.DUMMYFUNCTION("""COMPUTED_VALUE"""),"3b9d6a30")</f>
        <v>3b9d6a30</v>
      </c>
      <c r="G642" s="211" t="str">
        <f>IFERROR(__xludf.DUMMYFUNCTION("""COMPUTED_VALUE"""),"Acetyline")</f>
        <v>Acetyline</v>
      </c>
      <c r="H642" s="214" t="str">
        <f>IFERROR(__xludf.DUMMYFUNCTION("""COMPUTED_VALUE"""),"IN")</f>
        <v>IN</v>
      </c>
      <c r="I642" s="214" t="str">
        <f>IFERROR(__xludf.DUMMYFUNCTION("""COMPUTED_VALUE"""),"EMPTY")</f>
        <v>EMPTY</v>
      </c>
      <c r="J642" s="211">
        <f>IFERROR(__xludf.DUMMYFUNCTION("""COMPUTED_VALUE"""),1.0)</f>
        <v>1</v>
      </c>
      <c r="K642" s="210" t="str">
        <f>IFERROR(__xludf.DUMMYFUNCTION("""COMPUTED_VALUE"""),"7937")</f>
        <v>7937</v>
      </c>
      <c r="L642" s="211"/>
      <c r="M642" s="211"/>
      <c r="N642" s="211"/>
      <c r="O642" s="211"/>
      <c r="Q642" s="210" t="str">
        <f>IFERROR(__xludf.DUMMYFUNCTION("""COMPUTED_VALUE"""),"b6c16cac")</f>
        <v>b6c16cac</v>
      </c>
      <c r="R642" s="210" t="str">
        <f>IFERROR(__xludf.DUMMYFUNCTION("""COMPUTED_VALUE"""),"b6c16cac")</f>
        <v>b6c16cac</v>
      </c>
      <c r="S642" s="211" t="str">
        <f>IFERROR(__xludf.DUMMYFUNCTION("""COMPUTED_VALUE"""),"3fec37df")</f>
        <v>3fec37df</v>
      </c>
      <c r="T642" s="211" t="str">
        <f>IFERROR(__xludf.DUMMYFUNCTION("""COMPUTED_VALUE"""),"PT Jatim Abadi Perkasa Steel")</f>
        <v>PT Jatim Abadi Perkasa Steel</v>
      </c>
      <c r="U642" s="215">
        <f>IFERROR(__xludf.DUMMYFUNCTION("""COMPUTED_VALUE"""),45743.49097222222)</f>
        <v>45743.49097</v>
      </c>
      <c r="V642" s="211" t="str">
        <f>IFERROR(__xludf.DUMMYFUNCTION("""COMPUTED_VALUE"""),"Dsn. Bulak Sempuh, Jatirejo, Kab. Mojokerto, Jawa Timur")</f>
        <v>Dsn. Bulak Sempuh, Jatirejo, Kab. Mojokerto, Jawa Timur</v>
      </c>
      <c r="W642" s="211" t="str">
        <f>IFERROR(__xludf.DUMMYFUNCTION("""COMPUTED_VALUE"""),"IN")</f>
        <v>IN</v>
      </c>
      <c r="X642" s="211"/>
      <c r="Z642" s="211" t="str">
        <f>IFERROR(__xludf.DUMMYFUNCTION("""COMPUTED_VALUE"""),"112591695")</f>
        <v>112591695</v>
      </c>
      <c r="AC642" s="211"/>
      <c r="AD642" s="211"/>
      <c r="AE642" s="211"/>
      <c r="AF642" s="211"/>
      <c r="AG642" s="211"/>
      <c r="AH642" s="211"/>
      <c r="AI642" s="211"/>
      <c r="AJ642" s="211"/>
      <c r="AL642" s="211"/>
      <c r="AM642" s="211"/>
      <c r="AN642" s="211"/>
      <c r="AO642" s="211"/>
      <c r="AP642" s="215"/>
      <c r="AQ642" s="218"/>
      <c r="AR642" s="211"/>
      <c r="AS642" s="211"/>
      <c r="AT642" s="211"/>
      <c r="AU642" s="211"/>
      <c r="AV642" s="211"/>
      <c r="AW642" s="211"/>
      <c r="AX642" s="211"/>
      <c r="AY642" s="211"/>
      <c r="AZ642" s="211"/>
      <c r="BB642" s="211"/>
      <c r="BC642" s="211"/>
      <c r="BD642" s="211"/>
      <c r="BE642" s="211"/>
      <c r="BF642" s="211"/>
      <c r="BG642" s="211"/>
      <c r="BH642" s="211"/>
      <c r="BI642" s="211"/>
    </row>
    <row r="643">
      <c r="A643" s="210" t="str">
        <f>IFERROR(__xludf.DUMMYFUNCTION("""COMPUTED_VALUE"""),"e02298ad")</f>
        <v>e02298ad</v>
      </c>
      <c r="B643" s="210" t="str">
        <f>IFERROR(__xludf.DUMMYFUNCTION("""COMPUTED_VALUE"""),"e02298ad")</f>
        <v>e02298ad</v>
      </c>
      <c r="C643" s="213">
        <f>IFERROR(__xludf.DUMMYFUNCTION("""COMPUTED_VALUE"""),45700.643055555556)</f>
        <v>45700.64306</v>
      </c>
      <c r="D643" s="211" t="str">
        <f>IFERROR(__xludf.DUMMYFUNCTION("""COMPUTED_VALUE"""),"785e0e07")</f>
        <v>785e0e07</v>
      </c>
      <c r="E643" s="211" t="str">
        <f>IFERROR(__xludf.DUMMYFUNCTION("""COMPUTED_VALUE"""),"Bpk. Sukirno (Bejo)")</f>
        <v>Bpk. Sukirno (Bejo)</v>
      </c>
      <c r="F643" s="211" t="str">
        <f>IFERROR(__xludf.DUMMYFUNCTION("""COMPUTED_VALUE"""),"8bdbe149")</f>
        <v>8bdbe149</v>
      </c>
      <c r="G643" s="211" t="str">
        <f>IFERROR(__xludf.DUMMYFUNCTION("""COMPUTED_VALUE"""),"Oksigen 6m3")</f>
        <v>Oksigen 6m3</v>
      </c>
      <c r="H643" s="214" t="str">
        <f>IFERROR(__xludf.DUMMYFUNCTION("""COMPUTED_VALUE"""),"IN")</f>
        <v>IN</v>
      </c>
      <c r="I643" s="214" t="str">
        <f>IFERROR(__xludf.DUMMYFUNCTION("""COMPUTED_VALUE"""),"EMPTY")</f>
        <v>EMPTY</v>
      </c>
      <c r="J643" s="211">
        <f>IFERROR(__xludf.DUMMYFUNCTION("""COMPUTED_VALUE"""),5.0)</f>
        <v>5</v>
      </c>
      <c r="K643" s="210" t="str">
        <f>IFERROR(__xludf.DUMMYFUNCTION("""COMPUTED_VALUE"""),"11181 1118 1156 11158 11138")</f>
        <v>11181 1118 1156 11158 11138</v>
      </c>
      <c r="L643" s="211"/>
      <c r="M643" s="211"/>
      <c r="N643" s="211"/>
      <c r="O643" s="211"/>
      <c r="Q643" s="210" t="str">
        <f>IFERROR(__xludf.DUMMYFUNCTION("""COMPUTED_VALUE"""),"04250348")</f>
        <v>04250348</v>
      </c>
      <c r="R643" s="210" t="str">
        <f>IFERROR(__xludf.DUMMYFUNCTION("""COMPUTED_VALUE"""),"04250348")</f>
        <v>04250348</v>
      </c>
      <c r="S643" s="211" t="str">
        <f>IFERROR(__xludf.DUMMYFUNCTION("""COMPUTED_VALUE"""),"5449a0b8")</f>
        <v>5449a0b8</v>
      </c>
      <c r="T643" s="211" t="str">
        <f>IFERROR(__xludf.DUMMYFUNCTION("""COMPUTED_VALUE"""),"Bpk. Supar")</f>
        <v>Bpk. Supar</v>
      </c>
      <c r="U643" s="215">
        <f>IFERROR(__xludf.DUMMYFUNCTION("""COMPUTED_VALUE"""),45754.3375)</f>
        <v>45754.3375</v>
      </c>
      <c r="V643" s="211" t="str">
        <f>IFERROR(__xludf.DUMMYFUNCTION("""COMPUTED_VALUE"""),"Ciro Kulon, Bakungtemenggungan, Kec. BalongBendo, Kabupaten Sidoarjo, Jawa Timur")</f>
        <v>Ciro Kulon, Bakungtemenggungan, Kec. BalongBendo, Kabupaten Sidoarjo, Jawa Timur</v>
      </c>
      <c r="W643" s="211" t="str">
        <f>IFERROR(__xludf.DUMMYFUNCTION("""COMPUTED_VALUE"""),"OUT")</f>
        <v>OUT</v>
      </c>
      <c r="X643" s="211"/>
      <c r="Z643" s="211" t="str">
        <f>IFERROR(__xludf.DUMMYFUNCTION("""COMPUTED_VALUE"""),"1125271694")</f>
        <v>1125271694</v>
      </c>
      <c r="AC643" s="211"/>
      <c r="AD643" s="211"/>
      <c r="AE643" s="211"/>
      <c r="AF643" s="211"/>
      <c r="AG643" s="211"/>
      <c r="AH643" s="211"/>
      <c r="AI643" s="211"/>
      <c r="AJ643" s="211"/>
      <c r="AL643" s="211"/>
      <c r="AM643" s="211"/>
      <c r="AN643" s="211"/>
      <c r="AO643" s="211"/>
      <c r="AP643" s="215"/>
      <c r="AQ643" s="218"/>
      <c r="AR643" s="211"/>
      <c r="AS643" s="211"/>
      <c r="AT643" s="211"/>
      <c r="AU643" s="211"/>
      <c r="AV643" s="211"/>
      <c r="AW643" s="211"/>
      <c r="AX643" s="211"/>
      <c r="AY643" s="211"/>
      <c r="AZ643" s="211"/>
      <c r="BB643" s="211"/>
      <c r="BC643" s="211"/>
      <c r="BD643" s="211"/>
      <c r="BE643" s="211"/>
      <c r="BF643" s="211"/>
      <c r="BG643" s="211"/>
      <c r="BH643" s="211"/>
      <c r="BI643" s="211"/>
    </row>
    <row r="644">
      <c r="A644" s="210" t="str">
        <f>IFERROR(__xludf.DUMMYFUNCTION("""COMPUTED_VALUE"""),"02250260")</f>
        <v>02250260</v>
      </c>
      <c r="B644" s="210" t="str">
        <f>IFERROR(__xludf.DUMMYFUNCTION("""COMPUTED_VALUE"""),"02250260")</f>
        <v>02250260</v>
      </c>
      <c r="C644" s="213">
        <f>IFERROR(__xludf.DUMMYFUNCTION("""COMPUTED_VALUE"""),45701.441666666666)</f>
        <v>45701.44167</v>
      </c>
      <c r="D644" s="211" t="str">
        <f>IFERROR(__xludf.DUMMYFUNCTION("""COMPUTED_VALUE"""),"01158be1")</f>
        <v>01158be1</v>
      </c>
      <c r="E644" s="211" t="str">
        <f>IFERROR(__xludf.DUMMYFUNCTION("""COMPUTED_VALUE"""),"GYF")</f>
        <v>GYF</v>
      </c>
      <c r="F644" s="211" t="str">
        <f>IFERROR(__xludf.DUMMYFUNCTION("""COMPUTED_VALUE"""),"8bdbe149")</f>
        <v>8bdbe149</v>
      </c>
      <c r="G644" s="211" t="str">
        <f>IFERROR(__xludf.DUMMYFUNCTION("""COMPUTED_VALUE"""),"Oksigen 6m3")</f>
        <v>Oksigen 6m3</v>
      </c>
      <c r="H644" s="214" t="str">
        <f>IFERROR(__xludf.DUMMYFUNCTION("""COMPUTED_VALUE"""),"OUT")</f>
        <v>OUT</v>
      </c>
      <c r="I644" s="214" t="str">
        <f>IFERROR(__xludf.DUMMYFUNCTION("""COMPUTED_VALUE"""),"NORMAL")</f>
        <v>NORMAL</v>
      </c>
      <c r="J644" s="211">
        <f>IFERROR(__xludf.DUMMYFUNCTION("""COMPUTED_VALUE"""),10.0)</f>
        <v>10</v>
      </c>
      <c r="K644" s="210" t="str">
        <f>IFERROR(__xludf.DUMMYFUNCTION("""COMPUTED_VALUE"""),"1168 11158 11181 11138 11134 11133 1157 1160 1118 1156")</f>
        <v>1168 11158 11181 11138 11134 11133 1157 1160 1118 1156</v>
      </c>
      <c r="L644" s="211">
        <f>IFERROR(__xludf.DUMMYFUNCTION("""COMPUTED_VALUE"""),45000.0)</f>
        <v>45000</v>
      </c>
      <c r="M644" s="211"/>
      <c r="N644" s="211"/>
      <c r="O644" s="211"/>
      <c r="Q644" s="210" t="str">
        <f>IFERROR(__xludf.DUMMYFUNCTION("""COMPUTED_VALUE"""),"04250349")</f>
        <v>04250349</v>
      </c>
      <c r="R644" s="210" t="str">
        <f>IFERROR(__xludf.DUMMYFUNCTION("""COMPUTED_VALUE"""),"04250349")</f>
        <v>04250349</v>
      </c>
      <c r="S644" s="211" t="str">
        <f>IFERROR(__xludf.DUMMYFUNCTION("""COMPUTED_VALUE"""),"8f5ebaea")</f>
        <v>8f5ebaea</v>
      </c>
      <c r="T644" s="211" t="str">
        <f>IFERROR(__xludf.DUMMYFUNCTION("""COMPUTED_VALUE"""),"PT Hua Zong Mesindo")</f>
        <v>PT Hua Zong Mesindo</v>
      </c>
      <c r="U644" s="215">
        <f>IFERROR(__xludf.DUMMYFUNCTION("""COMPUTED_VALUE"""),45755.45347222222)</f>
        <v>45755.45347</v>
      </c>
      <c r="V644" s="211" t="str">
        <f>IFERROR(__xludf.DUMMYFUNCTION("""COMPUTED_VALUE"""),"Jl. Bypass Krian, Sidotemo, Sidomulyo, Kec. Krian, Kabupaten Sidoarjo, Jawa Timur 61262")</f>
        <v>Jl. Bypass Krian, Sidotemo, Sidomulyo, Kec. Krian, Kabupaten Sidoarjo, Jawa Timur 61262</v>
      </c>
      <c r="W644" s="211" t="str">
        <f>IFERROR(__xludf.DUMMYFUNCTION("""COMPUTED_VALUE"""),"OUT")</f>
        <v>OUT</v>
      </c>
      <c r="X644" s="211"/>
      <c r="Z644" s="211" t="str">
        <f>IFERROR(__xludf.DUMMYFUNCTION("""COMPUTED_VALUE"""),"112521692")</f>
        <v>112521692</v>
      </c>
      <c r="AC644" s="211"/>
      <c r="AD644" s="211"/>
      <c r="AE644" s="211"/>
      <c r="AF644" s="211"/>
      <c r="AG644" s="211"/>
      <c r="AH644" s="211"/>
      <c r="AI644" s="211"/>
      <c r="AJ644" s="211"/>
      <c r="AL644" s="211"/>
      <c r="AM644" s="211"/>
      <c r="AN644" s="211"/>
      <c r="AO644" s="211"/>
      <c r="AP644" s="215"/>
      <c r="AQ644" s="218"/>
      <c r="AR644" s="211"/>
      <c r="AS644" s="211"/>
      <c r="AT644" s="211"/>
      <c r="AU644" s="211"/>
      <c r="AV644" s="211"/>
      <c r="AW644" s="211"/>
      <c r="AX644" s="211"/>
      <c r="AY644" s="211"/>
      <c r="AZ644" s="211"/>
      <c r="BB644" s="211"/>
      <c r="BC644" s="211"/>
      <c r="BD644" s="211"/>
      <c r="BE644" s="211"/>
      <c r="BF644" s="211"/>
      <c r="BG644" s="211"/>
      <c r="BH644" s="211"/>
      <c r="BI644" s="211"/>
    </row>
    <row r="645">
      <c r="A645" s="210" t="str">
        <f>IFERROR(__xludf.DUMMYFUNCTION("""COMPUTED_VALUE"""),"936516cb")</f>
        <v>936516cb</v>
      </c>
      <c r="B645" s="210" t="str">
        <f>IFERROR(__xludf.DUMMYFUNCTION("""COMPUTED_VALUE"""),"936516cb")</f>
        <v>936516cb</v>
      </c>
      <c r="C645" s="213">
        <f>IFERROR(__xludf.DUMMYFUNCTION("""COMPUTED_VALUE"""),45701.62430555555)</f>
        <v>45701.62431</v>
      </c>
      <c r="D645" s="211" t="str">
        <f>IFERROR(__xludf.DUMMYFUNCTION("""COMPUTED_VALUE"""),"785e0e07")</f>
        <v>785e0e07</v>
      </c>
      <c r="E645" s="211" t="str">
        <f>IFERROR(__xludf.DUMMYFUNCTION("""COMPUTED_VALUE"""),"Bpk. Sukirno (Bejo)")</f>
        <v>Bpk. Sukirno (Bejo)</v>
      </c>
      <c r="F645" s="211" t="str">
        <f>IFERROR(__xludf.DUMMYFUNCTION("""COMPUTED_VALUE"""),"8bdbe149")</f>
        <v>8bdbe149</v>
      </c>
      <c r="G645" s="211" t="str">
        <f>IFERROR(__xludf.DUMMYFUNCTION("""COMPUTED_VALUE"""),"Oksigen 6m3")</f>
        <v>Oksigen 6m3</v>
      </c>
      <c r="H645" s="214" t="str">
        <f>IFERROR(__xludf.DUMMYFUNCTION("""COMPUTED_VALUE"""),"IN")</f>
        <v>IN</v>
      </c>
      <c r="I645" s="214" t="str">
        <f>IFERROR(__xludf.DUMMYFUNCTION("""COMPUTED_VALUE"""),"EMPTY")</f>
        <v>EMPTY</v>
      </c>
      <c r="J645" s="211">
        <f>IFERROR(__xludf.DUMMYFUNCTION("""COMPUTED_VALUE"""),12.0)</f>
        <v>12</v>
      </c>
      <c r="K645" s="210" t="str">
        <f>IFERROR(__xludf.DUMMYFUNCTION("""COMPUTED_VALUE"""),"1193 1146 11172 11135 01 11173 11180 11198 1129 11186 11195 11200")</f>
        <v>1193 1146 11172 11135 01 11173 11180 11198 1129 11186 11195 11200</v>
      </c>
      <c r="L645" s="211"/>
      <c r="M645" s="211"/>
      <c r="N645" s="211"/>
      <c r="O645" s="211"/>
      <c r="Q645" s="210" t="str">
        <f>IFERROR(__xludf.DUMMYFUNCTION("""COMPUTED_VALUE"""),"0ab37351")</f>
        <v>0ab37351</v>
      </c>
      <c r="R645" s="210" t="str">
        <f>IFERROR(__xludf.DUMMYFUNCTION("""COMPUTED_VALUE"""),"0ab37351")</f>
        <v>0ab37351</v>
      </c>
      <c r="S645" s="211" t="str">
        <f>IFERROR(__xludf.DUMMYFUNCTION("""COMPUTED_VALUE"""),"8f5ebaea")</f>
        <v>8f5ebaea</v>
      </c>
      <c r="T645" s="211" t="str">
        <f>IFERROR(__xludf.DUMMYFUNCTION("""COMPUTED_VALUE"""),"PT Hua Zong Mesindo")</f>
        <v>PT Hua Zong Mesindo</v>
      </c>
      <c r="U645" s="215">
        <f>IFERROR(__xludf.DUMMYFUNCTION("""COMPUTED_VALUE"""),45755.50625)</f>
        <v>45755.50625</v>
      </c>
      <c r="V645" s="211" t="str">
        <f>IFERROR(__xludf.DUMMYFUNCTION("""COMPUTED_VALUE"""),"Jl. Bypass Krian, Sidotemo, Sidomulyo, Kec. Krian, Kabupaten Sidoarjo, Jawa Timur 61262")</f>
        <v>Jl. Bypass Krian, Sidotemo, Sidomulyo, Kec. Krian, Kabupaten Sidoarjo, Jawa Timur 61262</v>
      </c>
      <c r="W645" s="211" t="str">
        <f>IFERROR(__xludf.DUMMYFUNCTION("""COMPUTED_VALUE"""),"IN")</f>
        <v>IN</v>
      </c>
      <c r="X645" s="211"/>
      <c r="Z645" s="211" t="str">
        <f>IFERROR(__xludf.DUMMYFUNCTION("""COMPUTED_VALUE"""),"112571690")</f>
        <v>112571690</v>
      </c>
      <c r="AC645" s="211"/>
      <c r="AD645" s="211"/>
      <c r="AE645" s="211"/>
      <c r="AF645" s="211"/>
      <c r="AG645" s="211"/>
      <c r="AH645" s="211"/>
      <c r="AI645" s="211"/>
      <c r="AJ645" s="211"/>
      <c r="AL645" s="211"/>
      <c r="AM645" s="211"/>
      <c r="AN645" s="211"/>
      <c r="AO645" s="211"/>
      <c r="AP645" s="215"/>
      <c r="AQ645" s="218"/>
      <c r="AR645" s="211"/>
      <c r="AS645" s="211"/>
      <c r="AT645" s="211"/>
      <c r="AU645" s="211"/>
      <c r="AV645" s="211"/>
      <c r="AW645" s="211"/>
      <c r="AX645" s="211"/>
      <c r="AY645" s="211"/>
      <c r="AZ645" s="211"/>
      <c r="BB645" s="211"/>
      <c r="BC645" s="211"/>
      <c r="BD645" s="211"/>
      <c r="BE645" s="211"/>
      <c r="BF645" s="211"/>
      <c r="BG645" s="211"/>
      <c r="BH645" s="211"/>
      <c r="BI645" s="211"/>
    </row>
    <row r="646">
      <c r="A646" s="210" t="str">
        <f>IFERROR(__xludf.DUMMYFUNCTION("""COMPUTED_VALUE"""),"d3d65567")</f>
        <v>d3d65567</v>
      </c>
      <c r="B646" s="210" t="str">
        <f>IFERROR(__xludf.DUMMYFUNCTION("""COMPUTED_VALUE"""),"d3d65567")</f>
        <v>d3d65567</v>
      </c>
      <c r="C646" s="213">
        <f>IFERROR(__xludf.DUMMYFUNCTION("""COMPUTED_VALUE"""),45701.62569444445)</f>
        <v>45701.62569</v>
      </c>
      <c r="D646" s="211" t="str">
        <f>IFERROR(__xludf.DUMMYFUNCTION("""COMPUTED_VALUE"""),"01158be1")</f>
        <v>01158be1</v>
      </c>
      <c r="E646" s="211" t="str">
        <f>IFERROR(__xludf.DUMMYFUNCTION("""COMPUTED_VALUE"""),"GYF")</f>
        <v>GYF</v>
      </c>
      <c r="F646" s="211" t="str">
        <f>IFERROR(__xludf.DUMMYFUNCTION("""COMPUTED_VALUE"""),"8bdbe149")</f>
        <v>8bdbe149</v>
      </c>
      <c r="G646" s="211" t="str">
        <f>IFERROR(__xludf.DUMMYFUNCTION("""COMPUTED_VALUE"""),"Oksigen 6m3")</f>
        <v>Oksigen 6m3</v>
      </c>
      <c r="H646" s="214" t="str">
        <f>IFERROR(__xludf.DUMMYFUNCTION("""COMPUTED_VALUE"""),"IN")</f>
        <v>IN</v>
      </c>
      <c r="I646" s="214" t="str">
        <f>IFERROR(__xludf.DUMMYFUNCTION("""COMPUTED_VALUE"""),"EMPTY")</f>
        <v>EMPTY</v>
      </c>
      <c r="J646" s="211">
        <f>IFERROR(__xludf.DUMMYFUNCTION("""COMPUTED_VALUE"""),3.0)</f>
        <v>3</v>
      </c>
      <c r="K646" s="210" t="str">
        <f>IFERROR(__xludf.DUMMYFUNCTION("""COMPUTED_VALUE"""),"1105 1171 1163")</f>
        <v>1105 1171 1163</v>
      </c>
      <c r="L646" s="211"/>
      <c r="M646" s="211"/>
      <c r="N646" s="211"/>
      <c r="O646" s="211"/>
      <c r="Q646" s="210" t="str">
        <f>IFERROR(__xludf.DUMMYFUNCTION("""COMPUTED_VALUE"""),"04250352")</f>
        <v>04250352</v>
      </c>
      <c r="R646" s="210" t="str">
        <f>IFERROR(__xludf.DUMMYFUNCTION("""COMPUTED_VALUE"""),"04250352")</f>
        <v>04250352</v>
      </c>
      <c r="S646" s="211" t="str">
        <f>IFERROR(__xludf.DUMMYFUNCTION("""COMPUTED_VALUE"""),"4bef3bbf")</f>
        <v>4bef3bbf</v>
      </c>
      <c r="T646" s="211" t="str">
        <f>IFERROR(__xludf.DUMMYFUNCTION("""COMPUTED_VALUE"""),"PT Dingsheng Metal Indonesia (Ngoro)")</f>
        <v>PT Dingsheng Metal Indonesia (Ngoro)</v>
      </c>
      <c r="U646" s="215">
        <f>IFERROR(__xludf.DUMMYFUNCTION("""COMPUTED_VALUE"""),45755.584027777775)</f>
        <v>45755.58403</v>
      </c>
      <c r="V646" s="211" t="str">
        <f>IFERROR(__xludf.DUMMYFUNCTION("""COMPUTED_VALUE"""),"Kri Kilan, Watesnegoro, Kec. Ngoro, Kabupaten Mojokerto, Jawa Timur 61385")</f>
        <v>Kri Kilan, Watesnegoro, Kec. Ngoro, Kabupaten Mojokerto, Jawa Timur 61385</v>
      </c>
      <c r="W646" s="211" t="str">
        <f>IFERROR(__xludf.DUMMYFUNCTION("""COMPUTED_VALUE"""),"OUT")</f>
        <v>OUT</v>
      </c>
      <c r="X646" s="211"/>
      <c r="Z646" s="211" t="str">
        <f>IFERROR(__xludf.DUMMYFUNCTION("""COMPUTED_VALUE"""),"1125191689")</f>
        <v>1125191689</v>
      </c>
      <c r="AC646" s="211"/>
      <c r="AD646" s="211"/>
      <c r="AE646" s="211"/>
      <c r="AF646" s="211"/>
      <c r="AG646" s="211"/>
      <c r="AH646" s="211"/>
      <c r="AI646" s="211"/>
      <c r="AJ646" s="211"/>
      <c r="AL646" s="211"/>
      <c r="AM646" s="211"/>
      <c r="AN646" s="211"/>
      <c r="AO646" s="211"/>
      <c r="AP646" s="215"/>
      <c r="AQ646" s="218"/>
      <c r="AR646" s="211"/>
      <c r="AS646" s="211"/>
      <c r="AT646" s="211"/>
      <c r="AU646" s="211"/>
      <c r="AV646" s="211"/>
      <c r="AW646" s="211"/>
      <c r="AX646" s="211"/>
      <c r="AY646" s="211"/>
      <c r="AZ646" s="211"/>
      <c r="BB646" s="211"/>
      <c r="BC646" s="211"/>
      <c r="BD646" s="211"/>
      <c r="BE646" s="211"/>
      <c r="BF646" s="211"/>
      <c r="BG646" s="211"/>
      <c r="BH646" s="211"/>
      <c r="BI646" s="211"/>
    </row>
    <row r="647">
      <c r="A647" s="210" t="str">
        <f>IFERROR(__xludf.DUMMYFUNCTION("""COMPUTED_VALUE"""),"02250261")</f>
        <v>02250261</v>
      </c>
      <c r="B647" s="210" t="str">
        <f>IFERROR(__xludf.DUMMYFUNCTION("""COMPUTED_VALUE"""),"02250261")</f>
        <v>02250261</v>
      </c>
      <c r="C647" s="213">
        <f>IFERROR(__xludf.DUMMYFUNCTION("""COMPUTED_VALUE"""),45702.40069444444)</f>
        <v>45702.40069</v>
      </c>
      <c r="D647" s="211" t="str">
        <f>IFERROR(__xludf.DUMMYFUNCTION("""COMPUTED_VALUE"""),"4ec68cf6")</f>
        <v>4ec68cf6</v>
      </c>
      <c r="E647" s="211" t="str">
        <f>IFERROR(__xludf.DUMMYFUNCTION("""COMPUTED_VALUE"""),"CV Sido Mukti Karya")</f>
        <v>CV Sido Mukti Karya</v>
      </c>
      <c r="F647" s="211" t="str">
        <f>IFERROR(__xludf.DUMMYFUNCTION("""COMPUTED_VALUE"""),"8bdbe149")</f>
        <v>8bdbe149</v>
      </c>
      <c r="G647" s="211" t="str">
        <f>IFERROR(__xludf.DUMMYFUNCTION("""COMPUTED_VALUE"""),"Oksigen 6m3")</f>
        <v>Oksigen 6m3</v>
      </c>
      <c r="H647" s="214" t="str">
        <f>IFERROR(__xludf.DUMMYFUNCTION("""COMPUTED_VALUE"""),"OUT")</f>
        <v>OUT</v>
      </c>
      <c r="I647" s="214" t="str">
        <f>IFERROR(__xludf.DUMMYFUNCTION("""COMPUTED_VALUE"""),"NORMAL")</f>
        <v>NORMAL</v>
      </c>
      <c r="J647" s="211">
        <f>IFERROR(__xludf.DUMMYFUNCTION("""COMPUTED_VALUE"""),8.0)</f>
        <v>8</v>
      </c>
      <c r="K647" s="210" t="str">
        <f>IFERROR(__xludf.DUMMYFUNCTION("""COMPUTED_VALUE"""),"1163 1171 1106 1193 11180 11198 11186 11200")</f>
        <v>1163 1171 1106 1193 11180 11198 11186 11200</v>
      </c>
      <c r="L647" s="211">
        <f>IFERROR(__xludf.DUMMYFUNCTION("""COMPUTED_VALUE"""),60000.0)</f>
        <v>60000</v>
      </c>
      <c r="M647" s="211"/>
      <c r="N647" s="211"/>
      <c r="O647" s="211"/>
      <c r="Q647" s="210" t="str">
        <f>IFERROR(__xludf.DUMMYFUNCTION("""COMPUTED_VALUE"""),"fec6e5d5")</f>
        <v>fec6e5d5</v>
      </c>
      <c r="R647" s="210" t="str">
        <f>IFERROR(__xludf.DUMMYFUNCTION("""COMPUTED_VALUE"""),"fec6e5d5")</f>
        <v>fec6e5d5</v>
      </c>
      <c r="S647" s="211" t="str">
        <f>IFERROR(__xludf.DUMMYFUNCTION("""COMPUTED_VALUE"""),"e93f2c03")</f>
        <v>e93f2c03</v>
      </c>
      <c r="T647" s="211" t="str">
        <f>IFERROR(__xludf.DUMMYFUNCTION("""COMPUTED_VALUE"""),"Ibu Siti Barokah")</f>
        <v>Ibu Siti Barokah</v>
      </c>
      <c r="U647" s="215">
        <f>IFERROR(__xludf.DUMMYFUNCTION("""COMPUTED_VALUE"""),45755.625)</f>
        <v>45755.625</v>
      </c>
      <c r="V647" s="211" t="str">
        <f>IFERROR(__xludf.DUMMYFUNCTION("""COMPUTED_VALUE"""),"#N/A")</f>
        <v>#N/A</v>
      </c>
      <c r="W647" s="211" t="str">
        <f>IFERROR(__xludf.DUMMYFUNCTION("""COMPUTED_VALUE"""),"IN")</f>
        <v>IN</v>
      </c>
      <c r="X647" s="211"/>
      <c r="Z647" s="211" t="str">
        <f>IFERROR(__xludf.DUMMYFUNCTION("""COMPUTED_VALUE"""),"1125381685")</f>
        <v>1125381685</v>
      </c>
      <c r="AC647" s="211"/>
      <c r="AD647" s="211"/>
      <c r="AE647" s="211"/>
      <c r="AF647" s="211"/>
      <c r="AG647" s="211"/>
      <c r="AH647" s="211"/>
      <c r="AI647" s="211"/>
      <c r="AJ647" s="211"/>
      <c r="AL647" s="211"/>
      <c r="AM647" s="211"/>
      <c r="AN647" s="211"/>
      <c r="AO647" s="211"/>
      <c r="AP647" s="215"/>
      <c r="AQ647" s="218"/>
      <c r="AR647" s="211"/>
      <c r="AS647" s="211"/>
      <c r="AT647" s="211"/>
      <c r="AU647" s="211"/>
      <c r="AV647" s="211"/>
      <c r="AW647" s="211"/>
      <c r="AX647" s="211"/>
      <c r="AY647" s="211"/>
      <c r="AZ647" s="211"/>
      <c r="BB647" s="211"/>
      <c r="BC647" s="211"/>
      <c r="BD647" s="211"/>
      <c r="BE647" s="211"/>
      <c r="BF647" s="211"/>
      <c r="BG647" s="211"/>
      <c r="BH647" s="211"/>
      <c r="BI647" s="211"/>
    </row>
    <row r="648">
      <c r="A648" s="210" t="str">
        <f>IFERROR(__xludf.DUMMYFUNCTION("""COMPUTED_VALUE"""),"02250262")</f>
        <v>02250262</v>
      </c>
      <c r="B648" s="210" t="str">
        <f>IFERROR(__xludf.DUMMYFUNCTION("""COMPUTED_VALUE"""),"02250262")</f>
        <v>02250262</v>
      </c>
      <c r="C648" s="213">
        <f>IFERROR(__xludf.DUMMYFUNCTION("""COMPUTED_VALUE"""),45702.402083333334)</f>
        <v>45702.40208</v>
      </c>
      <c r="D648" s="211" t="str">
        <f>IFERROR(__xludf.DUMMYFUNCTION("""COMPUTED_VALUE"""),"5f23ba17")</f>
        <v>5f23ba17</v>
      </c>
      <c r="E648" s="211" t="str">
        <f>IFERROR(__xludf.DUMMYFUNCTION("""COMPUTED_VALUE"""),"Bpk. Joko (Gresik)")</f>
        <v>Bpk. Joko (Gresik)</v>
      </c>
      <c r="F648" s="211" t="str">
        <f>IFERROR(__xludf.DUMMYFUNCTION("""COMPUTED_VALUE"""),"f6aab7a9")</f>
        <v>f6aab7a9</v>
      </c>
      <c r="G648" s="211" t="str">
        <f>IFERROR(__xludf.DUMMYFUNCTION("""COMPUTED_VALUE"""),"Oksigen 6m3 MR")</f>
        <v>Oksigen 6m3 MR</v>
      </c>
      <c r="H648" s="214" t="str">
        <f>IFERROR(__xludf.DUMMYFUNCTION("""COMPUTED_VALUE"""),"OUT")</f>
        <v>OUT</v>
      </c>
      <c r="I648" s="214" t="str">
        <f>IFERROR(__xludf.DUMMYFUNCTION("""COMPUTED_VALUE"""),"NORMAL")</f>
        <v>NORMAL</v>
      </c>
      <c r="J648" s="211">
        <f>IFERROR(__xludf.DUMMYFUNCTION("""COMPUTED_VALUE"""),10.0)</f>
        <v>10</v>
      </c>
      <c r="K648" s="211"/>
      <c r="L648" s="211">
        <f>IFERROR(__xludf.DUMMYFUNCTION("""COMPUTED_VALUE"""),55000.0)</f>
        <v>55000</v>
      </c>
      <c r="M648" s="211"/>
      <c r="N648" s="211"/>
      <c r="O648" s="211"/>
      <c r="Q648" s="210" t="str">
        <f>IFERROR(__xludf.DUMMYFUNCTION("""COMPUTED_VALUE"""),"04250354")</f>
        <v>04250354</v>
      </c>
      <c r="R648" s="210" t="str">
        <f>IFERROR(__xludf.DUMMYFUNCTION("""COMPUTED_VALUE"""),"04250354")</f>
        <v>04250354</v>
      </c>
      <c r="S648" s="211" t="str">
        <f>IFERROR(__xludf.DUMMYFUNCTION("""COMPUTED_VALUE"""),"103f3ae7")</f>
        <v>103f3ae7</v>
      </c>
      <c r="T648" s="211" t="str">
        <f>IFERROR(__xludf.DUMMYFUNCTION("""COMPUTED_VALUE"""),"PT ARYANA CAKASANA")</f>
        <v>PT ARYANA CAKASANA</v>
      </c>
      <c r="U648" s="215">
        <f>IFERROR(__xludf.DUMMYFUNCTION("""COMPUTED_VALUE"""),45756.32708333334)</f>
        <v>45756.32708</v>
      </c>
      <c r="V648" s="211" t="str">
        <f>IFERROR(__xludf.DUMMYFUNCTION("""COMPUTED_VALUE"""),"Jl Raya Tarik No. 45, Wonokupang, Bakalan, Balongbendo")</f>
        <v>Jl Raya Tarik No. 45, Wonokupang, Bakalan, Balongbendo</v>
      </c>
      <c r="W648" s="211" t="str">
        <f>IFERROR(__xludf.DUMMYFUNCTION("""COMPUTED_VALUE"""),"OUT")</f>
        <v>OUT</v>
      </c>
      <c r="X648" s="211"/>
      <c r="Z648" s="211" t="str">
        <f>IFERROR(__xludf.DUMMYFUNCTION("""COMPUTED_VALUE"""),"112581684")</f>
        <v>112581684</v>
      </c>
      <c r="AC648" s="211"/>
      <c r="AD648" s="211"/>
      <c r="AE648" s="211"/>
      <c r="AF648" s="211"/>
      <c r="AG648" s="211"/>
      <c r="AH648" s="211"/>
      <c r="AI648" s="211"/>
      <c r="AJ648" s="211"/>
      <c r="AL648" s="211"/>
      <c r="AM648" s="211"/>
      <c r="AN648" s="211"/>
      <c r="AO648" s="211"/>
      <c r="AP648" s="215"/>
      <c r="AQ648" s="218"/>
      <c r="AR648" s="211"/>
      <c r="AS648" s="211"/>
      <c r="AT648" s="211"/>
      <c r="AU648" s="211"/>
      <c r="AV648" s="211"/>
      <c r="AW648" s="211"/>
      <c r="AX648" s="211"/>
      <c r="AY648" s="211"/>
      <c r="AZ648" s="211"/>
      <c r="BB648" s="211"/>
      <c r="BC648" s="211"/>
      <c r="BD648" s="211"/>
      <c r="BE648" s="211"/>
      <c r="BF648" s="211"/>
      <c r="BG648" s="211"/>
      <c r="BH648" s="211"/>
      <c r="BI648" s="211"/>
    </row>
    <row r="649">
      <c r="A649" s="210" t="str">
        <f>IFERROR(__xludf.DUMMYFUNCTION("""COMPUTED_VALUE"""),"02250263")</f>
        <v>02250263</v>
      </c>
      <c r="B649" s="210" t="str">
        <f>IFERROR(__xludf.DUMMYFUNCTION("""COMPUTED_VALUE"""),"02250263")</f>
        <v>02250263</v>
      </c>
      <c r="C649" s="213">
        <f>IFERROR(__xludf.DUMMYFUNCTION("""COMPUTED_VALUE"""),45702.475)</f>
        <v>45702.475</v>
      </c>
      <c r="D649" s="211" t="str">
        <f>IFERROR(__xludf.DUMMYFUNCTION("""COMPUTED_VALUE"""),"2d88931c")</f>
        <v>2d88931c</v>
      </c>
      <c r="E649" s="211" t="str">
        <f>IFERROR(__xludf.DUMMYFUNCTION("""COMPUTED_VALUE"""),"PT Dunia Berkat Marga Mulya")</f>
        <v>PT Dunia Berkat Marga Mulya</v>
      </c>
      <c r="F649" s="211" t="str">
        <f>IFERROR(__xludf.DUMMYFUNCTION("""COMPUTED_VALUE"""),"8bdbe149")</f>
        <v>8bdbe149</v>
      </c>
      <c r="G649" s="211" t="str">
        <f>IFERROR(__xludf.DUMMYFUNCTION("""COMPUTED_VALUE"""),"Oksigen 6m3")</f>
        <v>Oksigen 6m3</v>
      </c>
      <c r="H649" s="214" t="str">
        <f>IFERROR(__xludf.DUMMYFUNCTION("""COMPUTED_VALUE"""),"OUT")</f>
        <v>OUT</v>
      </c>
      <c r="I649" s="214" t="str">
        <f>IFERROR(__xludf.DUMMYFUNCTION("""COMPUTED_VALUE"""),"NORMAL")</f>
        <v>NORMAL</v>
      </c>
      <c r="J649" s="211">
        <f>IFERROR(__xludf.DUMMYFUNCTION("""COMPUTED_VALUE"""),4.0)</f>
        <v>4</v>
      </c>
      <c r="K649" s="210" t="str">
        <f>IFERROR(__xludf.DUMMYFUNCTION("""COMPUTED_VALUE"""),"1102 1129 1146 1140")</f>
        <v>1102 1129 1146 1140</v>
      </c>
      <c r="L649" s="211">
        <f>IFERROR(__xludf.DUMMYFUNCTION("""COMPUTED_VALUE"""),60000.0)</f>
        <v>60000</v>
      </c>
      <c r="M649" s="211"/>
      <c r="N649" s="211"/>
      <c r="O649" s="211"/>
      <c r="Q649" s="210" t="str">
        <f>IFERROR(__xludf.DUMMYFUNCTION("""COMPUTED_VALUE"""),"b790e449")</f>
        <v>b790e449</v>
      </c>
      <c r="R649" s="210" t="str">
        <f>IFERROR(__xludf.DUMMYFUNCTION("""COMPUTED_VALUE"""),"b790e449")</f>
        <v>b790e449</v>
      </c>
      <c r="S649" s="211" t="str">
        <f>IFERROR(__xludf.DUMMYFUNCTION("""COMPUTED_VALUE"""),"4bef3bbf")</f>
        <v>4bef3bbf</v>
      </c>
      <c r="T649" s="211" t="str">
        <f>IFERROR(__xludf.DUMMYFUNCTION("""COMPUTED_VALUE"""),"PT Dingsheng Metal Indonesia (Ngoro)")</f>
        <v>PT Dingsheng Metal Indonesia (Ngoro)</v>
      </c>
      <c r="U649" s="215">
        <f>IFERROR(__xludf.DUMMYFUNCTION("""COMPUTED_VALUE"""),45755.70277777778)</f>
        <v>45755.70278</v>
      </c>
      <c r="V649" s="211" t="str">
        <f>IFERROR(__xludf.DUMMYFUNCTION("""COMPUTED_VALUE"""),"Kri Kilan, Watesnegoro, Kec. Ngoro, Kabupaten Mojokerto, Jawa Timur 61385")</f>
        <v>Kri Kilan, Watesnegoro, Kec. Ngoro, Kabupaten Mojokerto, Jawa Timur 61385</v>
      </c>
      <c r="W649" s="211" t="str">
        <f>IFERROR(__xludf.DUMMYFUNCTION("""COMPUTED_VALUE"""),"IN")</f>
        <v>IN</v>
      </c>
      <c r="X649" s="211"/>
      <c r="Z649" s="211" t="str">
        <f>IFERROR(__xludf.DUMMYFUNCTION("""COMPUTED_VALUE"""),"1125681678")</f>
        <v>1125681678</v>
      </c>
      <c r="AC649" s="211"/>
      <c r="AD649" s="211"/>
      <c r="AE649" s="211"/>
      <c r="AF649" s="211"/>
      <c r="AG649" s="211"/>
      <c r="AH649" s="211"/>
      <c r="AI649" s="211"/>
      <c r="AJ649" s="211"/>
      <c r="AL649" s="211"/>
      <c r="AM649" s="211"/>
      <c r="AN649" s="211"/>
      <c r="AO649" s="211"/>
      <c r="AP649" s="215"/>
      <c r="AQ649" s="218"/>
      <c r="AR649" s="211"/>
      <c r="AS649" s="211"/>
      <c r="AT649" s="211"/>
      <c r="AU649" s="211"/>
      <c r="AV649" s="211"/>
      <c r="AW649" s="211"/>
      <c r="AX649" s="211"/>
      <c r="AY649" s="211"/>
      <c r="AZ649" s="211"/>
      <c r="BB649" s="211"/>
      <c r="BC649" s="211"/>
      <c r="BD649" s="211"/>
      <c r="BE649" s="211"/>
      <c r="BF649" s="211"/>
      <c r="BG649" s="211"/>
      <c r="BH649" s="211"/>
      <c r="BI649" s="211"/>
    </row>
    <row r="650">
      <c r="A650" s="210" t="str">
        <f>IFERROR(__xludf.DUMMYFUNCTION("""COMPUTED_VALUE"""),"75243872")</f>
        <v>75243872</v>
      </c>
      <c r="B650" s="210" t="str">
        <f>IFERROR(__xludf.DUMMYFUNCTION("""COMPUTED_VALUE"""),"75243872")</f>
        <v>75243872</v>
      </c>
      <c r="C650" s="213">
        <f>IFERROR(__xludf.DUMMYFUNCTION("""COMPUTED_VALUE"""),45702.48055555556)</f>
        <v>45702.48056</v>
      </c>
      <c r="D650" s="211" t="str">
        <f>IFERROR(__xludf.DUMMYFUNCTION("""COMPUTED_VALUE"""),"4ec68cf6")</f>
        <v>4ec68cf6</v>
      </c>
      <c r="E650" s="211" t="str">
        <f>IFERROR(__xludf.DUMMYFUNCTION("""COMPUTED_VALUE"""),"CV Sido Mukti Karya")</f>
        <v>CV Sido Mukti Karya</v>
      </c>
      <c r="F650" s="211" t="str">
        <f>IFERROR(__xludf.DUMMYFUNCTION("""COMPUTED_VALUE"""),"ef306e54")</f>
        <v>ef306e54</v>
      </c>
      <c r="G650" s="211" t="str">
        <f>IFERROR(__xludf.DUMMYFUNCTION("""COMPUTED_VALUE"""),"Karbondioksida")</f>
        <v>Karbondioksida</v>
      </c>
      <c r="H650" s="214" t="str">
        <f>IFERROR(__xludf.DUMMYFUNCTION("""COMPUTED_VALUE"""),"IN")</f>
        <v>IN</v>
      </c>
      <c r="I650" s="214" t="str">
        <f>IFERROR(__xludf.DUMMYFUNCTION("""COMPUTED_VALUE"""),"EMPTY")</f>
        <v>EMPTY</v>
      </c>
      <c r="J650" s="211">
        <f>IFERROR(__xludf.DUMMYFUNCTION("""COMPUTED_VALUE"""),3.0)</f>
        <v>3</v>
      </c>
      <c r="K650" s="210" t="str">
        <f>IFERROR(__xludf.DUMMYFUNCTION("""COMPUTED_VALUE"""),"6760 6643 6769")</f>
        <v>6760 6643 6769</v>
      </c>
      <c r="L650" s="211"/>
      <c r="M650" s="211"/>
      <c r="N650" s="211"/>
      <c r="O650" s="211"/>
      <c r="Q650" s="210" t="str">
        <f>IFERROR(__xludf.DUMMYFUNCTION("""COMPUTED_VALUE"""),"04250355")</f>
        <v>04250355</v>
      </c>
      <c r="R650" s="210" t="str">
        <f>IFERROR(__xludf.DUMMYFUNCTION("""COMPUTED_VALUE"""),"04250355")</f>
        <v>04250355</v>
      </c>
      <c r="S650" s="211" t="str">
        <f>IFERROR(__xludf.DUMMYFUNCTION("""COMPUTED_VALUE"""),"b2b5f2c5")</f>
        <v>b2b5f2c5</v>
      </c>
      <c r="T650" s="211" t="str">
        <f>IFERROR(__xludf.DUMMYFUNCTION("""COMPUTED_VALUE"""),"Bengkel Las Bpk. Ari")</f>
        <v>Bengkel Las Bpk. Ari</v>
      </c>
      <c r="U650" s="215">
        <f>IFERROR(__xludf.DUMMYFUNCTION("""COMPUTED_VALUE"""),45756.38402777778)</f>
        <v>45756.38403</v>
      </c>
      <c r="V650" s="211" t="str">
        <f>IFERROR(__xludf.DUMMYFUNCTION("""COMPUTED_VALUE"""),"Sumber Kembar, Wonodadi, Kec. Kutorejo, Kabupaten Mojokerto, Jawa Timur")</f>
        <v>Sumber Kembar, Wonodadi, Kec. Kutorejo, Kabupaten Mojokerto, Jawa Timur</v>
      </c>
      <c r="W650" s="211" t="str">
        <f>IFERROR(__xludf.DUMMYFUNCTION("""COMPUTED_VALUE"""),"OUT")</f>
        <v>OUT</v>
      </c>
      <c r="X650" s="211"/>
      <c r="Z650" s="211" t="str">
        <f>IFERROR(__xludf.DUMMYFUNCTION("""COMPUTED_VALUE"""),"112561677")</f>
        <v>112561677</v>
      </c>
      <c r="AC650" s="211"/>
      <c r="AD650" s="211"/>
      <c r="AE650" s="211"/>
      <c r="AF650" s="211"/>
      <c r="AG650" s="211"/>
      <c r="AH650" s="211"/>
      <c r="AI650" s="211"/>
      <c r="AJ650" s="211"/>
      <c r="AL650" s="211"/>
      <c r="AM650" s="211"/>
      <c r="AN650" s="211"/>
      <c r="AO650" s="211"/>
      <c r="AP650" s="215"/>
      <c r="AQ650" s="218"/>
      <c r="AR650" s="211"/>
      <c r="AS650" s="211"/>
      <c r="AT650" s="211"/>
      <c r="AU650" s="211"/>
      <c r="AV650" s="211"/>
      <c r="AW650" s="211"/>
      <c r="AX650" s="211"/>
      <c r="AY650" s="211"/>
      <c r="AZ650" s="211"/>
      <c r="BB650" s="211"/>
      <c r="BC650" s="211"/>
      <c r="BD650" s="211"/>
      <c r="BE650" s="211"/>
      <c r="BF650" s="211"/>
      <c r="BG650" s="211"/>
      <c r="BH650" s="211"/>
      <c r="BI650" s="211"/>
    </row>
    <row r="651">
      <c r="A651" s="210" t="str">
        <f>IFERROR(__xludf.DUMMYFUNCTION("""COMPUTED_VALUE"""),"75243872")</f>
        <v>75243872</v>
      </c>
      <c r="B651" s="210" t="str">
        <f>IFERROR(__xludf.DUMMYFUNCTION("""COMPUTED_VALUE"""),"75243872")</f>
        <v>75243872</v>
      </c>
      <c r="C651" s="213">
        <f>IFERROR(__xludf.DUMMYFUNCTION("""COMPUTED_VALUE"""),45702.48125)</f>
        <v>45702.48125</v>
      </c>
      <c r="D651" s="211" t="str">
        <f>IFERROR(__xludf.DUMMYFUNCTION("""COMPUTED_VALUE"""),"4ec68cf6")</f>
        <v>4ec68cf6</v>
      </c>
      <c r="E651" s="211" t="str">
        <f>IFERROR(__xludf.DUMMYFUNCTION("""COMPUTED_VALUE"""),"CV Sido Mukti Karya")</f>
        <v>CV Sido Mukti Karya</v>
      </c>
      <c r="F651" s="211" t="str">
        <f>IFERROR(__xludf.DUMMYFUNCTION("""COMPUTED_VALUE"""),"8bdbe149")</f>
        <v>8bdbe149</v>
      </c>
      <c r="G651" s="211" t="str">
        <f>IFERROR(__xludf.DUMMYFUNCTION("""COMPUTED_VALUE"""),"Oksigen 6m3")</f>
        <v>Oksigen 6m3</v>
      </c>
      <c r="H651" s="214" t="str">
        <f>IFERROR(__xludf.DUMMYFUNCTION("""COMPUTED_VALUE"""),"IN")</f>
        <v>IN</v>
      </c>
      <c r="I651" s="214" t="str">
        <f>IFERROR(__xludf.DUMMYFUNCTION("""COMPUTED_VALUE"""),"EMPTY")</f>
        <v>EMPTY</v>
      </c>
      <c r="J651" s="211">
        <f>IFERROR(__xludf.DUMMYFUNCTION("""COMPUTED_VALUE"""),6.0)</f>
        <v>6</v>
      </c>
      <c r="K651" s="210" t="str">
        <f>IFERROR(__xludf.DUMMYFUNCTION("""COMPUTED_VALUE"""),"11175 11189 11201 1170 1175 1173")</f>
        <v>11175 11189 11201 1170 1175 1173</v>
      </c>
      <c r="L651" s="211"/>
      <c r="M651" s="211"/>
      <c r="N651" s="211"/>
      <c r="O651" s="211"/>
      <c r="Q651" s="210" t="str">
        <f>IFERROR(__xludf.DUMMYFUNCTION("""COMPUTED_VALUE"""),"04250356")</f>
        <v>04250356</v>
      </c>
      <c r="R651" s="210" t="str">
        <f>IFERROR(__xludf.DUMMYFUNCTION("""COMPUTED_VALUE"""),"04250356")</f>
        <v>04250356</v>
      </c>
      <c r="S651" s="211" t="str">
        <f>IFERROR(__xludf.DUMMYFUNCTION("""COMPUTED_VALUE"""),"01158be1")</f>
        <v>01158be1</v>
      </c>
      <c r="T651" s="211" t="str">
        <f>IFERROR(__xludf.DUMMYFUNCTION("""COMPUTED_VALUE"""),"GYF")</f>
        <v>GYF</v>
      </c>
      <c r="U651" s="215">
        <f>IFERROR(__xludf.DUMMYFUNCTION("""COMPUTED_VALUE"""),45756.42847222222)</f>
        <v>45756.42847</v>
      </c>
      <c r="V651" s="211" t="str">
        <f>IFERROR(__xludf.DUMMYFUNCTION("""COMPUTED_VALUE"""),"Kangkungan, Lengkong, Kec. Mojoanyar, Kabupaten Mojokerto, Jawa Timur")</f>
        <v>Kangkungan, Lengkong, Kec. Mojoanyar, Kabupaten Mojokerto, Jawa Timur</v>
      </c>
      <c r="W651" s="211" t="str">
        <f>IFERROR(__xludf.DUMMYFUNCTION("""COMPUTED_VALUE"""),"OUT")</f>
        <v>OUT</v>
      </c>
      <c r="X651" s="211"/>
      <c r="Z651" s="211" t="str">
        <f>IFERROR(__xludf.DUMMYFUNCTION("""COMPUTED_VALUE"""),"112531675")</f>
        <v>112531675</v>
      </c>
      <c r="AC651" s="211"/>
      <c r="AD651" s="211"/>
      <c r="AE651" s="211"/>
      <c r="AF651" s="211"/>
      <c r="AG651" s="211"/>
      <c r="AH651" s="211"/>
      <c r="AI651" s="211"/>
      <c r="AJ651" s="211"/>
      <c r="AL651" s="211"/>
      <c r="AM651" s="211"/>
      <c r="AN651" s="211"/>
      <c r="AO651" s="211"/>
      <c r="AP651" s="215"/>
      <c r="AQ651" s="218"/>
      <c r="AR651" s="211"/>
      <c r="AS651" s="211"/>
      <c r="AT651" s="211"/>
      <c r="AU651" s="211"/>
      <c r="AV651" s="211"/>
      <c r="AW651" s="211"/>
      <c r="AX651" s="211"/>
      <c r="AY651" s="211"/>
      <c r="AZ651" s="211"/>
      <c r="BB651" s="211"/>
      <c r="BC651" s="211"/>
      <c r="BD651" s="211"/>
      <c r="BE651" s="211"/>
      <c r="BF651" s="211"/>
      <c r="BG651" s="211"/>
      <c r="BH651" s="211"/>
      <c r="BI651" s="211"/>
    </row>
    <row r="652">
      <c r="A652" s="210" t="str">
        <f>IFERROR(__xludf.DUMMYFUNCTION("""COMPUTED_VALUE"""),"36e5d5e1")</f>
        <v>36e5d5e1</v>
      </c>
      <c r="B652" s="210" t="str">
        <f>IFERROR(__xludf.DUMMYFUNCTION("""COMPUTED_VALUE"""),"36e5d5e1")</f>
        <v>36e5d5e1</v>
      </c>
      <c r="C652" s="213">
        <f>IFERROR(__xludf.DUMMYFUNCTION("""COMPUTED_VALUE"""),45702.48125)</f>
        <v>45702.48125</v>
      </c>
      <c r="D652" s="211" t="str">
        <f>IFERROR(__xludf.DUMMYFUNCTION("""COMPUTED_VALUE"""),"2d88931c")</f>
        <v>2d88931c</v>
      </c>
      <c r="E652" s="211" t="str">
        <f>IFERROR(__xludf.DUMMYFUNCTION("""COMPUTED_VALUE"""),"PT Dunia Berkat Marga Mulya")</f>
        <v>PT Dunia Berkat Marga Mulya</v>
      </c>
      <c r="F652" s="211" t="str">
        <f>IFERROR(__xludf.DUMMYFUNCTION("""COMPUTED_VALUE"""),"8bdbe149")</f>
        <v>8bdbe149</v>
      </c>
      <c r="G652" s="211" t="str">
        <f>IFERROR(__xludf.DUMMYFUNCTION("""COMPUTED_VALUE"""),"Oksigen 6m3")</f>
        <v>Oksigen 6m3</v>
      </c>
      <c r="H652" s="214" t="str">
        <f>IFERROR(__xludf.DUMMYFUNCTION("""COMPUTED_VALUE"""),"IN")</f>
        <v>IN</v>
      </c>
      <c r="I652" s="214" t="str">
        <f>IFERROR(__xludf.DUMMYFUNCTION("""COMPUTED_VALUE"""),"EMPTY")</f>
        <v>EMPTY</v>
      </c>
      <c r="J652" s="211">
        <f>IFERROR(__xludf.DUMMYFUNCTION("""COMPUTED_VALUE"""),3.0)</f>
        <v>3</v>
      </c>
      <c r="K652" s="210" t="str">
        <f>IFERROR(__xludf.DUMMYFUNCTION("""COMPUTED_VALUE"""),"11117 11212 1186")</f>
        <v>11117 11212 1186</v>
      </c>
      <c r="L652" s="211"/>
      <c r="M652" s="211"/>
      <c r="N652" s="211"/>
      <c r="O652" s="211"/>
      <c r="Q652" s="210" t="str">
        <f>IFERROR(__xludf.DUMMYFUNCTION("""COMPUTED_VALUE"""),"aa2e5e6e")</f>
        <v>aa2e5e6e</v>
      </c>
      <c r="R652" s="210" t="str">
        <f>IFERROR(__xludf.DUMMYFUNCTION("""COMPUTED_VALUE"""),"aa2e5e6e")</f>
        <v>aa2e5e6e</v>
      </c>
      <c r="S652" s="211" t="str">
        <f>IFERROR(__xludf.DUMMYFUNCTION("""COMPUTED_VALUE"""),"01158be1")</f>
        <v>01158be1</v>
      </c>
      <c r="T652" s="211" t="str">
        <f>IFERROR(__xludf.DUMMYFUNCTION("""COMPUTED_VALUE"""),"GYF")</f>
        <v>GYF</v>
      </c>
      <c r="U652" s="215">
        <f>IFERROR(__xludf.DUMMYFUNCTION("""COMPUTED_VALUE"""),45756.625)</f>
        <v>45756.625</v>
      </c>
      <c r="V652" s="211" t="str">
        <f>IFERROR(__xludf.DUMMYFUNCTION("""COMPUTED_VALUE"""),"Kangkungan, Lengkong, Kec. Mojoanyar, Kabupaten Mojokerto, Jawa Timur")</f>
        <v>Kangkungan, Lengkong, Kec. Mojoanyar, Kabupaten Mojokerto, Jawa Timur</v>
      </c>
      <c r="W652" s="211" t="str">
        <f>IFERROR(__xludf.DUMMYFUNCTION("""COMPUTED_VALUE"""),"IN")</f>
        <v>IN</v>
      </c>
      <c r="X652" s="211"/>
      <c r="Z652" s="211" t="str">
        <f>IFERROR(__xludf.DUMMYFUNCTION("""COMPUTED_VALUE"""),"1125201674")</f>
        <v>1125201674</v>
      </c>
      <c r="AC652" s="211"/>
      <c r="AD652" s="211"/>
      <c r="AE652" s="211"/>
      <c r="AF652" s="211"/>
      <c r="AG652" s="211"/>
      <c r="AH652" s="211"/>
      <c r="AI652" s="211"/>
      <c r="AJ652" s="211"/>
      <c r="AL652" s="211"/>
      <c r="AM652" s="211"/>
      <c r="AN652" s="211"/>
      <c r="AO652" s="211"/>
      <c r="AP652" s="215"/>
      <c r="AQ652" s="218"/>
      <c r="AR652" s="211"/>
      <c r="AS652" s="211"/>
      <c r="AT652" s="211"/>
      <c r="AU652" s="211"/>
      <c r="AV652" s="211"/>
      <c r="AW652" s="211"/>
      <c r="AX652" s="211"/>
      <c r="AY652" s="211"/>
      <c r="AZ652" s="211"/>
      <c r="BB652" s="211"/>
      <c r="BC652" s="211"/>
      <c r="BD652" s="211"/>
      <c r="BE652" s="211"/>
      <c r="BF652" s="211"/>
      <c r="BG652" s="211"/>
      <c r="BH652" s="211"/>
      <c r="BI652" s="211"/>
    </row>
    <row r="653">
      <c r="A653" s="210" t="str">
        <f>IFERROR(__xludf.DUMMYFUNCTION("""COMPUTED_VALUE"""),"c7ef6387")</f>
        <v>c7ef6387</v>
      </c>
      <c r="B653" s="210" t="str">
        <f>IFERROR(__xludf.DUMMYFUNCTION("""COMPUTED_VALUE"""),"c7ef6387")</f>
        <v>c7ef6387</v>
      </c>
      <c r="C653" s="213">
        <f>IFERROR(__xludf.DUMMYFUNCTION("""COMPUTED_VALUE"""),45702.589583333334)</f>
        <v>45702.58958</v>
      </c>
      <c r="D653" s="211" t="str">
        <f>IFERROR(__xludf.DUMMYFUNCTION("""COMPUTED_VALUE"""),"5f23ba17")</f>
        <v>5f23ba17</v>
      </c>
      <c r="E653" s="211" t="str">
        <f>IFERROR(__xludf.DUMMYFUNCTION("""COMPUTED_VALUE"""),"Bpk. Joko (Gresik)")</f>
        <v>Bpk. Joko (Gresik)</v>
      </c>
      <c r="F653" s="211" t="str">
        <f>IFERROR(__xludf.DUMMYFUNCTION("""COMPUTED_VALUE"""),"439cf836")</f>
        <v>439cf836</v>
      </c>
      <c r="G653" s="211" t="str">
        <f>IFERROR(__xludf.DUMMYFUNCTION("""COMPUTED_VALUE"""),"Karbondioksida MR")</f>
        <v>Karbondioksida MR</v>
      </c>
      <c r="H653" s="214" t="str">
        <f>IFERROR(__xludf.DUMMYFUNCTION("""COMPUTED_VALUE"""),"IN")</f>
        <v>IN</v>
      </c>
      <c r="I653" s="214" t="str">
        <f>IFERROR(__xludf.DUMMYFUNCTION("""COMPUTED_VALUE"""),"EMPTY")</f>
        <v>EMPTY</v>
      </c>
      <c r="J653" s="211">
        <f>IFERROR(__xludf.DUMMYFUNCTION("""COMPUTED_VALUE"""),1.0)</f>
        <v>1</v>
      </c>
      <c r="K653" s="211"/>
      <c r="L653" s="211"/>
      <c r="M653" s="211"/>
      <c r="N653" s="211"/>
      <c r="O653" s="211"/>
      <c r="Q653" s="210" t="str">
        <f>IFERROR(__xludf.DUMMYFUNCTION("""COMPUTED_VALUE"""),"04250357")</f>
        <v>04250357</v>
      </c>
      <c r="R653" s="210" t="str">
        <f>IFERROR(__xludf.DUMMYFUNCTION("""COMPUTED_VALUE"""),"04250357")</f>
        <v>04250357</v>
      </c>
      <c r="S653" s="211" t="str">
        <f>IFERROR(__xludf.DUMMYFUNCTION("""COMPUTED_VALUE"""),"ce83e171")</f>
        <v>ce83e171</v>
      </c>
      <c r="T653" s="211" t="str">
        <f>IFERROR(__xludf.DUMMYFUNCTION("""COMPUTED_VALUE"""),"Bpk. Sulaiman")</f>
        <v>Bpk. Sulaiman</v>
      </c>
      <c r="U653" s="215">
        <f>IFERROR(__xludf.DUMMYFUNCTION("""COMPUTED_VALUE"""),45757.37847222222)</f>
        <v>45757.37847</v>
      </c>
      <c r="V653" s="211" t="str">
        <f>IFERROR(__xludf.DUMMYFUNCTION("""COMPUTED_VALUE"""),"Jl. Raya Kramat Temenggung No.43, Kramat, Kramat Temenggung, Kec. Tarik, Kabupaten Sidoarjo, Jawa Timur 61265")</f>
        <v>Jl. Raya Kramat Temenggung No.43, Kramat, Kramat Temenggung, Kec. Tarik, Kabupaten Sidoarjo, Jawa Timur 61265</v>
      </c>
      <c r="W653" s="211" t="str">
        <f>IFERROR(__xludf.DUMMYFUNCTION("""COMPUTED_VALUE"""),"OUT")</f>
        <v>OUT</v>
      </c>
      <c r="X653" s="211"/>
      <c r="Z653" s="211" t="str">
        <f>IFERROR(__xludf.DUMMYFUNCTION("""COMPUTED_VALUE"""),"112551673")</f>
        <v>112551673</v>
      </c>
      <c r="AC653" s="211"/>
      <c r="AD653" s="211"/>
      <c r="AE653" s="211"/>
      <c r="AF653" s="211"/>
      <c r="AG653" s="211"/>
      <c r="AH653" s="211"/>
      <c r="AI653" s="211"/>
      <c r="AJ653" s="211"/>
      <c r="AL653" s="211"/>
      <c r="AM653" s="211"/>
      <c r="AN653" s="211"/>
      <c r="AO653" s="211"/>
      <c r="AP653" s="215"/>
      <c r="AQ653" s="218"/>
      <c r="AR653" s="211"/>
      <c r="AS653" s="211"/>
      <c r="AT653" s="211"/>
      <c r="AU653" s="211"/>
      <c r="AV653" s="211"/>
      <c r="AW653" s="211"/>
      <c r="AX653" s="211"/>
      <c r="AY653" s="211"/>
      <c r="AZ653" s="211"/>
      <c r="BB653" s="211"/>
      <c r="BC653" s="211"/>
      <c r="BD653" s="211"/>
      <c r="BE653" s="211"/>
      <c r="BF653" s="211"/>
      <c r="BG653" s="211"/>
      <c r="BH653" s="211"/>
      <c r="BI653" s="211"/>
    </row>
    <row r="654">
      <c r="A654" s="210" t="str">
        <f>IFERROR(__xludf.DUMMYFUNCTION("""COMPUTED_VALUE"""),"02250264")</f>
        <v>02250264</v>
      </c>
      <c r="B654" s="210" t="str">
        <f>IFERROR(__xludf.DUMMYFUNCTION("""COMPUTED_VALUE"""),"02250264")</f>
        <v>02250264</v>
      </c>
      <c r="C654" s="213">
        <f>IFERROR(__xludf.DUMMYFUNCTION("""COMPUTED_VALUE"""),45702.654861111114)</f>
        <v>45702.65486</v>
      </c>
      <c r="D654" s="211" t="str">
        <f>IFERROR(__xludf.DUMMYFUNCTION("""COMPUTED_VALUE"""),"785e0e07")</f>
        <v>785e0e07</v>
      </c>
      <c r="E654" s="211" t="str">
        <f>IFERROR(__xludf.DUMMYFUNCTION("""COMPUTED_VALUE"""),"Bpk. Sukirno (Bejo)")</f>
        <v>Bpk. Sukirno (Bejo)</v>
      </c>
      <c r="F654" s="211" t="str">
        <f>IFERROR(__xludf.DUMMYFUNCTION("""COMPUTED_VALUE"""),"8bdbe149")</f>
        <v>8bdbe149</v>
      </c>
      <c r="G654" s="211" t="str">
        <f>IFERROR(__xludf.DUMMYFUNCTION("""COMPUTED_VALUE"""),"Oksigen 6m3")</f>
        <v>Oksigen 6m3</v>
      </c>
      <c r="H654" s="214" t="str">
        <f>IFERROR(__xludf.DUMMYFUNCTION("""COMPUTED_VALUE"""),"OUT")</f>
        <v>OUT</v>
      </c>
      <c r="I654" s="214" t="str">
        <f>IFERROR(__xludf.DUMMYFUNCTION("""COMPUTED_VALUE"""),"NORMAL")</f>
        <v>NORMAL</v>
      </c>
      <c r="J654" s="211">
        <f>IFERROR(__xludf.DUMMYFUNCTION("""COMPUTED_VALUE"""),10.0)</f>
        <v>10</v>
      </c>
      <c r="K654" s="210" t="str">
        <f>IFERROR(__xludf.DUMMYFUNCTION("""COMPUTED_VALUE"""),"11173 11212 11189 1186 1175 11175 1173 1170 11117 11201")</f>
        <v>11173 11212 11189 1186 1175 11175 1173 1170 11117 11201</v>
      </c>
      <c r="L654" s="211">
        <f>IFERROR(__xludf.DUMMYFUNCTION("""COMPUTED_VALUE"""),60000.0)</f>
        <v>60000</v>
      </c>
      <c r="M654" s="211"/>
      <c r="N654" s="211"/>
      <c r="O654" s="211"/>
      <c r="Q654" s="210" t="str">
        <f>IFERROR(__xludf.DUMMYFUNCTION("""COMPUTED_VALUE"""),"04250359")</f>
        <v>04250359</v>
      </c>
      <c r="R654" s="210" t="str">
        <f>IFERROR(__xludf.DUMMYFUNCTION("""COMPUTED_VALUE"""),"04250359")</f>
        <v>04250359</v>
      </c>
      <c r="S654" s="211" t="str">
        <f>IFERROR(__xludf.DUMMYFUNCTION("""COMPUTED_VALUE"""),"5449a0b8")</f>
        <v>5449a0b8</v>
      </c>
      <c r="T654" s="211" t="str">
        <f>IFERROR(__xludf.DUMMYFUNCTION("""COMPUTED_VALUE"""),"Bpk. Supar")</f>
        <v>Bpk. Supar</v>
      </c>
      <c r="U654" s="215">
        <f>IFERROR(__xludf.DUMMYFUNCTION("""COMPUTED_VALUE"""),45757.518055555556)</f>
        <v>45757.51806</v>
      </c>
      <c r="V654" s="211" t="str">
        <f>IFERROR(__xludf.DUMMYFUNCTION("""COMPUTED_VALUE"""),"Ciro Kulon, Bakungtemenggungan, Kec. BalongBendo, Kabupaten Sidoarjo, Jawa Timur")</f>
        <v>Ciro Kulon, Bakungtemenggungan, Kec. BalongBendo, Kabupaten Sidoarjo, Jawa Timur</v>
      </c>
      <c r="W654" s="211" t="str">
        <f>IFERROR(__xludf.DUMMYFUNCTION("""COMPUTED_VALUE"""),"OUT")</f>
        <v>OUT</v>
      </c>
      <c r="X654" s="211"/>
      <c r="Z654" s="211" t="str">
        <f>IFERROR(__xludf.DUMMYFUNCTION("""COMPUTED_VALUE"""),"1125371670")</f>
        <v>1125371670</v>
      </c>
      <c r="AC654" s="211"/>
      <c r="AD654" s="211"/>
      <c r="AE654" s="211"/>
      <c r="AF654" s="211"/>
      <c r="AG654" s="211"/>
      <c r="AH654" s="211"/>
      <c r="AI654" s="211"/>
      <c r="AJ654" s="211"/>
      <c r="AL654" s="211"/>
      <c r="AM654" s="211"/>
      <c r="AN654" s="211"/>
      <c r="AO654" s="211"/>
      <c r="AP654" s="215"/>
      <c r="AQ654" s="218"/>
      <c r="AR654" s="211"/>
      <c r="AS654" s="211"/>
      <c r="AT654" s="211"/>
      <c r="AU654" s="211"/>
      <c r="AV654" s="211"/>
      <c r="AW654" s="211"/>
      <c r="AX654" s="211"/>
      <c r="AY654" s="211"/>
      <c r="AZ654" s="211"/>
      <c r="BB654" s="211"/>
      <c r="BC654" s="211"/>
      <c r="BD654" s="211"/>
      <c r="BE654" s="211"/>
      <c r="BF654" s="211"/>
      <c r="BG654" s="211"/>
      <c r="BH654" s="211"/>
      <c r="BI654" s="211"/>
    </row>
    <row r="655">
      <c r="A655" s="210" t="str">
        <f>IFERROR(__xludf.DUMMYFUNCTION("""COMPUTED_VALUE"""),"124d8ebd")</f>
        <v>124d8ebd</v>
      </c>
      <c r="B655" s="210" t="str">
        <f>IFERROR(__xludf.DUMMYFUNCTION("""COMPUTED_VALUE"""),"124d8ebd")</f>
        <v>124d8ebd</v>
      </c>
      <c r="C655" s="213">
        <f>IFERROR(__xludf.DUMMYFUNCTION("""COMPUTED_VALUE"""),45703.47430555556)</f>
        <v>45703.47431</v>
      </c>
      <c r="D655" s="211" t="str">
        <f>IFERROR(__xludf.DUMMYFUNCTION("""COMPUTED_VALUE"""),"103f3ae7")</f>
        <v>103f3ae7</v>
      </c>
      <c r="E655" s="211" t="str">
        <f>IFERROR(__xludf.DUMMYFUNCTION("""COMPUTED_VALUE"""),"PT ARYANA CAKASANA")</f>
        <v>PT ARYANA CAKASANA</v>
      </c>
      <c r="F655" s="211" t="str">
        <f>IFERROR(__xludf.DUMMYFUNCTION("""COMPUTED_VALUE"""),"8bdbe149")</f>
        <v>8bdbe149</v>
      </c>
      <c r="G655" s="211" t="str">
        <f>IFERROR(__xludf.DUMMYFUNCTION("""COMPUTED_VALUE"""),"Oksigen 6m3")</f>
        <v>Oksigen 6m3</v>
      </c>
      <c r="H655" s="214" t="str">
        <f>IFERROR(__xludf.DUMMYFUNCTION("""COMPUTED_VALUE"""),"IN")</f>
        <v>IN</v>
      </c>
      <c r="I655" s="214" t="str">
        <f>IFERROR(__xludf.DUMMYFUNCTION("""COMPUTED_VALUE"""),"EMPTY")</f>
        <v>EMPTY</v>
      </c>
      <c r="J655" s="211">
        <f>IFERROR(__xludf.DUMMYFUNCTION("""COMPUTED_VALUE"""),4.0)</f>
        <v>4</v>
      </c>
      <c r="K655" s="210" t="str">
        <f>IFERROR(__xludf.DUMMYFUNCTION("""COMPUTED_VALUE"""),"1121 1192 1105 1143")</f>
        <v>1121 1192 1105 1143</v>
      </c>
      <c r="L655" s="211"/>
      <c r="M655" s="211"/>
      <c r="N655" s="211"/>
      <c r="O655" s="211"/>
      <c r="Q655" s="210" t="str">
        <f>IFERROR(__xludf.DUMMYFUNCTION("""COMPUTED_VALUE"""),"acfd43cd")</f>
        <v>acfd43cd</v>
      </c>
      <c r="R655" s="210" t="str">
        <f>IFERROR(__xludf.DUMMYFUNCTION("""COMPUTED_VALUE"""),"acfd43cd")</f>
        <v>acfd43cd</v>
      </c>
      <c r="S655" s="211" t="str">
        <f>IFERROR(__xludf.DUMMYFUNCTION("""COMPUTED_VALUE"""),"5449a0b8")</f>
        <v>5449a0b8</v>
      </c>
      <c r="T655" s="211" t="str">
        <f>IFERROR(__xludf.DUMMYFUNCTION("""COMPUTED_VALUE"""),"Bpk. Supar")</f>
        <v>Bpk. Supar</v>
      </c>
      <c r="U655" s="215">
        <f>IFERROR(__xludf.DUMMYFUNCTION("""COMPUTED_VALUE"""),45757.64027777778)</f>
        <v>45757.64028</v>
      </c>
      <c r="V655" s="211" t="str">
        <f>IFERROR(__xludf.DUMMYFUNCTION("""COMPUTED_VALUE"""),"Ciro Kulon, Bakungtemenggungan, Kec. BalongBendo, Kabupaten Sidoarjo, Jawa Timur")</f>
        <v>Ciro Kulon, Bakungtemenggungan, Kec. BalongBendo, Kabupaten Sidoarjo, Jawa Timur</v>
      </c>
      <c r="W655" s="211" t="str">
        <f>IFERROR(__xludf.DUMMYFUNCTION("""COMPUTED_VALUE"""),"IN")</f>
        <v>IN</v>
      </c>
      <c r="X655" s="211"/>
      <c r="Z655" s="211" t="str">
        <f>IFERROR(__xludf.DUMMYFUNCTION("""COMPUTED_VALUE"""),"1125671669")</f>
        <v>1125671669</v>
      </c>
      <c r="AC655" s="211"/>
      <c r="AD655" s="211"/>
      <c r="AE655" s="211"/>
      <c r="AF655" s="211"/>
      <c r="AG655" s="211"/>
      <c r="AH655" s="211"/>
      <c r="AI655" s="211"/>
      <c r="AJ655" s="211"/>
      <c r="AL655" s="211"/>
      <c r="AM655" s="211"/>
      <c r="AN655" s="211"/>
      <c r="AO655" s="211"/>
      <c r="AP655" s="215"/>
      <c r="AQ655" s="218"/>
      <c r="AR655" s="211"/>
      <c r="AS655" s="211"/>
      <c r="AT655" s="211"/>
      <c r="AU655" s="211"/>
      <c r="AV655" s="211"/>
      <c r="AW655" s="211"/>
      <c r="AX655" s="211"/>
      <c r="AY655" s="211"/>
      <c r="AZ655" s="211"/>
      <c r="BB655" s="211"/>
      <c r="BC655" s="211"/>
      <c r="BD655" s="211"/>
      <c r="BE655" s="211"/>
      <c r="BF655" s="211"/>
      <c r="BG655" s="211"/>
      <c r="BH655" s="211"/>
      <c r="BI655" s="211"/>
    </row>
    <row r="656">
      <c r="A656" s="210" t="str">
        <f>IFERROR(__xludf.DUMMYFUNCTION("""COMPUTED_VALUE"""),"02250265")</f>
        <v>02250265</v>
      </c>
      <c r="B656" s="210" t="str">
        <f>IFERROR(__xludf.DUMMYFUNCTION("""COMPUTED_VALUE"""),"02250265")</f>
        <v>02250265</v>
      </c>
      <c r="C656" s="213">
        <f>IFERROR(__xludf.DUMMYFUNCTION("""COMPUTED_VALUE"""),45705.441666666666)</f>
        <v>45705.44167</v>
      </c>
      <c r="D656" s="211" t="str">
        <f>IFERROR(__xludf.DUMMYFUNCTION("""COMPUTED_VALUE"""),"e86baf3b")</f>
        <v>e86baf3b</v>
      </c>
      <c r="E656" s="211" t="str">
        <f>IFERROR(__xludf.DUMMYFUNCTION("""COMPUTED_VALUE"""),"PT GEMILANG CIPTA WAWASAN")</f>
        <v>PT GEMILANG CIPTA WAWASAN</v>
      </c>
      <c r="F656" s="211" t="str">
        <f>IFERROR(__xludf.DUMMYFUNCTION("""COMPUTED_VALUE"""),"8bdbe149")</f>
        <v>8bdbe149</v>
      </c>
      <c r="G656" s="211" t="str">
        <f>IFERROR(__xludf.DUMMYFUNCTION("""COMPUTED_VALUE"""),"Oksigen 6m3")</f>
        <v>Oksigen 6m3</v>
      </c>
      <c r="H656" s="214" t="str">
        <f>IFERROR(__xludf.DUMMYFUNCTION("""COMPUTED_VALUE"""),"OUT")</f>
        <v>OUT</v>
      </c>
      <c r="I656" s="214" t="str">
        <f>IFERROR(__xludf.DUMMYFUNCTION("""COMPUTED_VALUE"""),"NORMAL")</f>
        <v>NORMAL</v>
      </c>
      <c r="J656" s="211">
        <f>IFERROR(__xludf.DUMMYFUNCTION("""COMPUTED_VALUE"""),10.0)</f>
        <v>10</v>
      </c>
      <c r="K656" s="210" t="str">
        <f>IFERROR(__xludf.DUMMYFUNCTION("""COMPUTED_VALUE"""),"11125 1121 1105 1143 1192 1125 1112 11172 11135 11195")</f>
        <v>11125 1121 1105 1143 1192 1125 1112 11172 11135 11195</v>
      </c>
      <c r="L656" s="211">
        <f>IFERROR(__xludf.DUMMYFUNCTION("""COMPUTED_VALUE"""),60000.0)</f>
        <v>60000</v>
      </c>
      <c r="M656" s="211"/>
      <c r="N656" s="211"/>
      <c r="O656" s="211"/>
      <c r="Q656" s="210" t="str">
        <f>IFERROR(__xludf.DUMMYFUNCTION("""COMPUTED_VALUE"""),"fcc48c69")</f>
        <v>fcc48c69</v>
      </c>
      <c r="R656" s="210" t="str">
        <f>IFERROR(__xludf.DUMMYFUNCTION("""COMPUTED_VALUE"""),"fcc48c69")</f>
        <v>fcc48c69</v>
      </c>
      <c r="S656" s="211" t="str">
        <f>IFERROR(__xludf.DUMMYFUNCTION("""COMPUTED_VALUE"""),"103f3ae7")</f>
        <v>103f3ae7</v>
      </c>
      <c r="T656" s="211" t="str">
        <f>IFERROR(__xludf.DUMMYFUNCTION("""COMPUTED_VALUE"""),"PT ARYANA CAKASANA")</f>
        <v>PT ARYANA CAKASANA</v>
      </c>
      <c r="U656" s="215">
        <f>IFERROR(__xludf.DUMMYFUNCTION("""COMPUTED_VALUE"""),45757.64097222222)</f>
        <v>45757.64097</v>
      </c>
      <c r="V656" s="211" t="str">
        <f>IFERROR(__xludf.DUMMYFUNCTION("""COMPUTED_VALUE"""),"Jl Raya Tarik No. 45, Wonokupang, Bakalan, Balongbendo")</f>
        <v>Jl Raya Tarik No. 45, Wonokupang, Bakalan, Balongbendo</v>
      </c>
      <c r="W656" s="211" t="str">
        <f>IFERROR(__xludf.DUMMYFUNCTION("""COMPUTED_VALUE"""),"IN")</f>
        <v>IN</v>
      </c>
      <c r="X656" s="211"/>
      <c r="Z656" s="211" t="str">
        <f>IFERROR(__xludf.DUMMYFUNCTION("""COMPUTED_VALUE"""),"112581667")</f>
        <v>112581667</v>
      </c>
      <c r="AC656" s="211"/>
      <c r="AD656" s="211"/>
      <c r="AE656" s="211"/>
      <c r="AF656" s="211"/>
      <c r="AG656" s="211"/>
      <c r="AH656" s="211"/>
      <c r="AI656" s="211"/>
      <c r="AJ656" s="211"/>
      <c r="AL656" s="211"/>
      <c r="AM656" s="211"/>
      <c r="AN656" s="211"/>
      <c r="AO656" s="211"/>
      <c r="AP656" s="215"/>
      <c r="AQ656" s="218"/>
      <c r="AR656" s="211"/>
      <c r="AS656" s="211"/>
      <c r="AT656" s="211"/>
      <c r="AU656" s="211"/>
      <c r="AV656" s="211"/>
      <c r="AW656" s="211"/>
      <c r="AX656" s="211"/>
      <c r="AY656" s="211"/>
      <c r="AZ656" s="211"/>
      <c r="BB656" s="211"/>
      <c r="BC656" s="211"/>
      <c r="BD656" s="211"/>
      <c r="BE656" s="211"/>
      <c r="BF656" s="211"/>
      <c r="BG656" s="211"/>
      <c r="BH656" s="211"/>
      <c r="BI656" s="211"/>
    </row>
    <row r="657">
      <c r="A657" s="210" t="str">
        <f>IFERROR(__xludf.DUMMYFUNCTION("""COMPUTED_VALUE"""),"02250265")</f>
        <v>02250265</v>
      </c>
      <c r="B657" s="210" t="str">
        <f>IFERROR(__xludf.DUMMYFUNCTION("""COMPUTED_VALUE"""),"02250265")</f>
        <v>02250265</v>
      </c>
      <c r="C657" s="213">
        <f>IFERROR(__xludf.DUMMYFUNCTION("""COMPUTED_VALUE"""),45705.44236111111)</f>
        <v>45705.44236</v>
      </c>
      <c r="D657" s="211" t="str">
        <f>IFERROR(__xludf.DUMMYFUNCTION("""COMPUTED_VALUE"""),"e86baf3b")</f>
        <v>e86baf3b</v>
      </c>
      <c r="E657" s="211" t="str">
        <f>IFERROR(__xludf.DUMMYFUNCTION("""COMPUTED_VALUE"""),"PT GEMILANG CIPTA WAWASAN")</f>
        <v>PT GEMILANG CIPTA WAWASAN</v>
      </c>
      <c r="F657" s="211" t="str">
        <f>IFERROR(__xludf.DUMMYFUNCTION("""COMPUTED_VALUE"""),"be525f3b")</f>
        <v>be525f3b</v>
      </c>
      <c r="G657" s="211" t="str">
        <f>IFERROR(__xludf.DUMMYFUNCTION("""COMPUTED_VALUE"""),"LPG 12kg")</f>
        <v>LPG 12kg</v>
      </c>
      <c r="H657" s="214" t="str">
        <f>IFERROR(__xludf.DUMMYFUNCTION("""COMPUTED_VALUE"""),"OUT")</f>
        <v>OUT</v>
      </c>
      <c r="I657" s="214" t="str">
        <f>IFERROR(__xludf.DUMMYFUNCTION("""COMPUTED_VALUE"""),"NORMAL")</f>
        <v>NORMAL</v>
      </c>
      <c r="J657" s="211">
        <f>IFERROR(__xludf.DUMMYFUNCTION("""COMPUTED_VALUE"""),5.0)</f>
        <v>5</v>
      </c>
      <c r="K657" s="211"/>
      <c r="L657" s="211">
        <f>IFERROR(__xludf.DUMMYFUNCTION("""COMPUTED_VALUE"""),210000.0)</f>
        <v>210000</v>
      </c>
      <c r="M657" s="211"/>
      <c r="N657" s="211"/>
      <c r="O657" s="211"/>
      <c r="Q657" s="210" t="str">
        <f>IFERROR(__xludf.DUMMYFUNCTION("""COMPUTED_VALUE"""),"04250360")</f>
        <v>04250360</v>
      </c>
      <c r="R657" s="210" t="str">
        <f>IFERROR(__xludf.DUMMYFUNCTION("""COMPUTED_VALUE"""),"04250360")</f>
        <v>04250360</v>
      </c>
      <c r="S657" s="211" t="str">
        <f>IFERROR(__xludf.DUMMYFUNCTION("""COMPUTED_VALUE"""),"e86baf3b")</f>
        <v>e86baf3b</v>
      </c>
      <c r="T657" s="211" t="str">
        <f>IFERROR(__xludf.DUMMYFUNCTION("""COMPUTED_VALUE"""),"PT GEMILANG CIPTA WAWASAN")</f>
        <v>PT GEMILANG CIPTA WAWASAN</v>
      </c>
      <c r="U657" s="215">
        <f>IFERROR(__xludf.DUMMYFUNCTION("""COMPUTED_VALUE"""),45758.35833333334)</f>
        <v>45758.35833</v>
      </c>
      <c r="V657" s="211" t="str">
        <f>IFERROR(__xludf.DUMMYFUNCTION("""COMPUTED_VALUE"""),"JL TEBET RAYA, 2A, TEBET BARAT, TEBET, KOTA ADM, JAKARTA SELATAN, DKI JAKARTA")</f>
        <v>JL TEBET RAYA, 2A, TEBET BARAT, TEBET, KOTA ADM, JAKARTA SELATAN, DKI JAKARTA</v>
      </c>
      <c r="W657" s="211" t="str">
        <f>IFERROR(__xludf.DUMMYFUNCTION("""COMPUTED_VALUE"""),"OUT")</f>
        <v>OUT</v>
      </c>
      <c r="X657" s="211"/>
      <c r="Z657" s="211" t="str">
        <f>IFERROR(__xludf.DUMMYFUNCTION("""COMPUTED_VALUE"""),"1125191664")</f>
        <v>1125191664</v>
      </c>
      <c r="AC657" s="211"/>
      <c r="AD657" s="211"/>
      <c r="AE657" s="211"/>
      <c r="AF657" s="211"/>
      <c r="AG657" s="211"/>
      <c r="AH657" s="211"/>
      <c r="AI657" s="211"/>
      <c r="AJ657" s="211"/>
      <c r="AL657" s="211"/>
      <c r="AM657" s="211"/>
      <c r="AN657" s="211"/>
      <c r="AO657" s="211"/>
      <c r="AP657" s="215"/>
      <c r="AQ657" s="218"/>
      <c r="AR657" s="211"/>
      <c r="AS657" s="211"/>
      <c r="AT657" s="211"/>
      <c r="AU657" s="211"/>
      <c r="AV657" s="211"/>
      <c r="AW657" s="211"/>
      <c r="AX657" s="211"/>
      <c r="AY657" s="211"/>
      <c r="AZ657" s="211"/>
      <c r="BB657" s="211"/>
      <c r="BC657" s="211"/>
      <c r="BD657" s="211"/>
      <c r="BE657" s="211"/>
      <c r="BF657" s="211"/>
      <c r="BG657" s="211"/>
      <c r="BH657" s="211"/>
      <c r="BI657" s="211"/>
    </row>
    <row r="658">
      <c r="A658" s="210" t="str">
        <f>IFERROR(__xludf.DUMMYFUNCTION("""COMPUTED_VALUE"""),"da40813f")</f>
        <v>da40813f</v>
      </c>
      <c r="B658" s="210" t="str">
        <f>IFERROR(__xludf.DUMMYFUNCTION("""COMPUTED_VALUE"""),"da40813f")</f>
        <v>da40813f</v>
      </c>
      <c r="C658" s="213">
        <f>IFERROR(__xludf.DUMMYFUNCTION("""COMPUTED_VALUE"""),45705.44375)</f>
        <v>45705.44375</v>
      </c>
      <c r="D658" s="211" t="str">
        <f>IFERROR(__xludf.DUMMYFUNCTION("""COMPUTED_VALUE"""),"4ec68cf6")</f>
        <v>4ec68cf6</v>
      </c>
      <c r="E658" s="211" t="str">
        <f>IFERROR(__xludf.DUMMYFUNCTION("""COMPUTED_VALUE"""),"CV Sido Mukti Karya")</f>
        <v>CV Sido Mukti Karya</v>
      </c>
      <c r="F658" s="211" t="str">
        <f>IFERROR(__xludf.DUMMYFUNCTION("""COMPUTED_VALUE"""),"8bdbe149")</f>
        <v>8bdbe149</v>
      </c>
      <c r="G658" s="211" t="str">
        <f>IFERROR(__xludf.DUMMYFUNCTION("""COMPUTED_VALUE"""),"Oksigen 6m3")</f>
        <v>Oksigen 6m3</v>
      </c>
      <c r="H658" s="214" t="str">
        <f>IFERROR(__xludf.DUMMYFUNCTION("""COMPUTED_VALUE"""),"IN")</f>
        <v>IN</v>
      </c>
      <c r="I658" s="214" t="str">
        <f>IFERROR(__xludf.DUMMYFUNCTION("""COMPUTED_VALUE"""),"EMPTY")</f>
        <v>EMPTY</v>
      </c>
      <c r="J658" s="211">
        <f>IFERROR(__xludf.DUMMYFUNCTION("""COMPUTED_VALUE"""),4.0)</f>
        <v>4</v>
      </c>
      <c r="K658" s="210" t="str">
        <f>IFERROR(__xludf.DUMMYFUNCTION("""COMPUTED_VALUE"""),"11104 11129 1193 11126")</f>
        <v>11104 11129 1193 11126</v>
      </c>
      <c r="L658" s="211"/>
      <c r="M658" s="211"/>
      <c r="N658" s="211"/>
      <c r="O658" s="211"/>
      <c r="Q658" s="210" t="str">
        <f>IFERROR(__xludf.DUMMYFUNCTION("""COMPUTED_VALUE"""),"04250361")</f>
        <v>04250361</v>
      </c>
      <c r="R658" s="210" t="str">
        <f>IFERROR(__xludf.DUMMYFUNCTION("""COMPUTED_VALUE"""),"04250361")</f>
        <v>04250361</v>
      </c>
      <c r="S658" s="211" t="str">
        <f>IFERROR(__xludf.DUMMYFUNCTION("""COMPUTED_VALUE"""),"e86baf3b")</f>
        <v>e86baf3b</v>
      </c>
      <c r="T658" s="211" t="str">
        <f>IFERROR(__xludf.DUMMYFUNCTION("""COMPUTED_VALUE"""),"PT GEMILANG CIPTA WAWASAN")</f>
        <v>PT GEMILANG CIPTA WAWASAN</v>
      </c>
      <c r="U658" s="215">
        <f>IFERROR(__xludf.DUMMYFUNCTION("""COMPUTED_VALUE"""),45761.48402777778)</f>
        <v>45761.48403</v>
      </c>
      <c r="V658" s="211" t="str">
        <f>IFERROR(__xludf.DUMMYFUNCTION("""COMPUTED_VALUE"""),"JL TEBET RAYA, 2A, TEBET BARAT, TEBET, KOTA ADM, JAKARTA SELATAN, DKI JAKARTA")</f>
        <v>JL TEBET RAYA, 2A, TEBET BARAT, TEBET, KOTA ADM, JAKARTA SELATAN, DKI JAKARTA</v>
      </c>
      <c r="W658" s="211" t="str">
        <f>IFERROR(__xludf.DUMMYFUNCTION("""COMPUTED_VALUE"""),"OUT")</f>
        <v>OUT</v>
      </c>
      <c r="X658" s="211"/>
      <c r="Z658" s="211" t="str">
        <f>IFERROR(__xludf.DUMMYFUNCTION("""COMPUTED_VALUE"""),"112521662")</f>
        <v>112521662</v>
      </c>
      <c r="AC658" s="211"/>
      <c r="AD658" s="211"/>
      <c r="AE658" s="211"/>
      <c r="AF658" s="211"/>
      <c r="AG658" s="211"/>
      <c r="AH658" s="211"/>
      <c r="AI658" s="211"/>
      <c r="AJ658" s="211"/>
      <c r="AL658" s="211"/>
      <c r="AM658" s="211"/>
      <c r="AN658" s="211"/>
      <c r="AO658" s="211"/>
      <c r="AP658" s="215"/>
      <c r="AQ658" s="218"/>
      <c r="AR658" s="211"/>
      <c r="AS658" s="211"/>
      <c r="AT658" s="211"/>
      <c r="AU658" s="211"/>
      <c r="AV658" s="211"/>
      <c r="AW658" s="211"/>
      <c r="AX658" s="211"/>
      <c r="AY658" s="211"/>
      <c r="AZ658" s="211"/>
      <c r="BB658" s="211"/>
      <c r="BC658" s="211"/>
      <c r="BD658" s="211"/>
      <c r="BE658" s="211"/>
      <c r="BF658" s="211"/>
      <c r="BG658" s="211"/>
      <c r="BH658" s="211"/>
      <c r="BI658" s="211"/>
    </row>
    <row r="659">
      <c r="A659" s="210" t="str">
        <f>IFERROR(__xludf.DUMMYFUNCTION("""COMPUTED_VALUE"""),"0804ee79")</f>
        <v>0804ee79</v>
      </c>
      <c r="B659" s="210" t="str">
        <f>IFERROR(__xludf.DUMMYFUNCTION("""COMPUTED_VALUE"""),"0804ee79")</f>
        <v>0804ee79</v>
      </c>
      <c r="C659" s="213">
        <f>IFERROR(__xludf.DUMMYFUNCTION("""COMPUTED_VALUE"""),45706.475)</f>
        <v>45706.475</v>
      </c>
      <c r="D659" s="211" t="str">
        <f>IFERROR(__xludf.DUMMYFUNCTION("""COMPUTED_VALUE"""),"ac52e1fa")</f>
        <v>ac52e1fa</v>
      </c>
      <c r="E659" s="211" t="str">
        <f>IFERROR(__xludf.DUMMYFUNCTION("""COMPUTED_VALUE"""),"Abah Mad")</f>
        <v>Abah Mad</v>
      </c>
      <c r="F659" s="211" t="str">
        <f>IFERROR(__xludf.DUMMYFUNCTION("""COMPUTED_VALUE"""),"8bdbe149")</f>
        <v>8bdbe149</v>
      </c>
      <c r="G659" s="211" t="str">
        <f>IFERROR(__xludf.DUMMYFUNCTION("""COMPUTED_VALUE"""),"Oksigen 6m3")</f>
        <v>Oksigen 6m3</v>
      </c>
      <c r="H659" s="214" t="str">
        <f>IFERROR(__xludf.DUMMYFUNCTION("""COMPUTED_VALUE"""),"IN")</f>
        <v>IN</v>
      </c>
      <c r="I659" s="214" t="str">
        <f>IFERROR(__xludf.DUMMYFUNCTION("""COMPUTED_VALUE"""),"CLAIM")</f>
        <v>CLAIM</v>
      </c>
      <c r="J659" s="211">
        <f>IFERROR(__xludf.DUMMYFUNCTION("""COMPUTED_VALUE"""),7.0)</f>
        <v>7</v>
      </c>
      <c r="K659" s="210" t="str">
        <f>IFERROR(__xludf.DUMMYFUNCTION("""COMPUTED_VALUE"""),"11194 11208 11109 1199 1153 1111 12")</f>
        <v>11194 11208 11109 1199 1153 1111 12</v>
      </c>
      <c r="L659" s="211"/>
      <c r="M659" s="211"/>
      <c r="N659" s="211"/>
      <c r="O659" s="211"/>
      <c r="Q659" s="210" t="str">
        <f>IFERROR(__xludf.DUMMYFUNCTION("""COMPUTED_VALUE"""),"04250362")</f>
        <v>04250362</v>
      </c>
      <c r="R659" s="210" t="str">
        <f>IFERROR(__xludf.DUMMYFUNCTION("""COMPUTED_VALUE"""),"04250362")</f>
        <v>04250362</v>
      </c>
      <c r="S659" s="211" t="str">
        <f>IFERROR(__xludf.DUMMYFUNCTION("""COMPUTED_VALUE"""),"3fec37df")</f>
        <v>3fec37df</v>
      </c>
      <c r="T659" s="211" t="str">
        <f>IFERROR(__xludf.DUMMYFUNCTION("""COMPUTED_VALUE"""),"PT Jatim Abadi Perkasa Steel")</f>
        <v>PT Jatim Abadi Perkasa Steel</v>
      </c>
      <c r="U659" s="215">
        <f>IFERROR(__xludf.DUMMYFUNCTION("""COMPUTED_VALUE"""),45762.34027777778)</f>
        <v>45762.34028</v>
      </c>
      <c r="V659" s="211" t="str">
        <f>IFERROR(__xludf.DUMMYFUNCTION("""COMPUTED_VALUE"""),"Dsn. Bulak Sempuh, Jatirejo, Kab. Mojokerto, Jawa Timur")</f>
        <v>Dsn. Bulak Sempuh, Jatirejo, Kab. Mojokerto, Jawa Timur</v>
      </c>
      <c r="W659" s="211" t="str">
        <f>IFERROR(__xludf.DUMMYFUNCTION("""COMPUTED_VALUE"""),"OUT")</f>
        <v>OUT</v>
      </c>
      <c r="X659" s="211"/>
      <c r="Z659" s="211" t="str">
        <f>IFERROR(__xludf.DUMMYFUNCTION("""COMPUTED_VALUE"""),"112551657")</f>
        <v>112551657</v>
      </c>
      <c r="AC659" s="211"/>
      <c r="AD659" s="211"/>
      <c r="AE659" s="211"/>
      <c r="AF659" s="211"/>
      <c r="AG659" s="211"/>
      <c r="AH659" s="211"/>
      <c r="AI659" s="211"/>
      <c r="AJ659" s="211"/>
      <c r="AL659" s="211"/>
      <c r="AM659" s="211"/>
      <c r="AN659" s="211"/>
      <c r="AO659" s="211"/>
      <c r="AP659" s="215"/>
      <c r="AQ659" s="218"/>
      <c r="AR659" s="211"/>
      <c r="AS659" s="211"/>
      <c r="AT659" s="211"/>
      <c r="AU659" s="211"/>
      <c r="AV659" s="211"/>
      <c r="AW659" s="211"/>
      <c r="AX659" s="211"/>
      <c r="AY659" s="211"/>
      <c r="AZ659" s="211"/>
      <c r="BB659" s="211"/>
      <c r="BC659" s="211"/>
      <c r="BD659" s="211"/>
      <c r="BE659" s="211"/>
      <c r="BF659" s="211"/>
      <c r="BG659" s="211"/>
      <c r="BH659" s="211"/>
      <c r="BI659" s="211"/>
    </row>
    <row r="660">
      <c r="A660" s="210" t="str">
        <f>IFERROR(__xludf.DUMMYFUNCTION("""COMPUTED_VALUE"""),"369aa432")</f>
        <v>369aa432</v>
      </c>
      <c r="B660" s="210" t="str">
        <f>IFERROR(__xludf.DUMMYFUNCTION("""COMPUTED_VALUE"""),"369aa432")</f>
        <v>369aa432</v>
      </c>
      <c r="C660" s="213">
        <f>IFERROR(__xludf.DUMMYFUNCTION("""COMPUTED_VALUE"""),45706.47638888889)</f>
        <v>45706.47639</v>
      </c>
      <c r="D660" s="211" t="str">
        <f>IFERROR(__xludf.DUMMYFUNCTION("""COMPUTED_VALUE"""),"01158be1")</f>
        <v>01158be1</v>
      </c>
      <c r="E660" s="211" t="str">
        <f>IFERROR(__xludf.DUMMYFUNCTION("""COMPUTED_VALUE"""),"GYF")</f>
        <v>GYF</v>
      </c>
      <c r="F660" s="211" t="str">
        <f>IFERROR(__xludf.DUMMYFUNCTION("""COMPUTED_VALUE"""),"8bdbe149")</f>
        <v>8bdbe149</v>
      </c>
      <c r="G660" s="211" t="str">
        <f>IFERROR(__xludf.DUMMYFUNCTION("""COMPUTED_VALUE"""),"Oksigen 6m3")</f>
        <v>Oksigen 6m3</v>
      </c>
      <c r="H660" s="214" t="str">
        <f>IFERROR(__xludf.DUMMYFUNCTION("""COMPUTED_VALUE"""),"IN")</f>
        <v>IN</v>
      </c>
      <c r="I660" s="214" t="str">
        <f>IFERROR(__xludf.DUMMYFUNCTION("""COMPUTED_VALUE"""),"EMPTY")</f>
        <v>EMPTY</v>
      </c>
      <c r="J660" s="211">
        <f>IFERROR(__xludf.DUMMYFUNCTION("""COMPUTED_VALUE"""),7.0)</f>
        <v>7</v>
      </c>
      <c r="K660" s="210" t="str">
        <f>IFERROR(__xludf.DUMMYFUNCTION("""COMPUTED_VALUE"""),"1157 1156 1138 1166 11161 1168 1136")</f>
        <v>1157 1156 1138 1166 11161 1168 1136</v>
      </c>
      <c r="L660" s="211"/>
      <c r="M660" s="211"/>
      <c r="N660" s="211"/>
      <c r="O660" s="211"/>
      <c r="Q660" s="210" t="str">
        <f>IFERROR(__xludf.DUMMYFUNCTION("""COMPUTED_VALUE"""),"04250363")</f>
        <v>04250363</v>
      </c>
      <c r="R660" s="210" t="str">
        <f>IFERROR(__xludf.DUMMYFUNCTION("""COMPUTED_VALUE"""),"04250363")</f>
        <v>04250363</v>
      </c>
      <c r="S660" s="211" t="str">
        <f>IFERROR(__xludf.DUMMYFUNCTION("""COMPUTED_VALUE"""),"609d620d")</f>
        <v>609d620d</v>
      </c>
      <c r="T660" s="211" t="str">
        <f>IFERROR(__xludf.DUMMYFUNCTION("""COMPUTED_VALUE"""),"PT Pandu Mulia Bersama")</f>
        <v>PT Pandu Mulia Bersama</v>
      </c>
      <c r="U660" s="215">
        <f>IFERROR(__xludf.DUMMYFUNCTION("""COMPUTED_VALUE"""),45762.38888888889)</f>
        <v>45762.38889</v>
      </c>
      <c r="V660" s="211" t="str">
        <f>IFERROR(__xludf.DUMMYFUNCTION("""COMPUTED_VALUE"""),"Jl. Songgat RT 12 RW 05, Kec. Tarik, Sidoarjo, Jawa Timur")</f>
        <v>Jl. Songgat RT 12 RW 05, Kec. Tarik, Sidoarjo, Jawa Timur</v>
      </c>
      <c r="W660" s="211" t="str">
        <f>IFERROR(__xludf.DUMMYFUNCTION("""COMPUTED_VALUE"""),"OUT")</f>
        <v>OUT</v>
      </c>
      <c r="X660" s="211"/>
      <c r="Z660" s="211" t="str">
        <f>IFERROR(__xludf.DUMMYFUNCTION("""COMPUTED_VALUE"""),"112521656")</f>
        <v>112521656</v>
      </c>
      <c r="AC660" s="211"/>
      <c r="AD660" s="211"/>
      <c r="AE660" s="211"/>
      <c r="AF660" s="211"/>
      <c r="AG660" s="211"/>
      <c r="AH660" s="211"/>
      <c r="AI660" s="211"/>
      <c r="AJ660" s="211"/>
      <c r="AL660" s="211"/>
      <c r="AM660" s="211"/>
      <c r="AN660" s="211"/>
      <c r="AO660" s="211"/>
      <c r="AP660" s="215"/>
      <c r="AQ660" s="218"/>
      <c r="AR660" s="211"/>
      <c r="AS660" s="211"/>
      <c r="AT660" s="211"/>
      <c r="AU660" s="211"/>
      <c r="AV660" s="211"/>
      <c r="AW660" s="211"/>
      <c r="AX660" s="211"/>
      <c r="AY660" s="211"/>
      <c r="AZ660" s="211"/>
      <c r="BB660" s="211"/>
      <c r="BC660" s="211"/>
      <c r="BD660" s="211"/>
      <c r="BE660" s="211"/>
      <c r="BF660" s="211"/>
      <c r="BG660" s="211"/>
      <c r="BH660" s="211"/>
      <c r="BI660" s="211"/>
    </row>
    <row r="661">
      <c r="A661" s="210" t="str">
        <f>IFERROR(__xludf.DUMMYFUNCTION("""COMPUTED_VALUE"""),"d59cc7a4")</f>
        <v>d59cc7a4</v>
      </c>
      <c r="B661" s="210" t="str">
        <f>IFERROR(__xludf.DUMMYFUNCTION("""COMPUTED_VALUE"""),"d59cc7a4")</f>
        <v>d59cc7a4</v>
      </c>
      <c r="C661" s="213">
        <f>IFERROR(__xludf.DUMMYFUNCTION("""COMPUTED_VALUE"""),45706.48402777778)</f>
        <v>45706.48403</v>
      </c>
      <c r="D661" s="211" t="str">
        <f>IFERROR(__xludf.DUMMYFUNCTION("""COMPUTED_VALUE"""),"785e0e07")</f>
        <v>785e0e07</v>
      </c>
      <c r="E661" s="211" t="str">
        <f>IFERROR(__xludf.DUMMYFUNCTION("""COMPUTED_VALUE"""),"Bpk. Sukirno (Bejo)")</f>
        <v>Bpk. Sukirno (Bejo)</v>
      </c>
      <c r="F661" s="211" t="str">
        <f>IFERROR(__xludf.DUMMYFUNCTION("""COMPUTED_VALUE"""),"8bdbe149")</f>
        <v>8bdbe149</v>
      </c>
      <c r="G661" s="211" t="str">
        <f>IFERROR(__xludf.DUMMYFUNCTION("""COMPUTED_VALUE"""),"Oksigen 6m3")</f>
        <v>Oksigen 6m3</v>
      </c>
      <c r="H661" s="214" t="str">
        <f>IFERROR(__xludf.DUMMYFUNCTION("""COMPUTED_VALUE"""),"IN")</f>
        <v>IN</v>
      </c>
      <c r="I661" s="214" t="str">
        <f>IFERROR(__xludf.DUMMYFUNCTION("""COMPUTED_VALUE"""),"EMPTY")</f>
        <v>EMPTY</v>
      </c>
      <c r="J661" s="211">
        <f>IFERROR(__xludf.DUMMYFUNCTION("""COMPUTED_VALUE"""),12.0)</f>
        <v>12</v>
      </c>
      <c r="K661" s="210" t="str">
        <f>IFERROR(__xludf.DUMMYFUNCTION("""COMPUTED_VALUE"""),"1109 11193 11127 11185 11117 1173 1175 11175 1186 1170 11189 11201")</f>
        <v>1109 11193 11127 11185 11117 1173 1175 11175 1186 1170 11189 11201</v>
      </c>
      <c r="L661" s="211"/>
      <c r="M661" s="211"/>
      <c r="N661" s="211"/>
      <c r="O661" s="211"/>
      <c r="Q661" s="210" t="str">
        <f>IFERROR(__xludf.DUMMYFUNCTION("""COMPUTED_VALUE"""),"e26f42c0")</f>
        <v>e26f42c0</v>
      </c>
      <c r="R661" s="210" t="str">
        <f>IFERROR(__xludf.DUMMYFUNCTION("""COMPUTED_VALUE"""),"e26f42c0")</f>
        <v>e26f42c0</v>
      </c>
      <c r="S661" s="211" t="str">
        <f>IFERROR(__xludf.DUMMYFUNCTION("""COMPUTED_VALUE"""),"3fec37df")</f>
        <v>3fec37df</v>
      </c>
      <c r="T661" s="211" t="str">
        <f>IFERROR(__xludf.DUMMYFUNCTION("""COMPUTED_VALUE"""),"PT Jatim Abadi Perkasa Steel")</f>
        <v>PT Jatim Abadi Perkasa Steel</v>
      </c>
      <c r="U661" s="215">
        <f>IFERROR(__xludf.DUMMYFUNCTION("""COMPUTED_VALUE"""),45762.45208333334)</f>
        <v>45762.45208</v>
      </c>
      <c r="V661" s="211" t="str">
        <f>IFERROR(__xludf.DUMMYFUNCTION("""COMPUTED_VALUE"""),"Dsn. Bulak Sempuh, Jatirejo, Kab. Mojokerto, Jawa Timur")</f>
        <v>Dsn. Bulak Sempuh, Jatirejo, Kab. Mojokerto, Jawa Timur</v>
      </c>
      <c r="W661" s="211" t="str">
        <f>IFERROR(__xludf.DUMMYFUNCTION("""COMPUTED_VALUE"""),"IN")</f>
        <v>IN</v>
      </c>
      <c r="X661" s="211"/>
      <c r="Z661" s="211" t="str">
        <f>IFERROR(__xludf.DUMMYFUNCTION("""COMPUTED_VALUE"""),"1125361654")</f>
        <v>1125361654</v>
      </c>
      <c r="AC661" s="211"/>
      <c r="AD661" s="211"/>
      <c r="AE661" s="211"/>
      <c r="AF661" s="211"/>
      <c r="AG661" s="211"/>
      <c r="AH661" s="211"/>
      <c r="AI661" s="211"/>
      <c r="AJ661" s="211"/>
      <c r="AL661" s="211"/>
      <c r="AM661" s="211"/>
      <c r="AN661" s="211"/>
      <c r="AO661" s="211"/>
      <c r="AP661" s="215"/>
      <c r="AQ661" s="218"/>
      <c r="AR661" s="211"/>
      <c r="AS661" s="211"/>
      <c r="AT661" s="211"/>
      <c r="AU661" s="211"/>
      <c r="AV661" s="211"/>
      <c r="AW661" s="211"/>
      <c r="AX661" s="211"/>
      <c r="AY661" s="211"/>
      <c r="AZ661" s="211"/>
      <c r="BB661" s="211"/>
      <c r="BC661" s="211"/>
      <c r="BD661" s="211"/>
      <c r="BE661" s="211"/>
      <c r="BF661" s="211"/>
      <c r="BG661" s="211"/>
      <c r="BH661" s="211"/>
      <c r="BI661" s="211"/>
    </row>
    <row r="662">
      <c r="A662" s="210" t="str">
        <f>IFERROR(__xludf.DUMMYFUNCTION("""COMPUTED_VALUE"""),"95ad80cd")</f>
        <v>95ad80cd</v>
      </c>
      <c r="B662" s="210" t="str">
        <f>IFERROR(__xludf.DUMMYFUNCTION("""COMPUTED_VALUE"""),"95ad80cd")</f>
        <v>95ad80cd</v>
      </c>
      <c r="C662" s="213">
        <f>IFERROR(__xludf.DUMMYFUNCTION("""COMPUTED_VALUE"""),45706.48541666667)</f>
        <v>45706.48542</v>
      </c>
      <c r="D662" s="211" t="str">
        <f>IFERROR(__xludf.DUMMYFUNCTION("""COMPUTED_VALUE"""),"e86baf3b")</f>
        <v>e86baf3b</v>
      </c>
      <c r="E662" s="211" t="str">
        <f>IFERROR(__xludf.DUMMYFUNCTION("""COMPUTED_VALUE"""),"PT GEMILANG CIPTA WAWASAN")</f>
        <v>PT GEMILANG CIPTA WAWASAN</v>
      </c>
      <c r="F662" s="211" t="str">
        <f>IFERROR(__xludf.DUMMYFUNCTION("""COMPUTED_VALUE"""),"8bdbe149")</f>
        <v>8bdbe149</v>
      </c>
      <c r="G662" s="211" t="str">
        <f>IFERROR(__xludf.DUMMYFUNCTION("""COMPUTED_VALUE"""),"Oksigen 6m3")</f>
        <v>Oksigen 6m3</v>
      </c>
      <c r="H662" s="214" t="str">
        <f>IFERROR(__xludf.DUMMYFUNCTION("""COMPUTED_VALUE"""),"IN")</f>
        <v>IN</v>
      </c>
      <c r="I662" s="214" t="str">
        <f>IFERROR(__xludf.DUMMYFUNCTION("""COMPUTED_VALUE"""),"EMPTY")</f>
        <v>EMPTY</v>
      </c>
      <c r="J662" s="211">
        <f>IFERROR(__xludf.DUMMYFUNCTION("""COMPUTED_VALUE"""),16.0)</f>
        <v>16</v>
      </c>
      <c r="K662" s="210" t="str">
        <f>IFERROR(__xludf.DUMMYFUNCTION("""COMPUTED_VALUE"""),"1195 1169 1119 1137 11100 1116 1162 11206 11105 1135 1154 11178 1122 1147 1150 1148")</f>
        <v>1195 1169 1119 1137 11100 1116 1162 11206 11105 1135 1154 11178 1122 1147 1150 1148</v>
      </c>
      <c r="L662" s="211"/>
      <c r="M662" s="211"/>
      <c r="N662" s="211"/>
      <c r="O662" s="211"/>
      <c r="Q662" s="210" t="str">
        <f>IFERROR(__xludf.DUMMYFUNCTION("""COMPUTED_VALUE"""),"42566707")</f>
        <v>42566707</v>
      </c>
      <c r="R662" s="210" t="str">
        <f>IFERROR(__xludf.DUMMYFUNCTION("""COMPUTED_VALUE"""),"42566707")</f>
        <v>42566707</v>
      </c>
      <c r="S662" s="211" t="str">
        <f>IFERROR(__xludf.DUMMYFUNCTION("""COMPUTED_VALUE"""),"609d620d")</f>
        <v>609d620d</v>
      </c>
      <c r="T662" s="211" t="str">
        <f>IFERROR(__xludf.DUMMYFUNCTION("""COMPUTED_VALUE"""),"PT Pandu Mulia Bersama")</f>
        <v>PT Pandu Mulia Bersama</v>
      </c>
      <c r="U662" s="215">
        <f>IFERROR(__xludf.DUMMYFUNCTION("""COMPUTED_VALUE"""),45762.45277777778)</f>
        <v>45762.45278</v>
      </c>
      <c r="V662" s="211" t="str">
        <f>IFERROR(__xludf.DUMMYFUNCTION("""COMPUTED_VALUE"""),"Jl. Songgat RT 12 RW 05, Kec. Tarik, Sidoarjo, Jawa Timur")</f>
        <v>Jl. Songgat RT 12 RW 05, Kec. Tarik, Sidoarjo, Jawa Timur</v>
      </c>
      <c r="W662" s="211" t="str">
        <f>IFERROR(__xludf.DUMMYFUNCTION("""COMPUTED_VALUE"""),"IN")</f>
        <v>IN</v>
      </c>
      <c r="X662" s="211"/>
      <c r="Z662" s="211" t="str">
        <f>IFERROR(__xludf.DUMMYFUNCTION("""COMPUTED_VALUE"""),"112521653")</f>
        <v>112521653</v>
      </c>
      <c r="AC662" s="211"/>
      <c r="AD662" s="211"/>
      <c r="AE662" s="211"/>
      <c r="AF662" s="211"/>
      <c r="AG662" s="211"/>
      <c r="AH662" s="211"/>
      <c r="AI662" s="211"/>
      <c r="AJ662" s="211"/>
      <c r="AL662" s="211"/>
      <c r="AM662" s="211"/>
      <c r="AN662" s="211"/>
      <c r="AO662" s="211"/>
      <c r="AP662" s="215"/>
      <c r="AQ662" s="218"/>
      <c r="AR662" s="211"/>
      <c r="AS662" s="211"/>
      <c r="AT662" s="211"/>
      <c r="AU662" s="211"/>
      <c r="AV662" s="211"/>
      <c r="AW662" s="211"/>
      <c r="AX662" s="211"/>
      <c r="AY662" s="211"/>
      <c r="AZ662" s="211"/>
      <c r="BB662" s="211"/>
      <c r="BC662" s="211"/>
      <c r="BD662" s="211"/>
      <c r="BE662" s="211"/>
      <c r="BF662" s="211"/>
      <c r="BG662" s="211"/>
      <c r="BH662" s="211"/>
      <c r="BI662" s="211"/>
    </row>
    <row r="663">
      <c r="A663" s="210" t="str">
        <f>IFERROR(__xludf.DUMMYFUNCTION("""COMPUTED_VALUE"""),"95ad80cd")</f>
        <v>95ad80cd</v>
      </c>
      <c r="B663" s="210" t="str">
        <f>IFERROR(__xludf.DUMMYFUNCTION("""COMPUTED_VALUE"""),"95ad80cd")</f>
        <v>95ad80cd</v>
      </c>
      <c r="C663" s="213">
        <f>IFERROR(__xludf.DUMMYFUNCTION("""COMPUTED_VALUE"""),45706.48611111111)</f>
        <v>45706.48611</v>
      </c>
      <c r="D663" s="211" t="str">
        <f>IFERROR(__xludf.DUMMYFUNCTION("""COMPUTED_VALUE"""),"e86baf3b")</f>
        <v>e86baf3b</v>
      </c>
      <c r="E663" s="211" t="str">
        <f>IFERROR(__xludf.DUMMYFUNCTION("""COMPUTED_VALUE"""),"PT GEMILANG CIPTA WAWASAN")</f>
        <v>PT GEMILANG CIPTA WAWASAN</v>
      </c>
      <c r="F663" s="211" t="str">
        <f>IFERROR(__xludf.DUMMYFUNCTION("""COMPUTED_VALUE"""),"be525f3b")</f>
        <v>be525f3b</v>
      </c>
      <c r="G663" s="211" t="str">
        <f>IFERROR(__xludf.DUMMYFUNCTION("""COMPUTED_VALUE"""),"LPG 12kg")</f>
        <v>LPG 12kg</v>
      </c>
      <c r="H663" s="214" t="str">
        <f>IFERROR(__xludf.DUMMYFUNCTION("""COMPUTED_VALUE"""),"IN")</f>
        <v>IN</v>
      </c>
      <c r="I663" s="214" t="str">
        <f>IFERROR(__xludf.DUMMYFUNCTION("""COMPUTED_VALUE"""),"EMPTY")</f>
        <v>EMPTY</v>
      </c>
      <c r="J663" s="211">
        <f>IFERROR(__xludf.DUMMYFUNCTION("""COMPUTED_VALUE"""),2.0)</f>
        <v>2</v>
      </c>
      <c r="K663" s="211"/>
      <c r="L663" s="211"/>
      <c r="M663" s="211"/>
      <c r="N663" s="211"/>
      <c r="O663" s="211"/>
      <c r="Q663" s="210" t="str">
        <f>IFERROR(__xludf.DUMMYFUNCTION("""COMPUTED_VALUE"""),"04250366")</f>
        <v>04250366</v>
      </c>
      <c r="R663" s="210" t="str">
        <f>IFERROR(__xludf.DUMMYFUNCTION("""COMPUTED_VALUE"""),"04250366")</f>
        <v>04250366</v>
      </c>
      <c r="S663" s="211" t="str">
        <f>IFERROR(__xludf.DUMMYFUNCTION("""COMPUTED_VALUE"""),"anwr")</f>
        <v>anwr</v>
      </c>
      <c r="T663" s="211" t="str">
        <f>IFERROR(__xludf.DUMMYFUNCTION("""COMPUTED_VALUE"""),"Bpk. Anwar")</f>
        <v>Bpk. Anwar</v>
      </c>
      <c r="U663" s="215">
        <f>IFERROR(__xludf.DUMMYFUNCTION("""COMPUTED_VALUE"""),45762.46041666667)</f>
        <v>45762.46042</v>
      </c>
      <c r="V663" s="211" t="str">
        <f>IFERROR(__xludf.DUMMYFUNCTION("""COMPUTED_VALUE"""),"#N/A")</f>
        <v>#N/A</v>
      </c>
      <c r="W663" s="211" t="str">
        <f>IFERROR(__xludf.DUMMYFUNCTION("""COMPUTED_VALUE"""),"OUT")</f>
        <v>OUT</v>
      </c>
      <c r="X663" s="211"/>
      <c r="Z663" s="211" t="str">
        <f>IFERROR(__xludf.DUMMYFUNCTION("""COMPUTED_VALUE"""),"112541652")</f>
        <v>112541652</v>
      </c>
      <c r="AC663" s="211"/>
      <c r="AD663" s="211"/>
      <c r="AE663" s="211"/>
      <c r="AF663" s="211"/>
      <c r="AG663" s="211"/>
      <c r="AH663" s="211"/>
      <c r="AI663" s="211"/>
      <c r="AJ663" s="211"/>
      <c r="AL663" s="211"/>
      <c r="AM663" s="211"/>
      <c r="AN663" s="211"/>
      <c r="AO663" s="211"/>
      <c r="AP663" s="215"/>
      <c r="AQ663" s="218"/>
      <c r="AR663" s="211"/>
      <c r="AS663" s="211"/>
      <c r="AT663" s="211"/>
      <c r="AU663" s="211"/>
      <c r="AV663" s="211"/>
      <c r="AW663" s="211"/>
      <c r="AX663" s="211"/>
      <c r="AY663" s="211"/>
      <c r="AZ663" s="211"/>
      <c r="BB663" s="211"/>
      <c r="BC663" s="211"/>
      <c r="BD663" s="211"/>
      <c r="BE663" s="211"/>
      <c r="BF663" s="211"/>
      <c r="BG663" s="211"/>
      <c r="BH663" s="211"/>
      <c r="BI663" s="211"/>
    </row>
    <row r="664">
      <c r="A664" s="210" t="str">
        <f>IFERROR(__xludf.DUMMYFUNCTION("""COMPUTED_VALUE"""),"02250267")</f>
        <v>02250267</v>
      </c>
      <c r="B664" s="210" t="str">
        <f>IFERROR(__xludf.DUMMYFUNCTION("""COMPUTED_VALUE"""),"02250267")</f>
        <v>02250267</v>
      </c>
      <c r="C664" s="213">
        <f>IFERROR(__xludf.DUMMYFUNCTION("""COMPUTED_VALUE"""),45706.56875)</f>
        <v>45706.56875</v>
      </c>
      <c r="D664" s="211" t="str">
        <f>IFERROR(__xludf.DUMMYFUNCTION("""COMPUTED_VALUE"""),"785e0e07")</f>
        <v>785e0e07</v>
      </c>
      <c r="E664" s="211" t="str">
        <f>IFERROR(__xludf.DUMMYFUNCTION("""COMPUTED_VALUE"""),"Bpk. Sukirno (Bejo)")</f>
        <v>Bpk. Sukirno (Bejo)</v>
      </c>
      <c r="F664" s="211" t="str">
        <f>IFERROR(__xludf.DUMMYFUNCTION("""COMPUTED_VALUE"""),"8bdbe149")</f>
        <v>8bdbe149</v>
      </c>
      <c r="G664" s="211" t="str">
        <f>IFERROR(__xludf.DUMMYFUNCTION("""COMPUTED_VALUE"""),"Oksigen 6m3")</f>
        <v>Oksigen 6m3</v>
      </c>
      <c r="H664" s="214" t="str">
        <f>IFERROR(__xludf.DUMMYFUNCTION("""COMPUTED_VALUE"""),"OUT")</f>
        <v>OUT</v>
      </c>
      <c r="I664" s="214" t="str">
        <f>IFERROR(__xludf.DUMMYFUNCTION("""COMPUTED_VALUE"""),"NORMAL")</f>
        <v>NORMAL</v>
      </c>
      <c r="J664" s="211">
        <f>IFERROR(__xludf.DUMMYFUNCTION("""COMPUTED_VALUE"""),15.0)</f>
        <v>15</v>
      </c>
      <c r="K664" s="211"/>
      <c r="L664" s="211">
        <f>IFERROR(__xludf.DUMMYFUNCTION("""COMPUTED_VALUE"""),60000.0)</f>
        <v>60000</v>
      </c>
      <c r="M664" s="211"/>
      <c r="N664" s="211"/>
      <c r="O664" s="211"/>
      <c r="Q664" s="210" t="str">
        <f>IFERROR(__xludf.DUMMYFUNCTION("""COMPUTED_VALUE"""),"e51b8848")</f>
        <v>e51b8848</v>
      </c>
      <c r="R664" s="210" t="str">
        <f>IFERROR(__xludf.DUMMYFUNCTION("""COMPUTED_VALUE"""),"e51b8848")</f>
        <v>e51b8848</v>
      </c>
      <c r="S664" s="211" t="str">
        <f>IFERROR(__xludf.DUMMYFUNCTION("""COMPUTED_VALUE"""),"anwr")</f>
        <v>anwr</v>
      </c>
      <c r="T664" s="211" t="str">
        <f>IFERROR(__xludf.DUMMYFUNCTION("""COMPUTED_VALUE"""),"Bpk. Anwar")</f>
        <v>Bpk. Anwar</v>
      </c>
      <c r="U664" s="215">
        <f>IFERROR(__xludf.DUMMYFUNCTION("""COMPUTED_VALUE"""),45762.46319444444)</f>
        <v>45762.46319</v>
      </c>
      <c r="V664" s="211" t="str">
        <f>IFERROR(__xludf.DUMMYFUNCTION("""COMPUTED_VALUE"""),"#N/A")</f>
        <v>#N/A</v>
      </c>
      <c r="W664" s="211" t="str">
        <f>IFERROR(__xludf.DUMMYFUNCTION("""COMPUTED_VALUE"""),"IN")</f>
        <v>IN</v>
      </c>
      <c r="X664" s="211"/>
      <c r="Z664" s="211" t="str">
        <f>IFERROR(__xludf.DUMMYFUNCTION("""COMPUTED_VALUE"""),"112511649")</f>
        <v>112511649</v>
      </c>
      <c r="AC664" s="211"/>
      <c r="AD664" s="211"/>
      <c r="AE664" s="211"/>
      <c r="AF664" s="211"/>
      <c r="AG664" s="211"/>
      <c r="AH664" s="211"/>
      <c r="AI664" s="211"/>
      <c r="AJ664" s="211"/>
      <c r="AL664" s="211"/>
      <c r="AM664" s="211"/>
      <c r="AN664" s="211"/>
      <c r="AO664" s="211"/>
      <c r="AP664" s="215"/>
      <c r="AQ664" s="218"/>
      <c r="AR664" s="211"/>
      <c r="AS664" s="211"/>
      <c r="AT664" s="211"/>
      <c r="AU664" s="211"/>
      <c r="AV664" s="211"/>
      <c r="AW664" s="211"/>
      <c r="AX664" s="211"/>
      <c r="AY664" s="211"/>
      <c r="AZ664" s="211"/>
      <c r="BB664" s="211"/>
      <c r="BC664" s="211"/>
      <c r="BD664" s="211"/>
      <c r="BE664" s="211"/>
      <c r="BF664" s="211"/>
      <c r="BG664" s="211"/>
      <c r="BH664" s="211"/>
      <c r="BI664" s="211"/>
    </row>
    <row r="665">
      <c r="A665" s="210" t="str">
        <f>IFERROR(__xludf.DUMMYFUNCTION("""COMPUTED_VALUE"""),"02250267")</f>
        <v>02250267</v>
      </c>
      <c r="B665" s="210" t="str">
        <f>IFERROR(__xludf.DUMMYFUNCTION("""COMPUTED_VALUE"""),"02250267")</f>
        <v>02250267</v>
      </c>
      <c r="C665" s="213">
        <f>IFERROR(__xludf.DUMMYFUNCTION("""COMPUTED_VALUE"""),45706.56875)</f>
        <v>45706.56875</v>
      </c>
      <c r="D665" s="211" t="str">
        <f>IFERROR(__xludf.DUMMYFUNCTION("""COMPUTED_VALUE"""),"785e0e07")</f>
        <v>785e0e07</v>
      </c>
      <c r="E665" s="211" t="str">
        <f>IFERROR(__xludf.DUMMYFUNCTION("""COMPUTED_VALUE"""),"Bpk. Sukirno (Bejo)")</f>
        <v>Bpk. Sukirno (Bejo)</v>
      </c>
      <c r="F665" s="211" t="str">
        <f>IFERROR(__xludf.DUMMYFUNCTION("""COMPUTED_VALUE"""),"be525f3b")</f>
        <v>be525f3b</v>
      </c>
      <c r="G665" s="211" t="str">
        <f>IFERROR(__xludf.DUMMYFUNCTION("""COMPUTED_VALUE"""),"LPG 12kg")</f>
        <v>LPG 12kg</v>
      </c>
      <c r="H665" s="214" t="str">
        <f>IFERROR(__xludf.DUMMYFUNCTION("""COMPUTED_VALUE"""),"OUT")</f>
        <v>OUT</v>
      </c>
      <c r="I665" s="214" t="str">
        <f>IFERROR(__xludf.DUMMYFUNCTION("""COMPUTED_VALUE"""),"NORMAL")</f>
        <v>NORMAL</v>
      </c>
      <c r="J665" s="211">
        <f>IFERROR(__xludf.DUMMYFUNCTION("""COMPUTED_VALUE"""),2.0)</f>
        <v>2</v>
      </c>
      <c r="K665" s="211"/>
      <c r="L665" s="211">
        <f>IFERROR(__xludf.DUMMYFUNCTION("""COMPUTED_VALUE"""),210000.0)</f>
        <v>210000</v>
      </c>
      <c r="M665" s="211"/>
      <c r="N665" s="211"/>
      <c r="O665" s="211"/>
      <c r="Q665" s="210" t="str">
        <f>IFERROR(__xludf.DUMMYFUNCTION("""COMPUTED_VALUE"""),"04250368")</f>
        <v>04250368</v>
      </c>
      <c r="R665" s="210" t="str">
        <f>IFERROR(__xludf.DUMMYFUNCTION("""COMPUTED_VALUE"""),"04250368")</f>
        <v>04250368</v>
      </c>
      <c r="S665" s="211" t="str">
        <f>IFERROR(__xludf.DUMMYFUNCTION("""COMPUTED_VALUE"""),"b2b5f2c5")</f>
        <v>b2b5f2c5</v>
      </c>
      <c r="T665" s="211" t="str">
        <f>IFERROR(__xludf.DUMMYFUNCTION("""COMPUTED_VALUE"""),"Bengkel Las Bpk. Ari")</f>
        <v>Bengkel Las Bpk. Ari</v>
      </c>
      <c r="U665" s="215">
        <f>IFERROR(__xludf.DUMMYFUNCTION("""COMPUTED_VALUE"""),45763.3625)</f>
        <v>45763.3625</v>
      </c>
      <c r="V665" s="211" t="str">
        <f>IFERROR(__xludf.DUMMYFUNCTION("""COMPUTED_VALUE"""),"Sumber Kembar, Wonodadi, Kec. Kutorejo, Kabupaten Mojokerto, Jawa Timur")</f>
        <v>Sumber Kembar, Wonodadi, Kec. Kutorejo, Kabupaten Mojokerto, Jawa Timur</v>
      </c>
      <c r="W665" s="211" t="str">
        <f>IFERROR(__xludf.DUMMYFUNCTION("""COMPUTED_VALUE"""),"OUT")</f>
        <v>OUT</v>
      </c>
      <c r="X665" s="211"/>
      <c r="Z665" s="211" t="str">
        <f>IFERROR(__xludf.DUMMYFUNCTION("""COMPUTED_VALUE"""),"1125351642")</f>
        <v>1125351642</v>
      </c>
      <c r="AC665" s="211"/>
      <c r="AD665" s="211"/>
      <c r="AE665" s="211"/>
      <c r="AF665" s="211"/>
      <c r="AG665" s="211"/>
      <c r="AH665" s="211"/>
      <c r="AI665" s="211"/>
      <c r="AJ665" s="211"/>
      <c r="AL665" s="211"/>
      <c r="AM665" s="211"/>
      <c r="AN665" s="211"/>
      <c r="AO665" s="211"/>
      <c r="AP665" s="215"/>
      <c r="AQ665" s="218"/>
      <c r="AR665" s="211"/>
      <c r="AS665" s="211"/>
      <c r="AT665" s="211"/>
      <c r="AU665" s="211"/>
      <c r="AV665" s="211"/>
      <c r="AW665" s="211"/>
      <c r="AX665" s="211"/>
      <c r="AY665" s="211"/>
      <c r="AZ665" s="211"/>
      <c r="BB665" s="211"/>
      <c r="BC665" s="211"/>
      <c r="BD665" s="211"/>
      <c r="BE665" s="211"/>
      <c r="BF665" s="211"/>
      <c r="BG665" s="211"/>
      <c r="BH665" s="211"/>
      <c r="BI665" s="211"/>
    </row>
    <row r="666">
      <c r="A666" s="210" t="str">
        <f>IFERROR(__xludf.DUMMYFUNCTION("""COMPUTED_VALUE"""),"02250269")</f>
        <v>02250269</v>
      </c>
      <c r="B666" s="210" t="str">
        <f>IFERROR(__xludf.DUMMYFUNCTION("""COMPUTED_VALUE"""),"02250269")</f>
        <v>02250269</v>
      </c>
      <c r="C666" s="213">
        <f>IFERROR(__xludf.DUMMYFUNCTION("""COMPUTED_VALUE"""),45706.572916666664)</f>
        <v>45706.57292</v>
      </c>
      <c r="D666" s="211" t="str">
        <f>IFERROR(__xludf.DUMMYFUNCTION("""COMPUTED_VALUE"""),"01158be1")</f>
        <v>01158be1</v>
      </c>
      <c r="E666" s="211" t="str">
        <f>IFERROR(__xludf.DUMMYFUNCTION("""COMPUTED_VALUE"""),"GYF")</f>
        <v>GYF</v>
      </c>
      <c r="F666" s="211" t="str">
        <f>IFERROR(__xludf.DUMMYFUNCTION("""COMPUTED_VALUE"""),"8bdbe149")</f>
        <v>8bdbe149</v>
      </c>
      <c r="G666" s="211" t="str">
        <f>IFERROR(__xludf.DUMMYFUNCTION("""COMPUTED_VALUE"""),"Oksigen 6m3")</f>
        <v>Oksigen 6m3</v>
      </c>
      <c r="H666" s="214" t="str">
        <f>IFERROR(__xludf.DUMMYFUNCTION("""COMPUTED_VALUE"""),"OUT")</f>
        <v>OUT</v>
      </c>
      <c r="I666" s="214" t="str">
        <f>IFERROR(__xludf.DUMMYFUNCTION("""COMPUTED_VALUE"""),"NORMAL")</f>
        <v>NORMAL</v>
      </c>
      <c r="J666" s="211">
        <f>IFERROR(__xludf.DUMMYFUNCTION("""COMPUTED_VALUE"""),10.0)</f>
        <v>10</v>
      </c>
      <c r="K666" s="210" t="str">
        <f>IFERROR(__xludf.DUMMYFUNCTION("""COMPUTED_VALUE"""),"1175 11175 1157 11189 1186 1136 11127 1168 1173 1109")</f>
        <v>1175 11175 1157 11189 1186 1136 11127 1168 1173 1109</v>
      </c>
      <c r="L666" s="211">
        <f>IFERROR(__xludf.DUMMYFUNCTION("""COMPUTED_VALUE"""),45000.0)</f>
        <v>45000</v>
      </c>
      <c r="M666" s="211"/>
      <c r="N666" s="211"/>
      <c r="O666" s="211"/>
      <c r="Q666" s="210" t="str">
        <f>IFERROR(__xludf.DUMMYFUNCTION("""COMPUTED_VALUE"""),"04250370")</f>
        <v>04250370</v>
      </c>
      <c r="R666" s="210" t="str">
        <f>IFERROR(__xludf.DUMMYFUNCTION("""COMPUTED_VALUE"""),"04250370")</f>
        <v>04250370</v>
      </c>
      <c r="S666" s="211" t="str">
        <f>IFERROR(__xludf.DUMMYFUNCTION("""COMPUTED_VALUE"""),"2d88931c")</f>
        <v>2d88931c</v>
      </c>
      <c r="T666" s="211" t="str">
        <f>IFERROR(__xludf.DUMMYFUNCTION("""COMPUTED_VALUE"""),"PT Dunia Berkat Marga Mulya")</f>
        <v>PT Dunia Berkat Marga Mulya</v>
      </c>
      <c r="U666" s="215">
        <f>IFERROR(__xludf.DUMMYFUNCTION("""COMPUTED_VALUE"""),45763.398611111115)</f>
        <v>45763.39861</v>
      </c>
      <c r="V666" s="211" t="str">
        <f>IFERROR(__xludf.DUMMYFUNCTION("""COMPUTED_VALUE"""),"JL JABARAN, WATESARI, BALONGBENDO, SIDOARJO, JAWA TIMUR")</f>
        <v>JL JABARAN, WATESARI, BALONGBENDO, SIDOARJO, JAWA TIMUR</v>
      </c>
      <c r="W666" s="211" t="str">
        <f>IFERROR(__xludf.DUMMYFUNCTION("""COMPUTED_VALUE"""),"OUT")</f>
        <v>OUT</v>
      </c>
      <c r="X666" s="211"/>
      <c r="Z666" s="211" t="str">
        <f>IFERROR(__xludf.DUMMYFUNCTION("""COMPUTED_VALUE"""),"112541641")</f>
        <v>112541641</v>
      </c>
      <c r="AC666" s="211"/>
      <c r="AD666" s="211"/>
      <c r="AE666" s="211"/>
      <c r="AF666" s="211"/>
      <c r="AG666" s="211"/>
      <c r="AH666" s="211"/>
      <c r="AI666" s="211"/>
      <c r="AJ666" s="211"/>
      <c r="AL666" s="211"/>
      <c r="AM666" s="211"/>
      <c r="AN666" s="211"/>
      <c r="AO666" s="211"/>
      <c r="AP666" s="215"/>
      <c r="AQ666" s="218"/>
      <c r="AR666" s="211"/>
      <c r="AS666" s="211"/>
      <c r="AT666" s="211"/>
      <c r="AU666" s="211"/>
      <c r="AV666" s="211"/>
      <c r="AW666" s="211"/>
      <c r="AX666" s="211"/>
      <c r="AY666" s="211"/>
      <c r="AZ666" s="211"/>
      <c r="BB666" s="211"/>
      <c r="BC666" s="211"/>
      <c r="BD666" s="211"/>
      <c r="BE666" s="211"/>
      <c r="BF666" s="211"/>
      <c r="BG666" s="211"/>
      <c r="BH666" s="211"/>
      <c r="BI666" s="211"/>
    </row>
    <row r="667">
      <c r="A667" s="210" t="str">
        <f>IFERROR(__xludf.DUMMYFUNCTION("""COMPUTED_VALUE"""),"d59cc7a4")</f>
        <v>d59cc7a4</v>
      </c>
      <c r="B667" s="210" t="str">
        <f>IFERROR(__xludf.DUMMYFUNCTION("""COMPUTED_VALUE"""),"d59cc7a4")</f>
        <v>d59cc7a4</v>
      </c>
      <c r="C667" s="213">
        <f>IFERROR(__xludf.DUMMYFUNCTION("""COMPUTED_VALUE"""),45706.48541666667)</f>
        <v>45706.48542</v>
      </c>
      <c r="D667" s="211" t="str">
        <f>IFERROR(__xludf.DUMMYFUNCTION("""COMPUTED_VALUE"""),"785e0e07")</f>
        <v>785e0e07</v>
      </c>
      <c r="E667" s="211" t="str">
        <f>IFERROR(__xludf.DUMMYFUNCTION("""COMPUTED_VALUE"""),"Bpk. Sukirno (Bejo)")</f>
        <v>Bpk. Sukirno (Bejo)</v>
      </c>
      <c r="F667" s="211" t="str">
        <f>IFERROR(__xludf.DUMMYFUNCTION("""COMPUTED_VALUE"""),"b7a8fff1")</f>
        <v>b7a8fff1</v>
      </c>
      <c r="G667" s="211" t="str">
        <f>IFERROR(__xludf.DUMMYFUNCTION("""COMPUTED_VALUE"""),"LPG 50kg")</f>
        <v>LPG 50kg</v>
      </c>
      <c r="H667" s="214" t="str">
        <f>IFERROR(__xludf.DUMMYFUNCTION("""COMPUTED_VALUE"""),"IN")</f>
        <v>IN</v>
      </c>
      <c r="I667" s="214" t="str">
        <f>IFERROR(__xludf.DUMMYFUNCTION("""COMPUTED_VALUE"""),"EMPTY")</f>
        <v>EMPTY</v>
      </c>
      <c r="J667" s="211">
        <f>IFERROR(__xludf.DUMMYFUNCTION("""COMPUTED_VALUE"""),1.0)</f>
        <v>1</v>
      </c>
      <c r="K667" s="211"/>
      <c r="L667" s="211"/>
      <c r="M667" s="211"/>
      <c r="N667" s="211"/>
      <c r="O667" s="211"/>
      <c r="Q667" s="210" t="str">
        <f>IFERROR(__xludf.DUMMYFUNCTION("""COMPUTED_VALUE"""),"1e7e8b1c")</f>
        <v>1e7e8b1c</v>
      </c>
      <c r="R667" s="210" t="str">
        <f>IFERROR(__xludf.DUMMYFUNCTION("""COMPUTED_VALUE"""),"1e7e8b1c")</f>
        <v>1e7e8b1c</v>
      </c>
      <c r="S667" s="211" t="str">
        <f>IFERROR(__xludf.DUMMYFUNCTION("""COMPUTED_VALUE"""),"2d88931c")</f>
        <v>2d88931c</v>
      </c>
      <c r="T667" s="211" t="str">
        <f>IFERROR(__xludf.DUMMYFUNCTION("""COMPUTED_VALUE"""),"PT Dunia Berkat Marga Mulya")</f>
        <v>PT Dunia Berkat Marga Mulya</v>
      </c>
      <c r="U667" s="215">
        <f>IFERROR(__xludf.DUMMYFUNCTION("""COMPUTED_VALUE"""),45763.450694444444)</f>
        <v>45763.45069</v>
      </c>
      <c r="V667" s="211" t="str">
        <f>IFERROR(__xludf.DUMMYFUNCTION("""COMPUTED_VALUE"""),"JL JABARAN, WATESARI, BALONGBENDO, SIDOARJO, JAWA TIMUR")</f>
        <v>JL JABARAN, WATESARI, BALONGBENDO, SIDOARJO, JAWA TIMUR</v>
      </c>
      <c r="W667" s="211" t="str">
        <f>IFERROR(__xludf.DUMMYFUNCTION("""COMPUTED_VALUE"""),"IN")</f>
        <v>IN</v>
      </c>
      <c r="X667" s="211"/>
      <c r="Z667" s="211" t="str">
        <f>IFERROR(__xludf.DUMMYFUNCTION("""COMPUTED_VALUE"""),"112531640")</f>
        <v>112531640</v>
      </c>
      <c r="AC667" s="211"/>
      <c r="AD667" s="211"/>
      <c r="AE667" s="211"/>
      <c r="AF667" s="211"/>
      <c r="AG667" s="211"/>
      <c r="AH667" s="211"/>
      <c r="AI667" s="211"/>
      <c r="AJ667" s="211"/>
      <c r="AL667" s="211"/>
      <c r="AM667" s="211"/>
      <c r="AN667" s="211"/>
      <c r="AO667" s="211"/>
      <c r="AP667" s="215"/>
      <c r="AQ667" s="218"/>
      <c r="AR667" s="211"/>
      <c r="AS667" s="211"/>
      <c r="AT667" s="211"/>
      <c r="AU667" s="211"/>
      <c r="AV667" s="211"/>
      <c r="AW667" s="211"/>
      <c r="AX667" s="211"/>
      <c r="AY667" s="211"/>
      <c r="AZ667" s="211"/>
      <c r="BB667" s="211"/>
      <c r="BC667" s="211"/>
      <c r="BD667" s="211"/>
      <c r="BE667" s="211"/>
      <c r="BF667" s="211"/>
      <c r="BG667" s="211"/>
      <c r="BH667" s="211"/>
      <c r="BI667" s="211"/>
    </row>
    <row r="668">
      <c r="A668" s="210" t="str">
        <f>IFERROR(__xludf.DUMMYFUNCTION("""COMPUTED_VALUE"""),"f7a49adc")</f>
        <v>f7a49adc</v>
      </c>
      <c r="B668" s="210" t="str">
        <f>IFERROR(__xludf.DUMMYFUNCTION("""COMPUTED_VALUE"""),"f7a49adc")</f>
        <v>f7a49adc</v>
      </c>
      <c r="C668" s="213">
        <f>IFERROR(__xludf.DUMMYFUNCTION("""COMPUTED_VALUE"""),45707.49444444444)</f>
        <v>45707.49444</v>
      </c>
      <c r="D668" s="211" t="str">
        <f>IFERROR(__xludf.DUMMYFUNCTION("""COMPUTED_VALUE"""),"8f5ebaea")</f>
        <v>8f5ebaea</v>
      </c>
      <c r="E668" s="211" t="str">
        <f>IFERROR(__xludf.DUMMYFUNCTION("""COMPUTED_VALUE"""),"PT Hua Zong Mesindo")</f>
        <v>PT Hua Zong Mesindo</v>
      </c>
      <c r="F668" s="211" t="str">
        <f>IFERROR(__xludf.DUMMYFUNCTION("""COMPUTED_VALUE"""),"ef306e54")</f>
        <v>ef306e54</v>
      </c>
      <c r="G668" s="211" t="str">
        <f>IFERROR(__xludf.DUMMYFUNCTION("""COMPUTED_VALUE"""),"Karbondioksida")</f>
        <v>Karbondioksida</v>
      </c>
      <c r="H668" s="214" t="str">
        <f>IFERROR(__xludf.DUMMYFUNCTION("""COMPUTED_VALUE"""),"IN")</f>
        <v>IN</v>
      </c>
      <c r="I668" s="214" t="str">
        <f>IFERROR(__xludf.DUMMYFUNCTION("""COMPUTED_VALUE"""),"EMPTY")</f>
        <v>EMPTY</v>
      </c>
      <c r="J668" s="211">
        <f>IFERROR(__xludf.DUMMYFUNCTION("""COMPUTED_VALUE"""),1.0)</f>
        <v>1</v>
      </c>
      <c r="K668" s="210" t="str">
        <f>IFERROR(__xludf.DUMMYFUNCTION("""COMPUTED_VALUE"""),"6611")</f>
        <v>6611</v>
      </c>
      <c r="L668" s="211"/>
      <c r="M668" s="211"/>
      <c r="N668" s="211"/>
      <c r="O668" s="211"/>
      <c r="Q668" s="210" t="str">
        <f>IFERROR(__xludf.DUMMYFUNCTION("""COMPUTED_VALUE"""),"5a9f0cf7")</f>
        <v>5a9f0cf7</v>
      </c>
      <c r="R668" s="210" t="str">
        <f>IFERROR(__xludf.DUMMYFUNCTION("""COMPUTED_VALUE"""),"5a9f0cf7")</f>
        <v>5a9f0cf7</v>
      </c>
      <c r="S668" s="211" t="str">
        <f>IFERROR(__xludf.DUMMYFUNCTION("""COMPUTED_VALUE"""),"ed4307f6")</f>
        <v>ed4307f6</v>
      </c>
      <c r="T668" s="211" t="str">
        <f>IFERROR(__xludf.DUMMYFUNCTION("""COMPUTED_VALUE"""),"Bpk. Andi (Jetis)")</f>
        <v>Bpk. Andi (Jetis)</v>
      </c>
      <c r="U668" s="215">
        <f>IFERROR(__xludf.DUMMYFUNCTION("""COMPUTED_VALUE"""),45763.51875)</f>
        <v>45763.51875</v>
      </c>
      <c r="V668" s="211" t="str">
        <f>IFERROR(__xludf.DUMMYFUNCTION("""COMPUTED_VALUE"""),"HFH9+P7 Pelabuhan Kidul, Jetis, Kec. Jetis, Kabupaten Mojokerto, Jawa Timur, Indonesia")</f>
        <v>HFH9+P7 Pelabuhan Kidul, Jetis, Kec. Jetis, Kabupaten Mojokerto, Jawa Timur, Indonesia</v>
      </c>
      <c r="W668" s="211" t="str">
        <f>IFERROR(__xludf.DUMMYFUNCTION("""COMPUTED_VALUE"""),"IN")</f>
        <v>IN</v>
      </c>
      <c r="X668" s="211"/>
      <c r="Z668" s="211" t="str">
        <f>IFERROR(__xludf.DUMMYFUNCTION("""COMPUTED_VALUE"""),"112511639")</f>
        <v>112511639</v>
      </c>
      <c r="AC668" s="211"/>
      <c r="AD668" s="211"/>
      <c r="AE668" s="211"/>
      <c r="AF668" s="211"/>
      <c r="AG668" s="211"/>
      <c r="AH668" s="211"/>
      <c r="AI668" s="211"/>
      <c r="AJ668" s="211"/>
      <c r="AL668" s="211"/>
      <c r="AM668" s="211"/>
      <c r="AN668" s="211"/>
      <c r="AO668" s="211"/>
      <c r="AP668" s="215"/>
      <c r="AQ668" s="218"/>
      <c r="AR668" s="211"/>
      <c r="AS668" s="211"/>
      <c r="AT668" s="211"/>
      <c r="AU668" s="211"/>
      <c r="AV668" s="211"/>
      <c r="AW668" s="211"/>
      <c r="AX668" s="211"/>
      <c r="AY668" s="211"/>
      <c r="AZ668" s="211"/>
      <c r="BB668" s="211"/>
      <c r="BC668" s="211"/>
      <c r="BD668" s="211"/>
      <c r="BE668" s="211"/>
      <c r="BF668" s="211"/>
      <c r="BG668" s="211"/>
      <c r="BH668" s="211"/>
      <c r="BI668" s="211"/>
    </row>
    <row r="669">
      <c r="A669" s="210" t="str">
        <f>IFERROR(__xludf.DUMMYFUNCTION("""COMPUTED_VALUE"""),"f7a49adc")</f>
        <v>f7a49adc</v>
      </c>
      <c r="B669" s="210" t="str">
        <f>IFERROR(__xludf.DUMMYFUNCTION("""COMPUTED_VALUE"""),"f7a49adc")</f>
        <v>f7a49adc</v>
      </c>
      <c r="C669" s="213">
        <f>IFERROR(__xludf.DUMMYFUNCTION("""COMPUTED_VALUE"""),45707.49444444444)</f>
        <v>45707.49444</v>
      </c>
      <c r="D669" s="211" t="str">
        <f>IFERROR(__xludf.DUMMYFUNCTION("""COMPUTED_VALUE"""),"8f5ebaea")</f>
        <v>8f5ebaea</v>
      </c>
      <c r="E669" s="211" t="str">
        <f>IFERROR(__xludf.DUMMYFUNCTION("""COMPUTED_VALUE"""),"PT Hua Zong Mesindo")</f>
        <v>PT Hua Zong Mesindo</v>
      </c>
      <c r="F669" s="211" t="str">
        <f>IFERROR(__xludf.DUMMYFUNCTION("""COMPUTED_VALUE"""),"8bdbe149")</f>
        <v>8bdbe149</v>
      </c>
      <c r="G669" s="211" t="str">
        <f>IFERROR(__xludf.DUMMYFUNCTION("""COMPUTED_VALUE"""),"Oksigen 6m3")</f>
        <v>Oksigen 6m3</v>
      </c>
      <c r="H669" s="214" t="str">
        <f>IFERROR(__xludf.DUMMYFUNCTION("""COMPUTED_VALUE"""),"IN")</f>
        <v>IN</v>
      </c>
      <c r="I669" s="214" t="str">
        <f>IFERROR(__xludf.DUMMYFUNCTION("""COMPUTED_VALUE"""),"EMPTY")</f>
        <v>EMPTY</v>
      </c>
      <c r="J669" s="211">
        <f>IFERROR(__xludf.DUMMYFUNCTION("""COMPUTED_VALUE"""),1.0)</f>
        <v>1</v>
      </c>
      <c r="K669" s="210" t="str">
        <f>IFERROR(__xludf.DUMMYFUNCTION("""COMPUTED_VALUE"""),"1196")</f>
        <v>1196</v>
      </c>
      <c r="L669" s="211"/>
      <c r="M669" s="211"/>
      <c r="N669" s="211"/>
      <c r="O669" s="211"/>
      <c r="Q669" s="210" t="str">
        <f>IFERROR(__xludf.DUMMYFUNCTION("""COMPUTED_VALUE"""),"51b442d9")</f>
        <v>51b442d9</v>
      </c>
      <c r="R669" s="210" t="str">
        <f>IFERROR(__xludf.DUMMYFUNCTION("""COMPUTED_VALUE"""),"51b442d9")</f>
        <v>51b442d9</v>
      </c>
      <c r="S669" s="211" t="str">
        <f>IFERROR(__xludf.DUMMYFUNCTION("""COMPUTED_VALUE"""),"b2b5f2c5")</f>
        <v>b2b5f2c5</v>
      </c>
      <c r="T669" s="211" t="str">
        <f>IFERROR(__xludf.DUMMYFUNCTION("""COMPUTED_VALUE"""),"Bengkel Las Bpk. Ari")</f>
        <v>Bengkel Las Bpk. Ari</v>
      </c>
      <c r="U669" s="215">
        <f>IFERROR(__xludf.DUMMYFUNCTION("""COMPUTED_VALUE"""),45763.52777777778)</f>
        <v>45763.52778</v>
      </c>
      <c r="V669" s="211" t="str">
        <f>IFERROR(__xludf.DUMMYFUNCTION("""COMPUTED_VALUE"""),"Sumber Kembar, Wonodadi, Kec. Kutorejo, Kabupaten Mojokerto, Jawa Timur")</f>
        <v>Sumber Kembar, Wonodadi, Kec. Kutorejo, Kabupaten Mojokerto, Jawa Timur</v>
      </c>
      <c r="W669" s="211" t="str">
        <f>IFERROR(__xludf.DUMMYFUNCTION("""COMPUTED_VALUE"""),"IN")</f>
        <v>IN</v>
      </c>
      <c r="X669" s="211"/>
      <c r="Z669" s="211" t="str">
        <f>IFERROR(__xludf.DUMMYFUNCTION("""COMPUTED_VALUE"""),"1125181637")</f>
        <v>1125181637</v>
      </c>
      <c r="AC669" s="211"/>
      <c r="AD669" s="211"/>
      <c r="AE669" s="211"/>
      <c r="AF669" s="211"/>
      <c r="AG669" s="211"/>
      <c r="AH669" s="211"/>
      <c r="AI669" s="211"/>
      <c r="AJ669" s="211"/>
      <c r="AL669" s="211"/>
      <c r="AM669" s="211"/>
      <c r="AN669" s="211"/>
      <c r="AO669" s="211"/>
      <c r="AP669" s="215"/>
      <c r="AQ669" s="218"/>
      <c r="AR669" s="211"/>
      <c r="AS669" s="211"/>
      <c r="AT669" s="211"/>
      <c r="AU669" s="211"/>
      <c r="AV669" s="211"/>
      <c r="AW669" s="211"/>
      <c r="AX669" s="211"/>
      <c r="AY669" s="211"/>
      <c r="AZ669" s="211"/>
      <c r="BB669" s="211"/>
      <c r="BC669" s="211"/>
      <c r="BD669" s="211"/>
      <c r="BE669" s="211"/>
      <c r="BF669" s="211"/>
      <c r="BG669" s="211"/>
      <c r="BH669" s="211"/>
      <c r="BI669" s="211"/>
    </row>
    <row r="670">
      <c r="A670" s="210" t="str">
        <f>IFERROR(__xludf.DUMMYFUNCTION("""COMPUTED_VALUE"""),"57fe5cc1")</f>
        <v>57fe5cc1</v>
      </c>
      <c r="B670" s="210" t="str">
        <f>IFERROR(__xludf.DUMMYFUNCTION("""COMPUTED_VALUE"""),"57fe5cc1")</f>
        <v>57fe5cc1</v>
      </c>
      <c r="C670" s="213">
        <f>IFERROR(__xludf.DUMMYFUNCTION("""COMPUTED_VALUE"""),45707.49444444444)</f>
        <v>45707.49444</v>
      </c>
      <c r="D670" s="211" t="str">
        <f>IFERROR(__xludf.DUMMYFUNCTION("""COMPUTED_VALUE"""),"4ec68cf6")</f>
        <v>4ec68cf6</v>
      </c>
      <c r="E670" s="211" t="str">
        <f>IFERROR(__xludf.DUMMYFUNCTION("""COMPUTED_VALUE"""),"CV Sido Mukti Karya")</f>
        <v>CV Sido Mukti Karya</v>
      </c>
      <c r="F670" s="211" t="str">
        <f>IFERROR(__xludf.DUMMYFUNCTION("""COMPUTED_VALUE"""),"ef306e54")</f>
        <v>ef306e54</v>
      </c>
      <c r="G670" s="211" t="str">
        <f>IFERROR(__xludf.DUMMYFUNCTION("""COMPUTED_VALUE"""),"Karbondioksida")</f>
        <v>Karbondioksida</v>
      </c>
      <c r="H670" s="214" t="str">
        <f>IFERROR(__xludf.DUMMYFUNCTION("""COMPUTED_VALUE"""),"IN")</f>
        <v>IN</v>
      </c>
      <c r="I670" s="214" t="str">
        <f>IFERROR(__xludf.DUMMYFUNCTION("""COMPUTED_VALUE"""),"EMPTY")</f>
        <v>EMPTY</v>
      </c>
      <c r="J670" s="211">
        <f>IFERROR(__xludf.DUMMYFUNCTION("""COMPUTED_VALUE"""),2.0)</f>
        <v>2</v>
      </c>
      <c r="K670" s="210" t="str">
        <f>IFERROR(__xludf.DUMMYFUNCTION("""COMPUTED_VALUE"""),"6610 6609")</f>
        <v>6610 6609</v>
      </c>
      <c r="L670" s="211"/>
      <c r="M670" s="211"/>
      <c r="N670" s="211"/>
      <c r="O670" s="211"/>
      <c r="Q670" s="210" t="str">
        <f>IFERROR(__xludf.DUMMYFUNCTION("""COMPUTED_VALUE"""),"04250372")</f>
        <v>04250372</v>
      </c>
      <c r="R670" s="210" t="str">
        <f>IFERROR(__xludf.DUMMYFUNCTION("""COMPUTED_VALUE"""),"04250372")</f>
        <v>04250372</v>
      </c>
      <c r="S670" s="211" t="str">
        <f>IFERROR(__xludf.DUMMYFUNCTION("""COMPUTED_VALUE"""),"785e0e07")</f>
        <v>785e0e07</v>
      </c>
      <c r="T670" s="211" t="str">
        <f>IFERROR(__xludf.DUMMYFUNCTION("""COMPUTED_VALUE"""),"Bpk. Sukirno (Bejo)")</f>
        <v>Bpk. Sukirno (Bejo)</v>
      </c>
      <c r="U670" s="215">
        <f>IFERROR(__xludf.DUMMYFUNCTION("""COMPUTED_VALUE"""),45763.569444444445)</f>
        <v>45763.56944</v>
      </c>
      <c r="V670" s="211" t="str">
        <f>IFERROR(__xludf.DUMMYFUNCTION("""COMPUTED_VALUE"""),"Krajan I, Wringinanom, Kec. Wringinanom, Kabupaten Gresik, Jawa Timur 61176")</f>
        <v>Krajan I, Wringinanom, Kec. Wringinanom, Kabupaten Gresik, Jawa Timur 61176</v>
      </c>
      <c r="W670" s="211" t="str">
        <f>IFERROR(__xludf.DUMMYFUNCTION("""COMPUTED_VALUE"""),"OUT")</f>
        <v>OUT</v>
      </c>
      <c r="X670" s="211"/>
      <c r="Z670" s="211" t="str">
        <f>IFERROR(__xludf.DUMMYFUNCTION("""COMPUTED_VALUE"""),"1125261634")</f>
        <v>1125261634</v>
      </c>
      <c r="AC670" s="211"/>
      <c r="AD670" s="211"/>
      <c r="AE670" s="211"/>
      <c r="AF670" s="211"/>
      <c r="AG670" s="211"/>
      <c r="AH670" s="211"/>
      <c r="AI670" s="211"/>
      <c r="AJ670" s="211"/>
      <c r="AL670" s="211"/>
      <c r="AM670" s="211"/>
      <c r="AN670" s="211"/>
      <c r="AO670" s="211"/>
      <c r="AP670" s="215"/>
      <c r="AQ670" s="218"/>
      <c r="AR670" s="211"/>
      <c r="AS670" s="211"/>
      <c r="AT670" s="211"/>
      <c r="AU670" s="211"/>
      <c r="AV670" s="211"/>
      <c r="AW670" s="211"/>
      <c r="AX670" s="211"/>
      <c r="AY670" s="211"/>
      <c r="AZ670" s="211"/>
      <c r="BB670" s="211"/>
      <c r="BC670" s="211"/>
      <c r="BD670" s="211"/>
      <c r="BE670" s="211"/>
      <c r="BF670" s="211"/>
      <c r="BG670" s="211"/>
      <c r="BH670" s="211"/>
      <c r="BI670" s="211"/>
    </row>
    <row r="671">
      <c r="A671" s="210" t="str">
        <f>IFERROR(__xludf.DUMMYFUNCTION("""COMPUTED_VALUE"""),"57fe5cc1")</f>
        <v>57fe5cc1</v>
      </c>
      <c r="B671" s="210" t="str">
        <f>IFERROR(__xludf.DUMMYFUNCTION("""COMPUTED_VALUE"""),"57fe5cc1")</f>
        <v>57fe5cc1</v>
      </c>
      <c r="C671" s="213">
        <f>IFERROR(__xludf.DUMMYFUNCTION("""COMPUTED_VALUE"""),45707.49513888889)</f>
        <v>45707.49514</v>
      </c>
      <c r="D671" s="211" t="str">
        <f>IFERROR(__xludf.DUMMYFUNCTION("""COMPUTED_VALUE"""),"4ec68cf6")</f>
        <v>4ec68cf6</v>
      </c>
      <c r="E671" s="211" t="str">
        <f>IFERROR(__xludf.DUMMYFUNCTION("""COMPUTED_VALUE"""),"CV Sido Mukti Karya")</f>
        <v>CV Sido Mukti Karya</v>
      </c>
      <c r="F671" s="211" t="str">
        <f>IFERROR(__xludf.DUMMYFUNCTION("""COMPUTED_VALUE"""),"8bdbe149")</f>
        <v>8bdbe149</v>
      </c>
      <c r="G671" s="211" t="str">
        <f>IFERROR(__xludf.DUMMYFUNCTION("""COMPUTED_VALUE"""),"Oksigen 6m3")</f>
        <v>Oksigen 6m3</v>
      </c>
      <c r="H671" s="214" t="str">
        <f>IFERROR(__xludf.DUMMYFUNCTION("""COMPUTED_VALUE"""),"IN")</f>
        <v>IN</v>
      </c>
      <c r="I671" s="214" t="str">
        <f>IFERROR(__xludf.DUMMYFUNCTION("""COMPUTED_VALUE"""),"EMPTY")</f>
        <v>EMPTY</v>
      </c>
      <c r="J671" s="211">
        <f>IFERROR(__xludf.DUMMYFUNCTION("""COMPUTED_VALUE"""),4.0)</f>
        <v>4</v>
      </c>
      <c r="K671" s="210" t="str">
        <f>IFERROR(__xludf.DUMMYFUNCTION("""COMPUTED_VALUE"""),"11203 11151 1163 1180")</f>
        <v>11203 11151 1163 1180</v>
      </c>
      <c r="L671" s="211"/>
      <c r="M671" s="211"/>
      <c r="N671" s="211"/>
      <c r="O671" s="211"/>
      <c r="Q671" s="210" t="str">
        <f>IFERROR(__xludf.DUMMYFUNCTION("""COMPUTED_VALUE"""),"04250373")</f>
        <v>04250373</v>
      </c>
      <c r="R671" s="210" t="str">
        <f>IFERROR(__xludf.DUMMYFUNCTION("""COMPUTED_VALUE"""),"04250373")</f>
        <v>04250373</v>
      </c>
      <c r="S671" s="211" t="str">
        <f>IFERROR(__xludf.DUMMYFUNCTION("""COMPUTED_VALUE"""),"103f3ae7")</f>
        <v>103f3ae7</v>
      </c>
      <c r="T671" s="211" t="str">
        <f>IFERROR(__xludf.DUMMYFUNCTION("""COMPUTED_VALUE"""),"PT ARYANA CAKASANA")</f>
        <v>PT ARYANA CAKASANA</v>
      </c>
      <c r="U671" s="215">
        <f>IFERROR(__xludf.DUMMYFUNCTION("""COMPUTED_VALUE"""),45764.34444444445)</f>
        <v>45764.34444</v>
      </c>
      <c r="V671" s="211" t="str">
        <f>IFERROR(__xludf.DUMMYFUNCTION("""COMPUTED_VALUE"""),"Jl Raya Tarik No. 45, Wonokupang, Bakalan, Balongbendo")</f>
        <v>Jl Raya Tarik No. 45, Wonokupang, Bakalan, Balongbendo</v>
      </c>
      <c r="W671" s="211" t="str">
        <f>IFERROR(__xludf.DUMMYFUNCTION("""COMPUTED_VALUE"""),"OUT")</f>
        <v>OUT</v>
      </c>
      <c r="X671" s="211"/>
      <c r="Z671" s="211" t="str">
        <f>IFERROR(__xludf.DUMMYFUNCTION("""COMPUTED_VALUE"""),"1125191633")</f>
        <v>1125191633</v>
      </c>
      <c r="AC671" s="211"/>
      <c r="AD671" s="211"/>
      <c r="AE671" s="211"/>
      <c r="AF671" s="211"/>
      <c r="AG671" s="211"/>
      <c r="AH671" s="211"/>
      <c r="AI671" s="211"/>
      <c r="AJ671" s="211"/>
      <c r="AL671" s="211"/>
      <c r="AM671" s="211"/>
      <c r="AN671" s="211"/>
      <c r="AO671" s="211"/>
      <c r="AP671" s="215"/>
      <c r="AQ671" s="218"/>
      <c r="AR671" s="211"/>
      <c r="AS671" s="211"/>
      <c r="AT671" s="211"/>
      <c r="AU671" s="211"/>
      <c r="AV671" s="211"/>
      <c r="AW671" s="211"/>
      <c r="AX671" s="211"/>
      <c r="AY671" s="211"/>
      <c r="AZ671" s="211"/>
      <c r="BB671" s="211"/>
      <c r="BC671" s="211"/>
      <c r="BD671" s="211"/>
      <c r="BE671" s="211"/>
      <c r="BF671" s="211"/>
      <c r="BG671" s="211"/>
      <c r="BH671" s="211"/>
      <c r="BI671" s="211"/>
    </row>
    <row r="672">
      <c r="A672" s="210" t="str">
        <f>IFERROR(__xludf.DUMMYFUNCTION("""COMPUTED_VALUE"""),"842362f0")</f>
        <v>842362f0</v>
      </c>
      <c r="B672" s="210" t="str">
        <f>IFERROR(__xludf.DUMMYFUNCTION("""COMPUTED_VALUE"""),"842362f0")</f>
        <v>842362f0</v>
      </c>
      <c r="C672" s="213">
        <f>IFERROR(__xludf.DUMMYFUNCTION("""COMPUTED_VALUE"""),45707.495833333334)</f>
        <v>45707.49583</v>
      </c>
      <c r="D672" s="211" t="str">
        <f>IFERROR(__xludf.DUMMYFUNCTION("""COMPUTED_VALUE"""),"2d88931c")</f>
        <v>2d88931c</v>
      </c>
      <c r="E672" s="211" t="str">
        <f>IFERROR(__xludf.DUMMYFUNCTION("""COMPUTED_VALUE"""),"PT Dunia Berkat Marga Mulya")</f>
        <v>PT Dunia Berkat Marga Mulya</v>
      </c>
      <c r="F672" s="211" t="str">
        <f>IFERROR(__xludf.DUMMYFUNCTION("""COMPUTED_VALUE"""),"8bdbe149")</f>
        <v>8bdbe149</v>
      </c>
      <c r="G672" s="211" t="str">
        <f>IFERROR(__xludf.DUMMYFUNCTION("""COMPUTED_VALUE"""),"Oksigen 6m3")</f>
        <v>Oksigen 6m3</v>
      </c>
      <c r="H672" s="214" t="str">
        <f>IFERROR(__xludf.DUMMYFUNCTION("""COMPUTED_VALUE"""),"IN")</f>
        <v>IN</v>
      </c>
      <c r="I672" s="214" t="str">
        <f>IFERROR(__xludf.DUMMYFUNCTION("""COMPUTED_VALUE"""),"EMPTY")</f>
        <v>EMPTY</v>
      </c>
      <c r="J672" s="211">
        <f>IFERROR(__xludf.DUMMYFUNCTION("""COMPUTED_VALUE"""),1.0)</f>
        <v>1</v>
      </c>
      <c r="K672" s="210" t="str">
        <f>IFERROR(__xludf.DUMMYFUNCTION("""COMPUTED_VALUE"""),"1157")</f>
        <v>1157</v>
      </c>
      <c r="L672" s="211"/>
      <c r="M672" s="211"/>
      <c r="N672" s="211"/>
      <c r="O672" s="211"/>
      <c r="Q672" s="210" t="str">
        <f>IFERROR(__xludf.DUMMYFUNCTION("""COMPUTED_VALUE"""),"04250374")</f>
        <v>04250374</v>
      </c>
      <c r="R672" s="210" t="str">
        <f>IFERROR(__xludf.DUMMYFUNCTION("""COMPUTED_VALUE"""),"04250374")</f>
        <v>04250374</v>
      </c>
      <c r="S672" s="211" t="str">
        <f>IFERROR(__xludf.DUMMYFUNCTION("""COMPUTED_VALUE"""),"ed2cc96a")</f>
        <v>ed2cc96a</v>
      </c>
      <c r="T672" s="211" t="str">
        <f>IFERROR(__xludf.DUMMYFUNCTION("""COMPUTED_VALUE"""),"Bengkel Dian Jaya")</f>
        <v>Bengkel Dian Jaya</v>
      </c>
      <c r="U672" s="215">
        <f>IFERROR(__xludf.DUMMYFUNCTION("""COMPUTED_VALUE"""),45764.39791666667)</f>
        <v>45764.39792</v>
      </c>
      <c r="V672" s="211" t="str">
        <f>IFERROR(__xludf.DUMMYFUNCTION("""COMPUTED_VALUE"""),"Gg. 2, Kejagan, Kec. Trowulan, Kabupaten Mojokerto, Jawa Timur 61362")</f>
        <v>Gg. 2, Kejagan, Kec. Trowulan, Kabupaten Mojokerto, Jawa Timur 61362</v>
      </c>
      <c r="W672" s="211" t="str">
        <f>IFERROR(__xludf.DUMMYFUNCTION("""COMPUTED_VALUE"""),"OUT")</f>
        <v>OUT</v>
      </c>
      <c r="X672" s="211"/>
      <c r="Z672" s="211" t="str">
        <f>IFERROR(__xludf.DUMMYFUNCTION("""COMPUTED_VALUE"""),"1125341631")</f>
        <v>1125341631</v>
      </c>
      <c r="AC672" s="211"/>
      <c r="AD672" s="211"/>
      <c r="AE672" s="211"/>
      <c r="AF672" s="211"/>
      <c r="AG672" s="211"/>
      <c r="AH672" s="211"/>
      <c r="AI672" s="211"/>
      <c r="AJ672" s="211"/>
      <c r="AL672" s="211"/>
      <c r="AM672" s="211"/>
      <c r="AN672" s="211"/>
      <c r="AO672" s="211"/>
      <c r="AP672" s="215"/>
      <c r="AQ672" s="218"/>
      <c r="AR672" s="211"/>
      <c r="AS672" s="211"/>
      <c r="AT672" s="211"/>
      <c r="AU672" s="211"/>
      <c r="AV672" s="211"/>
      <c r="AW672" s="211"/>
      <c r="AX672" s="211"/>
      <c r="AY672" s="211"/>
      <c r="AZ672" s="211"/>
      <c r="BB672" s="211"/>
      <c r="BC672" s="211"/>
      <c r="BD672" s="211"/>
      <c r="BE672" s="211"/>
      <c r="BF672" s="211"/>
      <c r="BG672" s="211"/>
      <c r="BH672" s="211"/>
      <c r="BI672" s="211"/>
    </row>
    <row r="673">
      <c r="A673" s="210" t="str">
        <f>IFERROR(__xludf.DUMMYFUNCTION("""COMPUTED_VALUE"""),"02250270")</f>
        <v>02250270</v>
      </c>
      <c r="B673" s="210" t="str">
        <f>IFERROR(__xludf.DUMMYFUNCTION("""COMPUTED_VALUE"""),"02250270")</f>
        <v>02250270</v>
      </c>
      <c r="C673" s="213">
        <f>IFERROR(__xludf.DUMMYFUNCTION("""COMPUTED_VALUE"""),45708.35277777778)</f>
        <v>45708.35278</v>
      </c>
      <c r="D673" s="211" t="str">
        <f>IFERROR(__xludf.DUMMYFUNCTION("""COMPUTED_VALUE"""),"103f3ae7")</f>
        <v>103f3ae7</v>
      </c>
      <c r="E673" s="211" t="str">
        <f>IFERROR(__xludf.DUMMYFUNCTION("""COMPUTED_VALUE"""),"PT ARYANA CAKASANA")</f>
        <v>PT ARYANA CAKASANA</v>
      </c>
      <c r="F673" s="211" t="str">
        <f>IFERROR(__xludf.DUMMYFUNCTION("""COMPUTED_VALUE"""),"8bdbe149")</f>
        <v>8bdbe149</v>
      </c>
      <c r="G673" s="211" t="str">
        <f>IFERROR(__xludf.DUMMYFUNCTION("""COMPUTED_VALUE"""),"Oksigen 6m3")</f>
        <v>Oksigen 6m3</v>
      </c>
      <c r="H673" s="214" t="str">
        <f>IFERROR(__xludf.DUMMYFUNCTION("""COMPUTED_VALUE"""),"OUT")</f>
        <v>OUT</v>
      </c>
      <c r="I673" s="214" t="str">
        <f>IFERROR(__xludf.DUMMYFUNCTION("""COMPUTED_VALUE"""),"NORMAL")</f>
        <v>NORMAL</v>
      </c>
      <c r="J673" s="211">
        <f>IFERROR(__xludf.DUMMYFUNCTION("""COMPUTED_VALUE"""),10.0)</f>
        <v>10</v>
      </c>
      <c r="K673" s="210" t="str">
        <f>IFERROR(__xludf.DUMMYFUNCTION("""COMPUTED_VALUE"""),"11105 1154 1122 1119 1150 1137 1116 1135 1138 11117")</f>
        <v>11105 1154 1122 1119 1150 1137 1116 1135 1138 11117</v>
      </c>
      <c r="L673" s="211">
        <f>IFERROR(__xludf.DUMMYFUNCTION("""COMPUTED_VALUE"""),47297.2973)</f>
        <v>47297.2973</v>
      </c>
      <c r="M673" s="211"/>
      <c r="N673" s="211"/>
      <c r="O673" s="211"/>
      <c r="Q673" s="210" t="str">
        <f>IFERROR(__xludf.DUMMYFUNCTION("""COMPUTED_VALUE"""),"a7ced553")</f>
        <v>a7ced553</v>
      </c>
      <c r="R673" s="210" t="str">
        <f>IFERROR(__xludf.DUMMYFUNCTION("""COMPUTED_VALUE"""),"a7ced553")</f>
        <v>a7ced553</v>
      </c>
      <c r="S673" s="211" t="str">
        <f>IFERROR(__xludf.DUMMYFUNCTION("""COMPUTED_VALUE"""),"5449a0b8")</f>
        <v>5449a0b8</v>
      </c>
      <c r="T673" s="211" t="str">
        <f>IFERROR(__xludf.DUMMYFUNCTION("""COMPUTED_VALUE"""),"Bpk. Supar")</f>
        <v>Bpk. Supar</v>
      </c>
      <c r="U673" s="215">
        <f>IFERROR(__xludf.DUMMYFUNCTION("""COMPUTED_VALUE"""),45764.49930555555)</f>
        <v>45764.49931</v>
      </c>
      <c r="V673" s="211" t="str">
        <f>IFERROR(__xludf.DUMMYFUNCTION("""COMPUTED_VALUE"""),"Ciro Kulon, Bakungtemenggungan, Kec. BalongBendo, Kabupaten Sidoarjo, Jawa Timur")</f>
        <v>Ciro Kulon, Bakungtemenggungan, Kec. BalongBendo, Kabupaten Sidoarjo, Jawa Timur</v>
      </c>
      <c r="W673" s="211" t="str">
        <f>IFERROR(__xludf.DUMMYFUNCTION("""COMPUTED_VALUE"""),"IN")</f>
        <v>IN</v>
      </c>
      <c r="X673" s="211"/>
      <c r="Z673" s="211" t="str">
        <f>IFERROR(__xludf.DUMMYFUNCTION("""COMPUTED_VALUE"""),"1125661632")</f>
        <v>1125661632</v>
      </c>
      <c r="AC673" s="211"/>
      <c r="AD673" s="211"/>
      <c r="AE673" s="211"/>
      <c r="AF673" s="211"/>
      <c r="AG673" s="211"/>
      <c r="AH673" s="211"/>
      <c r="AI673" s="211"/>
      <c r="AJ673" s="211"/>
      <c r="AL673" s="211"/>
      <c r="AM673" s="211"/>
      <c r="AN673" s="211"/>
      <c r="AO673" s="211"/>
      <c r="AP673" s="215"/>
      <c r="AQ673" s="218"/>
      <c r="AR673" s="211"/>
      <c r="AS673" s="211"/>
      <c r="AT673" s="211"/>
      <c r="AU673" s="211"/>
      <c r="AV673" s="211"/>
      <c r="AW673" s="211"/>
      <c r="AX673" s="211"/>
      <c r="AY673" s="211"/>
      <c r="AZ673" s="211"/>
      <c r="BB673" s="211"/>
      <c r="BC673" s="211"/>
      <c r="BD673" s="211"/>
      <c r="BE673" s="211"/>
      <c r="BF673" s="211"/>
      <c r="BG673" s="211"/>
      <c r="BH673" s="211"/>
      <c r="BI673" s="211"/>
    </row>
    <row r="674">
      <c r="A674" s="210" t="str">
        <f>IFERROR(__xludf.DUMMYFUNCTION("""COMPUTED_VALUE"""),"e219c0d3")</f>
        <v>e219c0d3</v>
      </c>
      <c r="B674" s="210" t="str">
        <f>IFERROR(__xludf.DUMMYFUNCTION("""COMPUTED_VALUE"""),"e219c0d3")</f>
        <v>e219c0d3</v>
      </c>
      <c r="C674" s="213">
        <f>IFERROR(__xludf.DUMMYFUNCTION("""COMPUTED_VALUE"""),45707.71527777778)</f>
        <v>45707.71528</v>
      </c>
      <c r="D674" s="211" t="str">
        <f>IFERROR(__xludf.DUMMYFUNCTION("""COMPUTED_VALUE"""),"72d9a70c")</f>
        <v>72d9a70c</v>
      </c>
      <c r="E674" s="211" t="str">
        <f>IFERROR(__xludf.DUMMYFUNCTION("""COMPUTED_VALUE"""),"PT Beton Prima Indonesia")</f>
        <v>PT Beton Prima Indonesia</v>
      </c>
      <c r="F674" s="211" t="str">
        <f>IFERROR(__xludf.DUMMYFUNCTION("""COMPUTED_VALUE"""),"8bdbe149")</f>
        <v>8bdbe149</v>
      </c>
      <c r="G674" s="211" t="str">
        <f>IFERROR(__xludf.DUMMYFUNCTION("""COMPUTED_VALUE"""),"Oksigen 6m3")</f>
        <v>Oksigen 6m3</v>
      </c>
      <c r="H674" s="214" t="str">
        <f>IFERROR(__xludf.DUMMYFUNCTION("""COMPUTED_VALUE"""),"IN")</f>
        <v>IN</v>
      </c>
      <c r="I674" s="214" t="str">
        <f>IFERROR(__xludf.DUMMYFUNCTION("""COMPUTED_VALUE"""),"EMPTY")</f>
        <v>EMPTY</v>
      </c>
      <c r="J674" s="211">
        <f>IFERROR(__xludf.DUMMYFUNCTION("""COMPUTED_VALUE"""),1.0)</f>
        <v>1</v>
      </c>
      <c r="K674" s="210" t="str">
        <f>IFERROR(__xludf.DUMMYFUNCTION("""COMPUTED_VALUE"""),"11143")</f>
        <v>11143</v>
      </c>
      <c r="L674" s="211"/>
      <c r="M674" s="211"/>
      <c r="N674" s="211"/>
      <c r="O674" s="211"/>
      <c r="Q674" s="210" t="str">
        <f>IFERROR(__xludf.DUMMYFUNCTION("""COMPUTED_VALUE"""),"9134fe54")</f>
        <v>9134fe54</v>
      </c>
      <c r="R674" s="210" t="str">
        <f>IFERROR(__xludf.DUMMYFUNCTION("""COMPUTED_VALUE"""),"9134fe54")</f>
        <v>9134fe54</v>
      </c>
      <c r="S674" s="211" t="str">
        <f>IFERROR(__xludf.DUMMYFUNCTION("""COMPUTED_VALUE"""),"01158be1")</f>
        <v>01158be1</v>
      </c>
      <c r="T674" s="211" t="str">
        <f>IFERROR(__xludf.DUMMYFUNCTION("""COMPUTED_VALUE"""),"GYF")</f>
        <v>GYF</v>
      </c>
      <c r="U674" s="215">
        <f>IFERROR(__xludf.DUMMYFUNCTION("""COMPUTED_VALUE"""),45764.49930555555)</f>
        <v>45764.49931</v>
      </c>
      <c r="V674" s="211" t="str">
        <f>IFERROR(__xludf.DUMMYFUNCTION("""COMPUTED_VALUE"""),"Kangkungan, Lengkong, Kec. Mojoanyar, Kabupaten Mojokerto, Jawa Timur")</f>
        <v>Kangkungan, Lengkong, Kec. Mojoanyar, Kabupaten Mojokerto, Jawa Timur</v>
      </c>
      <c r="W674" s="211" t="str">
        <f>IFERROR(__xludf.DUMMYFUNCTION("""COMPUTED_VALUE"""),"IN")</f>
        <v>IN</v>
      </c>
      <c r="X674" s="211"/>
      <c r="Z674" s="211" t="str">
        <f>IFERROR(__xludf.DUMMYFUNCTION("""COMPUTED_VALUE"""),"1125181624")</f>
        <v>1125181624</v>
      </c>
      <c r="AC674" s="211"/>
      <c r="AD674" s="211"/>
      <c r="AE674" s="211"/>
      <c r="AF674" s="211"/>
      <c r="AG674" s="211"/>
      <c r="AH674" s="211"/>
      <c r="AI674" s="211"/>
      <c r="AJ674" s="211"/>
      <c r="AL674" s="211"/>
      <c r="AM674" s="211"/>
      <c r="AN674" s="211"/>
      <c r="AO674" s="211"/>
      <c r="AP674" s="215"/>
      <c r="AQ674" s="218"/>
      <c r="AR674" s="211"/>
      <c r="AS674" s="211"/>
      <c r="AT674" s="211"/>
      <c r="AU674" s="211"/>
      <c r="AV674" s="211"/>
      <c r="AW674" s="211"/>
      <c r="AX674" s="211"/>
      <c r="AY674" s="211"/>
      <c r="AZ674" s="211"/>
      <c r="BB674" s="211"/>
      <c r="BC674" s="211"/>
      <c r="BD674" s="211"/>
      <c r="BE674" s="211"/>
      <c r="BF674" s="211"/>
      <c r="BG674" s="211"/>
      <c r="BH674" s="211"/>
      <c r="BI674" s="211"/>
    </row>
    <row r="675">
      <c r="A675" s="210" t="str">
        <f>IFERROR(__xludf.DUMMYFUNCTION("""COMPUTED_VALUE"""),"dfaf56c4")</f>
        <v>dfaf56c4</v>
      </c>
      <c r="B675" s="210" t="str">
        <f>IFERROR(__xludf.DUMMYFUNCTION("""COMPUTED_VALUE"""),"dfaf56c4")</f>
        <v>dfaf56c4</v>
      </c>
      <c r="C675" s="213">
        <f>IFERROR(__xludf.DUMMYFUNCTION("""COMPUTED_VALUE"""),45707.71527777778)</f>
        <v>45707.71528</v>
      </c>
      <c r="D675" s="211" t="str">
        <f>IFERROR(__xludf.DUMMYFUNCTION("""COMPUTED_VALUE"""),"103f3ae7")</f>
        <v>103f3ae7</v>
      </c>
      <c r="E675" s="211" t="str">
        <f>IFERROR(__xludf.DUMMYFUNCTION("""COMPUTED_VALUE"""),"PT ARYANA CAKASANA")</f>
        <v>PT ARYANA CAKASANA</v>
      </c>
      <c r="F675" s="211" t="str">
        <f>IFERROR(__xludf.DUMMYFUNCTION("""COMPUTED_VALUE"""),"8bdbe149")</f>
        <v>8bdbe149</v>
      </c>
      <c r="G675" s="211" t="str">
        <f>IFERROR(__xludf.DUMMYFUNCTION("""COMPUTED_VALUE"""),"Oksigen 6m3")</f>
        <v>Oksigen 6m3</v>
      </c>
      <c r="H675" s="214" t="str">
        <f>IFERROR(__xludf.DUMMYFUNCTION("""COMPUTED_VALUE"""),"IN")</f>
        <v>IN</v>
      </c>
      <c r="I675" s="214" t="str">
        <f>IFERROR(__xludf.DUMMYFUNCTION("""COMPUTED_VALUE"""),"EMPTY")</f>
        <v>EMPTY</v>
      </c>
      <c r="J675" s="211">
        <f>IFERROR(__xludf.DUMMYFUNCTION("""COMPUTED_VALUE"""),3.0)</f>
        <v>3</v>
      </c>
      <c r="K675" s="210" t="str">
        <f>IFERROR(__xludf.DUMMYFUNCTION("""COMPUTED_VALUE"""),"1120 1108 1187")</f>
        <v>1120 1108 1187</v>
      </c>
      <c r="L675" s="211"/>
      <c r="M675" s="211"/>
      <c r="N675" s="211"/>
      <c r="O675" s="211"/>
      <c r="Q675" s="210" t="str">
        <f>IFERROR(__xludf.DUMMYFUNCTION("""COMPUTED_VALUE"""),"58b5250e")</f>
        <v>58b5250e</v>
      </c>
      <c r="R675" s="210" t="str">
        <f>IFERROR(__xludf.DUMMYFUNCTION("""COMPUTED_VALUE"""),"58b5250e")</f>
        <v>58b5250e</v>
      </c>
      <c r="S675" s="211" t="str">
        <f>IFERROR(__xludf.DUMMYFUNCTION("""COMPUTED_VALUE"""),"103f3ae7")</f>
        <v>103f3ae7</v>
      </c>
      <c r="T675" s="211" t="str">
        <f>IFERROR(__xludf.DUMMYFUNCTION("""COMPUTED_VALUE"""),"PT ARYANA CAKASANA")</f>
        <v>PT ARYANA CAKASANA</v>
      </c>
      <c r="U675" s="215">
        <f>IFERROR(__xludf.DUMMYFUNCTION("""COMPUTED_VALUE"""),45764.50069444445)</f>
        <v>45764.50069</v>
      </c>
      <c r="V675" s="211" t="str">
        <f>IFERROR(__xludf.DUMMYFUNCTION("""COMPUTED_VALUE"""),"Jl Raya Tarik No. 45, Wonokupang, Bakalan, Balongbendo")</f>
        <v>Jl Raya Tarik No. 45, Wonokupang, Bakalan, Balongbendo</v>
      </c>
      <c r="W675" s="211" t="str">
        <f>IFERROR(__xludf.DUMMYFUNCTION("""COMPUTED_VALUE"""),"IN")</f>
        <v>IN</v>
      </c>
      <c r="X675" s="211"/>
      <c r="Z675" s="211" t="str">
        <f>IFERROR(__xludf.DUMMYFUNCTION("""COMPUTED_VALUE"""),"112511623")</f>
        <v>112511623</v>
      </c>
      <c r="AC675" s="211"/>
      <c r="AD675" s="211"/>
      <c r="AE675" s="211"/>
      <c r="AF675" s="211"/>
      <c r="AG675" s="211"/>
      <c r="AH675" s="211"/>
      <c r="AI675" s="211"/>
      <c r="AJ675" s="211"/>
      <c r="AL675" s="211"/>
      <c r="AM675" s="211"/>
      <c r="AN675" s="211"/>
      <c r="AO675" s="211"/>
      <c r="AP675" s="215"/>
      <c r="AQ675" s="218"/>
      <c r="AR675" s="211"/>
      <c r="AS675" s="211"/>
      <c r="AT675" s="211"/>
      <c r="AU675" s="211"/>
      <c r="AV675" s="211"/>
      <c r="AW675" s="211"/>
      <c r="AX675" s="211"/>
      <c r="AY675" s="211"/>
      <c r="AZ675" s="211"/>
      <c r="BB675" s="211"/>
      <c r="BC675" s="211"/>
      <c r="BD675" s="211"/>
      <c r="BE675" s="211"/>
      <c r="BF675" s="211"/>
      <c r="BG675" s="211"/>
      <c r="BH675" s="211"/>
      <c r="BI675" s="211"/>
    </row>
    <row r="676">
      <c r="A676" s="210" t="str">
        <f>IFERROR(__xludf.DUMMYFUNCTION("""COMPUTED_VALUE"""),"02250271")</f>
        <v>02250271</v>
      </c>
      <c r="B676" s="210" t="str">
        <f>IFERROR(__xludf.DUMMYFUNCTION("""COMPUTED_VALUE"""),"02250271")</f>
        <v>02250271</v>
      </c>
      <c r="C676" s="213">
        <f>IFERROR(__xludf.DUMMYFUNCTION("""COMPUTED_VALUE"""),45708.464583333334)</f>
        <v>45708.46458</v>
      </c>
      <c r="D676" s="211" t="str">
        <f>IFERROR(__xludf.DUMMYFUNCTION("""COMPUTED_VALUE"""),"5f23ba17")</f>
        <v>5f23ba17</v>
      </c>
      <c r="E676" s="211" t="str">
        <f>IFERROR(__xludf.DUMMYFUNCTION("""COMPUTED_VALUE"""),"Bpk. Joko (Gresik)")</f>
        <v>Bpk. Joko (Gresik)</v>
      </c>
      <c r="F676" s="211" t="str">
        <f>IFERROR(__xludf.DUMMYFUNCTION("""COMPUTED_VALUE"""),"439cf836")</f>
        <v>439cf836</v>
      </c>
      <c r="G676" s="211" t="str">
        <f>IFERROR(__xludf.DUMMYFUNCTION("""COMPUTED_VALUE"""),"Karbondioksida MR")</f>
        <v>Karbondioksida MR</v>
      </c>
      <c r="H676" s="214" t="str">
        <f>IFERROR(__xludf.DUMMYFUNCTION("""COMPUTED_VALUE"""),"OUT")</f>
        <v>OUT</v>
      </c>
      <c r="I676" s="214" t="str">
        <f>IFERROR(__xludf.DUMMYFUNCTION("""COMPUTED_VALUE"""),"NORMAL")</f>
        <v>NORMAL</v>
      </c>
      <c r="J676" s="211">
        <f>IFERROR(__xludf.DUMMYFUNCTION("""COMPUTED_VALUE"""),1.0)</f>
        <v>1</v>
      </c>
      <c r="K676" s="210" t="str">
        <f>IFERROR(__xludf.DUMMYFUNCTION("""COMPUTED_VALUE"""),"16284")</f>
        <v>16284</v>
      </c>
      <c r="L676" s="211">
        <f>IFERROR(__xludf.DUMMYFUNCTION("""COMPUTED_VALUE"""),160000.0)</f>
        <v>160000</v>
      </c>
      <c r="M676" s="211"/>
      <c r="N676" s="211"/>
      <c r="O676" s="211"/>
      <c r="Q676" s="210" t="str">
        <f>IFERROR(__xludf.DUMMYFUNCTION("""COMPUTED_VALUE"""),"d017ae05")</f>
        <v>d017ae05</v>
      </c>
      <c r="R676" s="210" t="str">
        <f>IFERROR(__xludf.DUMMYFUNCTION("""COMPUTED_VALUE"""),"d017ae05")</f>
        <v>d017ae05</v>
      </c>
      <c r="S676" s="211" t="str">
        <f>IFERROR(__xludf.DUMMYFUNCTION("""COMPUTED_VALUE"""),"785e0e07")</f>
        <v>785e0e07</v>
      </c>
      <c r="T676" s="211" t="str">
        <f>IFERROR(__xludf.DUMMYFUNCTION("""COMPUTED_VALUE"""),"Bpk. Sukirno (Bejo)")</f>
        <v>Bpk. Sukirno (Bejo)</v>
      </c>
      <c r="U676" s="215">
        <f>IFERROR(__xludf.DUMMYFUNCTION("""COMPUTED_VALUE"""),45763.71041666667)</f>
        <v>45763.71042</v>
      </c>
      <c r="V676" s="211" t="str">
        <f>IFERROR(__xludf.DUMMYFUNCTION("""COMPUTED_VALUE"""),"Krajan I, Wringinanom, Kec. Wringinanom, Kabupaten Gresik, Jawa Timur 61176")</f>
        <v>Krajan I, Wringinanom, Kec. Wringinanom, Kabupaten Gresik, Jawa Timur 61176</v>
      </c>
      <c r="W676" s="211" t="str">
        <f>IFERROR(__xludf.DUMMYFUNCTION("""COMPUTED_VALUE"""),"IN")</f>
        <v>IN</v>
      </c>
      <c r="X676" s="211"/>
      <c r="Z676" s="211" t="str">
        <f>IFERROR(__xludf.DUMMYFUNCTION("""COMPUTED_VALUE"""),"112561621")</f>
        <v>112561621</v>
      </c>
      <c r="AC676" s="211"/>
      <c r="AD676" s="211"/>
      <c r="AE676" s="211"/>
      <c r="AF676" s="211"/>
      <c r="AG676" s="211"/>
      <c r="AH676" s="211"/>
      <c r="AI676" s="211"/>
      <c r="AJ676" s="211"/>
      <c r="AL676" s="211"/>
      <c r="AM676" s="211"/>
      <c r="AN676" s="211"/>
      <c r="AO676" s="211"/>
      <c r="AP676" s="215"/>
      <c r="AQ676" s="218"/>
      <c r="AR676" s="211"/>
      <c r="AS676" s="211"/>
      <c r="AT676" s="211"/>
      <c r="AU676" s="211"/>
      <c r="AV676" s="211"/>
      <c r="AW676" s="211"/>
      <c r="AX676" s="211"/>
      <c r="AY676" s="211"/>
      <c r="AZ676" s="211"/>
      <c r="BB676" s="211"/>
      <c r="BC676" s="211"/>
      <c r="BD676" s="211"/>
      <c r="BE676" s="211"/>
      <c r="BF676" s="211"/>
      <c r="BG676" s="211"/>
      <c r="BH676" s="211"/>
      <c r="BI676" s="211"/>
    </row>
    <row r="677">
      <c r="A677" s="210" t="str">
        <f>IFERROR(__xludf.DUMMYFUNCTION("""COMPUTED_VALUE"""),"0225191090")</f>
        <v>0225191090</v>
      </c>
      <c r="B677" s="210" t="str">
        <f>IFERROR(__xludf.DUMMYFUNCTION("""COMPUTED_VALUE"""),"0225191090")</f>
        <v>0225191090</v>
      </c>
      <c r="C677" s="213">
        <f>IFERROR(__xludf.DUMMYFUNCTION("""COMPUTED_VALUE"""),45708.464583333334)</f>
        <v>45708.46458</v>
      </c>
      <c r="D677" s="211" t="str">
        <f>IFERROR(__xludf.DUMMYFUNCTION("""COMPUTED_VALUE"""),"5f23ba17")</f>
        <v>5f23ba17</v>
      </c>
      <c r="E677" s="211" t="str">
        <f>IFERROR(__xludf.DUMMYFUNCTION("""COMPUTED_VALUE"""),"Bpk. Joko (Gresik)")</f>
        <v>Bpk. Joko (Gresik)</v>
      </c>
      <c r="F677" s="211" t="str">
        <f>IFERROR(__xludf.DUMMYFUNCTION("""COMPUTED_VALUE"""),"be525f3b")</f>
        <v>be525f3b</v>
      </c>
      <c r="G677" s="211" t="str">
        <f>IFERROR(__xludf.DUMMYFUNCTION("""COMPUTED_VALUE"""),"LPG 12kg")</f>
        <v>LPG 12kg</v>
      </c>
      <c r="H677" s="214" t="str">
        <f>IFERROR(__xludf.DUMMYFUNCTION("""COMPUTED_VALUE"""),"OUT")</f>
        <v>OUT</v>
      </c>
      <c r="I677" s="214" t="str">
        <f>IFERROR(__xludf.DUMMYFUNCTION("""COMPUTED_VALUE"""),"NORMAL")</f>
        <v>NORMAL</v>
      </c>
      <c r="J677" s="211">
        <f>IFERROR(__xludf.DUMMYFUNCTION("""COMPUTED_VALUE"""),6.0)</f>
        <v>6</v>
      </c>
      <c r="K677" s="211"/>
      <c r="L677" s="211">
        <f>IFERROR(__xludf.DUMMYFUNCTION("""COMPUTED_VALUE"""),200000.0)</f>
        <v>200000</v>
      </c>
      <c r="M677" s="211"/>
      <c r="N677" s="211"/>
      <c r="O677" s="211"/>
      <c r="Q677" s="210" t="str">
        <f>IFERROR(__xludf.DUMMYFUNCTION("""COMPUTED_VALUE"""),"04250376")</f>
        <v>04250376</v>
      </c>
      <c r="R677" s="210" t="str">
        <f>IFERROR(__xludf.DUMMYFUNCTION("""COMPUTED_VALUE"""),"04250376")</f>
        <v>04250376</v>
      </c>
      <c r="S677" s="211" t="str">
        <f>IFERROR(__xludf.DUMMYFUNCTION("""COMPUTED_VALUE"""),"01158be1")</f>
        <v>01158be1</v>
      </c>
      <c r="T677" s="211" t="str">
        <f>IFERROR(__xludf.DUMMYFUNCTION("""COMPUTED_VALUE"""),"GYF")</f>
        <v>GYF</v>
      </c>
      <c r="U677" s="215">
        <f>IFERROR(__xludf.DUMMYFUNCTION("""COMPUTED_VALUE"""),45766.410416666666)</f>
        <v>45766.41042</v>
      </c>
      <c r="V677" s="211" t="str">
        <f>IFERROR(__xludf.DUMMYFUNCTION("""COMPUTED_VALUE"""),"Kangkungan, Lengkong, Kec. Mojoanyar, Kabupaten Mojokerto, Jawa Timur")</f>
        <v>Kangkungan, Lengkong, Kec. Mojoanyar, Kabupaten Mojokerto, Jawa Timur</v>
      </c>
      <c r="W677" s="211" t="str">
        <f>IFERROR(__xludf.DUMMYFUNCTION("""COMPUTED_VALUE"""),"OUT")</f>
        <v>OUT</v>
      </c>
      <c r="X677" s="211"/>
      <c r="Z677" s="211" t="str">
        <f>IFERROR(__xludf.DUMMYFUNCTION("""COMPUTED_VALUE"""),"1125171619")</f>
        <v>1125171619</v>
      </c>
      <c r="AC677" s="211"/>
      <c r="AD677" s="211"/>
      <c r="AE677" s="211"/>
      <c r="AF677" s="211"/>
      <c r="AG677" s="211"/>
      <c r="AH677" s="211"/>
      <c r="AI677" s="211"/>
      <c r="AJ677" s="211"/>
      <c r="AL677" s="211"/>
      <c r="AM677" s="211"/>
      <c r="AN677" s="211"/>
      <c r="AO677" s="211"/>
      <c r="AP677" s="215"/>
      <c r="AQ677" s="218"/>
      <c r="AR677" s="211"/>
      <c r="AS677" s="211"/>
      <c r="AT677" s="211"/>
      <c r="AU677" s="211"/>
      <c r="AV677" s="211"/>
      <c r="AW677" s="211"/>
      <c r="AX677" s="211"/>
      <c r="AY677" s="211"/>
      <c r="AZ677" s="211"/>
      <c r="BB677" s="211"/>
      <c r="BC677" s="211"/>
      <c r="BD677" s="211"/>
      <c r="BE677" s="211"/>
      <c r="BF677" s="211"/>
      <c r="BG677" s="211"/>
      <c r="BH677" s="211"/>
      <c r="BI677" s="211"/>
    </row>
    <row r="678">
      <c r="A678" s="210" t="str">
        <f>IFERROR(__xludf.DUMMYFUNCTION("""COMPUTED_VALUE"""),"de93713b")</f>
        <v>de93713b</v>
      </c>
      <c r="B678" s="210" t="str">
        <f>IFERROR(__xludf.DUMMYFUNCTION("""COMPUTED_VALUE"""),"de93713b")</f>
        <v>de93713b</v>
      </c>
      <c r="C678" s="213">
        <f>IFERROR(__xludf.DUMMYFUNCTION("""COMPUTED_VALUE"""),45708.475)</f>
        <v>45708.475</v>
      </c>
      <c r="D678" s="211" t="str">
        <f>IFERROR(__xludf.DUMMYFUNCTION("""COMPUTED_VALUE"""),"785e0e07")</f>
        <v>785e0e07</v>
      </c>
      <c r="E678" s="211" t="str">
        <f>IFERROR(__xludf.DUMMYFUNCTION("""COMPUTED_VALUE"""),"Bpk. Sukirno (Bejo)")</f>
        <v>Bpk. Sukirno (Bejo)</v>
      </c>
      <c r="F678" s="211" t="str">
        <f>IFERROR(__xludf.DUMMYFUNCTION("""COMPUTED_VALUE"""),"8bdbe149")</f>
        <v>8bdbe149</v>
      </c>
      <c r="G678" s="211" t="str">
        <f>IFERROR(__xludf.DUMMYFUNCTION("""COMPUTED_VALUE"""),"Oksigen 6m3")</f>
        <v>Oksigen 6m3</v>
      </c>
      <c r="H678" s="214" t="str">
        <f>IFERROR(__xludf.DUMMYFUNCTION("""COMPUTED_VALUE"""),"IN")</f>
        <v>IN</v>
      </c>
      <c r="I678" s="214" t="str">
        <f>IFERROR(__xludf.DUMMYFUNCTION("""COMPUTED_VALUE"""),"EMPTY")</f>
        <v>EMPTY</v>
      </c>
      <c r="J678" s="211">
        <f>IFERROR(__xludf.DUMMYFUNCTION("""COMPUTED_VALUE"""),8.0)</f>
        <v>8</v>
      </c>
      <c r="K678" s="210" t="str">
        <f>IFERROR(__xludf.DUMMYFUNCTION("""COMPUTED_VALUE"""),"1153 11126 11212 12 11177 1199 11173 11115")</f>
        <v>1153 11126 11212 12 11177 1199 11173 11115</v>
      </c>
      <c r="L678" s="211"/>
      <c r="M678" s="211"/>
      <c r="N678" s="211"/>
      <c r="O678" s="211"/>
      <c r="Q678" s="210" t="str">
        <f>IFERROR(__xludf.DUMMYFUNCTION("""COMPUTED_VALUE"""),"04250378")</f>
        <v>04250378</v>
      </c>
      <c r="R678" s="210" t="str">
        <f>IFERROR(__xludf.DUMMYFUNCTION("""COMPUTED_VALUE"""),"04250378")</f>
        <v>04250378</v>
      </c>
      <c r="S678" s="211" t="str">
        <f>IFERROR(__xludf.DUMMYFUNCTION("""COMPUTED_VALUE"""),"b2b5f2c5")</f>
        <v>b2b5f2c5</v>
      </c>
      <c r="T678" s="211" t="str">
        <f>IFERROR(__xludf.DUMMYFUNCTION("""COMPUTED_VALUE"""),"Bengkel Las Bpk. Ari")</f>
        <v>Bengkel Las Bpk. Ari</v>
      </c>
      <c r="U678" s="215">
        <f>IFERROR(__xludf.DUMMYFUNCTION("""COMPUTED_VALUE"""),45766.413888888885)</f>
        <v>45766.41389</v>
      </c>
      <c r="V678" s="211" t="str">
        <f>IFERROR(__xludf.DUMMYFUNCTION("""COMPUTED_VALUE"""),"Sumber Kembar, Wonodadi, Kec. Kutorejo, Kabupaten Mojokerto, Jawa Timur")</f>
        <v>Sumber Kembar, Wonodadi, Kec. Kutorejo, Kabupaten Mojokerto, Jawa Timur</v>
      </c>
      <c r="W678" s="211" t="str">
        <f>IFERROR(__xludf.DUMMYFUNCTION("""COMPUTED_VALUE"""),"OUT")</f>
        <v>OUT</v>
      </c>
      <c r="X678" s="211"/>
      <c r="Z678" s="211" t="str">
        <f>IFERROR(__xludf.DUMMYFUNCTION("""COMPUTED_VALUE"""),"112551617")</f>
        <v>112551617</v>
      </c>
      <c r="AC678" s="211"/>
      <c r="AD678" s="211"/>
      <c r="AE678" s="211"/>
      <c r="AF678" s="211"/>
      <c r="AG678" s="211"/>
      <c r="AH678" s="211"/>
      <c r="AI678" s="211"/>
      <c r="AJ678" s="211"/>
      <c r="AL678" s="211"/>
      <c r="AM678" s="211"/>
      <c r="AN678" s="211"/>
      <c r="AO678" s="211"/>
      <c r="AP678" s="215"/>
      <c r="AQ678" s="218"/>
      <c r="AR678" s="211"/>
      <c r="AS678" s="211"/>
      <c r="AT678" s="211"/>
      <c r="AU678" s="211"/>
      <c r="AV678" s="211"/>
      <c r="AW678" s="211"/>
      <c r="AX678" s="211"/>
      <c r="AY678" s="211"/>
      <c r="AZ678" s="211"/>
      <c r="BB678" s="211"/>
      <c r="BC678" s="211"/>
      <c r="BD678" s="211"/>
      <c r="BE678" s="211"/>
      <c r="BF678" s="211"/>
      <c r="BG678" s="211"/>
      <c r="BH678" s="211"/>
      <c r="BI678" s="211"/>
    </row>
    <row r="679">
      <c r="A679" s="210" t="str">
        <f>IFERROR(__xludf.DUMMYFUNCTION("""COMPUTED_VALUE"""),"309e29c3")</f>
        <v>309e29c3</v>
      </c>
      <c r="B679" s="210" t="str">
        <f>IFERROR(__xludf.DUMMYFUNCTION("""COMPUTED_VALUE"""),"309e29c3")</f>
        <v>309e29c3</v>
      </c>
      <c r="C679" s="213">
        <f>IFERROR(__xludf.DUMMYFUNCTION("""COMPUTED_VALUE"""),45708.600694444445)</f>
        <v>45708.60069</v>
      </c>
      <c r="D679" s="211" t="str">
        <f>IFERROR(__xludf.DUMMYFUNCTION("""COMPUTED_VALUE"""),"5f23ba17")</f>
        <v>5f23ba17</v>
      </c>
      <c r="E679" s="211" t="str">
        <f>IFERROR(__xludf.DUMMYFUNCTION("""COMPUTED_VALUE"""),"Bpk. Joko (Gresik)")</f>
        <v>Bpk. Joko (Gresik)</v>
      </c>
      <c r="F679" s="211" t="str">
        <f>IFERROR(__xludf.DUMMYFUNCTION("""COMPUTED_VALUE"""),"8bdbe149")</f>
        <v>8bdbe149</v>
      </c>
      <c r="G679" s="211" t="str">
        <f>IFERROR(__xludf.DUMMYFUNCTION("""COMPUTED_VALUE"""),"Oksigen 6m3")</f>
        <v>Oksigen 6m3</v>
      </c>
      <c r="H679" s="214" t="str">
        <f>IFERROR(__xludf.DUMMYFUNCTION("""COMPUTED_VALUE"""),"IN")</f>
        <v>IN</v>
      </c>
      <c r="I679" s="214" t="str">
        <f>IFERROR(__xludf.DUMMYFUNCTION("""COMPUTED_VALUE"""),"EMPTY")</f>
        <v>EMPTY</v>
      </c>
      <c r="J679" s="211">
        <f>IFERROR(__xludf.DUMMYFUNCTION("""COMPUTED_VALUE"""),2.0)</f>
        <v>2</v>
      </c>
      <c r="K679" s="210" t="str">
        <f>IFERROR(__xludf.DUMMYFUNCTION("""COMPUTED_VALUE"""),"006 1110")</f>
        <v>006 1110</v>
      </c>
      <c r="L679" s="211"/>
      <c r="M679" s="211"/>
      <c r="N679" s="211"/>
      <c r="O679" s="211"/>
      <c r="Q679" s="210" t="str">
        <f>IFERROR(__xludf.DUMMYFUNCTION("""COMPUTED_VALUE"""),"3fa935b9")</f>
        <v>3fa935b9</v>
      </c>
      <c r="R679" s="210" t="str">
        <f>IFERROR(__xludf.DUMMYFUNCTION("""COMPUTED_VALUE"""),"3fa935b9")</f>
        <v>3fa935b9</v>
      </c>
      <c r="S679" s="211" t="str">
        <f>IFERROR(__xludf.DUMMYFUNCTION("""COMPUTED_VALUE"""),"ed2cc96a")</f>
        <v>ed2cc96a</v>
      </c>
      <c r="T679" s="211" t="str">
        <f>IFERROR(__xludf.DUMMYFUNCTION("""COMPUTED_VALUE"""),"Bengkel Dian Jaya")</f>
        <v>Bengkel Dian Jaya</v>
      </c>
      <c r="U679" s="215">
        <f>IFERROR(__xludf.DUMMYFUNCTION("""COMPUTED_VALUE"""),45766.4875)</f>
        <v>45766.4875</v>
      </c>
      <c r="V679" s="211" t="str">
        <f>IFERROR(__xludf.DUMMYFUNCTION("""COMPUTED_VALUE"""),"Gg. 2, Kejagan, Kec. Trowulan, Kabupaten Mojokerto, Jawa Timur 61362")</f>
        <v>Gg. 2, Kejagan, Kec. Trowulan, Kabupaten Mojokerto, Jawa Timur 61362</v>
      </c>
      <c r="W679" s="211" t="str">
        <f>IFERROR(__xludf.DUMMYFUNCTION("""COMPUTED_VALUE"""),"IN")</f>
        <v>IN</v>
      </c>
      <c r="X679" s="211"/>
      <c r="Z679" s="211" t="str">
        <f>IFERROR(__xludf.DUMMYFUNCTION("""COMPUTED_VALUE"""),"112531618")</f>
        <v>112531618</v>
      </c>
      <c r="AC679" s="211"/>
      <c r="AD679" s="211"/>
      <c r="AE679" s="211"/>
      <c r="AF679" s="211"/>
      <c r="AG679" s="211"/>
      <c r="AH679" s="211"/>
      <c r="AI679" s="211"/>
      <c r="AJ679" s="211"/>
      <c r="AL679" s="211"/>
      <c r="AM679" s="211"/>
      <c r="AN679" s="211"/>
      <c r="AO679" s="211"/>
      <c r="AP679" s="215"/>
      <c r="AQ679" s="218"/>
      <c r="AR679" s="211"/>
      <c r="AS679" s="211"/>
      <c r="AT679" s="211"/>
      <c r="AU679" s="211"/>
      <c r="AV679" s="211"/>
      <c r="AW679" s="211"/>
      <c r="AX679" s="211"/>
      <c r="AY679" s="211"/>
      <c r="AZ679" s="211"/>
      <c r="BB679" s="211"/>
      <c r="BC679" s="211"/>
      <c r="BD679" s="211"/>
      <c r="BE679" s="211"/>
      <c r="BF679" s="211"/>
      <c r="BG679" s="211"/>
      <c r="BH679" s="211"/>
      <c r="BI679" s="211"/>
    </row>
    <row r="680">
      <c r="A680" s="210" t="str">
        <f>IFERROR(__xludf.DUMMYFUNCTION("""COMPUTED_VALUE"""),"0b820aa9")</f>
        <v>0b820aa9</v>
      </c>
      <c r="B680" s="210" t="str">
        <f>IFERROR(__xludf.DUMMYFUNCTION("""COMPUTED_VALUE"""),"0b820aa9")</f>
        <v>0b820aa9</v>
      </c>
      <c r="C680" s="213">
        <f>IFERROR(__xludf.DUMMYFUNCTION("""COMPUTED_VALUE"""),45708.600694444445)</f>
        <v>45708.60069</v>
      </c>
      <c r="D680" s="211" t="str">
        <f>IFERROR(__xludf.DUMMYFUNCTION("""COMPUTED_VALUE"""),"5f23ba17")</f>
        <v>5f23ba17</v>
      </c>
      <c r="E680" s="211" t="str">
        <f>IFERROR(__xludf.DUMMYFUNCTION("""COMPUTED_VALUE"""),"Bpk. Joko (Gresik)")</f>
        <v>Bpk. Joko (Gresik)</v>
      </c>
      <c r="F680" s="211" t="str">
        <f>IFERROR(__xludf.DUMMYFUNCTION("""COMPUTED_VALUE"""),"be525f3b")</f>
        <v>be525f3b</v>
      </c>
      <c r="G680" s="211" t="str">
        <f>IFERROR(__xludf.DUMMYFUNCTION("""COMPUTED_VALUE"""),"LPG 12kg")</f>
        <v>LPG 12kg</v>
      </c>
      <c r="H680" s="214" t="str">
        <f>IFERROR(__xludf.DUMMYFUNCTION("""COMPUTED_VALUE"""),"IN")</f>
        <v>IN</v>
      </c>
      <c r="I680" s="214" t="str">
        <f>IFERROR(__xludf.DUMMYFUNCTION("""COMPUTED_VALUE"""),"EMPTY")</f>
        <v>EMPTY</v>
      </c>
      <c r="J680" s="211">
        <f>IFERROR(__xludf.DUMMYFUNCTION("""COMPUTED_VALUE"""),6.0)</f>
        <v>6</v>
      </c>
      <c r="K680" s="211"/>
      <c r="L680" s="211"/>
      <c r="M680" s="211"/>
      <c r="N680" s="211"/>
      <c r="O680" s="211"/>
      <c r="Q680" s="210" t="str">
        <f>IFERROR(__xludf.DUMMYFUNCTION("""COMPUTED_VALUE"""),"ae7a02fb")</f>
        <v>ae7a02fb</v>
      </c>
      <c r="R680" s="210" t="str">
        <f>IFERROR(__xludf.DUMMYFUNCTION("""COMPUTED_VALUE"""),"ae7a02fb")</f>
        <v>ae7a02fb</v>
      </c>
      <c r="S680" s="211" t="str">
        <f>IFERROR(__xludf.DUMMYFUNCTION("""COMPUTED_VALUE"""),"01158be1")</f>
        <v>01158be1</v>
      </c>
      <c r="T680" s="211" t="str">
        <f>IFERROR(__xludf.DUMMYFUNCTION("""COMPUTED_VALUE"""),"GYF")</f>
        <v>GYF</v>
      </c>
      <c r="U680" s="215">
        <f>IFERROR(__xludf.DUMMYFUNCTION("""COMPUTED_VALUE"""),45766.57361111111)</f>
        <v>45766.57361</v>
      </c>
      <c r="V680" s="211" t="str">
        <f>IFERROR(__xludf.DUMMYFUNCTION("""COMPUTED_VALUE"""),"Kangkungan, Lengkong, Kec. Mojoanyar, Kabupaten Mojokerto, Jawa Timur")</f>
        <v>Kangkungan, Lengkong, Kec. Mojoanyar, Kabupaten Mojokerto, Jawa Timur</v>
      </c>
      <c r="W680" s="211" t="str">
        <f>IFERROR(__xludf.DUMMYFUNCTION("""COMPUTED_VALUE"""),"IN")</f>
        <v>IN</v>
      </c>
      <c r="X680" s="211"/>
      <c r="Z680" s="211" t="str">
        <f>IFERROR(__xludf.DUMMYFUNCTION("""COMPUTED_VALUE"""),"1125331612")</f>
        <v>1125331612</v>
      </c>
      <c r="AC680" s="211"/>
      <c r="AD680" s="211"/>
      <c r="AE680" s="211"/>
      <c r="AF680" s="211"/>
      <c r="AG680" s="211"/>
      <c r="AH680" s="211"/>
      <c r="AI680" s="211"/>
      <c r="AJ680" s="211"/>
      <c r="AL680" s="211"/>
      <c r="AM680" s="211"/>
      <c r="AN680" s="211"/>
      <c r="AO680" s="211"/>
      <c r="AP680" s="215"/>
      <c r="AQ680" s="218"/>
      <c r="AR680" s="211"/>
      <c r="AS680" s="211"/>
      <c r="AT680" s="211"/>
      <c r="AU680" s="211"/>
      <c r="AV680" s="211"/>
      <c r="AW680" s="211"/>
      <c r="AX680" s="211"/>
      <c r="AY680" s="211"/>
      <c r="AZ680" s="211"/>
      <c r="BB680" s="211"/>
      <c r="BC680" s="211"/>
      <c r="BD680" s="211"/>
      <c r="BE680" s="211"/>
      <c r="BF680" s="211"/>
      <c r="BG680" s="211"/>
      <c r="BH680" s="211"/>
      <c r="BI680" s="211"/>
    </row>
    <row r="681">
      <c r="A681" s="210" t="str">
        <f>IFERROR(__xludf.DUMMYFUNCTION("""COMPUTED_VALUE"""),"02250273")</f>
        <v>02250273</v>
      </c>
      <c r="B681" s="210" t="str">
        <f>IFERROR(__xludf.DUMMYFUNCTION("""COMPUTED_VALUE"""),"02250273")</f>
        <v>02250273</v>
      </c>
      <c r="C681" s="213">
        <f>IFERROR(__xludf.DUMMYFUNCTION("""COMPUTED_VALUE"""),45709.37152777778)</f>
        <v>45709.37153</v>
      </c>
      <c r="D681" s="211" t="str">
        <f>IFERROR(__xludf.DUMMYFUNCTION("""COMPUTED_VALUE"""),"785e0e07")</f>
        <v>785e0e07</v>
      </c>
      <c r="E681" s="211" t="str">
        <f>IFERROR(__xludf.DUMMYFUNCTION("""COMPUTED_VALUE"""),"Bpk. Sukirno (Bejo)")</f>
        <v>Bpk. Sukirno (Bejo)</v>
      </c>
      <c r="F681" s="211" t="str">
        <f>IFERROR(__xludf.DUMMYFUNCTION("""COMPUTED_VALUE"""),"8bdbe149")</f>
        <v>8bdbe149</v>
      </c>
      <c r="G681" s="211" t="str">
        <f>IFERROR(__xludf.DUMMYFUNCTION("""COMPUTED_VALUE"""),"Oksigen 6m3")</f>
        <v>Oksigen 6m3</v>
      </c>
      <c r="H681" s="214" t="str">
        <f>IFERROR(__xludf.DUMMYFUNCTION("""COMPUTED_VALUE"""),"OUT")</f>
        <v>OUT</v>
      </c>
      <c r="I681" s="214" t="str">
        <f>IFERROR(__xludf.DUMMYFUNCTION("""COMPUTED_VALUE"""),"NORMAL")</f>
        <v>NORMAL</v>
      </c>
      <c r="J681" s="211">
        <f>IFERROR(__xludf.DUMMYFUNCTION("""COMPUTED_VALUE"""),15.0)</f>
        <v>15</v>
      </c>
      <c r="K681" s="210" t="str">
        <f>IFERROR(__xludf.DUMMYFUNCTION("""COMPUTED_VALUE"""),"11206 11126 11155 11143 1199 11185 11201 11212 11151 1147 1195 1148 11100 11173 12")</f>
        <v>11206 11126 11155 11143 1199 11185 11201 11212 11151 1147 1195 1148 11100 11173 12</v>
      </c>
      <c r="L681" s="211">
        <f>IFERROR(__xludf.DUMMYFUNCTION("""COMPUTED_VALUE"""),60000.0)</f>
        <v>60000</v>
      </c>
      <c r="M681" s="211"/>
      <c r="N681" s="211"/>
      <c r="O681" s="211"/>
      <c r="Q681" s="210" t="str">
        <f>IFERROR(__xludf.DUMMYFUNCTION("""COMPUTED_VALUE"""),"c9922b2e")</f>
        <v>c9922b2e</v>
      </c>
      <c r="R681" s="210" t="str">
        <f>IFERROR(__xludf.DUMMYFUNCTION("""COMPUTED_VALUE"""),"c9922b2e")</f>
        <v>c9922b2e</v>
      </c>
      <c r="S681" s="211" t="str">
        <f>IFERROR(__xludf.DUMMYFUNCTION("""COMPUTED_VALUE"""),"b2b5f2c5")</f>
        <v>b2b5f2c5</v>
      </c>
      <c r="T681" s="211" t="str">
        <f>IFERROR(__xludf.DUMMYFUNCTION("""COMPUTED_VALUE"""),"Bengkel Las Bpk. Ari")</f>
        <v>Bengkel Las Bpk. Ari</v>
      </c>
      <c r="U681" s="215">
        <f>IFERROR(__xludf.DUMMYFUNCTION("""COMPUTED_VALUE"""),45766.57361111111)</f>
        <v>45766.57361</v>
      </c>
      <c r="V681" s="211" t="str">
        <f>IFERROR(__xludf.DUMMYFUNCTION("""COMPUTED_VALUE"""),"Sumber Kembar, Wonodadi, Kec. Kutorejo, Kabupaten Mojokerto, Jawa Timur")</f>
        <v>Sumber Kembar, Wonodadi, Kec. Kutorejo, Kabupaten Mojokerto, Jawa Timur</v>
      </c>
      <c r="W681" s="211" t="str">
        <f>IFERROR(__xludf.DUMMYFUNCTION("""COMPUTED_VALUE"""),"IN")</f>
        <v>IN</v>
      </c>
      <c r="X681" s="211"/>
      <c r="Z681" s="211" t="str">
        <f>IFERROR(__xludf.DUMMYFUNCTION("""COMPUTED_VALUE"""),"1125171610")</f>
        <v>1125171610</v>
      </c>
      <c r="AC681" s="211"/>
      <c r="AD681" s="211"/>
      <c r="AE681" s="211"/>
      <c r="AF681" s="211"/>
      <c r="AG681" s="211"/>
      <c r="AH681" s="211"/>
      <c r="AI681" s="211"/>
      <c r="AJ681" s="211"/>
      <c r="AL681" s="211"/>
      <c r="AM681" s="211"/>
      <c r="AN681" s="211"/>
      <c r="AO681" s="211"/>
      <c r="AP681" s="215"/>
      <c r="AQ681" s="218"/>
      <c r="AR681" s="211"/>
      <c r="AS681" s="211"/>
      <c r="AT681" s="211"/>
      <c r="AU681" s="211"/>
      <c r="AV681" s="211"/>
      <c r="AW681" s="211"/>
      <c r="AX681" s="211"/>
      <c r="AY681" s="211"/>
      <c r="AZ681" s="211"/>
      <c r="BB681" s="211"/>
      <c r="BC681" s="211"/>
      <c r="BD681" s="211"/>
      <c r="BE681" s="211"/>
      <c r="BF681" s="211"/>
      <c r="BG681" s="211"/>
      <c r="BH681" s="211"/>
      <c r="BI681" s="211"/>
    </row>
    <row r="682">
      <c r="A682" s="210" t="str">
        <f>IFERROR(__xludf.DUMMYFUNCTION("""COMPUTED_VALUE"""),"02250274")</f>
        <v>02250274</v>
      </c>
      <c r="B682" s="210" t="str">
        <f>IFERROR(__xludf.DUMMYFUNCTION("""COMPUTED_VALUE"""),"02250274")</f>
        <v>02250274</v>
      </c>
      <c r="C682" s="213">
        <f>IFERROR(__xludf.DUMMYFUNCTION("""COMPUTED_VALUE"""),45709.375)</f>
        <v>45709.375</v>
      </c>
      <c r="D682" s="211" t="str">
        <f>IFERROR(__xludf.DUMMYFUNCTION("""COMPUTED_VALUE"""),"e86baf3b")</f>
        <v>e86baf3b</v>
      </c>
      <c r="E682" s="211" t="str">
        <f>IFERROR(__xludf.DUMMYFUNCTION("""COMPUTED_VALUE"""),"PT GEMILANG CIPTA WAWASAN")</f>
        <v>PT GEMILANG CIPTA WAWASAN</v>
      </c>
      <c r="F682" s="211" t="str">
        <f>IFERROR(__xludf.DUMMYFUNCTION("""COMPUTED_VALUE"""),"8bdbe149")</f>
        <v>8bdbe149</v>
      </c>
      <c r="G682" s="211" t="str">
        <f>IFERROR(__xludf.DUMMYFUNCTION("""COMPUTED_VALUE"""),"Oksigen 6m3")</f>
        <v>Oksigen 6m3</v>
      </c>
      <c r="H682" s="214" t="str">
        <f>IFERROR(__xludf.DUMMYFUNCTION("""COMPUTED_VALUE"""),"OUT")</f>
        <v>OUT</v>
      </c>
      <c r="I682" s="214" t="str">
        <f>IFERROR(__xludf.DUMMYFUNCTION("""COMPUTED_VALUE"""),"NORMAL")</f>
        <v>NORMAL</v>
      </c>
      <c r="J682" s="211">
        <f>IFERROR(__xludf.DUMMYFUNCTION("""COMPUTED_VALUE"""),10.0)</f>
        <v>10</v>
      </c>
      <c r="K682" s="210" t="str">
        <f>IFERROR(__xludf.DUMMYFUNCTION("""COMPUTED_VALUE"""),"11203 11180 1166 11177 1120 1157 1108 1156 1163 1187")</f>
        <v>11203 11180 1166 11177 1120 1157 1108 1156 1163 1187</v>
      </c>
      <c r="L682" s="211">
        <f>IFERROR(__xludf.DUMMYFUNCTION("""COMPUTED_VALUE"""),60000.0)</f>
        <v>60000</v>
      </c>
      <c r="M682" s="211"/>
      <c r="N682" s="211"/>
      <c r="O682" s="211"/>
      <c r="Q682" s="210" t="str">
        <f>IFERROR(__xludf.DUMMYFUNCTION("""COMPUTED_VALUE"""),"04250379")</f>
        <v>04250379</v>
      </c>
      <c r="R682" s="210" t="str">
        <f>IFERROR(__xludf.DUMMYFUNCTION("""COMPUTED_VALUE"""),"04250379")</f>
        <v>04250379</v>
      </c>
      <c r="S682" s="211" t="str">
        <f>IFERROR(__xludf.DUMMYFUNCTION("""COMPUTED_VALUE"""),"3fec37df")</f>
        <v>3fec37df</v>
      </c>
      <c r="T682" s="211" t="str">
        <f>IFERROR(__xludf.DUMMYFUNCTION("""COMPUTED_VALUE"""),"PT Jatim Abadi Perkasa Steel")</f>
        <v>PT Jatim Abadi Perkasa Steel</v>
      </c>
      <c r="U682" s="215">
        <f>IFERROR(__xludf.DUMMYFUNCTION("""COMPUTED_VALUE"""),45768.336111111115)</f>
        <v>45768.33611</v>
      </c>
      <c r="V682" s="211" t="str">
        <f>IFERROR(__xludf.DUMMYFUNCTION("""COMPUTED_VALUE"""),"Dsn. Bulak Sempuh, Jatirejo, Kab. Mojokerto, Jawa Timur")</f>
        <v>Dsn. Bulak Sempuh, Jatirejo, Kab. Mojokerto, Jawa Timur</v>
      </c>
      <c r="W682" s="211" t="str">
        <f>IFERROR(__xludf.DUMMYFUNCTION("""COMPUTED_VALUE"""),"OUT")</f>
        <v>OUT</v>
      </c>
      <c r="X682" s="211"/>
      <c r="Z682" s="211" t="str">
        <f>IFERROR(__xludf.DUMMYFUNCTION("""COMPUTED_VALUE"""),"112541605")</f>
        <v>112541605</v>
      </c>
      <c r="AC682" s="211"/>
      <c r="AD682" s="211"/>
      <c r="AE682" s="211"/>
      <c r="AF682" s="211"/>
      <c r="AG682" s="211"/>
      <c r="AH682" s="211"/>
      <c r="AI682" s="211"/>
      <c r="AJ682" s="211"/>
      <c r="AL682" s="211"/>
      <c r="AM682" s="211"/>
      <c r="AN682" s="211"/>
      <c r="AO682" s="211"/>
      <c r="AP682" s="215"/>
      <c r="AQ682" s="218"/>
      <c r="AR682" s="211"/>
      <c r="AS682" s="211"/>
      <c r="AT682" s="211"/>
      <c r="AU682" s="211"/>
      <c r="AV682" s="211"/>
      <c r="AW682" s="211"/>
      <c r="AX682" s="211"/>
      <c r="AY682" s="211"/>
      <c r="AZ682" s="211"/>
      <c r="BB682" s="211"/>
      <c r="BC682" s="211"/>
      <c r="BD682" s="211"/>
      <c r="BE682" s="211"/>
      <c r="BF682" s="211"/>
      <c r="BG682" s="211"/>
      <c r="BH682" s="211"/>
      <c r="BI682" s="211"/>
    </row>
    <row r="683">
      <c r="A683" s="210" t="str">
        <f>IFERROR(__xludf.DUMMYFUNCTION("""COMPUTED_VALUE"""),"a255cf34")</f>
        <v>a255cf34</v>
      </c>
      <c r="B683" s="210" t="str">
        <f>IFERROR(__xludf.DUMMYFUNCTION("""COMPUTED_VALUE"""),"a255cf34")</f>
        <v>a255cf34</v>
      </c>
      <c r="C683" s="213">
        <f>IFERROR(__xludf.DUMMYFUNCTION("""COMPUTED_VALUE"""),45709.535416666666)</f>
        <v>45709.53542</v>
      </c>
      <c r="D683" s="211" t="str">
        <f>IFERROR(__xludf.DUMMYFUNCTION("""COMPUTED_VALUE"""),"785e0e07")</f>
        <v>785e0e07</v>
      </c>
      <c r="E683" s="211" t="str">
        <f>IFERROR(__xludf.DUMMYFUNCTION("""COMPUTED_VALUE"""),"Bpk. Sukirno (Bejo)")</f>
        <v>Bpk. Sukirno (Bejo)</v>
      </c>
      <c r="F683" s="211" t="str">
        <f>IFERROR(__xludf.DUMMYFUNCTION("""COMPUTED_VALUE"""),"8bdbe149")</f>
        <v>8bdbe149</v>
      </c>
      <c r="G683" s="211" t="str">
        <f>IFERROR(__xludf.DUMMYFUNCTION("""COMPUTED_VALUE"""),"Oksigen 6m3")</f>
        <v>Oksigen 6m3</v>
      </c>
      <c r="H683" s="214" t="str">
        <f>IFERROR(__xludf.DUMMYFUNCTION("""COMPUTED_VALUE"""),"IN")</f>
        <v>IN</v>
      </c>
      <c r="I683" s="214" t="str">
        <f>IFERROR(__xludf.DUMMYFUNCTION("""COMPUTED_VALUE"""),"EMPTY")</f>
        <v>EMPTY</v>
      </c>
      <c r="J683" s="211">
        <f>IFERROR(__xludf.DUMMYFUNCTION("""COMPUTED_VALUE"""),1.0)</f>
        <v>1</v>
      </c>
      <c r="K683" s="210" t="str">
        <f>IFERROR(__xludf.DUMMYFUNCTION("""COMPUTED_VALUE"""),"11208")</f>
        <v>11208</v>
      </c>
      <c r="L683" s="211"/>
      <c r="M683" s="211"/>
      <c r="N683" s="211"/>
      <c r="O683" s="211"/>
      <c r="Q683" s="210" t="str">
        <f>IFERROR(__xludf.DUMMYFUNCTION("""COMPUTED_VALUE"""),"04250380")</f>
        <v>04250380</v>
      </c>
      <c r="R683" s="210" t="str">
        <f>IFERROR(__xludf.DUMMYFUNCTION("""COMPUTED_VALUE"""),"04250380")</f>
        <v>04250380</v>
      </c>
      <c r="S683" s="211" t="str">
        <f>IFERROR(__xludf.DUMMYFUNCTION("""COMPUTED_VALUE"""),"ce83e171")</f>
        <v>ce83e171</v>
      </c>
      <c r="T683" s="211" t="str">
        <f>IFERROR(__xludf.DUMMYFUNCTION("""COMPUTED_VALUE"""),"Bpk. Sulaiman")</f>
        <v>Bpk. Sulaiman</v>
      </c>
      <c r="U683" s="215">
        <f>IFERROR(__xludf.DUMMYFUNCTION("""COMPUTED_VALUE"""),45768.37708333333)</f>
        <v>45768.37708</v>
      </c>
      <c r="V683" s="211" t="str">
        <f>IFERROR(__xludf.DUMMYFUNCTION("""COMPUTED_VALUE"""),"Jl. Raya Kramat Temenggung No.43, Kramat, Kramat Temenggung, Kec. Tarik, Kabupaten Sidoarjo, Jawa Timur 61265")</f>
        <v>Jl. Raya Kramat Temenggung No.43, Kramat, Kramat Temenggung, Kec. Tarik, Kabupaten Sidoarjo, Jawa Timur 61265</v>
      </c>
      <c r="W683" s="211" t="str">
        <f>IFERROR(__xludf.DUMMYFUNCTION("""COMPUTED_VALUE"""),"OUT")</f>
        <v>OUT</v>
      </c>
      <c r="X683" s="211"/>
      <c r="Z683" s="211" t="str">
        <f>IFERROR(__xludf.DUMMYFUNCTION("""COMPUTED_VALUE"""),"112521604")</f>
        <v>112521604</v>
      </c>
      <c r="AC683" s="211"/>
      <c r="AD683" s="211"/>
      <c r="AE683" s="211"/>
      <c r="AF683" s="211"/>
      <c r="AG683" s="211"/>
      <c r="AH683" s="211"/>
      <c r="AI683" s="211"/>
      <c r="AJ683" s="211"/>
      <c r="AL683" s="211"/>
      <c r="AM683" s="211"/>
      <c r="AN683" s="211"/>
      <c r="AO683" s="211"/>
      <c r="AP683" s="215"/>
      <c r="AQ683" s="218"/>
      <c r="AR683" s="211"/>
      <c r="AS683" s="211"/>
      <c r="AT683" s="211"/>
      <c r="AU683" s="211"/>
      <c r="AV683" s="211"/>
      <c r="AW683" s="211"/>
      <c r="AX683" s="211"/>
      <c r="AY683" s="211"/>
      <c r="AZ683" s="211"/>
      <c r="BB683" s="211"/>
      <c r="BC683" s="211"/>
      <c r="BD683" s="211"/>
      <c r="BE683" s="211"/>
      <c r="BF683" s="211"/>
      <c r="BG683" s="211"/>
      <c r="BH683" s="211"/>
      <c r="BI683" s="211"/>
    </row>
    <row r="684">
      <c r="A684" s="210" t="str">
        <f>IFERROR(__xludf.DUMMYFUNCTION("""COMPUTED_VALUE"""),"8e5f42db")</f>
        <v>8e5f42db</v>
      </c>
      <c r="B684" s="210" t="str">
        <f>IFERROR(__xludf.DUMMYFUNCTION("""COMPUTED_VALUE"""),"8e5f42db")</f>
        <v>8e5f42db</v>
      </c>
      <c r="C684" s="213">
        <f>IFERROR(__xludf.DUMMYFUNCTION("""COMPUTED_VALUE"""),45709.654861111114)</f>
        <v>45709.65486</v>
      </c>
      <c r="D684" s="211" t="str">
        <f>IFERROR(__xludf.DUMMYFUNCTION("""COMPUTED_VALUE"""),"01158be1")</f>
        <v>01158be1</v>
      </c>
      <c r="E684" s="211" t="str">
        <f>IFERROR(__xludf.DUMMYFUNCTION("""COMPUTED_VALUE"""),"GYF")</f>
        <v>GYF</v>
      </c>
      <c r="F684" s="211" t="str">
        <f>IFERROR(__xludf.DUMMYFUNCTION("""COMPUTED_VALUE"""),"8bdbe149")</f>
        <v>8bdbe149</v>
      </c>
      <c r="G684" s="211" t="str">
        <f>IFERROR(__xludf.DUMMYFUNCTION("""COMPUTED_VALUE"""),"Oksigen 6m3")</f>
        <v>Oksigen 6m3</v>
      </c>
      <c r="H684" s="214" t="str">
        <f>IFERROR(__xludf.DUMMYFUNCTION("""COMPUTED_VALUE"""),"IN")</f>
        <v>IN</v>
      </c>
      <c r="I684" s="214" t="str">
        <f>IFERROR(__xludf.DUMMYFUNCTION("""COMPUTED_VALUE"""),"EMPTY")</f>
        <v>EMPTY</v>
      </c>
      <c r="J684" s="211">
        <f>IFERROR(__xludf.DUMMYFUNCTION("""COMPUTED_VALUE"""),4.0)</f>
        <v>4</v>
      </c>
      <c r="K684" s="210" t="str">
        <f>IFERROR(__xludf.DUMMYFUNCTION("""COMPUTED_VALUE"""),"1185 11181 1118 1158")</f>
        <v>1185 11181 1118 1158</v>
      </c>
      <c r="L684" s="211"/>
      <c r="M684" s="211"/>
      <c r="N684" s="211"/>
      <c r="O684" s="211"/>
      <c r="Q684" s="210" t="str">
        <f>IFERROR(__xludf.DUMMYFUNCTION("""COMPUTED_VALUE"""),"ce84ecbf")</f>
        <v>ce84ecbf</v>
      </c>
      <c r="R684" s="210" t="str">
        <f>IFERROR(__xludf.DUMMYFUNCTION("""COMPUTED_VALUE"""),"ce84ecbf")</f>
        <v>ce84ecbf</v>
      </c>
      <c r="S684" s="211" t="str">
        <f>IFERROR(__xludf.DUMMYFUNCTION("""COMPUTED_VALUE"""),"3fec37df")</f>
        <v>3fec37df</v>
      </c>
      <c r="T684" s="211" t="str">
        <f>IFERROR(__xludf.DUMMYFUNCTION("""COMPUTED_VALUE"""),"PT Jatim Abadi Perkasa Steel")</f>
        <v>PT Jatim Abadi Perkasa Steel</v>
      </c>
      <c r="U684" s="215">
        <f>IFERROR(__xludf.DUMMYFUNCTION("""COMPUTED_VALUE"""),45768.4375)</f>
        <v>45768.4375</v>
      </c>
      <c r="V684" s="211" t="str">
        <f>IFERROR(__xludf.DUMMYFUNCTION("""COMPUTED_VALUE"""),"Dsn. Bulak Sempuh, Jatirejo, Kab. Mojokerto, Jawa Timur")</f>
        <v>Dsn. Bulak Sempuh, Jatirejo, Kab. Mojokerto, Jawa Timur</v>
      </c>
      <c r="W684" s="211" t="str">
        <f>IFERROR(__xludf.DUMMYFUNCTION("""COMPUTED_VALUE"""),"IN")</f>
        <v>IN</v>
      </c>
      <c r="X684" s="211"/>
      <c r="Z684" s="211" t="str">
        <f>IFERROR(__xludf.DUMMYFUNCTION("""COMPUTED_VALUE"""),"112531603")</f>
        <v>112531603</v>
      </c>
      <c r="AC684" s="211"/>
      <c r="AD684" s="211"/>
      <c r="AE684" s="211"/>
      <c r="AF684" s="211"/>
      <c r="AG684" s="211"/>
      <c r="AH684" s="211"/>
      <c r="AI684" s="211"/>
      <c r="AJ684" s="211"/>
      <c r="AL684" s="211"/>
      <c r="AM684" s="211"/>
      <c r="AN684" s="211"/>
      <c r="AO684" s="211"/>
      <c r="AP684" s="215"/>
      <c r="AQ684" s="218"/>
      <c r="AR684" s="211"/>
      <c r="AS684" s="211"/>
      <c r="AT684" s="211"/>
      <c r="AU684" s="211"/>
      <c r="AV684" s="211"/>
      <c r="AW684" s="211"/>
      <c r="AX684" s="211"/>
      <c r="AY684" s="211"/>
      <c r="AZ684" s="211"/>
      <c r="BB684" s="211"/>
      <c r="BC684" s="211"/>
      <c r="BD684" s="211"/>
      <c r="BE684" s="211"/>
      <c r="BF684" s="211"/>
      <c r="BG684" s="211"/>
      <c r="BH684" s="211"/>
      <c r="BI684" s="211"/>
    </row>
    <row r="685">
      <c r="A685" s="210" t="str">
        <f>IFERROR(__xludf.DUMMYFUNCTION("""COMPUTED_VALUE"""),"927b548e")</f>
        <v>927b548e</v>
      </c>
      <c r="B685" s="210" t="str">
        <f>IFERROR(__xludf.DUMMYFUNCTION("""COMPUTED_VALUE"""),"927b548e")</f>
        <v>927b548e</v>
      </c>
      <c r="C685" s="213">
        <f>IFERROR(__xludf.DUMMYFUNCTION("""COMPUTED_VALUE"""),45709.65694444445)</f>
        <v>45709.65694</v>
      </c>
      <c r="D685" s="211" t="str">
        <f>IFERROR(__xludf.DUMMYFUNCTION("""COMPUTED_VALUE"""),"2d88931c")</f>
        <v>2d88931c</v>
      </c>
      <c r="E685" s="211" t="str">
        <f>IFERROR(__xludf.DUMMYFUNCTION("""COMPUTED_VALUE"""),"PT Dunia Berkat Marga Mulya")</f>
        <v>PT Dunia Berkat Marga Mulya</v>
      </c>
      <c r="F685" s="211" t="str">
        <f>IFERROR(__xludf.DUMMYFUNCTION("""COMPUTED_VALUE"""),"8bdbe149")</f>
        <v>8bdbe149</v>
      </c>
      <c r="G685" s="211" t="str">
        <f>IFERROR(__xludf.DUMMYFUNCTION("""COMPUTED_VALUE"""),"Oksigen 6m3")</f>
        <v>Oksigen 6m3</v>
      </c>
      <c r="H685" s="214" t="str">
        <f>IFERROR(__xludf.DUMMYFUNCTION("""COMPUTED_VALUE"""),"IN")</f>
        <v>IN</v>
      </c>
      <c r="I685" s="214" t="str">
        <f>IFERROR(__xludf.DUMMYFUNCTION("""COMPUTED_VALUE"""),"EMPTY")</f>
        <v>EMPTY</v>
      </c>
      <c r="J685" s="211">
        <f>IFERROR(__xludf.DUMMYFUNCTION("""COMPUTED_VALUE"""),1.0)</f>
        <v>1</v>
      </c>
      <c r="K685" s="210" t="str">
        <f>IFERROR(__xludf.DUMMYFUNCTION("""COMPUTED_VALUE"""),"11101")</f>
        <v>11101</v>
      </c>
      <c r="L685" s="211"/>
      <c r="M685" s="211"/>
      <c r="N685" s="211"/>
      <c r="O685" s="211"/>
      <c r="Q685" s="210" t="str">
        <f>IFERROR(__xludf.DUMMYFUNCTION("""COMPUTED_VALUE"""),"76dfdf67")</f>
        <v>76dfdf67</v>
      </c>
      <c r="R685" s="210" t="str">
        <f>IFERROR(__xludf.DUMMYFUNCTION("""COMPUTED_VALUE"""),"76dfdf67")</f>
        <v>76dfdf67</v>
      </c>
      <c r="S685" s="211" t="str">
        <f>IFERROR(__xludf.DUMMYFUNCTION("""COMPUTED_VALUE"""),"e86baf3b")</f>
        <v>e86baf3b</v>
      </c>
      <c r="T685" s="211" t="str">
        <f>IFERROR(__xludf.DUMMYFUNCTION("""COMPUTED_VALUE"""),"PT GEMILANG CIPTA WAWASAN")</f>
        <v>PT GEMILANG CIPTA WAWASAN</v>
      </c>
      <c r="U685" s="215">
        <f>IFERROR(__xludf.DUMMYFUNCTION("""COMPUTED_VALUE"""),45768.509722222225)</f>
        <v>45768.50972</v>
      </c>
      <c r="V685" s="211" t="str">
        <f>IFERROR(__xludf.DUMMYFUNCTION("""COMPUTED_VALUE"""),"JL TEBET RAYA, 2A, TEBET BARAT, TEBET, KOTA ADM, JAKARTA SELATAN, DKI JAKARTA")</f>
        <v>JL TEBET RAYA, 2A, TEBET BARAT, TEBET, KOTA ADM, JAKARTA SELATAN, DKI JAKARTA</v>
      </c>
      <c r="W685" s="211" t="str">
        <f>IFERROR(__xludf.DUMMYFUNCTION("""COMPUTED_VALUE"""),"IN")</f>
        <v>IN</v>
      </c>
      <c r="X685" s="211"/>
      <c r="Z685" s="211" t="str">
        <f>IFERROR(__xludf.DUMMYFUNCTION("""COMPUTED_VALUE"""),"1125211602")</f>
        <v>1125211602</v>
      </c>
      <c r="AC685" s="211"/>
      <c r="AD685" s="211"/>
      <c r="AE685" s="211"/>
      <c r="AF685" s="211"/>
      <c r="AG685" s="211"/>
      <c r="AH685" s="211"/>
      <c r="AI685" s="211"/>
      <c r="AJ685" s="211"/>
      <c r="AL685" s="211"/>
      <c r="AM685" s="211"/>
      <c r="AN685" s="211"/>
      <c r="AO685" s="211"/>
      <c r="AP685" s="215"/>
      <c r="AQ685" s="218"/>
      <c r="AR685" s="211"/>
      <c r="AS685" s="211"/>
      <c r="AT685" s="211"/>
      <c r="AU685" s="211"/>
      <c r="AV685" s="211"/>
      <c r="AW685" s="211"/>
      <c r="AX685" s="211"/>
      <c r="AY685" s="211"/>
      <c r="AZ685" s="211"/>
      <c r="BB685" s="211"/>
      <c r="BC685" s="211"/>
      <c r="BD685" s="211"/>
      <c r="BE685" s="211"/>
      <c r="BF685" s="211"/>
      <c r="BG685" s="211"/>
      <c r="BH685" s="211"/>
      <c r="BI685" s="211"/>
    </row>
    <row r="686">
      <c r="A686" s="210" t="str">
        <f>IFERROR(__xludf.DUMMYFUNCTION("""COMPUTED_VALUE"""),"3c073b87")</f>
        <v>3c073b87</v>
      </c>
      <c r="B686" s="210" t="str">
        <f>IFERROR(__xludf.DUMMYFUNCTION("""COMPUTED_VALUE"""),"3c073b87")</f>
        <v>3c073b87</v>
      </c>
      <c r="C686" s="213">
        <f>IFERROR(__xludf.DUMMYFUNCTION("""COMPUTED_VALUE"""),45709.657638888886)</f>
        <v>45709.65764</v>
      </c>
      <c r="D686" s="211" t="str">
        <f>IFERROR(__xludf.DUMMYFUNCTION("""COMPUTED_VALUE"""),"4ec68cf6")</f>
        <v>4ec68cf6</v>
      </c>
      <c r="E686" s="211" t="str">
        <f>IFERROR(__xludf.DUMMYFUNCTION("""COMPUTED_VALUE"""),"CV Sido Mukti Karya")</f>
        <v>CV Sido Mukti Karya</v>
      </c>
      <c r="F686" s="211" t="str">
        <f>IFERROR(__xludf.DUMMYFUNCTION("""COMPUTED_VALUE"""),"8bdbe149")</f>
        <v>8bdbe149</v>
      </c>
      <c r="G686" s="211" t="str">
        <f>IFERROR(__xludf.DUMMYFUNCTION("""COMPUTED_VALUE"""),"Oksigen 6m3")</f>
        <v>Oksigen 6m3</v>
      </c>
      <c r="H686" s="214" t="str">
        <f>IFERROR(__xludf.DUMMYFUNCTION("""COMPUTED_VALUE"""),"IN")</f>
        <v>IN</v>
      </c>
      <c r="I686" s="214" t="str">
        <f>IFERROR(__xludf.DUMMYFUNCTION("""COMPUTED_VALUE"""),"EMPTY")</f>
        <v>EMPTY</v>
      </c>
      <c r="J686" s="211">
        <f>IFERROR(__xludf.DUMMYFUNCTION("""COMPUTED_VALUE"""),3.0)</f>
        <v>3</v>
      </c>
      <c r="K686" s="210" t="str">
        <f>IFERROR(__xludf.DUMMYFUNCTION("""COMPUTED_VALUE"""),"11210 1106 11200")</f>
        <v>11210 1106 11200</v>
      </c>
      <c r="L686" s="211"/>
      <c r="M686" s="211"/>
      <c r="N686" s="211"/>
      <c r="O686" s="211"/>
      <c r="Q686" s="210" t="str">
        <f>IFERROR(__xludf.DUMMYFUNCTION("""COMPUTED_VALUE"""),"6ac4b837")</f>
        <v>6ac4b837</v>
      </c>
      <c r="R686" s="210" t="str">
        <f>IFERROR(__xludf.DUMMYFUNCTION("""COMPUTED_VALUE"""),"6ac4b837")</f>
        <v>6ac4b837</v>
      </c>
      <c r="S686" s="211" t="str">
        <f>IFERROR(__xludf.DUMMYFUNCTION("""COMPUTED_VALUE"""),"ce83e171")</f>
        <v>ce83e171</v>
      </c>
      <c r="T686" s="211" t="str">
        <f>IFERROR(__xludf.DUMMYFUNCTION("""COMPUTED_VALUE"""),"Bpk. Sulaiman")</f>
        <v>Bpk. Sulaiman</v>
      </c>
      <c r="U686" s="215">
        <f>IFERROR(__xludf.DUMMYFUNCTION("""COMPUTED_VALUE"""),45768.51180555555)</f>
        <v>45768.51181</v>
      </c>
      <c r="V686" s="211" t="str">
        <f>IFERROR(__xludf.DUMMYFUNCTION("""COMPUTED_VALUE"""),"Jl. Raya Kramat Temenggung No.43, Kramat, Kramat Temenggung, Kec. Tarik, Kabupaten Sidoarjo, Jawa Timur 61265")</f>
        <v>Jl. Raya Kramat Temenggung No.43, Kramat, Kramat Temenggung, Kec. Tarik, Kabupaten Sidoarjo, Jawa Timur 61265</v>
      </c>
      <c r="W686" s="211" t="str">
        <f>IFERROR(__xludf.DUMMYFUNCTION("""COMPUTED_VALUE"""),"IN")</f>
        <v>IN</v>
      </c>
      <c r="X686" s="211"/>
      <c r="Z686" s="211" t="str">
        <f>IFERROR(__xludf.DUMMYFUNCTION("""COMPUTED_VALUE"""),"112561601")</f>
        <v>112561601</v>
      </c>
      <c r="AC686" s="211"/>
      <c r="AD686" s="211"/>
      <c r="AE686" s="211"/>
      <c r="AF686" s="211"/>
      <c r="AG686" s="211"/>
      <c r="AH686" s="211"/>
      <c r="AI686" s="211"/>
      <c r="AJ686" s="211"/>
      <c r="AL686" s="211"/>
      <c r="AM686" s="211"/>
      <c r="AN686" s="211"/>
      <c r="AO686" s="211"/>
      <c r="AP686" s="215"/>
      <c r="AQ686" s="218"/>
      <c r="AR686" s="211"/>
      <c r="AS686" s="211"/>
      <c r="AT686" s="211"/>
      <c r="AU686" s="211"/>
      <c r="AV686" s="211"/>
      <c r="AW686" s="211"/>
      <c r="AX686" s="211"/>
      <c r="AY686" s="211"/>
      <c r="AZ686" s="211"/>
      <c r="BB686" s="211"/>
      <c r="BC686" s="211"/>
      <c r="BD686" s="211"/>
      <c r="BE686" s="211"/>
      <c r="BF686" s="211"/>
      <c r="BG686" s="211"/>
      <c r="BH686" s="211"/>
      <c r="BI686" s="211"/>
    </row>
    <row r="687">
      <c r="A687" s="210" t="str">
        <f>IFERROR(__xludf.DUMMYFUNCTION("""COMPUTED_VALUE"""),"02250275")</f>
        <v>02250275</v>
      </c>
      <c r="B687" s="210" t="str">
        <f>IFERROR(__xludf.DUMMYFUNCTION("""COMPUTED_VALUE"""),"02250275")</f>
        <v>02250275</v>
      </c>
      <c r="C687" s="213">
        <f>IFERROR(__xludf.DUMMYFUNCTION("""COMPUTED_VALUE"""),45710.37222222222)</f>
        <v>45710.37222</v>
      </c>
      <c r="D687" s="211" t="str">
        <f>IFERROR(__xludf.DUMMYFUNCTION("""COMPUTED_VALUE"""),"8f5ebaea")</f>
        <v>8f5ebaea</v>
      </c>
      <c r="E687" s="211" t="str">
        <f>IFERROR(__xludf.DUMMYFUNCTION("""COMPUTED_VALUE"""),"PT Hua Zong Mesindo")</f>
        <v>PT Hua Zong Mesindo</v>
      </c>
      <c r="F687" s="211" t="str">
        <f>IFERROR(__xludf.DUMMYFUNCTION("""COMPUTED_VALUE"""),"8bdbe149")</f>
        <v>8bdbe149</v>
      </c>
      <c r="G687" s="211" t="str">
        <f>IFERROR(__xludf.DUMMYFUNCTION("""COMPUTED_VALUE"""),"Oksigen 6m3")</f>
        <v>Oksigen 6m3</v>
      </c>
      <c r="H687" s="214" t="str">
        <f>IFERROR(__xludf.DUMMYFUNCTION("""COMPUTED_VALUE"""),"OUT")</f>
        <v>OUT</v>
      </c>
      <c r="I687" s="214" t="str">
        <f>IFERROR(__xludf.DUMMYFUNCTION("""COMPUTED_VALUE"""),"NORMAL")</f>
        <v>NORMAL</v>
      </c>
      <c r="J687" s="211">
        <f>IFERROR(__xludf.DUMMYFUNCTION("""COMPUTED_VALUE"""),4.0)</f>
        <v>4</v>
      </c>
      <c r="K687" s="210" t="str">
        <f>IFERROR(__xludf.DUMMYFUNCTION("""COMPUTED_VALUE"""),"11101 1118 1185 11181")</f>
        <v>11101 1118 1185 11181</v>
      </c>
      <c r="L687" s="211">
        <f>IFERROR(__xludf.DUMMYFUNCTION("""COMPUTED_VALUE"""),60000.0)</f>
        <v>60000</v>
      </c>
      <c r="M687" s="211"/>
      <c r="N687" s="211"/>
      <c r="O687" s="211"/>
      <c r="Q687" s="210" t="str">
        <f>IFERROR(__xludf.DUMMYFUNCTION("""COMPUTED_VALUE"""),"6fd40df2")</f>
        <v>6fd40df2</v>
      </c>
      <c r="R687" s="210" t="str">
        <f>IFERROR(__xludf.DUMMYFUNCTION("""COMPUTED_VALUE"""),"6fd40df2")</f>
        <v>6fd40df2</v>
      </c>
      <c r="S687" s="211" t="str">
        <f>IFERROR(__xludf.DUMMYFUNCTION("""COMPUTED_VALUE"""),"7e28b0bb")</f>
        <v>7e28b0bb</v>
      </c>
      <c r="T687" s="211" t="str">
        <f>IFERROR(__xludf.DUMMYFUNCTION("""COMPUTED_VALUE"""),"PT Surya Langit Biru")</f>
        <v>PT Surya Langit Biru</v>
      </c>
      <c r="U687" s="215">
        <f>IFERROR(__xludf.DUMMYFUNCTION("""COMPUTED_VALUE"""),45768.5125)</f>
        <v>45768.5125</v>
      </c>
      <c r="V687" s="211" t="str">
        <f>IFERROR(__xludf.DUMMYFUNCTION("""COMPUTED_VALUE"""),"Mlirip  Krian, Singkalan, Kec. BalongBendo, Kabupaten Sidoarjo, Jawa Timur 61263")</f>
        <v>Mlirip  Krian, Singkalan, Kec. BalongBendo, Kabupaten Sidoarjo, Jawa Timur 61263</v>
      </c>
      <c r="W687" s="211" t="str">
        <f>IFERROR(__xludf.DUMMYFUNCTION("""COMPUTED_VALUE"""),"IN")</f>
        <v>IN</v>
      </c>
      <c r="X687" s="211"/>
      <c r="Z687" s="211" t="str">
        <f>IFERROR(__xludf.DUMMYFUNCTION("""COMPUTED_VALUE"""),"1125651599")</f>
        <v>1125651599</v>
      </c>
      <c r="AC687" s="211"/>
      <c r="AD687" s="211"/>
      <c r="AE687" s="211"/>
      <c r="AF687" s="211"/>
      <c r="AG687" s="211"/>
      <c r="AH687" s="211"/>
      <c r="AI687" s="211"/>
      <c r="AJ687" s="211"/>
      <c r="AL687" s="211"/>
      <c r="AM687" s="211"/>
      <c r="AN687" s="211"/>
      <c r="AO687" s="211"/>
      <c r="AP687" s="215"/>
      <c r="AQ687" s="218"/>
      <c r="AR687" s="211"/>
      <c r="AS687" s="211"/>
      <c r="AT687" s="211"/>
      <c r="AU687" s="211"/>
      <c r="AV687" s="211"/>
      <c r="AW687" s="211"/>
      <c r="AX687" s="211"/>
      <c r="AY687" s="211"/>
      <c r="AZ687" s="211"/>
      <c r="BB687" s="211"/>
      <c r="BC687" s="211"/>
      <c r="BD687" s="211"/>
      <c r="BE687" s="211"/>
      <c r="BF687" s="211"/>
      <c r="BG687" s="211"/>
      <c r="BH687" s="211"/>
      <c r="BI687" s="211"/>
    </row>
    <row r="688">
      <c r="A688" s="210" t="str">
        <f>IFERROR(__xludf.DUMMYFUNCTION("""COMPUTED_VALUE"""),"36fda415")</f>
        <v>36fda415</v>
      </c>
      <c r="B688" s="210" t="str">
        <f>IFERROR(__xludf.DUMMYFUNCTION("""COMPUTED_VALUE"""),"36fda415")</f>
        <v>36fda415</v>
      </c>
      <c r="C688" s="213">
        <f>IFERROR(__xludf.DUMMYFUNCTION("""COMPUTED_VALUE"""),45710.459027777775)</f>
        <v>45710.45903</v>
      </c>
      <c r="D688" s="211" t="str">
        <f>IFERROR(__xludf.DUMMYFUNCTION("""COMPUTED_VALUE"""),"8f5ebaea")</f>
        <v>8f5ebaea</v>
      </c>
      <c r="E688" s="211" t="str">
        <f>IFERROR(__xludf.DUMMYFUNCTION("""COMPUTED_VALUE"""),"PT Hua Zong Mesindo")</f>
        <v>PT Hua Zong Mesindo</v>
      </c>
      <c r="F688" s="211" t="str">
        <f>IFERROR(__xludf.DUMMYFUNCTION("""COMPUTED_VALUE"""),"8bdbe149")</f>
        <v>8bdbe149</v>
      </c>
      <c r="G688" s="211" t="str">
        <f>IFERROR(__xludf.DUMMYFUNCTION("""COMPUTED_VALUE"""),"Oksigen 6m3")</f>
        <v>Oksigen 6m3</v>
      </c>
      <c r="H688" s="214" t="str">
        <f>IFERROR(__xludf.DUMMYFUNCTION("""COMPUTED_VALUE"""),"IN")</f>
        <v>IN</v>
      </c>
      <c r="I688" s="214" t="str">
        <f>IFERROR(__xludf.DUMMYFUNCTION("""COMPUTED_VALUE"""),"EMPTY")</f>
        <v>EMPTY</v>
      </c>
      <c r="J688" s="211">
        <f>IFERROR(__xludf.DUMMYFUNCTION("""COMPUTED_VALUE"""),2.0)</f>
        <v>2</v>
      </c>
      <c r="K688" s="210" t="str">
        <f>IFERROR(__xludf.DUMMYFUNCTION("""COMPUTED_VALUE"""),"11112 1128")</f>
        <v>11112 1128</v>
      </c>
      <c r="L688" s="211"/>
      <c r="M688" s="211"/>
      <c r="N688" s="211"/>
      <c r="O688" s="211"/>
      <c r="Q688" s="210" t="str">
        <f>IFERROR(__xludf.DUMMYFUNCTION("""COMPUTED_VALUE"""),"04250381")</f>
        <v>04250381</v>
      </c>
      <c r="R688" s="210" t="str">
        <f>IFERROR(__xludf.DUMMYFUNCTION("""COMPUTED_VALUE"""),"04250381")</f>
        <v>04250381</v>
      </c>
      <c r="S688" s="211" t="str">
        <f>IFERROR(__xludf.DUMMYFUNCTION("""COMPUTED_VALUE"""),"d78b2eaf")</f>
        <v>d78b2eaf</v>
      </c>
      <c r="T688" s="211" t="str">
        <f>IFERROR(__xludf.DUMMYFUNCTION("""COMPUTED_VALUE"""),"PT Sinar Indogreen Kencana")</f>
        <v>PT Sinar Indogreen Kencana</v>
      </c>
      <c r="U688" s="215">
        <f>IFERROR(__xludf.DUMMYFUNCTION("""COMPUTED_VALUE"""),45768.618055555555)</f>
        <v>45768.61806</v>
      </c>
      <c r="V688" s="211" t="str">
        <f>IFERROR(__xludf.DUMMYFUNCTION("""COMPUTED_VALUE"""),"Jl. Raya Ponokawan 8b RT/001 RW/002, Ponokawan, Krian, Sidoarjo")</f>
        <v>Jl. Raya Ponokawan 8b RT/001 RW/002, Ponokawan, Krian, Sidoarjo</v>
      </c>
      <c r="W688" s="211" t="str">
        <f>IFERROR(__xludf.DUMMYFUNCTION("""COMPUTED_VALUE"""),"OUT")</f>
        <v>OUT</v>
      </c>
      <c r="X688" s="211"/>
      <c r="Z688" s="211" t="str">
        <f>IFERROR(__xludf.DUMMYFUNCTION("""COMPUTED_VALUE"""),"112521587")</f>
        <v>112521587</v>
      </c>
      <c r="AC688" s="211"/>
      <c r="AD688" s="211"/>
      <c r="AE688" s="211"/>
      <c r="AF688" s="211"/>
      <c r="AG688" s="211"/>
      <c r="AH688" s="211"/>
      <c r="AI688" s="211"/>
      <c r="AJ688" s="211"/>
      <c r="AL688" s="211"/>
      <c r="AM688" s="211"/>
      <c r="AN688" s="211"/>
      <c r="AO688" s="211"/>
      <c r="AP688" s="215"/>
      <c r="AQ688" s="218"/>
      <c r="AR688" s="211"/>
      <c r="AS688" s="211"/>
      <c r="AT688" s="211"/>
      <c r="AU688" s="211"/>
      <c r="AV688" s="211"/>
      <c r="AW688" s="211"/>
      <c r="AX688" s="211"/>
      <c r="AY688" s="211"/>
      <c r="AZ688" s="211"/>
      <c r="BB688" s="211"/>
      <c r="BC688" s="211"/>
      <c r="BD688" s="211"/>
      <c r="BE688" s="211"/>
      <c r="BF688" s="211"/>
      <c r="BG688" s="211"/>
      <c r="BH688" s="211"/>
      <c r="BI688" s="211"/>
    </row>
    <row r="689">
      <c r="A689" s="210" t="str">
        <f>IFERROR(__xludf.DUMMYFUNCTION("""COMPUTED_VALUE"""),"f0b5026b")</f>
        <v>f0b5026b</v>
      </c>
      <c r="B689" s="210" t="str">
        <f>IFERROR(__xludf.DUMMYFUNCTION("""COMPUTED_VALUE"""),"f0b5026b")</f>
        <v>f0b5026b</v>
      </c>
      <c r="C689" s="213">
        <f>IFERROR(__xludf.DUMMYFUNCTION("""COMPUTED_VALUE"""),45712.458333333336)</f>
        <v>45712.45833</v>
      </c>
      <c r="D689" s="211" t="str">
        <f>IFERROR(__xludf.DUMMYFUNCTION("""COMPUTED_VALUE"""),"37175874")</f>
        <v>37175874</v>
      </c>
      <c r="E689" s="211" t="str">
        <f>IFERROR(__xludf.DUMMYFUNCTION("""COMPUTED_VALUE"""),"PT TERAPAN NILAIOSILASI INDONESIA (TENO)")</f>
        <v>PT TERAPAN NILAIOSILASI INDONESIA (TENO)</v>
      </c>
      <c r="F689" s="211" t="str">
        <f>IFERROR(__xludf.DUMMYFUNCTION("""COMPUTED_VALUE"""),"8bdbe149")</f>
        <v>8bdbe149</v>
      </c>
      <c r="G689" s="211" t="str">
        <f>IFERROR(__xludf.DUMMYFUNCTION("""COMPUTED_VALUE"""),"Oksigen 6m3")</f>
        <v>Oksigen 6m3</v>
      </c>
      <c r="H689" s="214" t="str">
        <f>IFERROR(__xludf.DUMMYFUNCTION("""COMPUTED_VALUE"""),"IN")</f>
        <v>IN</v>
      </c>
      <c r="I689" s="214" t="str">
        <f>IFERROR(__xludf.DUMMYFUNCTION("""COMPUTED_VALUE"""),"EMPTY")</f>
        <v>EMPTY</v>
      </c>
      <c r="J689" s="211">
        <f>IFERROR(__xludf.DUMMYFUNCTION("""COMPUTED_VALUE"""),1.0)</f>
        <v>1</v>
      </c>
      <c r="K689" s="210" t="str">
        <f>IFERROR(__xludf.DUMMYFUNCTION("""COMPUTED_VALUE"""),"11154")</f>
        <v>11154</v>
      </c>
      <c r="L689" s="211"/>
      <c r="M689" s="211"/>
      <c r="N689" s="211"/>
      <c r="O689" s="211"/>
      <c r="Q689" s="210" t="str">
        <f>IFERROR(__xludf.DUMMYFUNCTION("""COMPUTED_VALUE"""),"20a50830")</f>
        <v>20a50830</v>
      </c>
      <c r="R689" s="210" t="str">
        <f>IFERROR(__xludf.DUMMYFUNCTION("""COMPUTED_VALUE"""),"20a50830")</f>
        <v>20a50830</v>
      </c>
      <c r="S689" s="211" t="str">
        <f>IFERROR(__xludf.DUMMYFUNCTION("""COMPUTED_VALUE"""),"d78b2eaf")</f>
        <v>d78b2eaf</v>
      </c>
      <c r="T689" s="211" t="str">
        <f>IFERROR(__xludf.DUMMYFUNCTION("""COMPUTED_VALUE"""),"PT Sinar Indogreen Kencana")</f>
        <v>PT Sinar Indogreen Kencana</v>
      </c>
      <c r="U689" s="215">
        <f>IFERROR(__xludf.DUMMYFUNCTION("""COMPUTED_VALUE"""),45768.71319444444)</f>
        <v>45768.71319</v>
      </c>
      <c r="V689" s="211" t="str">
        <f>IFERROR(__xludf.DUMMYFUNCTION("""COMPUTED_VALUE"""),"Jl. Raya Ponokawan 8b RT/001 RW/002, Ponokawan, Krian, Sidoarjo")</f>
        <v>Jl. Raya Ponokawan 8b RT/001 RW/002, Ponokawan, Krian, Sidoarjo</v>
      </c>
      <c r="W689" s="211" t="str">
        <f>IFERROR(__xludf.DUMMYFUNCTION("""COMPUTED_VALUE"""),"IN")</f>
        <v>IN</v>
      </c>
      <c r="X689" s="211"/>
      <c r="Z689" s="211" t="str">
        <f>IFERROR(__xludf.DUMMYFUNCTION("""COMPUTED_VALUE"""),"1125321591")</f>
        <v>1125321591</v>
      </c>
      <c r="AC689" s="211"/>
      <c r="AD689" s="211"/>
      <c r="AE689" s="211"/>
      <c r="AF689" s="211"/>
      <c r="AG689" s="211"/>
      <c r="AH689" s="211"/>
      <c r="AI689" s="211"/>
      <c r="AJ689" s="211"/>
      <c r="AL689" s="211"/>
      <c r="AM689" s="211"/>
      <c r="AN689" s="211"/>
      <c r="AO689" s="211"/>
      <c r="AP689" s="215"/>
      <c r="AQ689" s="218"/>
      <c r="AR689" s="211"/>
      <c r="AS689" s="211"/>
      <c r="AT689" s="211"/>
      <c r="AU689" s="211"/>
      <c r="AV689" s="211"/>
      <c r="AW689" s="211"/>
      <c r="AX689" s="211"/>
      <c r="AY689" s="211"/>
      <c r="AZ689" s="211"/>
      <c r="BB689" s="211"/>
      <c r="BC689" s="211"/>
      <c r="BD689" s="211"/>
      <c r="BE689" s="211"/>
      <c r="BF689" s="211"/>
      <c r="BG689" s="211"/>
      <c r="BH689" s="211"/>
      <c r="BI689" s="211"/>
    </row>
    <row r="690">
      <c r="A690" s="210" t="str">
        <f>IFERROR(__xludf.DUMMYFUNCTION("""COMPUTED_VALUE"""),"eb0afca3")</f>
        <v>eb0afca3</v>
      </c>
      <c r="B690" s="210" t="str">
        <f>IFERROR(__xludf.DUMMYFUNCTION("""COMPUTED_VALUE"""),"eb0afca3")</f>
        <v>eb0afca3</v>
      </c>
      <c r="C690" s="213">
        <f>IFERROR(__xludf.DUMMYFUNCTION("""COMPUTED_VALUE"""),45712.458333333336)</f>
        <v>45712.45833</v>
      </c>
      <c r="D690" s="211" t="str">
        <f>IFERROR(__xludf.DUMMYFUNCTION("""COMPUTED_VALUE"""),"785e0e07")</f>
        <v>785e0e07</v>
      </c>
      <c r="E690" s="211" t="str">
        <f>IFERROR(__xludf.DUMMYFUNCTION("""COMPUTED_VALUE"""),"Bpk. Sukirno (Bejo)")</f>
        <v>Bpk. Sukirno (Bejo)</v>
      </c>
      <c r="F690" s="211" t="str">
        <f>IFERROR(__xludf.DUMMYFUNCTION("""COMPUTED_VALUE"""),"8bdbe149")</f>
        <v>8bdbe149</v>
      </c>
      <c r="G690" s="211" t="str">
        <f>IFERROR(__xludf.DUMMYFUNCTION("""COMPUTED_VALUE"""),"Oksigen 6m3")</f>
        <v>Oksigen 6m3</v>
      </c>
      <c r="H690" s="214" t="str">
        <f>IFERROR(__xludf.DUMMYFUNCTION("""COMPUTED_VALUE"""),"IN")</f>
        <v>IN</v>
      </c>
      <c r="I690" s="214" t="str">
        <f>IFERROR(__xludf.DUMMYFUNCTION("""COMPUTED_VALUE"""),"EMPTY")</f>
        <v>EMPTY</v>
      </c>
      <c r="J690" s="211">
        <f>IFERROR(__xludf.DUMMYFUNCTION("""COMPUTED_VALUE"""),8.0)</f>
        <v>8</v>
      </c>
      <c r="K690" s="210" t="str">
        <f>IFERROR(__xludf.DUMMYFUNCTION("""COMPUTED_VALUE"""),"11104 11129 11109 1111 1193 11161 1195 01")</f>
        <v>11104 11129 11109 1111 1193 11161 1195 01</v>
      </c>
      <c r="L690" s="211"/>
      <c r="M690" s="211"/>
      <c r="N690" s="211"/>
      <c r="O690" s="211"/>
      <c r="Q690" s="210" t="str">
        <f>IFERROR(__xludf.DUMMYFUNCTION("""COMPUTED_VALUE"""),"04250382")</f>
        <v>04250382</v>
      </c>
      <c r="R690" s="210" t="str">
        <f>IFERROR(__xludf.DUMMYFUNCTION("""COMPUTED_VALUE"""),"04250382")</f>
        <v>04250382</v>
      </c>
      <c r="S690" s="211" t="str">
        <f>IFERROR(__xludf.DUMMYFUNCTION("""COMPUTED_VALUE"""),"ce83e171")</f>
        <v>ce83e171</v>
      </c>
      <c r="T690" s="211" t="str">
        <f>IFERROR(__xludf.DUMMYFUNCTION("""COMPUTED_VALUE"""),"Bpk. Sulaiman")</f>
        <v>Bpk. Sulaiman</v>
      </c>
      <c r="U690" s="215">
        <f>IFERROR(__xludf.DUMMYFUNCTION("""COMPUTED_VALUE"""),45769.39722222222)</f>
        <v>45769.39722</v>
      </c>
      <c r="V690" s="211" t="str">
        <f>IFERROR(__xludf.DUMMYFUNCTION("""COMPUTED_VALUE"""),"Jl. Raya Kramat Temenggung No.43, Kramat, Kramat Temenggung, Kec. Tarik, Kabupaten Sidoarjo, Jawa Timur 61265")</f>
        <v>Jl. Raya Kramat Temenggung No.43, Kramat, Kramat Temenggung, Kec. Tarik, Kabupaten Sidoarjo, Jawa Timur 61265</v>
      </c>
      <c r="W690" s="211" t="str">
        <f>IFERROR(__xludf.DUMMYFUNCTION("""COMPUTED_VALUE"""),"OUT")</f>
        <v>OUT</v>
      </c>
      <c r="X690" s="211"/>
      <c r="Z690" s="211" t="str">
        <f>IFERROR(__xludf.DUMMYFUNCTION("""COMPUTED_VALUE"""),"1125191590")</f>
        <v>1125191590</v>
      </c>
      <c r="AC690" s="211"/>
      <c r="AD690" s="211"/>
      <c r="AE690" s="211"/>
      <c r="AF690" s="211"/>
      <c r="AG690" s="211"/>
      <c r="AH690" s="211"/>
      <c r="AI690" s="211"/>
      <c r="AJ690" s="211"/>
      <c r="AL690" s="211"/>
      <c r="AM690" s="211"/>
      <c r="AN690" s="211"/>
      <c r="AO690" s="211"/>
      <c r="AP690" s="215"/>
      <c r="AQ690" s="218"/>
      <c r="AR690" s="211"/>
      <c r="AS690" s="211"/>
      <c r="AT690" s="211"/>
      <c r="AU690" s="211"/>
      <c r="AV690" s="211"/>
      <c r="AW690" s="211"/>
      <c r="AX690" s="211"/>
      <c r="AY690" s="211"/>
      <c r="AZ690" s="211"/>
      <c r="BB690" s="211"/>
      <c r="BC690" s="211"/>
      <c r="BD690" s="211"/>
      <c r="BE690" s="211"/>
      <c r="BF690" s="211"/>
      <c r="BG690" s="211"/>
      <c r="BH690" s="211"/>
      <c r="BI690" s="211"/>
    </row>
    <row r="691">
      <c r="A691" s="210" t="str">
        <f>IFERROR(__xludf.DUMMYFUNCTION("""COMPUTED_VALUE"""),"02250276")</f>
        <v>02250276</v>
      </c>
      <c r="B691" s="210" t="str">
        <f>IFERROR(__xludf.DUMMYFUNCTION("""COMPUTED_VALUE"""),"02250276")</f>
        <v>02250276</v>
      </c>
      <c r="C691" s="213">
        <f>IFERROR(__xludf.DUMMYFUNCTION("""COMPUTED_VALUE"""),45712.57638888889)</f>
        <v>45712.57639</v>
      </c>
      <c r="D691" s="211" t="str">
        <f>IFERROR(__xludf.DUMMYFUNCTION("""COMPUTED_VALUE"""),"01158be1")</f>
        <v>01158be1</v>
      </c>
      <c r="E691" s="211" t="str">
        <f>IFERROR(__xludf.DUMMYFUNCTION("""COMPUTED_VALUE"""),"GYF")</f>
        <v>GYF</v>
      </c>
      <c r="F691" s="211" t="str">
        <f>IFERROR(__xludf.DUMMYFUNCTION("""COMPUTED_VALUE"""),"8bdbe149")</f>
        <v>8bdbe149</v>
      </c>
      <c r="G691" s="211" t="str">
        <f>IFERROR(__xludf.DUMMYFUNCTION("""COMPUTED_VALUE"""),"Oksigen 6m3")</f>
        <v>Oksigen 6m3</v>
      </c>
      <c r="H691" s="214" t="str">
        <f>IFERROR(__xludf.DUMMYFUNCTION("""COMPUTED_VALUE"""),"OUT")</f>
        <v>OUT</v>
      </c>
      <c r="I691" s="214" t="str">
        <f>IFERROR(__xludf.DUMMYFUNCTION("""COMPUTED_VALUE"""),"NORMAL")</f>
        <v>NORMAL</v>
      </c>
      <c r="J691" s="211">
        <f>IFERROR(__xludf.DUMMYFUNCTION("""COMPUTED_VALUE"""),10.0)</f>
        <v>10</v>
      </c>
      <c r="K691" s="210" t="str">
        <f>IFERROR(__xludf.DUMMYFUNCTION("""COMPUTED_VALUE"""),"1195 11154 11120 11161 11129 11119 1188 1128 11104 1111")</f>
        <v>1195 11154 11120 11161 11129 11119 1188 1128 11104 1111</v>
      </c>
      <c r="L691" s="211">
        <f>IFERROR(__xludf.DUMMYFUNCTION("""COMPUTED_VALUE"""),45000.0)</f>
        <v>45000</v>
      </c>
      <c r="M691" s="211"/>
      <c r="N691" s="211"/>
      <c r="O691" s="211"/>
      <c r="Q691" s="210" t="str">
        <f>IFERROR(__xludf.DUMMYFUNCTION("""COMPUTED_VALUE"""),"04250383")</f>
        <v>04250383</v>
      </c>
      <c r="R691" s="210" t="str">
        <f>IFERROR(__xludf.DUMMYFUNCTION("""COMPUTED_VALUE"""),"04250383")</f>
        <v>04250383</v>
      </c>
      <c r="S691" s="211" t="str">
        <f>IFERROR(__xludf.DUMMYFUNCTION("""COMPUTED_VALUE"""),"7b9d8eba")</f>
        <v>7b9d8eba</v>
      </c>
      <c r="T691" s="211" t="str">
        <f>IFERROR(__xludf.DUMMYFUNCTION("""COMPUTED_VALUE"""),"PT PELANGI INDOKARYA")</f>
        <v>PT PELANGI INDOKARYA</v>
      </c>
      <c r="U691" s="215">
        <f>IFERROR(__xludf.DUMMYFUNCTION("""COMPUTED_VALUE"""),45769.5125)</f>
        <v>45769.5125</v>
      </c>
      <c r="V69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691" s="211" t="str">
        <f>IFERROR(__xludf.DUMMYFUNCTION("""COMPUTED_VALUE"""),"OUT")</f>
        <v>OUT</v>
      </c>
      <c r="X691" s="211"/>
      <c r="Z691" s="211" t="str">
        <f>IFERROR(__xludf.DUMMYFUNCTION("""COMPUTED_VALUE"""),"112511587")</f>
        <v>112511587</v>
      </c>
      <c r="AC691" s="211"/>
      <c r="AD691" s="211"/>
      <c r="AE691" s="211"/>
      <c r="AF691" s="211"/>
      <c r="AG691" s="211"/>
      <c r="AH691" s="211"/>
      <c r="AI691" s="211"/>
      <c r="AJ691" s="211"/>
      <c r="AL691" s="211"/>
      <c r="AM691" s="211"/>
      <c r="AN691" s="211"/>
      <c r="AO691" s="211"/>
      <c r="AP691" s="215"/>
      <c r="AQ691" s="218"/>
      <c r="AR691" s="211"/>
      <c r="AS691" s="211"/>
      <c r="AT691" s="211"/>
      <c r="AU691" s="211"/>
      <c r="AV691" s="211"/>
      <c r="AW691" s="211"/>
      <c r="AX691" s="211"/>
      <c r="AY691" s="211"/>
      <c r="AZ691" s="211"/>
      <c r="BB691" s="211"/>
      <c r="BC691" s="211"/>
      <c r="BD691" s="211"/>
      <c r="BE691" s="211"/>
      <c r="BF691" s="211"/>
      <c r="BG691" s="211"/>
      <c r="BH691" s="211"/>
      <c r="BI691" s="211"/>
    </row>
    <row r="692">
      <c r="A692" s="210" t="str">
        <f>IFERROR(__xludf.DUMMYFUNCTION("""COMPUTED_VALUE"""),"3981b9ed")</f>
        <v>3981b9ed</v>
      </c>
      <c r="B692" s="210" t="str">
        <f>IFERROR(__xludf.DUMMYFUNCTION("""COMPUTED_VALUE"""),"3981b9ed")</f>
        <v>3981b9ed</v>
      </c>
      <c r="C692" s="213">
        <f>IFERROR(__xludf.DUMMYFUNCTION("""COMPUTED_VALUE"""),45712.580555555556)</f>
        <v>45712.58056</v>
      </c>
      <c r="D692" s="211" t="str">
        <f>IFERROR(__xludf.DUMMYFUNCTION("""COMPUTED_VALUE"""),"103f3ae7")</f>
        <v>103f3ae7</v>
      </c>
      <c r="E692" s="211" t="str">
        <f>IFERROR(__xludf.DUMMYFUNCTION("""COMPUTED_VALUE"""),"PT ARYANA CAKASANA")</f>
        <v>PT ARYANA CAKASANA</v>
      </c>
      <c r="F692" s="211" t="str">
        <f>IFERROR(__xludf.DUMMYFUNCTION("""COMPUTED_VALUE"""),"8bdbe149")</f>
        <v>8bdbe149</v>
      </c>
      <c r="G692" s="211" t="str">
        <f>IFERROR(__xludf.DUMMYFUNCTION("""COMPUTED_VALUE"""),"Oksigen 6m3")</f>
        <v>Oksigen 6m3</v>
      </c>
      <c r="H692" s="214" t="str">
        <f>IFERROR(__xludf.DUMMYFUNCTION("""COMPUTED_VALUE"""),"IN")</f>
        <v>IN</v>
      </c>
      <c r="I692" s="214" t="str">
        <f>IFERROR(__xludf.DUMMYFUNCTION("""COMPUTED_VALUE"""),"EMPTY")</f>
        <v>EMPTY</v>
      </c>
      <c r="J692" s="211">
        <f>IFERROR(__xludf.DUMMYFUNCTION("""COMPUTED_VALUE"""),4.0)</f>
        <v>4</v>
      </c>
      <c r="K692" s="210" t="str">
        <f>IFERROR(__xludf.DUMMYFUNCTION("""COMPUTED_VALUE"""),"11119 1188 11120 1117")</f>
        <v>11119 1188 11120 1117</v>
      </c>
      <c r="L692" s="211">
        <f>IFERROR(__xludf.DUMMYFUNCTION("""COMPUTED_VALUE"""),0.0)</f>
        <v>0</v>
      </c>
      <c r="M692" s="211"/>
      <c r="N692" s="211"/>
      <c r="O692" s="211"/>
      <c r="Q692" s="210" t="str">
        <f>IFERROR(__xludf.DUMMYFUNCTION("""COMPUTED_VALUE"""),"b8a9d8db")</f>
        <v>b8a9d8db</v>
      </c>
      <c r="R692" s="210" t="str">
        <f>IFERROR(__xludf.DUMMYFUNCTION("""COMPUTED_VALUE"""),"b8a9d8db")</f>
        <v>b8a9d8db</v>
      </c>
      <c r="S692" s="211" t="str">
        <f>IFERROR(__xludf.DUMMYFUNCTION("""COMPUTED_VALUE"""),"7b9d8eba")</f>
        <v>7b9d8eba</v>
      </c>
      <c r="T692" s="211" t="str">
        <f>IFERROR(__xludf.DUMMYFUNCTION("""COMPUTED_VALUE"""),"PT PELANGI INDOKARYA")</f>
        <v>PT PELANGI INDOKARYA</v>
      </c>
      <c r="U692" s="215">
        <f>IFERROR(__xludf.DUMMYFUNCTION("""COMPUTED_VALUE"""),45769.59722222222)</f>
        <v>45769.59722</v>
      </c>
      <c r="V69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692" s="211" t="str">
        <f>IFERROR(__xludf.DUMMYFUNCTION("""COMPUTED_VALUE"""),"IN")</f>
        <v>IN</v>
      </c>
      <c r="X692" s="211"/>
      <c r="Z692" s="211" t="str">
        <f>IFERROR(__xludf.DUMMYFUNCTION("""COMPUTED_VALUE"""),"112521585")</f>
        <v>112521585</v>
      </c>
      <c r="AC692" s="211"/>
      <c r="AD692" s="211"/>
      <c r="AE692" s="211"/>
      <c r="AF692" s="211"/>
      <c r="AG692" s="211"/>
      <c r="AH692" s="211"/>
      <c r="AI692" s="211"/>
      <c r="AJ692" s="211"/>
      <c r="AL692" s="211"/>
      <c r="AM692" s="211"/>
      <c r="AN692" s="211"/>
      <c r="AO692" s="211"/>
      <c r="AP692" s="215"/>
      <c r="AQ692" s="218"/>
      <c r="AR692" s="211"/>
      <c r="AS692" s="211"/>
      <c r="AT692" s="211"/>
      <c r="AU692" s="211"/>
      <c r="AV692" s="211"/>
      <c r="AW692" s="211"/>
      <c r="AX692" s="211"/>
      <c r="AY692" s="211"/>
      <c r="AZ692" s="211"/>
      <c r="BB692" s="211"/>
      <c r="BC692" s="211"/>
      <c r="BD692" s="211"/>
      <c r="BE692" s="211"/>
      <c r="BF692" s="211"/>
      <c r="BG692" s="211"/>
      <c r="BH692" s="211"/>
      <c r="BI692" s="211"/>
    </row>
    <row r="693">
      <c r="A693" s="210" t="str">
        <f>IFERROR(__xludf.DUMMYFUNCTION("""COMPUTED_VALUE"""),"02250277")</f>
        <v>02250277</v>
      </c>
      <c r="B693" s="210" t="str">
        <f>IFERROR(__xludf.DUMMYFUNCTION("""COMPUTED_VALUE"""),"02250277")</f>
        <v>02250277</v>
      </c>
      <c r="C693" s="213">
        <f>IFERROR(__xludf.DUMMYFUNCTION("""COMPUTED_VALUE"""),45713.42013888889)</f>
        <v>45713.42014</v>
      </c>
      <c r="D693" s="211" t="str">
        <f>IFERROR(__xludf.DUMMYFUNCTION("""COMPUTED_VALUE"""),"2d88931c")</f>
        <v>2d88931c</v>
      </c>
      <c r="E693" s="211" t="str">
        <f>IFERROR(__xludf.DUMMYFUNCTION("""COMPUTED_VALUE"""),"PT Dunia Berkat Marga Mulya")</f>
        <v>PT Dunia Berkat Marga Mulya</v>
      </c>
      <c r="F693" s="211" t="str">
        <f>IFERROR(__xludf.DUMMYFUNCTION("""COMPUTED_VALUE"""),"8bdbe149")</f>
        <v>8bdbe149</v>
      </c>
      <c r="G693" s="211" t="str">
        <f>IFERROR(__xludf.DUMMYFUNCTION("""COMPUTED_VALUE"""),"Oksigen 6m3")</f>
        <v>Oksigen 6m3</v>
      </c>
      <c r="H693" s="214" t="str">
        <f>IFERROR(__xludf.DUMMYFUNCTION("""COMPUTED_VALUE"""),"OUT")</f>
        <v>OUT</v>
      </c>
      <c r="I693" s="214" t="str">
        <f>IFERROR(__xludf.DUMMYFUNCTION("""COMPUTED_VALUE"""),"NORMAL")</f>
        <v>NORMAL</v>
      </c>
      <c r="J693" s="211">
        <f>IFERROR(__xludf.DUMMYFUNCTION("""COMPUTED_VALUE"""),3.0)</f>
        <v>3</v>
      </c>
      <c r="K693" s="210" t="str">
        <f>IFERROR(__xludf.DUMMYFUNCTION("""COMPUTED_VALUE"""),"11112 1193 1117")</f>
        <v>11112 1193 1117</v>
      </c>
      <c r="L693" s="211">
        <f>IFERROR(__xludf.DUMMYFUNCTION("""COMPUTED_VALUE"""),60000.0)</f>
        <v>60000</v>
      </c>
      <c r="M693" s="211"/>
      <c r="N693" s="211"/>
      <c r="O693" s="211"/>
      <c r="Q693" s="210" t="str">
        <f>IFERROR(__xludf.DUMMYFUNCTION("""COMPUTED_VALUE"""),"ff61c167")</f>
        <v>ff61c167</v>
      </c>
      <c r="R693" s="210" t="str">
        <f>IFERROR(__xludf.DUMMYFUNCTION("""COMPUTED_VALUE"""),"ff61c167")</f>
        <v>ff61c167</v>
      </c>
      <c r="S693" s="211" t="str">
        <f>IFERROR(__xludf.DUMMYFUNCTION("""COMPUTED_VALUE"""),"5f23ba17")</f>
        <v>5f23ba17</v>
      </c>
      <c r="T693" s="211" t="str">
        <f>IFERROR(__xludf.DUMMYFUNCTION("""COMPUTED_VALUE"""),"Bpk. Joko (Gresik)")</f>
        <v>Bpk. Joko (Gresik)</v>
      </c>
      <c r="U693" s="215">
        <f>IFERROR(__xludf.DUMMYFUNCTION("""COMPUTED_VALUE"""),45769.75902777778)</f>
        <v>45769.75903</v>
      </c>
      <c r="V693" s="211" t="str">
        <f>IFERROR(__xludf.DUMMYFUNCTION("""COMPUTED_VALUE"""),"Tanggungan, Lebaniwaras, Kec. Wringinanom, Kabupaten Gresik, Jawa Timur")</f>
        <v>Tanggungan, Lebaniwaras, Kec. Wringinanom, Kabupaten Gresik, Jawa Timur</v>
      </c>
      <c r="W693" s="211" t="str">
        <f>IFERROR(__xludf.DUMMYFUNCTION("""COMPUTED_VALUE"""),"IN")</f>
        <v>IN</v>
      </c>
      <c r="X693" s="211"/>
      <c r="Z693" s="211" t="str">
        <f>IFERROR(__xludf.DUMMYFUNCTION("""COMPUTED_VALUE"""),"112511584")</f>
        <v>112511584</v>
      </c>
      <c r="AC693" s="211"/>
      <c r="AD693" s="211"/>
      <c r="AE693" s="211"/>
      <c r="AF693" s="211"/>
      <c r="AG693" s="211"/>
      <c r="AH693" s="211"/>
      <c r="AI693" s="211"/>
      <c r="AJ693" s="211"/>
      <c r="AL693" s="211"/>
      <c r="AM693" s="211"/>
      <c r="AN693" s="211"/>
      <c r="AO693" s="211"/>
      <c r="AP693" s="215"/>
      <c r="AQ693" s="218"/>
      <c r="AR693" s="211"/>
      <c r="AS693" s="211"/>
      <c r="AT693" s="211"/>
      <c r="AU693" s="211"/>
      <c r="AV693" s="211"/>
      <c r="AW693" s="211"/>
      <c r="AX693" s="211"/>
      <c r="AY693" s="211"/>
      <c r="AZ693" s="211"/>
      <c r="BB693" s="211"/>
      <c r="BC693" s="211"/>
      <c r="BD693" s="211"/>
      <c r="BE693" s="211"/>
      <c r="BF693" s="211"/>
      <c r="BG693" s="211"/>
      <c r="BH693" s="211"/>
      <c r="BI693" s="211"/>
    </row>
    <row r="694">
      <c r="A694" s="210" t="str">
        <f>IFERROR(__xludf.DUMMYFUNCTION("""COMPUTED_VALUE"""),"c9207435")</f>
        <v>c9207435</v>
      </c>
      <c r="B694" s="210" t="str">
        <f>IFERROR(__xludf.DUMMYFUNCTION("""COMPUTED_VALUE"""),"c9207435")</f>
        <v>c9207435</v>
      </c>
      <c r="C694" s="213">
        <f>IFERROR(__xludf.DUMMYFUNCTION("""COMPUTED_VALUE"""),45713.54861111111)</f>
        <v>45713.54861</v>
      </c>
      <c r="D694" s="211" t="str">
        <f>IFERROR(__xludf.DUMMYFUNCTION("""COMPUTED_VALUE"""),"ac52e1fa")</f>
        <v>ac52e1fa</v>
      </c>
      <c r="E694" s="211" t="str">
        <f>IFERROR(__xludf.DUMMYFUNCTION("""COMPUTED_VALUE"""),"Abah Mad")</f>
        <v>Abah Mad</v>
      </c>
      <c r="F694" s="211" t="str">
        <f>IFERROR(__xludf.DUMMYFUNCTION("""COMPUTED_VALUE"""),"8bdbe149")</f>
        <v>8bdbe149</v>
      </c>
      <c r="G694" s="211" t="str">
        <f>IFERROR(__xludf.DUMMYFUNCTION("""COMPUTED_VALUE"""),"Oksigen 6m3")</f>
        <v>Oksigen 6m3</v>
      </c>
      <c r="H694" s="214" t="str">
        <f>IFERROR(__xludf.DUMMYFUNCTION("""COMPUTED_VALUE"""),"IN")</f>
        <v>IN</v>
      </c>
      <c r="I694" s="214" t="str">
        <f>IFERROR(__xludf.DUMMYFUNCTION("""COMPUTED_VALUE"""),"EMPTY")</f>
        <v>EMPTY</v>
      </c>
      <c r="J694" s="211">
        <f>IFERROR(__xludf.DUMMYFUNCTION("""COMPUTED_VALUE"""),1.0)</f>
        <v>1</v>
      </c>
      <c r="K694" s="210" t="str">
        <f>IFERROR(__xludf.DUMMYFUNCTION("""COMPUTED_VALUE"""),"1141")</f>
        <v>1141</v>
      </c>
      <c r="L694" s="211"/>
      <c r="M694" s="211"/>
      <c r="N694" s="211"/>
      <c r="O694" s="211"/>
      <c r="Q694" s="210" t="str">
        <f>IFERROR(__xludf.DUMMYFUNCTION("""COMPUTED_VALUE"""),"a1de3cad")</f>
        <v>a1de3cad</v>
      </c>
      <c r="R694" s="210" t="str">
        <f>IFERROR(__xludf.DUMMYFUNCTION("""COMPUTED_VALUE"""),"a1de3cad")</f>
        <v>a1de3cad</v>
      </c>
      <c r="S694" s="211" t="str">
        <f>IFERROR(__xludf.DUMMYFUNCTION("""COMPUTED_VALUE"""),"785e0e07")</f>
        <v>785e0e07</v>
      </c>
      <c r="T694" s="211" t="str">
        <f>IFERROR(__xludf.DUMMYFUNCTION("""COMPUTED_VALUE"""),"Bpk. Sukirno (Bejo)")</f>
        <v>Bpk. Sukirno (Bejo)</v>
      </c>
      <c r="U694" s="215">
        <f>IFERROR(__xludf.DUMMYFUNCTION("""COMPUTED_VALUE"""),45769.75902777778)</f>
        <v>45769.75903</v>
      </c>
      <c r="V694" s="211" t="str">
        <f>IFERROR(__xludf.DUMMYFUNCTION("""COMPUTED_VALUE"""),"Krajan I, Wringinanom, Kec. Wringinanom, Kabupaten Gresik, Jawa Timur 61176")</f>
        <v>Krajan I, Wringinanom, Kec. Wringinanom, Kabupaten Gresik, Jawa Timur 61176</v>
      </c>
      <c r="W694" s="211" t="str">
        <f>IFERROR(__xludf.DUMMYFUNCTION("""COMPUTED_VALUE"""),"IN")</f>
        <v>IN</v>
      </c>
      <c r="X694" s="211"/>
      <c r="Z694" s="211" t="str">
        <f>IFERROR(__xludf.DUMMYFUNCTION("""COMPUTED_VALUE"""),"1125311583")</f>
        <v>1125311583</v>
      </c>
      <c r="AC694" s="211"/>
      <c r="AD694" s="211"/>
      <c r="AE694" s="211"/>
      <c r="AF694" s="211"/>
      <c r="AG694" s="211"/>
      <c r="AH694" s="211"/>
      <c r="AI694" s="211"/>
      <c r="AJ694" s="211"/>
      <c r="AL694" s="211"/>
      <c r="AM694" s="211"/>
      <c r="AN694" s="211"/>
      <c r="AO694" s="211"/>
      <c r="AP694" s="215"/>
      <c r="AQ694" s="218"/>
      <c r="AR694" s="211"/>
      <c r="AS694" s="211"/>
      <c r="AT694" s="211"/>
      <c r="AU694" s="211"/>
      <c r="AV694" s="211"/>
      <c r="AW694" s="211"/>
      <c r="AX694" s="211"/>
      <c r="AY694" s="211"/>
      <c r="AZ694" s="211"/>
      <c r="BB694" s="211"/>
      <c r="BC694" s="211"/>
      <c r="BD694" s="211"/>
      <c r="BE694" s="211"/>
      <c r="BF694" s="211"/>
      <c r="BG694" s="211"/>
      <c r="BH694" s="211"/>
      <c r="BI694" s="211"/>
    </row>
    <row r="695">
      <c r="A695" s="210" t="str">
        <f>IFERROR(__xludf.DUMMYFUNCTION("""COMPUTED_VALUE"""),"c9207435")</f>
        <v>c9207435</v>
      </c>
      <c r="B695" s="210" t="str">
        <f>IFERROR(__xludf.DUMMYFUNCTION("""COMPUTED_VALUE"""),"c9207435")</f>
        <v>c9207435</v>
      </c>
      <c r="C695" s="213">
        <f>IFERROR(__xludf.DUMMYFUNCTION("""COMPUTED_VALUE"""),45713.54861111111)</f>
        <v>45713.54861</v>
      </c>
      <c r="D695" s="211" t="str">
        <f>IFERROR(__xludf.DUMMYFUNCTION("""COMPUTED_VALUE"""),"ac52e1fa")</f>
        <v>ac52e1fa</v>
      </c>
      <c r="E695" s="211" t="str">
        <f>IFERROR(__xludf.DUMMYFUNCTION("""COMPUTED_VALUE"""),"Abah Mad")</f>
        <v>Abah Mad</v>
      </c>
      <c r="F695" s="211" t="str">
        <f>IFERROR(__xludf.DUMMYFUNCTION("""COMPUTED_VALUE"""),"f6aab7a9")</f>
        <v>f6aab7a9</v>
      </c>
      <c r="G695" s="211" t="str">
        <f>IFERROR(__xludf.DUMMYFUNCTION("""COMPUTED_VALUE"""),"Oksigen 6m3 MR")</f>
        <v>Oksigen 6m3 MR</v>
      </c>
      <c r="H695" s="214" t="str">
        <f>IFERROR(__xludf.DUMMYFUNCTION("""COMPUTED_VALUE"""),"IN")</f>
        <v>IN</v>
      </c>
      <c r="I695" s="214" t="str">
        <f>IFERROR(__xludf.DUMMYFUNCTION("""COMPUTED_VALUE"""),"EMPTY")</f>
        <v>EMPTY</v>
      </c>
      <c r="J695" s="211">
        <f>IFERROR(__xludf.DUMMYFUNCTION("""COMPUTED_VALUE"""),2.0)</f>
        <v>2</v>
      </c>
      <c r="K695" s="211"/>
      <c r="L695" s="211"/>
      <c r="M695" s="211"/>
      <c r="N695" s="211"/>
      <c r="O695" s="211"/>
      <c r="Q695" s="210" t="str">
        <f>IFERROR(__xludf.DUMMYFUNCTION("""COMPUTED_VALUE"""),"04250384")</f>
        <v>04250384</v>
      </c>
      <c r="R695" s="210" t="str">
        <f>IFERROR(__xludf.DUMMYFUNCTION("""COMPUTED_VALUE"""),"04250384")</f>
        <v>04250384</v>
      </c>
      <c r="S695" s="211" t="str">
        <f>IFERROR(__xludf.DUMMYFUNCTION("""COMPUTED_VALUE"""),"8f5ebaea")</f>
        <v>8f5ebaea</v>
      </c>
      <c r="T695" s="211" t="str">
        <f>IFERROR(__xludf.DUMMYFUNCTION("""COMPUTED_VALUE"""),"PT Hua Zong Mesindo")</f>
        <v>PT Hua Zong Mesindo</v>
      </c>
      <c r="U695" s="215">
        <f>IFERROR(__xludf.DUMMYFUNCTION("""COMPUTED_VALUE"""),45770.35555555555)</f>
        <v>45770.35556</v>
      </c>
      <c r="V695" s="211" t="str">
        <f>IFERROR(__xludf.DUMMYFUNCTION("""COMPUTED_VALUE"""),"Jl. Bypass Krian, Sidotemo, Sidomulyo, Kec. Krian, Kabupaten Sidoarjo, Jawa Timur 61262")</f>
        <v>Jl. Bypass Krian, Sidotemo, Sidomulyo, Kec. Krian, Kabupaten Sidoarjo, Jawa Timur 61262</v>
      </c>
      <c r="W695" s="211" t="str">
        <f>IFERROR(__xludf.DUMMYFUNCTION("""COMPUTED_VALUE"""),"OUT")</f>
        <v>OUT</v>
      </c>
      <c r="X695" s="211"/>
      <c r="Z695" s="211" t="str">
        <f>IFERROR(__xludf.DUMMYFUNCTION("""COMPUTED_VALUE"""),"1125261582")</f>
        <v>1125261582</v>
      </c>
      <c r="AC695" s="211"/>
      <c r="AD695" s="211"/>
      <c r="AE695" s="211"/>
      <c r="AF695" s="211"/>
      <c r="AG695" s="211"/>
      <c r="AH695" s="211"/>
      <c r="AI695" s="211"/>
      <c r="AJ695" s="211"/>
      <c r="AL695" s="211"/>
      <c r="AM695" s="211"/>
      <c r="AN695" s="211"/>
      <c r="AO695" s="211"/>
      <c r="AP695" s="215"/>
      <c r="AQ695" s="218"/>
      <c r="AR695" s="211"/>
      <c r="AS695" s="211"/>
      <c r="AT695" s="211"/>
      <c r="AU695" s="211"/>
      <c r="AV695" s="211"/>
      <c r="AW695" s="211"/>
      <c r="AX695" s="211"/>
      <c r="AY695" s="211"/>
      <c r="AZ695" s="211"/>
      <c r="BB695" s="211"/>
      <c r="BC695" s="211"/>
      <c r="BD695" s="211"/>
      <c r="BE695" s="211"/>
      <c r="BF695" s="211"/>
      <c r="BG695" s="211"/>
      <c r="BH695" s="211"/>
      <c r="BI695" s="211"/>
    </row>
    <row r="696">
      <c r="A696" s="210" t="str">
        <f>IFERROR(__xludf.DUMMYFUNCTION("""COMPUTED_VALUE"""),"71a3396b")</f>
        <v>71a3396b</v>
      </c>
      <c r="B696" s="210" t="str">
        <f>IFERROR(__xludf.DUMMYFUNCTION("""COMPUTED_VALUE"""),"71a3396b")</f>
        <v>71a3396b</v>
      </c>
      <c r="C696" s="213">
        <f>IFERROR(__xludf.DUMMYFUNCTION("""COMPUTED_VALUE"""),45713.549305555556)</f>
        <v>45713.54931</v>
      </c>
      <c r="D696" s="211" t="str">
        <f>IFERROR(__xludf.DUMMYFUNCTION("""COMPUTED_VALUE"""),"4ec68cf6")</f>
        <v>4ec68cf6</v>
      </c>
      <c r="E696" s="211" t="str">
        <f>IFERROR(__xludf.DUMMYFUNCTION("""COMPUTED_VALUE"""),"CV Sido Mukti Karya")</f>
        <v>CV Sido Mukti Karya</v>
      </c>
      <c r="F696" s="211" t="str">
        <f>IFERROR(__xludf.DUMMYFUNCTION("""COMPUTED_VALUE"""),"8bdbe149")</f>
        <v>8bdbe149</v>
      </c>
      <c r="G696" s="211" t="str">
        <f>IFERROR(__xludf.DUMMYFUNCTION("""COMPUTED_VALUE"""),"Oksigen 6m3")</f>
        <v>Oksigen 6m3</v>
      </c>
      <c r="H696" s="214" t="str">
        <f>IFERROR(__xludf.DUMMYFUNCTION("""COMPUTED_VALUE"""),"IN")</f>
        <v>IN</v>
      </c>
      <c r="I696" s="214" t="str">
        <f>IFERROR(__xludf.DUMMYFUNCTION("""COMPUTED_VALUE"""),"EMPTY")</f>
        <v>EMPTY</v>
      </c>
      <c r="J696" s="211">
        <f>IFERROR(__xludf.DUMMYFUNCTION("""COMPUTED_VALUE"""),2.0)</f>
        <v>2</v>
      </c>
      <c r="K696" s="210" t="str">
        <f>IFERROR(__xludf.DUMMYFUNCTION("""COMPUTED_VALUE"""),"11130 11186")</f>
        <v>11130 11186</v>
      </c>
      <c r="L696" s="211"/>
      <c r="M696" s="211"/>
      <c r="N696" s="211"/>
      <c r="O696" s="211"/>
      <c r="Q696" s="210" t="str">
        <f>IFERROR(__xludf.DUMMYFUNCTION("""COMPUTED_VALUE"""),"404250015")</f>
        <v>404250015</v>
      </c>
      <c r="R696" s="210" t="str">
        <f>IFERROR(__xludf.DUMMYFUNCTION("""COMPUTED_VALUE"""),"404250015")</f>
        <v>404250015</v>
      </c>
      <c r="S696" s="211" t="str">
        <f>IFERROR(__xludf.DUMMYFUNCTION("""COMPUTED_VALUE"""),"01158be1")</f>
        <v>01158be1</v>
      </c>
      <c r="T696" s="211" t="str">
        <f>IFERROR(__xludf.DUMMYFUNCTION("""COMPUTED_VALUE"""),"GYF")</f>
        <v>GYF</v>
      </c>
      <c r="U696" s="215">
        <f>IFERROR(__xludf.DUMMYFUNCTION("""COMPUTED_VALUE"""),45770.3625)</f>
        <v>45770.3625</v>
      </c>
      <c r="V696" s="211" t="str">
        <f>IFERROR(__xludf.DUMMYFUNCTION("""COMPUTED_VALUE"""),"Kangkungan, Lengkong, Kec. Mojoanyar, Kabupaten Mojokerto, Jawa Timur")</f>
        <v>Kangkungan, Lengkong, Kec. Mojoanyar, Kabupaten Mojokerto, Jawa Timur</v>
      </c>
      <c r="W696" s="211" t="str">
        <f>IFERROR(__xludf.DUMMYFUNCTION("""COMPUTED_VALUE"""),"OTHER")</f>
        <v>OTHER</v>
      </c>
      <c r="X696" s="211"/>
      <c r="Z696" s="211" t="str">
        <f>IFERROR(__xludf.DUMMYFUNCTION("""COMPUTED_VALUE"""),"112541580")</f>
        <v>112541580</v>
      </c>
      <c r="AC696" s="211"/>
      <c r="AD696" s="211"/>
      <c r="AE696" s="211"/>
      <c r="AF696" s="211"/>
      <c r="AG696" s="211"/>
      <c r="AH696" s="211"/>
      <c r="AI696" s="211"/>
      <c r="AJ696" s="211"/>
      <c r="AL696" s="211"/>
      <c r="AM696" s="211"/>
      <c r="AN696" s="211"/>
      <c r="AO696" s="211"/>
      <c r="AP696" s="215"/>
      <c r="AQ696" s="218"/>
      <c r="AR696" s="211"/>
      <c r="AS696" s="211"/>
      <c r="AT696" s="211"/>
      <c r="AU696" s="211"/>
      <c r="AV696" s="211"/>
      <c r="AW696" s="211"/>
      <c r="AX696" s="211"/>
      <c r="AY696" s="211"/>
      <c r="AZ696" s="211"/>
      <c r="BB696" s="211"/>
      <c r="BC696" s="211"/>
      <c r="BD696" s="211"/>
      <c r="BE696" s="211"/>
      <c r="BF696" s="211"/>
      <c r="BG696" s="211"/>
      <c r="BH696" s="211"/>
      <c r="BI696" s="211"/>
    </row>
    <row r="697">
      <c r="A697" s="210" t="str">
        <f>IFERROR(__xludf.DUMMYFUNCTION("""COMPUTED_VALUE"""),"ab6d2028")</f>
        <v>ab6d2028</v>
      </c>
      <c r="B697" s="210" t="str">
        <f>IFERROR(__xludf.DUMMYFUNCTION("""COMPUTED_VALUE"""),"ab6d2028")</f>
        <v>ab6d2028</v>
      </c>
      <c r="C697" s="213">
        <f>IFERROR(__xludf.DUMMYFUNCTION("""COMPUTED_VALUE"""),45713.55)</f>
        <v>45713.55</v>
      </c>
      <c r="D697" s="211" t="str">
        <f>IFERROR(__xludf.DUMMYFUNCTION("""COMPUTED_VALUE"""),"2d88931c")</f>
        <v>2d88931c</v>
      </c>
      <c r="E697" s="211" t="str">
        <f>IFERROR(__xludf.DUMMYFUNCTION("""COMPUTED_VALUE"""),"PT Dunia Berkat Marga Mulya")</f>
        <v>PT Dunia Berkat Marga Mulya</v>
      </c>
      <c r="F697" s="211" t="str">
        <f>IFERROR(__xludf.DUMMYFUNCTION("""COMPUTED_VALUE"""),"8bdbe149")</f>
        <v>8bdbe149</v>
      </c>
      <c r="G697" s="211" t="str">
        <f>IFERROR(__xludf.DUMMYFUNCTION("""COMPUTED_VALUE"""),"Oksigen 6m3")</f>
        <v>Oksigen 6m3</v>
      </c>
      <c r="H697" s="214" t="str">
        <f>IFERROR(__xludf.DUMMYFUNCTION("""COMPUTED_VALUE"""),"IN")</f>
        <v>IN</v>
      </c>
      <c r="I697" s="214" t="str">
        <f>IFERROR(__xludf.DUMMYFUNCTION("""COMPUTED_VALUE"""),"EMPTY")</f>
        <v>EMPTY</v>
      </c>
      <c r="J697" s="211">
        <f>IFERROR(__xludf.DUMMYFUNCTION("""COMPUTED_VALUE"""),2.0)</f>
        <v>2</v>
      </c>
      <c r="K697" s="210" t="str">
        <f>IFERROR(__xludf.DUMMYFUNCTION("""COMPUTED_VALUE"""),"1102 1140")</f>
        <v>1102 1140</v>
      </c>
      <c r="L697" s="211"/>
      <c r="M697" s="211"/>
      <c r="N697" s="211"/>
      <c r="O697" s="211"/>
      <c r="Q697" s="210" t="str">
        <f>IFERROR(__xludf.DUMMYFUNCTION("""COMPUTED_VALUE"""),"04250385")</f>
        <v>04250385</v>
      </c>
      <c r="R697" s="210" t="str">
        <f>IFERROR(__xludf.DUMMYFUNCTION("""COMPUTED_VALUE"""),"04250385")</f>
        <v>04250385</v>
      </c>
      <c r="S697" s="211" t="str">
        <f>IFERROR(__xludf.DUMMYFUNCTION("""COMPUTED_VALUE"""),"5f23ba17")</f>
        <v>5f23ba17</v>
      </c>
      <c r="T697" s="211" t="str">
        <f>IFERROR(__xludf.DUMMYFUNCTION("""COMPUTED_VALUE"""),"Bpk. Joko (Gresik)")</f>
        <v>Bpk. Joko (Gresik)</v>
      </c>
      <c r="U697" s="215">
        <f>IFERROR(__xludf.DUMMYFUNCTION("""COMPUTED_VALUE"""),45770.37569444445)</f>
        <v>45770.37569</v>
      </c>
      <c r="V697" s="211" t="str">
        <f>IFERROR(__xludf.DUMMYFUNCTION("""COMPUTED_VALUE"""),"Tanggungan, Lebaniwaras, Kec. Wringinanom, Kabupaten Gresik, Jawa Timur")</f>
        <v>Tanggungan, Lebaniwaras, Kec. Wringinanom, Kabupaten Gresik, Jawa Timur</v>
      </c>
      <c r="W697" s="211" t="str">
        <f>IFERROR(__xludf.DUMMYFUNCTION("""COMPUTED_VALUE"""),"OUT")</f>
        <v>OUT</v>
      </c>
      <c r="X697" s="211"/>
      <c r="Z697" s="211" t="str">
        <f>IFERROR(__xludf.DUMMYFUNCTION("""COMPUTED_VALUE"""),"102531575")</f>
        <v>102531575</v>
      </c>
      <c r="AC697" s="211"/>
      <c r="AD697" s="211"/>
      <c r="AE697" s="211"/>
      <c r="AF697" s="211"/>
      <c r="AG697" s="211"/>
      <c r="AH697" s="211"/>
      <c r="AI697" s="211"/>
      <c r="AJ697" s="211"/>
      <c r="AL697" s="211"/>
      <c r="AM697" s="211"/>
      <c r="AN697" s="211"/>
      <c r="AO697" s="211"/>
      <c r="AP697" s="215"/>
      <c r="AQ697" s="218"/>
      <c r="AR697" s="211"/>
      <c r="AS697" s="211"/>
      <c r="AT697" s="211"/>
      <c r="AU697" s="211"/>
      <c r="AV697" s="211"/>
      <c r="AW697" s="211"/>
      <c r="AX697" s="211"/>
      <c r="AY697" s="211"/>
      <c r="AZ697" s="211"/>
      <c r="BB697" s="211"/>
      <c r="BC697" s="211"/>
      <c r="BD697" s="211"/>
      <c r="BE697" s="211"/>
      <c r="BF697" s="211"/>
      <c r="BG697" s="211"/>
      <c r="BH697" s="211"/>
      <c r="BI697" s="211"/>
    </row>
    <row r="698">
      <c r="A698" s="210" t="str">
        <f>IFERROR(__xludf.DUMMYFUNCTION("""COMPUTED_VALUE"""),"d696143c")</f>
        <v>d696143c</v>
      </c>
      <c r="B698" s="210" t="str">
        <f>IFERROR(__xludf.DUMMYFUNCTION("""COMPUTED_VALUE"""),"d696143c")</f>
        <v>d696143c</v>
      </c>
      <c r="C698" s="213">
        <f>IFERROR(__xludf.DUMMYFUNCTION("""COMPUTED_VALUE"""),45713.55)</f>
        <v>45713.55</v>
      </c>
      <c r="D698" s="211" t="str">
        <f>IFERROR(__xludf.DUMMYFUNCTION("""COMPUTED_VALUE"""),"01158be1")</f>
        <v>01158be1</v>
      </c>
      <c r="E698" s="211" t="str">
        <f>IFERROR(__xludf.DUMMYFUNCTION("""COMPUTED_VALUE"""),"GYF")</f>
        <v>GYF</v>
      </c>
      <c r="F698" s="211" t="str">
        <f>IFERROR(__xludf.DUMMYFUNCTION("""COMPUTED_VALUE"""),"8bdbe149")</f>
        <v>8bdbe149</v>
      </c>
      <c r="G698" s="211" t="str">
        <f>IFERROR(__xludf.DUMMYFUNCTION("""COMPUTED_VALUE"""),"Oksigen 6m3")</f>
        <v>Oksigen 6m3</v>
      </c>
      <c r="H698" s="214" t="str">
        <f>IFERROR(__xludf.DUMMYFUNCTION("""COMPUTED_VALUE"""),"IN")</f>
        <v>IN</v>
      </c>
      <c r="I698" s="214" t="str">
        <f>IFERROR(__xludf.DUMMYFUNCTION("""COMPUTED_VALUE"""),"EMPTY")</f>
        <v>EMPTY</v>
      </c>
      <c r="J698" s="211">
        <f>IFERROR(__xludf.DUMMYFUNCTION("""COMPUTED_VALUE"""),6.0)</f>
        <v>6</v>
      </c>
      <c r="K698" s="210" t="str">
        <f>IFERROR(__xludf.DUMMYFUNCTION("""COMPUTED_VALUE"""),"11175 11189 11127 1173 11138 1157")</f>
        <v>11175 11189 11127 1173 11138 1157</v>
      </c>
      <c r="L698" s="211"/>
      <c r="M698" s="211"/>
      <c r="N698" s="211"/>
      <c r="O698" s="211"/>
      <c r="Q698" s="210" t="str">
        <f>IFERROR(__xludf.DUMMYFUNCTION("""COMPUTED_VALUE"""),"e66080ee")</f>
        <v>e66080ee</v>
      </c>
      <c r="R698" s="210" t="str">
        <f>IFERROR(__xludf.DUMMYFUNCTION("""COMPUTED_VALUE"""),"e66080ee")</f>
        <v>e66080ee</v>
      </c>
      <c r="S698" s="211" t="str">
        <f>IFERROR(__xludf.DUMMYFUNCTION("""COMPUTED_VALUE"""),"8f5ebaea")</f>
        <v>8f5ebaea</v>
      </c>
      <c r="T698" s="211" t="str">
        <f>IFERROR(__xludf.DUMMYFUNCTION("""COMPUTED_VALUE"""),"PT Hua Zong Mesindo")</f>
        <v>PT Hua Zong Mesindo</v>
      </c>
      <c r="U698" s="215">
        <f>IFERROR(__xludf.DUMMYFUNCTION("""COMPUTED_VALUE"""),45770.52777777778)</f>
        <v>45770.52778</v>
      </c>
      <c r="V698" s="211" t="str">
        <f>IFERROR(__xludf.DUMMYFUNCTION("""COMPUTED_VALUE"""),"Jl. Bypass Krian, Sidotemo, Sidomulyo, Kec. Krian, Kabupaten Sidoarjo, Jawa Timur 61262")</f>
        <v>Jl. Bypass Krian, Sidotemo, Sidomulyo, Kec. Krian, Kabupaten Sidoarjo, Jawa Timur 61262</v>
      </c>
      <c r="W698" s="211" t="str">
        <f>IFERROR(__xludf.DUMMYFUNCTION("""COMPUTED_VALUE"""),"IN")</f>
        <v>IN</v>
      </c>
      <c r="X698" s="211"/>
      <c r="Z698" s="211" t="str">
        <f>IFERROR(__xludf.DUMMYFUNCTION("""COMPUTED_VALUE"""),"1025261569")</f>
        <v>1025261569</v>
      </c>
      <c r="AC698" s="211"/>
      <c r="AD698" s="211"/>
      <c r="AE698" s="211"/>
      <c r="AF698" s="211"/>
      <c r="AG698" s="211"/>
      <c r="AH698" s="211"/>
      <c r="AI698" s="211"/>
      <c r="AJ698" s="211"/>
      <c r="AL698" s="211"/>
      <c r="AM698" s="211"/>
      <c r="AN698" s="211"/>
      <c r="AO698" s="211"/>
      <c r="AP698" s="215"/>
      <c r="AQ698" s="218"/>
      <c r="AR698" s="211"/>
      <c r="AS698" s="211"/>
      <c r="AT698" s="211"/>
      <c r="AU698" s="211"/>
      <c r="AV698" s="211"/>
      <c r="AW698" s="211"/>
      <c r="AX698" s="211"/>
      <c r="AY698" s="211"/>
      <c r="AZ698" s="211"/>
      <c r="BB698" s="211"/>
      <c r="BC698" s="211"/>
      <c r="BD698" s="211"/>
      <c r="BE698" s="211"/>
      <c r="BF698" s="211"/>
      <c r="BG698" s="211"/>
      <c r="BH698" s="211"/>
      <c r="BI698" s="211"/>
    </row>
    <row r="699">
      <c r="A699" s="210" t="str">
        <f>IFERROR(__xludf.DUMMYFUNCTION("""COMPUTED_VALUE"""),"02250278")</f>
        <v>02250278</v>
      </c>
      <c r="B699" s="210" t="str">
        <f>IFERROR(__xludf.DUMMYFUNCTION("""COMPUTED_VALUE"""),"02250278")</f>
        <v>02250278</v>
      </c>
      <c r="C699" s="213">
        <f>IFERROR(__xludf.DUMMYFUNCTION("""COMPUTED_VALUE"""),45713.70138888889)</f>
        <v>45713.70139</v>
      </c>
      <c r="D699" s="211" t="str">
        <f>IFERROR(__xludf.DUMMYFUNCTION("""COMPUTED_VALUE"""),"785e0e07")</f>
        <v>785e0e07</v>
      </c>
      <c r="E699" s="211" t="str">
        <f>IFERROR(__xludf.DUMMYFUNCTION("""COMPUTED_VALUE"""),"Bpk. Sukirno (Bejo)")</f>
        <v>Bpk. Sukirno (Bejo)</v>
      </c>
      <c r="F699" s="211" t="str">
        <f>IFERROR(__xludf.DUMMYFUNCTION("""COMPUTED_VALUE"""),"8bdbe149")</f>
        <v>8bdbe149</v>
      </c>
      <c r="G699" s="211" t="str">
        <f>IFERROR(__xludf.DUMMYFUNCTION("""COMPUTED_VALUE"""),"Oksigen 6m3")</f>
        <v>Oksigen 6m3</v>
      </c>
      <c r="H699" s="214" t="str">
        <f>IFERROR(__xludf.DUMMYFUNCTION("""COMPUTED_VALUE"""),"OUT")</f>
        <v>OUT</v>
      </c>
      <c r="I699" s="214" t="str">
        <f>IFERROR(__xludf.DUMMYFUNCTION("""COMPUTED_VALUE"""),"NORMAL")</f>
        <v>NORMAL</v>
      </c>
      <c r="J699" s="211">
        <f>IFERROR(__xludf.DUMMYFUNCTION("""COMPUTED_VALUE"""),10.0)</f>
        <v>10</v>
      </c>
      <c r="K699" s="211"/>
      <c r="L699" s="211">
        <f>IFERROR(__xludf.DUMMYFUNCTION("""COMPUTED_VALUE"""),60000.0)</f>
        <v>60000</v>
      </c>
      <c r="M699" s="211"/>
      <c r="N699" s="211"/>
      <c r="O699" s="211"/>
      <c r="Q699" s="210" t="str">
        <f>IFERROR(__xludf.DUMMYFUNCTION("""COMPUTED_VALUE"""),"fab5f382")</f>
        <v>fab5f382</v>
      </c>
      <c r="R699" s="210" t="str">
        <f>IFERROR(__xludf.DUMMYFUNCTION("""COMPUTED_VALUE"""),"fab5f382")</f>
        <v>fab5f382</v>
      </c>
      <c r="S699" s="211" t="str">
        <f>IFERROR(__xludf.DUMMYFUNCTION("""COMPUTED_VALUE"""),"01158be1")</f>
        <v>01158be1</v>
      </c>
      <c r="T699" s="211" t="str">
        <f>IFERROR(__xludf.DUMMYFUNCTION("""COMPUTED_VALUE"""),"GYF")</f>
        <v>GYF</v>
      </c>
      <c r="U699" s="215">
        <f>IFERROR(__xludf.DUMMYFUNCTION("""COMPUTED_VALUE"""),45770.52847222222)</f>
        <v>45770.52847</v>
      </c>
      <c r="V699" s="211" t="str">
        <f>IFERROR(__xludf.DUMMYFUNCTION("""COMPUTED_VALUE"""),"Kangkungan, Lengkong, Kec. Mojoanyar, Kabupaten Mojokerto, Jawa Timur")</f>
        <v>Kangkungan, Lengkong, Kec. Mojoanyar, Kabupaten Mojokerto, Jawa Timur</v>
      </c>
      <c r="W699" s="211" t="str">
        <f>IFERROR(__xludf.DUMMYFUNCTION("""COMPUTED_VALUE"""),"IN")</f>
        <v>IN</v>
      </c>
      <c r="X699" s="211"/>
      <c r="Z699" s="211" t="str">
        <f>IFERROR(__xludf.DUMMYFUNCTION("""COMPUTED_VALUE"""),"1025301574")</f>
        <v>1025301574</v>
      </c>
      <c r="AC699" s="211"/>
      <c r="AD699" s="211"/>
      <c r="AE699" s="211"/>
      <c r="AF699" s="211"/>
      <c r="AG699" s="211"/>
      <c r="AH699" s="211"/>
      <c r="AI699" s="211"/>
      <c r="AJ699" s="211"/>
      <c r="AL699" s="211"/>
      <c r="AM699" s="211"/>
      <c r="AN699" s="211"/>
      <c r="AO699" s="211"/>
      <c r="AP699" s="215"/>
      <c r="AQ699" s="218"/>
      <c r="AR699" s="211"/>
      <c r="AS699" s="211"/>
      <c r="AT699" s="211"/>
      <c r="AU699" s="211"/>
      <c r="AV699" s="211"/>
      <c r="AW699" s="211"/>
      <c r="AX699" s="211"/>
      <c r="AY699" s="211"/>
      <c r="AZ699" s="211"/>
      <c r="BB699" s="211"/>
      <c r="BC699" s="211"/>
      <c r="BD699" s="211"/>
      <c r="BE699" s="211"/>
      <c r="BF699" s="211"/>
      <c r="BG699" s="211"/>
      <c r="BH699" s="211"/>
      <c r="BI699" s="211"/>
    </row>
    <row r="700">
      <c r="A700" s="210" t="str">
        <f>IFERROR(__xludf.DUMMYFUNCTION("""COMPUTED_VALUE"""),"02250278")</f>
        <v>02250278</v>
      </c>
      <c r="B700" s="210" t="str">
        <f>IFERROR(__xludf.DUMMYFUNCTION("""COMPUTED_VALUE"""),"02250278")</f>
        <v>02250278</v>
      </c>
      <c r="C700" s="213">
        <f>IFERROR(__xludf.DUMMYFUNCTION("""COMPUTED_VALUE"""),45713.70208333333)</f>
        <v>45713.70208</v>
      </c>
      <c r="D700" s="211" t="str">
        <f>IFERROR(__xludf.DUMMYFUNCTION("""COMPUTED_VALUE"""),"785e0e07")</f>
        <v>785e0e07</v>
      </c>
      <c r="E700" s="211" t="str">
        <f>IFERROR(__xludf.DUMMYFUNCTION("""COMPUTED_VALUE"""),"Bpk. Sukirno (Bejo)")</f>
        <v>Bpk. Sukirno (Bejo)</v>
      </c>
      <c r="F700" s="211" t="str">
        <f>IFERROR(__xludf.DUMMYFUNCTION("""COMPUTED_VALUE"""),"be525f3b")</f>
        <v>be525f3b</v>
      </c>
      <c r="G700" s="211" t="str">
        <f>IFERROR(__xludf.DUMMYFUNCTION("""COMPUTED_VALUE"""),"LPG 12kg")</f>
        <v>LPG 12kg</v>
      </c>
      <c r="H700" s="214" t="str">
        <f>IFERROR(__xludf.DUMMYFUNCTION("""COMPUTED_VALUE"""),"OUT")</f>
        <v>OUT</v>
      </c>
      <c r="I700" s="214" t="str">
        <f>IFERROR(__xludf.DUMMYFUNCTION("""COMPUTED_VALUE"""),"NORMAL")</f>
        <v>NORMAL</v>
      </c>
      <c r="J700" s="211">
        <f>IFERROR(__xludf.DUMMYFUNCTION("""COMPUTED_VALUE"""),2.0)</f>
        <v>2</v>
      </c>
      <c r="K700" s="211"/>
      <c r="L700" s="211">
        <f>IFERROR(__xludf.DUMMYFUNCTION("""COMPUTED_VALUE"""),210000.0)</f>
        <v>210000</v>
      </c>
      <c r="M700" s="211"/>
      <c r="N700" s="211"/>
      <c r="O700" s="211"/>
      <c r="Q700" s="210" t="str">
        <f>IFERROR(__xludf.DUMMYFUNCTION("""COMPUTED_VALUE"""),"682bc8bf")</f>
        <v>682bc8bf</v>
      </c>
      <c r="R700" s="210" t="str">
        <f>IFERROR(__xludf.DUMMYFUNCTION("""COMPUTED_VALUE"""),"682bc8bf")</f>
        <v>682bc8bf</v>
      </c>
      <c r="S700" s="211" t="str">
        <f>IFERROR(__xludf.DUMMYFUNCTION("""COMPUTED_VALUE"""),"4a01ccb6")</f>
        <v>4a01ccb6</v>
      </c>
      <c r="T700" s="211" t="str">
        <f>IFERROR(__xludf.DUMMYFUNCTION("""COMPUTED_VALUE"""),"CV ANUGERAH PERSADA TEKNIK")</f>
        <v>CV ANUGERAH PERSADA TEKNIK</v>
      </c>
      <c r="U700" s="215">
        <f>IFERROR(__xludf.DUMMYFUNCTION("""COMPUTED_VALUE"""),45771.47083333333)</f>
        <v>45771.47083</v>
      </c>
      <c r="V700" s="211" t="str">
        <f>IFERROR(__xludf.DUMMYFUNCTION("""COMPUTED_VALUE"""),"JL. Raya Trosobo, Blok 3/14, Taman Sidoarjo Lingkungan Industri Kecil, Sepanjang, Jawa Timur, 61257")</f>
        <v>JL. Raya Trosobo, Blok 3/14, Taman Sidoarjo Lingkungan Industri Kecil, Sepanjang, Jawa Timur, 61257</v>
      </c>
      <c r="W700" s="211" t="str">
        <f>IFERROR(__xludf.DUMMYFUNCTION("""COMPUTED_VALUE"""),"IN")</f>
        <v>IN</v>
      </c>
      <c r="X700" s="211"/>
      <c r="Z700" s="211" t="str">
        <f>IFERROR(__xludf.DUMMYFUNCTION("""COMPUTED_VALUE"""),"1025301573")</f>
        <v>1025301573</v>
      </c>
      <c r="AC700" s="211"/>
      <c r="AD700" s="211"/>
      <c r="AE700" s="211"/>
      <c r="AF700" s="211"/>
      <c r="AG700" s="211"/>
      <c r="AH700" s="211"/>
      <c r="AI700" s="211"/>
      <c r="AJ700" s="211"/>
      <c r="AL700" s="211"/>
      <c r="AM700" s="211"/>
      <c r="AN700" s="211"/>
      <c r="AO700" s="211"/>
      <c r="AP700" s="215"/>
      <c r="AQ700" s="218"/>
      <c r="AR700" s="211"/>
      <c r="AS700" s="211"/>
      <c r="AT700" s="211"/>
      <c r="AU700" s="211"/>
      <c r="AV700" s="211"/>
      <c r="AW700" s="211"/>
      <c r="AX700" s="211"/>
      <c r="AY700" s="211"/>
      <c r="AZ700" s="211"/>
      <c r="BB700" s="211"/>
      <c r="BC700" s="211"/>
      <c r="BD700" s="211"/>
      <c r="BE700" s="211"/>
      <c r="BF700" s="211"/>
      <c r="BG700" s="211"/>
      <c r="BH700" s="211"/>
      <c r="BI700" s="211"/>
    </row>
    <row r="701">
      <c r="A701" s="210" t="str">
        <f>IFERROR(__xludf.DUMMYFUNCTION("""COMPUTED_VALUE"""),"02250278")</f>
        <v>02250278</v>
      </c>
      <c r="B701" s="210" t="str">
        <f>IFERROR(__xludf.DUMMYFUNCTION("""COMPUTED_VALUE"""),"02250278")</f>
        <v>02250278</v>
      </c>
      <c r="C701" s="213">
        <f>IFERROR(__xludf.DUMMYFUNCTION("""COMPUTED_VALUE"""),45713.70208333333)</f>
        <v>45713.70208</v>
      </c>
      <c r="D701" s="211" t="str">
        <f>IFERROR(__xludf.DUMMYFUNCTION("""COMPUTED_VALUE"""),"785e0e07")</f>
        <v>785e0e07</v>
      </c>
      <c r="E701" s="211" t="str">
        <f>IFERROR(__xludf.DUMMYFUNCTION("""COMPUTED_VALUE"""),"Bpk. Sukirno (Bejo)")</f>
        <v>Bpk. Sukirno (Bejo)</v>
      </c>
      <c r="F701" s="211" t="str">
        <f>IFERROR(__xludf.DUMMYFUNCTION("""COMPUTED_VALUE"""),"8bdbe149")</f>
        <v>8bdbe149</v>
      </c>
      <c r="G701" s="211" t="str">
        <f>IFERROR(__xludf.DUMMYFUNCTION("""COMPUTED_VALUE"""),"Oksigen 6m3")</f>
        <v>Oksigen 6m3</v>
      </c>
      <c r="H701" s="214" t="str">
        <f>IFERROR(__xludf.DUMMYFUNCTION("""COMPUTED_VALUE"""),"OUT")</f>
        <v>OUT</v>
      </c>
      <c r="I701" s="214" t="str">
        <f>IFERROR(__xludf.DUMMYFUNCTION("""COMPUTED_VALUE"""),"NORMAL")</f>
        <v>NORMAL</v>
      </c>
      <c r="J701" s="211">
        <f>IFERROR(__xludf.DUMMYFUNCTION("""COMPUTED_VALUE"""),5.0)</f>
        <v>5</v>
      </c>
      <c r="K701" s="211"/>
      <c r="L701" s="211">
        <f>IFERROR(__xludf.DUMMYFUNCTION("""COMPUTED_VALUE"""),60000.0)</f>
        <v>60000</v>
      </c>
      <c r="M701" s="211"/>
      <c r="N701" s="211"/>
      <c r="O701" s="211"/>
      <c r="Q701" s="210" t="str">
        <f>IFERROR(__xludf.DUMMYFUNCTION("""COMPUTED_VALUE"""),"04250386")</f>
        <v>04250386</v>
      </c>
      <c r="R701" s="210" t="str">
        <f>IFERROR(__xludf.DUMMYFUNCTION("""COMPUTED_VALUE"""),"04250386")</f>
        <v>04250386</v>
      </c>
      <c r="S701" s="211" t="str">
        <f>IFERROR(__xludf.DUMMYFUNCTION("""COMPUTED_VALUE"""),"3fec37df")</f>
        <v>3fec37df</v>
      </c>
      <c r="T701" s="211" t="str">
        <f>IFERROR(__xludf.DUMMYFUNCTION("""COMPUTED_VALUE"""),"PT Jatim Abadi Perkasa Steel")</f>
        <v>PT Jatim Abadi Perkasa Steel</v>
      </c>
      <c r="U701" s="215">
        <f>IFERROR(__xludf.DUMMYFUNCTION("""COMPUTED_VALUE"""),45772.32638888889)</f>
        <v>45772.32639</v>
      </c>
      <c r="V701" s="211" t="str">
        <f>IFERROR(__xludf.DUMMYFUNCTION("""COMPUTED_VALUE"""),"Dsn. Bulak Sempuh, Jatirejo, Kab. Mojokerto, Jawa Timur")</f>
        <v>Dsn. Bulak Sempuh, Jatirejo, Kab. Mojokerto, Jawa Timur</v>
      </c>
      <c r="W701" s="211" t="str">
        <f>IFERROR(__xludf.DUMMYFUNCTION("""COMPUTED_VALUE"""),"OUT")</f>
        <v>OUT</v>
      </c>
      <c r="X701" s="211"/>
      <c r="Z701" s="211" t="str">
        <f>IFERROR(__xludf.DUMMYFUNCTION("""COMPUTED_VALUE"""),"1025181569")</f>
        <v>1025181569</v>
      </c>
      <c r="AC701" s="211"/>
      <c r="AD701" s="211"/>
      <c r="AE701" s="211"/>
      <c r="AF701" s="211"/>
      <c r="AG701" s="211"/>
      <c r="AH701" s="211"/>
      <c r="AI701" s="211"/>
      <c r="AJ701" s="211"/>
      <c r="AL701" s="211"/>
      <c r="AM701" s="211"/>
      <c r="AN701" s="211"/>
      <c r="AO701" s="211"/>
      <c r="AP701" s="215"/>
      <c r="AQ701" s="218"/>
      <c r="AR701" s="211"/>
      <c r="AS701" s="211"/>
      <c r="AT701" s="211"/>
      <c r="AU701" s="211"/>
      <c r="AV701" s="211"/>
      <c r="AW701" s="211"/>
      <c r="AX701" s="211"/>
      <c r="AY701" s="211"/>
      <c r="AZ701" s="211"/>
      <c r="BB701" s="211"/>
      <c r="BC701" s="211"/>
      <c r="BD701" s="211"/>
      <c r="BE701" s="211"/>
      <c r="BF701" s="211"/>
      <c r="BG701" s="211"/>
      <c r="BH701" s="211"/>
      <c r="BI701" s="211"/>
    </row>
    <row r="702">
      <c r="A702" s="210" t="str">
        <f>IFERROR(__xludf.DUMMYFUNCTION("""COMPUTED_VALUE"""),"8212065b")</f>
        <v>8212065b</v>
      </c>
      <c r="B702" s="210" t="str">
        <f>IFERROR(__xludf.DUMMYFUNCTION("""COMPUTED_VALUE"""),"8212065b")</f>
        <v>8212065b</v>
      </c>
      <c r="C702" s="213">
        <f>IFERROR(__xludf.DUMMYFUNCTION("""COMPUTED_VALUE"""),45714.51527777778)</f>
        <v>45714.51528</v>
      </c>
      <c r="D702" s="211" t="str">
        <f>IFERROR(__xludf.DUMMYFUNCTION("""COMPUTED_VALUE"""),"785e0e07")</f>
        <v>785e0e07</v>
      </c>
      <c r="E702" s="211" t="str">
        <f>IFERROR(__xludf.DUMMYFUNCTION("""COMPUTED_VALUE"""),"Bpk. Sukirno (Bejo)")</f>
        <v>Bpk. Sukirno (Bejo)</v>
      </c>
      <c r="F702" s="211" t="str">
        <f>IFERROR(__xludf.DUMMYFUNCTION("""COMPUTED_VALUE"""),"8bdbe149")</f>
        <v>8bdbe149</v>
      </c>
      <c r="G702" s="211" t="str">
        <f>IFERROR(__xludf.DUMMYFUNCTION("""COMPUTED_VALUE"""),"Oksigen 6m3")</f>
        <v>Oksigen 6m3</v>
      </c>
      <c r="H702" s="214" t="str">
        <f>IFERROR(__xludf.DUMMYFUNCTION("""COMPUTED_VALUE"""),"IN")</f>
        <v>IN</v>
      </c>
      <c r="I702" s="214" t="str">
        <f>IFERROR(__xludf.DUMMYFUNCTION("""COMPUTED_VALUE"""),"EMPTY")</f>
        <v>EMPTY</v>
      </c>
      <c r="J702" s="211">
        <f>IFERROR(__xludf.DUMMYFUNCTION("""COMPUTED_VALUE"""),8.0)</f>
        <v>8</v>
      </c>
      <c r="K702" s="210" t="str">
        <f>IFERROR(__xludf.DUMMYFUNCTION("""COMPUTED_VALUE"""),"11193 1170 11194 11212 11155 11100 11143 1148")</f>
        <v>11193 1170 11194 11212 11155 11100 11143 1148</v>
      </c>
      <c r="L702" s="211"/>
      <c r="M702" s="211"/>
      <c r="N702" s="211"/>
      <c r="O702" s="211"/>
      <c r="Q702" s="210" t="str">
        <f>IFERROR(__xludf.DUMMYFUNCTION("""COMPUTED_VALUE"""),"04250387")</f>
        <v>04250387</v>
      </c>
      <c r="R702" s="210" t="str">
        <f>IFERROR(__xludf.DUMMYFUNCTION("""COMPUTED_VALUE"""),"04250387")</f>
        <v>04250387</v>
      </c>
      <c r="S702" s="211" t="str">
        <f>IFERROR(__xludf.DUMMYFUNCTION("""COMPUTED_VALUE"""),"sugiantoro")</f>
        <v>sugiantoro</v>
      </c>
      <c r="T702" s="211" t="str">
        <f>IFERROR(__xludf.DUMMYFUNCTION("""COMPUTED_VALUE"""),"Bpk. Sugiantoro")</f>
        <v>Bpk. Sugiantoro</v>
      </c>
      <c r="U702" s="215">
        <f>IFERROR(__xludf.DUMMYFUNCTION("""COMPUTED_VALUE"""),45772.35208333333)</f>
        <v>45772.35208</v>
      </c>
      <c r="V702" s="211" t="str">
        <f>IFERROR(__xludf.DUMMYFUNCTION("""COMPUTED_VALUE"""),"#N/A")</f>
        <v>#N/A</v>
      </c>
      <c r="W702" s="211" t="str">
        <f>IFERROR(__xludf.DUMMYFUNCTION("""COMPUTED_VALUE"""),"OUT")</f>
        <v>OUT</v>
      </c>
      <c r="X702" s="211"/>
      <c r="Z702" s="211" t="str">
        <f>IFERROR(__xludf.DUMMYFUNCTION("""COMPUTED_VALUE"""),"1025151568")</f>
        <v>1025151568</v>
      </c>
      <c r="AC702" s="211"/>
      <c r="AD702" s="211"/>
      <c r="AE702" s="211"/>
      <c r="AF702" s="211"/>
      <c r="AG702" s="211"/>
      <c r="AH702" s="211"/>
      <c r="AI702" s="211"/>
      <c r="AJ702" s="211"/>
      <c r="AL702" s="211"/>
      <c r="AM702" s="211"/>
      <c r="AN702" s="211"/>
      <c r="AO702" s="211"/>
      <c r="AP702" s="215"/>
      <c r="AQ702" s="218"/>
      <c r="AR702" s="211"/>
      <c r="AS702" s="211"/>
      <c r="AT702" s="211"/>
      <c r="AU702" s="211"/>
      <c r="AV702" s="211"/>
      <c r="AW702" s="211"/>
      <c r="AX702" s="211"/>
      <c r="AY702" s="211"/>
      <c r="AZ702" s="211"/>
      <c r="BB702" s="211"/>
      <c r="BC702" s="211"/>
      <c r="BD702" s="211"/>
      <c r="BE702" s="211"/>
      <c r="BF702" s="211"/>
      <c r="BG702" s="211"/>
      <c r="BH702" s="211"/>
      <c r="BI702" s="211"/>
    </row>
    <row r="703">
      <c r="A703" s="210" t="str">
        <f>IFERROR(__xludf.DUMMYFUNCTION("""COMPUTED_VALUE"""),"8212065b")</f>
        <v>8212065b</v>
      </c>
      <c r="B703" s="210" t="str">
        <f>IFERROR(__xludf.DUMMYFUNCTION("""COMPUTED_VALUE"""),"8212065b")</f>
        <v>8212065b</v>
      </c>
      <c r="C703" s="213">
        <f>IFERROR(__xludf.DUMMYFUNCTION("""COMPUTED_VALUE"""),45714.51875)</f>
        <v>45714.51875</v>
      </c>
      <c r="D703" s="211" t="str">
        <f>IFERROR(__xludf.DUMMYFUNCTION("""COMPUTED_VALUE"""),"785e0e07")</f>
        <v>785e0e07</v>
      </c>
      <c r="E703" s="211" t="str">
        <f>IFERROR(__xludf.DUMMYFUNCTION("""COMPUTED_VALUE"""),"Bpk. Sukirno (Bejo)")</f>
        <v>Bpk. Sukirno (Bejo)</v>
      </c>
      <c r="F703" s="211" t="str">
        <f>IFERROR(__xludf.DUMMYFUNCTION("""COMPUTED_VALUE"""),"be525f3b")</f>
        <v>be525f3b</v>
      </c>
      <c r="G703" s="211" t="str">
        <f>IFERROR(__xludf.DUMMYFUNCTION("""COMPUTED_VALUE"""),"LPG 12kg")</f>
        <v>LPG 12kg</v>
      </c>
      <c r="H703" s="214" t="str">
        <f>IFERROR(__xludf.DUMMYFUNCTION("""COMPUTED_VALUE"""),"IN")</f>
        <v>IN</v>
      </c>
      <c r="I703" s="214" t="str">
        <f>IFERROR(__xludf.DUMMYFUNCTION("""COMPUTED_VALUE"""),"EMPTY")</f>
        <v>EMPTY</v>
      </c>
      <c r="J703" s="211">
        <f>IFERROR(__xludf.DUMMYFUNCTION("""COMPUTED_VALUE"""),1.0)</f>
        <v>1</v>
      </c>
      <c r="K703" s="211"/>
      <c r="L703" s="211"/>
      <c r="M703" s="211"/>
      <c r="N703" s="211"/>
      <c r="O703" s="211"/>
      <c r="Q703" s="210" t="str">
        <f>IFERROR(__xludf.DUMMYFUNCTION("""COMPUTED_VALUE"""),"04250389")</f>
        <v>04250389</v>
      </c>
      <c r="R703" s="210" t="str">
        <f>IFERROR(__xludf.DUMMYFUNCTION("""COMPUTED_VALUE"""),"04250389")</f>
        <v>04250389</v>
      </c>
      <c r="S703" s="211" t="str">
        <f>IFERROR(__xludf.DUMMYFUNCTION("""COMPUTED_VALUE"""),"785e0e07")</f>
        <v>785e0e07</v>
      </c>
      <c r="T703" s="211" t="str">
        <f>IFERROR(__xludf.DUMMYFUNCTION("""COMPUTED_VALUE"""),"Bpk. Sukirno (Bejo)")</f>
        <v>Bpk. Sukirno (Bejo)</v>
      </c>
      <c r="U703" s="215">
        <f>IFERROR(__xludf.DUMMYFUNCTION("""COMPUTED_VALUE"""),45772.43958333333)</f>
        <v>45772.43958</v>
      </c>
      <c r="V703" s="211" t="str">
        <f>IFERROR(__xludf.DUMMYFUNCTION("""COMPUTED_VALUE"""),"Krajan I, Wringinanom, Kec. Wringinanom, Kabupaten Gresik, Jawa Timur 61176")</f>
        <v>Krajan I, Wringinanom, Kec. Wringinanom, Kabupaten Gresik, Jawa Timur 61176</v>
      </c>
      <c r="W703" s="211" t="str">
        <f>IFERROR(__xludf.DUMMYFUNCTION("""COMPUTED_VALUE"""),"OUT")</f>
        <v>OUT</v>
      </c>
      <c r="X703" s="211"/>
      <c r="Z703" s="211" t="str">
        <f>IFERROR(__xludf.DUMMYFUNCTION("""COMPUTED_VALUE"""),"1025641567")</f>
        <v>1025641567</v>
      </c>
      <c r="AC703" s="211"/>
      <c r="AD703" s="211"/>
      <c r="AE703" s="211"/>
      <c r="AF703" s="211"/>
      <c r="AG703" s="211"/>
      <c r="AH703" s="211"/>
      <c r="AI703" s="211"/>
      <c r="AJ703" s="211"/>
      <c r="AL703" s="211"/>
      <c r="AM703" s="211"/>
      <c r="AN703" s="211"/>
      <c r="AO703" s="211"/>
      <c r="AP703" s="215"/>
      <c r="AQ703" s="218"/>
      <c r="AR703" s="211"/>
      <c r="AS703" s="211"/>
      <c r="AT703" s="211"/>
      <c r="AU703" s="211"/>
      <c r="AV703" s="211"/>
      <c r="AW703" s="211"/>
      <c r="AX703" s="211"/>
      <c r="AY703" s="211"/>
      <c r="AZ703" s="211"/>
      <c r="BB703" s="211"/>
      <c r="BC703" s="211"/>
      <c r="BD703" s="211"/>
      <c r="BE703" s="211"/>
      <c r="BF703" s="211"/>
      <c r="BG703" s="211"/>
      <c r="BH703" s="211"/>
      <c r="BI703" s="211"/>
    </row>
    <row r="704">
      <c r="A704" s="210" t="str">
        <f>IFERROR(__xludf.DUMMYFUNCTION("""COMPUTED_VALUE"""),"94f734d6")</f>
        <v>94f734d6</v>
      </c>
      <c r="B704" s="210" t="str">
        <f>IFERROR(__xludf.DUMMYFUNCTION("""COMPUTED_VALUE"""),"94f734d6")</f>
        <v>94f734d6</v>
      </c>
      <c r="C704" s="213">
        <f>IFERROR(__xludf.DUMMYFUNCTION("""COMPUTED_VALUE"""),45714.67222222222)</f>
        <v>45714.67222</v>
      </c>
      <c r="D704" s="211" t="str">
        <f>IFERROR(__xludf.DUMMYFUNCTION("""COMPUTED_VALUE"""),"5f23ba17")</f>
        <v>5f23ba17</v>
      </c>
      <c r="E704" s="211" t="str">
        <f>IFERROR(__xludf.DUMMYFUNCTION("""COMPUTED_VALUE"""),"Bpk. Joko (Gresik)")</f>
        <v>Bpk. Joko (Gresik)</v>
      </c>
      <c r="F704" s="211" t="str">
        <f>IFERROR(__xludf.DUMMYFUNCTION("""COMPUTED_VALUE"""),"f6aab7a9")</f>
        <v>f6aab7a9</v>
      </c>
      <c r="G704" s="211" t="str">
        <f>IFERROR(__xludf.DUMMYFUNCTION("""COMPUTED_VALUE"""),"Oksigen 6m3 MR")</f>
        <v>Oksigen 6m3 MR</v>
      </c>
      <c r="H704" s="214" t="str">
        <f>IFERROR(__xludf.DUMMYFUNCTION("""COMPUTED_VALUE"""),"IN")</f>
        <v>IN</v>
      </c>
      <c r="I704" s="214" t="str">
        <f>IFERROR(__xludf.DUMMYFUNCTION("""COMPUTED_VALUE"""),"EMPTY")</f>
        <v>EMPTY</v>
      </c>
      <c r="J704" s="211">
        <f>IFERROR(__xludf.DUMMYFUNCTION("""COMPUTED_VALUE"""),10.0)</f>
        <v>10</v>
      </c>
      <c r="K704" s="211"/>
      <c r="L704" s="211"/>
      <c r="M704" s="211"/>
      <c r="N704" s="211"/>
      <c r="O704" s="211"/>
      <c r="Q704" s="210" t="str">
        <f>IFERROR(__xludf.DUMMYFUNCTION("""COMPUTED_VALUE"""),"dec95fa7")</f>
        <v>dec95fa7</v>
      </c>
      <c r="R704" s="210" t="str">
        <f>IFERROR(__xludf.DUMMYFUNCTION("""COMPUTED_VALUE"""),"dec95fa7")</f>
        <v>dec95fa7</v>
      </c>
      <c r="S704" s="211" t="str">
        <f>IFERROR(__xludf.DUMMYFUNCTION("""COMPUTED_VALUE"""),"sugiantoro")</f>
        <v>sugiantoro</v>
      </c>
      <c r="T704" s="211" t="str">
        <f>IFERROR(__xludf.DUMMYFUNCTION("""COMPUTED_VALUE"""),"Bpk. Sugiantoro")</f>
        <v>Bpk. Sugiantoro</v>
      </c>
      <c r="U704" s="215">
        <f>IFERROR(__xludf.DUMMYFUNCTION("""COMPUTED_VALUE"""),45772.455555555556)</f>
        <v>45772.45556</v>
      </c>
      <c r="V704" s="211" t="str">
        <f>IFERROR(__xludf.DUMMYFUNCTION("""COMPUTED_VALUE"""),"#N/A")</f>
        <v>#N/A</v>
      </c>
      <c r="W704" s="211" t="str">
        <f>IFERROR(__xludf.DUMMYFUNCTION("""COMPUTED_VALUE"""),"IN")</f>
        <v>IN</v>
      </c>
      <c r="X704" s="211"/>
      <c r="Z704" s="211" t="str">
        <f>IFERROR(__xludf.DUMMYFUNCTION("""COMPUTED_VALUE"""),"102511566")</f>
        <v>102511566</v>
      </c>
      <c r="AC704" s="211"/>
      <c r="AD704" s="211"/>
      <c r="AE704" s="211"/>
      <c r="AF704" s="211"/>
      <c r="AG704" s="211"/>
      <c r="AH704" s="211"/>
      <c r="AI704" s="211"/>
      <c r="AJ704" s="211"/>
      <c r="AL704" s="211"/>
      <c r="AM704" s="211"/>
      <c r="AN704" s="211"/>
      <c r="AO704" s="211"/>
      <c r="AP704" s="215"/>
      <c r="AQ704" s="218"/>
      <c r="AR704" s="211"/>
      <c r="AS704" s="211"/>
      <c r="AT704" s="211"/>
      <c r="AU704" s="211"/>
      <c r="AV704" s="211"/>
      <c r="AW704" s="211"/>
      <c r="AX704" s="211"/>
      <c r="AY704" s="211"/>
      <c r="AZ704" s="211"/>
      <c r="BB704" s="211"/>
      <c r="BC704" s="211"/>
      <c r="BD704" s="211"/>
      <c r="BE704" s="211"/>
      <c r="BF704" s="211"/>
      <c r="BG704" s="211"/>
      <c r="BH704" s="211"/>
      <c r="BI704" s="211"/>
    </row>
    <row r="705">
      <c r="A705" s="210" t="str">
        <f>IFERROR(__xludf.DUMMYFUNCTION("""COMPUTED_VALUE"""),"81afde86")</f>
        <v>81afde86</v>
      </c>
      <c r="B705" s="210" t="str">
        <f>IFERROR(__xludf.DUMMYFUNCTION("""COMPUTED_VALUE"""),"81afde86")</f>
        <v>81afde86</v>
      </c>
      <c r="C705" s="213">
        <f>IFERROR(__xludf.DUMMYFUNCTION("""COMPUTED_VALUE"""),45714.67291666667)</f>
        <v>45714.67292</v>
      </c>
      <c r="D705" s="211" t="str">
        <f>IFERROR(__xludf.DUMMYFUNCTION("""COMPUTED_VALUE"""),"103f3ae7")</f>
        <v>103f3ae7</v>
      </c>
      <c r="E705" s="211" t="str">
        <f>IFERROR(__xludf.DUMMYFUNCTION("""COMPUTED_VALUE"""),"PT ARYANA CAKASANA")</f>
        <v>PT ARYANA CAKASANA</v>
      </c>
      <c r="F705" s="211" t="str">
        <f>IFERROR(__xludf.DUMMYFUNCTION("""COMPUTED_VALUE"""),"8bdbe149")</f>
        <v>8bdbe149</v>
      </c>
      <c r="G705" s="211" t="str">
        <f>IFERROR(__xludf.DUMMYFUNCTION("""COMPUTED_VALUE"""),"Oksigen 6m3")</f>
        <v>Oksigen 6m3</v>
      </c>
      <c r="H705" s="214" t="str">
        <f>IFERROR(__xludf.DUMMYFUNCTION("""COMPUTED_VALUE"""),"IN")</f>
        <v>IN</v>
      </c>
      <c r="I705" s="214" t="str">
        <f>IFERROR(__xludf.DUMMYFUNCTION("""COMPUTED_VALUE"""),"EMPTY")</f>
        <v>EMPTY</v>
      </c>
      <c r="J705" s="211">
        <f>IFERROR(__xludf.DUMMYFUNCTION("""COMPUTED_VALUE"""),3.0)</f>
        <v>3</v>
      </c>
      <c r="K705" s="210" t="str">
        <f>IFERROR(__xludf.DUMMYFUNCTION("""COMPUTED_VALUE"""),"1149 1159 1119")</f>
        <v>1149 1159 1119</v>
      </c>
      <c r="L705" s="211">
        <f>IFERROR(__xludf.DUMMYFUNCTION("""COMPUTED_VALUE"""),0.0)</f>
        <v>0</v>
      </c>
      <c r="M705" s="211"/>
      <c r="N705" s="211"/>
      <c r="O705" s="211"/>
      <c r="Q705" s="210" t="str">
        <f>IFERROR(__xludf.DUMMYFUNCTION("""COMPUTED_VALUE"""),"3eb9638a")</f>
        <v>3eb9638a</v>
      </c>
      <c r="R705" s="210" t="str">
        <f>IFERROR(__xludf.DUMMYFUNCTION("""COMPUTED_VALUE"""),"3eb9638a")</f>
        <v>3eb9638a</v>
      </c>
      <c r="S705" s="211" t="str">
        <f>IFERROR(__xludf.DUMMYFUNCTION("""COMPUTED_VALUE"""),"3fec37df")</f>
        <v>3fec37df</v>
      </c>
      <c r="T705" s="211" t="str">
        <f>IFERROR(__xludf.DUMMYFUNCTION("""COMPUTED_VALUE"""),"PT Jatim Abadi Perkasa Steel")</f>
        <v>PT Jatim Abadi Perkasa Steel</v>
      </c>
      <c r="U705" s="215">
        <f>IFERROR(__xludf.DUMMYFUNCTION("""COMPUTED_VALUE"""),45772.455555555556)</f>
        <v>45772.45556</v>
      </c>
      <c r="V705" s="211" t="str">
        <f>IFERROR(__xludf.DUMMYFUNCTION("""COMPUTED_VALUE"""),"Dsn. Bulak Sempuh, Jatirejo, Kab. Mojokerto, Jawa Timur")</f>
        <v>Dsn. Bulak Sempuh, Jatirejo, Kab. Mojokerto, Jawa Timur</v>
      </c>
      <c r="W705" s="211" t="str">
        <f>IFERROR(__xludf.DUMMYFUNCTION("""COMPUTED_VALUE"""),"IN")</f>
        <v>IN</v>
      </c>
      <c r="X705" s="211"/>
      <c r="Z705" s="211" t="str">
        <f>IFERROR(__xludf.DUMMYFUNCTION("""COMPUTED_VALUE"""),"1025311561")</f>
        <v>1025311561</v>
      </c>
      <c r="AC705" s="211"/>
      <c r="AD705" s="211"/>
      <c r="AE705" s="211"/>
      <c r="AF705" s="211"/>
      <c r="AG705" s="211"/>
      <c r="AH705" s="211"/>
      <c r="AI705" s="211"/>
      <c r="AJ705" s="211"/>
      <c r="AL705" s="211"/>
      <c r="AM705" s="211"/>
      <c r="AN705" s="211"/>
      <c r="AO705" s="211"/>
      <c r="AP705" s="215"/>
      <c r="AQ705" s="218"/>
      <c r="AR705" s="211"/>
      <c r="AS705" s="211"/>
      <c r="AT705" s="211"/>
      <c r="AU705" s="211"/>
      <c r="AV705" s="211"/>
      <c r="AW705" s="211"/>
      <c r="AX705" s="211"/>
      <c r="AY705" s="211"/>
      <c r="AZ705" s="211"/>
      <c r="BB705" s="211"/>
      <c r="BC705" s="211"/>
      <c r="BD705" s="211"/>
      <c r="BE705" s="211"/>
      <c r="BF705" s="211"/>
      <c r="BG705" s="211"/>
      <c r="BH705" s="211"/>
      <c r="BI705" s="211"/>
    </row>
    <row r="706">
      <c r="A706" s="210" t="str">
        <f>IFERROR(__xludf.DUMMYFUNCTION("""COMPUTED_VALUE"""),"02250281")</f>
        <v>02250281</v>
      </c>
      <c r="B706" s="210" t="str">
        <f>IFERROR(__xludf.DUMMYFUNCTION("""COMPUTED_VALUE"""),"02250281")</f>
        <v>02250281</v>
      </c>
      <c r="C706" s="213">
        <f>IFERROR(__xludf.DUMMYFUNCTION("""COMPUTED_VALUE"""),45715.404861111114)</f>
        <v>45715.40486</v>
      </c>
      <c r="D706" s="211" t="str">
        <f>IFERROR(__xludf.DUMMYFUNCTION("""COMPUTED_VALUE"""),"ed2cc96a")</f>
        <v>ed2cc96a</v>
      </c>
      <c r="E706" s="211" t="str">
        <f>IFERROR(__xludf.DUMMYFUNCTION("""COMPUTED_VALUE"""),"Bengkel Dian Jaya")</f>
        <v>Bengkel Dian Jaya</v>
      </c>
      <c r="F706" s="211" t="str">
        <f>IFERROR(__xludf.DUMMYFUNCTION("""COMPUTED_VALUE"""),"8bdbe149")</f>
        <v>8bdbe149</v>
      </c>
      <c r="G706" s="211" t="str">
        <f>IFERROR(__xludf.DUMMYFUNCTION("""COMPUTED_VALUE"""),"Oksigen 6m3")</f>
        <v>Oksigen 6m3</v>
      </c>
      <c r="H706" s="214" t="str">
        <f>IFERROR(__xludf.DUMMYFUNCTION("""COMPUTED_VALUE"""),"OUT")</f>
        <v>OUT</v>
      </c>
      <c r="I706" s="214" t="str">
        <f>IFERROR(__xludf.DUMMYFUNCTION("""COMPUTED_VALUE"""),"NORMAL")</f>
        <v>NORMAL</v>
      </c>
      <c r="J706" s="211">
        <f>IFERROR(__xludf.DUMMYFUNCTION("""COMPUTED_VALUE"""),6.0)</f>
        <v>6</v>
      </c>
      <c r="K706" s="210" t="str">
        <f>IFERROR(__xludf.DUMMYFUNCTION("""COMPUTED_VALUE"""),"1148 1149 1196 1106 1153 11100")</f>
        <v>1148 1149 1196 1106 1153 11100</v>
      </c>
      <c r="L706" s="211">
        <f>IFERROR(__xludf.DUMMYFUNCTION("""COMPUTED_VALUE"""),50000.0)</f>
        <v>50000</v>
      </c>
      <c r="M706" s="211"/>
      <c r="N706" s="211"/>
      <c r="O706" s="211"/>
      <c r="Q706" s="210" t="str">
        <f>IFERROR(__xludf.DUMMYFUNCTION("""COMPUTED_VALUE"""),"04250390")</f>
        <v>04250390</v>
      </c>
      <c r="R706" s="210" t="str">
        <f>IFERROR(__xludf.DUMMYFUNCTION("""COMPUTED_VALUE"""),"04250390")</f>
        <v>04250390</v>
      </c>
      <c r="S706" s="211" t="str">
        <f>IFERROR(__xludf.DUMMYFUNCTION("""COMPUTED_VALUE"""),"d78b2eaf")</f>
        <v>d78b2eaf</v>
      </c>
      <c r="T706" s="211" t="str">
        <f>IFERROR(__xludf.DUMMYFUNCTION("""COMPUTED_VALUE"""),"PT Sinar Indogreen Kencana")</f>
        <v>PT Sinar Indogreen Kencana</v>
      </c>
      <c r="U706" s="215">
        <f>IFERROR(__xludf.DUMMYFUNCTION("""COMPUTED_VALUE"""),45773.33333333333)</f>
        <v>45773.33333</v>
      </c>
      <c r="V706" s="211" t="str">
        <f>IFERROR(__xludf.DUMMYFUNCTION("""COMPUTED_VALUE"""),"Jl. Raya Ponokawan 8b RT/001 RW/002, Ponokawan, Krian, Sidoarjo")</f>
        <v>Jl. Raya Ponokawan 8b RT/001 RW/002, Ponokawan, Krian, Sidoarjo</v>
      </c>
      <c r="W706" s="211" t="str">
        <f>IFERROR(__xludf.DUMMYFUNCTION("""COMPUTED_VALUE"""),"OUT")</f>
        <v>OUT</v>
      </c>
      <c r="X706" s="211"/>
      <c r="Z706" s="211" t="str">
        <f>IFERROR(__xludf.DUMMYFUNCTION("""COMPUTED_VALUE"""),"1025161562")</f>
        <v>1025161562</v>
      </c>
      <c r="AC706" s="211"/>
      <c r="AD706" s="211"/>
      <c r="AE706" s="211"/>
      <c r="AF706" s="211"/>
      <c r="AG706" s="211"/>
      <c r="AH706" s="211"/>
      <c r="AI706" s="211"/>
      <c r="AJ706" s="211"/>
      <c r="AL706" s="211"/>
      <c r="AM706" s="211"/>
      <c r="AN706" s="211"/>
      <c r="AO706" s="211"/>
      <c r="AP706" s="215"/>
      <c r="AQ706" s="218"/>
      <c r="AR706" s="211"/>
      <c r="AS706" s="211"/>
      <c r="AT706" s="211"/>
      <c r="AU706" s="211"/>
      <c r="AV706" s="211"/>
      <c r="AW706" s="211"/>
      <c r="AX706" s="211"/>
      <c r="AY706" s="211"/>
      <c r="AZ706" s="211"/>
      <c r="BB706" s="211"/>
      <c r="BC706" s="211"/>
      <c r="BD706" s="211"/>
      <c r="BE706" s="211"/>
      <c r="BF706" s="211"/>
      <c r="BG706" s="211"/>
      <c r="BH706" s="211"/>
      <c r="BI706" s="211"/>
    </row>
    <row r="707">
      <c r="A707" s="210" t="str">
        <f>IFERROR(__xludf.DUMMYFUNCTION("""COMPUTED_VALUE"""),"02250282")</f>
        <v>02250282</v>
      </c>
      <c r="B707" s="210" t="str">
        <f>IFERROR(__xludf.DUMMYFUNCTION("""COMPUTED_VALUE"""),"02250282")</f>
        <v>02250282</v>
      </c>
      <c r="C707" s="213">
        <f>IFERROR(__xludf.DUMMYFUNCTION("""COMPUTED_VALUE"""),45715.40625)</f>
        <v>45715.40625</v>
      </c>
      <c r="D707" s="211" t="str">
        <f>IFERROR(__xludf.DUMMYFUNCTION("""COMPUTED_VALUE"""),"01158be1")</f>
        <v>01158be1</v>
      </c>
      <c r="E707" s="211" t="str">
        <f>IFERROR(__xludf.DUMMYFUNCTION("""COMPUTED_VALUE"""),"GYF")</f>
        <v>GYF</v>
      </c>
      <c r="F707" s="211" t="str">
        <f>IFERROR(__xludf.DUMMYFUNCTION("""COMPUTED_VALUE"""),"8bdbe149")</f>
        <v>8bdbe149</v>
      </c>
      <c r="G707" s="211" t="str">
        <f>IFERROR(__xludf.DUMMYFUNCTION("""COMPUTED_VALUE"""),"Oksigen 6m3")</f>
        <v>Oksigen 6m3</v>
      </c>
      <c r="H707" s="214" t="str">
        <f>IFERROR(__xludf.DUMMYFUNCTION("""COMPUTED_VALUE"""),"OUT")</f>
        <v>OUT</v>
      </c>
      <c r="I707" s="214" t="str">
        <f>IFERROR(__xludf.DUMMYFUNCTION("""COMPUTED_VALUE"""),"NORMAL")</f>
        <v>NORMAL</v>
      </c>
      <c r="J707" s="211">
        <f>IFERROR(__xludf.DUMMYFUNCTION("""COMPUTED_VALUE"""),10.0)</f>
        <v>10</v>
      </c>
      <c r="K707" s="210" t="str">
        <f>IFERROR(__xludf.DUMMYFUNCTION("""COMPUTED_VALUE"""),"11210 11208 11143 1159 1119 11193 11212 11155 1170 11194")</f>
        <v>11210 11208 11143 1159 1119 11193 11212 11155 1170 11194</v>
      </c>
      <c r="L707" s="211">
        <f>IFERROR(__xludf.DUMMYFUNCTION("""COMPUTED_VALUE"""),45000.0)</f>
        <v>45000</v>
      </c>
      <c r="M707" s="211"/>
      <c r="N707" s="211"/>
      <c r="O707" s="211"/>
      <c r="Q707" s="210" t="str">
        <f>IFERROR(__xludf.DUMMYFUNCTION("""COMPUTED_VALUE"""),"04250391")</f>
        <v>04250391</v>
      </c>
      <c r="R707" s="210" t="str">
        <f>IFERROR(__xludf.DUMMYFUNCTION("""COMPUTED_VALUE"""),"04250391")</f>
        <v>04250391</v>
      </c>
      <c r="S707" s="211" t="str">
        <f>IFERROR(__xludf.DUMMYFUNCTION("""COMPUTED_VALUE"""),"e86baf3b")</f>
        <v>e86baf3b</v>
      </c>
      <c r="T707" s="211" t="str">
        <f>IFERROR(__xludf.DUMMYFUNCTION("""COMPUTED_VALUE"""),"PT GEMILANG CIPTA WAWASAN")</f>
        <v>PT GEMILANG CIPTA WAWASAN</v>
      </c>
      <c r="U707" s="215">
        <f>IFERROR(__xludf.DUMMYFUNCTION("""COMPUTED_VALUE"""),45773.43888888889)</f>
        <v>45773.43889</v>
      </c>
      <c r="V707" s="211" t="str">
        <f>IFERROR(__xludf.DUMMYFUNCTION("""COMPUTED_VALUE"""),"JL TEBET RAYA, 2A, TEBET BARAT, TEBET, KOTA ADM, JAKARTA SELATAN, DKI JAKARTA")</f>
        <v>JL TEBET RAYA, 2A, TEBET BARAT, TEBET, KOTA ADM, JAKARTA SELATAN, DKI JAKARTA</v>
      </c>
      <c r="W707" s="211" t="str">
        <f>IFERROR(__xludf.DUMMYFUNCTION("""COMPUTED_VALUE"""),"OUT")</f>
        <v>OUT</v>
      </c>
      <c r="X707" s="211"/>
      <c r="Z707" s="211" t="str">
        <f>IFERROR(__xludf.DUMMYFUNCTION("""COMPUTED_VALUE"""),"1025291557")</f>
        <v>1025291557</v>
      </c>
      <c r="AC707" s="211"/>
      <c r="AD707" s="211"/>
      <c r="AE707" s="211"/>
      <c r="AF707" s="211"/>
      <c r="AG707" s="211"/>
      <c r="AH707" s="211"/>
      <c r="AI707" s="211"/>
      <c r="AJ707" s="211"/>
      <c r="AL707" s="211"/>
      <c r="AM707" s="211"/>
      <c r="AN707" s="211"/>
      <c r="AO707" s="211"/>
      <c r="AP707" s="215"/>
      <c r="AQ707" s="218"/>
      <c r="AR707" s="211"/>
      <c r="AS707" s="211"/>
      <c r="AT707" s="211"/>
      <c r="AU707" s="211"/>
      <c r="AV707" s="211"/>
      <c r="AW707" s="211"/>
      <c r="AX707" s="211"/>
      <c r="AY707" s="211"/>
      <c r="AZ707" s="211"/>
      <c r="BB707" s="211"/>
      <c r="BC707" s="211"/>
      <c r="BD707" s="211"/>
      <c r="BE707" s="211"/>
      <c r="BF707" s="211"/>
      <c r="BG707" s="211"/>
      <c r="BH707" s="211"/>
      <c r="BI707" s="211"/>
    </row>
    <row r="708">
      <c r="A708" s="210" t="str">
        <f>IFERROR(__xludf.DUMMYFUNCTION("""COMPUTED_VALUE"""),"6f26605f")</f>
        <v>6f26605f</v>
      </c>
      <c r="B708" s="210" t="str">
        <f>IFERROR(__xludf.DUMMYFUNCTION("""COMPUTED_VALUE"""),"6f26605f")</f>
        <v>6f26605f</v>
      </c>
      <c r="C708" s="213">
        <f>IFERROR(__xludf.DUMMYFUNCTION("""COMPUTED_VALUE"""),45715.48611111111)</f>
        <v>45715.48611</v>
      </c>
      <c r="D708" s="211" t="str">
        <f>IFERROR(__xludf.DUMMYFUNCTION("""COMPUTED_VALUE"""),"e86baf3b")</f>
        <v>e86baf3b</v>
      </c>
      <c r="E708" s="211" t="str">
        <f>IFERROR(__xludf.DUMMYFUNCTION("""COMPUTED_VALUE"""),"PT GEMILANG CIPTA WAWASAN")</f>
        <v>PT GEMILANG CIPTA WAWASAN</v>
      </c>
      <c r="F708" s="211" t="str">
        <f>IFERROR(__xludf.DUMMYFUNCTION("""COMPUTED_VALUE"""),"8bdbe149")</f>
        <v>8bdbe149</v>
      </c>
      <c r="G708" s="211" t="str">
        <f>IFERROR(__xludf.DUMMYFUNCTION("""COMPUTED_VALUE"""),"Oksigen 6m3")</f>
        <v>Oksigen 6m3</v>
      </c>
      <c r="H708" s="214" t="str">
        <f>IFERROR(__xludf.DUMMYFUNCTION("""COMPUTED_VALUE"""),"IN")</f>
        <v>IN</v>
      </c>
      <c r="I708" s="214" t="str">
        <f>IFERROR(__xludf.DUMMYFUNCTION("""COMPUTED_VALUE"""),"EMPTY")</f>
        <v>EMPTY</v>
      </c>
      <c r="J708" s="211">
        <f>IFERROR(__xludf.DUMMYFUNCTION("""COMPUTED_VALUE"""),7.0)</f>
        <v>7</v>
      </c>
      <c r="K708" s="210" t="str">
        <f>IFERROR(__xludf.DUMMYFUNCTION("""COMPUTED_VALUE"""),"1145 1161 11110 1165 1144 11202 11111")</f>
        <v>1145 1161 11110 1165 1144 11202 11111</v>
      </c>
      <c r="L708" s="211">
        <f>IFERROR(__xludf.DUMMYFUNCTION("""COMPUTED_VALUE"""),0.0)</f>
        <v>0</v>
      </c>
      <c r="M708" s="211"/>
      <c r="N708" s="211"/>
      <c r="O708" s="211"/>
      <c r="Q708" s="210" t="str">
        <f>IFERROR(__xludf.DUMMYFUNCTION("""COMPUTED_VALUE"""),"9fd49689")</f>
        <v>9fd49689</v>
      </c>
      <c r="R708" s="210" t="str">
        <f>IFERROR(__xludf.DUMMYFUNCTION("""COMPUTED_VALUE"""),"9fd49689")</f>
        <v>9fd49689</v>
      </c>
      <c r="S708" s="211" t="str">
        <f>IFERROR(__xludf.DUMMYFUNCTION("""COMPUTED_VALUE"""),"d78b2eaf")</f>
        <v>d78b2eaf</v>
      </c>
      <c r="T708" s="211" t="str">
        <f>IFERROR(__xludf.DUMMYFUNCTION("""COMPUTED_VALUE"""),"PT Sinar Indogreen Kencana")</f>
        <v>PT Sinar Indogreen Kencana</v>
      </c>
      <c r="U708" s="215">
        <f>IFERROR(__xludf.DUMMYFUNCTION("""COMPUTED_VALUE"""),45773.444444444445)</f>
        <v>45773.44444</v>
      </c>
      <c r="V708" s="211" t="str">
        <f>IFERROR(__xludf.DUMMYFUNCTION("""COMPUTED_VALUE"""),"Jl. Raya Ponokawan 8b RT/001 RW/002, Ponokawan, Krian, Sidoarjo")</f>
        <v>Jl. Raya Ponokawan 8b RT/001 RW/002, Ponokawan, Krian, Sidoarjo</v>
      </c>
      <c r="W708" s="211" t="str">
        <f>IFERROR(__xludf.DUMMYFUNCTION("""COMPUTED_VALUE"""),"IN")</f>
        <v>IN</v>
      </c>
      <c r="X708" s="211"/>
      <c r="Z708" s="211" t="str">
        <f>IFERROR(__xludf.DUMMYFUNCTION("""COMPUTED_VALUE"""),"1025351551")</f>
        <v>1025351551</v>
      </c>
      <c r="AC708" s="211"/>
      <c r="AD708" s="211"/>
      <c r="AE708" s="211"/>
      <c r="AF708" s="211"/>
      <c r="AG708" s="211"/>
      <c r="AH708" s="211"/>
      <c r="AI708" s="211"/>
      <c r="AJ708" s="211"/>
      <c r="AL708" s="211"/>
      <c r="AM708" s="211"/>
      <c r="AN708" s="211"/>
      <c r="AO708" s="211"/>
      <c r="AP708" s="215"/>
      <c r="AQ708" s="218"/>
      <c r="AR708" s="211"/>
      <c r="AS708" s="211"/>
      <c r="AT708" s="211"/>
      <c r="AU708" s="211"/>
      <c r="AV708" s="211"/>
      <c r="AW708" s="211"/>
      <c r="AX708" s="211"/>
      <c r="AY708" s="211"/>
      <c r="AZ708" s="211"/>
      <c r="BB708" s="211"/>
      <c r="BC708" s="211"/>
      <c r="BD708" s="211"/>
      <c r="BE708" s="211"/>
      <c r="BF708" s="211"/>
      <c r="BG708" s="211"/>
      <c r="BH708" s="211"/>
      <c r="BI708" s="211"/>
    </row>
    <row r="709">
      <c r="A709" s="210" t="str">
        <f>IFERROR(__xludf.DUMMYFUNCTION("""COMPUTED_VALUE"""),"6f26605f")</f>
        <v>6f26605f</v>
      </c>
      <c r="B709" s="210" t="str">
        <f>IFERROR(__xludf.DUMMYFUNCTION("""COMPUTED_VALUE"""),"6f26605f")</f>
        <v>6f26605f</v>
      </c>
      <c r="C709" s="213">
        <f>IFERROR(__xludf.DUMMYFUNCTION("""COMPUTED_VALUE"""),45715.48819444444)</f>
        <v>45715.48819</v>
      </c>
      <c r="D709" s="211" t="str">
        <f>IFERROR(__xludf.DUMMYFUNCTION("""COMPUTED_VALUE"""),"e86baf3b")</f>
        <v>e86baf3b</v>
      </c>
      <c r="E709" s="211" t="str">
        <f>IFERROR(__xludf.DUMMYFUNCTION("""COMPUTED_VALUE"""),"PT GEMILANG CIPTA WAWASAN")</f>
        <v>PT GEMILANG CIPTA WAWASAN</v>
      </c>
      <c r="F709" s="211" t="str">
        <f>IFERROR(__xludf.DUMMYFUNCTION("""COMPUTED_VALUE"""),"66af7c72")</f>
        <v>66af7c72</v>
      </c>
      <c r="G709" s="211" t="str">
        <f>IFERROR(__xludf.DUMMYFUNCTION("""COMPUTED_VALUE"""),"Argon 6m3")</f>
        <v>Argon 6m3</v>
      </c>
      <c r="H709" s="214" t="str">
        <f>IFERROR(__xludf.DUMMYFUNCTION("""COMPUTED_VALUE"""),"IN")</f>
        <v>IN</v>
      </c>
      <c r="I709" s="214" t="str">
        <f>IFERROR(__xludf.DUMMYFUNCTION("""COMPUTED_VALUE"""),"EMPTY")</f>
        <v>EMPTY</v>
      </c>
      <c r="J709" s="211">
        <f>IFERROR(__xludf.DUMMYFUNCTION("""COMPUTED_VALUE"""),10.0)</f>
        <v>10</v>
      </c>
      <c r="K709" s="210" t="str">
        <f>IFERROR(__xludf.DUMMYFUNCTION("""COMPUTED_VALUE"""),"1131 8276 11164 11144 11136 12008 12007 11163 11139 11150")</f>
        <v>1131 8276 11164 11144 11136 12008 12007 11163 11139 11150</v>
      </c>
      <c r="L709" s="211">
        <f>IFERROR(__xludf.DUMMYFUNCTION("""COMPUTED_VALUE"""),0.0)</f>
        <v>0</v>
      </c>
      <c r="M709" s="211"/>
      <c r="N709" s="211"/>
      <c r="O709" s="211"/>
      <c r="Q709" s="210" t="str">
        <f>IFERROR(__xludf.DUMMYFUNCTION("""COMPUTED_VALUE"""),"759b007d")</f>
        <v>759b007d</v>
      </c>
      <c r="R709" s="210" t="str">
        <f>IFERROR(__xludf.DUMMYFUNCTION("""COMPUTED_VALUE"""),"759b007d")</f>
        <v>759b007d</v>
      </c>
      <c r="S709" s="211" t="str">
        <f>IFERROR(__xludf.DUMMYFUNCTION("""COMPUTED_VALUE"""),"e86baf3b")</f>
        <v>e86baf3b</v>
      </c>
      <c r="T709" s="211" t="str">
        <f>IFERROR(__xludf.DUMMYFUNCTION("""COMPUTED_VALUE"""),"PT GEMILANG CIPTA WAWASAN")</f>
        <v>PT GEMILANG CIPTA WAWASAN</v>
      </c>
      <c r="U709" s="215">
        <f>IFERROR(__xludf.DUMMYFUNCTION("""COMPUTED_VALUE"""),45773.51875)</f>
        <v>45773.51875</v>
      </c>
      <c r="V709" s="211" t="str">
        <f>IFERROR(__xludf.DUMMYFUNCTION("""COMPUTED_VALUE"""),"JL TEBET RAYA, 2A, TEBET BARAT, TEBET, KOTA ADM, JAKARTA SELATAN, DKI JAKARTA")</f>
        <v>JL TEBET RAYA, 2A, TEBET BARAT, TEBET, KOTA ADM, JAKARTA SELATAN, DKI JAKARTA</v>
      </c>
      <c r="W709" s="211" t="str">
        <f>IFERROR(__xludf.DUMMYFUNCTION("""COMPUTED_VALUE"""),"IN")</f>
        <v>IN</v>
      </c>
      <c r="X709" s="211"/>
      <c r="Z709" s="211" t="str">
        <f>IFERROR(__xludf.DUMMYFUNCTION("""COMPUTED_VALUE"""),"1025301550")</f>
        <v>1025301550</v>
      </c>
      <c r="AC709" s="211"/>
      <c r="AD709" s="211"/>
      <c r="AE709" s="211"/>
      <c r="AF709" s="211"/>
      <c r="AG709" s="211"/>
      <c r="AH709" s="211"/>
      <c r="AI709" s="211"/>
      <c r="AJ709" s="211"/>
      <c r="AL709" s="211"/>
      <c r="AM709" s="211"/>
      <c r="AN709" s="211"/>
      <c r="AO709" s="211"/>
      <c r="AP709" s="215"/>
      <c r="AQ709" s="218"/>
      <c r="AR709" s="211"/>
      <c r="AS709" s="211"/>
      <c r="AT709" s="211"/>
      <c r="AU709" s="211"/>
      <c r="AV709" s="211"/>
      <c r="AW709" s="211"/>
      <c r="AX709" s="211"/>
      <c r="AY709" s="211"/>
      <c r="AZ709" s="211"/>
      <c r="BB709" s="211"/>
      <c r="BC709" s="211"/>
      <c r="BD709" s="211"/>
      <c r="BE709" s="211"/>
      <c r="BF709" s="211"/>
      <c r="BG709" s="211"/>
      <c r="BH709" s="211"/>
      <c r="BI709" s="211"/>
    </row>
    <row r="710">
      <c r="A710" s="210" t="str">
        <f>IFERROR(__xludf.DUMMYFUNCTION("""COMPUTED_VALUE"""),"6f26605f")</f>
        <v>6f26605f</v>
      </c>
      <c r="B710" s="210" t="str">
        <f>IFERROR(__xludf.DUMMYFUNCTION("""COMPUTED_VALUE"""),"6f26605f")</f>
        <v>6f26605f</v>
      </c>
      <c r="C710" s="213">
        <f>IFERROR(__xludf.DUMMYFUNCTION("""COMPUTED_VALUE"""),45715.490277777775)</f>
        <v>45715.49028</v>
      </c>
      <c r="D710" s="211" t="str">
        <f>IFERROR(__xludf.DUMMYFUNCTION("""COMPUTED_VALUE"""),"e86baf3b")</f>
        <v>e86baf3b</v>
      </c>
      <c r="E710" s="211" t="str">
        <f>IFERROR(__xludf.DUMMYFUNCTION("""COMPUTED_VALUE"""),"PT GEMILANG CIPTA WAWASAN")</f>
        <v>PT GEMILANG CIPTA WAWASAN</v>
      </c>
      <c r="F710" s="211" t="str">
        <f>IFERROR(__xludf.DUMMYFUNCTION("""COMPUTED_VALUE"""),"ef306e54")</f>
        <v>ef306e54</v>
      </c>
      <c r="G710" s="211" t="str">
        <f>IFERROR(__xludf.DUMMYFUNCTION("""COMPUTED_VALUE"""),"Karbondioksida")</f>
        <v>Karbondioksida</v>
      </c>
      <c r="H710" s="214" t="str">
        <f>IFERROR(__xludf.DUMMYFUNCTION("""COMPUTED_VALUE"""),"IN")</f>
        <v>IN</v>
      </c>
      <c r="I710" s="214" t="str">
        <f>IFERROR(__xludf.DUMMYFUNCTION("""COMPUTED_VALUE"""),"EMPTY")</f>
        <v>EMPTY</v>
      </c>
      <c r="J710" s="211">
        <f>IFERROR(__xludf.DUMMYFUNCTION("""COMPUTED_VALUE"""),2.0)</f>
        <v>2</v>
      </c>
      <c r="K710" s="210" t="str">
        <f>IFERROR(__xludf.DUMMYFUNCTION("""COMPUTED_VALUE"""),"6715 6642")</f>
        <v>6715 6642</v>
      </c>
      <c r="L710" s="211">
        <f>IFERROR(__xludf.DUMMYFUNCTION("""COMPUTED_VALUE"""),0.0)</f>
        <v>0</v>
      </c>
      <c r="M710" s="211"/>
      <c r="N710" s="211"/>
      <c r="O710" s="211"/>
      <c r="Q710" s="210" t="str">
        <f>IFERROR(__xludf.DUMMYFUNCTION("""COMPUTED_VALUE"""),"04250393")</f>
        <v>04250393</v>
      </c>
      <c r="R710" s="210" t="str">
        <f>IFERROR(__xludf.DUMMYFUNCTION("""COMPUTED_VALUE"""),"04250393")</f>
        <v>04250393</v>
      </c>
      <c r="S710" s="211" t="str">
        <f>IFERROR(__xludf.DUMMYFUNCTION("""COMPUTED_VALUE"""),"ce83e171")</f>
        <v>ce83e171</v>
      </c>
      <c r="T710" s="211" t="str">
        <f>IFERROR(__xludf.DUMMYFUNCTION("""COMPUTED_VALUE"""),"Bpk. Sulaiman")</f>
        <v>Bpk. Sulaiman</v>
      </c>
      <c r="U710" s="215">
        <f>IFERROR(__xludf.DUMMYFUNCTION("""COMPUTED_VALUE"""),45773.59583333333)</f>
        <v>45773.59583</v>
      </c>
      <c r="V710" s="211" t="str">
        <f>IFERROR(__xludf.DUMMYFUNCTION("""COMPUTED_VALUE"""),"Jl. Raya Kramat Temenggung No.43, Kramat, Kramat Temenggung, Kec. Tarik, Kabupaten Sidoarjo, Jawa Timur 61265")</f>
        <v>Jl. Raya Kramat Temenggung No.43, Kramat, Kramat Temenggung, Kec. Tarik, Kabupaten Sidoarjo, Jawa Timur 61265</v>
      </c>
      <c r="W710" s="211" t="str">
        <f>IFERROR(__xludf.DUMMYFUNCTION("""COMPUTED_VALUE"""),"OUT")</f>
        <v>OUT</v>
      </c>
      <c r="X710" s="211"/>
      <c r="Z710" s="211" t="str">
        <f>IFERROR(__xludf.DUMMYFUNCTION("""COMPUTED_VALUE"""),"1025251549")</f>
        <v>1025251549</v>
      </c>
      <c r="AC710" s="211"/>
      <c r="AD710" s="211"/>
      <c r="AE710" s="211"/>
      <c r="AF710" s="211"/>
      <c r="AG710" s="211"/>
      <c r="AH710" s="211"/>
      <c r="AI710" s="211"/>
      <c r="AJ710" s="211"/>
      <c r="AL710" s="211"/>
      <c r="AM710" s="211"/>
      <c r="AN710" s="211"/>
      <c r="AO710" s="211"/>
      <c r="AP710" s="215"/>
      <c r="AQ710" s="218"/>
      <c r="AR710" s="211"/>
      <c r="AS710" s="211"/>
      <c r="AT710" s="211"/>
      <c r="AU710" s="211"/>
      <c r="AV710" s="211"/>
      <c r="AW710" s="211"/>
      <c r="AX710" s="211"/>
      <c r="AY710" s="211"/>
      <c r="AZ710" s="211"/>
      <c r="BB710" s="211"/>
      <c r="BC710" s="211"/>
      <c r="BD710" s="211"/>
      <c r="BE710" s="211"/>
      <c r="BF710" s="211"/>
      <c r="BG710" s="211"/>
      <c r="BH710" s="211"/>
      <c r="BI710" s="211"/>
    </row>
    <row r="711">
      <c r="A711" s="210" t="str">
        <f>IFERROR(__xludf.DUMMYFUNCTION("""COMPUTED_VALUE"""),"6f26605f")</f>
        <v>6f26605f</v>
      </c>
      <c r="B711" s="210" t="str">
        <f>IFERROR(__xludf.DUMMYFUNCTION("""COMPUTED_VALUE"""),"6f26605f")</f>
        <v>6f26605f</v>
      </c>
      <c r="C711" s="213">
        <f>IFERROR(__xludf.DUMMYFUNCTION("""COMPUTED_VALUE"""),45715.49097222222)</f>
        <v>45715.49097</v>
      </c>
      <c r="D711" s="211" t="str">
        <f>IFERROR(__xludf.DUMMYFUNCTION("""COMPUTED_VALUE"""),"e86baf3b")</f>
        <v>e86baf3b</v>
      </c>
      <c r="E711" s="211" t="str">
        <f>IFERROR(__xludf.DUMMYFUNCTION("""COMPUTED_VALUE"""),"PT GEMILANG CIPTA WAWASAN")</f>
        <v>PT GEMILANG CIPTA WAWASAN</v>
      </c>
      <c r="F711" s="211" t="str">
        <f>IFERROR(__xludf.DUMMYFUNCTION("""COMPUTED_VALUE"""),"be525f3b")</f>
        <v>be525f3b</v>
      </c>
      <c r="G711" s="211" t="str">
        <f>IFERROR(__xludf.DUMMYFUNCTION("""COMPUTED_VALUE"""),"LPG 12kg")</f>
        <v>LPG 12kg</v>
      </c>
      <c r="H711" s="214" t="str">
        <f>IFERROR(__xludf.DUMMYFUNCTION("""COMPUTED_VALUE"""),"IN")</f>
        <v>IN</v>
      </c>
      <c r="I711" s="214" t="str">
        <f>IFERROR(__xludf.DUMMYFUNCTION("""COMPUTED_VALUE"""),"EMPTY")</f>
        <v>EMPTY</v>
      </c>
      <c r="J711" s="211">
        <f>IFERROR(__xludf.DUMMYFUNCTION("""COMPUTED_VALUE"""),1.0)</f>
        <v>1</v>
      </c>
      <c r="K711" s="211"/>
      <c r="L711" s="211">
        <f>IFERROR(__xludf.DUMMYFUNCTION("""COMPUTED_VALUE"""),0.0)</f>
        <v>0</v>
      </c>
      <c r="M711" s="211"/>
      <c r="N711" s="211"/>
      <c r="O711" s="211"/>
      <c r="Q711" s="210" t="str">
        <f>IFERROR(__xludf.DUMMYFUNCTION("""COMPUTED_VALUE"""),"eeeac84b")</f>
        <v>eeeac84b</v>
      </c>
      <c r="R711" s="210" t="str">
        <f>IFERROR(__xludf.DUMMYFUNCTION("""COMPUTED_VALUE"""),"eeeac84b")</f>
        <v>eeeac84b</v>
      </c>
      <c r="S711" s="211" t="str">
        <f>IFERROR(__xludf.DUMMYFUNCTION("""COMPUTED_VALUE"""),"ce83e171")</f>
        <v>ce83e171</v>
      </c>
      <c r="T711" s="211" t="str">
        <f>IFERROR(__xludf.DUMMYFUNCTION("""COMPUTED_VALUE"""),"Bpk. Sulaiman")</f>
        <v>Bpk. Sulaiman</v>
      </c>
      <c r="U711" s="215">
        <f>IFERROR(__xludf.DUMMYFUNCTION("""COMPUTED_VALUE"""),45773.63333333333)</f>
        <v>45773.63333</v>
      </c>
      <c r="V711" s="211" t="str">
        <f>IFERROR(__xludf.DUMMYFUNCTION("""COMPUTED_VALUE"""),"Jl. Raya Kramat Temenggung No.43, Kramat, Kramat Temenggung, Kec. Tarik, Kabupaten Sidoarjo, Jawa Timur 61265")</f>
        <v>Jl. Raya Kramat Temenggung No.43, Kramat, Kramat Temenggung, Kec. Tarik, Kabupaten Sidoarjo, Jawa Timur 61265</v>
      </c>
      <c r="W711" s="211" t="str">
        <f>IFERROR(__xludf.DUMMYFUNCTION("""COMPUTED_VALUE"""),"IN")</f>
        <v>IN</v>
      </c>
      <c r="X711" s="211"/>
      <c r="Z711" s="211" t="str">
        <f>IFERROR(__xludf.DUMMYFUNCTION("""COMPUTED_VALUE"""),"1025161548")</f>
        <v>1025161548</v>
      </c>
      <c r="AC711" s="211"/>
      <c r="AD711" s="211"/>
      <c r="AE711" s="211"/>
      <c r="AF711" s="211"/>
      <c r="AG711" s="211"/>
      <c r="AH711" s="211"/>
      <c r="AI711" s="211"/>
      <c r="AJ711" s="211"/>
      <c r="AL711" s="211"/>
      <c r="AM711" s="211"/>
      <c r="AN711" s="211"/>
      <c r="AO711" s="211"/>
      <c r="AP711" s="215"/>
      <c r="AQ711" s="218"/>
      <c r="AR711" s="211"/>
      <c r="AS711" s="211"/>
      <c r="AT711" s="211"/>
      <c r="AU711" s="211"/>
      <c r="AV711" s="211"/>
      <c r="AW711" s="211"/>
      <c r="AX711" s="211"/>
      <c r="AY711" s="211"/>
      <c r="AZ711" s="211"/>
      <c r="BB711" s="211"/>
      <c r="BC711" s="211"/>
      <c r="BD711" s="211"/>
      <c r="BE711" s="211"/>
      <c r="BF711" s="211"/>
      <c r="BG711" s="211"/>
      <c r="BH711" s="211"/>
      <c r="BI711" s="211"/>
    </row>
    <row r="712">
      <c r="A712" s="210" t="str">
        <f>IFERROR(__xludf.DUMMYFUNCTION("""COMPUTED_VALUE"""),"3c18d86a")</f>
        <v>3c18d86a</v>
      </c>
      <c r="B712" s="210" t="str">
        <f>IFERROR(__xludf.DUMMYFUNCTION("""COMPUTED_VALUE"""),"3c18d86a")</f>
        <v>3c18d86a</v>
      </c>
      <c r="C712" s="213">
        <f>IFERROR(__xludf.DUMMYFUNCTION("""COMPUTED_VALUE"""),45715.65)</f>
        <v>45715.65</v>
      </c>
      <c r="D712" s="211" t="str">
        <f>IFERROR(__xludf.DUMMYFUNCTION("""COMPUTED_VALUE"""),"01158be1")</f>
        <v>01158be1</v>
      </c>
      <c r="E712" s="211" t="str">
        <f>IFERROR(__xludf.DUMMYFUNCTION("""COMPUTED_VALUE"""),"GYF")</f>
        <v>GYF</v>
      </c>
      <c r="F712" s="211" t="str">
        <f>IFERROR(__xludf.DUMMYFUNCTION("""COMPUTED_VALUE"""),"8bdbe149")</f>
        <v>8bdbe149</v>
      </c>
      <c r="G712" s="211" t="str">
        <f>IFERROR(__xludf.DUMMYFUNCTION("""COMPUTED_VALUE"""),"Oksigen 6m3")</f>
        <v>Oksigen 6m3</v>
      </c>
      <c r="H712" s="214" t="str">
        <f>IFERROR(__xludf.DUMMYFUNCTION("""COMPUTED_VALUE"""),"IN")</f>
        <v>IN</v>
      </c>
      <c r="I712" s="214" t="str">
        <f>IFERROR(__xludf.DUMMYFUNCTION("""COMPUTED_VALUE"""),"EMPTY")</f>
        <v>EMPTY</v>
      </c>
      <c r="J712" s="211">
        <f>IFERROR(__xludf.DUMMYFUNCTION("""COMPUTED_VALUE"""),5.0)</f>
        <v>5</v>
      </c>
      <c r="K712" s="210" t="str">
        <f>IFERROR(__xludf.DUMMYFUNCTION("""COMPUTED_VALUE"""),"1195 1175 1128 1186 1111")</f>
        <v>1195 1175 1128 1186 1111</v>
      </c>
      <c r="L712" s="211">
        <f>IFERROR(__xludf.DUMMYFUNCTION("""COMPUTED_VALUE"""),0.0)</f>
        <v>0</v>
      </c>
      <c r="M712" s="211"/>
      <c r="N712" s="211"/>
      <c r="O712" s="211"/>
      <c r="Q712" s="210" t="str">
        <f>IFERROR(__xludf.DUMMYFUNCTION("""COMPUTED_VALUE"""),"04250394")</f>
        <v>04250394</v>
      </c>
      <c r="R712" s="210" t="str">
        <f>IFERROR(__xludf.DUMMYFUNCTION("""COMPUTED_VALUE"""),"04250394")</f>
        <v>04250394</v>
      </c>
      <c r="S712" s="211" t="str">
        <f>IFERROR(__xludf.DUMMYFUNCTION("""COMPUTED_VALUE"""),"f01dab70")</f>
        <v>f01dab70</v>
      </c>
      <c r="T712" s="211" t="str">
        <f>IFERROR(__xludf.DUMMYFUNCTION("""COMPUTED_VALUE"""),"Bpk. Yudi")</f>
        <v>Bpk. Yudi</v>
      </c>
      <c r="U712" s="215">
        <f>IFERROR(__xludf.DUMMYFUNCTION("""COMPUTED_VALUE"""),45774.34930555556)</f>
        <v>45774.34931</v>
      </c>
      <c r="V712" s="211" t="str">
        <f>IFERROR(__xludf.DUMMYFUNCTION("""COMPUTED_VALUE"""),"Bandilan, Simogirang, Kec. Prambon, Kabupaten Sidoarjo, Jawa Timur 61264")</f>
        <v>Bandilan, Simogirang, Kec. Prambon, Kabupaten Sidoarjo, Jawa Timur 61264</v>
      </c>
      <c r="W712" s="211" t="str">
        <f>IFERROR(__xludf.DUMMYFUNCTION("""COMPUTED_VALUE"""),"OUT")</f>
        <v>OUT</v>
      </c>
      <c r="X712" s="211"/>
      <c r="Z712" s="211" t="str">
        <f>IFERROR(__xludf.DUMMYFUNCTION("""COMPUTED_VALUE"""),"1025631547")</f>
        <v>1025631547</v>
      </c>
      <c r="AC712" s="211"/>
      <c r="AD712" s="211"/>
      <c r="AE712" s="211"/>
      <c r="AF712" s="211"/>
      <c r="AG712" s="211"/>
      <c r="AH712" s="211"/>
      <c r="AI712" s="211"/>
      <c r="AJ712" s="211"/>
      <c r="AL712" s="211"/>
      <c r="AM712" s="211"/>
      <c r="AN712" s="211"/>
      <c r="AO712" s="211"/>
      <c r="AP712" s="215"/>
      <c r="AQ712" s="218"/>
      <c r="AR712" s="211"/>
      <c r="AS712" s="211"/>
      <c r="AT712" s="211"/>
      <c r="AU712" s="211"/>
      <c r="AV712" s="211"/>
      <c r="AW712" s="211"/>
      <c r="AX712" s="211"/>
      <c r="AY712" s="211"/>
      <c r="AZ712" s="211"/>
      <c r="BB712" s="211"/>
      <c r="BC712" s="211"/>
      <c r="BD712" s="211"/>
      <c r="BE712" s="211"/>
      <c r="BF712" s="211"/>
      <c r="BG712" s="211"/>
      <c r="BH712" s="211"/>
      <c r="BI712" s="211"/>
    </row>
    <row r="713">
      <c r="A713" s="210" t="str">
        <f>IFERROR(__xludf.DUMMYFUNCTION("""COMPUTED_VALUE"""),"0fc65ecf")</f>
        <v>0fc65ecf</v>
      </c>
      <c r="B713" s="210" t="str">
        <f>IFERROR(__xludf.DUMMYFUNCTION("""COMPUTED_VALUE"""),"0fc65ecf")</f>
        <v>0fc65ecf</v>
      </c>
      <c r="C713" s="213">
        <f>IFERROR(__xludf.DUMMYFUNCTION("""COMPUTED_VALUE"""),45715.65)</f>
        <v>45715.65</v>
      </c>
      <c r="D713" s="211" t="str">
        <f>IFERROR(__xludf.DUMMYFUNCTION("""COMPUTED_VALUE"""),"ed2cc96a")</f>
        <v>ed2cc96a</v>
      </c>
      <c r="E713" s="211" t="str">
        <f>IFERROR(__xludf.DUMMYFUNCTION("""COMPUTED_VALUE"""),"Bengkel Dian Jaya")</f>
        <v>Bengkel Dian Jaya</v>
      </c>
      <c r="F713" s="211" t="str">
        <f>IFERROR(__xludf.DUMMYFUNCTION("""COMPUTED_VALUE"""),"8bdbe149")</f>
        <v>8bdbe149</v>
      </c>
      <c r="G713" s="211" t="str">
        <f>IFERROR(__xludf.DUMMYFUNCTION("""COMPUTED_VALUE"""),"Oksigen 6m3")</f>
        <v>Oksigen 6m3</v>
      </c>
      <c r="H713" s="214" t="str">
        <f>IFERROR(__xludf.DUMMYFUNCTION("""COMPUTED_VALUE"""),"IN")</f>
        <v>IN</v>
      </c>
      <c r="I713" s="214" t="str">
        <f>IFERROR(__xludf.DUMMYFUNCTION("""COMPUTED_VALUE"""),"EMPTY")</f>
        <v>EMPTY</v>
      </c>
      <c r="J713" s="211">
        <f>IFERROR(__xludf.DUMMYFUNCTION("""COMPUTED_VALUE"""),4.0)</f>
        <v>4</v>
      </c>
      <c r="K713" s="210" t="str">
        <f>IFERROR(__xludf.DUMMYFUNCTION("""COMPUTED_VALUE"""),"11115 1142 1103 1181")</f>
        <v>11115 1142 1103 1181</v>
      </c>
      <c r="L713" s="211">
        <f>IFERROR(__xludf.DUMMYFUNCTION("""COMPUTED_VALUE"""),0.0)</f>
        <v>0</v>
      </c>
      <c r="M713" s="211"/>
      <c r="N713" s="211"/>
      <c r="O713" s="211"/>
      <c r="Q713" s="210" t="str">
        <f>IFERROR(__xludf.DUMMYFUNCTION("""COMPUTED_VALUE"""),"34cf8da6")</f>
        <v>34cf8da6</v>
      </c>
      <c r="R713" s="210" t="str">
        <f>IFERROR(__xludf.DUMMYFUNCTION("""COMPUTED_VALUE"""),"34cf8da6")</f>
        <v>34cf8da6</v>
      </c>
      <c r="S713" s="211" t="str">
        <f>IFERROR(__xludf.DUMMYFUNCTION("""COMPUTED_VALUE"""),"f01dab70")</f>
        <v>f01dab70</v>
      </c>
      <c r="T713" s="211" t="str">
        <f>IFERROR(__xludf.DUMMYFUNCTION("""COMPUTED_VALUE"""),"Bpk. Yudi")</f>
        <v>Bpk. Yudi</v>
      </c>
      <c r="U713" s="215">
        <f>IFERROR(__xludf.DUMMYFUNCTION("""COMPUTED_VALUE"""),45775.475)</f>
        <v>45775.475</v>
      </c>
      <c r="V713" s="211" t="str">
        <f>IFERROR(__xludf.DUMMYFUNCTION("""COMPUTED_VALUE"""),"Bandilan, Simogirang, Kec. Prambon, Kabupaten Sidoarjo, Jawa Timur 61264")</f>
        <v>Bandilan, Simogirang, Kec. Prambon, Kabupaten Sidoarjo, Jawa Timur 61264</v>
      </c>
      <c r="W713" s="211" t="str">
        <f>IFERROR(__xludf.DUMMYFUNCTION("""COMPUTED_VALUE"""),"IN")</f>
        <v>IN</v>
      </c>
      <c r="X713" s="211"/>
      <c r="Z713" s="211" t="str">
        <f>IFERROR(__xludf.DUMMYFUNCTION("""COMPUTED_VALUE"""),"102551545")</f>
        <v>102551545</v>
      </c>
      <c r="AC713" s="211"/>
      <c r="AD713" s="211"/>
      <c r="AE713" s="211"/>
      <c r="AF713" s="211"/>
      <c r="AG713" s="211"/>
      <c r="AH713" s="211"/>
      <c r="AI713" s="211"/>
      <c r="AJ713" s="211"/>
      <c r="AL713" s="211"/>
      <c r="AM713" s="211"/>
      <c r="AN713" s="211"/>
      <c r="AO713" s="211"/>
      <c r="AP713" s="215"/>
      <c r="AQ713" s="218"/>
      <c r="AR713" s="211"/>
      <c r="AS713" s="211"/>
      <c r="AT713" s="211"/>
      <c r="AU713" s="211"/>
      <c r="AV713" s="211"/>
      <c r="AW713" s="211"/>
      <c r="AX713" s="211"/>
      <c r="AY713" s="211"/>
      <c r="AZ713" s="211"/>
      <c r="BB713" s="211"/>
      <c r="BC713" s="211"/>
      <c r="BD713" s="211"/>
      <c r="BE713" s="211"/>
      <c r="BF713" s="211"/>
      <c r="BG713" s="211"/>
      <c r="BH713" s="211"/>
      <c r="BI713" s="211"/>
    </row>
    <row r="714">
      <c r="A714" s="210" t="str">
        <f>IFERROR(__xludf.DUMMYFUNCTION("""COMPUTED_VALUE"""),"02250283")</f>
        <v>02250283</v>
      </c>
      <c r="B714" s="210" t="str">
        <f>IFERROR(__xludf.DUMMYFUNCTION("""COMPUTED_VALUE"""),"02250283")</f>
        <v>02250283</v>
      </c>
      <c r="C714" s="213">
        <f>IFERROR(__xludf.DUMMYFUNCTION("""COMPUTED_VALUE"""),45716.3875)</f>
        <v>45716.3875</v>
      </c>
      <c r="D714" s="211" t="str">
        <f>IFERROR(__xludf.DUMMYFUNCTION("""COMPUTED_VALUE"""),"785e0e07")</f>
        <v>785e0e07</v>
      </c>
      <c r="E714" s="211" t="str">
        <f>IFERROR(__xludf.DUMMYFUNCTION("""COMPUTED_VALUE"""),"Bpk. Sukirno (Bejo)")</f>
        <v>Bpk. Sukirno (Bejo)</v>
      </c>
      <c r="F714" s="211" t="str">
        <f>IFERROR(__xludf.DUMMYFUNCTION("""COMPUTED_VALUE"""),"8bdbe149")</f>
        <v>8bdbe149</v>
      </c>
      <c r="G714" s="211" t="str">
        <f>IFERROR(__xludf.DUMMYFUNCTION("""COMPUTED_VALUE"""),"Oksigen 6m3")</f>
        <v>Oksigen 6m3</v>
      </c>
      <c r="H714" s="214" t="str">
        <f>IFERROR(__xludf.DUMMYFUNCTION("""COMPUTED_VALUE"""),"OUT")</f>
        <v>OUT</v>
      </c>
      <c r="I714" s="214" t="str">
        <f>IFERROR(__xludf.DUMMYFUNCTION("""COMPUTED_VALUE"""),"NORMAL")</f>
        <v>NORMAL</v>
      </c>
      <c r="J714" s="211">
        <f>IFERROR(__xludf.DUMMYFUNCTION("""COMPUTED_VALUE"""),15.0)</f>
        <v>15</v>
      </c>
      <c r="K714" s="211"/>
      <c r="L714" s="211">
        <f>IFERROR(__xludf.DUMMYFUNCTION("""COMPUTED_VALUE"""),60000.0)</f>
        <v>60000</v>
      </c>
      <c r="M714" s="211"/>
      <c r="N714" s="211"/>
      <c r="O714" s="211"/>
      <c r="Q714" s="210" t="str">
        <f>IFERROR(__xludf.DUMMYFUNCTION("""COMPUTED_VALUE"""),"04250395")</f>
        <v>04250395</v>
      </c>
      <c r="R714" s="210" t="str">
        <f>IFERROR(__xludf.DUMMYFUNCTION("""COMPUTED_VALUE"""),"04250395")</f>
        <v>04250395</v>
      </c>
      <c r="S714" s="211" t="str">
        <f>IFERROR(__xludf.DUMMYFUNCTION("""COMPUTED_VALUE"""),"4bef3bbf")</f>
        <v>4bef3bbf</v>
      </c>
      <c r="T714" s="211" t="str">
        <f>IFERROR(__xludf.DUMMYFUNCTION("""COMPUTED_VALUE"""),"PT Dingsheng Metal Indonesia (Ngoro)")</f>
        <v>PT Dingsheng Metal Indonesia (Ngoro)</v>
      </c>
      <c r="U714" s="215">
        <f>IFERROR(__xludf.DUMMYFUNCTION("""COMPUTED_VALUE"""),45775.55972222222)</f>
        <v>45775.55972</v>
      </c>
      <c r="V714" s="211" t="str">
        <f>IFERROR(__xludf.DUMMYFUNCTION("""COMPUTED_VALUE"""),"Kri Kilan, Watesnegoro, Kec. Ngoro, Kabupaten Mojokerto, Jawa Timur 61385")</f>
        <v>Kri Kilan, Watesnegoro, Kec. Ngoro, Kabupaten Mojokerto, Jawa Timur 61385</v>
      </c>
      <c r="W714" s="211" t="str">
        <f>IFERROR(__xludf.DUMMYFUNCTION("""COMPUTED_VALUE"""),"OUT")</f>
        <v>OUT</v>
      </c>
      <c r="X714" s="211"/>
      <c r="Z714" s="211" t="str">
        <f>IFERROR(__xludf.DUMMYFUNCTION("""COMPUTED_VALUE"""),"1025171544")</f>
        <v>1025171544</v>
      </c>
      <c r="AC714" s="211"/>
      <c r="AD714" s="211"/>
      <c r="AE714" s="211"/>
      <c r="AF714" s="211"/>
      <c r="AG714" s="211"/>
      <c r="AH714" s="211"/>
      <c r="AI714" s="211"/>
      <c r="AJ714" s="211"/>
      <c r="AL714" s="211"/>
      <c r="AM714" s="211"/>
      <c r="AN714" s="211"/>
      <c r="AO714" s="211"/>
      <c r="AP714" s="215"/>
      <c r="AQ714" s="218"/>
      <c r="AR714" s="211"/>
      <c r="AS714" s="211"/>
      <c r="AT714" s="211"/>
      <c r="AU714" s="211"/>
      <c r="AV714" s="211"/>
      <c r="AW714" s="211"/>
      <c r="AX714" s="211"/>
      <c r="AY714" s="211"/>
      <c r="AZ714" s="211"/>
      <c r="BB714" s="211"/>
      <c r="BC714" s="211"/>
      <c r="BD714" s="211"/>
      <c r="BE714" s="211"/>
      <c r="BF714" s="211"/>
      <c r="BG714" s="211"/>
      <c r="BH714" s="211"/>
      <c r="BI714" s="211"/>
    </row>
    <row r="715">
      <c r="A715" s="210" t="str">
        <f>IFERROR(__xludf.DUMMYFUNCTION("""COMPUTED_VALUE"""),"e3272ccd")</f>
        <v>e3272ccd</v>
      </c>
      <c r="B715" s="210" t="str">
        <f>IFERROR(__xludf.DUMMYFUNCTION("""COMPUTED_VALUE"""),"e3272ccd")</f>
        <v>e3272ccd</v>
      </c>
      <c r="C715" s="213">
        <f>IFERROR(__xludf.DUMMYFUNCTION("""COMPUTED_VALUE"""),45716.49791666667)</f>
        <v>45716.49792</v>
      </c>
      <c r="D715" s="211" t="str">
        <f>IFERROR(__xludf.DUMMYFUNCTION("""COMPUTED_VALUE"""),"785e0e07")</f>
        <v>785e0e07</v>
      </c>
      <c r="E715" s="211" t="str">
        <f>IFERROR(__xludf.DUMMYFUNCTION("""COMPUTED_VALUE"""),"Bpk. Sukirno (Bejo)")</f>
        <v>Bpk. Sukirno (Bejo)</v>
      </c>
      <c r="F715" s="211" t="str">
        <f>IFERROR(__xludf.DUMMYFUNCTION("""COMPUTED_VALUE"""),"8bdbe149")</f>
        <v>8bdbe149</v>
      </c>
      <c r="G715" s="211" t="str">
        <f>IFERROR(__xludf.DUMMYFUNCTION("""COMPUTED_VALUE"""),"Oksigen 6m3")</f>
        <v>Oksigen 6m3</v>
      </c>
      <c r="H715" s="214" t="str">
        <f>IFERROR(__xludf.DUMMYFUNCTION("""COMPUTED_VALUE"""),"IN")</f>
        <v>IN</v>
      </c>
      <c r="I715" s="214" t="str">
        <f>IFERROR(__xludf.DUMMYFUNCTION("""COMPUTED_VALUE"""),"EMPTY")</f>
        <v>EMPTY</v>
      </c>
      <c r="J715" s="211">
        <f>IFERROR(__xludf.DUMMYFUNCTION("""COMPUTED_VALUE"""),14.0)</f>
        <v>14</v>
      </c>
      <c r="K715" s="210" t="str">
        <f>IFERROR(__xludf.DUMMYFUNCTION("""COMPUTED_VALUE"""),"01 11201 11151 11126 11178 11173 11175 1199 1147 11138 11185 11127 11206 12")</f>
        <v>01 11201 11151 11126 11178 11173 11175 1199 1147 11138 11185 11127 11206 12</v>
      </c>
      <c r="L715" s="211">
        <f>IFERROR(__xludf.DUMMYFUNCTION("""COMPUTED_VALUE"""),0.0)</f>
        <v>0</v>
      </c>
      <c r="M715" s="211"/>
      <c r="N715" s="211"/>
      <c r="O715" s="211"/>
      <c r="Q715" s="210" t="str">
        <f>IFERROR(__xludf.DUMMYFUNCTION("""COMPUTED_VALUE"""),"04250396")</f>
        <v>04250396</v>
      </c>
      <c r="R715" s="210" t="str">
        <f>IFERROR(__xludf.DUMMYFUNCTION("""COMPUTED_VALUE"""),"04250396")</f>
        <v>04250396</v>
      </c>
      <c r="S715" s="211" t="str">
        <f>IFERROR(__xludf.DUMMYFUNCTION("""COMPUTED_VALUE"""),"e86baf3b")</f>
        <v>e86baf3b</v>
      </c>
      <c r="T715" s="211" t="str">
        <f>IFERROR(__xludf.DUMMYFUNCTION("""COMPUTED_VALUE"""),"PT GEMILANG CIPTA WAWASAN")</f>
        <v>PT GEMILANG CIPTA WAWASAN</v>
      </c>
      <c r="U715" s="215">
        <f>IFERROR(__xludf.DUMMYFUNCTION("""COMPUTED_VALUE"""),45776.35902777778)</f>
        <v>45776.35903</v>
      </c>
      <c r="V715" s="211" t="str">
        <f>IFERROR(__xludf.DUMMYFUNCTION("""COMPUTED_VALUE"""),"JL TEBET RAYA, 2A, TEBET BARAT, TEBET, KOTA ADM, JAKARTA SELATAN, DKI JAKARTA")</f>
        <v>JL TEBET RAYA, 2A, TEBET BARAT, TEBET, KOTA ADM, JAKARTA SELATAN, DKI JAKARTA</v>
      </c>
      <c r="W715" s="211" t="str">
        <f>IFERROR(__xludf.DUMMYFUNCTION("""COMPUTED_VALUE"""),"OUT")</f>
        <v>OUT</v>
      </c>
      <c r="X715" s="211"/>
      <c r="Z715" s="211" t="str">
        <f>IFERROR(__xludf.DUMMYFUNCTION("""COMPUTED_VALUE"""),"1025181539")</f>
        <v>1025181539</v>
      </c>
      <c r="AC715" s="211"/>
      <c r="AD715" s="211"/>
      <c r="AE715" s="211"/>
      <c r="AF715" s="211"/>
      <c r="AG715" s="211"/>
      <c r="AH715" s="211"/>
      <c r="AI715" s="211"/>
      <c r="AJ715" s="211"/>
      <c r="AL715" s="211"/>
      <c r="AM715" s="211"/>
      <c r="AN715" s="211"/>
      <c r="AO715" s="211"/>
      <c r="AP715" s="215"/>
      <c r="AQ715" s="218"/>
      <c r="AR715" s="211"/>
      <c r="AS715" s="211"/>
      <c r="AT715" s="211"/>
      <c r="AU715" s="211"/>
      <c r="AV715" s="211"/>
      <c r="AW715" s="211"/>
      <c r="AX715" s="211"/>
      <c r="AY715" s="211"/>
      <c r="AZ715" s="211"/>
      <c r="BB715" s="211"/>
      <c r="BC715" s="211"/>
      <c r="BD715" s="211"/>
      <c r="BE715" s="211"/>
      <c r="BF715" s="211"/>
      <c r="BG715" s="211"/>
      <c r="BH715" s="211"/>
      <c r="BI715" s="211"/>
    </row>
    <row r="716">
      <c r="A716" s="210" t="str">
        <f>IFERROR(__xludf.DUMMYFUNCTION("""COMPUTED_VALUE"""),"f3aa7e70")</f>
        <v>f3aa7e70</v>
      </c>
      <c r="B716" s="210" t="str">
        <f>IFERROR(__xludf.DUMMYFUNCTION("""COMPUTED_VALUE"""),"f3aa7e70")</f>
        <v>f3aa7e70</v>
      </c>
      <c r="C716" s="213">
        <f>IFERROR(__xludf.DUMMYFUNCTION("""COMPUTED_VALUE"""),45716.688888888886)</f>
        <v>45716.68889</v>
      </c>
      <c r="D716" s="211" t="str">
        <f>IFERROR(__xludf.DUMMYFUNCTION("""COMPUTED_VALUE"""),"4bef3bbf")</f>
        <v>4bef3bbf</v>
      </c>
      <c r="E716" s="211" t="str">
        <f>IFERROR(__xludf.DUMMYFUNCTION("""COMPUTED_VALUE"""),"PT Dingsheng Metal Indonesia (Ngoro)")</f>
        <v>PT Dingsheng Metal Indonesia (Ngoro)</v>
      </c>
      <c r="F716" s="211" t="str">
        <f>IFERROR(__xludf.DUMMYFUNCTION("""COMPUTED_VALUE"""),"8bdbe149")</f>
        <v>8bdbe149</v>
      </c>
      <c r="G716" s="211" t="str">
        <f>IFERROR(__xludf.DUMMYFUNCTION("""COMPUTED_VALUE"""),"Oksigen 6m3")</f>
        <v>Oksigen 6m3</v>
      </c>
      <c r="H716" s="214" t="str">
        <f>IFERROR(__xludf.DUMMYFUNCTION("""COMPUTED_VALUE"""),"IN")</f>
        <v>IN</v>
      </c>
      <c r="I716" s="214" t="str">
        <f>IFERROR(__xludf.DUMMYFUNCTION("""COMPUTED_VALUE"""),"EMPTY")</f>
        <v>EMPTY</v>
      </c>
      <c r="J716" s="211">
        <f>IFERROR(__xludf.DUMMYFUNCTION("""COMPUTED_VALUE"""),7.0)</f>
        <v>7</v>
      </c>
      <c r="K716" s="210" t="str">
        <f>IFERROR(__xludf.DUMMYFUNCTION("""COMPUTED_VALUE"""),"11102 11165 1167 5613 5548 5023 1158")</f>
        <v>11102 11165 1167 5613 5548 5023 1158</v>
      </c>
      <c r="L716" s="211">
        <f>IFERROR(__xludf.DUMMYFUNCTION("""COMPUTED_VALUE"""),0.0)</f>
        <v>0</v>
      </c>
      <c r="M716" s="211"/>
      <c r="N716" s="211"/>
      <c r="O716" s="211"/>
      <c r="Q716" s="210" t="str">
        <f>IFERROR(__xludf.DUMMYFUNCTION("""COMPUTED_VALUE"""),"7dc880f2")</f>
        <v>7dc880f2</v>
      </c>
      <c r="R716" s="210" t="str">
        <f>IFERROR(__xludf.DUMMYFUNCTION("""COMPUTED_VALUE"""),"7dc880f2")</f>
        <v>7dc880f2</v>
      </c>
      <c r="S716" s="211" t="str">
        <f>IFERROR(__xludf.DUMMYFUNCTION("""COMPUTED_VALUE"""),"4bef3bbf")</f>
        <v>4bef3bbf</v>
      </c>
      <c r="T716" s="211" t="str">
        <f>IFERROR(__xludf.DUMMYFUNCTION("""COMPUTED_VALUE"""),"PT Dingsheng Metal Indonesia (Ngoro)")</f>
        <v>PT Dingsheng Metal Indonesia (Ngoro)</v>
      </c>
      <c r="U716" s="215">
        <f>IFERROR(__xludf.DUMMYFUNCTION("""COMPUTED_VALUE"""),45775.73055555555)</f>
        <v>45775.73056</v>
      </c>
      <c r="V716" s="211" t="str">
        <f>IFERROR(__xludf.DUMMYFUNCTION("""COMPUTED_VALUE"""),"Kri Kilan, Watesnegoro, Kec. Ngoro, Kabupaten Mojokerto, Jawa Timur 61385")</f>
        <v>Kri Kilan, Watesnegoro, Kec. Ngoro, Kabupaten Mojokerto, Jawa Timur 61385</v>
      </c>
      <c r="W716" s="211" t="str">
        <f>IFERROR(__xludf.DUMMYFUNCTION("""COMPUTED_VALUE"""),"IN")</f>
        <v>IN</v>
      </c>
      <c r="X716" s="211"/>
      <c r="Z716" s="211" t="str">
        <f>IFERROR(__xludf.DUMMYFUNCTION("""COMPUTED_VALUE"""),"1025281533")</f>
        <v>1025281533</v>
      </c>
      <c r="AC716" s="211"/>
      <c r="AD716" s="211"/>
      <c r="AE716" s="211"/>
      <c r="AF716" s="211"/>
      <c r="AG716" s="211"/>
      <c r="AH716" s="211"/>
      <c r="AI716" s="211"/>
      <c r="AJ716" s="211"/>
      <c r="AL716" s="211"/>
      <c r="AM716" s="211"/>
      <c r="AN716" s="211"/>
      <c r="AO716" s="211"/>
      <c r="AP716" s="215"/>
      <c r="AQ716" s="218"/>
      <c r="AR716" s="211"/>
      <c r="AS716" s="211"/>
      <c r="AT716" s="211"/>
      <c r="AU716" s="211"/>
      <c r="AV716" s="211"/>
      <c r="AW716" s="211"/>
      <c r="AX716" s="211"/>
      <c r="AY716" s="211"/>
      <c r="AZ716" s="211"/>
      <c r="BB716" s="211"/>
      <c r="BC716" s="211"/>
      <c r="BD716" s="211"/>
      <c r="BE716" s="211"/>
      <c r="BF716" s="211"/>
      <c r="BG716" s="211"/>
      <c r="BH716" s="211"/>
      <c r="BI716" s="211"/>
    </row>
    <row r="717">
      <c r="A717" s="210" t="str">
        <f>IFERROR(__xludf.DUMMYFUNCTION("""COMPUTED_VALUE"""),"03250284")</f>
        <v>03250284</v>
      </c>
      <c r="B717" s="210" t="str">
        <f>IFERROR(__xludf.DUMMYFUNCTION("""COMPUTED_VALUE"""),"03250284")</f>
        <v>03250284</v>
      </c>
      <c r="C717" s="213">
        <f>IFERROR(__xludf.DUMMYFUNCTION("""COMPUTED_VALUE"""),45717.38958333333)</f>
        <v>45717.38958</v>
      </c>
      <c r="D717" s="211" t="str">
        <f>IFERROR(__xludf.DUMMYFUNCTION("""COMPUTED_VALUE"""),"785e0e07")</f>
        <v>785e0e07</v>
      </c>
      <c r="E717" s="211" t="str">
        <f>IFERROR(__xludf.DUMMYFUNCTION("""COMPUTED_VALUE"""),"Bpk. Sukirno (Bejo)")</f>
        <v>Bpk. Sukirno (Bejo)</v>
      </c>
      <c r="F717" s="211" t="str">
        <f>IFERROR(__xludf.DUMMYFUNCTION("""COMPUTED_VALUE"""),"be525f3b")</f>
        <v>be525f3b</v>
      </c>
      <c r="G717" s="211" t="str">
        <f>IFERROR(__xludf.DUMMYFUNCTION("""COMPUTED_VALUE"""),"LPG 12kg")</f>
        <v>LPG 12kg</v>
      </c>
      <c r="H717" s="214" t="str">
        <f>IFERROR(__xludf.DUMMYFUNCTION("""COMPUTED_VALUE"""),"OUT")</f>
        <v>OUT</v>
      </c>
      <c r="I717" s="214" t="str">
        <f>IFERROR(__xludf.DUMMYFUNCTION("""COMPUTED_VALUE"""),"NORMAL")</f>
        <v>NORMAL</v>
      </c>
      <c r="J717" s="211">
        <f>IFERROR(__xludf.DUMMYFUNCTION("""COMPUTED_VALUE"""),2.0)</f>
        <v>2</v>
      </c>
      <c r="K717" s="211"/>
      <c r="L717" s="211">
        <f>IFERROR(__xludf.DUMMYFUNCTION("""COMPUTED_VALUE"""),210000.0)</f>
        <v>210000</v>
      </c>
      <c r="M717" s="211"/>
      <c r="N717" s="211"/>
      <c r="O717" s="211"/>
      <c r="Q717" s="210" t="str">
        <f>IFERROR(__xludf.DUMMYFUNCTION("""COMPUTED_VALUE"""),"05250397")</f>
        <v>05250397</v>
      </c>
      <c r="R717" s="210" t="str">
        <f>IFERROR(__xludf.DUMMYFUNCTION("""COMPUTED_VALUE"""),"05250397")</f>
        <v>05250397</v>
      </c>
      <c r="S717" s="211" t="str">
        <f>IFERROR(__xludf.DUMMYFUNCTION("""COMPUTED_VALUE"""),"01158be1")</f>
        <v>01158be1</v>
      </c>
      <c r="T717" s="211" t="str">
        <f>IFERROR(__xludf.DUMMYFUNCTION("""COMPUTED_VALUE"""),"GYF")</f>
        <v>GYF</v>
      </c>
      <c r="U717" s="215">
        <f>IFERROR(__xludf.DUMMYFUNCTION("""COMPUTED_VALUE"""),45779.40694444445)</f>
        <v>45779.40694</v>
      </c>
      <c r="V717" s="211" t="str">
        <f>IFERROR(__xludf.DUMMYFUNCTION("""COMPUTED_VALUE"""),"Kangkungan, Lengkong, Kec. Mojoanyar, Kabupaten Mojokerto, Jawa Timur")</f>
        <v>Kangkungan, Lengkong, Kec. Mojoanyar, Kabupaten Mojokerto, Jawa Timur</v>
      </c>
      <c r="W717" s="211" t="str">
        <f>IFERROR(__xludf.DUMMYFUNCTION("""COMPUTED_VALUE"""),"OUT")</f>
        <v>OUT</v>
      </c>
      <c r="X717" s="211"/>
      <c r="Z717" s="211" t="str">
        <f>IFERROR(__xludf.DUMMYFUNCTION("""COMPUTED_VALUE"""),"102521532")</f>
        <v>102521532</v>
      </c>
      <c r="AC717" s="211"/>
      <c r="AD717" s="211"/>
      <c r="AE717" s="211"/>
      <c r="AF717" s="211"/>
      <c r="AG717" s="211"/>
      <c r="AH717" s="211"/>
      <c r="AI717" s="211"/>
      <c r="AJ717" s="211"/>
      <c r="AL717" s="211"/>
      <c r="AM717" s="211"/>
      <c r="AN717" s="211"/>
      <c r="AO717" s="211"/>
      <c r="AP717" s="215"/>
      <c r="AQ717" s="218"/>
      <c r="AR717" s="211"/>
      <c r="AS717" s="211"/>
      <c r="AT717" s="211"/>
      <c r="AU717" s="211"/>
      <c r="AV717" s="211"/>
      <c r="AW717" s="211"/>
      <c r="AX717" s="211"/>
      <c r="AY717" s="211"/>
      <c r="AZ717" s="211"/>
      <c r="BB717" s="211"/>
      <c r="BC717" s="211"/>
      <c r="BD717" s="211"/>
      <c r="BE717" s="211"/>
      <c r="BF717" s="211"/>
      <c r="BG717" s="211"/>
      <c r="BH717" s="211"/>
      <c r="BI717" s="211"/>
    </row>
    <row r="718">
      <c r="A718" s="210" t="str">
        <f>IFERROR(__xludf.DUMMYFUNCTION("""COMPUTED_VALUE"""),"03250285")</f>
        <v>03250285</v>
      </c>
      <c r="B718" s="210" t="str">
        <f>IFERROR(__xludf.DUMMYFUNCTION("""COMPUTED_VALUE"""),"03250285")</f>
        <v>03250285</v>
      </c>
      <c r="C718" s="213">
        <f>IFERROR(__xludf.DUMMYFUNCTION("""COMPUTED_VALUE"""),45717.40138888889)</f>
        <v>45717.40139</v>
      </c>
      <c r="D718" s="211" t="str">
        <f>IFERROR(__xludf.DUMMYFUNCTION("""COMPUTED_VALUE"""),"e86baf3b")</f>
        <v>e86baf3b</v>
      </c>
      <c r="E718" s="211" t="str">
        <f>IFERROR(__xludf.DUMMYFUNCTION("""COMPUTED_VALUE"""),"PT GEMILANG CIPTA WAWASAN")</f>
        <v>PT GEMILANG CIPTA WAWASAN</v>
      </c>
      <c r="F718" s="211" t="str">
        <f>IFERROR(__xludf.DUMMYFUNCTION("""COMPUTED_VALUE"""),"8bdbe149")</f>
        <v>8bdbe149</v>
      </c>
      <c r="G718" s="211" t="str">
        <f>IFERROR(__xludf.DUMMYFUNCTION("""COMPUTED_VALUE"""),"Oksigen 6m3")</f>
        <v>Oksigen 6m3</v>
      </c>
      <c r="H718" s="214" t="str">
        <f>IFERROR(__xludf.DUMMYFUNCTION("""COMPUTED_VALUE"""),"OUT")</f>
        <v>OUT</v>
      </c>
      <c r="I718" s="214" t="str">
        <f>IFERROR(__xludf.DUMMYFUNCTION("""COMPUTED_VALUE"""),"NORMAL")</f>
        <v>NORMAL</v>
      </c>
      <c r="J718" s="211">
        <f>IFERROR(__xludf.DUMMYFUNCTION("""COMPUTED_VALUE"""),10.0)</f>
        <v>10</v>
      </c>
      <c r="K718" s="210" t="str">
        <f>IFERROR(__xludf.DUMMYFUNCTION("""COMPUTED_VALUE"""),"11175 11109 11201 11178 1147 11185 11206 11127 11126 1199")</f>
        <v>11175 11109 11201 11178 1147 11185 11206 11127 11126 1199</v>
      </c>
      <c r="L718" s="211">
        <f>IFERROR(__xludf.DUMMYFUNCTION("""COMPUTED_VALUE"""),60000.0)</f>
        <v>60000</v>
      </c>
      <c r="M718" s="211"/>
      <c r="N718" s="211"/>
      <c r="O718" s="211"/>
      <c r="Q718" s="210" t="str">
        <f>IFERROR(__xludf.DUMMYFUNCTION("""COMPUTED_VALUE"""),"df7e79dd")</f>
        <v>df7e79dd</v>
      </c>
      <c r="R718" s="210" t="str">
        <f>IFERROR(__xludf.DUMMYFUNCTION("""COMPUTED_VALUE"""),"df7e79dd")</f>
        <v>df7e79dd</v>
      </c>
      <c r="S718" s="211" t="str">
        <f>IFERROR(__xludf.DUMMYFUNCTION("""COMPUTED_VALUE"""),"e86baf3b")</f>
        <v>e86baf3b</v>
      </c>
      <c r="T718" s="211" t="str">
        <f>IFERROR(__xludf.DUMMYFUNCTION("""COMPUTED_VALUE"""),"PT GEMILANG CIPTA WAWASAN")</f>
        <v>PT GEMILANG CIPTA WAWASAN</v>
      </c>
      <c r="U718" s="215">
        <f>IFERROR(__xludf.DUMMYFUNCTION("""COMPUTED_VALUE"""),45776.45833333333)</f>
        <v>45776.45833</v>
      </c>
      <c r="V718" s="211" t="str">
        <f>IFERROR(__xludf.DUMMYFUNCTION("""COMPUTED_VALUE"""),"JL TEBET RAYA, 2A, TEBET BARAT, TEBET, KOTA ADM, JAKARTA SELATAN, DKI JAKARTA")</f>
        <v>JL TEBET RAYA, 2A, TEBET BARAT, TEBET, KOTA ADM, JAKARTA SELATAN, DKI JAKARTA</v>
      </c>
      <c r="W718" s="211" t="str">
        <f>IFERROR(__xludf.DUMMYFUNCTION("""COMPUTED_VALUE"""),"IN")</f>
        <v>IN</v>
      </c>
      <c r="X718" s="211"/>
      <c r="Z718" s="211" t="str">
        <f>IFERROR(__xludf.DUMMYFUNCTION("""COMPUTED_VALUE"""),"1025621529")</f>
        <v>1025621529</v>
      </c>
      <c r="AC718" s="211"/>
      <c r="AD718" s="211"/>
      <c r="AE718" s="211"/>
      <c r="AF718" s="211"/>
      <c r="AG718" s="211"/>
      <c r="AH718" s="211"/>
      <c r="AI718" s="211"/>
      <c r="AJ718" s="211"/>
      <c r="AL718" s="211"/>
      <c r="AM718" s="211"/>
      <c r="AN718" s="211"/>
      <c r="AO718" s="211"/>
      <c r="AP718" s="215"/>
      <c r="AQ718" s="218"/>
      <c r="AR718" s="211"/>
      <c r="AS718" s="211"/>
      <c r="AT718" s="211"/>
      <c r="AU718" s="211"/>
      <c r="AV718" s="211"/>
      <c r="AW718" s="211"/>
      <c r="AX718" s="211"/>
      <c r="AY718" s="211"/>
      <c r="AZ718" s="211"/>
      <c r="BB718" s="211"/>
      <c r="BC718" s="211"/>
      <c r="BD718" s="211"/>
      <c r="BE718" s="211"/>
      <c r="BF718" s="211"/>
      <c r="BG718" s="211"/>
      <c r="BH718" s="211"/>
      <c r="BI718" s="211"/>
    </row>
    <row r="719">
      <c r="A719" s="210" t="str">
        <f>IFERROR(__xludf.DUMMYFUNCTION("""COMPUTED_VALUE"""),"03250285")</f>
        <v>03250285</v>
      </c>
      <c r="B719" s="210" t="str">
        <f>IFERROR(__xludf.DUMMYFUNCTION("""COMPUTED_VALUE"""),"03250285")</f>
        <v>03250285</v>
      </c>
      <c r="C719" s="213">
        <f>IFERROR(__xludf.DUMMYFUNCTION("""COMPUTED_VALUE"""),45717.40138888889)</f>
        <v>45717.40139</v>
      </c>
      <c r="D719" s="211" t="str">
        <f>IFERROR(__xludf.DUMMYFUNCTION("""COMPUTED_VALUE"""),"e86baf3b")</f>
        <v>e86baf3b</v>
      </c>
      <c r="E719" s="211" t="str">
        <f>IFERROR(__xludf.DUMMYFUNCTION("""COMPUTED_VALUE"""),"PT GEMILANG CIPTA WAWASAN")</f>
        <v>PT GEMILANG CIPTA WAWASAN</v>
      </c>
      <c r="F719" s="211" t="str">
        <f>IFERROR(__xludf.DUMMYFUNCTION("""COMPUTED_VALUE"""),"be525f3b")</f>
        <v>be525f3b</v>
      </c>
      <c r="G719" s="211" t="str">
        <f>IFERROR(__xludf.DUMMYFUNCTION("""COMPUTED_VALUE"""),"LPG 12kg")</f>
        <v>LPG 12kg</v>
      </c>
      <c r="H719" s="214" t="str">
        <f>IFERROR(__xludf.DUMMYFUNCTION("""COMPUTED_VALUE"""),"OUT")</f>
        <v>OUT</v>
      </c>
      <c r="I719" s="214" t="str">
        <f>IFERROR(__xludf.DUMMYFUNCTION("""COMPUTED_VALUE"""),"NORMAL")</f>
        <v>NORMAL</v>
      </c>
      <c r="J719" s="211">
        <f>IFERROR(__xludf.DUMMYFUNCTION("""COMPUTED_VALUE"""),5.0)</f>
        <v>5</v>
      </c>
      <c r="K719" s="211"/>
      <c r="L719" s="211">
        <f>IFERROR(__xludf.DUMMYFUNCTION("""COMPUTED_VALUE"""),210000.0)</f>
        <v>210000</v>
      </c>
      <c r="M719" s="211"/>
      <c r="N719" s="211"/>
      <c r="O719" s="211"/>
      <c r="Q719" s="210" t="str">
        <f>IFERROR(__xludf.DUMMYFUNCTION("""COMPUTED_VALUE"""),"0362ba09")</f>
        <v>0362ba09</v>
      </c>
      <c r="R719" s="210" t="str">
        <f>IFERROR(__xludf.DUMMYFUNCTION("""COMPUTED_VALUE"""),"0362ba09")</f>
        <v>0362ba09</v>
      </c>
      <c r="S719" s="211" t="str">
        <f>IFERROR(__xludf.DUMMYFUNCTION("""COMPUTED_VALUE"""),"103f3ae7")</f>
        <v>103f3ae7</v>
      </c>
      <c r="T719" s="211" t="str">
        <f>IFERROR(__xludf.DUMMYFUNCTION("""COMPUTED_VALUE"""),"PT ARYANA CAKASANA")</f>
        <v>PT ARYANA CAKASANA</v>
      </c>
      <c r="U719" s="215">
        <f>IFERROR(__xludf.DUMMYFUNCTION("""COMPUTED_VALUE"""),45776.45972222222)</f>
        <v>45776.45972</v>
      </c>
      <c r="V719" s="211" t="str">
        <f>IFERROR(__xludf.DUMMYFUNCTION("""COMPUTED_VALUE"""),"Jl Raya Tarik No. 45, Wonokupang, Bakalan, Balongbendo")</f>
        <v>Jl Raya Tarik No. 45, Wonokupang, Bakalan, Balongbendo</v>
      </c>
      <c r="W719" s="211" t="str">
        <f>IFERROR(__xludf.DUMMYFUNCTION("""COMPUTED_VALUE"""),"IN")</f>
        <v>IN</v>
      </c>
      <c r="X719" s="211"/>
      <c r="Z719" s="211" t="str">
        <f>IFERROR(__xludf.DUMMYFUNCTION("""COMPUTED_VALUE"""),"102521530")</f>
        <v>102521530</v>
      </c>
      <c r="AC719" s="211"/>
      <c r="AD719" s="211"/>
      <c r="AE719" s="211"/>
      <c r="AF719" s="211"/>
      <c r="AG719" s="211"/>
      <c r="AH719" s="211"/>
      <c r="AI719" s="211"/>
      <c r="AJ719" s="211"/>
      <c r="AL719" s="211"/>
      <c r="AM719" s="211"/>
      <c r="AN719" s="211"/>
      <c r="AO719" s="211"/>
      <c r="AP719" s="215"/>
      <c r="AQ719" s="218"/>
      <c r="AR719" s="211"/>
      <c r="AS719" s="211"/>
      <c r="AT719" s="211"/>
      <c r="AU719" s="211"/>
      <c r="AV719" s="211"/>
      <c r="AW719" s="211"/>
      <c r="AX719" s="211"/>
      <c r="AY719" s="211"/>
      <c r="AZ719" s="211"/>
      <c r="BB719" s="211"/>
      <c r="BC719" s="211"/>
      <c r="BD719" s="211"/>
      <c r="BE719" s="211"/>
      <c r="BF719" s="211"/>
      <c r="BG719" s="211"/>
      <c r="BH719" s="211"/>
      <c r="BI719" s="211"/>
    </row>
    <row r="720">
      <c r="A720" s="210" t="str">
        <f>IFERROR(__xludf.DUMMYFUNCTION("""COMPUTED_VALUE"""),"b70808e6")</f>
        <v>b70808e6</v>
      </c>
      <c r="B720" s="210" t="str">
        <f>IFERROR(__xludf.DUMMYFUNCTION("""COMPUTED_VALUE"""),"b70808e6")</f>
        <v>b70808e6</v>
      </c>
      <c r="C720" s="213">
        <f>IFERROR(__xludf.DUMMYFUNCTION("""COMPUTED_VALUE"""),45717.604166666664)</f>
        <v>45717.60417</v>
      </c>
      <c r="D720" s="211" t="str">
        <f>IFERROR(__xludf.DUMMYFUNCTION("""COMPUTED_VALUE"""),"785e0e07")</f>
        <v>785e0e07</v>
      </c>
      <c r="E720" s="211" t="str">
        <f>IFERROR(__xludf.DUMMYFUNCTION("""COMPUTED_VALUE"""),"Bpk. Sukirno (Bejo)")</f>
        <v>Bpk. Sukirno (Bejo)</v>
      </c>
      <c r="F720" s="211" t="str">
        <f>IFERROR(__xludf.DUMMYFUNCTION("""COMPUTED_VALUE"""),"8bdbe149")</f>
        <v>8bdbe149</v>
      </c>
      <c r="G720" s="211" t="str">
        <f>IFERROR(__xludf.DUMMYFUNCTION("""COMPUTED_VALUE"""),"Oksigen 6m3")</f>
        <v>Oksigen 6m3</v>
      </c>
      <c r="H720" s="214" t="str">
        <f>IFERROR(__xludf.DUMMYFUNCTION("""COMPUTED_VALUE"""),"IN")</f>
        <v>IN</v>
      </c>
      <c r="I720" s="214" t="str">
        <f>IFERROR(__xludf.DUMMYFUNCTION("""COMPUTED_VALUE"""),"EMPTY")</f>
        <v>EMPTY</v>
      </c>
      <c r="J720" s="211">
        <f>IFERROR(__xludf.DUMMYFUNCTION("""COMPUTED_VALUE"""),10.0)</f>
        <v>10</v>
      </c>
      <c r="K720" s="210" t="str">
        <f>IFERROR(__xludf.DUMMYFUNCTION("""COMPUTED_VALUE"""),"1102 11186 11189 1141 11130 11158 1173 1140 1157 11200")</f>
        <v>1102 11186 11189 1141 11130 11158 1173 1140 1157 11200</v>
      </c>
      <c r="L720" s="211">
        <f>IFERROR(__xludf.DUMMYFUNCTION("""COMPUTED_VALUE"""),0.0)</f>
        <v>0</v>
      </c>
      <c r="M720" s="211"/>
      <c r="N720" s="211"/>
      <c r="O720" s="211"/>
      <c r="Q720" s="210" t="str">
        <f>IFERROR(__xludf.DUMMYFUNCTION("""COMPUTED_VALUE"""),"6acc359c")</f>
        <v>6acc359c</v>
      </c>
      <c r="R720" s="210" t="str">
        <f>IFERROR(__xludf.DUMMYFUNCTION("""COMPUTED_VALUE"""),"6acc359c")</f>
        <v>6acc359c</v>
      </c>
      <c r="S720" s="211" t="str">
        <f>IFERROR(__xludf.DUMMYFUNCTION("""COMPUTED_VALUE"""),"785e0e07")</f>
        <v>785e0e07</v>
      </c>
      <c r="T720" s="211" t="str">
        <f>IFERROR(__xludf.DUMMYFUNCTION("""COMPUTED_VALUE"""),"Bpk. Sukirno (Bejo)")</f>
        <v>Bpk. Sukirno (Bejo)</v>
      </c>
      <c r="U720" s="215">
        <f>IFERROR(__xludf.DUMMYFUNCTION("""COMPUTED_VALUE"""),45776.46041666667)</f>
        <v>45776.46042</v>
      </c>
      <c r="V720" s="211" t="str">
        <f>IFERROR(__xludf.DUMMYFUNCTION("""COMPUTED_VALUE"""),"Krajan I, Wringinanom, Kec. Wringinanom, Kabupaten Gresik, Jawa Timur 61176")</f>
        <v>Krajan I, Wringinanom, Kec. Wringinanom, Kabupaten Gresik, Jawa Timur 61176</v>
      </c>
      <c r="W720" s="211" t="str">
        <f>IFERROR(__xludf.DUMMYFUNCTION("""COMPUTED_VALUE"""),"IN")</f>
        <v>IN</v>
      </c>
      <c r="X720" s="211"/>
      <c r="Z720" s="211" t="str">
        <f>IFERROR(__xludf.DUMMYFUNCTION("""COMPUTED_VALUE"""),"1025291528")</f>
        <v>1025291528</v>
      </c>
      <c r="AC720" s="211"/>
      <c r="AD720" s="211"/>
      <c r="AE720" s="211"/>
      <c r="AF720" s="211"/>
      <c r="AG720" s="211"/>
      <c r="AH720" s="211"/>
      <c r="AI720" s="211"/>
      <c r="AJ720" s="211"/>
      <c r="AL720" s="211"/>
      <c r="AM720" s="211"/>
      <c r="AN720" s="211"/>
      <c r="AO720" s="211"/>
      <c r="AP720" s="215"/>
      <c r="AQ720" s="218"/>
      <c r="AR720" s="211"/>
      <c r="AS720" s="211"/>
      <c r="AT720" s="211"/>
      <c r="AU720" s="211"/>
      <c r="AV720" s="211"/>
      <c r="AW720" s="211"/>
      <c r="AX720" s="211"/>
      <c r="AY720" s="211"/>
      <c r="AZ720" s="211"/>
      <c r="BB720" s="211"/>
      <c r="BC720" s="211"/>
      <c r="BD720" s="211"/>
      <c r="BE720" s="211"/>
      <c r="BF720" s="211"/>
      <c r="BG720" s="211"/>
      <c r="BH720" s="211"/>
      <c r="BI720" s="211"/>
    </row>
    <row r="721">
      <c r="A721" s="210" t="str">
        <f>IFERROR(__xludf.DUMMYFUNCTION("""COMPUTED_VALUE"""),"b70808e6")</f>
        <v>b70808e6</v>
      </c>
      <c r="B721" s="210" t="str">
        <f>IFERROR(__xludf.DUMMYFUNCTION("""COMPUTED_VALUE"""),"b70808e6")</f>
        <v>b70808e6</v>
      </c>
      <c r="C721" s="213">
        <f>IFERROR(__xludf.DUMMYFUNCTION("""COMPUTED_VALUE"""),45717.60555555556)</f>
        <v>45717.60556</v>
      </c>
      <c r="D721" s="211" t="str">
        <f>IFERROR(__xludf.DUMMYFUNCTION("""COMPUTED_VALUE"""),"785e0e07")</f>
        <v>785e0e07</v>
      </c>
      <c r="E721" s="211" t="str">
        <f>IFERROR(__xludf.DUMMYFUNCTION("""COMPUTED_VALUE"""),"Bpk. Sukirno (Bejo)")</f>
        <v>Bpk. Sukirno (Bejo)</v>
      </c>
      <c r="F721" s="211" t="str">
        <f>IFERROR(__xludf.DUMMYFUNCTION("""COMPUTED_VALUE"""),"be525f3b")</f>
        <v>be525f3b</v>
      </c>
      <c r="G721" s="211" t="str">
        <f>IFERROR(__xludf.DUMMYFUNCTION("""COMPUTED_VALUE"""),"LPG 12kg")</f>
        <v>LPG 12kg</v>
      </c>
      <c r="H721" s="214" t="str">
        <f>IFERROR(__xludf.DUMMYFUNCTION("""COMPUTED_VALUE"""),"IN")</f>
        <v>IN</v>
      </c>
      <c r="I721" s="214" t="str">
        <f>IFERROR(__xludf.DUMMYFUNCTION("""COMPUTED_VALUE"""),"EMPTY")</f>
        <v>EMPTY</v>
      </c>
      <c r="J721" s="211">
        <f>IFERROR(__xludf.DUMMYFUNCTION("""COMPUTED_VALUE"""),2.0)</f>
        <v>2</v>
      </c>
      <c r="K721" s="211"/>
      <c r="L721" s="211">
        <f>IFERROR(__xludf.DUMMYFUNCTION("""COMPUTED_VALUE"""),0.0)</f>
        <v>0</v>
      </c>
      <c r="M721" s="211"/>
      <c r="N721" s="211"/>
      <c r="O721" s="211"/>
      <c r="Q721" s="210" t="str">
        <f>IFERROR(__xludf.DUMMYFUNCTION("""COMPUTED_VALUE"""),"dea63127")</f>
        <v>dea63127</v>
      </c>
      <c r="R721" s="210" t="str">
        <f>IFERROR(__xludf.DUMMYFUNCTION("""COMPUTED_VALUE"""),"dea63127")</f>
        <v>dea63127</v>
      </c>
      <c r="S721" s="211" t="str">
        <f>IFERROR(__xludf.DUMMYFUNCTION("""COMPUTED_VALUE"""),"2d88931c")</f>
        <v>2d88931c</v>
      </c>
      <c r="T721" s="211" t="str">
        <f>IFERROR(__xludf.DUMMYFUNCTION("""COMPUTED_VALUE"""),"PT Dunia Berkat Marga Mulya")</f>
        <v>PT Dunia Berkat Marga Mulya</v>
      </c>
      <c r="U721" s="215">
        <f>IFERROR(__xludf.DUMMYFUNCTION("""COMPUTED_VALUE"""),45776.461111111115)</f>
        <v>45776.46111</v>
      </c>
      <c r="V721" s="211" t="str">
        <f>IFERROR(__xludf.DUMMYFUNCTION("""COMPUTED_VALUE"""),"JL JABARAN, WATESARI, BALONGBENDO, SIDOARJO, JAWA TIMUR")</f>
        <v>JL JABARAN, WATESARI, BALONGBENDO, SIDOARJO, JAWA TIMUR</v>
      </c>
      <c r="W721" s="211" t="str">
        <f>IFERROR(__xludf.DUMMYFUNCTION("""COMPUTED_VALUE"""),"IN")</f>
        <v>IN</v>
      </c>
      <c r="X721" s="211"/>
      <c r="Z721" s="211" t="str">
        <f>IFERROR(__xludf.DUMMYFUNCTION("""COMPUTED_VALUE"""),"1025271526")</f>
        <v>1025271526</v>
      </c>
      <c r="AC721" s="211"/>
      <c r="AD721" s="211"/>
      <c r="AE721" s="211"/>
      <c r="AF721" s="211"/>
      <c r="AG721" s="211"/>
      <c r="AH721" s="211"/>
      <c r="AI721" s="211"/>
      <c r="AJ721" s="211"/>
      <c r="AL721" s="211"/>
      <c r="AM721" s="211"/>
      <c r="AN721" s="211"/>
      <c r="AO721" s="211"/>
      <c r="AP721" s="215"/>
      <c r="AQ721" s="218"/>
      <c r="AR721" s="211"/>
      <c r="AS721" s="211"/>
      <c r="AT721" s="211"/>
      <c r="AU721" s="211"/>
      <c r="AV721" s="211"/>
      <c r="AW721" s="211"/>
      <c r="AX721" s="211"/>
      <c r="AY721" s="211"/>
      <c r="AZ721" s="211"/>
      <c r="BB721" s="211"/>
      <c r="BC721" s="211"/>
      <c r="BD721" s="211"/>
      <c r="BE721" s="211"/>
      <c r="BF721" s="211"/>
      <c r="BG721" s="211"/>
      <c r="BH721" s="211"/>
      <c r="BI721" s="211"/>
    </row>
    <row r="722">
      <c r="A722" s="210" t="str">
        <f>IFERROR(__xludf.DUMMYFUNCTION("""COMPUTED_VALUE"""),"03250287")</f>
        <v>03250287</v>
      </c>
      <c r="B722" s="210" t="str">
        <f>IFERROR(__xludf.DUMMYFUNCTION("""COMPUTED_VALUE"""),"03250287")</f>
        <v>03250287</v>
      </c>
      <c r="C722" s="213">
        <f>IFERROR(__xludf.DUMMYFUNCTION("""COMPUTED_VALUE"""),45719.39236111111)</f>
        <v>45719.39236</v>
      </c>
      <c r="D722" s="211" t="str">
        <f>IFERROR(__xludf.DUMMYFUNCTION("""COMPUTED_VALUE"""),"df6bdc5d")</f>
        <v>df6bdc5d</v>
      </c>
      <c r="E722" s="211" t="str">
        <f>IFERROR(__xludf.DUMMYFUNCTION("""COMPUTED_VALUE"""),"Bpk. Maruf")</f>
        <v>Bpk. Maruf</v>
      </c>
      <c r="F722" s="211" t="str">
        <f>IFERROR(__xludf.DUMMYFUNCTION("""COMPUTED_VALUE"""),"8bdbe149")</f>
        <v>8bdbe149</v>
      </c>
      <c r="G722" s="211" t="str">
        <f>IFERROR(__xludf.DUMMYFUNCTION("""COMPUTED_VALUE"""),"Oksigen 6m3")</f>
        <v>Oksigen 6m3</v>
      </c>
      <c r="H722" s="214" t="str">
        <f>IFERROR(__xludf.DUMMYFUNCTION("""COMPUTED_VALUE"""),"OUT")</f>
        <v>OUT</v>
      </c>
      <c r="I722" s="214" t="str">
        <f>IFERROR(__xludf.DUMMYFUNCTION("""COMPUTED_VALUE"""),"NORMAL")</f>
        <v>NORMAL</v>
      </c>
      <c r="J722" s="211">
        <f>IFERROR(__xludf.DUMMYFUNCTION("""COMPUTED_VALUE"""),15.0)</f>
        <v>15</v>
      </c>
      <c r="K722" s="210" t="str">
        <f>IFERROR(__xludf.DUMMYFUNCTION("""COMPUTED_VALUE"""),"11200 11103 11165 1141 1140 11186 1102 1157 11130 11151 11173 1167 1158 11189 1173")</f>
        <v>11200 11103 11165 1141 1140 11186 1102 1157 11130 11151 11173 1167 1158 11189 1173</v>
      </c>
      <c r="L722" s="211">
        <f>IFERROR(__xludf.DUMMYFUNCTION("""COMPUTED_VALUE"""),60000.0)</f>
        <v>60000</v>
      </c>
      <c r="M722" s="211"/>
      <c r="N722" s="211"/>
      <c r="O722" s="211"/>
      <c r="Q722" s="210" t="str">
        <f>IFERROR(__xludf.DUMMYFUNCTION("""COMPUTED_VALUE"""),"b487261e")</f>
        <v>b487261e</v>
      </c>
      <c r="R722" s="210" t="str">
        <f>IFERROR(__xludf.DUMMYFUNCTION("""COMPUTED_VALUE"""),"b487261e")</f>
        <v>b487261e</v>
      </c>
      <c r="S722" s="211" t="str">
        <f>IFERROR(__xludf.DUMMYFUNCTION("""COMPUTED_VALUE"""),"e968afef")</f>
        <v>e968afef</v>
      </c>
      <c r="T722" s="211" t="str">
        <f>IFERROR(__xludf.DUMMYFUNCTION("""COMPUTED_VALUE"""),"Bpk. Agus")</f>
        <v>Bpk. Agus</v>
      </c>
      <c r="U722" s="215">
        <f>IFERROR(__xludf.DUMMYFUNCTION("""COMPUTED_VALUE"""),45776.461805555555)</f>
        <v>45776.46181</v>
      </c>
      <c r="V722" s="211" t="str">
        <f>IFERROR(__xludf.DUMMYFUNCTION("""COMPUTED_VALUE"""),"Jl. Parengan 13, Semawut, Balongbendo, Kec. BalongBendo, Kabupaten Sidoarjo, Jawa Timur 61263")</f>
        <v>Jl. Parengan 13, Semawut, Balongbendo, Kec. BalongBendo, Kabupaten Sidoarjo, Jawa Timur 61263</v>
      </c>
      <c r="W722" s="211" t="str">
        <f>IFERROR(__xludf.DUMMYFUNCTION("""COMPUTED_VALUE"""),"IN")</f>
        <v>IN</v>
      </c>
      <c r="X722" s="211"/>
      <c r="Z722" s="211" t="str">
        <f>IFERROR(__xludf.DUMMYFUNCTION("""COMPUTED_VALUE"""),"102511523")</f>
        <v>102511523</v>
      </c>
      <c r="AC722" s="211"/>
      <c r="AD722" s="211"/>
      <c r="AE722" s="211"/>
      <c r="AF722" s="211"/>
      <c r="AG722" s="211"/>
      <c r="AH722" s="211"/>
      <c r="AI722" s="211"/>
      <c r="AJ722" s="211"/>
      <c r="AL722" s="211"/>
      <c r="AM722" s="211"/>
      <c r="AN722" s="211"/>
      <c r="AO722" s="211"/>
      <c r="AP722" s="215"/>
      <c r="AQ722" s="218"/>
      <c r="AR722" s="211"/>
      <c r="AS722" s="211"/>
      <c r="AT722" s="211"/>
      <c r="AU722" s="211"/>
      <c r="AV722" s="211"/>
      <c r="AW722" s="211"/>
      <c r="AX722" s="211"/>
      <c r="AY722" s="211"/>
      <c r="AZ722" s="211"/>
      <c r="BB722" s="211"/>
      <c r="BC722" s="211"/>
      <c r="BD722" s="211"/>
      <c r="BE722" s="211"/>
      <c r="BF722" s="211"/>
      <c r="BG722" s="211"/>
      <c r="BH722" s="211"/>
      <c r="BI722" s="211"/>
    </row>
    <row r="723">
      <c r="A723" s="210" t="str">
        <f>IFERROR(__xludf.DUMMYFUNCTION("""COMPUTED_VALUE"""),"03250287")</f>
        <v>03250287</v>
      </c>
      <c r="B723" s="210" t="str">
        <f>IFERROR(__xludf.DUMMYFUNCTION("""COMPUTED_VALUE"""),"03250287")</f>
        <v>03250287</v>
      </c>
      <c r="C723" s="213">
        <f>IFERROR(__xludf.DUMMYFUNCTION("""COMPUTED_VALUE"""),45719.393055555556)</f>
        <v>45719.39306</v>
      </c>
      <c r="D723" s="211" t="str">
        <f>IFERROR(__xludf.DUMMYFUNCTION("""COMPUTED_VALUE"""),"df6bdc5d")</f>
        <v>df6bdc5d</v>
      </c>
      <c r="E723" s="211" t="str">
        <f>IFERROR(__xludf.DUMMYFUNCTION("""COMPUTED_VALUE"""),"Bpk. Maruf")</f>
        <v>Bpk. Maruf</v>
      </c>
      <c r="F723" s="211" t="str">
        <f>IFERROR(__xludf.DUMMYFUNCTION("""COMPUTED_VALUE"""),"be525f3b")</f>
        <v>be525f3b</v>
      </c>
      <c r="G723" s="211" t="str">
        <f>IFERROR(__xludf.DUMMYFUNCTION("""COMPUTED_VALUE"""),"LPG 12kg")</f>
        <v>LPG 12kg</v>
      </c>
      <c r="H723" s="214" t="str">
        <f>IFERROR(__xludf.DUMMYFUNCTION("""COMPUTED_VALUE"""),"OUT")</f>
        <v>OUT</v>
      </c>
      <c r="I723" s="214" t="str">
        <f>IFERROR(__xludf.DUMMYFUNCTION("""COMPUTED_VALUE"""),"NORMAL")</f>
        <v>NORMAL</v>
      </c>
      <c r="J723" s="211">
        <f>IFERROR(__xludf.DUMMYFUNCTION("""COMPUTED_VALUE"""),2.0)</f>
        <v>2</v>
      </c>
      <c r="K723" s="211"/>
      <c r="L723" s="211">
        <f>IFERROR(__xludf.DUMMYFUNCTION("""COMPUTED_VALUE"""),215000.0)</f>
        <v>215000</v>
      </c>
      <c r="M723" s="211"/>
      <c r="N723" s="211"/>
      <c r="O723" s="211"/>
      <c r="Q723" s="210" t="str">
        <f>IFERROR(__xludf.DUMMYFUNCTION("""COMPUTED_VALUE"""),"affbcebd")</f>
        <v>affbcebd</v>
      </c>
      <c r="R723" s="210" t="str">
        <f>IFERROR(__xludf.DUMMYFUNCTION("""COMPUTED_VALUE"""),"affbcebd")</f>
        <v>affbcebd</v>
      </c>
      <c r="S723" s="211" t="str">
        <f>IFERROR(__xludf.DUMMYFUNCTION("""COMPUTED_VALUE"""),"556931a6")</f>
        <v>556931a6</v>
      </c>
      <c r="T723" s="211" t="str">
        <f>IFERROR(__xludf.DUMMYFUNCTION("""COMPUTED_VALUE"""),"Bpk. Agus (Trowulan)")</f>
        <v>Bpk. Agus (Trowulan)</v>
      </c>
      <c r="U723" s="215">
        <f>IFERROR(__xludf.DUMMYFUNCTION("""COMPUTED_VALUE"""),45777.4625)</f>
        <v>45777.4625</v>
      </c>
      <c r="V723" s="211" t="str">
        <f>IFERROR(__xludf.DUMMYFUNCTION("""COMPUTED_VALUE"""),"Temborong, Domas, Kec. Trowulan, Kabupaten Mojokerto, Jawa Timur")</f>
        <v>Temborong, Domas, Kec. Trowulan, Kabupaten Mojokerto, Jawa Timur</v>
      </c>
      <c r="W723" s="211" t="str">
        <f>IFERROR(__xludf.DUMMYFUNCTION("""COMPUTED_VALUE"""),"IN")</f>
        <v>IN</v>
      </c>
      <c r="X723" s="211"/>
      <c r="Z723" s="211" t="str">
        <f>IFERROR(__xludf.DUMMYFUNCTION("""COMPUTED_VALUE"""),"102531522")</f>
        <v>102531522</v>
      </c>
      <c r="AC723" s="211"/>
      <c r="AD723" s="211"/>
      <c r="AE723" s="211"/>
      <c r="AF723" s="211"/>
      <c r="AG723" s="211"/>
      <c r="AH723" s="211"/>
      <c r="AI723" s="211"/>
      <c r="AJ723" s="211"/>
      <c r="AL723" s="211"/>
      <c r="AM723" s="211"/>
      <c r="AN723" s="211"/>
      <c r="AO723" s="211"/>
      <c r="AP723" s="215"/>
      <c r="AQ723" s="218"/>
      <c r="AR723" s="211"/>
      <c r="AS723" s="211"/>
      <c r="AT723" s="211"/>
      <c r="AU723" s="211"/>
      <c r="AV723" s="211"/>
      <c r="AW723" s="211"/>
      <c r="AX723" s="211"/>
      <c r="AY723" s="211"/>
      <c r="AZ723" s="211"/>
      <c r="BB723" s="211"/>
      <c r="BC723" s="211"/>
      <c r="BD723" s="211"/>
      <c r="BE723" s="211"/>
      <c r="BF723" s="211"/>
      <c r="BG723" s="211"/>
      <c r="BH723" s="211"/>
      <c r="BI723" s="211"/>
    </row>
    <row r="724">
      <c r="A724" s="210" t="str">
        <f>IFERROR(__xludf.DUMMYFUNCTION("""COMPUTED_VALUE"""),"78e6521b")</f>
        <v>78e6521b</v>
      </c>
      <c r="B724" s="210" t="str">
        <f>IFERROR(__xludf.DUMMYFUNCTION("""COMPUTED_VALUE"""),"78e6521b")</f>
        <v>78e6521b</v>
      </c>
      <c r="C724" s="213">
        <f>IFERROR(__xludf.DUMMYFUNCTION("""COMPUTED_VALUE"""),45719.63888888889)</f>
        <v>45719.63889</v>
      </c>
      <c r="D724" s="211" t="str">
        <f>IFERROR(__xludf.DUMMYFUNCTION("""COMPUTED_VALUE"""),"2d88931c")</f>
        <v>2d88931c</v>
      </c>
      <c r="E724" s="211" t="str">
        <f>IFERROR(__xludf.DUMMYFUNCTION("""COMPUTED_VALUE"""),"PT Dunia Berkat Marga Mulya")</f>
        <v>PT Dunia Berkat Marga Mulya</v>
      </c>
      <c r="F724" s="211" t="str">
        <f>IFERROR(__xludf.DUMMYFUNCTION("""COMPUTED_VALUE"""),"8bdbe149")</f>
        <v>8bdbe149</v>
      </c>
      <c r="G724" s="211" t="str">
        <f>IFERROR(__xludf.DUMMYFUNCTION("""COMPUTED_VALUE"""),"Oksigen 6m3")</f>
        <v>Oksigen 6m3</v>
      </c>
      <c r="H724" s="214" t="str">
        <f>IFERROR(__xludf.DUMMYFUNCTION("""COMPUTED_VALUE"""),"IN")</f>
        <v>IN</v>
      </c>
      <c r="I724" s="214" t="str">
        <f>IFERROR(__xludf.DUMMYFUNCTION("""COMPUTED_VALUE"""),"EMPTY")</f>
        <v>EMPTY</v>
      </c>
      <c r="J724" s="211">
        <f>IFERROR(__xludf.DUMMYFUNCTION("""COMPUTED_VALUE"""),1.0)</f>
        <v>1</v>
      </c>
      <c r="K724" s="210" t="str">
        <f>IFERROR(__xludf.DUMMYFUNCTION("""COMPUTED_VALUE"""),"11107")</f>
        <v>11107</v>
      </c>
      <c r="L724" s="211">
        <f>IFERROR(__xludf.DUMMYFUNCTION("""COMPUTED_VALUE"""),0.0)</f>
        <v>0</v>
      </c>
      <c r="M724" s="211"/>
      <c r="N724" s="211"/>
      <c r="O724" s="211"/>
      <c r="Q724" s="210" t="str">
        <f>IFERROR(__xludf.DUMMYFUNCTION("""COMPUTED_VALUE"""),"bd56ab99")</f>
        <v>bd56ab99</v>
      </c>
      <c r="R724" s="210" t="str">
        <f>IFERROR(__xludf.DUMMYFUNCTION("""COMPUTED_VALUE"""),"bd56ab99")</f>
        <v>bd56ab99</v>
      </c>
      <c r="S724" s="211" t="str">
        <f>IFERROR(__xludf.DUMMYFUNCTION("""COMPUTED_VALUE"""),"anwr")</f>
        <v>anwr</v>
      </c>
      <c r="T724" s="211" t="str">
        <f>IFERROR(__xludf.DUMMYFUNCTION("""COMPUTED_VALUE"""),"Bpk. Anwar")</f>
        <v>Bpk. Anwar</v>
      </c>
      <c r="U724" s="215">
        <f>IFERROR(__xludf.DUMMYFUNCTION("""COMPUTED_VALUE"""),45776.46527777778)</f>
        <v>45776.46528</v>
      </c>
      <c r="V724" s="211" t="str">
        <f>IFERROR(__xludf.DUMMYFUNCTION("""COMPUTED_VALUE"""),"#N/A")</f>
        <v>#N/A</v>
      </c>
      <c r="W724" s="211" t="str">
        <f>IFERROR(__xludf.DUMMYFUNCTION("""COMPUTED_VALUE"""),"IN")</f>
        <v>IN</v>
      </c>
      <c r="X724" s="211"/>
      <c r="Z724" s="211" t="str">
        <f>IFERROR(__xludf.DUMMYFUNCTION("""COMPUTED_VALUE"""),"102511518")</f>
        <v>102511518</v>
      </c>
      <c r="AC724" s="211"/>
      <c r="AD724" s="211"/>
      <c r="AE724" s="211"/>
      <c r="AF724" s="211"/>
      <c r="AG724" s="211"/>
      <c r="AH724" s="211"/>
      <c r="AI724" s="211"/>
      <c r="AJ724" s="211"/>
      <c r="AL724" s="211"/>
      <c r="AM724" s="211"/>
      <c r="AN724" s="211"/>
      <c r="AO724" s="211"/>
      <c r="AP724" s="215"/>
      <c r="AQ724" s="218"/>
      <c r="AR724" s="211"/>
      <c r="AS724" s="211"/>
      <c r="AT724" s="211"/>
      <c r="AU724" s="211"/>
      <c r="AV724" s="211"/>
      <c r="AW724" s="211"/>
      <c r="AX724" s="211"/>
      <c r="AY724" s="211"/>
      <c r="AZ724" s="211"/>
      <c r="BB724" s="211"/>
      <c r="BC724" s="211"/>
      <c r="BD724" s="211"/>
      <c r="BE724" s="211"/>
      <c r="BF724" s="211"/>
      <c r="BG724" s="211"/>
      <c r="BH724" s="211"/>
      <c r="BI724" s="211"/>
    </row>
    <row r="725">
      <c r="A725" s="210" t="str">
        <f>IFERROR(__xludf.DUMMYFUNCTION("""COMPUTED_VALUE"""),"5ca5d713")</f>
        <v>5ca5d713</v>
      </c>
      <c r="B725" s="210" t="str">
        <f>IFERROR(__xludf.DUMMYFUNCTION("""COMPUTED_VALUE"""),"5ca5d713")</f>
        <v>5ca5d713</v>
      </c>
      <c r="C725" s="213">
        <f>IFERROR(__xludf.DUMMYFUNCTION("""COMPUTED_VALUE"""),45719.63888888889)</f>
        <v>45719.63889</v>
      </c>
      <c r="D725" s="211" t="str">
        <f>IFERROR(__xludf.DUMMYFUNCTION("""COMPUTED_VALUE"""),"4ec68cf6")</f>
        <v>4ec68cf6</v>
      </c>
      <c r="E725" s="211" t="str">
        <f>IFERROR(__xludf.DUMMYFUNCTION("""COMPUTED_VALUE"""),"CV Sido Mukti Karya")</f>
        <v>CV Sido Mukti Karya</v>
      </c>
      <c r="F725" s="211" t="str">
        <f>IFERROR(__xludf.DUMMYFUNCTION("""COMPUTED_VALUE"""),"8bdbe149")</f>
        <v>8bdbe149</v>
      </c>
      <c r="G725" s="211" t="str">
        <f>IFERROR(__xludf.DUMMYFUNCTION("""COMPUTED_VALUE"""),"Oksigen 6m3")</f>
        <v>Oksigen 6m3</v>
      </c>
      <c r="H725" s="214" t="str">
        <f>IFERROR(__xludf.DUMMYFUNCTION("""COMPUTED_VALUE"""),"IN")</f>
        <v>IN</v>
      </c>
      <c r="I725" s="214" t="str">
        <f>IFERROR(__xludf.DUMMYFUNCTION("""COMPUTED_VALUE"""),"EMPTY")</f>
        <v>EMPTY</v>
      </c>
      <c r="J725" s="211">
        <f>IFERROR(__xludf.DUMMYFUNCTION("""COMPUTED_VALUE"""),5.0)</f>
        <v>5</v>
      </c>
      <c r="K725" s="210" t="str">
        <f>IFERROR(__xludf.DUMMYFUNCTION("""COMPUTED_VALUE"""),"1171 11176 11198 11204 11191")</f>
        <v>1171 11176 11198 11204 11191</v>
      </c>
      <c r="L725" s="211">
        <f>IFERROR(__xludf.DUMMYFUNCTION("""COMPUTED_VALUE"""),0.0)</f>
        <v>0</v>
      </c>
      <c r="M725" s="211"/>
      <c r="N725" s="211"/>
      <c r="O725" s="211"/>
      <c r="Q725" s="210" t="str">
        <f>IFERROR(__xludf.DUMMYFUNCTION("""COMPUTED_VALUE"""),"05250398")</f>
        <v>05250398</v>
      </c>
      <c r="R725" s="210" t="str">
        <f>IFERROR(__xludf.DUMMYFUNCTION("""COMPUTED_VALUE"""),"05250398")</f>
        <v>05250398</v>
      </c>
      <c r="S725" s="211" t="str">
        <f>IFERROR(__xludf.DUMMYFUNCTION("""COMPUTED_VALUE"""),"e86baf3b")</f>
        <v>e86baf3b</v>
      </c>
      <c r="T725" s="211" t="str">
        <f>IFERROR(__xludf.DUMMYFUNCTION("""COMPUTED_VALUE"""),"PT GEMILANG CIPTA WAWASAN")</f>
        <v>PT GEMILANG CIPTA WAWASAN</v>
      </c>
      <c r="U725" s="215">
        <f>IFERROR(__xludf.DUMMYFUNCTION("""COMPUTED_VALUE"""),45782.35416666667)</f>
        <v>45782.35417</v>
      </c>
      <c r="V725" s="211" t="str">
        <f>IFERROR(__xludf.DUMMYFUNCTION("""COMPUTED_VALUE"""),"JL TEBET RAYA, 2A, TEBET BARAT, TEBET, KOTA ADM, JAKARTA SELATAN, DKI JAKARTA")</f>
        <v>JL TEBET RAYA, 2A, TEBET BARAT, TEBET, KOTA ADM, JAKARTA SELATAN, DKI JAKARTA</v>
      </c>
      <c r="W725" s="211" t="str">
        <f>IFERROR(__xludf.DUMMYFUNCTION("""COMPUTED_VALUE"""),"OUT")</f>
        <v>OUT</v>
      </c>
      <c r="X725" s="211"/>
      <c r="Z725" s="211" t="str">
        <f>IFERROR(__xludf.DUMMYFUNCTION("""COMPUTED_VALUE"""),"1025261517")</f>
        <v>1025261517</v>
      </c>
      <c r="AC725" s="211"/>
      <c r="AD725" s="211"/>
      <c r="AE725" s="211"/>
      <c r="AF725" s="211"/>
      <c r="AG725" s="211"/>
      <c r="AH725" s="211"/>
      <c r="AI725" s="211"/>
      <c r="AJ725" s="211"/>
      <c r="AL725" s="211"/>
      <c r="AM725" s="211"/>
      <c r="AN725" s="211"/>
      <c r="AO725" s="211"/>
      <c r="AP725" s="215"/>
      <c r="AQ725" s="218"/>
      <c r="AR725" s="211"/>
      <c r="AS725" s="211"/>
      <c r="AT725" s="211"/>
      <c r="AU725" s="211"/>
      <c r="AV725" s="211"/>
      <c r="AW725" s="211"/>
      <c r="AX725" s="211"/>
      <c r="AY725" s="211"/>
      <c r="AZ725" s="211"/>
      <c r="BB725" s="211"/>
      <c r="BC725" s="211"/>
      <c r="BD725" s="211"/>
      <c r="BE725" s="211"/>
      <c r="BF725" s="211"/>
      <c r="BG725" s="211"/>
      <c r="BH725" s="211"/>
      <c r="BI725" s="211"/>
    </row>
    <row r="726">
      <c r="A726" s="210" t="str">
        <f>IFERROR(__xludf.DUMMYFUNCTION("""COMPUTED_VALUE"""),"9fe4ced0")</f>
        <v>9fe4ced0</v>
      </c>
      <c r="B726" s="210" t="str">
        <f>IFERROR(__xludf.DUMMYFUNCTION("""COMPUTED_VALUE"""),"9fe4ced0")</f>
        <v>9fe4ced0</v>
      </c>
      <c r="C726" s="213">
        <f>IFERROR(__xludf.DUMMYFUNCTION("""COMPUTED_VALUE"""),45719.63958333333)</f>
        <v>45719.63958</v>
      </c>
      <c r="D726" s="211" t="str">
        <f>IFERROR(__xludf.DUMMYFUNCTION("""COMPUTED_VALUE"""),"8f5ebaea")</f>
        <v>8f5ebaea</v>
      </c>
      <c r="E726" s="211" t="str">
        <f>IFERROR(__xludf.DUMMYFUNCTION("""COMPUTED_VALUE"""),"PT Hua Zong Mesindo")</f>
        <v>PT Hua Zong Mesindo</v>
      </c>
      <c r="F726" s="211" t="str">
        <f>IFERROR(__xludf.DUMMYFUNCTION("""COMPUTED_VALUE"""),"8bdbe149")</f>
        <v>8bdbe149</v>
      </c>
      <c r="G726" s="211" t="str">
        <f>IFERROR(__xludf.DUMMYFUNCTION("""COMPUTED_VALUE"""),"Oksigen 6m3")</f>
        <v>Oksigen 6m3</v>
      </c>
      <c r="H726" s="214" t="str">
        <f>IFERROR(__xludf.DUMMYFUNCTION("""COMPUTED_VALUE"""),"IN")</f>
        <v>IN</v>
      </c>
      <c r="I726" s="214" t="str">
        <f>IFERROR(__xludf.DUMMYFUNCTION("""COMPUTED_VALUE"""),"EMPTY")</f>
        <v>EMPTY</v>
      </c>
      <c r="J726" s="211">
        <f>IFERROR(__xludf.DUMMYFUNCTION("""COMPUTED_VALUE"""),1.0)</f>
        <v>1</v>
      </c>
      <c r="K726" s="210" t="str">
        <f>IFERROR(__xludf.DUMMYFUNCTION("""COMPUTED_VALUE"""),"1127")</f>
        <v>1127</v>
      </c>
      <c r="L726" s="211">
        <f>IFERROR(__xludf.DUMMYFUNCTION("""COMPUTED_VALUE"""),0.0)</f>
        <v>0</v>
      </c>
      <c r="M726" s="211"/>
      <c r="N726" s="211"/>
      <c r="O726" s="211"/>
      <c r="Q726" s="210" t="str">
        <f>IFERROR(__xludf.DUMMYFUNCTION("""COMPUTED_VALUE"""),"05250399")</f>
        <v>05250399</v>
      </c>
      <c r="R726" s="210" t="str">
        <f>IFERROR(__xludf.DUMMYFUNCTION("""COMPUTED_VALUE"""),"05250399")</f>
        <v>05250399</v>
      </c>
      <c r="S726" s="211" t="str">
        <f>IFERROR(__xludf.DUMMYFUNCTION("""COMPUTED_VALUE"""),"#N/A")</f>
        <v>#N/A</v>
      </c>
      <c r="T726" s="211" t="str">
        <f>IFERROR(__xludf.DUMMYFUNCTION("""COMPUTED_VALUE"""),"Bpk. Rokhim (Kraton)")</f>
        <v>Bpk. Rokhim (Kraton)</v>
      </c>
      <c r="U726" s="215">
        <f>IFERROR(__xludf.DUMMYFUNCTION("""COMPUTED_VALUE"""),45782.388194444444)</f>
        <v>45782.38819</v>
      </c>
      <c r="V726" s="211" t="str">
        <f>IFERROR(__xludf.DUMMYFUNCTION("""COMPUTED_VALUE"""),"#N/A")</f>
        <v>#N/A</v>
      </c>
      <c r="W726" s="211" t="str">
        <f>IFERROR(__xludf.DUMMYFUNCTION("""COMPUTED_VALUE"""),"OUT")</f>
        <v>OUT</v>
      </c>
      <c r="X726" s="211"/>
      <c r="Z726" s="211" t="str">
        <f>IFERROR(__xludf.DUMMYFUNCTION("""COMPUTED_VALUE"""),"102521514")</f>
        <v>102521514</v>
      </c>
      <c r="AC726" s="211"/>
      <c r="AD726" s="211"/>
      <c r="AE726" s="211"/>
      <c r="AF726" s="211"/>
      <c r="AG726" s="211"/>
      <c r="AH726" s="211"/>
      <c r="AI726" s="211"/>
      <c r="AJ726" s="211"/>
      <c r="AL726" s="211"/>
      <c r="AM726" s="211"/>
      <c r="AN726" s="211"/>
      <c r="AO726" s="211"/>
      <c r="AP726" s="215"/>
      <c r="AQ726" s="218"/>
      <c r="AR726" s="211"/>
      <c r="AS726" s="211"/>
      <c r="AT726" s="211"/>
      <c r="AU726" s="211"/>
      <c r="AV726" s="211"/>
      <c r="AW726" s="211"/>
      <c r="AX726" s="211"/>
      <c r="AY726" s="211"/>
      <c r="AZ726" s="211"/>
      <c r="BB726" s="211"/>
      <c r="BC726" s="211"/>
      <c r="BD726" s="211"/>
      <c r="BE726" s="211"/>
      <c r="BF726" s="211"/>
      <c r="BG726" s="211"/>
      <c r="BH726" s="211"/>
      <c r="BI726" s="211"/>
    </row>
    <row r="727">
      <c r="A727" s="210" t="str">
        <f>IFERROR(__xludf.DUMMYFUNCTION("""COMPUTED_VALUE"""),"9fe4ced0")</f>
        <v>9fe4ced0</v>
      </c>
      <c r="B727" s="210" t="str">
        <f>IFERROR(__xludf.DUMMYFUNCTION("""COMPUTED_VALUE"""),"9fe4ced0")</f>
        <v>9fe4ced0</v>
      </c>
      <c r="C727" s="213">
        <f>IFERROR(__xludf.DUMMYFUNCTION("""COMPUTED_VALUE"""),45719.63958333333)</f>
        <v>45719.63958</v>
      </c>
      <c r="D727" s="211" t="str">
        <f>IFERROR(__xludf.DUMMYFUNCTION("""COMPUTED_VALUE"""),"8f5ebaea")</f>
        <v>8f5ebaea</v>
      </c>
      <c r="E727" s="211" t="str">
        <f>IFERROR(__xludf.DUMMYFUNCTION("""COMPUTED_VALUE"""),"PT Hua Zong Mesindo")</f>
        <v>PT Hua Zong Mesindo</v>
      </c>
      <c r="F727" s="211" t="str">
        <f>IFERROR(__xludf.DUMMYFUNCTION("""COMPUTED_VALUE"""),"66af7c72")</f>
        <v>66af7c72</v>
      </c>
      <c r="G727" s="211" t="str">
        <f>IFERROR(__xludf.DUMMYFUNCTION("""COMPUTED_VALUE"""),"Argon 6m3")</f>
        <v>Argon 6m3</v>
      </c>
      <c r="H727" s="214" t="str">
        <f>IFERROR(__xludf.DUMMYFUNCTION("""COMPUTED_VALUE"""),"IN")</f>
        <v>IN</v>
      </c>
      <c r="I727" s="214" t="str">
        <f>IFERROR(__xludf.DUMMYFUNCTION("""COMPUTED_VALUE"""),"EMPTY")</f>
        <v>EMPTY</v>
      </c>
      <c r="J727" s="211">
        <f>IFERROR(__xludf.DUMMYFUNCTION("""COMPUTED_VALUE"""),2.0)</f>
        <v>2</v>
      </c>
      <c r="K727" s="210" t="str">
        <f>IFERROR(__xludf.DUMMYFUNCTION("""COMPUTED_VALUE"""),"8273 8182")</f>
        <v>8273 8182</v>
      </c>
      <c r="L727" s="211">
        <f>IFERROR(__xludf.DUMMYFUNCTION("""COMPUTED_VALUE"""),0.0)</f>
        <v>0</v>
      </c>
      <c r="M727" s="211"/>
      <c r="N727" s="211"/>
      <c r="O727" s="211"/>
      <c r="Q727" s="210" t="str">
        <f>IFERROR(__xludf.DUMMYFUNCTION("""COMPUTED_VALUE"""),"0525211090")</f>
        <v>0525211090</v>
      </c>
      <c r="R727" s="210" t="str">
        <f>IFERROR(__xludf.DUMMYFUNCTION("""COMPUTED_VALUE"""),"0525211090")</f>
        <v>0525211090</v>
      </c>
      <c r="S727" s="211" t="str">
        <f>IFERROR(__xludf.DUMMYFUNCTION("""COMPUTED_VALUE"""),"5f23ba17")</f>
        <v>5f23ba17</v>
      </c>
      <c r="T727" s="211" t="str">
        <f>IFERROR(__xludf.DUMMYFUNCTION("""COMPUTED_VALUE"""),"Bpk. Joko (Gresik)")</f>
        <v>Bpk. Joko (Gresik)</v>
      </c>
      <c r="U727" s="215">
        <f>IFERROR(__xludf.DUMMYFUNCTION("""COMPUTED_VALUE"""),45782.40763888889)</f>
        <v>45782.40764</v>
      </c>
      <c r="V727" s="211" t="str">
        <f>IFERROR(__xludf.DUMMYFUNCTION("""COMPUTED_VALUE"""),"Jl. Raya Wringinanom, Tanggungan, Lebaniwaras, Kec. Wringinanom, Kabupaten Gresik, Jawa Timur 61176")</f>
        <v>Jl. Raya Wringinanom, Tanggungan, Lebaniwaras, Kec. Wringinanom, Kabupaten Gresik, Jawa Timur 61176</v>
      </c>
      <c r="W727" s="211" t="str">
        <f>IFERROR(__xludf.DUMMYFUNCTION("""COMPUTED_VALUE"""),"OUT")</f>
        <v>OUT</v>
      </c>
      <c r="X727" s="211"/>
      <c r="Z727" s="211" t="str">
        <f>IFERROR(__xludf.DUMMYFUNCTION("""COMPUTED_VALUE"""),"102511512")</f>
        <v>102511512</v>
      </c>
      <c r="AC727" s="211"/>
      <c r="AD727" s="211"/>
      <c r="AE727" s="211"/>
      <c r="AF727" s="211"/>
      <c r="AG727" s="211"/>
      <c r="AH727" s="211"/>
      <c r="AI727" s="211"/>
      <c r="AJ727" s="211"/>
      <c r="AL727" s="211"/>
      <c r="AM727" s="211"/>
      <c r="AN727" s="211"/>
      <c r="AO727" s="211"/>
      <c r="AP727" s="215"/>
      <c r="AQ727" s="218"/>
      <c r="AR727" s="211"/>
      <c r="AS727" s="211"/>
      <c r="AT727" s="211"/>
      <c r="AU727" s="211"/>
      <c r="AV727" s="211"/>
      <c r="AW727" s="211"/>
      <c r="AX727" s="211"/>
      <c r="AY727" s="211"/>
      <c r="AZ727" s="211"/>
      <c r="BB727" s="211"/>
      <c r="BC727" s="211"/>
      <c r="BD727" s="211"/>
      <c r="BE727" s="211"/>
      <c r="BF727" s="211"/>
      <c r="BG727" s="211"/>
      <c r="BH727" s="211"/>
      <c r="BI727" s="211"/>
    </row>
    <row r="728">
      <c r="A728" s="210" t="str">
        <f>IFERROR(__xludf.DUMMYFUNCTION("""COMPUTED_VALUE"""),"03250289")</f>
        <v>03250289</v>
      </c>
      <c r="B728" s="210" t="str">
        <f>IFERROR(__xludf.DUMMYFUNCTION("""COMPUTED_VALUE"""),"03250289")</f>
        <v>03250289</v>
      </c>
      <c r="C728" s="213">
        <f>IFERROR(__xludf.DUMMYFUNCTION("""COMPUTED_VALUE"""),45720.427777777775)</f>
        <v>45720.42778</v>
      </c>
      <c r="D728" s="211" t="str">
        <f>IFERROR(__xludf.DUMMYFUNCTION("""COMPUTED_VALUE"""),"e86baf3b")</f>
        <v>e86baf3b</v>
      </c>
      <c r="E728" s="211" t="str">
        <f>IFERROR(__xludf.DUMMYFUNCTION("""COMPUTED_VALUE"""),"PT GEMILANG CIPTA WAWASAN")</f>
        <v>PT GEMILANG CIPTA WAWASAN</v>
      </c>
      <c r="F728" s="211" t="str">
        <f>IFERROR(__xludf.DUMMYFUNCTION("""COMPUTED_VALUE"""),"8bdbe149")</f>
        <v>8bdbe149</v>
      </c>
      <c r="G728" s="211" t="str">
        <f>IFERROR(__xludf.DUMMYFUNCTION("""COMPUTED_VALUE"""),"Oksigen 6m3")</f>
        <v>Oksigen 6m3</v>
      </c>
      <c r="H728" s="214" t="str">
        <f>IFERROR(__xludf.DUMMYFUNCTION("""COMPUTED_VALUE"""),"OUT")</f>
        <v>OUT</v>
      </c>
      <c r="I728" s="214" t="str">
        <f>IFERROR(__xludf.DUMMYFUNCTION("""COMPUTED_VALUE"""),"NORMAL")</f>
        <v>NORMAL</v>
      </c>
      <c r="J728" s="211">
        <f>IFERROR(__xludf.DUMMYFUNCTION("""COMPUTED_VALUE"""),10.0)</f>
        <v>10</v>
      </c>
      <c r="K728" s="210" t="str">
        <f>IFERROR(__xludf.DUMMYFUNCTION("""COMPUTED_VALUE"""),"11144 11158 11164 11150 11138 11163 11136 11139 11198 11204")</f>
        <v>11144 11158 11164 11150 11138 11163 11136 11139 11198 11204</v>
      </c>
      <c r="L728" s="211">
        <f>IFERROR(__xludf.DUMMYFUNCTION("""COMPUTED_VALUE"""),60000.0)</f>
        <v>60000</v>
      </c>
      <c r="M728" s="211"/>
      <c r="N728" s="211"/>
      <c r="O728" s="211"/>
      <c r="Q728" s="210" t="str">
        <f>IFERROR(__xludf.DUMMYFUNCTION("""COMPUTED_VALUE"""),"05250401")</f>
        <v>05250401</v>
      </c>
      <c r="R728" s="210" t="str">
        <f>IFERROR(__xludf.DUMMYFUNCTION("""COMPUTED_VALUE"""),"05250401")</f>
        <v>05250401</v>
      </c>
      <c r="S728" s="211" t="str">
        <f>IFERROR(__xludf.DUMMYFUNCTION("""COMPUTED_VALUE"""),"2d88931c")</f>
        <v>2d88931c</v>
      </c>
      <c r="T728" s="211" t="str">
        <f>IFERROR(__xludf.DUMMYFUNCTION("""COMPUTED_VALUE"""),"PT Dunia Berkat Marga Mulya")</f>
        <v>PT Dunia Berkat Marga Mulya</v>
      </c>
      <c r="U728" s="215">
        <f>IFERROR(__xludf.DUMMYFUNCTION("""COMPUTED_VALUE"""),45782.48819444445)</f>
        <v>45782.48819</v>
      </c>
      <c r="V728" s="211" t="str">
        <f>IFERROR(__xludf.DUMMYFUNCTION("""COMPUTED_VALUE"""),"JL JABARAN, WATESARI, BALONGBENDO, SIDOARJO, JAWA TIMUR")</f>
        <v>JL JABARAN, WATESARI, BALONGBENDO, SIDOARJO, JAWA TIMUR</v>
      </c>
      <c r="W728" s="211" t="str">
        <f>IFERROR(__xludf.DUMMYFUNCTION("""COMPUTED_VALUE"""),"OUT")</f>
        <v>OUT</v>
      </c>
      <c r="X728" s="211"/>
      <c r="Z728" s="211" t="str">
        <f>IFERROR(__xludf.DUMMYFUNCTION("""COMPUTED_VALUE"""),"1025611511")</f>
        <v>1025611511</v>
      </c>
      <c r="AC728" s="211"/>
      <c r="AD728" s="211"/>
      <c r="AE728" s="211"/>
      <c r="AF728" s="211"/>
      <c r="AG728" s="211"/>
      <c r="AH728" s="211"/>
      <c r="AI728" s="211"/>
      <c r="AJ728" s="211"/>
      <c r="AL728" s="211"/>
      <c r="AM728" s="211"/>
      <c r="AN728" s="211"/>
      <c r="AO728" s="211"/>
      <c r="AP728" s="215"/>
      <c r="AQ728" s="218"/>
      <c r="AR728" s="211"/>
      <c r="AS728" s="211"/>
      <c r="AT728" s="211"/>
      <c r="AU728" s="211"/>
      <c r="AV728" s="211"/>
      <c r="AW728" s="211"/>
      <c r="AX728" s="211"/>
      <c r="AY728" s="211"/>
      <c r="AZ728" s="211"/>
      <c r="BB728" s="211"/>
      <c r="BC728" s="211"/>
      <c r="BD728" s="211"/>
      <c r="BE728" s="211"/>
      <c r="BF728" s="211"/>
      <c r="BG728" s="211"/>
      <c r="BH728" s="211"/>
      <c r="BI728" s="211"/>
    </row>
    <row r="729">
      <c r="A729" s="210" t="str">
        <f>IFERROR(__xludf.DUMMYFUNCTION("""COMPUTED_VALUE"""),"03250290")</f>
        <v>03250290</v>
      </c>
      <c r="B729" s="210" t="str">
        <f>IFERROR(__xludf.DUMMYFUNCTION("""COMPUTED_VALUE"""),"03250290")</f>
        <v>03250290</v>
      </c>
      <c r="C729" s="213">
        <f>IFERROR(__xludf.DUMMYFUNCTION("""COMPUTED_VALUE"""),45720.430555555555)</f>
        <v>45720.43056</v>
      </c>
      <c r="D729" s="211" t="str">
        <f>IFERROR(__xludf.DUMMYFUNCTION("""COMPUTED_VALUE"""),"5f23ba17")</f>
        <v>5f23ba17</v>
      </c>
      <c r="E729" s="211" t="str">
        <f>IFERROR(__xludf.DUMMYFUNCTION("""COMPUTED_VALUE"""),"Bpk. Joko (Gresik)")</f>
        <v>Bpk. Joko (Gresik)</v>
      </c>
      <c r="F729" s="211" t="str">
        <f>IFERROR(__xludf.DUMMYFUNCTION("""COMPUTED_VALUE"""),"f6aab7a9")</f>
        <v>f6aab7a9</v>
      </c>
      <c r="G729" s="211" t="str">
        <f>IFERROR(__xludf.DUMMYFUNCTION("""COMPUTED_VALUE"""),"Oksigen 6m3 MR")</f>
        <v>Oksigen 6m3 MR</v>
      </c>
      <c r="H729" s="214" t="str">
        <f>IFERROR(__xludf.DUMMYFUNCTION("""COMPUTED_VALUE"""),"OUT")</f>
        <v>OUT</v>
      </c>
      <c r="I729" s="214" t="str">
        <f>IFERROR(__xludf.DUMMYFUNCTION("""COMPUTED_VALUE"""),"NORMAL")</f>
        <v>NORMAL</v>
      </c>
      <c r="J729" s="211">
        <f>IFERROR(__xludf.DUMMYFUNCTION("""COMPUTED_VALUE"""),10.0)</f>
        <v>10</v>
      </c>
      <c r="K729" s="211"/>
      <c r="L729" s="211">
        <f>IFERROR(__xludf.DUMMYFUNCTION("""COMPUTED_VALUE"""),55000.0)</f>
        <v>55000</v>
      </c>
      <c r="M729" s="211"/>
      <c r="N729" s="211"/>
      <c r="O729" s="211"/>
      <c r="Q729" s="210" t="str">
        <f>IFERROR(__xludf.DUMMYFUNCTION("""COMPUTED_VALUE"""),"f36f7ece")</f>
        <v>f36f7ece</v>
      </c>
      <c r="R729" s="210" t="str">
        <f>IFERROR(__xludf.DUMMYFUNCTION("""COMPUTED_VALUE"""),"f36f7ece")</f>
        <v>f36f7ece</v>
      </c>
      <c r="S729" s="211" t="str">
        <f>IFERROR(__xludf.DUMMYFUNCTION("""COMPUTED_VALUE"""),"5f23ba17")</f>
        <v>5f23ba17</v>
      </c>
      <c r="T729" s="211" t="str">
        <f>IFERROR(__xludf.DUMMYFUNCTION("""COMPUTED_VALUE"""),"Bpk. Joko (Gresik)")</f>
        <v>Bpk. Joko (Gresik)</v>
      </c>
      <c r="U729" s="215">
        <f>IFERROR(__xludf.DUMMYFUNCTION("""COMPUTED_VALUE"""),45782.490277777775)</f>
        <v>45782.49028</v>
      </c>
      <c r="V729" s="211" t="str">
        <f>IFERROR(__xludf.DUMMYFUNCTION("""COMPUTED_VALUE"""),"Jl. Raya Wringinanom, Tanggungan, Lebaniwaras, Kec. Wringinanom, Kabupaten Gresik, Jawa Timur 61176")</f>
        <v>Jl. Raya Wringinanom, Tanggungan, Lebaniwaras, Kec. Wringinanom, Kabupaten Gresik, Jawa Timur 61176</v>
      </c>
      <c r="W729" s="211" t="str">
        <f>IFERROR(__xludf.DUMMYFUNCTION("""COMPUTED_VALUE"""),"IN")</f>
        <v>IN</v>
      </c>
      <c r="X729" s="211"/>
      <c r="Z729" s="211" t="str">
        <f>IFERROR(__xludf.DUMMYFUNCTION("""COMPUTED_VALUE"""),"1025251510")</f>
        <v>1025251510</v>
      </c>
      <c r="AC729" s="211"/>
      <c r="AD729" s="211"/>
      <c r="AE729" s="211"/>
      <c r="AF729" s="211"/>
      <c r="AG729" s="211"/>
      <c r="AH729" s="211"/>
      <c r="AI729" s="211"/>
      <c r="AJ729" s="211"/>
      <c r="AL729" s="211"/>
      <c r="AM729" s="211"/>
      <c r="AN729" s="211"/>
      <c r="AO729" s="211"/>
      <c r="AP729" s="215"/>
      <c r="AQ729" s="218"/>
      <c r="AR729" s="211"/>
      <c r="AS729" s="211"/>
      <c r="AT729" s="211"/>
      <c r="AU729" s="211"/>
      <c r="AV729" s="211"/>
      <c r="AW729" s="211"/>
      <c r="AX729" s="211"/>
      <c r="AY729" s="211"/>
      <c r="AZ729" s="211"/>
      <c r="BB729" s="211"/>
      <c r="BC729" s="211"/>
      <c r="BD729" s="211"/>
      <c r="BE729" s="211"/>
      <c r="BF729" s="211"/>
      <c r="BG729" s="211"/>
      <c r="BH729" s="211"/>
      <c r="BI729" s="211"/>
    </row>
    <row r="730">
      <c r="A730" s="210" t="str">
        <f>IFERROR(__xludf.DUMMYFUNCTION("""COMPUTED_VALUE"""),"fd95a754")</f>
        <v>fd95a754</v>
      </c>
      <c r="B730" s="210" t="str">
        <f>IFERROR(__xludf.DUMMYFUNCTION("""COMPUTED_VALUE"""),"fd95a754")</f>
        <v>fd95a754</v>
      </c>
      <c r="C730" s="213">
        <f>IFERROR(__xludf.DUMMYFUNCTION("""COMPUTED_VALUE"""),45720.52222222222)</f>
        <v>45720.52222</v>
      </c>
      <c r="D730" s="211" t="str">
        <f>IFERROR(__xludf.DUMMYFUNCTION("""COMPUTED_VALUE"""),"5f23ba17")</f>
        <v>5f23ba17</v>
      </c>
      <c r="E730" s="211" t="str">
        <f>IFERROR(__xludf.DUMMYFUNCTION("""COMPUTED_VALUE"""),"Bpk. Joko (Gresik)")</f>
        <v>Bpk. Joko (Gresik)</v>
      </c>
      <c r="F730" s="211" t="str">
        <f>IFERROR(__xludf.DUMMYFUNCTION("""COMPUTED_VALUE"""),"439cf836")</f>
        <v>439cf836</v>
      </c>
      <c r="G730" s="211" t="str">
        <f>IFERROR(__xludf.DUMMYFUNCTION("""COMPUTED_VALUE"""),"Karbondioksida MR")</f>
        <v>Karbondioksida MR</v>
      </c>
      <c r="H730" s="214" t="str">
        <f>IFERROR(__xludf.DUMMYFUNCTION("""COMPUTED_VALUE"""),"IN")</f>
        <v>IN</v>
      </c>
      <c r="I730" s="214" t="str">
        <f>IFERROR(__xludf.DUMMYFUNCTION("""COMPUTED_VALUE"""),"EMPTY")</f>
        <v>EMPTY</v>
      </c>
      <c r="J730" s="211">
        <f>IFERROR(__xludf.DUMMYFUNCTION("""COMPUTED_VALUE"""),1.0)</f>
        <v>1</v>
      </c>
      <c r="K730" s="211"/>
      <c r="L730" s="211">
        <f>IFERROR(__xludf.DUMMYFUNCTION("""COMPUTED_VALUE"""),0.0)</f>
        <v>0</v>
      </c>
      <c r="M730" s="211"/>
      <c r="N730" s="211"/>
      <c r="O730" s="211"/>
      <c r="Q730" s="210" t="str">
        <f>IFERROR(__xludf.DUMMYFUNCTION("""COMPUTED_VALUE"""),"a2504cb8")</f>
        <v>a2504cb8</v>
      </c>
      <c r="R730" s="210" t="str">
        <f>IFERROR(__xludf.DUMMYFUNCTION("""COMPUTED_VALUE"""),"a2504cb8")</f>
        <v>a2504cb8</v>
      </c>
      <c r="S730" s="211" t="str">
        <f>IFERROR(__xludf.DUMMYFUNCTION("""COMPUTED_VALUE"""),"5f23ba17")</f>
        <v>5f23ba17</v>
      </c>
      <c r="T730" s="211" t="str">
        <f>IFERROR(__xludf.DUMMYFUNCTION("""COMPUTED_VALUE"""),"Bpk. Joko (Gresik)")</f>
        <v>Bpk. Joko (Gresik)</v>
      </c>
      <c r="U730" s="215">
        <f>IFERROR(__xludf.DUMMYFUNCTION("""COMPUTED_VALUE"""),45782.490277777775)</f>
        <v>45782.49028</v>
      </c>
      <c r="V730" s="211" t="str">
        <f>IFERROR(__xludf.DUMMYFUNCTION("""COMPUTED_VALUE"""),"Tanggungan, Lebaniwaras, Kec. Wringinanom, Kabupaten Gresik, Jawa Timur")</f>
        <v>Tanggungan, Lebaniwaras, Kec. Wringinanom, Kabupaten Gresik, Jawa Timur</v>
      </c>
      <c r="W730" s="211" t="str">
        <f>IFERROR(__xludf.DUMMYFUNCTION("""COMPUTED_VALUE"""),"IN")</f>
        <v>IN</v>
      </c>
      <c r="X730" s="211"/>
      <c r="Z730" s="211" t="str">
        <f>IFERROR(__xludf.DUMMYFUNCTION("""COMPUTED_VALUE"""),"102521507")</f>
        <v>102521507</v>
      </c>
      <c r="AC730" s="211"/>
      <c r="AD730" s="211"/>
      <c r="AE730" s="211"/>
      <c r="AF730" s="211"/>
      <c r="AG730" s="211"/>
      <c r="AH730" s="211"/>
      <c r="AI730" s="211"/>
      <c r="AJ730" s="211"/>
      <c r="AL730" s="211"/>
      <c r="AM730" s="211"/>
      <c r="AN730" s="211"/>
      <c r="AO730" s="211"/>
      <c r="AP730" s="215"/>
      <c r="AQ730" s="218"/>
      <c r="AR730" s="211"/>
      <c r="AS730" s="211"/>
      <c r="AT730" s="211"/>
      <c r="AU730" s="211"/>
      <c r="AV730" s="211"/>
      <c r="AW730" s="211"/>
      <c r="AX730" s="211"/>
      <c r="AY730" s="211"/>
      <c r="AZ730" s="211"/>
      <c r="BB730" s="211"/>
      <c r="BC730" s="211"/>
      <c r="BD730" s="211"/>
      <c r="BE730" s="211"/>
      <c r="BF730" s="211"/>
      <c r="BG730" s="211"/>
      <c r="BH730" s="211"/>
      <c r="BI730" s="211"/>
    </row>
    <row r="731">
      <c r="A731" s="210" t="str">
        <f>IFERROR(__xludf.DUMMYFUNCTION("""COMPUTED_VALUE"""),"6f4dae45")</f>
        <v>6f4dae45</v>
      </c>
      <c r="B731" s="210" t="str">
        <f>IFERROR(__xludf.DUMMYFUNCTION("""COMPUTED_VALUE"""),"6f4dae45")</f>
        <v>6f4dae45</v>
      </c>
      <c r="C731" s="213">
        <f>IFERROR(__xludf.DUMMYFUNCTION("""COMPUTED_VALUE"""),45720.52222222222)</f>
        <v>45720.52222</v>
      </c>
      <c r="D731" s="211" t="str">
        <f>IFERROR(__xludf.DUMMYFUNCTION("""COMPUTED_VALUE"""),"785e0e07")</f>
        <v>785e0e07</v>
      </c>
      <c r="E731" s="211" t="str">
        <f>IFERROR(__xludf.DUMMYFUNCTION("""COMPUTED_VALUE"""),"Bpk. Sukirno (Bejo)")</f>
        <v>Bpk. Sukirno (Bejo)</v>
      </c>
      <c r="F731" s="211" t="str">
        <f>IFERROR(__xludf.DUMMYFUNCTION("""COMPUTED_VALUE"""),"be525f3b")</f>
        <v>be525f3b</v>
      </c>
      <c r="G731" s="211" t="str">
        <f>IFERROR(__xludf.DUMMYFUNCTION("""COMPUTED_VALUE"""),"LPG 12kg")</f>
        <v>LPG 12kg</v>
      </c>
      <c r="H731" s="214" t="str">
        <f>IFERROR(__xludf.DUMMYFUNCTION("""COMPUTED_VALUE"""),"IN")</f>
        <v>IN</v>
      </c>
      <c r="I731" s="214" t="str">
        <f>IFERROR(__xludf.DUMMYFUNCTION("""COMPUTED_VALUE"""),"EMPTY")</f>
        <v>EMPTY</v>
      </c>
      <c r="J731" s="211">
        <f>IFERROR(__xludf.DUMMYFUNCTION("""COMPUTED_VALUE"""),2.0)</f>
        <v>2</v>
      </c>
      <c r="K731" s="211"/>
      <c r="L731" s="211">
        <f>IFERROR(__xludf.DUMMYFUNCTION("""COMPUTED_VALUE"""),0.0)</f>
        <v>0</v>
      </c>
      <c r="M731" s="211"/>
      <c r="N731" s="211"/>
      <c r="O731" s="211"/>
      <c r="Q731" s="210" t="str">
        <f>IFERROR(__xludf.DUMMYFUNCTION("""COMPUTED_VALUE"""),"05250402")</f>
        <v>05250402</v>
      </c>
      <c r="R731" s="210" t="str">
        <f>IFERROR(__xludf.DUMMYFUNCTION("""COMPUTED_VALUE"""),"05250402")</f>
        <v>05250402</v>
      </c>
      <c r="S731" s="211" t="str">
        <f>IFERROR(__xludf.DUMMYFUNCTION("""COMPUTED_VALUE"""),"ce83e171")</f>
        <v>ce83e171</v>
      </c>
      <c r="T731" s="211" t="str">
        <f>IFERROR(__xludf.DUMMYFUNCTION("""COMPUTED_VALUE"""),"Bpk. Sulaiman")</f>
        <v>Bpk. Sulaiman</v>
      </c>
      <c r="U731" s="215">
        <f>IFERROR(__xludf.DUMMYFUNCTION("""COMPUTED_VALUE"""),45782.5)</f>
        <v>45782.5</v>
      </c>
      <c r="V731" s="211" t="str">
        <f>IFERROR(__xludf.DUMMYFUNCTION("""COMPUTED_VALUE"""),"Jl. Raya Kramat Temenggung No.43, Kramat, Kramat Temenggung, Kec. Tarik, Kabupaten Sidoarjo, Jawa Timur 61265")</f>
        <v>Jl. Raya Kramat Temenggung No.43, Kramat, Kramat Temenggung, Kec. Tarik, Kabupaten Sidoarjo, Jawa Timur 61265</v>
      </c>
      <c r="W731" s="211" t="str">
        <f>IFERROR(__xludf.DUMMYFUNCTION("""COMPUTED_VALUE"""),"OUT")</f>
        <v>OUT</v>
      </c>
      <c r="X731" s="211"/>
      <c r="Z731" s="211" t="str">
        <f>IFERROR(__xludf.DUMMYFUNCTION("""COMPUTED_VALUE"""),"1025251502")</f>
        <v>1025251502</v>
      </c>
      <c r="AC731" s="211"/>
      <c r="AD731" s="211"/>
      <c r="AE731" s="211"/>
      <c r="AF731" s="211"/>
      <c r="AG731" s="211"/>
      <c r="AH731" s="211"/>
      <c r="AI731" s="211"/>
      <c r="AJ731" s="211"/>
      <c r="AL731" s="211"/>
      <c r="AM731" s="211"/>
      <c r="AN731" s="211"/>
      <c r="AO731" s="211"/>
      <c r="AP731" s="215"/>
      <c r="AQ731" s="218"/>
      <c r="AR731" s="211"/>
      <c r="AS731" s="211"/>
      <c r="AT731" s="211"/>
      <c r="AU731" s="211"/>
      <c r="AV731" s="211"/>
      <c r="AW731" s="211"/>
      <c r="AX731" s="211"/>
      <c r="AY731" s="211"/>
      <c r="AZ731" s="211"/>
      <c r="BB731" s="211"/>
      <c r="BC731" s="211"/>
      <c r="BD731" s="211"/>
      <c r="BE731" s="211"/>
      <c r="BF731" s="211"/>
      <c r="BG731" s="211"/>
      <c r="BH731" s="211"/>
      <c r="BI731" s="211"/>
    </row>
    <row r="732">
      <c r="A732" s="210" t="str">
        <f>IFERROR(__xludf.DUMMYFUNCTION("""COMPUTED_VALUE"""),"03250291")</f>
        <v>03250291</v>
      </c>
      <c r="B732" s="210" t="str">
        <f>IFERROR(__xludf.DUMMYFUNCTION("""COMPUTED_VALUE"""),"03250291")</f>
        <v>03250291</v>
      </c>
      <c r="C732" s="213">
        <f>IFERROR(__xludf.DUMMYFUNCTION("""COMPUTED_VALUE"""),45720.52569444444)</f>
        <v>45720.52569</v>
      </c>
      <c r="D732" s="211" t="str">
        <f>IFERROR(__xludf.DUMMYFUNCTION("""COMPUTED_VALUE"""),"785e0e07")</f>
        <v>785e0e07</v>
      </c>
      <c r="E732" s="211" t="str">
        <f>IFERROR(__xludf.DUMMYFUNCTION("""COMPUTED_VALUE"""),"Bpk. Sukirno (Bejo)")</f>
        <v>Bpk. Sukirno (Bejo)</v>
      </c>
      <c r="F732" s="211" t="str">
        <f>IFERROR(__xludf.DUMMYFUNCTION("""COMPUTED_VALUE"""),"8bdbe149")</f>
        <v>8bdbe149</v>
      </c>
      <c r="G732" s="211" t="str">
        <f>IFERROR(__xludf.DUMMYFUNCTION("""COMPUTED_VALUE"""),"Oksigen 6m3")</f>
        <v>Oksigen 6m3</v>
      </c>
      <c r="H732" s="214" t="str">
        <f>IFERROR(__xludf.DUMMYFUNCTION("""COMPUTED_VALUE"""),"OUT")</f>
        <v>OUT</v>
      </c>
      <c r="I732" s="214" t="str">
        <f>IFERROR(__xludf.DUMMYFUNCTION("""COMPUTED_VALUE"""),"NORMAL")</f>
        <v>NORMAL</v>
      </c>
      <c r="J732" s="211">
        <f>IFERROR(__xludf.DUMMYFUNCTION("""COMPUTED_VALUE"""),5.0)</f>
        <v>5</v>
      </c>
      <c r="K732" s="210" t="str">
        <f>IFERROR(__xludf.DUMMYFUNCTION("""COMPUTED_VALUE"""),"07 04 01 11191 12")</f>
        <v>07 04 01 11191 12</v>
      </c>
      <c r="L732" s="211">
        <f>IFERROR(__xludf.DUMMYFUNCTION("""COMPUTED_VALUE"""),60000.0)</f>
        <v>60000</v>
      </c>
      <c r="M732" s="211"/>
      <c r="N732" s="211"/>
      <c r="O732" s="211"/>
      <c r="Q732" s="210" t="str">
        <f>IFERROR(__xludf.DUMMYFUNCTION("""COMPUTED_VALUE"""),"05250403")</f>
        <v>05250403</v>
      </c>
      <c r="R732" s="210" t="str">
        <f>IFERROR(__xludf.DUMMYFUNCTION("""COMPUTED_VALUE"""),"05250403")</f>
        <v>05250403</v>
      </c>
      <c r="S732" s="211" t="str">
        <f>IFERROR(__xludf.DUMMYFUNCTION("""COMPUTED_VALUE"""),"3fec37df")</f>
        <v>3fec37df</v>
      </c>
      <c r="T732" s="211" t="str">
        <f>IFERROR(__xludf.DUMMYFUNCTION("""COMPUTED_VALUE"""),"PT Jatim Abadi Perkasa Steel")</f>
        <v>PT Jatim Abadi Perkasa Steel</v>
      </c>
      <c r="U732" s="215">
        <f>IFERROR(__xludf.DUMMYFUNCTION("""COMPUTED_VALUE"""),45782.5)</f>
        <v>45782.5</v>
      </c>
      <c r="V732" s="211" t="str">
        <f>IFERROR(__xludf.DUMMYFUNCTION("""COMPUTED_VALUE"""),"Dsn. Bulak Sempuh, Jatirejo, Kab. Mojokerto, Jawa Timur")</f>
        <v>Dsn. Bulak Sempuh, Jatirejo, Kab. Mojokerto, Jawa Timur</v>
      </c>
      <c r="W732" s="211" t="str">
        <f>IFERROR(__xludf.DUMMYFUNCTION("""COMPUTED_VALUE"""),"OUT")</f>
        <v>OUT</v>
      </c>
      <c r="X732" s="211"/>
      <c r="Z732" s="211" t="str">
        <f>IFERROR(__xludf.DUMMYFUNCTION("""COMPUTED_VALUE"""),"1025241499")</f>
        <v>1025241499</v>
      </c>
      <c r="AC732" s="211"/>
      <c r="AD732" s="211"/>
      <c r="AE732" s="211"/>
      <c r="AF732" s="211"/>
      <c r="AG732" s="211"/>
      <c r="AH732" s="211"/>
      <c r="AI732" s="211"/>
      <c r="AJ732" s="211"/>
      <c r="AL732" s="211"/>
      <c r="AM732" s="211"/>
      <c r="AN732" s="211"/>
      <c r="AO732" s="211"/>
      <c r="AP732" s="215"/>
      <c r="AQ732" s="218"/>
      <c r="AR732" s="211"/>
      <c r="AS732" s="211"/>
      <c r="AT732" s="211"/>
      <c r="AU732" s="211"/>
      <c r="AV732" s="211"/>
      <c r="AW732" s="211"/>
      <c r="AX732" s="211"/>
      <c r="AY732" s="211"/>
      <c r="AZ732" s="211"/>
      <c r="BB732" s="211"/>
      <c r="BC732" s="211"/>
      <c r="BD732" s="211"/>
      <c r="BE732" s="211"/>
      <c r="BF732" s="211"/>
      <c r="BG732" s="211"/>
      <c r="BH732" s="211"/>
      <c r="BI732" s="211"/>
    </row>
    <row r="733">
      <c r="A733" s="210" t="str">
        <f>IFERROR(__xludf.DUMMYFUNCTION("""COMPUTED_VALUE"""),"03250291")</f>
        <v>03250291</v>
      </c>
      <c r="B733" s="210" t="str">
        <f>IFERROR(__xludf.DUMMYFUNCTION("""COMPUTED_VALUE"""),"03250291")</f>
        <v>03250291</v>
      </c>
      <c r="C733" s="213">
        <f>IFERROR(__xludf.DUMMYFUNCTION("""COMPUTED_VALUE"""),45720.52638888889)</f>
        <v>45720.52639</v>
      </c>
      <c r="D733" s="211" t="str">
        <f>IFERROR(__xludf.DUMMYFUNCTION("""COMPUTED_VALUE"""),"785e0e07")</f>
        <v>785e0e07</v>
      </c>
      <c r="E733" s="211" t="str">
        <f>IFERROR(__xludf.DUMMYFUNCTION("""COMPUTED_VALUE"""),"Bpk. Sukirno (Bejo)")</f>
        <v>Bpk. Sukirno (Bejo)</v>
      </c>
      <c r="F733" s="211" t="str">
        <f>IFERROR(__xludf.DUMMYFUNCTION("""COMPUTED_VALUE"""),"be525f3b")</f>
        <v>be525f3b</v>
      </c>
      <c r="G733" s="211" t="str">
        <f>IFERROR(__xludf.DUMMYFUNCTION("""COMPUTED_VALUE"""),"LPG 12kg")</f>
        <v>LPG 12kg</v>
      </c>
      <c r="H733" s="214" t="str">
        <f>IFERROR(__xludf.DUMMYFUNCTION("""COMPUTED_VALUE"""),"OUT")</f>
        <v>OUT</v>
      </c>
      <c r="I733" s="214" t="str">
        <f>IFERROR(__xludf.DUMMYFUNCTION("""COMPUTED_VALUE"""),"NORMAL")</f>
        <v>NORMAL</v>
      </c>
      <c r="J733" s="211">
        <f>IFERROR(__xludf.DUMMYFUNCTION("""COMPUTED_VALUE"""),2.0)</f>
        <v>2</v>
      </c>
      <c r="K733" s="211"/>
      <c r="L733" s="211">
        <f>IFERROR(__xludf.DUMMYFUNCTION("""COMPUTED_VALUE"""),210000.0)</f>
        <v>210000</v>
      </c>
      <c r="M733" s="211"/>
      <c r="N733" s="211"/>
      <c r="O733" s="211"/>
      <c r="Q733" s="210" t="str">
        <f>IFERROR(__xludf.DUMMYFUNCTION("""COMPUTED_VALUE"""),"cb6dcffa")</f>
        <v>cb6dcffa</v>
      </c>
      <c r="R733" s="210" t="str">
        <f>IFERROR(__xludf.DUMMYFUNCTION("""COMPUTED_VALUE"""),"cb6dcffa")</f>
        <v>cb6dcffa</v>
      </c>
      <c r="S733" s="211" t="str">
        <f>IFERROR(__xludf.DUMMYFUNCTION("""COMPUTED_VALUE"""),"e86baf3b")</f>
        <v>e86baf3b</v>
      </c>
      <c r="T733" s="211" t="str">
        <f>IFERROR(__xludf.DUMMYFUNCTION("""COMPUTED_VALUE"""),"PT GEMILANG CIPTA WAWASAN")</f>
        <v>PT GEMILANG CIPTA WAWASAN</v>
      </c>
      <c r="U733" s="215">
        <f>IFERROR(__xludf.DUMMYFUNCTION("""COMPUTED_VALUE"""),45782.50069444445)</f>
        <v>45782.50069</v>
      </c>
      <c r="V733" s="211" t="str">
        <f>IFERROR(__xludf.DUMMYFUNCTION("""COMPUTED_VALUE"""),"JL TEBET RAYA, 2A, TEBET BARAT, TEBET, KOTA ADM, JAKARTA SELATAN, DKI JAKARTA")</f>
        <v>JL TEBET RAYA, 2A, TEBET BARAT, TEBET, KOTA ADM, JAKARTA SELATAN, DKI JAKARTA</v>
      </c>
      <c r="W733" s="211" t="str">
        <f>IFERROR(__xludf.DUMMYFUNCTION("""COMPUTED_VALUE"""),"IN")</f>
        <v>IN</v>
      </c>
      <c r="X733" s="211"/>
      <c r="Z733" s="211" t="str">
        <f>IFERROR(__xludf.DUMMYFUNCTION("""COMPUTED_VALUE"""),"1025341498")</f>
        <v>1025341498</v>
      </c>
      <c r="AC733" s="211"/>
      <c r="AD733" s="211"/>
      <c r="AE733" s="211"/>
      <c r="AF733" s="211"/>
      <c r="AG733" s="211"/>
      <c r="AH733" s="211"/>
      <c r="AI733" s="211"/>
      <c r="AJ733" s="211"/>
      <c r="AL733" s="211"/>
      <c r="AM733" s="211"/>
      <c r="AN733" s="211"/>
      <c r="AO733" s="211"/>
      <c r="AP733" s="215"/>
      <c r="AQ733" s="218"/>
      <c r="AR733" s="211"/>
      <c r="AS733" s="211"/>
      <c r="AT733" s="211"/>
      <c r="AU733" s="211"/>
      <c r="AV733" s="211"/>
      <c r="AW733" s="211"/>
      <c r="AX733" s="211"/>
      <c r="AY733" s="211"/>
      <c r="AZ733" s="211"/>
      <c r="BB733" s="211"/>
      <c r="BC733" s="211"/>
      <c r="BD733" s="211"/>
      <c r="BE733" s="211"/>
      <c r="BF733" s="211"/>
      <c r="BG733" s="211"/>
      <c r="BH733" s="211"/>
      <c r="BI733" s="211"/>
    </row>
    <row r="734">
      <c r="A734" s="210" t="str">
        <f>IFERROR(__xludf.DUMMYFUNCTION("""COMPUTED_VALUE"""),"03250293")</f>
        <v>03250293</v>
      </c>
      <c r="B734" s="210" t="str">
        <f>IFERROR(__xludf.DUMMYFUNCTION("""COMPUTED_VALUE"""),"03250293")</f>
        <v>03250293</v>
      </c>
      <c r="C734" s="213">
        <f>IFERROR(__xludf.DUMMYFUNCTION("""COMPUTED_VALUE"""),45720.52638888889)</f>
        <v>45720.52639</v>
      </c>
      <c r="D734" s="211" t="str">
        <f>IFERROR(__xludf.DUMMYFUNCTION("""COMPUTED_VALUE"""),"7b9d8eba")</f>
        <v>7b9d8eba</v>
      </c>
      <c r="E734" s="211" t="str">
        <f>IFERROR(__xludf.DUMMYFUNCTION("""COMPUTED_VALUE"""),"PT PELANGI INDOKARYA")</f>
        <v>PT PELANGI INDOKARYA</v>
      </c>
      <c r="F734" s="211" t="str">
        <f>IFERROR(__xludf.DUMMYFUNCTION("""COMPUTED_VALUE"""),"8bdbe149")</f>
        <v>8bdbe149</v>
      </c>
      <c r="G734" s="211" t="str">
        <f>IFERROR(__xludf.DUMMYFUNCTION("""COMPUTED_VALUE"""),"Oksigen 6m3")</f>
        <v>Oksigen 6m3</v>
      </c>
      <c r="H734" s="214" t="str">
        <f>IFERROR(__xludf.DUMMYFUNCTION("""COMPUTED_VALUE"""),"OUT")</f>
        <v>OUT</v>
      </c>
      <c r="I734" s="214" t="str">
        <f>IFERROR(__xludf.DUMMYFUNCTION("""COMPUTED_VALUE"""),"NORMAL")</f>
        <v>NORMAL</v>
      </c>
      <c r="J734" s="211">
        <f>IFERROR(__xludf.DUMMYFUNCTION("""COMPUTED_VALUE"""),3.0)</f>
        <v>3</v>
      </c>
      <c r="K734" s="210" t="str">
        <f>IFERROR(__xludf.DUMMYFUNCTION("""COMPUTED_VALUE"""),"1127 11107 1171")</f>
        <v>1127 11107 1171</v>
      </c>
      <c r="L734" s="211">
        <f>IFERROR(__xludf.DUMMYFUNCTION("""COMPUTED_VALUE"""),60000.0)</f>
        <v>60000</v>
      </c>
      <c r="M734" s="211"/>
      <c r="N734" s="211"/>
      <c r="O734" s="211"/>
      <c r="Q734" s="210" t="str">
        <f>IFERROR(__xludf.DUMMYFUNCTION("""COMPUTED_VALUE"""),"af793585")</f>
        <v>af793585</v>
      </c>
      <c r="R734" s="210" t="str">
        <f>IFERROR(__xludf.DUMMYFUNCTION("""COMPUTED_VALUE"""),"af793585")</f>
        <v>af793585</v>
      </c>
      <c r="S734" s="211" t="str">
        <f>IFERROR(__xludf.DUMMYFUNCTION("""COMPUTED_VALUE"""),"01158be1")</f>
        <v>01158be1</v>
      </c>
      <c r="T734" s="211" t="str">
        <f>IFERROR(__xludf.DUMMYFUNCTION("""COMPUTED_VALUE"""),"GYF")</f>
        <v>GYF</v>
      </c>
      <c r="U734" s="215">
        <f>IFERROR(__xludf.DUMMYFUNCTION("""COMPUTED_VALUE"""),45782.50138888889)</f>
        <v>45782.50139</v>
      </c>
      <c r="V734" s="211" t="str">
        <f>IFERROR(__xludf.DUMMYFUNCTION("""COMPUTED_VALUE"""),"Kangkungan, Lengkong, Kec. Mojoanyar, Kabupaten Mojokerto, Jawa Timur")</f>
        <v>Kangkungan, Lengkong, Kec. Mojoanyar, Kabupaten Mojokerto, Jawa Timur</v>
      </c>
      <c r="W734" s="211" t="str">
        <f>IFERROR(__xludf.DUMMYFUNCTION("""COMPUTED_VALUE"""),"IN")</f>
        <v>IN</v>
      </c>
      <c r="X734" s="211"/>
      <c r="Z734" s="211" t="str">
        <f>IFERROR(__xludf.DUMMYFUNCTION("""COMPUTED_VALUE"""),"1025601496")</f>
        <v>1025601496</v>
      </c>
      <c r="AC734" s="211"/>
      <c r="AD734" s="211"/>
      <c r="AE734" s="211"/>
      <c r="AF734" s="211"/>
      <c r="AG734" s="211"/>
      <c r="AH734" s="211"/>
      <c r="AI734" s="211"/>
      <c r="AJ734" s="211"/>
      <c r="AL734" s="211"/>
      <c r="AM734" s="211"/>
      <c r="AN734" s="211"/>
      <c r="AO734" s="211"/>
      <c r="AP734" s="215"/>
      <c r="AQ734" s="218"/>
      <c r="AR734" s="211"/>
      <c r="AS734" s="211"/>
      <c r="AT734" s="211"/>
      <c r="AU734" s="211"/>
      <c r="AV734" s="211"/>
      <c r="AW734" s="211"/>
      <c r="AX734" s="211"/>
      <c r="AY734" s="211"/>
      <c r="AZ734" s="211"/>
      <c r="BB734" s="211"/>
      <c r="BC734" s="211"/>
      <c r="BD734" s="211"/>
      <c r="BE734" s="211"/>
      <c r="BF734" s="211"/>
      <c r="BG734" s="211"/>
      <c r="BH734" s="211"/>
      <c r="BI734" s="211"/>
    </row>
    <row r="735">
      <c r="A735" s="210" t="str">
        <f>IFERROR(__xludf.DUMMYFUNCTION("""COMPUTED_VALUE"""),"b39071b8")</f>
        <v>b39071b8</v>
      </c>
      <c r="B735" s="210" t="str">
        <f>IFERROR(__xludf.DUMMYFUNCTION("""COMPUTED_VALUE"""),"b39071b8")</f>
        <v>b39071b8</v>
      </c>
      <c r="C735" s="213">
        <f>IFERROR(__xludf.DUMMYFUNCTION("""COMPUTED_VALUE"""),45720.65277777778)</f>
        <v>45720.65278</v>
      </c>
      <c r="D735" s="211" t="str">
        <f>IFERROR(__xludf.DUMMYFUNCTION("""COMPUTED_VALUE"""),"7b9d8eba")</f>
        <v>7b9d8eba</v>
      </c>
      <c r="E735" s="211" t="str">
        <f>IFERROR(__xludf.DUMMYFUNCTION("""COMPUTED_VALUE"""),"PT PELANGI INDOKARYA")</f>
        <v>PT PELANGI INDOKARYA</v>
      </c>
      <c r="F735" s="211" t="str">
        <f>IFERROR(__xludf.DUMMYFUNCTION("""COMPUTED_VALUE"""),"8bdbe149")</f>
        <v>8bdbe149</v>
      </c>
      <c r="G735" s="211" t="str">
        <f>IFERROR(__xludf.DUMMYFUNCTION("""COMPUTED_VALUE"""),"Oksigen 6m3")</f>
        <v>Oksigen 6m3</v>
      </c>
      <c r="H735" s="214" t="str">
        <f>IFERROR(__xludf.DUMMYFUNCTION("""COMPUTED_VALUE"""),"IN")</f>
        <v>IN</v>
      </c>
      <c r="I735" s="214" t="str">
        <f>IFERROR(__xludf.DUMMYFUNCTION("""COMPUTED_VALUE"""),"EMPTY")</f>
        <v>EMPTY</v>
      </c>
      <c r="J735" s="211">
        <f>IFERROR(__xludf.DUMMYFUNCTION("""COMPUTED_VALUE"""),1.0)</f>
        <v>1</v>
      </c>
      <c r="K735" s="210" t="str">
        <f>IFERROR(__xludf.DUMMYFUNCTION("""COMPUTED_VALUE"""),"1164")</f>
        <v>1164</v>
      </c>
      <c r="L735" s="211">
        <f>IFERROR(__xludf.DUMMYFUNCTION("""COMPUTED_VALUE"""),0.0)</f>
        <v>0</v>
      </c>
      <c r="M735" s="211"/>
      <c r="N735" s="211"/>
      <c r="O735" s="211"/>
      <c r="Q735" s="210" t="str">
        <f>IFERROR(__xludf.DUMMYFUNCTION("""COMPUTED_VALUE"""),"05250404")</f>
        <v>05250404</v>
      </c>
      <c r="R735" s="210" t="str">
        <f>IFERROR(__xludf.DUMMYFUNCTION("""COMPUTED_VALUE"""),"05250404")</f>
        <v>05250404</v>
      </c>
      <c r="S735" s="211" t="str">
        <f>IFERROR(__xludf.DUMMYFUNCTION("""COMPUTED_VALUE"""),"17a8e612")</f>
        <v>17a8e612</v>
      </c>
      <c r="T735" s="211" t="str">
        <f>IFERROR(__xludf.DUMMYFUNCTION("""COMPUTED_VALUE"""),"Flashtech Machinery")</f>
        <v>Flashtech Machinery</v>
      </c>
      <c r="U735" s="215">
        <f>IFERROR(__xludf.DUMMYFUNCTION("""COMPUTED_VALUE"""),45782.652083333334)</f>
        <v>45782.65208</v>
      </c>
      <c r="V735" s="211" t="str">
        <f>IFERROR(__xludf.DUMMYFUNCTION("""COMPUTED_VALUE"""),"Pergudangan Point Center blok A no.4, Kemangsen")</f>
        <v>Pergudangan Point Center blok A no.4, Kemangsen</v>
      </c>
      <c r="W735" s="211" t="str">
        <f>IFERROR(__xludf.DUMMYFUNCTION("""COMPUTED_VALUE"""),"OUT")</f>
        <v>OUT</v>
      </c>
      <c r="X735" s="211"/>
      <c r="Z735" s="211" t="str">
        <f>IFERROR(__xludf.DUMMYFUNCTION("""COMPUTED_VALUE"""),"1025161489")</f>
        <v>1025161489</v>
      </c>
      <c r="AC735" s="211"/>
      <c r="AD735" s="211"/>
      <c r="AE735" s="211"/>
      <c r="AF735" s="211"/>
      <c r="AG735" s="211"/>
      <c r="AH735" s="211"/>
      <c r="AI735" s="211"/>
      <c r="AJ735" s="211"/>
      <c r="AL735" s="211"/>
      <c r="AM735" s="211"/>
      <c r="AN735" s="211"/>
      <c r="AO735" s="211"/>
      <c r="AP735" s="215"/>
      <c r="AQ735" s="218"/>
      <c r="AR735" s="211"/>
      <c r="AS735" s="211"/>
      <c r="AT735" s="211"/>
      <c r="AU735" s="211"/>
      <c r="AV735" s="211"/>
      <c r="AW735" s="211"/>
      <c r="AX735" s="211"/>
      <c r="AY735" s="211"/>
      <c r="AZ735" s="211"/>
      <c r="BB735" s="211"/>
      <c r="BC735" s="211"/>
      <c r="BD735" s="211"/>
      <c r="BE735" s="211"/>
      <c r="BF735" s="211"/>
      <c r="BG735" s="211"/>
      <c r="BH735" s="211"/>
      <c r="BI735" s="211"/>
    </row>
    <row r="736">
      <c r="A736" s="210" t="str">
        <f>IFERROR(__xludf.DUMMYFUNCTION("""COMPUTED_VALUE"""),"497b4279")</f>
        <v>497b4279</v>
      </c>
      <c r="B736" s="210" t="str">
        <f>IFERROR(__xludf.DUMMYFUNCTION("""COMPUTED_VALUE"""),"497b4279")</f>
        <v>497b4279</v>
      </c>
      <c r="C736" s="213">
        <f>IFERROR(__xludf.DUMMYFUNCTION("""COMPUTED_VALUE"""),45720.65833333333)</f>
        <v>45720.65833</v>
      </c>
      <c r="D736" s="211" t="str">
        <f>IFERROR(__xludf.DUMMYFUNCTION("""COMPUTED_VALUE"""),"01158be1")</f>
        <v>01158be1</v>
      </c>
      <c r="E736" s="211" t="str">
        <f>IFERROR(__xludf.DUMMYFUNCTION("""COMPUTED_VALUE"""),"GYF")</f>
        <v>GYF</v>
      </c>
      <c r="F736" s="211" t="str">
        <f>IFERROR(__xludf.DUMMYFUNCTION("""COMPUTED_VALUE"""),"8bdbe149")</f>
        <v>8bdbe149</v>
      </c>
      <c r="G736" s="211" t="str">
        <f>IFERROR(__xludf.DUMMYFUNCTION("""COMPUTED_VALUE"""),"Oksigen 6m3")</f>
        <v>Oksigen 6m3</v>
      </c>
      <c r="H736" s="214" t="str">
        <f>IFERROR(__xludf.DUMMYFUNCTION("""COMPUTED_VALUE"""),"IN")</f>
        <v>IN</v>
      </c>
      <c r="I736" s="214" t="str">
        <f>IFERROR(__xludf.DUMMYFUNCTION("""COMPUTED_VALUE"""),"EMPTY")</f>
        <v>EMPTY</v>
      </c>
      <c r="J736" s="211">
        <f>IFERROR(__xludf.DUMMYFUNCTION("""COMPUTED_VALUE"""),4.0)</f>
        <v>4</v>
      </c>
      <c r="K736" s="210" t="str">
        <f>IFERROR(__xludf.DUMMYFUNCTION("""COMPUTED_VALUE"""),"11129 11120 11161 11210")</f>
        <v>11129 11120 11161 11210</v>
      </c>
      <c r="L736" s="211">
        <f>IFERROR(__xludf.DUMMYFUNCTION("""COMPUTED_VALUE"""),0.0)</f>
        <v>0</v>
      </c>
      <c r="M736" s="211"/>
      <c r="N736" s="211"/>
      <c r="O736" s="211"/>
      <c r="Q736" s="210" t="str">
        <f>IFERROR(__xludf.DUMMYFUNCTION("""COMPUTED_VALUE"""),"7cba302b")</f>
        <v>7cba302b</v>
      </c>
      <c r="R736" s="210" t="str">
        <f>IFERROR(__xludf.DUMMYFUNCTION("""COMPUTED_VALUE"""),"7cba302b")</f>
        <v>7cba302b</v>
      </c>
      <c r="S736" s="211" t="str">
        <f>IFERROR(__xludf.DUMMYFUNCTION("""COMPUTED_VALUE"""),"ce83e171")</f>
        <v>ce83e171</v>
      </c>
      <c r="T736" s="211" t="str">
        <f>IFERROR(__xludf.DUMMYFUNCTION("""COMPUTED_VALUE"""),"Bpk. Sulaiman")</f>
        <v>Bpk. Sulaiman</v>
      </c>
      <c r="U736" s="215">
        <f>IFERROR(__xludf.DUMMYFUNCTION("""COMPUTED_VALUE"""),45782.65486111111)</f>
        <v>45782.65486</v>
      </c>
      <c r="V736" s="211" t="str">
        <f>IFERROR(__xludf.DUMMYFUNCTION("""COMPUTED_VALUE"""),"Jl. Raya Kramat Temenggung No.43, Kramat, Kramat Temenggung, Kec. Tarik, Kabupaten Sidoarjo, Jawa Timur 61265")</f>
        <v>Jl. Raya Kramat Temenggung No.43, Kramat, Kramat Temenggung, Kec. Tarik, Kabupaten Sidoarjo, Jawa Timur 61265</v>
      </c>
      <c r="W736" s="211" t="str">
        <f>IFERROR(__xludf.DUMMYFUNCTION("""COMPUTED_VALUE"""),"IN")</f>
        <v>IN</v>
      </c>
      <c r="X736" s="211"/>
      <c r="Z736" s="211" t="str">
        <f>IFERROR(__xludf.DUMMYFUNCTION("""COMPUTED_VALUE"""),"102571488")</f>
        <v>102571488</v>
      </c>
      <c r="AC736" s="211"/>
      <c r="AD736" s="211"/>
      <c r="AE736" s="211"/>
      <c r="AF736" s="211"/>
      <c r="AG736" s="211"/>
      <c r="AH736" s="211"/>
      <c r="AI736" s="211"/>
      <c r="AJ736" s="211"/>
      <c r="AL736" s="211"/>
      <c r="AM736" s="211"/>
      <c r="AN736" s="211"/>
      <c r="AO736" s="211"/>
      <c r="AP736" s="215"/>
      <c r="AQ736" s="218"/>
      <c r="AR736" s="211"/>
      <c r="AS736" s="211"/>
      <c r="AT736" s="211"/>
      <c r="AU736" s="211"/>
      <c r="AV736" s="211"/>
      <c r="AW736" s="211"/>
      <c r="AX736" s="211"/>
      <c r="AY736" s="211"/>
      <c r="AZ736" s="211"/>
      <c r="BB736" s="211"/>
      <c r="BC736" s="211"/>
      <c r="BD736" s="211"/>
      <c r="BE736" s="211"/>
      <c r="BF736" s="211"/>
      <c r="BG736" s="211"/>
      <c r="BH736" s="211"/>
      <c r="BI736" s="211"/>
    </row>
    <row r="737">
      <c r="A737" s="210" t="str">
        <f>IFERROR(__xludf.DUMMYFUNCTION("""COMPUTED_VALUE"""),"369fdfbe")</f>
        <v>369fdfbe</v>
      </c>
      <c r="B737" s="210" t="str">
        <f>IFERROR(__xludf.DUMMYFUNCTION("""COMPUTED_VALUE"""),"369fdfbe")</f>
        <v>369fdfbe</v>
      </c>
      <c r="C737" s="213">
        <f>IFERROR(__xludf.DUMMYFUNCTION("""COMPUTED_VALUE"""),45720.65833333333)</f>
        <v>45720.65833</v>
      </c>
      <c r="D737" s="211" t="str">
        <f>IFERROR(__xludf.DUMMYFUNCTION("""COMPUTED_VALUE"""),"e86baf3b")</f>
        <v>e86baf3b</v>
      </c>
      <c r="E737" s="211" t="str">
        <f>IFERROR(__xludf.DUMMYFUNCTION("""COMPUTED_VALUE"""),"PT GEMILANG CIPTA WAWASAN")</f>
        <v>PT GEMILANG CIPTA WAWASAN</v>
      </c>
      <c r="F737" s="211" t="str">
        <f>IFERROR(__xludf.DUMMYFUNCTION("""COMPUTED_VALUE"""),"8bdbe149")</f>
        <v>8bdbe149</v>
      </c>
      <c r="G737" s="211" t="str">
        <f>IFERROR(__xludf.DUMMYFUNCTION("""COMPUTED_VALUE"""),"Oksigen 6m3")</f>
        <v>Oksigen 6m3</v>
      </c>
      <c r="H737" s="214" t="str">
        <f>IFERROR(__xludf.DUMMYFUNCTION("""COMPUTED_VALUE"""),"IN")</f>
        <v>IN</v>
      </c>
      <c r="I737" s="214" t="str">
        <f>IFERROR(__xludf.DUMMYFUNCTION("""COMPUTED_VALUE"""),"EMPTY")</f>
        <v>EMPTY</v>
      </c>
      <c r="J737" s="211">
        <f>IFERROR(__xludf.DUMMYFUNCTION("""COMPUTED_VALUE"""),9.0)</f>
        <v>9</v>
      </c>
      <c r="K737" s="210" t="str">
        <f>IFERROR(__xludf.DUMMYFUNCTION("""COMPUTED_VALUE"""),"11169 11171 11142 1125 11205 11183 1143 1105 1151")</f>
        <v>11169 11171 11142 1125 11205 11183 1143 1105 1151</v>
      </c>
      <c r="L737" s="211">
        <f>IFERROR(__xludf.DUMMYFUNCTION("""COMPUTED_VALUE"""),0.0)</f>
        <v>0</v>
      </c>
      <c r="M737" s="211"/>
      <c r="N737" s="211"/>
      <c r="O737" s="211"/>
      <c r="Q737" s="210" t="str">
        <f>IFERROR(__xludf.DUMMYFUNCTION("""COMPUTED_VALUE"""),"63c9393a")</f>
        <v>63c9393a</v>
      </c>
      <c r="R737" s="210" t="str">
        <f>IFERROR(__xludf.DUMMYFUNCTION("""COMPUTED_VALUE"""),"63c9393a")</f>
        <v>63c9393a</v>
      </c>
      <c r="S737" s="211" t="str">
        <f>IFERROR(__xludf.DUMMYFUNCTION("""COMPUTED_VALUE"""),"3fec37df")</f>
        <v>3fec37df</v>
      </c>
      <c r="T737" s="211" t="str">
        <f>IFERROR(__xludf.DUMMYFUNCTION("""COMPUTED_VALUE"""),"PT Jatim Abadi Perkasa Steel")</f>
        <v>PT Jatim Abadi Perkasa Steel</v>
      </c>
      <c r="U737" s="215">
        <f>IFERROR(__xludf.DUMMYFUNCTION("""COMPUTED_VALUE"""),45782.65555555555)</f>
        <v>45782.65556</v>
      </c>
      <c r="V737" s="211" t="str">
        <f>IFERROR(__xludf.DUMMYFUNCTION("""COMPUTED_VALUE"""),"Dsn. Bulak Sempuh, Jatirejo, Kab. Mojokerto, Jawa Timur")</f>
        <v>Dsn. Bulak Sempuh, Jatirejo, Kab. Mojokerto, Jawa Timur</v>
      </c>
      <c r="W737" s="211" t="str">
        <f>IFERROR(__xludf.DUMMYFUNCTION("""COMPUTED_VALUE"""),"IN")</f>
        <v>IN</v>
      </c>
      <c r="X737" s="211"/>
      <c r="Z737" s="211" t="str">
        <f>IFERROR(__xludf.DUMMYFUNCTION("""COMPUTED_VALUE"""),"1025151487")</f>
        <v>1025151487</v>
      </c>
      <c r="AC737" s="211"/>
      <c r="AD737" s="211"/>
      <c r="AE737" s="211"/>
      <c r="AF737" s="211"/>
      <c r="AG737" s="211"/>
      <c r="AH737" s="211"/>
      <c r="AI737" s="211"/>
      <c r="AJ737" s="211"/>
      <c r="AL737" s="211"/>
      <c r="AM737" s="211"/>
      <c r="AN737" s="211"/>
      <c r="AO737" s="211"/>
      <c r="AP737" s="215"/>
      <c r="AQ737" s="218"/>
      <c r="AR737" s="211"/>
      <c r="AS737" s="211"/>
      <c r="AT737" s="211"/>
      <c r="AU737" s="211"/>
      <c r="AV737" s="211"/>
      <c r="AW737" s="211"/>
      <c r="AX737" s="211"/>
      <c r="AY737" s="211"/>
      <c r="AZ737" s="211"/>
      <c r="BB737" s="211"/>
      <c r="BC737" s="211"/>
      <c r="BD737" s="211"/>
      <c r="BE737" s="211"/>
      <c r="BF737" s="211"/>
      <c r="BG737" s="211"/>
      <c r="BH737" s="211"/>
      <c r="BI737" s="211"/>
    </row>
    <row r="738">
      <c r="A738" s="210" t="str">
        <f>IFERROR(__xludf.DUMMYFUNCTION("""COMPUTED_VALUE"""),"369fdfbe")</f>
        <v>369fdfbe</v>
      </c>
      <c r="B738" s="210" t="str">
        <f>IFERROR(__xludf.DUMMYFUNCTION("""COMPUTED_VALUE"""),"369fdfbe")</f>
        <v>369fdfbe</v>
      </c>
      <c r="C738" s="213">
        <f>IFERROR(__xludf.DUMMYFUNCTION("""COMPUTED_VALUE"""),45720.65902777778)</f>
        <v>45720.65903</v>
      </c>
      <c r="D738" s="211" t="str">
        <f>IFERROR(__xludf.DUMMYFUNCTION("""COMPUTED_VALUE"""),"e86baf3b")</f>
        <v>e86baf3b</v>
      </c>
      <c r="E738" s="211" t="str">
        <f>IFERROR(__xludf.DUMMYFUNCTION("""COMPUTED_VALUE"""),"PT GEMILANG CIPTA WAWASAN")</f>
        <v>PT GEMILANG CIPTA WAWASAN</v>
      </c>
      <c r="F738" s="211" t="str">
        <f>IFERROR(__xludf.DUMMYFUNCTION("""COMPUTED_VALUE"""),"66af7c72")</f>
        <v>66af7c72</v>
      </c>
      <c r="G738" s="211" t="str">
        <f>IFERROR(__xludf.DUMMYFUNCTION("""COMPUTED_VALUE"""),"Argon 6m3")</f>
        <v>Argon 6m3</v>
      </c>
      <c r="H738" s="214" t="str">
        <f>IFERROR(__xludf.DUMMYFUNCTION("""COMPUTED_VALUE"""),"IN")</f>
        <v>IN</v>
      </c>
      <c r="I738" s="214" t="str">
        <f>IFERROR(__xludf.DUMMYFUNCTION("""COMPUTED_VALUE"""),"EMPTY")</f>
        <v>EMPTY</v>
      </c>
      <c r="J738" s="211">
        <f>IFERROR(__xludf.DUMMYFUNCTION("""COMPUTED_VALUE"""),5.0)</f>
        <v>5</v>
      </c>
      <c r="K738" s="210" t="str">
        <f>IFERROR(__xludf.DUMMYFUNCTION("""COMPUTED_VALUE"""),"11152 11166 11137 1126 11167")</f>
        <v>11152 11166 11137 1126 11167</v>
      </c>
      <c r="L738" s="211">
        <f>IFERROR(__xludf.DUMMYFUNCTION("""COMPUTED_VALUE"""),0.0)</f>
        <v>0</v>
      </c>
      <c r="M738" s="211"/>
      <c r="N738" s="211"/>
      <c r="O738" s="211"/>
      <c r="Q738" s="210" t="str">
        <f>IFERROR(__xludf.DUMMYFUNCTION("""COMPUTED_VALUE"""),"b20ce46a")</f>
        <v>b20ce46a</v>
      </c>
      <c r="R738" s="210" t="str">
        <f>IFERROR(__xludf.DUMMYFUNCTION("""COMPUTED_VALUE"""),"b20ce46a")</f>
        <v>b20ce46a</v>
      </c>
      <c r="S738" s="211" t="str">
        <f>IFERROR(__xludf.DUMMYFUNCTION("""COMPUTED_VALUE"""),"2d88931c")</f>
        <v>2d88931c</v>
      </c>
      <c r="T738" s="211" t="str">
        <f>IFERROR(__xludf.DUMMYFUNCTION("""COMPUTED_VALUE"""),"PT Dunia Berkat Marga Mulya")</f>
        <v>PT Dunia Berkat Marga Mulya</v>
      </c>
      <c r="U738" s="215">
        <f>IFERROR(__xludf.DUMMYFUNCTION("""COMPUTED_VALUE"""),45782.70763888889)</f>
        <v>45782.70764</v>
      </c>
      <c r="V738" s="211" t="str">
        <f>IFERROR(__xludf.DUMMYFUNCTION("""COMPUTED_VALUE"""),"JL JABARAN, WATESARI, BALONGBENDO, SIDOARJO, JAWA TIMUR")</f>
        <v>JL JABARAN, WATESARI, BALONGBENDO, SIDOARJO, JAWA TIMUR</v>
      </c>
      <c r="W738" s="211" t="str">
        <f>IFERROR(__xludf.DUMMYFUNCTION("""COMPUTED_VALUE"""),"IN")</f>
        <v>IN</v>
      </c>
      <c r="X738" s="211"/>
      <c r="Z738" s="211" t="str">
        <f>IFERROR(__xludf.DUMMYFUNCTION("""COMPUTED_VALUE"""),"1025251486")</f>
        <v>1025251486</v>
      </c>
      <c r="AC738" s="211"/>
      <c r="AD738" s="211"/>
      <c r="AE738" s="211"/>
      <c r="AF738" s="211"/>
      <c r="AG738" s="211"/>
      <c r="AH738" s="211"/>
      <c r="AI738" s="211"/>
      <c r="AJ738" s="211"/>
      <c r="AL738" s="211"/>
      <c r="AM738" s="211"/>
      <c r="AN738" s="211"/>
      <c r="AO738" s="211"/>
      <c r="AP738" s="215"/>
      <c r="AQ738" s="218"/>
      <c r="AR738" s="211"/>
      <c r="AS738" s="211"/>
      <c r="AT738" s="211"/>
      <c r="AU738" s="211"/>
      <c r="AV738" s="211"/>
      <c r="AW738" s="211"/>
      <c r="AX738" s="211"/>
      <c r="AY738" s="211"/>
      <c r="AZ738" s="211"/>
      <c r="BB738" s="211"/>
      <c r="BC738" s="211"/>
      <c r="BD738" s="211"/>
      <c r="BE738" s="211"/>
      <c r="BF738" s="211"/>
      <c r="BG738" s="211"/>
      <c r="BH738" s="211"/>
      <c r="BI738" s="211"/>
    </row>
    <row r="739">
      <c r="A739" s="210" t="str">
        <f>IFERROR(__xludf.DUMMYFUNCTION("""COMPUTED_VALUE"""),"d8e75b96")</f>
        <v>d8e75b96</v>
      </c>
      <c r="B739" s="210" t="str">
        <f>IFERROR(__xludf.DUMMYFUNCTION("""COMPUTED_VALUE"""),"d8e75b96")</f>
        <v>d8e75b96</v>
      </c>
      <c r="C739" s="213">
        <f>IFERROR(__xludf.DUMMYFUNCTION("""COMPUTED_VALUE"""),45720.660416666666)</f>
        <v>45720.66042</v>
      </c>
      <c r="D739" s="211" t="str">
        <f>IFERROR(__xludf.DUMMYFUNCTION("""COMPUTED_VALUE"""),"103f3ae7")</f>
        <v>103f3ae7</v>
      </c>
      <c r="E739" s="211" t="str">
        <f>IFERROR(__xludf.DUMMYFUNCTION("""COMPUTED_VALUE"""),"PT ARYANA CAKASANA")</f>
        <v>PT ARYANA CAKASANA</v>
      </c>
      <c r="F739" s="211" t="str">
        <f>IFERROR(__xludf.DUMMYFUNCTION("""COMPUTED_VALUE"""),"8bdbe149")</f>
        <v>8bdbe149</v>
      </c>
      <c r="G739" s="211" t="str">
        <f>IFERROR(__xludf.DUMMYFUNCTION("""COMPUTED_VALUE"""),"Oksigen 6m3")</f>
        <v>Oksigen 6m3</v>
      </c>
      <c r="H739" s="214" t="str">
        <f>IFERROR(__xludf.DUMMYFUNCTION("""COMPUTED_VALUE"""),"IN")</f>
        <v>IN</v>
      </c>
      <c r="I739" s="214" t="str">
        <f>IFERROR(__xludf.DUMMYFUNCTION("""COMPUTED_VALUE"""),"EMPTY")</f>
        <v>EMPTY</v>
      </c>
      <c r="J739" s="211">
        <f>IFERROR(__xludf.DUMMYFUNCTION("""COMPUTED_VALUE"""),3.0)</f>
        <v>3</v>
      </c>
      <c r="K739" s="210" t="str">
        <f>IFERROR(__xludf.DUMMYFUNCTION("""COMPUTED_VALUE"""),"1137 11105 1135")</f>
        <v>1137 11105 1135</v>
      </c>
      <c r="L739" s="211">
        <f>IFERROR(__xludf.DUMMYFUNCTION("""COMPUTED_VALUE"""),0.0)</f>
        <v>0</v>
      </c>
      <c r="M739" s="211"/>
      <c r="N739" s="211"/>
      <c r="O739" s="211"/>
      <c r="Q739" s="210" t="str">
        <f>IFERROR(__xludf.DUMMYFUNCTION("""COMPUTED_VALUE"""),"05250406")</f>
        <v>05250406</v>
      </c>
      <c r="R739" s="210" t="str">
        <f>IFERROR(__xludf.DUMMYFUNCTION("""COMPUTED_VALUE"""),"05250406")</f>
        <v>05250406</v>
      </c>
      <c r="S739" s="211" t="str">
        <f>IFERROR(__xludf.DUMMYFUNCTION("""COMPUTED_VALUE"""),"e86baf3b")</f>
        <v>e86baf3b</v>
      </c>
      <c r="T739" s="211" t="str">
        <f>IFERROR(__xludf.DUMMYFUNCTION("""COMPUTED_VALUE"""),"PT GEMILANG CIPTA WAWASAN")</f>
        <v>PT GEMILANG CIPTA WAWASAN</v>
      </c>
      <c r="U739" s="215">
        <f>IFERROR(__xludf.DUMMYFUNCTION("""COMPUTED_VALUE"""),45783.3375)</f>
        <v>45783.3375</v>
      </c>
      <c r="V739" s="211" t="str">
        <f>IFERROR(__xludf.DUMMYFUNCTION("""COMPUTED_VALUE"""),"JL TEBET RAYA, 2A, TEBET BARAT, TEBET, KOTA ADM, JAKARTA SELATAN, DKI JAKARTA")</f>
        <v>JL TEBET RAYA, 2A, TEBET BARAT, TEBET, KOTA ADM, JAKARTA SELATAN, DKI JAKARTA</v>
      </c>
      <c r="W739" s="211" t="str">
        <f>IFERROR(__xludf.DUMMYFUNCTION("""COMPUTED_VALUE"""),"OUT")</f>
        <v>OUT</v>
      </c>
      <c r="X739" s="211"/>
      <c r="Z739" s="211" t="str">
        <f>IFERROR(__xludf.DUMMYFUNCTION("""COMPUTED_VALUE"""),"1025241484")</f>
        <v>1025241484</v>
      </c>
      <c r="AC739" s="211"/>
      <c r="AD739" s="211"/>
      <c r="AE739" s="211"/>
      <c r="AF739" s="211"/>
      <c r="AG739" s="211"/>
      <c r="AH739" s="211"/>
      <c r="AI739" s="211"/>
      <c r="AJ739" s="211"/>
      <c r="AL739" s="211"/>
      <c r="AM739" s="211"/>
      <c r="AN739" s="211"/>
      <c r="AO739" s="211"/>
      <c r="AP739" s="215"/>
      <c r="AQ739" s="218"/>
      <c r="AR739" s="211"/>
      <c r="AS739" s="211"/>
      <c r="AT739" s="211"/>
      <c r="AU739" s="211"/>
      <c r="AV739" s="211"/>
      <c r="AW739" s="211"/>
      <c r="AX739" s="211"/>
      <c r="AY739" s="211"/>
      <c r="AZ739" s="211"/>
      <c r="BB739" s="211"/>
      <c r="BC739" s="211"/>
      <c r="BD739" s="211"/>
      <c r="BE739" s="211"/>
      <c r="BF739" s="211"/>
      <c r="BG739" s="211"/>
      <c r="BH739" s="211"/>
      <c r="BI739" s="211"/>
    </row>
    <row r="740">
      <c r="A740" s="210" t="str">
        <f>IFERROR(__xludf.DUMMYFUNCTION("""COMPUTED_VALUE"""),"03250294")</f>
        <v>03250294</v>
      </c>
      <c r="B740" s="210" t="str">
        <f>IFERROR(__xludf.DUMMYFUNCTION("""COMPUTED_VALUE"""),"03250294")</f>
        <v>03250294</v>
      </c>
      <c r="C740" s="213">
        <f>IFERROR(__xludf.DUMMYFUNCTION("""COMPUTED_VALUE"""),45721.42569444444)</f>
        <v>45721.42569</v>
      </c>
      <c r="D740" s="211" t="str">
        <f>IFERROR(__xludf.DUMMYFUNCTION("""COMPUTED_VALUE"""),"01158be1")</f>
        <v>01158be1</v>
      </c>
      <c r="E740" s="211" t="str">
        <f>IFERROR(__xludf.DUMMYFUNCTION("""COMPUTED_VALUE"""),"GYF")</f>
        <v>GYF</v>
      </c>
      <c r="F740" s="211" t="str">
        <f>IFERROR(__xludf.DUMMYFUNCTION("""COMPUTED_VALUE"""),"8bdbe149")</f>
        <v>8bdbe149</v>
      </c>
      <c r="G740" s="211" t="str">
        <f>IFERROR(__xludf.DUMMYFUNCTION("""COMPUTED_VALUE"""),"Oksigen 6m3")</f>
        <v>Oksigen 6m3</v>
      </c>
      <c r="H740" s="214" t="str">
        <f>IFERROR(__xludf.DUMMYFUNCTION("""COMPUTED_VALUE"""),"OUT")</f>
        <v>OUT</v>
      </c>
      <c r="I740" s="214" t="str">
        <f>IFERROR(__xludf.DUMMYFUNCTION("""COMPUTED_VALUE"""),"NORMAL")</f>
        <v>NORMAL</v>
      </c>
      <c r="J740" s="211">
        <f>IFERROR(__xludf.DUMMYFUNCTION("""COMPUTED_VALUE"""),10.0)</f>
        <v>10</v>
      </c>
      <c r="K740" s="210" t="str">
        <f>IFERROR(__xludf.DUMMYFUNCTION("""COMPUTED_VALUE"""),"11183 11205 11210 11129 11176 11105 1143 1105 1135 11120")</f>
        <v>11183 11205 11210 11129 11176 11105 1143 1105 1135 11120</v>
      </c>
      <c r="L740" s="211">
        <f>IFERROR(__xludf.DUMMYFUNCTION("""COMPUTED_VALUE"""),45000.0)</f>
        <v>45000</v>
      </c>
      <c r="M740" s="211"/>
      <c r="N740" s="211"/>
      <c r="O740" s="211"/>
      <c r="Q740" s="210" t="str">
        <f>IFERROR(__xludf.DUMMYFUNCTION("""COMPUTED_VALUE"""),"05250408")</f>
        <v>05250408</v>
      </c>
      <c r="R740" s="210" t="str">
        <f>IFERROR(__xludf.DUMMYFUNCTION("""COMPUTED_VALUE"""),"05250408")</f>
        <v>05250408</v>
      </c>
      <c r="S740" s="211" t="str">
        <f>IFERROR(__xludf.DUMMYFUNCTION("""COMPUTED_VALUE"""),"01158be1")</f>
        <v>01158be1</v>
      </c>
      <c r="T740" s="211" t="str">
        <f>IFERROR(__xludf.DUMMYFUNCTION("""COMPUTED_VALUE"""),"GYF")</f>
        <v>GYF</v>
      </c>
      <c r="U740" s="215">
        <f>IFERROR(__xludf.DUMMYFUNCTION("""COMPUTED_VALUE"""),45783.33888888889)</f>
        <v>45783.33889</v>
      </c>
      <c r="V740" s="211" t="str">
        <f>IFERROR(__xludf.DUMMYFUNCTION("""COMPUTED_VALUE"""),"Kangkungan, Lengkong, Kec. Mojoanyar, Kabupaten Mojokerto, Jawa Timur")</f>
        <v>Kangkungan, Lengkong, Kec. Mojoanyar, Kabupaten Mojokerto, Jawa Timur</v>
      </c>
      <c r="W740" s="211" t="str">
        <f>IFERROR(__xludf.DUMMYFUNCTION("""COMPUTED_VALUE"""),"OUT")</f>
        <v>OUT</v>
      </c>
      <c r="X740" s="211"/>
      <c r="Z740" s="211" t="str">
        <f>IFERROR(__xludf.DUMMYFUNCTION("""COMPUTED_VALUE"""),"102571481")</f>
        <v>102571481</v>
      </c>
      <c r="AC740" s="211"/>
      <c r="AD740" s="211"/>
      <c r="AE740" s="211"/>
      <c r="AF740" s="211"/>
      <c r="AG740" s="211"/>
      <c r="AH740" s="211"/>
      <c r="AI740" s="211"/>
      <c r="AJ740" s="211"/>
      <c r="AL740" s="211"/>
      <c r="AM740" s="211"/>
      <c r="AN740" s="211"/>
      <c r="AO740" s="211"/>
      <c r="AP740" s="215"/>
      <c r="AQ740" s="218"/>
      <c r="AR740" s="211"/>
      <c r="AS740" s="211"/>
      <c r="AT740" s="211"/>
      <c r="AU740" s="211"/>
      <c r="AV740" s="211"/>
      <c r="AW740" s="211"/>
      <c r="AX740" s="211"/>
      <c r="AY740" s="211"/>
      <c r="AZ740" s="211"/>
      <c r="BB740" s="211"/>
      <c r="BC740" s="211"/>
      <c r="BD740" s="211"/>
      <c r="BE740" s="211"/>
      <c r="BF740" s="211"/>
      <c r="BG740" s="211"/>
      <c r="BH740" s="211"/>
      <c r="BI740" s="211"/>
    </row>
    <row r="741">
      <c r="A741" s="210" t="str">
        <f>IFERROR(__xludf.DUMMYFUNCTION("""COMPUTED_VALUE"""),"03250295")</f>
        <v>03250295</v>
      </c>
      <c r="B741" s="210" t="str">
        <f>IFERROR(__xludf.DUMMYFUNCTION("""COMPUTED_VALUE"""),"03250295")</f>
        <v>03250295</v>
      </c>
      <c r="C741" s="213">
        <f>IFERROR(__xludf.DUMMYFUNCTION("""COMPUTED_VALUE"""),45721.51944444444)</f>
        <v>45721.51944</v>
      </c>
      <c r="D741" s="211" t="str">
        <f>IFERROR(__xludf.DUMMYFUNCTION("""COMPUTED_VALUE"""),"785e0e07")</f>
        <v>785e0e07</v>
      </c>
      <c r="E741" s="211" t="str">
        <f>IFERROR(__xludf.DUMMYFUNCTION("""COMPUTED_VALUE"""),"Bpk. Sukirno (Bejo)")</f>
        <v>Bpk. Sukirno (Bejo)</v>
      </c>
      <c r="F741" s="211" t="str">
        <f>IFERROR(__xludf.DUMMYFUNCTION("""COMPUTED_VALUE"""),"8bdbe149")</f>
        <v>8bdbe149</v>
      </c>
      <c r="G741" s="211" t="str">
        <f>IFERROR(__xludf.DUMMYFUNCTION("""COMPUTED_VALUE"""),"Oksigen 6m3")</f>
        <v>Oksigen 6m3</v>
      </c>
      <c r="H741" s="214" t="str">
        <f>IFERROR(__xludf.DUMMYFUNCTION("""COMPUTED_VALUE"""),"OUT")</f>
        <v>OUT</v>
      </c>
      <c r="I741" s="214" t="str">
        <f>IFERROR(__xludf.DUMMYFUNCTION("""COMPUTED_VALUE"""),"NORMAL")</f>
        <v>NORMAL</v>
      </c>
      <c r="J741" s="211">
        <f>IFERROR(__xludf.DUMMYFUNCTION("""COMPUTED_VALUE"""),7.0)</f>
        <v>7</v>
      </c>
      <c r="K741" s="210" t="str">
        <f>IFERROR(__xludf.DUMMYFUNCTION("""COMPUTED_VALUE"""),"11171 11142 1137 1125 11161 11169 1151")</f>
        <v>11171 11142 1137 1125 11161 11169 1151</v>
      </c>
      <c r="L741" s="211">
        <f>IFERROR(__xludf.DUMMYFUNCTION("""COMPUTED_VALUE"""),60000.0)</f>
        <v>60000</v>
      </c>
      <c r="M741" s="211"/>
      <c r="N741" s="211"/>
      <c r="O741" s="211"/>
      <c r="Q741" s="210" t="str">
        <f>IFERROR(__xludf.DUMMYFUNCTION("""COMPUTED_VALUE"""),"05250409")</f>
        <v>05250409</v>
      </c>
      <c r="R741" s="210" t="str">
        <f>IFERROR(__xludf.DUMMYFUNCTION("""COMPUTED_VALUE"""),"05250409")</f>
        <v>05250409</v>
      </c>
      <c r="S741" s="211" t="str">
        <f>IFERROR(__xludf.DUMMYFUNCTION("""COMPUTED_VALUE"""),"3a48b432")</f>
        <v>3a48b432</v>
      </c>
      <c r="T741" s="211" t="str">
        <f>IFERROR(__xludf.DUMMYFUNCTION("""COMPUTED_VALUE"""),"Dio")</f>
        <v>Dio</v>
      </c>
      <c r="U741" s="215">
        <f>IFERROR(__xludf.DUMMYFUNCTION("""COMPUTED_VALUE"""),45783.22777777778)</f>
        <v>45783.22778</v>
      </c>
      <c r="V741" s="211" t="str">
        <f>IFERROR(__xludf.DUMMYFUNCTION("""COMPUTED_VALUE"""),"#N/A")</f>
        <v>#N/A</v>
      </c>
      <c r="W741" s="211" t="str">
        <f>IFERROR(__xludf.DUMMYFUNCTION("""COMPUTED_VALUE"""),"OUT")</f>
        <v>OUT</v>
      </c>
      <c r="X741" s="211"/>
      <c r="Z741" s="211" t="str">
        <f>IFERROR(__xludf.DUMMYFUNCTION("""COMPUTED_VALUE"""),"1025591479")</f>
        <v>1025591479</v>
      </c>
      <c r="AC741" s="211"/>
      <c r="AD741" s="211"/>
      <c r="AE741" s="211"/>
      <c r="AF741" s="211"/>
      <c r="AG741" s="211"/>
      <c r="AH741" s="211"/>
      <c r="AI741" s="211"/>
      <c r="AJ741" s="211"/>
      <c r="AL741" s="211"/>
      <c r="AM741" s="211"/>
      <c r="AN741" s="211"/>
      <c r="AO741" s="211"/>
      <c r="AP741" s="215"/>
      <c r="AQ741" s="218"/>
      <c r="AR741" s="211"/>
      <c r="AS741" s="211"/>
      <c r="AT741" s="211"/>
      <c r="AU741" s="211"/>
      <c r="AV741" s="211"/>
      <c r="AW741" s="211"/>
      <c r="AX741" s="211"/>
      <c r="AY741" s="211"/>
      <c r="AZ741" s="211"/>
      <c r="BB741" s="211"/>
      <c r="BC741" s="211"/>
      <c r="BD741" s="211"/>
      <c r="BE741" s="211"/>
      <c r="BF741" s="211"/>
      <c r="BG741" s="211"/>
      <c r="BH741" s="211"/>
      <c r="BI741" s="211"/>
    </row>
    <row r="742">
      <c r="A742" s="210" t="str">
        <f>IFERROR(__xludf.DUMMYFUNCTION("""COMPUTED_VALUE"""),"03250295")</f>
        <v>03250295</v>
      </c>
      <c r="B742" s="210" t="str">
        <f>IFERROR(__xludf.DUMMYFUNCTION("""COMPUTED_VALUE"""),"03250295")</f>
        <v>03250295</v>
      </c>
      <c r="C742" s="213">
        <f>IFERROR(__xludf.DUMMYFUNCTION("""COMPUTED_VALUE"""),45721.52013888889)</f>
        <v>45721.52014</v>
      </c>
      <c r="D742" s="211" t="str">
        <f>IFERROR(__xludf.DUMMYFUNCTION("""COMPUTED_VALUE"""),"785e0e07")</f>
        <v>785e0e07</v>
      </c>
      <c r="E742" s="211" t="str">
        <f>IFERROR(__xludf.DUMMYFUNCTION("""COMPUTED_VALUE"""),"Bpk. Sukirno (Bejo)")</f>
        <v>Bpk. Sukirno (Bejo)</v>
      </c>
      <c r="F742" s="211" t="str">
        <f>IFERROR(__xludf.DUMMYFUNCTION("""COMPUTED_VALUE"""),"be525f3b")</f>
        <v>be525f3b</v>
      </c>
      <c r="G742" s="211" t="str">
        <f>IFERROR(__xludf.DUMMYFUNCTION("""COMPUTED_VALUE"""),"LPG 12kg")</f>
        <v>LPG 12kg</v>
      </c>
      <c r="H742" s="214" t="str">
        <f>IFERROR(__xludf.DUMMYFUNCTION("""COMPUTED_VALUE"""),"OUT")</f>
        <v>OUT</v>
      </c>
      <c r="I742" s="214" t="str">
        <f>IFERROR(__xludf.DUMMYFUNCTION("""COMPUTED_VALUE"""),"NORMAL")</f>
        <v>NORMAL</v>
      </c>
      <c r="J742" s="211">
        <f>IFERROR(__xludf.DUMMYFUNCTION("""COMPUTED_VALUE"""),2.0)</f>
        <v>2</v>
      </c>
      <c r="K742" s="211"/>
      <c r="L742" s="211">
        <f>IFERROR(__xludf.DUMMYFUNCTION("""COMPUTED_VALUE"""),210000.0)</f>
        <v>210000</v>
      </c>
      <c r="M742" s="211"/>
      <c r="N742" s="211"/>
      <c r="O742" s="211"/>
      <c r="Q742" s="210" t="str">
        <f>IFERROR(__xludf.DUMMYFUNCTION("""COMPUTED_VALUE"""),"05250410")</f>
        <v>05250410</v>
      </c>
      <c r="R742" s="210" t="str">
        <f>IFERROR(__xludf.DUMMYFUNCTION("""COMPUTED_VALUE"""),"05250410")</f>
        <v>05250410</v>
      </c>
      <c r="S742" s="211" t="str">
        <f>IFERROR(__xludf.DUMMYFUNCTION("""COMPUTED_VALUE"""),"785e0e07")</f>
        <v>785e0e07</v>
      </c>
      <c r="T742" s="211" t="str">
        <f>IFERROR(__xludf.DUMMYFUNCTION("""COMPUTED_VALUE"""),"Bpk. Sukirno (Bejo)")</f>
        <v>Bpk. Sukirno (Bejo)</v>
      </c>
      <c r="U742" s="215">
        <f>IFERROR(__xludf.DUMMYFUNCTION("""COMPUTED_VALUE"""),45783.40902777778)</f>
        <v>45783.40903</v>
      </c>
      <c r="V742" s="211" t="str">
        <f>IFERROR(__xludf.DUMMYFUNCTION("""COMPUTED_VALUE"""),"Krajan I, Wringinanom, Kec. Wringinanom, Kabupaten Gresik, Jawa Timur 61176")</f>
        <v>Krajan I, Wringinanom, Kec. Wringinanom, Kabupaten Gresik, Jawa Timur 61176</v>
      </c>
      <c r="W742" s="211" t="str">
        <f>IFERROR(__xludf.DUMMYFUNCTION("""COMPUTED_VALUE"""),"OUT")</f>
        <v>OUT</v>
      </c>
      <c r="X742" s="211"/>
      <c r="Z742" s="211" t="str">
        <f>IFERROR(__xludf.DUMMYFUNCTION("""COMPUTED_VALUE"""),"102521478")</f>
        <v>102521478</v>
      </c>
      <c r="AC742" s="211"/>
      <c r="AD742" s="211"/>
      <c r="AE742" s="211"/>
      <c r="AF742" s="211"/>
      <c r="AG742" s="211"/>
      <c r="AH742" s="211"/>
      <c r="AI742" s="211"/>
      <c r="AJ742" s="211"/>
      <c r="AL742" s="211"/>
      <c r="AM742" s="211"/>
      <c r="AN742" s="211"/>
      <c r="AO742" s="211"/>
      <c r="AP742" s="215"/>
      <c r="AQ742" s="218"/>
      <c r="AR742" s="211"/>
      <c r="AS742" s="211"/>
      <c r="AT742" s="211"/>
      <c r="AU742" s="211"/>
      <c r="AV742" s="211"/>
      <c r="AW742" s="211"/>
      <c r="AX742" s="211"/>
      <c r="AY742" s="211"/>
      <c r="AZ742" s="211"/>
      <c r="BB742" s="211"/>
      <c r="BC742" s="211"/>
      <c r="BD742" s="211"/>
      <c r="BE742" s="211"/>
      <c r="BF742" s="211"/>
      <c r="BG742" s="211"/>
      <c r="BH742" s="211"/>
      <c r="BI742" s="211"/>
    </row>
    <row r="743">
      <c r="A743" s="210" t="str">
        <f>IFERROR(__xludf.DUMMYFUNCTION("""COMPUTED_VALUE"""),"2d9fec6e")</f>
        <v>2d9fec6e</v>
      </c>
      <c r="B743" s="210" t="str">
        <f>IFERROR(__xludf.DUMMYFUNCTION("""COMPUTED_VALUE"""),"2d9fec6e")</f>
        <v>2d9fec6e</v>
      </c>
      <c r="C743" s="213">
        <f>IFERROR(__xludf.DUMMYFUNCTION("""COMPUTED_VALUE"""),45721.646527777775)</f>
        <v>45721.64653</v>
      </c>
      <c r="D743" s="211" t="str">
        <f>IFERROR(__xludf.DUMMYFUNCTION("""COMPUTED_VALUE"""),"e86baf3b")</f>
        <v>e86baf3b</v>
      </c>
      <c r="E743" s="211" t="str">
        <f>IFERROR(__xludf.DUMMYFUNCTION("""COMPUTED_VALUE"""),"PT GEMILANG CIPTA WAWASAN")</f>
        <v>PT GEMILANG CIPTA WAWASAN</v>
      </c>
      <c r="F743" s="211" t="str">
        <f>IFERROR(__xludf.DUMMYFUNCTION("""COMPUTED_VALUE"""),"66af7c72")</f>
        <v>66af7c72</v>
      </c>
      <c r="G743" s="211" t="str">
        <f>IFERROR(__xludf.DUMMYFUNCTION("""COMPUTED_VALUE"""),"Argon 6m3")</f>
        <v>Argon 6m3</v>
      </c>
      <c r="H743" s="214" t="str">
        <f>IFERROR(__xludf.DUMMYFUNCTION("""COMPUTED_VALUE"""),"IN")</f>
        <v>IN</v>
      </c>
      <c r="I743" s="214" t="str">
        <f>IFERROR(__xludf.DUMMYFUNCTION("""COMPUTED_VALUE"""),"EMPTY")</f>
        <v>EMPTY</v>
      </c>
      <c r="J743" s="211">
        <f>IFERROR(__xludf.DUMMYFUNCTION("""COMPUTED_VALUE"""),2.0)</f>
        <v>2</v>
      </c>
      <c r="K743" s="210" t="str">
        <f>IFERROR(__xludf.DUMMYFUNCTION("""COMPUTED_VALUE"""),"8256 8243")</f>
        <v>8256 8243</v>
      </c>
      <c r="L743" s="211">
        <f>IFERROR(__xludf.DUMMYFUNCTION("""COMPUTED_VALUE"""),0.0)</f>
        <v>0</v>
      </c>
      <c r="M743" s="211"/>
      <c r="N743" s="211"/>
      <c r="O743" s="211"/>
      <c r="Q743" s="210" t="str">
        <f>IFERROR(__xludf.DUMMYFUNCTION("""COMPUTED_VALUE"""),"7528e2c3")</f>
        <v>7528e2c3</v>
      </c>
      <c r="R743" s="210" t="str">
        <f>IFERROR(__xludf.DUMMYFUNCTION("""COMPUTED_VALUE"""),"7528e2c3")</f>
        <v>7528e2c3</v>
      </c>
      <c r="S743" s="211" t="str">
        <f>IFERROR(__xludf.DUMMYFUNCTION("""COMPUTED_VALUE"""),"103f3ae7")</f>
        <v>103f3ae7</v>
      </c>
      <c r="T743" s="211" t="str">
        <f>IFERROR(__xludf.DUMMYFUNCTION("""COMPUTED_VALUE"""),"PT ARYANA CAKASANA")</f>
        <v>PT ARYANA CAKASANA</v>
      </c>
      <c r="U743" s="215">
        <f>IFERROR(__xludf.DUMMYFUNCTION("""COMPUTED_VALUE"""),45783.48125)</f>
        <v>45783.48125</v>
      </c>
      <c r="V743" s="211" t="str">
        <f>IFERROR(__xludf.DUMMYFUNCTION("""COMPUTED_VALUE"""),"Jl Raya Tarik No. 45, Wonokupang, Bakalan, Balongbendo")</f>
        <v>Jl Raya Tarik No. 45, Wonokupang, Bakalan, Balongbendo</v>
      </c>
      <c r="W743" s="211" t="str">
        <f>IFERROR(__xludf.DUMMYFUNCTION("""COMPUTED_VALUE"""),"IN")</f>
        <v>IN</v>
      </c>
      <c r="X743" s="211"/>
      <c r="Z743" s="211" t="str">
        <f>IFERROR(__xludf.DUMMYFUNCTION("""COMPUTED_VALUE"""),"1025331477")</f>
        <v>1025331477</v>
      </c>
      <c r="AC743" s="211"/>
      <c r="AD743" s="211"/>
      <c r="AE743" s="211"/>
      <c r="AF743" s="211"/>
      <c r="AG743" s="211"/>
      <c r="AH743" s="211"/>
      <c r="AI743" s="211"/>
      <c r="AJ743" s="211"/>
      <c r="AL743" s="211"/>
      <c r="AM743" s="211"/>
      <c r="AN743" s="211"/>
      <c r="AO743" s="211"/>
      <c r="AP743" s="215"/>
      <c r="AQ743" s="218"/>
      <c r="AR743" s="211"/>
      <c r="AS743" s="211"/>
      <c r="AT743" s="211"/>
      <c r="AU743" s="211"/>
      <c r="AV743" s="211"/>
      <c r="AW743" s="211"/>
      <c r="AX743" s="211"/>
      <c r="AY743" s="211"/>
      <c r="AZ743" s="211"/>
      <c r="BB743" s="211"/>
      <c r="BC743" s="211"/>
      <c r="BD743" s="211"/>
      <c r="BE743" s="211"/>
      <c r="BF743" s="211"/>
      <c r="BG743" s="211"/>
      <c r="BH743" s="211"/>
      <c r="BI743" s="211"/>
    </row>
    <row r="744">
      <c r="A744" s="210" t="str">
        <f>IFERROR(__xludf.DUMMYFUNCTION("""COMPUTED_VALUE"""),"2d9fec6e")</f>
        <v>2d9fec6e</v>
      </c>
      <c r="B744" s="210" t="str">
        <f>IFERROR(__xludf.DUMMYFUNCTION("""COMPUTED_VALUE"""),"2d9fec6e")</f>
        <v>2d9fec6e</v>
      </c>
      <c r="C744" s="213">
        <f>IFERROR(__xludf.DUMMYFUNCTION("""COMPUTED_VALUE"""),45721.64722222222)</f>
        <v>45721.64722</v>
      </c>
      <c r="D744" s="211" t="str">
        <f>IFERROR(__xludf.DUMMYFUNCTION("""COMPUTED_VALUE"""),"e86baf3b")</f>
        <v>e86baf3b</v>
      </c>
      <c r="E744" s="211" t="str">
        <f>IFERROR(__xludf.DUMMYFUNCTION("""COMPUTED_VALUE"""),"PT GEMILANG CIPTA WAWASAN")</f>
        <v>PT GEMILANG CIPTA WAWASAN</v>
      </c>
      <c r="F744" s="211" t="str">
        <f>IFERROR(__xludf.DUMMYFUNCTION("""COMPUTED_VALUE"""),"be525f3b")</f>
        <v>be525f3b</v>
      </c>
      <c r="G744" s="211" t="str">
        <f>IFERROR(__xludf.DUMMYFUNCTION("""COMPUTED_VALUE"""),"LPG 12kg")</f>
        <v>LPG 12kg</v>
      </c>
      <c r="H744" s="214" t="str">
        <f>IFERROR(__xludf.DUMMYFUNCTION("""COMPUTED_VALUE"""),"IN")</f>
        <v>IN</v>
      </c>
      <c r="I744" s="214" t="str">
        <f>IFERROR(__xludf.DUMMYFUNCTION("""COMPUTED_VALUE"""),"EMPTY")</f>
        <v>EMPTY</v>
      </c>
      <c r="J744" s="211">
        <f>IFERROR(__xludf.DUMMYFUNCTION("""COMPUTED_VALUE"""),1.0)</f>
        <v>1</v>
      </c>
      <c r="K744" s="211"/>
      <c r="L744" s="211">
        <f>IFERROR(__xludf.DUMMYFUNCTION("""COMPUTED_VALUE"""),0.0)</f>
        <v>0</v>
      </c>
      <c r="M744" s="211"/>
      <c r="N744" s="211"/>
      <c r="O744" s="211"/>
      <c r="Q744" s="210" t="str">
        <f>IFERROR(__xludf.DUMMYFUNCTION("""COMPUTED_VALUE"""),"c8e2df28")</f>
        <v>c8e2df28</v>
      </c>
      <c r="R744" s="210" t="str">
        <f>IFERROR(__xludf.DUMMYFUNCTION("""COMPUTED_VALUE"""),"c8e2df28")</f>
        <v>c8e2df28</v>
      </c>
      <c r="S744" s="211" t="str">
        <f>IFERROR(__xludf.DUMMYFUNCTION("""COMPUTED_VALUE"""),"8f5ebaea")</f>
        <v>8f5ebaea</v>
      </c>
      <c r="T744" s="211" t="str">
        <f>IFERROR(__xludf.DUMMYFUNCTION("""COMPUTED_VALUE"""),"PT Hua Zong Mesindo")</f>
        <v>PT Hua Zong Mesindo</v>
      </c>
      <c r="U744" s="215">
        <f>IFERROR(__xludf.DUMMYFUNCTION("""COMPUTED_VALUE"""),45783.643055555556)</f>
        <v>45783.64306</v>
      </c>
      <c r="V744" s="211" t="str">
        <f>IFERROR(__xludf.DUMMYFUNCTION("""COMPUTED_VALUE"""),"Jl. Bypass Krian, Sidotemo, Sidomulyo, Kec. Krian, Kabupaten Sidoarjo, Jawa Timur 61262")</f>
        <v>Jl. Bypass Krian, Sidotemo, Sidomulyo, Kec. Krian, Kabupaten Sidoarjo, Jawa Timur 61262</v>
      </c>
      <c r="W744" s="211" t="str">
        <f>IFERROR(__xludf.DUMMYFUNCTION("""COMPUTED_VALUE"""),"IN")</f>
        <v>IN</v>
      </c>
      <c r="X744" s="211"/>
      <c r="Z744" s="211" t="str">
        <f>IFERROR(__xludf.DUMMYFUNCTION("""COMPUTED_VALUE"""),"102511476")</f>
        <v>102511476</v>
      </c>
      <c r="AC744" s="211"/>
      <c r="AD744" s="211"/>
      <c r="AE744" s="211"/>
      <c r="AF744" s="211"/>
      <c r="AG744" s="211"/>
      <c r="AH744" s="211"/>
      <c r="AI744" s="211"/>
      <c r="AJ744" s="211"/>
      <c r="AL744" s="211"/>
      <c r="AM744" s="211"/>
      <c r="AN744" s="211"/>
      <c r="AO744" s="211"/>
      <c r="AP744" s="215"/>
      <c r="AQ744" s="218"/>
      <c r="AR744" s="211"/>
      <c r="AS744" s="211"/>
      <c r="AT744" s="211"/>
      <c r="AU744" s="211"/>
      <c r="AV744" s="211"/>
      <c r="AW744" s="211"/>
      <c r="AX744" s="211"/>
      <c r="AY744" s="211"/>
      <c r="AZ744" s="211"/>
      <c r="BB744" s="211"/>
      <c r="BC744" s="211"/>
      <c r="BD744" s="211"/>
      <c r="BE744" s="211"/>
      <c r="BF744" s="211"/>
      <c r="BG744" s="211"/>
      <c r="BH744" s="211"/>
      <c r="BI744" s="211"/>
    </row>
    <row r="745">
      <c r="A745" s="210" t="str">
        <f>IFERROR(__xludf.DUMMYFUNCTION("""COMPUTED_VALUE"""),"9b3bf112")</f>
        <v>9b3bf112</v>
      </c>
      <c r="B745" s="210" t="str">
        <f>IFERROR(__xludf.DUMMYFUNCTION("""COMPUTED_VALUE"""),"9b3bf112")</f>
        <v>9b3bf112</v>
      </c>
      <c r="C745" s="213">
        <f>IFERROR(__xludf.DUMMYFUNCTION("""COMPUTED_VALUE"""),45721.677083333336)</f>
        <v>45721.67708</v>
      </c>
      <c r="D745" s="211" t="str">
        <f>IFERROR(__xludf.DUMMYFUNCTION("""COMPUTED_VALUE"""),"01158be1")</f>
        <v>01158be1</v>
      </c>
      <c r="E745" s="211" t="str">
        <f>IFERROR(__xludf.DUMMYFUNCTION("""COMPUTED_VALUE"""),"GYF")</f>
        <v>GYF</v>
      </c>
      <c r="F745" s="211" t="str">
        <f>IFERROR(__xludf.DUMMYFUNCTION("""COMPUTED_VALUE"""),"8bdbe149")</f>
        <v>8bdbe149</v>
      </c>
      <c r="G745" s="211" t="str">
        <f>IFERROR(__xludf.DUMMYFUNCTION("""COMPUTED_VALUE"""),"Oksigen 6m3")</f>
        <v>Oksigen 6m3</v>
      </c>
      <c r="H745" s="214" t="str">
        <f>IFERROR(__xludf.DUMMYFUNCTION("""COMPUTED_VALUE"""),"IN")</f>
        <v>IN</v>
      </c>
      <c r="I745" s="214" t="str">
        <f>IFERROR(__xludf.DUMMYFUNCTION("""COMPUTED_VALUE"""),"EMPTY")</f>
        <v>EMPTY</v>
      </c>
      <c r="J745" s="211">
        <f>IFERROR(__xludf.DUMMYFUNCTION("""COMPUTED_VALUE"""),14.0)</f>
        <v>14</v>
      </c>
      <c r="K745" s="210" t="str">
        <f>IFERROR(__xludf.DUMMYFUNCTION("""COMPUTED_VALUE"""),"11208 1170 11104 1188 1136 11134 11119 1160 1182 1109 11193 1168 11133 11194")</f>
        <v>11208 1170 11104 1188 1136 11134 11119 1160 1182 1109 11193 1168 11133 11194</v>
      </c>
      <c r="L745" s="211">
        <f>IFERROR(__xludf.DUMMYFUNCTION("""COMPUTED_VALUE"""),0.0)</f>
        <v>0</v>
      </c>
      <c r="M745" s="211"/>
      <c r="N745" s="211"/>
      <c r="O745" s="211"/>
      <c r="Q745" s="210" t="str">
        <f>IFERROR(__xludf.DUMMYFUNCTION("""COMPUTED_VALUE"""),"38e5deb1")</f>
        <v>38e5deb1</v>
      </c>
      <c r="R745" s="210" t="str">
        <f>IFERROR(__xludf.DUMMYFUNCTION("""COMPUTED_VALUE"""),"38e5deb1")</f>
        <v>38e5deb1</v>
      </c>
      <c r="S745" s="211" t="str">
        <f>IFERROR(__xludf.DUMMYFUNCTION("""COMPUTED_VALUE"""),"785e0e07")</f>
        <v>785e0e07</v>
      </c>
      <c r="T745" s="211" t="str">
        <f>IFERROR(__xludf.DUMMYFUNCTION("""COMPUTED_VALUE"""),"Bpk. Sukirno (Bejo)")</f>
        <v>Bpk. Sukirno (Bejo)</v>
      </c>
      <c r="U745" s="215">
        <f>IFERROR(__xludf.DUMMYFUNCTION("""COMPUTED_VALUE"""),45783.64375)</f>
        <v>45783.64375</v>
      </c>
      <c r="V745" s="211" t="str">
        <f>IFERROR(__xludf.DUMMYFUNCTION("""COMPUTED_VALUE"""),"Krajan I, Wringinanom, Kec. Wringinanom, Kabupaten Gresik, Jawa Timur 61176")</f>
        <v>Krajan I, Wringinanom, Kec. Wringinanom, Kabupaten Gresik, Jawa Timur 61176</v>
      </c>
      <c r="W745" s="211" t="str">
        <f>IFERROR(__xludf.DUMMYFUNCTION("""COMPUTED_VALUE"""),"IN")</f>
        <v>IN</v>
      </c>
      <c r="X745" s="211"/>
      <c r="Z745" s="211" t="str">
        <f>IFERROR(__xludf.DUMMYFUNCTION("""COMPUTED_VALUE"""),"1025231472")</f>
        <v>1025231472</v>
      </c>
      <c r="AC745" s="211"/>
      <c r="AD745" s="211"/>
      <c r="AE745" s="211"/>
      <c r="AF745" s="211"/>
      <c r="AG745" s="211"/>
      <c r="AH745" s="211"/>
      <c r="AI745" s="211"/>
      <c r="AJ745" s="211"/>
      <c r="AL745" s="211"/>
      <c r="AM745" s="211"/>
      <c r="AN745" s="211"/>
      <c r="AO745" s="211"/>
      <c r="AP745" s="215"/>
      <c r="AQ745" s="218"/>
      <c r="AR745" s="211"/>
      <c r="AS745" s="211"/>
      <c r="AT745" s="211"/>
      <c r="AU745" s="211"/>
      <c r="AV745" s="211"/>
      <c r="AW745" s="211"/>
      <c r="AX745" s="211"/>
      <c r="AY745" s="211"/>
      <c r="AZ745" s="211"/>
      <c r="BB745" s="211"/>
      <c r="BC745" s="211"/>
      <c r="BD745" s="211"/>
      <c r="BE745" s="211"/>
      <c r="BF745" s="211"/>
      <c r="BG745" s="211"/>
      <c r="BH745" s="211"/>
      <c r="BI745" s="211"/>
    </row>
    <row r="746">
      <c r="A746" s="210" t="str">
        <f>IFERROR(__xludf.DUMMYFUNCTION("""COMPUTED_VALUE"""),"03250297")</f>
        <v>03250297</v>
      </c>
      <c r="B746" s="210" t="str">
        <f>IFERROR(__xludf.DUMMYFUNCTION("""COMPUTED_VALUE"""),"03250297")</f>
        <v>03250297</v>
      </c>
      <c r="C746" s="213">
        <f>IFERROR(__xludf.DUMMYFUNCTION("""COMPUTED_VALUE"""),45722.35555555556)</f>
        <v>45722.35556</v>
      </c>
      <c r="D746" s="211" t="str">
        <f>IFERROR(__xludf.DUMMYFUNCTION("""COMPUTED_VALUE"""),"103f3ae7")</f>
        <v>103f3ae7</v>
      </c>
      <c r="E746" s="211" t="str">
        <f>IFERROR(__xludf.DUMMYFUNCTION("""COMPUTED_VALUE"""),"PT ARYANA CAKASANA")</f>
        <v>PT ARYANA CAKASANA</v>
      </c>
      <c r="F746" s="211" t="str">
        <f>IFERROR(__xludf.DUMMYFUNCTION("""COMPUTED_VALUE"""),"8bdbe149")</f>
        <v>8bdbe149</v>
      </c>
      <c r="G746" s="211" t="str">
        <f>IFERROR(__xludf.DUMMYFUNCTION("""COMPUTED_VALUE"""),"Oksigen 6m3")</f>
        <v>Oksigen 6m3</v>
      </c>
      <c r="H746" s="214" t="str">
        <f>IFERROR(__xludf.DUMMYFUNCTION("""COMPUTED_VALUE"""),"OUT")</f>
        <v>OUT</v>
      </c>
      <c r="I746" s="214" t="str">
        <f>IFERROR(__xludf.DUMMYFUNCTION("""COMPUTED_VALUE"""),"NORMAL")</f>
        <v>NORMAL</v>
      </c>
      <c r="J746" s="211">
        <f>IFERROR(__xludf.DUMMYFUNCTION("""COMPUTED_VALUE"""),10.0)</f>
        <v>10</v>
      </c>
      <c r="K746" s="210" t="str">
        <f>IFERROR(__xludf.DUMMYFUNCTION("""COMPUTED_VALUE"""),"11104 11119 1170 1188 1182 1109 1164 1168 1136 11133")</f>
        <v>11104 11119 1170 1188 1182 1109 1164 1168 1136 11133</v>
      </c>
      <c r="L746" s="211">
        <f>IFERROR(__xludf.DUMMYFUNCTION("""COMPUTED_VALUE"""),47297.0)</f>
        <v>47297</v>
      </c>
      <c r="M746" s="211"/>
      <c r="N746" s="211"/>
      <c r="O746" s="211"/>
      <c r="Q746" s="210" t="str">
        <f>IFERROR(__xludf.DUMMYFUNCTION("""COMPUTED_VALUE"""),"e96e112e")</f>
        <v>e96e112e</v>
      </c>
      <c r="R746" s="210" t="str">
        <f>IFERROR(__xludf.DUMMYFUNCTION("""COMPUTED_VALUE"""),"e96e112e")</f>
        <v>e96e112e</v>
      </c>
      <c r="S746" s="211" t="str">
        <f>IFERROR(__xludf.DUMMYFUNCTION("""COMPUTED_VALUE"""),"b2b5f2c5")</f>
        <v>b2b5f2c5</v>
      </c>
      <c r="T746" s="211" t="str">
        <f>IFERROR(__xludf.DUMMYFUNCTION("""COMPUTED_VALUE"""),"Bengkel Las Bpk. Ari")</f>
        <v>Bengkel Las Bpk. Ari</v>
      </c>
      <c r="U746" s="215">
        <f>IFERROR(__xludf.DUMMYFUNCTION("""COMPUTED_VALUE"""),45783.75277777778)</f>
        <v>45783.75278</v>
      </c>
      <c r="V746" s="211" t="str">
        <f>IFERROR(__xludf.DUMMYFUNCTION("""COMPUTED_VALUE"""),"Sumber Kembar, Wonodadi, Kec. Kutorejo, Kabupaten Mojokerto, Jawa Timur")</f>
        <v>Sumber Kembar, Wonodadi, Kec. Kutorejo, Kabupaten Mojokerto, Jawa Timur</v>
      </c>
      <c r="W746" s="211" t="str">
        <f>IFERROR(__xludf.DUMMYFUNCTION("""COMPUTED_VALUE"""),"IN")</f>
        <v>IN</v>
      </c>
      <c r="X746" s="211"/>
      <c r="Z746" s="211" t="str">
        <f>IFERROR(__xludf.DUMMYFUNCTION("""COMPUTED_VALUE"""),"1025171471")</f>
        <v>1025171471</v>
      </c>
      <c r="AC746" s="211"/>
      <c r="AD746" s="211"/>
      <c r="AE746" s="211"/>
      <c r="AF746" s="211"/>
      <c r="AG746" s="211"/>
      <c r="AH746" s="211"/>
      <c r="AI746" s="211"/>
      <c r="AJ746" s="211"/>
      <c r="AL746" s="211"/>
      <c r="AM746" s="211"/>
      <c r="AN746" s="211"/>
      <c r="AO746" s="211"/>
      <c r="AP746" s="215"/>
      <c r="AQ746" s="218"/>
      <c r="AR746" s="211"/>
      <c r="AS746" s="211"/>
      <c r="AT746" s="211"/>
      <c r="AU746" s="211"/>
      <c r="AV746" s="211"/>
      <c r="AW746" s="211"/>
      <c r="AX746" s="211"/>
      <c r="AY746" s="211"/>
      <c r="AZ746" s="211"/>
      <c r="BB746" s="211"/>
      <c r="BC746" s="211"/>
      <c r="BD746" s="211"/>
      <c r="BE746" s="211"/>
      <c r="BF746" s="211"/>
      <c r="BG746" s="211"/>
      <c r="BH746" s="211"/>
      <c r="BI746" s="211"/>
    </row>
    <row r="747">
      <c r="A747" s="210" t="str">
        <f>IFERROR(__xludf.DUMMYFUNCTION("""COMPUTED_VALUE"""),"5cb56cea")</f>
        <v>5cb56cea</v>
      </c>
      <c r="B747" s="210" t="str">
        <f>IFERROR(__xludf.DUMMYFUNCTION("""COMPUTED_VALUE"""),"5cb56cea")</f>
        <v>5cb56cea</v>
      </c>
      <c r="C747" s="213">
        <f>IFERROR(__xludf.DUMMYFUNCTION("""COMPUTED_VALUE"""),45722.51111111111)</f>
        <v>45722.51111</v>
      </c>
      <c r="D747" s="211" t="str">
        <f>IFERROR(__xludf.DUMMYFUNCTION("""COMPUTED_VALUE"""),"785e0e07")</f>
        <v>785e0e07</v>
      </c>
      <c r="E747" s="211" t="str">
        <f>IFERROR(__xludf.DUMMYFUNCTION("""COMPUTED_VALUE"""),"Bpk. Sukirno (Bejo)")</f>
        <v>Bpk. Sukirno (Bejo)</v>
      </c>
      <c r="F747" s="211" t="str">
        <f>IFERROR(__xludf.DUMMYFUNCTION("""COMPUTED_VALUE"""),"8bdbe149")</f>
        <v>8bdbe149</v>
      </c>
      <c r="G747" s="211" t="str">
        <f>IFERROR(__xludf.DUMMYFUNCTION("""COMPUTED_VALUE"""),"Oksigen 6m3")</f>
        <v>Oksigen 6m3</v>
      </c>
      <c r="H747" s="214" t="str">
        <f>IFERROR(__xludf.DUMMYFUNCTION("""COMPUTED_VALUE"""),"IN")</f>
        <v>IN</v>
      </c>
      <c r="I747" s="214" t="str">
        <f>IFERROR(__xludf.DUMMYFUNCTION("""COMPUTED_VALUE"""),"EMPTY")</f>
        <v>EMPTY</v>
      </c>
      <c r="J747" s="211">
        <f>IFERROR(__xludf.DUMMYFUNCTION("""COMPUTED_VALUE"""),21.0)</f>
        <v>21</v>
      </c>
      <c r="K747" s="210" t="str">
        <f>IFERROR(__xludf.DUMMYFUNCTION("""COMPUTED_VALUE"""),"1142 11115 11111 1111 11110 11202 1110 1125 01 1186 07 04 1144 1145 1128 11191 1181 12 1195 1137 1103")</f>
        <v>1142 11115 11111 1111 11110 11202 1110 1125 01 1186 07 04 1144 1145 1128 11191 1181 12 1195 1137 1103</v>
      </c>
      <c r="L747" s="211">
        <f>IFERROR(__xludf.DUMMYFUNCTION("""COMPUTED_VALUE"""),0.0)</f>
        <v>0</v>
      </c>
      <c r="M747" s="211"/>
      <c r="N747" s="211"/>
      <c r="O747" s="211"/>
      <c r="Q747" s="210" t="str">
        <f>IFERROR(__xludf.DUMMYFUNCTION("""COMPUTED_VALUE"""),"05250411")</f>
        <v>05250411</v>
      </c>
      <c r="R747" s="210" t="str">
        <f>IFERROR(__xludf.DUMMYFUNCTION("""COMPUTED_VALUE"""),"05250411")</f>
        <v>05250411</v>
      </c>
      <c r="S747" s="211" t="str">
        <f>IFERROR(__xludf.DUMMYFUNCTION("""COMPUTED_VALUE"""),"8f5ebaea")</f>
        <v>8f5ebaea</v>
      </c>
      <c r="T747" s="211" t="str">
        <f>IFERROR(__xludf.DUMMYFUNCTION("""COMPUTED_VALUE"""),"PT Hua Zong Mesindo")</f>
        <v>PT Hua Zong Mesindo</v>
      </c>
      <c r="U747" s="215">
        <f>IFERROR(__xludf.DUMMYFUNCTION("""COMPUTED_VALUE"""),45784.38055555556)</f>
        <v>45784.38056</v>
      </c>
      <c r="V747" s="211" t="str">
        <f>IFERROR(__xludf.DUMMYFUNCTION("""COMPUTED_VALUE"""),"Jl. Bypass Krian, Sidotemo, Sidomulyo, Kec. Krian, Kabupaten Sidoarjo, Jawa Timur 61262")</f>
        <v>Jl. Bypass Krian, Sidotemo, Sidomulyo, Kec. Krian, Kabupaten Sidoarjo, Jawa Timur 61262</v>
      </c>
      <c r="W747" s="211" t="str">
        <f>IFERROR(__xludf.DUMMYFUNCTION("""COMPUTED_VALUE"""),"OUT")</f>
        <v>OUT</v>
      </c>
      <c r="X747" s="211"/>
      <c r="Z747" s="211" t="str">
        <f>IFERROR(__xludf.DUMMYFUNCTION("""COMPUTED_VALUE"""),"1025581470")</f>
        <v>1025581470</v>
      </c>
      <c r="AC747" s="211"/>
      <c r="AD747" s="211"/>
      <c r="AE747" s="211"/>
      <c r="AF747" s="211"/>
      <c r="AG747" s="211"/>
      <c r="AH747" s="211"/>
      <c r="AI747" s="211"/>
      <c r="AJ747" s="211"/>
      <c r="AL747" s="211"/>
      <c r="AM747" s="211"/>
      <c r="AN747" s="211"/>
      <c r="AO747" s="211"/>
      <c r="AP747" s="215"/>
      <c r="AQ747" s="218"/>
      <c r="AR747" s="211"/>
      <c r="AS747" s="211"/>
      <c r="AT747" s="211"/>
      <c r="AU747" s="211"/>
      <c r="AV747" s="211"/>
      <c r="AW747" s="211"/>
      <c r="AX747" s="211"/>
      <c r="AY747" s="211"/>
      <c r="AZ747" s="211"/>
      <c r="BB747" s="211"/>
      <c r="BC747" s="211"/>
      <c r="BD747" s="211"/>
      <c r="BE747" s="211"/>
      <c r="BF747" s="211"/>
      <c r="BG747" s="211"/>
      <c r="BH747" s="211"/>
      <c r="BI747" s="211"/>
    </row>
    <row r="748">
      <c r="A748" s="210" t="str">
        <f>IFERROR(__xludf.DUMMYFUNCTION("""COMPUTED_VALUE"""),"03250298")</f>
        <v>03250298</v>
      </c>
      <c r="B748" s="210" t="str">
        <f>IFERROR(__xludf.DUMMYFUNCTION("""COMPUTED_VALUE"""),"03250298")</f>
        <v>03250298</v>
      </c>
      <c r="C748" s="213">
        <f>IFERROR(__xludf.DUMMYFUNCTION("""COMPUTED_VALUE"""),45722.518055555556)</f>
        <v>45722.51806</v>
      </c>
      <c r="D748" s="211" t="str">
        <f>IFERROR(__xludf.DUMMYFUNCTION("""COMPUTED_VALUE"""),"3fec37df")</f>
        <v>3fec37df</v>
      </c>
      <c r="E748" s="211" t="str">
        <f>IFERROR(__xludf.DUMMYFUNCTION("""COMPUTED_VALUE"""),"PT Jatim Abadi Perkasa Steel")</f>
        <v>PT Jatim Abadi Perkasa Steel</v>
      </c>
      <c r="F748" s="211" t="str">
        <f>IFERROR(__xludf.DUMMYFUNCTION("""COMPUTED_VALUE"""),"ef306e54")</f>
        <v>ef306e54</v>
      </c>
      <c r="G748" s="211" t="str">
        <f>IFERROR(__xludf.DUMMYFUNCTION("""COMPUTED_VALUE"""),"Karbondioksida")</f>
        <v>Karbondioksida</v>
      </c>
      <c r="H748" s="214" t="str">
        <f>IFERROR(__xludf.DUMMYFUNCTION("""COMPUTED_VALUE"""),"OUT")</f>
        <v>OUT</v>
      </c>
      <c r="I748" s="214" t="str">
        <f>IFERROR(__xludf.DUMMYFUNCTION("""COMPUTED_VALUE"""),"NORMAL")</f>
        <v>NORMAL</v>
      </c>
      <c r="J748" s="211">
        <f>IFERROR(__xludf.DUMMYFUNCTION("""COMPUTED_VALUE"""),4.0)</f>
        <v>4</v>
      </c>
      <c r="K748" s="210" t="str">
        <f>IFERROR(__xludf.DUMMYFUNCTION("""COMPUTED_VALUE"""),"13001 13002 13003 13004")</f>
        <v>13001 13002 13003 13004</v>
      </c>
      <c r="L748" s="211">
        <f>IFERROR(__xludf.DUMMYFUNCTION("""COMPUTED_VALUE"""),167000.0)</f>
        <v>167000</v>
      </c>
      <c r="M748" s="211"/>
      <c r="N748" s="211"/>
      <c r="O748" s="211"/>
      <c r="Q748" s="210" t="str">
        <f>IFERROR(__xludf.DUMMYFUNCTION("""COMPUTED_VALUE"""),"05250413")</f>
        <v>05250413</v>
      </c>
      <c r="R748" s="210" t="str">
        <f>IFERROR(__xludf.DUMMYFUNCTION("""COMPUTED_VALUE"""),"05250413")</f>
        <v>05250413</v>
      </c>
      <c r="S748" s="211" t="str">
        <f>IFERROR(__xludf.DUMMYFUNCTION("""COMPUTED_VALUE"""),"5f23ba17")</f>
        <v>5f23ba17</v>
      </c>
      <c r="T748" s="211" t="str">
        <f>IFERROR(__xludf.DUMMYFUNCTION("""COMPUTED_VALUE"""),"Bpk. Joko (Gresik)")</f>
        <v>Bpk. Joko (Gresik)</v>
      </c>
      <c r="U748" s="215">
        <f>IFERROR(__xludf.DUMMYFUNCTION("""COMPUTED_VALUE"""),45785.35625)</f>
        <v>45785.35625</v>
      </c>
      <c r="V748" s="211" t="str">
        <f>IFERROR(__xludf.DUMMYFUNCTION("""COMPUTED_VALUE"""),"Tanggungan, Lebaniwaras, Kec. Wringinanom, Kabupaten Gresik, Jawa Timur")</f>
        <v>Tanggungan, Lebaniwaras, Kec. Wringinanom, Kabupaten Gresik, Jawa Timur</v>
      </c>
      <c r="W748" s="211" t="str">
        <f>IFERROR(__xludf.DUMMYFUNCTION("""COMPUTED_VALUE"""),"OUT")</f>
        <v>OUT</v>
      </c>
      <c r="X748" s="211"/>
      <c r="Z748" s="211" t="str">
        <f>IFERROR(__xludf.DUMMYFUNCTION("""COMPUTED_VALUE"""),"1025151469")</f>
        <v>1025151469</v>
      </c>
      <c r="AC748" s="211"/>
      <c r="AD748" s="211"/>
      <c r="AE748" s="211"/>
      <c r="AF748" s="211"/>
      <c r="AG748" s="211"/>
      <c r="AH748" s="211"/>
      <c r="AI748" s="211"/>
      <c r="AJ748" s="211"/>
      <c r="AL748" s="211"/>
      <c r="AM748" s="211"/>
      <c r="AN748" s="211"/>
      <c r="AO748" s="211"/>
      <c r="AP748" s="215"/>
      <c r="AQ748" s="218"/>
      <c r="AR748" s="211"/>
      <c r="AS748" s="211"/>
      <c r="AT748" s="211"/>
      <c r="AU748" s="211"/>
      <c r="AV748" s="211"/>
      <c r="AW748" s="211"/>
      <c r="AX748" s="211"/>
      <c r="AY748" s="211"/>
      <c r="AZ748" s="211"/>
      <c r="BB748" s="211"/>
      <c r="BC748" s="211"/>
      <c r="BD748" s="211"/>
      <c r="BE748" s="211"/>
      <c r="BF748" s="211"/>
      <c r="BG748" s="211"/>
      <c r="BH748" s="211"/>
      <c r="BI748" s="211"/>
    </row>
    <row r="749">
      <c r="A749" s="210" t="str">
        <f>IFERROR(__xludf.DUMMYFUNCTION("""COMPUTED_VALUE"""),"03250299")</f>
        <v>03250299</v>
      </c>
      <c r="B749" s="210" t="str">
        <f>IFERROR(__xludf.DUMMYFUNCTION("""COMPUTED_VALUE"""),"03250299")</f>
        <v>03250299</v>
      </c>
      <c r="C749" s="213">
        <f>IFERROR(__xludf.DUMMYFUNCTION("""COMPUTED_VALUE"""),45722.55694444444)</f>
        <v>45722.55694</v>
      </c>
      <c r="D749" s="211" t="str">
        <f>IFERROR(__xludf.DUMMYFUNCTION("""COMPUTED_VALUE"""),"df6bdc5d")</f>
        <v>df6bdc5d</v>
      </c>
      <c r="E749" s="211" t="str">
        <f>IFERROR(__xludf.DUMMYFUNCTION("""COMPUTED_VALUE"""),"Bpk. Maruf")</f>
        <v>Bpk. Maruf</v>
      </c>
      <c r="F749" s="211" t="str">
        <f>IFERROR(__xludf.DUMMYFUNCTION("""COMPUTED_VALUE"""),"8bdbe149")</f>
        <v>8bdbe149</v>
      </c>
      <c r="G749" s="211" t="str">
        <f>IFERROR(__xludf.DUMMYFUNCTION("""COMPUTED_VALUE"""),"Oksigen 6m3")</f>
        <v>Oksigen 6m3</v>
      </c>
      <c r="H749" s="214" t="str">
        <f>IFERROR(__xludf.DUMMYFUNCTION("""COMPUTED_VALUE"""),"OUT")</f>
        <v>OUT</v>
      </c>
      <c r="I749" s="214" t="str">
        <f>IFERROR(__xludf.DUMMYFUNCTION("""COMPUTED_VALUE"""),"NORMAL")</f>
        <v>NORMAL</v>
      </c>
      <c r="J749" s="211">
        <f>IFERROR(__xludf.DUMMYFUNCTION("""COMPUTED_VALUE"""),5.0)</f>
        <v>5</v>
      </c>
      <c r="K749" s="210" t="str">
        <f>IFERROR(__xludf.DUMMYFUNCTION("""COMPUTED_VALUE"""),"1160 11208 11134 11193 11194")</f>
        <v>1160 11208 11134 11193 11194</v>
      </c>
      <c r="L749" s="211">
        <f>IFERROR(__xludf.DUMMYFUNCTION("""COMPUTED_VALUE"""),60000.0)</f>
        <v>60000</v>
      </c>
      <c r="M749" s="211"/>
      <c r="N749" s="211"/>
      <c r="O749" s="211"/>
      <c r="Q749" s="210" t="str">
        <f>IFERROR(__xludf.DUMMYFUNCTION("""COMPUTED_VALUE"""),"05250414")</f>
        <v>05250414</v>
      </c>
      <c r="R749" s="210" t="str">
        <f>IFERROR(__xludf.DUMMYFUNCTION("""COMPUTED_VALUE"""),"05250414")</f>
        <v>05250414</v>
      </c>
      <c r="S749" s="211" t="str">
        <f>IFERROR(__xludf.DUMMYFUNCTION("""COMPUTED_VALUE"""),"e86baf3b")</f>
        <v>e86baf3b</v>
      </c>
      <c r="T749" s="211" t="str">
        <f>IFERROR(__xludf.DUMMYFUNCTION("""COMPUTED_VALUE"""),"PT GEMILANG CIPTA WAWASAN")</f>
        <v>PT GEMILANG CIPTA WAWASAN</v>
      </c>
      <c r="U749" s="215">
        <f>IFERROR(__xludf.DUMMYFUNCTION("""COMPUTED_VALUE"""),45784.40763888889)</f>
        <v>45784.40764</v>
      </c>
      <c r="V749" s="211" t="str">
        <f>IFERROR(__xludf.DUMMYFUNCTION("""COMPUTED_VALUE"""),"JL TEBET RAYA, 2A, TEBET BARAT, TEBET, KOTA ADM, JAKARTA SELATAN, DKI JAKARTA")</f>
        <v>JL TEBET RAYA, 2A, TEBET BARAT, TEBET, KOTA ADM, JAKARTA SELATAN, DKI JAKARTA</v>
      </c>
      <c r="W749" s="211" t="str">
        <f>IFERROR(__xludf.DUMMYFUNCTION("""COMPUTED_VALUE"""),"OUT")</f>
        <v>OUT</v>
      </c>
      <c r="X749" s="211"/>
      <c r="Z749" s="211" t="str">
        <f>IFERROR(__xludf.DUMMYFUNCTION("""COMPUTED_VALUE"""),"102551468")</f>
        <v>102551468</v>
      </c>
      <c r="AC749" s="211"/>
      <c r="AD749" s="211"/>
      <c r="AE749" s="211"/>
      <c r="AF749" s="211"/>
      <c r="AG749" s="211"/>
      <c r="AH749" s="211"/>
      <c r="AI749" s="211"/>
      <c r="AJ749" s="211"/>
      <c r="AL749" s="211"/>
      <c r="AM749" s="211"/>
      <c r="AN749" s="211"/>
      <c r="AO749" s="211"/>
      <c r="AP749" s="215"/>
      <c r="AQ749" s="218"/>
      <c r="AR749" s="211"/>
      <c r="AS749" s="211"/>
      <c r="AT749" s="211"/>
      <c r="AU749" s="211"/>
      <c r="AV749" s="211"/>
      <c r="AW749" s="211"/>
      <c r="AX749" s="211"/>
      <c r="AY749" s="211"/>
      <c r="AZ749" s="211"/>
      <c r="BB749" s="211"/>
      <c r="BC749" s="211"/>
      <c r="BD749" s="211"/>
      <c r="BE749" s="211"/>
      <c r="BF749" s="211"/>
      <c r="BG749" s="211"/>
      <c r="BH749" s="211"/>
      <c r="BI749" s="211"/>
    </row>
    <row r="750">
      <c r="A750" s="210" t="str">
        <f>IFERROR(__xludf.DUMMYFUNCTION("""COMPUTED_VALUE"""),"03250299")</f>
        <v>03250299</v>
      </c>
      <c r="B750" s="210" t="str">
        <f>IFERROR(__xludf.DUMMYFUNCTION("""COMPUTED_VALUE"""),"03250299")</f>
        <v>03250299</v>
      </c>
      <c r="C750" s="213">
        <f>IFERROR(__xludf.DUMMYFUNCTION("""COMPUTED_VALUE"""),45722.55763888889)</f>
        <v>45722.55764</v>
      </c>
      <c r="D750" s="211" t="str">
        <f>IFERROR(__xludf.DUMMYFUNCTION("""COMPUTED_VALUE"""),"df6bdc5d")</f>
        <v>df6bdc5d</v>
      </c>
      <c r="E750" s="211" t="str">
        <f>IFERROR(__xludf.DUMMYFUNCTION("""COMPUTED_VALUE"""),"Bpk. Maruf")</f>
        <v>Bpk. Maruf</v>
      </c>
      <c r="F750" s="211" t="str">
        <f>IFERROR(__xludf.DUMMYFUNCTION("""COMPUTED_VALUE"""),"be525f3b")</f>
        <v>be525f3b</v>
      </c>
      <c r="G750" s="211" t="str">
        <f>IFERROR(__xludf.DUMMYFUNCTION("""COMPUTED_VALUE"""),"LPG 12kg")</f>
        <v>LPG 12kg</v>
      </c>
      <c r="H750" s="214" t="str">
        <f>IFERROR(__xludf.DUMMYFUNCTION("""COMPUTED_VALUE"""),"OUT")</f>
        <v>OUT</v>
      </c>
      <c r="I750" s="214" t="str">
        <f>IFERROR(__xludf.DUMMYFUNCTION("""COMPUTED_VALUE"""),"NORMAL")</f>
        <v>NORMAL</v>
      </c>
      <c r="J750" s="211">
        <f>IFERROR(__xludf.DUMMYFUNCTION("""COMPUTED_VALUE"""),2.0)</f>
        <v>2</v>
      </c>
      <c r="K750" s="211"/>
      <c r="L750" s="211">
        <f>IFERROR(__xludf.DUMMYFUNCTION("""COMPUTED_VALUE"""),215000.0)</f>
        <v>215000</v>
      </c>
      <c r="M750" s="211"/>
      <c r="N750" s="211"/>
      <c r="O750" s="211"/>
      <c r="Q750" s="210" t="str">
        <f>IFERROR(__xludf.DUMMYFUNCTION("""COMPUTED_VALUE"""),"05250415")</f>
        <v>05250415</v>
      </c>
      <c r="R750" s="210" t="str">
        <f>IFERROR(__xludf.DUMMYFUNCTION("""COMPUTED_VALUE"""),"05250415")</f>
        <v>05250415</v>
      </c>
      <c r="S750" s="211" t="str">
        <f>IFERROR(__xludf.DUMMYFUNCTION("""COMPUTED_VALUE"""),"ce83e171")</f>
        <v>ce83e171</v>
      </c>
      <c r="T750" s="211" t="str">
        <f>IFERROR(__xludf.DUMMYFUNCTION("""COMPUTED_VALUE"""),"Bpk. Sulaiman")</f>
        <v>Bpk. Sulaiman</v>
      </c>
      <c r="U750" s="215">
        <f>IFERROR(__xludf.DUMMYFUNCTION("""COMPUTED_VALUE"""),45784.40833333333)</f>
        <v>45784.40833</v>
      </c>
      <c r="V750" s="211" t="str">
        <f>IFERROR(__xludf.DUMMYFUNCTION("""COMPUTED_VALUE"""),"Jl. Raya Kramat Temenggung No.43, Kramat, Kramat Temenggung, Kec. Tarik, Kabupaten Sidoarjo, Jawa Timur 61265")</f>
        <v>Jl. Raya Kramat Temenggung No.43, Kramat, Kramat Temenggung, Kec. Tarik, Kabupaten Sidoarjo, Jawa Timur 61265</v>
      </c>
      <c r="W750" s="211" t="str">
        <f>IFERROR(__xludf.DUMMYFUNCTION("""COMPUTED_VALUE"""),"OUT")</f>
        <v>OUT</v>
      </c>
      <c r="X750" s="211"/>
      <c r="Z750" s="211" t="str">
        <f>IFERROR(__xludf.DUMMYFUNCTION("""COMPUTED_VALUE"""),"1025241460")</f>
        <v>1025241460</v>
      </c>
      <c r="AC750" s="211"/>
      <c r="AD750" s="211"/>
      <c r="AE750" s="211"/>
      <c r="AF750" s="211"/>
      <c r="AG750" s="211"/>
      <c r="AH750" s="211"/>
      <c r="AI750" s="211"/>
      <c r="AJ750" s="211"/>
      <c r="AL750" s="211"/>
      <c r="AM750" s="211"/>
      <c r="AN750" s="211"/>
      <c r="AO750" s="211"/>
      <c r="AP750" s="215"/>
      <c r="AQ750" s="218"/>
      <c r="AR750" s="211"/>
      <c r="AS750" s="211"/>
      <c r="AT750" s="211"/>
      <c r="AU750" s="211"/>
      <c r="AV750" s="211"/>
      <c r="AW750" s="211"/>
      <c r="AX750" s="211"/>
      <c r="AY750" s="211"/>
      <c r="AZ750" s="211"/>
      <c r="BB750" s="211"/>
      <c r="BC750" s="211"/>
      <c r="BD750" s="211"/>
      <c r="BE750" s="211"/>
      <c r="BF750" s="211"/>
      <c r="BG750" s="211"/>
      <c r="BH750" s="211"/>
      <c r="BI750" s="211"/>
    </row>
    <row r="751">
      <c r="A751" s="210" t="str">
        <f>IFERROR(__xludf.DUMMYFUNCTION("""COMPUTED_VALUE"""),"03250301")</f>
        <v>03250301</v>
      </c>
      <c r="B751" s="210" t="str">
        <f>IFERROR(__xludf.DUMMYFUNCTION("""COMPUTED_VALUE"""),"03250301")</f>
        <v>03250301</v>
      </c>
      <c r="C751" s="213">
        <f>IFERROR(__xludf.DUMMYFUNCTION("""COMPUTED_VALUE"""),45722.65694444445)</f>
        <v>45722.65694</v>
      </c>
      <c r="D751" s="211" t="str">
        <f>IFERROR(__xludf.DUMMYFUNCTION("""COMPUTED_VALUE"""),"785e0e07")</f>
        <v>785e0e07</v>
      </c>
      <c r="E751" s="211" t="str">
        <f>IFERROR(__xludf.DUMMYFUNCTION("""COMPUTED_VALUE"""),"Bpk. Sukirno (Bejo)")</f>
        <v>Bpk. Sukirno (Bejo)</v>
      </c>
      <c r="F751" s="211" t="str">
        <f>IFERROR(__xludf.DUMMYFUNCTION("""COMPUTED_VALUE"""),"8bdbe149")</f>
        <v>8bdbe149</v>
      </c>
      <c r="G751" s="211" t="str">
        <f>IFERROR(__xludf.DUMMYFUNCTION("""COMPUTED_VALUE"""),"Oksigen 6m3")</f>
        <v>Oksigen 6m3</v>
      </c>
      <c r="H751" s="214" t="str">
        <f>IFERROR(__xludf.DUMMYFUNCTION("""COMPUTED_VALUE"""),"OUT")</f>
        <v>OUT</v>
      </c>
      <c r="I751" s="214" t="str">
        <f>IFERROR(__xludf.DUMMYFUNCTION("""COMPUTED_VALUE"""),"NORMAL")</f>
        <v>NORMAL</v>
      </c>
      <c r="J751" s="211">
        <f>IFERROR(__xludf.DUMMYFUNCTION("""COMPUTED_VALUE"""),15.0)</f>
        <v>15</v>
      </c>
      <c r="K751" s="211"/>
      <c r="L751" s="211">
        <f>IFERROR(__xludf.DUMMYFUNCTION("""COMPUTED_VALUE"""),60000.0)</f>
        <v>60000</v>
      </c>
      <c r="M751" s="211"/>
      <c r="N751" s="211"/>
      <c r="O751" s="211"/>
      <c r="Q751" s="210" t="str">
        <f>IFERROR(__xludf.DUMMYFUNCTION("""COMPUTED_VALUE"""),"05250416")</f>
        <v>05250416</v>
      </c>
      <c r="R751" s="210" t="str">
        <f>IFERROR(__xludf.DUMMYFUNCTION("""COMPUTED_VALUE"""),"05250416")</f>
        <v>05250416</v>
      </c>
      <c r="S751" s="211" t="str">
        <f>IFERROR(__xludf.DUMMYFUNCTION("""COMPUTED_VALUE"""),"dcdf8b31")</f>
        <v>dcdf8b31</v>
      </c>
      <c r="T751" s="211" t="str">
        <f>IFERROR(__xludf.DUMMYFUNCTION("""COMPUTED_VALUE"""),"Bpk. Samsul (Jetis)")</f>
        <v>Bpk. Samsul (Jetis)</v>
      </c>
      <c r="U751" s="215">
        <f>IFERROR(__xludf.DUMMYFUNCTION("""COMPUTED_VALUE"""),45784.45972222222)</f>
        <v>45784.45972</v>
      </c>
      <c r="V751" s="211" t="str">
        <f>IFERROR(__xludf.DUMMYFUNCTION("""COMPUTED_VALUE"""),"HFWF+9FG, Sido Wangi, Paringan, Kec. Jetis, Kabupaten Mojokerto, Jawa Timur")</f>
        <v>HFWF+9FG, Sido Wangi, Paringan, Kec. Jetis, Kabupaten Mojokerto, Jawa Timur</v>
      </c>
      <c r="W751" s="211" t="str">
        <f>IFERROR(__xludf.DUMMYFUNCTION("""COMPUTED_VALUE"""),"OUT")</f>
        <v>OUT</v>
      </c>
      <c r="X751" s="211"/>
      <c r="Z751" s="211" t="str">
        <f>IFERROR(__xludf.DUMMYFUNCTION("""COMPUTED_VALUE"""),"1025221459")</f>
        <v>1025221459</v>
      </c>
      <c r="AC751" s="211"/>
      <c r="AD751" s="211"/>
      <c r="AE751" s="211"/>
      <c r="AF751" s="211"/>
      <c r="AG751" s="211"/>
      <c r="AH751" s="211"/>
      <c r="AI751" s="211"/>
      <c r="AJ751" s="211"/>
      <c r="AL751" s="211"/>
      <c r="AM751" s="211"/>
      <c r="AN751" s="211"/>
      <c r="AO751" s="211"/>
      <c r="AP751" s="215"/>
      <c r="AQ751" s="218"/>
      <c r="AR751" s="211"/>
      <c r="AS751" s="211"/>
      <c r="AT751" s="211"/>
      <c r="AU751" s="211"/>
      <c r="AV751" s="211"/>
      <c r="AW751" s="211"/>
      <c r="AX751" s="211"/>
      <c r="AY751" s="211"/>
      <c r="AZ751" s="211"/>
      <c r="BB751" s="211"/>
      <c r="BC751" s="211"/>
      <c r="BD751" s="211"/>
      <c r="BE751" s="211"/>
      <c r="BF751" s="211"/>
      <c r="BG751" s="211"/>
      <c r="BH751" s="211"/>
      <c r="BI751" s="211"/>
    </row>
    <row r="752">
      <c r="A752" s="210" t="str">
        <f>IFERROR(__xludf.DUMMYFUNCTION("""COMPUTED_VALUE"""),"03250302")</f>
        <v>03250302</v>
      </c>
      <c r="B752" s="210" t="str">
        <f>IFERROR(__xludf.DUMMYFUNCTION("""COMPUTED_VALUE"""),"03250302")</f>
        <v>03250302</v>
      </c>
      <c r="C752" s="213">
        <f>IFERROR(__xludf.DUMMYFUNCTION("""COMPUTED_VALUE"""),45723.35208333333)</f>
        <v>45723.35208</v>
      </c>
      <c r="D752" s="211" t="str">
        <f>IFERROR(__xludf.DUMMYFUNCTION("""COMPUTED_VALUE"""),"df6bdc5d")</f>
        <v>df6bdc5d</v>
      </c>
      <c r="E752" s="211" t="str">
        <f>IFERROR(__xludf.DUMMYFUNCTION("""COMPUTED_VALUE"""),"Bpk. Maruf")</f>
        <v>Bpk. Maruf</v>
      </c>
      <c r="F752" s="211" t="str">
        <f>IFERROR(__xludf.DUMMYFUNCTION("""COMPUTED_VALUE"""),"8bdbe149")</f>
        <v>8bdbe149</v>
      </c>
      <c r="G752" s="211" t="str">
        <f>IFERROR(__xludf.DUMMYFUNCTION("""COMPUTED_VALUE"""),"Oksigen 6m3")</f>
        <v>Oksigen 6m3</v>
      </c>
      <c r="H752" s="214" t="str">
        <f>IFERROR(__xludf.DUMMYFUNCTION("""COMPUTED_VALUE"""),"OUT")</f>
        <v>OUT</v>
      </c>
      <c r="I752" s="214" t="str">
        <f>IFERROR(__xludf.DUMMYFUNCTION("""COMPUTED_VALUE"""),"NORMAL")</f>
        <v>NORMAL</v>
      </c>
      <c r="J752" s="211">
        <f>IFERROR(__xludf.DUMMYFUNCTION("""COMPUTED_VALUE"""),20.0)</f>
        <v>20</v>
      </c>
      <c r="K752" s="211"/>
      <c r="L752" s="211">
        <f>IFERROR(__xludf.DUMMYFUNCTION("""COMPUTED_VALUE"""),60000.0)</f>
        <v>60000</v>
      </c>
      <c r="M752" s="211"/>
      <c r="N752" s="211"/>
      <c r="O752" s="211"/>
      <c r="Q752" s="210" t="str">
        <f>IFERROR(__xludf.DUMMYFUNCTION("""COMPUTED_VALUE"""),"ac9d01fc")</f>
        <v>ac9d01fc</v>
      </c>
      <c r="R752" s="210" t="str">
        <f>IFERROR(__xludf.DUMMYFUNCTION("""COMPUTED_VALUE"""),"ac9d01fc")</f>
        <v>ac9d01fc</v>
      </c>
      <c r="S752" s="211" t="str">
        <f>IFERROR(__xludf.DUMMYFUNCTION("""COMPUTED_VALUE"""),"d78b2eaf")</f>
        <v>d78b2eaf</v>
      </c>
      <c r="T752" s="211" t="str">
        <f>IFERROR(__xludf.DUMMYFUNCTION("""COMPUTED_VALUE"""),"PT Sinar Indogreen Kencana")</f>
        <v>PT Sinar Indogreen Kencana</v>
      </c>
      <c r="U752" s="215">
        <f>IFERROR(__xludf.DUMMYFUNCTION("""COMPUTED_VALUE"""),45784.464583333334)</f>
        <v>45784.46458</v>
      </c>
      <c r="V752" s="211" t="str">
        <f>IFERROR(__xludf.DUMMYFUNCTION("""COMPUTED_VALUE"""),"Jl. Raya Ponokawan 8b RT/001 RW/002, Ponokawan, Krian, Sidoarjo")</f>
        <v>Jl. Raya Ponokawan 8b RT/001 RW/002, Ponokawan, Krian, Sidoarjo</v>
      </c>
      <c r="W752" s="211" t="str">
        <f>IFERROR(__xludf.DUMMYFUNCTION("""COMPUTED_VALUE"""),"IN")</f>
        <v>IN</v>
      </c>
      <c r="X752" s="211"/>
      <c r="Z752" s="211" t="str">
        <f>IFERROR(__xludf.DUMMYFUNCTION("""COMPUTED_VALUE"""),"1025231454")</f>
        <v>1025231454</v>
      </c>
      <c r="AC752" s="211"/>
      <c r="AD752" s="211"/>
      <c r="AE752" s="211"/>
      <c r="AF752" s="211"/>
      <c r="AG752" s="211"/>
      <c r="AH752" s="211"/>
      <c r="AI752" s="211"/>
      <c r="AJ752" s="211"/>
      <c r="AL752" s="211"/>
      <c r="AM752" s="211"/>
      <c r="AN752" s="211"/>
      <c r="AO752" s="211"/>
      <c r="AP752" s="215"/>
      <c r="AQ752" s="218"/>
      <c r="AR752" s="211"/>
      <c r="AS752" s="211"/>
      <c r="AT752" s="211"/>
      <c r="AU752" s="211"/>
      <c r="AV752" s="211"/>
      <c r="AW752" s="211"/>
      <c r="AX752" s="211"/>
      <c r="AY752" s="211"/>
      <c r="AZ752" s="211"/>
      <c r="BB752" s="211"/>
      <c r="BC752" s="211"/>
      <c r="BD752" s="211"/>
      <c r="BE752" s="211"/>
      <c r="BF752" s="211"/>
      <c r="BG752" s="211"/>
      <c r="BH752" s="211"/>
      <c r="BI752" s="211"/>
    </row>
    <row r="753">
      <c r="A753" s="210" t="str">
        <f>IFERROR(__xludf.DUMMYFUNCTION("""COMPUTED_VALUE"""),"03250303")</f>
        <v>03250303</v>
      </c>
      <c r="B753" s="210" t="str">
        <f>IFERROR(__xludf.DUMMYFUNCTION("""COMPUTED_VALUE"""),"03250303")</f>
        <v>03250303</v>
      </c>
      <c r="C753" s="213">
        <f>IFERROR(__xludf.DUMMYFUNCTION("""COMPUTED_VALUE"""),45723.37152777778)</f>
        <v>45723.37153</v>
      </c>
      <c r="D753" s="211" t="str">
        <f>IFERROR(__xludf.DUMMYFUNCTION("""COMPUTED_VALUE"""),"e76bc39c")</f>
        <v>e76bc39c</v>
      </c>
      <c r="E753" s="211" t="str">
        <f>IFERROR(__xludf.DUMMYFUNCTION("""COMPUTED_VALUE"""),"Bpk. Irul")</f>
        <v>Bpk. Irul</v>
      </c>
      <c r="F753" s="211" t="str">
        <f>IFERROR(__xludf.DUMMYFUNCTION("""COMPUTED_VALUE"""),"8bdbe149")</f>
        <v>8bdbe149</v>
      </c>
      <c r="G753" s="211" t="str">
        <f>IFERROR(__xludf.DUMMYFUNCTION("""COMPUTED_VALUE"""),"Oksigen 6m3")</f>
        <v>Oksigen 6m3</v>
      </c>
      <c r="H753" s="214" t="str">
        <f>IFERROR(__xludf.DUMMYFUNCTION("""COMPUTED_VALUE"""),"OUT")</f>
        <v>OUT</v>
      </c>
      <c r="I753" s="214" t="str">
        <f>IFERROR(__xludf.DUMMYFUNCTION("""COMPUTED_VALUE"""),"NORMAL")</f>
        <v>NORMAL</v>
      </c>
      <c r="J753" s="211">
        <f>IFERROR(__xludf.DUMMYFUNCTION("""COMPUTED_VALUE"""),1.0)</f>
        <v>1</v>
      </c>
      <c r="K753" s="210" t="str">
        <f>IFERROR(__xludf.DUMMYFUNCTION("""COMPUTED_VALUE"""),"1144")</f>
        <v>1144</v>
      </c>
      <c r="L753" s="211">
        <f>IFERROR(__xludf.DUMMYFUNCTION("""COMPUTED_VALUE"""),65000.0)</f>
        <v>65000</v>
      </c>
      <c r="M753" s="211"/>
      <c r="N753" s="211"/>
      <c r="O753" s="211"/>
      <c r="Q753" s="210" t="str">
        <f>IFERROR(__xludf.DUMMYFUNCTION("""COMPUTED_VALUE"""),"94de42ac")</f>
        <v>94de42ac</v>
      </c>
      <c r="R753" s="210" t="str">
        <f>IFERROR(__xludf.DUMMYFUNCTION("""COMPUTED_VALUE"""),"94de42ac")</f>
        <v>94de42ac</v>
      </c>
      <c r="S753" s="211" t="str">
        <f>IFERROR(__xludf.DUMMYFUNCTION("""COMPUTED_VALUE"""),"8ea74d81")</f>
        <v>8ea74d81</v>
      </c>
      <c r="T753" s="211" t="str">
        <f>IFERROR(__xludf.DUMMYFUNCTION("""COMPUTED_VALUE"""),"Bengkel Adi Putra")</f>
        <v>Bengkel Adi Putra</v>
      </c>
      <c r="U753" s="215">
        <f>IFERROR(__xludf.DUMMYFUNCTION("""COMPUTED_VALUE"""),45784.464583333334)</f>
        <v>45784.46458</v>
      </c>
      <c r="V753" s="211" t="str">
        <f>IFERROR(__xludf.DUMMYFUNCTION("""COMPUTED_VALUE"""),"Bypass Balongbendo")</f>
        <v>Bypass Balongbendo</v>
      </c>
      <c r="W753" s="211" t="str">
        <f>IFERROR(__xludf.DUMMYFUNCTION("""COMPUTED_VALUE"""),"IN")</f>
        <v>IN</v>
      </c>
      <c r="X753" s="211"/>
      <c r="Z753" s="211" t="str">
        <f>IFERROR(__xludf.DUMMYFUNCTION("""COMPUTED_VALUE"""),"1025101454")</f>
        <v>1025101454</v>
      </c>
      <c r="AC753" s="211"/>
      <c r="AD753" s="211"/>
      <c r="AE753" s="211"/>
      <c r="AF753" s="211"/>
      <c r="AG753" s="211"/>
      <c r="AH753" s="211"/>
      <c r="AI753" s="211"/>
      <c r="AJ753" s="211"/>
      <c r="AL753" s="211"/>
      <c r="AM753" s="211"/>
      <c r="AN753" s="211"/>
      <c r="AO753" s="211"/>
      <c r="AP753" s="215"/>
      <c r="AQ753" s="218"/>
      <c r="AR753" s="211"/>
      <c r="AS753" s="211"/>
      <c r="AT753" s="211"/>
      <c r="AU753" s="211"/>
      <c r="AV753" s="211"/>
      <c r="AW753" s="211"/>
      <c r="AX753" s="211"/>
      <c r="AY753" s="211"/>
      <c r="AZ753" s="211"/>
      <c r="BB753" s="211"/>
      <c r="BC753" s="211"/>
      <c r="BD753" s="211"/>
      <c r="BE753" s="211"/>
      <c r="BF753" s="211"/>
      <c r="BG753" s="211"/>
      <c r="BH753" s="211"/>
      <c r="BI753" s="211"/>
    </row>
    <row r="754">
      <c r="A754" s="210" t="str">
        <f>IFERROR(__xludf.DUMMYFUNCTION("""COMPUTED_VALUE"""),"c2fd0134")</f>
        <v>c2fd0134</v>
      </c>
      <c r="B754" s="210" t="str">
        <f>IFERROR(__xludf.DUMMYFUNCTION("""COMPUTED_VALUE"""),"c2fd0134")</f>
        <v>c2fd0134</v>
      </c>
      <c r="C754" s="213">
        <f>IFERROR(__xludf.DUMMYFUNCTION("""COMPUTED_VALUE"""),45723.44513888889)</f>
        <v>45723.44514</v>
      </c>
      <c r="D754" s="211" t="str">
        <f>IFERROR(__xludf.DUMMYFUNCTION("""COMPUTED_VALUE"""),"df6bdc5d")</f>
        <v>df6bdc5d</v>
      </c>
      <c r="E754" s="211" t="str">
        <f>IFERROR(__xludf.DUMMYFUNCTION("""COMPUTED_VALUE"""),"Bpk. Maruf")</f>
        <v>Bpk. Maruf</v>
      </c>
      <c r="F754" s="211" t="str">
        <f>IFERROR(__xludf.DUMMYFUNCTION("""COMPUTED_VALUE"""),"8bdbe149")</f>
        <v>8bdbe149</v>
      </c>
      <c r="G754" s="211" t="str">
        <f>IFERROR(__xludf.DUMMYFUNCTION("""COMPUTED_VALUE"""),"Oksigen 6m3")</f>
        <v>Oksigen 6m3</v>
      </c>
      <c r="H754" s="214" t="str">
        <f>IFERROR(__xludf.DUMMYFUNCTION("""COMPUTED_VALUE"""),"IN")</f>
        <v>IN</v>
      </c>
      <c r="I754" s="214" t="str">
        <f>IFERROR(__xludf.DUMMYFUNCTION("""COMPUTED_VALUE"""),"EMPTY")</f>
        <v>EMPTY</v>
      </c>
      <c r="J754" s="211">
        <f>IFERROR(__xludf.DUMMYFUNCTION("""COMPUTED_VALUE"""),15.0)</f>
        <v>15</v>
      </c>
      <c r="K754" s="211"/>
      <c r="L754" s="211">
        <f>IFERROR(__xludf.DUMMYFUNCTION("""COMPUTED_VALUE"""),0.0)</f>
        <v>0</v>
      </c>
      <c r="M754" s="211"/>
      <c r="N754" s="211"/>
      <c r="O754" s="211"/>
      <c r="Q754" s="210" t="str">
        <f>IFERROR(__xludf.DUMMYFUNCTION("""COMPUTED_VALUE"""),"b66b6981")</f>
        <v>b66b6981</v>
      </c>
      <c r="R754" s="210" t="str">
        <f>IFERROR(__xludf.DUMMYFUNCTION("""COMPUTED_VALUE"""),"b66b6981")</f>
        <v>b66b6981</v>
      </c>
      <c r="S754" s="211" t="str">
        <f>IFERROR(__xludf.DUMMYFUNCTION("""COMPUTED_VALUE"""),"e86baf3b")</f>
        <v>e86baf3b</v>
      </c>
      <c r="T754" s="211" t="str">
        <f>IFERROR(__xludf.DUMMYFUNCTION("""COMPUTED_VALUE"""),"PT GEMILANG CIPTA WAWASAN")</f>
        <v>PT GEMILANG CIPTA WAWASAN</v>
      </c>
      <c r="U754" s="215">
        <f>IFERROR(__xludf.DUMMYFUNCTION("""COMPUTED_VALUE"""),45784.58472222222)</f>
        <v>45784.58472</v>
      </c>
      <c r="V754" s="211" t="str">
        <f>IFERROR(__xludf.DUMMYFUNCTION("""COMPUTED_VALUE"""),"JL TEBET RAYA, 2A, TEBET BARAT, TEBET, KOTA ADM, JAKARTA SELATAN, DKI JAKARTA")</f>
        <v>JL TEBET RAYA, 2A, TEBET BARAT, TEBET, KOTA ADM, JAKARTA SELATAN, DKI JAKARTA</v>
      </c>
      <c r="W754" s="211" t="str">
        <f>IFERROR(__xludf.DUMMYFUNCTION("""COMPUTED_VALUE"""),"IN")</f>
        <v>IN</v>
      </c>
      <c r="X754" s="211"/>
      <c r="Z754" s="211" t="str">
        <f>IFERROR(__xludf.DUMMYFUNCTION("""COMPUTED_VALUE"""),"102541444")</f>
        <v>102541444</v>
      </c>
      <c r="AC754" s="211"/>
      <c r="AD754" s="211"/>
      <c r="AE754" s="211"/>
      <c r="AF754" s="211"/>
      <c r="AG754" s="211"/>
      <c r="AH754" s="211"/>
      <c r="AI754" s="211"/>
      <c r="AJ754" s="211"/>
      <c r="AL754" s="211"/>
      <c r="AM754" s="211"/>
      <c r="AN754" s="211"/>
      <c r="AO754" s="211"/>
      <c r="AP754" s="215"/>
      <c r="AQ754" s="218"/>
      <c r="AR754" s="211"/>
      <c r="AS754" s="211"/>
      <c r="AT754" s="211"/>
      <c r="AU754" s="211"/>
      <c r="AV754" s="211"/>
      <c r="AW754" s="211"/>
      <c r="AX754" s="211"/>
      <c r="AY754" s="211"/>
      <c r="AZ754" s="211"/>
      <c r="BB754" s="211"/>
      <c r="BC754" s="211"/>
      <c r="BD754" s="211"/>
      <c r="BE754" s="211"/>
      <c r="BF754" s="211"/>
      <c r="BG754" s="211"/>
      <c r="BH754" s="211"/>
      <c r="BI754" s="211"/>
    </row>
    <row r="755">
      <c r="A755" s="210" t="str">
        <f>IFERROR(__xludf.DUMMYFUNCTION("""COMPUTED_VALUE"""),"01aa3faf")</f>
        <v>01aa3faf</v>
      </c>
      <c r="B755" s="210" t="str">
        <f>IFERROR(__xludf.DUMMYFUNCTION("""COMPUTED_VALUE"""),"01aa3faf")</f>
        <v>01aa3faf</v>
      </c>
      <c r="C755" s="213">
        <f>IFERROR(__xludf.DUMMYFUNCTION("""COMPUTED_VALUE"""),45723.44583333333)</f>
        <v>45723.44583</v>
      </c>
      <c r="D755" s="211" t="str">
        <f>IFERROR(__xludf.DUMMYFUNCTION("""COMPUTED_VALUE"""),"103f3ae7")</f>
        <v>103f3ae7</v>
      </c>
      <c r="E755" s="211" t="str">
        <f>IFERROR(__xludf.DUMMYFUNCTION("""COMPUTED_VALUE"""),"PT ARYANA CAKASANA")</f>
        <v>PT ARYANA CAKASANA</v>
      </c>
      <c r="F755" s="211" t="str">
        <f>IFERROR(__xludf.DUMMYFUNCTION("""COMPUTED_VALUE"""),"8bdbe149")</f>
        <v>8bdbe149</v>
      </c>
      <c r="G755" s="211" t="str">
        <f>IFERROR(__xludf.DUMMYFUNCTION("""COMPUTED_VALUE"""),"Oksigen 6m3")</f>
        <v>Oksigen 6m3</v>
      </c>
      <c r="H755" s="214" t="str">
        <f>IFERROR(__xludf.DUMMYFUNCTION("""COMPUTED_VALUE"""),"IN")</f>
        <v>IN</v>
      </c>
      <c r="I755" s="214" t="str">
        <f>IFERROR(__xludf.DUMMYFUNCTION("""COMPUTED_VALUE"""),"EMPTY")</f>
        <v>EMPTY</v>
      </c>
      <c r="J755" s="211">
        <f>IFERROR(__xludf.DUMMYFUNCTION("""COMPUTED_VALUE"""),7.0)</f>
        <v>7</v>
      </c>
      <c r="K755" s="210" t="str">
        <f>IFERROR(__xludf.DUMMYFUNCTION("""COMPUTED_VALUE"""),"1155 1122 11131 11128 1150 1154 1114")</f>
        <v>1155 1122 11131 11128 1150 1154 1114</v>
      </c>
      <c r="L755" s="211">
        <f>IFERROR(__xludf.DUMMYFUNCTION("""COMPUTED_VALUE"""),0.0)</f>
        <v>0</v>
      </c>
      <c r="M755" s="211"/>
      <c r="N755" s="211"/>
      <c r="O755" s="211"/>
      <c r="Q755" s="210" t="str">
        <f>IFERROR(__xludf.DUMMYFUNCTION("""COMPUTED_VALUE"""),"5bc29106")</f>
        <v>5bc29106</v>
      </c>
      <c r="R755" s="210" t="str">
        <f>IFERROR(__xludf.DUMMYFUNCTION("""COMPUTED_VALUE"""),"5bc29106")</f>
        <v>5bc29106</v>
      </c>
      <c r="S755" s="211" t="str">
        <f>IFERROR(__xludf.DUMMYFUNCTION("""COMPUTED_VALUE"""),"785e0e07")</f>
        <v>785e0e07</v>
      </c>
      <c r="T755" s="211" t="str">
        <f>IFERROR(__xludf.DUMMYFUNCTION("""COMPUTED_VALUE"""),"Bpk. Sukirno (Bejo)")</f>
        <v>Bpk. Sukirno (Bejo)</v>
      </c>
      <c r="U755" s="215">
        <f>IFERROR(__xludf.DUMMYFUNCTION("""COMPUTED_VALUE"""),45785.46944444445)</f>
        <v>45785.46944</v>
      </c>
      <c r="V755" s="211" t="str">
        <f>IFERROR(__xludf.DUMMYFUNCTION("""COMPUTED_VALUE"""),"Krajan I, Wringinanom, Kec. Wringinanom, Kabupaten Gresik, Jawa Timur 61176")</f>
        <v>Krajan I, Wringinanom, Kec. Wringinanom, Kabupaten Gresik, Jawa Timur 61176</v>
      </c>
      <c r="W755" s="211" t="str">
        <f>IFERROR(__xludf.DUMMYFUNCTION("""COMPUTED_VALUE"""),"IN")</f>
        <v>IN</v>
      </c>
      <c r="X755" s="211"/>
      <c r="Z755" s="211" t="str">
        <f>IFERROR(__xludf.DUMMYFUNCTION("""COMPUTED_VALUE"""),"1025161451")</f>
        <v>1025161451</v>
      </c>
      <c r="AC755" s="211"/>
      <c r="AD755" s="211"/>
      <c r="AE755" s="211"/>
      <c r="AF755" s="211"/>
      <c r="AG755" s="211"/>
      <c r="AH755" s="211"/>
      <c r="AI755" s="211"/>
      <c r="AJ755" s="211"/>
      <c r="AL755" s="211"/>
      <c r="AM755" s="211"/>
      <c r="AN755" s="211"/>
      <c r="AO755" s="211"/>
      <c r="AP755" s="215"/>
      <c r="AQ755" s="218"/>
      <c r="AR755" s="211"/>
      <c r="AS755" s="211"/>
      <c r="AT755" s="211"/>
      <c r="AU755" s="211"/>
      <c r="AV755" s="211"/>
      <c r="AW755" s="211"/>
      <c r="AX755" s="211"/>
      <c r="AY755" s="211"/>
      <c r="AZ755" s="211"/>
      <c r="BB755" s="211"/>
      <c r="BC755" s="211"/>
      <c r="BD755" s="211"/>
      <c r="BE755" s="211"/>
      <c r="BF755" s="211"/>
      <c r="BG755" s="211"/>
      <c r="BH755" s="211"/>
      <c r="BI755" s="211"/>
    </row>
    <row r="756">
      <c r="A756" s="210" t="str">
        <f>IFERROR(__xludf.DUMMYFUNCTION("""COMPUTED_VALUE"""),"c2fd0134")</f>
        <v>c2fd0134</v>
      </c>
      <c r="B756" s="210" t="str">
        <f>IFERROR(__xludf.DUMMYFUNCTION("""COMPUTED_VALUE"""),"c2fd0134")</f>
        <v>c2fd0134</v>
      </c>
      <c r="C756" s="213">
        <f>IFERROR(__xludf.DUMMYFUNCTION("""COMPUTED_VALUE"""),45723.475694444445)</f>
        <v>45723.47569</v>
      </c>
      <c r="D756" s="211" t="str">
        <f>IFERROR(__xludf.DUMMYFUNCTION("""COMPUTED_VALUE"""),"df6bdc5d")</f>
        <v>df6bdc5d</v>
      </c>
      <c r="E756" s="211" t="str">
        <f>IFERROR(__xludf.DUMMYFUNCTION("""COMPUTED_VALUE"""),"Bpk. Maruf")</f>
        <v>Bpk. Maruf</v>
      </c>
      <c r="F756" s="211" t="str">
        <f>IFERROR(__xludf.DUMMYFUNCTION("""COMPUTED_VALUE"""),"8bdbe149")</f>
        <v>8bdbe149</v>
      </c>
      <c r="G756" s="211" t="str">
        <f>IFERROR(__xludf.DUMMYFUNCTION("""COMPUTED_VALUE"""),"Oksigen 6m3")</f>
        <v>Oksigen 6m3</v>
      </c>
      <c r="H756" s="214" t="str">
        <f>IFERROR(__xludf.DUMMYFUNCTION("""COMPUTED_VALUE"""),"IN")</f>
        <v>IN</v>
      </c>
      <c r="I756" s="214" t="str">
        <f>IFERROR(__xludf.DUMMYFUNCTION("""COMPUTED_VALUE"""),"EMPTY")</f>
        <v>EMPTY</v>
      </c>
      <c r="J756" s="211">
        <f>IFERROR(__xludf.DUMMYFUNCTION("""COMPUTED_VALUE"""),5.0)</f>
        <v>5</v>
      </c>
      <c r="K756" s="210" t="str">
        <f>IFERROR(__xludf.DUMMYFUNCTION("""COMPUTED_VALUE"""),"11193 11194 1160 11208 11134")</f>
        <v>11193 11194 1160 11208 11134</v>
      </c>
      <c r="L756" s="211">
        <f>IFERROR(__xludf.DUMMYFUNCTION("""COMPUTED_VALUE"""),0.0)</f>
        <v>0</v>
      </c>
      <c r="M756" s="211"/>
      <c r="N756" s="211"/>
      <c r="O756" s="211"/>
      <c r="Q756" s="210" t="str">
        <f>IFERROR(__xludf.DUMMYFUNCTION("""COMPUTED_VALUE"""),"66ee3459")</f>
        <v>66ee3459</v>
      </c>
      <c r="R756" s="210" t="str">
        <f>IFERROR(__xludf.DUMMYFUNCTION("""COMPUTED_VALUE"""),"66ee3459")</f>
        <v>66ee3459</v>
      </c>
      <c r="S756" s="211" t="str">
        <f>IFERROR(__xludf.DUMMYFUNCTION("""COMPUTED_VALUE"""),"ed2cc96a")</f>
        <v>ed2cc96a</v>
      </c>
      <c r="T756" s="211" t="str">
        <f>IFERROR(__xludf.DUMMYFUNCTION("""COMPUTED_VALUE"""),"Bengkel Dian Jaya")</f>
        <v>Bengkel Dian Jaya</v>
      </c>
      <c r="U756" s="215">
        <f>IFERROR(__xludf.DUMMYFUNCTION("""COMPUTED_VALUE"""),45785.65763888889)</f>
        <v>45785.65764</v>
      </c>
      <c r="V756" s="211" t="str">
        <f>IFERROR(__xludf.DUMMYFUNCTION("""COMPUTED_VALUE"""),"Gg. 2, Kejagan, Kec. Trowulan, Kabupaten Mojokerto, Jawa Timur 61362")</f>
        <v>Gg. 2, Kejagan, Kec. Trowulan, Kabupaten Mojokerto, Jawa Timur 61362</v>
      </c>
      <c r="W756" s="211" t="str">
        <f>IFERROR(__xludf.DUMMYFUNCTION("""COMPUTED_VALUE"""),"IN")</f>
        <v>IN</v>
      </c>
      <c r="X756" s="211"/>
      <c r="Z756" s="211" t="str">
        <f>IFERROR(__xludf.DUMMYFUNCTION("""COMPUTED_VALUE"""),"1025291448")</f>
        <v>1025291448</v>
      </c>
      <c r="AC756" s="211"/>
      <c r="AD756" s="211"/>
      <c r="AE756" s="211"/>
      <c r="AF756" s="211"/>
      <c r="AG756" s="211"/>
      <c r="AH756" s="211"/>
      <c r="AI756" s="211"/>
      <c r="AJ756" s="211"/>
      <c r="AL756" s="211"/>
      <c r="AM756" s="211"/>
      <c r="AN756" s="211"/>
      <c r="AO756" s="211"/>
      <c r="AP756" s="215"/>
      <c r="AQ756" s="218"/>
      <c r="AR756" s="211"/>
      <c r="AS756" s="211"/>
      <c r="AT756" s="211"/>
      <c r="AU756" s="211"/>
      <c r="AV756" s="211"/>
      <c r="AW756" s="211"/>
      <c r="AX756" s="211"/>
      <c r="AY756" s="211"/>
      <c r="AZ756" s="211"/>
      <c r="BB756" s="211"/>
      <c r="BC756" s="211"/>
      <c r="BD756" s="211"/>
      <c r="BE756" s="211"/>
      <c r="BF756" s="211"/>
      <c r="BG756" s="211"/>
      <c r="BH756" s="211"/>
      <c r="BI756" s="211"/>
    </row>
    <row r="757">
      <c r="A757" s="210" t="str">
        <f>IFERROR(__xludf.DUMMYFUNCTION("""COMPUTED_VALUE"""),"03250302")</f>
        <v>03250302</v>
      </c>
      <c r="B757" s="210" t="str">
        <f>IFERROR(__xludf.DUMMYFUNCTION("""COMPUTED_VALUE"""),"03250302")</f>
        <v>03250302</v>
      </c>
      <c r="C757" s="213">
        <f>IFERROR(__xludf.DUMMYFUNCTION("""COMPUTED_VALUE"""),45723.55486111111)</f>
        <v>45723.55486</v>
      </c>
      <c r="D757" s="211" t="str">
        <f>IFERROR(__xludf.DUMMYFUNCTION("""COMPUTED_VALUE"""),"df6bdc5d")</f>
        <v>df6bdc5d</v>
      </c>
      <c r="E757" s="211" t="str">
        <f>IFERROR(__xludf.DUMMYFUNCTION("""COMPUTED_VALUE"""),"Bpk. Maruf")</f>
        <v>Bpk. Maruf</v>
      </c>
      <c r="F757" s="211" t="str">
        <f>IFERROR(__xludf.DUMMYFUNCTION("""COMPUTED_VALUE"""),"8bdbe149")</f>
        <v>8bdbe149</v>
      </c>
      <c r="G757" s="211" t="str">
        <f>IFERROR(__xludf.DUMMYFUNCTION("""COMPUTED_VALUE"""),"Oksigen 6m3")</f>
        <v>Oksigen 6m3</v>
      </c>
      <c r="H757" s="214" t="str">
        <f>IFERROR(__xludf.DUMMYFUNCTION("""COMPUTED_VALUE"""),"OUT")</f>
        <v>OUT</v>
      </c>
      <c r="I757" s="214" t="str">
        <f>IFERROR(__xludf.DUMMYFUNCTION("""COMPUTED_VALUE"""),"NORMAL")</f>
        <v>NORMAL</v>
      </c>
      <c r="J757" s="211">
        <f>IFERROR(__xludf.DUMMYFUNCTION("""COMPUTED_VALUE"""),17.0)</f>
        <v>17</v>
      </c>
      <c r="K757" s="211"/>
      <c r="L757" s="211">
        <f>IFERROR(__xludf.DUMMYFUNCTION("""COMPUTED_VALUE"""),60000.0)</f>
        <v>60000</v>
      </c>
      <c r="M757" s="211"/>
      <c r="N757" s="211"/>
      <c r="O757" s="211"/>
      <c r="Q757" s="210" t="str">
        <f>IFERROR(__xludf.DUMMYFUNCTION("""COMPUTED_VALUE"""),"05250418")</f>
        <v>05250418</v>
      </c>
      <c r="R757" s="210" t="str">
        <f>IFERROR(__xludf.DUMMYFUNCTION("""COMPUTED_VALUE"""),"05250418")</f>
        <v>05250418</v>
      </c>
      <c r="S757" s="211" t="str">
        <f>IFERROR(__xludf.DUMMYFUNCTION("""COMPUTED_VALUE"""),"ed2cc96a")</f>
        <v>ed2cc96a</v>
      </c>
      <c r="T757" s="211" t="str">
        <f>IFERROR(__xludf.DUMMYFUNCTION("""COMPUTED_VALUE"""),"Bengkel Dian Jaya")</f>
        <v>Bengkel Dian Jaya</v>
      </c>
      <c r="U757" s="215">
        <f>IFERROR(__xludf.DUMMYFUNCTION("""COMPUTED_VALUE"""),45786.33819444444)</f>
        <v>45786.33819</v>
      </c>
      <c r="V757" s="211" t="str">
        <f>IFERROR(__xludf.DUMMYFUNCTION("""COMPUTED_VALUE"""),"Gg. 2, Kejagan, Kec. Trowulan, Kabupaten Mojokerto, Jawa Timur 61362")</f>
        <v>Gg. 2, Kejagan, Kec. Trowulan, Kabupaten Mojokerto, Jawa Timur 61362</v>
      </c>
      <c r="W757" s="211" t="str">
        <f>IFERROR(__xludf.DUMMYFUNCTION("""COMPUTED_VALUE"""),"OUT")</f>
        <v>OUT</v>
      </c>
      <c r="X757" s="211"/>
      <c r="Z757" s="211" t="str">
        <f>IFERROR(__xludf.DUMMYFUNCTION("""COMPUTED_VALUE"""),"102521447")</f>
        <v>102521447</v>
      </c>
      <c r="AC757" s="211"/>
      <c r="AD757" s="211"/>
      <c r="AE757" s="211"/>
      <c r="AF757" s="211"/>
      <c r="AG757" s="211"/>
      <c r="AH757" s="211"/>
      <c r="AI757" s="211"/>
      <c r="AJ757" s="211"/>
      <c r="AL757" s="211"/>
      <c r="AM757" s="211"/>
      <c r="AN757" s="211"/>
      <c r="AO757" s="211"/>
      <c r="AP757" s="215"/>
      <c r="AQ757" s="218"/>
      <c r="AR757" s="211"/>
      <c r="AS757" s="211"/>
      <c r="AT757" s="211"/>
      <c r="AU757" s="211"/>
      <c r="AV757" s="211"/>
      <c r="AW757" s="211"/>
      <c r="AX757" s="211"/>
      <c r="AY757" s="211"/>
      <c r="AZ757" s="211"/>
      <c r="BB757" s="211"/>
      <c r="BC757" s="211"/>
      <c r="BD757" s="211"/>
      <c r="BE757" s="211"/>
      <c r="BF757" s="211"/>
      <c r="BG757" s="211"/>
      <c r="BH757" s="211"/>
      <c r="BI757" s="211"/>
    </row>
    <row r="758">
      <c r="A758" s="210" t="str">
        <f>IFERROR(__xludf.DUMMYFUNCTION("""COMPUTED_VALUE"""),"03250305")</f>
        <v>03250305</v>
      </c>
      <c r="B758" s="210" t="str">
        <f>IFERROR(__xludf.DUMMYFUNCTION("""COMPUTED_VALUE"""),"03250305")</f>
        <v>03250305</v>
      </c>
      <c r="C758" s="213">
        <f>IFERROR(__xludf.DUMMYFUNCTION("""COMPUTED_VALUE"""),45723.57777777778)</f>
        <v>45723.57778</v>
      </c>
      <c r="D758" s="211" t="str">
        <f>IFERROR(__xludf.DUMMYFUNCTION("""COMPUTED_VALUE"""),"d78b2eaf")</f>
        <v>d78b2eaf</v>
      </c>
      <c r="E758" s="211" t="str">
        <f>IFERROR(__xludf.DUMMYFUNCTION("""COMPUTED_VALUE"""),"PT Sinar Indogreen Kencana")</f>
        <v>PT Sinar Indogreen Kencana</v>
      </c>
      <c r="F758" s="211" t="str">
        <f>IFERROR(__xludf.DUMMYFUNCTION("""COMPUTED_VALUE"""),"be525f3b")</f>
        <v>be525f3b</v>
      </c>
      <c r="G758" s="211" t="str">
        <f>IFERROR(__xludf.DUMMYFUNCTION("""COMPUTED_VALUE"""),"LPG 12kg")</f>
        <v>LPG 12kg</v>
      </c>
      <c r="H758" s="214" t="str">
        <f>IFERROR(__xludf.DUMMYFUNCTION("""COMPUTED_VALUE"""),"OUT")</f>
        <v>OUT</v>
      </c>
      <c r="I758" s="214" t="str">
        <f>IFERROR(__xludf.DUMMYFUNCTION("""COMPUTED_VALUE"""),"NORMAL")</f>
        <v>NORMAL</v>
      </c>
      <c r="J758" s="211">
        <f>IFERROR(__xludf.DUMMYFUNCTION("""COMPUTED_VALUE"""),3.0)</f>
        <v>3</v>
      </c>
      <c r="K758" s="211"/>
      <c r="L758" s="211">
        <f>IFERROR(__xludf.DUMMYFUNCTION("""COMPUTED_VALUE"""),189189.19)</f>
        <v>189189.19</v>
      </c>
      <c r="M758" s="211"/>
      <c r="N758" s="211"/>
      <c r="O758" s="211"/>
      <c r="Q758" s="210" t="str">
        <f>IFERROR(__xludf.DUMMYFUNCTION("""COMPUTED_VALUE"""),"05250420")</f>
        <v>05250420</v>
      </c>
      <c r="R758" s="210" t="str">
        <f>IFERROR(__xludf.DUMMYFUNCTION("""COMPUTED_VALUE"""),"05250420")</f>
        <v>05250420</v>
      </c>
      <c r="S758" s="211" t="str">
        <f>IFERROR(__xludf.DUMMYFUNCTION("""COMPUTED_VALUE"""),"785e0e07")</f>
        <v>785e0e07</v>
      </c>
      <c r="T758" s="211" t="str">
        <f>IFERROR(__xludf.DUMMYFUNCTION("""COMPUTED_VALUE"""),"Bpk. Sukirno (Bejo)")</f>
        <v>Bpk. Sukirno (Bejo)</v>
      </c>
      <c r="U758" s="215">
        <f>IFERROR(__xludf.DUMMYFUNCTION("""COMPUTED_VALUE"""),45786.45763888889)</f>
        <v>45786.45764</v>
      </c>
      <c r="V758" s="211" t="str">
        <f>IFERROR(__xludf.DUMMYFUNCTION("""COMPUTED_VALUE"""),"Krajan I, Wringinanom, Kec. Wringinanom, Kabupaten Gresik, Jawa Timur 61176")</f>
        <v>Krajan I, Wringinanom, Kec. Wringinanom, Kabupaten Gresik, Jawa Timur 61176</v>
      </c>
      <c r="W758" s="211" t="str">
        <f>IFERROR(__xludf.DUMMYFUNCTION("""COMPUTED_VALUE"""),"OUT")</f>
        <v>OUT</v>
      </c>
      <c r="X758" s="211"/>
      <c r="Z758" s="211" t="str">
        <f>IFERROR(__xludf.DUMMYFUNCTION("""COMPUTED_VALUE"""),"1025211441")</f>
        <v>1025211441</v>
      </c>
      <c r="AC758" s="211"/>
      <c r="AD758" s="211"/>
      <c r="AE758" s="211"/>
      <c r="AF758" s="211"/>
      <c r="AG758" s="211"/>
      <c r="AH758" s="211"/>
      <c r="AI758" s="211"/>
      <c r="AJ758" s="211"/>
      <c r="AL758" s="211"/>
      <c r="AM758" s="211"/>
      <c r="AN758" s="211"/>
      <c r="AO758" s="211"/>
      <c r="AP758" s="215"/>
      <c r="AQ758" s="218"/>
      <c r="AR758" s="211"/>
      <c r="AS758" s="211"/>
      <c r="AT758" s="211"/>
      <c r="AU758" s="211"/>
      <c r="AV758" s="211"/>
      <c r="AW758" s="211"/>
      <c r="AX758" s="211"/>
      <c r="AY758" s="211"/>
      <c r="AZ758" s="211"/>
      <c r="BB758" s="211"/>
      <c r="BC758" s="211"/>
      <c r="BD758" s="211"/>
      <c r="BE758" s="211"/>
      <c r="BF758" s="211"/>
      <c r="BG758" s="211"/>
      <c r="BH758" s="211"/>
      <c r="BI758" s="211"/>
    </row>
    <row r="759">
      <c r="A759" s="210" t="str">
        <f>IFERROR(__xludf.DUMMYFUNCTION("""COMPUTED_VALUE"""),"03250302")</f>
        <v>03250302</v>
      </c>
      <c r="B759" s="210" t="str">
        <f>IFERROR(__xludf.DUMMYFUNCTION("""COMPUTED_VALUE"""),"03250302")</f>
        <v>03250302</v>
      </c>
      <c r="C759" s="213">
        <f>IFERROR(__xludf.DUMMYFUNCTION("""COMPUTED_VALUE"""),45723.58541666667)</f>
        <v>45723.58542</v>
      </c>
      <c r="D759" s="211" t="str">
        <f>IFERROR(__xludf.DUMMYFUNCTION("""COMPUTED_VALUE"""),"df6bdc5d")</f>
        <v>df6bdc5d</v>
      </c>
      <c r="E759" s="211" t="str">
        <f>IFERROR(__xludf.DUMMYFUNCTION("""COMPUTED_VALUE"""),"Bpk. Maruf")</f>
        <v>Bpk. Maruf</v>
      </c>
      <c r="F759" s="211" t="str">
        <f>IFERROR(__xludf.DUMMYFUNCTION("""COMPUTED_VALUE"""),"be525f3b")</f>
        <v>be525f3b</v>
      </c>
      <c r="G759" s="211" t="str">
        <f>IFERROR(__xludf.DUMMYFUNCTION("""COMPUTED_VALUE"""),"LPG 12kg")</f>
        <v>LPG 12kg</v>
      </c>
      <c r="H759" s="214" t="str">
        <f>IFERROR(__xludf.DUMMYFUNCTION("""COMPUTED_VALUE"""),"OUT")</f>
        <v>OUT</v>
      </c>
      <c r="I759" s="214" t="str">
        <f>IFERROR(__xludf.DUMMYFUNCTION("""COMPUTED_VALUE"""),"NORMAL")</f>
        <v>NORMAL</v>
      </c>
      <c r="J759" s="211">
        <f>IFERROR(__xludf.DUMMYFUNCTION("""COMPUTED_VALUE"""),2.0)</f>
        <v>2</v>
      </c>
      <c r="K759" s="211"/>
      <c r="L759" s="211">
        <f>IFERROR(__xludf.DUMMYFUNCTION("""COMPUTED_VALUE"""),215000.0)</f>
        <v>215000</v>
      </c>
      <c r="M759" s="211"/>
      <c r="N759" s="211"/>
      <c r="O759" s="211"/>
      <c r="Q759" s="210" t="str">
        <f>IFERROR(__xludf.DUMMYFUNCTION("""COMPUTED_VALUE"""),"c032bf7f")</f>
        <v>c032bf7f</v>
      </c>
      <c r="R759" s="210" t="str">
        <f>IFERROR(__xludf.DUMMYFUNCTION("""COMPUTED_VALUE"""),"c032bf7f")</f>
        <v>c032bf7f</v>
      </c>
      <c r="S759" s="211" t="str">
        <f>IFERROR(__xludf.DUMMYFUNCTION("""COMPUTED_VALUE"""),"785e0e07")</f>
        <v>785e0e07</v>
      </c>
      <c r="T759" s="211" t="str">
        <f>IFERROR(__xludf.DUMMYFUNCTION("""COMPUTED_VALUE"""),"Bpk. Sukirno (Bejo)")</f>
        <v>Bpk. Sukirno (Bejo)</v>
      </c>
      <c r="U759" s="215">
        <f>IFERROR(__xludf.DUMMYFUNCTION("""COMPUTED_VALUE"""),45786.61458333333)</f>
        <v>45786.61458</v>
      </c>
      <c r="V759" s="211" t="str">
        <f>IFERROR(__xludf.DUMMYFUNCTION("""COMPUTED_VALUE"""),"Krajan I, Wringinanom, Kec. Wringinanom, Kabupaten Gresik, Jawa Timur 61176")</f>
        <v>Krajan I, Wringinanom, Kec. Wringinanom, Kabupaten Gresik, Jawa Timur 61176</v>
      </c>
      <c r="W759" s="211" t="str">
        <f>IFERROR(__xludf.DUMMYFUNCTION("""COMPUTED_VALUE"""),"IN")</f>
        <v>IN</v>
      </c>
      <c r="X759" s="211"/>
      <c r="Z759" s="211" t="str">
        <f>IFERROR(__xludf.DUMMYFUNCTION("""COMPUTED_VALUE"""),"1025381443")</f>
        <v>1025381443</v>
      </c>
      <c r="AC759" s="211"/>
      <c r="AD759" s="211"/>
      <c r="AE759" s="211"/>
      <c r="AF759" s="211"/>
      <c r="AG759" s="211"/>
      <c r="AH759" s="211"/>
      <c r="AI759" s="211"/>
      <c r="AJ759" s="211"/>
      <c r="AL759" s="211"/>
      <c r="AM759" s="211"/>
      <c r="AN759" s="211"/>
      <c r="AO759" s="211"/>
      <c r="AP759" s="215"/>
      <c r="AQ759" s="218"/>
      <c r="AR759" s="211"/>
      <c r="AS759" s="211"/>
      <c r="AT759" s="211"/>
      <c r="AU759" s="211"/>
      <c r="AV759" s="211"/>
      <c r="AW759" s="211"/>
      <c r="AX759" s="211"/>
      <c r="AY759" s="211"/>
      <c r="AZ759" s="211"/>
      <c r="BB759" s="211"/>
      <c r="BC759" s="211"/>
      <c r="BD759" s="211"/>
      <c r="BE759" s="211"/>
      <c r="BF759" s="211"/>
      <c r="BG759" s="211"/>
      <c r="BH759" s="211"/>
      <c r="BI759" s="211"/>
    </row>
    <row r="760">
      <c r="A760" s="210" t="str">
        <f>IFERROR(__xludf.DUMMYFUNCTION("""COMPUTED_VALUE"""),"77516aed")</f>
        <v>77516aed</v>
      </c>
      <c r="B760" s="210" t="str">
        <f>IFERROR(__xludf.DUMMYFUNCTION("""COMPUTED_VALUE"""),"77516aed")</f>
        <v>77516aed</v>
      </c>
      <c r="C760" s="213">
        <f>IFERROR(__xludf.DUMMYFUNCTION("""COMPUTED_VALUE"""),45723.63402777778)</f>
        <v>45723.63403</v>
      </c>
      <c r="D760" s="211" t="str">
        <f>IFERROR(__xludf.DUMMYFUNCTION("""COMPUTED_VALUE"""),"d78b2eaf")</f>
        <v>d78b2eaf</v>
      </c>
      <c r="E760" s="211" t="str">
        <f>IFERROR(__xludf.DUMMYFUNCTION("""COMPUTED_VALUE"""),"PT Sinar Indogreen Kencana")</f>
        <v>PT Sinar Indogreen Kencana</v>
      </c>
      <c r="F760" s="211" t="str">
        <f>IFERROR(__xludf.DUMMYFUNCTION("""COMPUTED_VALUE"""),"be525f3b")</f>
        <v>be525f3b</v>
      </c>
      <c r="G760" s="211" t="str">
        <f>IFERROR(__xludf.DUMMYFUNCTION("""COMPUTED_VALUE"""),"LPG 12kg")</f>
        <v>LPG 12kg</v>
      </c>
      <c r="H760" s="214" t="str">
        <f>IFERROR(__xludf.DUMMYFUNCTION("""COMPUTED_VALUE"""),"IN")</f>
        <v>IN</v>
      </c>
      <c r="I760" s="214" t="str">
        <f>IFERROR(__xludf.DUMMYFUNCTION("""COMPUTED_VALUE"""),"EMPTY")</f>
        <v>EMPTY</v>
      </c>
      <c r="J760" s="211">
        <f>IFERROR(__xludf.DUMMYFUNCTION("""COMPUTED_VALUE"""),3.0)</f>
        <v>3</v>
      </c>
      <c r="K760" s="211"/>
      <c r="L760" s="211">
        <f>IFERROR(__xludf.DUMMYFUNCTION("""COMPUTED_VALUE"""),0.0)</f>
        <v>0</v>
      </c>
      <c r="M760" s="211"/>
      <c r="N760" s="211"/>
      <c r="O760" s="211"/>
      <c r="Q760" s="210" t="str">
        <f>IFERROR(__xludf.DUMMYFUNCTION("""COMPUTED_VALUE"""),"09fc01fe")</f>
        <v>09fc01fe</v>
      </c>
      <c r="R760" s="210" t="str">
        <f>IFERROR(__xludf.DUMMYFUNCTION("""COMPUTED_VALUE"""),"09fc01fe")</f>
        <v>09fc01fe</v>
      </c>
      <c r="S760" s="211" t="str">
        <f>IFERROR(__xludf.DUMMYFUNCTION("""COMPUTED_VALUE"""),"609d620d")</f>
        <v>609d620d</v>
      </c>
      <c r="T760" s="211" t="str">
        <f>IFERROR(__xludf.DUMMYFUNCTION("""COMPUTED_VALUE"""),"PT Pandu Mulia Bersama")</f>
        <v>PT Pandu Mulia Bersama</v>
      </c>
      <c r="U760" s="215">
        <f>IFERROR(__xludf.DUMMYFUNCTION("""COMPUTED_VALUE"""),45787.478472222225)</f>
        <v>45787.47847</v>
      </c>
      <c r="V760" s="211" t="str">
        <f>IFERROR(__xludf.DUMMYFUNCTION("""COMPUTED_VALUE"""),"Jl. Songgat RT 12 RW 05, Kec. Tarik, Sidoarjo, Jawa Timur")</f>
        <v>Jl. Songgat RT 12 RW 05, Kec. Tarik, Sidoarjo, Jawa Timur</v>
      </c>
      <c r="W760" s="211" t="str">
        <f>IFERROR(__xludf.DUMMYFUNCTION("""COMPUTED_VALUE"""),"IN")</f>
        <v>IN</v>
      </c>
      <c r="X760" s="211"/>
      <c r="Z760" s="211" t="str">
        <f>IFERROR(__xludf.DUMMYFUNCTION("""COMPUTED_VALUE"""),"102531427")</f>
        <v>102531427</v>
      </c>
      <c r="AC760" s="211"/>
      <c r="AD760" s="211"/>
      <c r="AE760" s="211"/>
      <c r="AF760" s="211"/>
      <c r="AG760" s="211"/>
      <c r="AH760" s="211"/>
      <c r="AI760" s="211"/>
      <c r="AJ760" s="211"/>
      <c r="AL760" s="211"/>
      <c r="AM760" s="211"/>
      <c r="AN760" s="211"/>
      <c r="AO760" s="211"/>
      <c r="AP760" s="215"/>
      <c r="AQ760" s="218"/>
      <c r="AR760" s="211"/>
      <c r="AS760" s="211"/>
      <c r="AT760" s="211"/>
      <c r="AU760" s="211"/>
      <c r="AV760" s="211"/>
      <c r="AW760" s="211"/>
      <c r="AX760" s="211"/>
      <c r="AY760" s="211"/>
      <c r="AZ760" s="211"/>
      <c r="BB760" s="211"/>
      <c r="BC760" s="211"/>
      <c r="BD760" s="211"/>
      <c r="BE760" s="211"/>
      <c r="BF760" s="211"/>
      <c r="BG760" s="211"/>
      <c r="BH760" s="211"/>
      <c r="BI760" s="211"/>
    </row>
    <row r="761">
      <c r="A761" s="210" t="str">
        <f>IFERROR(__xludf.DUMMYFUNCTION("""COMPUTED_VALUE"""),"03250307")</f>
        <v>03250307</v>
      </c>
      <c r="B761" s="210" t="str">
        <f>IFERROR(__xludf.DUMMYFUNCTION("""COMPUTED_VALUE"""),"03250307")</f>
        <v>03250307</v>
      </c>
      <c r="C761" s="213">
        <f>IFERROR(__xludf.DUMMYFUNCTION("""COMPUTED_VALUE"""),45723.63888888889)</f>
        <v>45723.63889</v>
      </c>
      <c r="D761" s="211" t="str">
        <f>IFERROR(__xludf.DUMMYFUNCTION("""COMPUTED_VALUE"""),"e93f2c03")</f>
        <v>e93f2c03</v>
      </c>
      <c r="E761" s="211" t="str">
        <f>IFERROR(__xludf.DUMMYFUNCTION("""COMPUTED_VALUE"""),"Ibu Siti Barokah")</f>
        <v>Ibu Siti Barokah</v>
      </c>
      <c r="F761" s="211" t="str">
        <f>IFERROR(__xludf.DUMMYFUNCTION("""COMPUTED_VALUE"""),"8bdbe149")</f>
        <v>8bdbe149</v>
      </c>
      <c r="G761" s="211" t="str">
        <f>IFERROR(__xludf.DUMMYFUNCTION("""COMPUTED_VALUE"""),"Oksigen 6m3")</f>
        <v>Oksigen 6m3</v>
      </c>
      <c r="H761" s="214" t="str">
        <f>IFERROR(__xludf.DUMMYFUNCTION("""COMPUTED_VALUE"""),"OUT")</f>
        <v>OUT</v>
      </c>
      <c r="I761" s="214" t="str">
        <f>IFERROR(__xludf.DUMMYFUNCTION("""COMPUTED_VALUE"""),"NORMAL")</f>
        <v>NORMAL</v>
      </c>
      <c r="J761" s="211">
        <f>IFERROR(__xludf.DUMMYFUNCTION("""COMPUTED_VALUE"""),1.0)</f>
        <v>1</v>
      </c>
      <c r="K761" s="211"/>
      <c r="L761" s="211">
        <f>IFERROR(__xludf.DUMMYFUNCTION("""COMPUTED_VALUE"""),80000.0)</f>
        <v>80000</v>
      </c>
      <c r="M761" s="211"/>
      <c r="N761" s="211"/>
      <c r="O761" s="211"/>
      <c r="Q761" s="210" t="str">
        <f>IFERROR(__xludf.DUMMYFUNCTION("""COMPUTED_VALUE"""),"405250016")</f>
        <v>405250016</v>
      </c>
      <c r="R761" s="210" t="str">
        <f>IFERROR(__xludf.DUMMYFUNCTION("""COMPUTED_VALUE"""),"405250016")</f>
        <v>405250016</v>
      </c>
      <c r="S761" s="211" t="str">
        <f>IFERROR(__xludf.DUMMYFUNCTION("""COMPUTED_VALUE"""),"609d620d")</f>
        <v>609d620d</v>
      </c>
      <c r="T761" s="211" t="str">
        <f>IFERROR(__xludf.DUMMYFUNCTION("""COMPUTED_VALUE"""),"PT Pandu Mulia Bersama")</f>
        <v>PT Pandu Mulia Bersama</v>
      </c>
      <c r="U761" s="215">
        <f>IFERROR(__xludf.DUMMYFUNCTION("""COMPUTED_VALUE"""),45787.47916666667)</f>
        <v>45787.47917</v>
      </c>
      <c r="V761" s="211" t="str">
        <f>IFERROR(__xludf.DUMMYFUNCTION("""COMPUTED_VALUE"""),"Jl. Songgat RT 12 RW 05, Kec. Tarik, Sidoarjo, Jawa Timur")</f>
        <v>Jl. Songgat RT 12 RW 05, Kec. Tarik, Sidoarjo, Jawa Timur</v>
      </c>
      <c r="W761" s="211" t="str">
        <f>IFERROR(__xludf.DUMMYFUNCTION("""COMPUTED_VALUE"""),"OTHER")</f>
        <v>OTHER</v>
      </c>
      <c r="X761" s="211"/>
      <c r="Z761" s="211" t="str">
        <f>IFERROR(__xludf.DUMMYFUNCTION("""COMPUTED_VALUE"""),"1025141435")</f>
        <v>1025141435</v>
      </c>
      <c r="AC761" s="211"/>
      <c r="AD761" s="211"/>
      <c r="AE761" s="211"/>
      <c r="AF761" s="211"/>
      <c r="AG761" s="211"/>
      <c r="AH761" s="211"/>
      <c r="AI761" s="211"/>
      <c r="AJ761" s="211"/>
      <c r="AL761" s="211"/>
      <c r="AM761" s="211"/>
      <c r="AN761" s="211"/>
      <c r="AO761" s="211"/>
      <c r="AP761" s="215"/>
      <c r="AQ761" s="218"/>
      <c r="AR761" s="211"/>
      <c r="AS761" s="211"/>
      <c r="AT761" s="211"/>
      <c r="AU761" s="211"/>
      <c r="AV761" s="211"/>
      <c r="AW761" s="211"/>
      <c r="AX761" s="211"/>
      <c r="AY761" s="211"/>
      <c r="AZ761" s="211"/>
      <c r="BB761" s="211"/>
      <c r="BC761" s="211"/>
      <c r="BD761" s="211"/>
      <c r="BE761" s="211"/>
      <c r="BF761" s="211"/>
      <c r="BG761" s="211"/>
      <c r="BH761" s="211"/>
      <c r="BI761" s="211"/>
    </row>
    <row r="762">
      <c r="A762" s="210" t="str">
        <f>IFERROR(__xludf.DUMMYFUNCTION("""COMPUTED_VALUE"""),"03250308")</f>
        <v>03250308</v>
      </c>
      <c r="B762" s="210" t="str">
        <f>IFERROR(__xludf.DUMMYFUNCTION("""COMPUTED_VALUE"""),"03250308")</f>
        <v>03250308</v>
      </c>
      <c r="C762" s="213">
        <f>IFERROR(__xludf.DUMMYFUNCTION("""COMPUTED_VALUE"""),45724.36944444444)</f>
        <v>45724.36944</v>
      </c>
      <c r="D762" s="211" t="str">
        <f>IFERROR(__xludf.DUMMYFUNCTION("""COMPUTED_VALUE"""),"df6bdc5d")</f>
        <v>df6bdc5d</v>
      </c>
      <c r="E762" s="211" t="str">
        <f>IFERROR(__xludf.DUMMYFUNCTION("""COMPUTED_VALUE"""),"Bpk. Maruf")</f>
        <v>Bpk. Maruf</v>
      </c>
      <c r="F762" s="211" t="str">
        <f>IFERROR(__xludf.DUMMYFUNCTION("""COMPUTED_VALUE"""),"8bdbe149")</f>
        <v>8bdbe149</v>
      </c>
      <c r="G762" s="211" t="str">
        <f>IFERROR(__xludf.DUMMYFUNCTION("""COMPUTED_VALUE"""),"Oksigen 6m3")</f>
        <v>Oksigen 6m3</v>
      </c>
      <c r="H762" s="214" t="str">
        <f>IFERROR(__xludf.DUMMYFUNCTION("""COMPUTED_VALUE"""),"OUT")</f>
        <v>OUT</v>
      </c>
      <c r="I762" s="214" t="str">
        <f>IFERROR(__xludf.DUMMYFUNCTION("""COMPUTED_VALUE"""),"NORMAL")</f>
        <v>NORMAL</v>
      </c>
      <c r="J762" s="211">
        <f>IFERROR(__xludf.DUMMYFUNCTION("""COMPUTED_VALUE"""),20.0)</f>
        <v>20</v>
      </c>
      <c r="K762" s="211"/>
      <c r="L762" s="211">
        <f>IFERROR(__xludf.DUMMYFUNCTION("""COMPUTED_VALUE"""),60000.0)</f>
        <v>60000</v>
      </c>
      <c r="M762" s="211"/>
      <c r="N762" s="211"/>
      <c r="O762" s="211"/>
      <c r="Q762" s="210" t="str">
        <f>IFERROR(__xludf.DUMMYFUNCTION("""COMPUTED_VALUE"""),"05250422")</f>
        <v>05250422</v>
      </c>
      <c r="R762" s="210" t="str">
        <f>IFERROR(__xludf.DUMMYFUNCTION("""COMPUTED_VALUE"""),"05250422")</f>
        <v>05250422</v>
      </c>
      <c r="S762" s="211" t="str">
        <f>IFERROR(__xludf.DUMMYFUNCTION("""COMPUTED_VALUE"""),"ce83e171")</f>
        <v>ce83e171</v>
      </c>
      <c r="T762" s="211" t="str">
        <f>IFERROR(__xludf.DUMMYFUNCTION("""COMPUTED_VALUE"""),"Bpk. Sulaiman")</f>
        <v>Bpk. Sulaiman</v>
      </c>
      <c r="U762" s="215">
        <f>IFERROR(__xludf.DUMMYFUNCTION("""COMPUTED_VALUE"""),45790.35902777778)</f>
        <v>45790.35903</v>
      </c>
      <c r="V762" s="211" t="str">
        <f>IFERROR(__xludf.DUMMYFUNCTION("""COMPUTED_VALUE"""),"Jl. Raya Kramat Temenggung No.43, Kramat, Kramat Temenggung, Kec. Tarik, Kabupaten Sidoarjo, Jawa Timur 61265")</f>
        <v>Jl. Raya Kramat Temenggung No.43, Kramat, Kramat Temenggung, Kec. Tarik, Kabupaten Sidoarjo, Jawa Timur 61265</v>
      </c>
      <c r="W762" s="211" t="str">
        <f>IFERROR(__xludf.DUMMYFUNCTION("""COMPUTED_VALUE"""),"OUT")</f>
        <v>OUT</v>
      </c>
      <c r="X762" s="211"/>
      <c r="Z762" s="211" t="str">
        <f>IFERROR(__xludf.DUMMYFUNCTION("""COMPUTED_VALUE"""),"1025281434")</f>
        <v>1025281434</v>
      </c>
      <c r="AC762" s="211"/>
      <c r="AD762" s="211"/>
      <c r="AE762" s="211"/>
      <c r="AF762" s="211"/>
      <c r="AG762" s="211"/>
      <c r="AH762" s="211"/>
      <c r="AI762" s="211"/>
      <c r="AJ762" s="211"/>
      <c r="AL762" s="211"/>
      <c r="AM762" s="211"/>
      <c r="AN762" s="211"/>
      <c r="AO762" s="211"/>
      <c r="AP762" s="215"/>
      <c r="AQ762" s="218"/>
      <c r="AR762" s="211"/>
      <c r="AS762" s="211"/>
      <c r="AT762" s="211"/>
      <c r="AU762" s="211"/>
      <c r="AV762" s="211"/>
      <c r="AW762" s="211"/>
      <c r="AX762" s="211"/>
      <c r="AY762" s="211"/>
      <c r="AZ762" s="211"/>
      <c r="BB762" s="211"/>
      <c r="BC762" s="211"/>
      <c r="BD762" s="211"/>
      <c r="BE762" s="211"/>
      <c r="BF762" s="211"/>
      <c r="BG762" s="211"/>
      <c r="BH762" s="211"/>
      <c r="BI762" s="211"/>
    </row>
    <row r="763">
      <c r="A763" s="210" t="str">
        <f>IFERROR(__xludf.DUMMYFUNCTION("""COMPUTED_VALUE"""),"649b6cbf")</f>
        <v>649b6cbf</v>
      </c>
      <c r="B763" s="210" t="str">
        <f>IFERROR(__xludf.DUMMYFUNCTION("""COMPUTED_VALUE"""),"649b6cbf")</f>
        <v>649b6cbf</v>
      </c>
      <c r="C763" s="213">
        <f>IFERROR(__xludf.DUMMYFUNCTION("""COMPUTED_VALUE"""),45724.461805555555)</f>
        <v>45724.46181</v>
      </c>
      <c r="D763" s="211" t="str">
        <f>IFERROR(__xludf.DUMMYFUNCTION("""COMPUTED_VALUE"""),"785e0e07")</f>
        <v>785e0e07</v>
      </c>
      <c r="E763" s="211" t="str">
        <f>IFERROR(__xludf.DUMMYFUNCTION("""COMPUTED_VALUE"""),"Bpk. Sukirno (Bejo)")</f>
        <v>Bpk. Sukirno (Bejo)</v>
      </c>
      <c r="F763" s="211" t="str">
        <f>IFERROR(__xludf.DUMMYFUNCTION("""COMPUTED_VALUE"""),"8bdbe149")</f>
        <v>8bdbe149</v>
      </c>
      <c r="G763" s="211" t="str">
        <f>IFERROR(__xludf.DUMMYFUNCTION("""COMPUTED_VALUE"""),"Oksigen 6m3")</f>
        <v>Oksigen 6m3</v>
      </c>
      <c r="H763" s="214" t="str">
        <f>IFERROR(__xludf.DUMMYFUNCTION("""COMPUTED_VALUE"""),"IN")</f>
        <v>IN</v>
      </c>
      <c r="I763" s="214" t="str">
        <f>IFERROR(__xludf.DUMMYFUNCTION("""COMPUTED_VALUE"""),"EMPTY")</f>
        <v>EMPTY</v>
      </c>
      <c r="J763" s="211">
        <f>IFERROR(__xludf.DUMMYFUNCTION("""COMPUTED_VALUE"""),11.0)</f>
        <v>11</v>
      </c>
      <c r="K763" s="210" t="str">
        <f>IFERROR(__xludf.DUMMYFUNCTION("""COMPUTED_VALUE"""),"11171 1125 1145 1151 11161 1186 1103 1142 11115 1137 1169")</f>
        <v>11171 1125 1145 1151 11161 1186 1103 1142 11115 1137 1169</v>
      </c>
      <c r="L763" s="211">
        <f>IFERROR(__xludf.DUMMYFUNCTION("""COMPUTED_VALUE"""),0.0)</f>
        <v>0</v>
      </c>
      <c r="M763" s="211"/>
      <c r="N763" s="211"/>
      <c r="O763" s="211"/>
      <c r="Q763" s="210" t="str">
        <f>IFERROR(__xludf.DUMMYFUNCTION("""COMPUTED_VALUE"""),"05250423")</f>
        <v>05250423</v>
      </c>
      <c r="R763" s="210" t="str">
        <f>IFERROR(__xludf.DUMMYFUNCTION("""COMPUTED_VALUE"""),"05250423")</f>
        <v>05250423</v>
      </c>
      <c r="S763" s="211" t="str">
        <f>IFERROR(__xludf.DUMMYFUNCTION("""COMPUTED_VALUE"""),"3fec37df")</f>
        <v>3fec37df</v>
      </c>
      <c r="T763" s="211" t="str">
        <f>IFERROR(__xludf.DUMMYFUNCTION("""COMPUTED_VALUE"""),"PT Jatim Abadi Perkasa Steel")</f>
        <v>PT Jatim Abadi Perkasa Steel</v>
      </c>
      <c r="U763" s="215">
        <f>IFERROR(__xludf.DUMMYFUNCTION("""COMPUTED_VALUE"""),45790.35972222222)</f>
        <v>45790.35972</v>
      </c>
      <c r="V763" s="211" t="str">
        <f>IFERROR(__xludf.DUMMYFUNCTION("""COMPUTED_VALUE"""),"Dsn. Bulak Sempuh, Jatirejo, Kab. Mojokerto, Jawa Timur")</f>
        <v>Dsn. Bulak Sempuh, Jatirejo, Kab. Mojokerto, Jawa Timur</v>
      </c>
      <c r="W763" s="211" t="str">
        <f>IFERROR(__xludf.DUMMYFUNCTION("""COMPUTED_VALUE"""),"OUT")</f>
        <v>OUT</v>
      </c>
      <c r="X763" s="211"/>
      <c r="Z763" s="211" t="str">
        <f>IFERROR(__xludf.DUMMYFUNCTION("""COMPUTED_VALUE"""),"1025131433")</f>
        <v>1025131433</v>
      </c>
      <c r="AC763" s="211"/>
      <c r="AD763" s="211"/>
      <c r="AE763" s="211"/>
      <c r="AF763" s="211"/>
      <c r="AG763" s="211"/>
      <c r="AH763" s="211"/>
      <c r="AI763" s="211"/>
      <c r="AJ763" s="211"/>
      <c r="AL763" s="211"/>
      <c r="AM763" s="211"/>
      <c r="AN763" s="211"/>
      <c r="AO763" s="211"/>
      <c r="AP763" s="215"/>
      <c r="AQ763" s="218"/>
      <c r="AR763" s="211"/>
      <c r="AS763" s="211"/>
      <c r="AT763" s="211"/>
      <c r="AU763" s="211"/>
      <c r="AV763" s="211"/>
      <c r="AW763" s="211"/>
      <c r="AX763" s="211"/>
      <c r="AY763" s="211"/>
      <c r="AZ763" s="211"/>
      <c r="BB763" s="211"/>
      <c r="BC763" s="211"/>
      <c r="BD763" s="211"/>
      <c r="BE763" s="211"/>
      <c r="BF763" s="211"/>
      <c r="BG763" s="211"/>
      <c r="BH763" s="211"/>
      <c r="BI763" s="211"/>
    </row>
    <row r="764">
      <c r="A764" s="210" t="str">
        <f>IFERROR(__xludf.DUMMYFUNCTION("""COMPUTED_VALUE"""),"c2fd0134")</f>
        <v>c2fd0134</v>
      </c>
      <c r="B764" s="210" t="str">
        <f>IFERROR(__xludf.DUMMYFUNCTION("""COMPUTED_VALUE"""),"c2fd0134")</f>
        <v>c2fd0134</v>
      </c>
      <c r="C764" s="213">
        <f>IFERROR(__xludf.DUMMYFUNCTION("""COMPUTED_VALUE"""),45723.47430555556)</f>
        <v>45723.47431</v>
      </c>
      <c r="D764" s="211" t="str">
        <f>IFERROR(__xludf.DUMMYFUNCTION("""COMPUTED_VALUE"""),"df6bdc5d")</f>
        <v>df6bdc5d</v>
      </c>
      <c r="E764" s="211" t="str">
        <f>IFERROR(__xludf.DUMMYFUNCTION("""COMPUTED_VALUE"""),"Bpk. Maruf")</f>
        <v>Bpk. Maruf</v>
      </c>
      <c r="F764" s="211" t="str">
        <f>IFERROR(__xludf.DUMMYFUNCTION("""COMPUTED_VALUE"""),"8bdbe149")</f>
        <v>8bdbe149</v>
      </c>
      <c r="G764" s="211" t="str">
        <f>IFERROR(__xludf.DUMMYFUNCTION("""COMPUTED_VALUE"""),"Oksigen 6m3")</f>
        <v>Oksigen 6m3</v>
      </c>
      <c r="H764" s="214" t="str">
        <f>IFERROR(__xludf.DUMMYFUNCTION("""COMPUTED_VALUE"""),"IN")</f>
        <v>IN</v>
      </c>
      <c r="I764" s="214" t="str">
        <f>IFERROR(__xludf.DUMMYFUNCTION("""COMPUTED_VALUE"""),"EMPTY")</f>
        <v>EMPTY</v>
      </c>
      <c r="J764" s="211">
        <f>IFERROR(__xludf.DUMMYFUNCTION("""COMPUTED_VALUE"""),8.0)</f>
        <v>8</v>
      </c>
      <c r="K764" s="210" t="str">
        <f>IFERROR(__xludf.DUMMYFUNCTION("""COMPUTED_VALUE"""),"1141 11166 11167 1158 11200 11186 1126 11173")</f>
        <v>1141 11166 11167 1158 11200 11186 1126 11173</v>
      </c>
      <c r="L764" s="211">
        <f>IFERROR(__xludf.DUMMYFUNCTION("""COMPUTED_VALUE"""),0.0)</f>
        <v>0</v>
      </c>
      <c r="M764" s="211"/>
      <c r="N764" s="211"/>
      <c r="O764" s="211"/>
      <c r="Q764" s="210" t="str">
        <f>IFERROR(__xludf.DUMMYFUNCTION("""COMPUTED_VALUE"""),"05250424")</f>
        <v>05250424</v>
      </c>
      <c r="R764" s="210" t="str">
        <f>IFERROR(__xludf.DUMMYFUNCTION("""COMPUTED_VALUE"""),"05250424")</f>
        <v>05250424</v>
      </c>
      <c r="S764" s="211" t="str">
        <f>IFERROR(__xludf.DUMMYFUNCTION("""COMPUTED_VALUE"""),"b2b5f2c5")</f>
        <v>b2b5f2c5</v>
      </c>
      <c r="T764" s="211" t="str">
        <f>IFERROR(__xludf.DUMMYFUNCTION("""COMPUTED_VALUE"""),"Bengkel Las Bpk. Ari")</f>
        <v>Bengkel Las Bpk. Ari</v>
      </c>
      <c r="U764" s="215">
        <f>IFERROR(__xludf.DUMMYFUNCTION("""COMPUTED_VALUE"""),45790.35972222222)</f>
        <v>45790.35972</v>
      </c>
      <c r="V764" s="211" t="str">
        <f>IFERROR(__xludf.DUMMYFUNCTION("""COMPUTED_VALUE"""),"Sumber Kembar, Wonodadi, Kec. Kutorejo, Kabupaten Mojokerto, Jawa Timur")</f>
        <v>Sumber Kembar, Wonodadi, Kec. Kutorejo, Kabupaten Mojokerto, Jawa Timur</v>
      </c>
      <c r="W764" s="211" t="str">
        <f>IFERROR(__xludf.DUMMYFUNCTION("""COMPUTED_VALUE"""),"OUT")</f>
        <v>OUT</v>
      </c>
      <c r="X764" s="211"/>
      <c r="Z764" s="211" t="str">
        <f>IFERROR(__xludf.DUMMYFUNCTION("""COMPUTED_VALUE"""),"102531432")</f>
        <v>102531432</v>
      </c>
      <c r="AC764" s="211"/>
      <c r="AD764" s="211"/>
      <c r="AE764" s="211"/>
      <c r="AF764" s="211"/>
      <c r="AG764" s="211"/>
      <c r="AH764" s="211"/>
      <c r="AI764" s="211"/>
      <c r="AJ764" s="211"/>
      <c r="AL764" s="211"/>
      <c r="AM764" s="211"/>
      <c r="AN764" s="211"/>
      <c r="AO764" s="211"/>
      <c r="AP764" s="215"/>
      <c r="AQ764" s="218"/>
      <c r="AR764" s="211"/>
      <c r="AS764" s="211"/>
      <c r="AT764" s="211"/>
      <c r="AU764" s="211"/>
      <c r="AV764" s="211"/>
      <c r="AW764" s="211"/>
      <c r="AX764" s="211"/>
      <c r="AY764" s="211"/>
      <c r="AZ764" s="211"/>
      <c r="BB764" s="211"/>
      <c r="BC764" s="211"/>
      <c r="BD764" s="211"/>
      <c r="BE764" s="211"/>
      <c r="BF764" s="211"/>
      <c r="BG764" s="211"/>
      <c r="BH764" s="211"/>
      <c r="BI764" s="211"/>
    </row>
    <row r="765">
      <c r="A765" s="210" t="str">
        <f>IFERROR(__xludf.DUMMYFUNCTION("""COMPUTED_VALUE"""),"c2fd0134")</f>
        <v>c2fd0134</v>
      </c>
      <c r="B765" s="210" t="str">
        <f>IFERROR(__xludf.DUMMYFUNCTION("""COMPUTED_VALUE"""),"c2fd0134")</f>
        <v>c2fd0134</v>
      </c>
      <c r="C765" s="213">
        <f>IFERROR(__xludf.DUMMYFUNCTION("""COMPUTED_VALUE"""),45723.475694444445)</f>
        <v>45723.47569</v>
      </c>
      <c r="D765" s="211" t="str">
        <f>IFERROR(__xludf.DUMMYFUNCTION("""COMPUTED_VALUE"""),"df6bdc5d")</f>
        <v>df6bdc5d</v>
      </c>
      <c r="E765" s="211" t="str">
        <f>IFERROR(__xludf.DUMMYFUNCTION("""COMPUTED_VALUE"""),"Bpk. Maruf")</f>
        <v>Bpk. Maruf</v>
      </c>
      <c r="F765" s="211" t="str">
        <f>IFERROR(__xludf.DUMMYFUNCTION("""COMPUTED_VALUE"""),"be525f3b")</f>
        <v>be525f3b</v>
      </c>
      <c r="G765" s="211" t="str">
        <f>IFERROR(__xludf.DUMMYFUNCTION("""COMPUTED_VALUE"""),"LPG 12kg")</f>
        <v>LPG 12kg</v>
      </c>
      <c r="H765" s="214" t="str">
        <f>IFERROR(__xludf.DUMMYFUNCTION("""COMPUTED_VALUE"""),"IN")</f>
        <v>IN</v>
      </c>
      <c r="I765" s="214" t="str">
        <f>IFERROR(__xludf.DUMMYFUNCTION("""COMPUTED_VALUE"""),"EMPTY")</f>
        <v>EMPTY</v>
      </c>
      <c r="J765" s="211">
        <f>IFERROR(__xludf.DUMMYFUNCTION("""COMPUTED_VALUE"""),2.0)</f>
        <v>2</v>
      </c>
      <c r="K765" s="211"/>
      <c r="L765" s="211">
        <f>IFERROR(__xludf.DUMMYFUNCTION("""COMPUTED_VALUE"""),0.0)</f>
        <v>0</v>
      </c>
      <c r="M765" s="211"/>
      <c r="N765" s="211"/>
      <c r="O765" s="211"/>
      <c r="Q765" s="210" t="str">
        <f>IFERROR(__xludf.DUMMYFUNCTION("""COMPUTED_VALUE"""),"05250425")</f>
        <v>05250425</v>
      </c>
      <c r="R765" s="210" t="str">
        <f>IFERROR(__xludf.DUMMYFUNCTION("""COMPUTED_VALUE"""),"05250425")</f>
        <v>05250425</v>
      </c>
      <c r="S765" s="211" t="str">
        <f>IFERROR(__xludf.DUMMYFUNCTION("""COMPUTED_VALUE"""),"01158be1")</f>
        <v>01158be1</v>
      </c>
      <c r="T765" s="211" t="str">
        <f>IFERROR(__xludf.DUMMYFUNCTION("""COMPUTED_VALUE"""),"GYF")</f>
        <v>GYF</v>
      </c>
      <c r="U765" s="215">
        <f>IFERROR(__xludf.DUMMYFUNCTION("""COMPUTED_VALUE"""),45790.40625)</f>
        <v>45790.40625</v>
      </c>
      <c r="V765" s="211" t="str">
        <f>IFERROR(__xludf.DUMMYFUNCTION("""COMPUTED_VALUE"""),"Kangkungan, Lengkong, Kec. Mojoanyar, Kabupaten Mojokerto, Jawa Timur")</f>
        <v>Kangkungan, Lengkong, Kec. Mojoanyar, Kabupaten Mojokerto, Jawa Timur</v>
      </c>
      <c r="W765" s="211" t="str">
        <f>IFERROR(__xludf.DUMMYFUNCTION("""COMPUTED_VALUE"""),"OUT")</f>
        <v>OUT</v>
      </c>
      <c r="X765" s="211"/>
      <c r="Z765" s="211" t="str">
        <f>IFERROR(__xludf.DUMMYFUNCTION("""COMPUTED_VALUE"""),"102531431")</f>
        <v>102531431</v>
      </c>
      <c r="AC765" s="211"/>
      <c r="AD765" s="211"/>
      <c r="AE765" s="211"/>
      <c r="AF765" s="211"/>
      <c r="AG765" s="211"/>
      <c r="AH765" s="211"/>
      <c r="AI765" s="211"/>
      <c r="AJ765" s="211"/>
      <c r="AL765" s="211"/>
      <c r="AM765" s="211"/>
      <c r="AN765" s="211"/>
      <c r="AO765" s="211"/>
      <c r="AP765" s="215"/>
      <c r="AQ765" s="218"/>
      <c r="AR765" s="211"/>
      <c r="AS765" s="211"/>
      <c r="AT765" s="211"/>
      <c r="AU765" s="211"/>
      <c r="AV765" s="211"/>
      <c r="AW765" s="211"/>
      <c r="AX765" s="211"/>
      <c r="AY765" s="211"/>
      <c r="AZ765" s="211"/>
      <c r="BB765" s="211"/>
      <c r="BC765" s="211"/>
      <c r="BD765" s="211"/>
      <c r="BE765" s="211"/>
      <c r="BF765" s="211"/>
      <c r="BG765" s="211"/>
      <c r="BH765" s="211"/>
      <c r="BI765" s="211"/>
    </row>
    <row r="766">
      <c r="A766" s="210" t="str">
        <f>IFERROR(__xludf.DUMMYFUNCTION("""COMPUTED_VALUE"""),"03250309")</f>
        <v>03250309</v>
      </c>
      <c r="B766" s="210" t="str">
        <f>IFERROR(__xludf.DUMMYFUNCTION("""COMPUTED_VALUE"""),"03250309")</f>
        <v>03250309</v>
      </c>
      <c r="C766" s="213">
        <f>IFERROR(__xludf.DUMMYFUNCTION("""COMPUTED_VALUE"""),45724.55138888889)</f>
        <v>45724.55139</v>
      </c>
      <c r="D766" s="211" t="str">
        <f>IFERROR(__xludf.DUMMYFUNCTION("""COMPUTED_VALUE"""),"785e0e07")</f>
        <v>785e0e07</v>
      </c>
      <c r="E766" s="211" t="str">
        <f>IFERROR(__xludf.DUMMYFUNCTION("""COMPUTED_VALUE"""),"Bpk. Sukirno (Bejo)")</f>
        <v>Bpk. Sukirno (Bejo)</v>
      </c>
      <c r="F766" s="211" t="str">
        <f>IFERROR(__xludf.DUMMYFUNCTION("""COMPUTED_VALUE"""),"8bdbe149")</f>
        <v>8bdbe149</v>
      </c>
      <c r="G766" s="211" t="str">
        <f>IFERROR(__xludf.DUMMYFUNCTION("""COMPUTED_VALUE"""),"Oksigen 6m3")</f>
        <v>Oksigen 6m3</v>
      </c>
      <c r="H766" s="214" t="str">
        <f>IFERROR(__xludf.DUMMYFUNCTION("""COMPUTED_VALUE"""),"OUT")</f>
        <v>OUT</v>
      </c>
      <c r="I766" s="214" t="str">
        <f>IFERROR(__xludf.DUMMYFUNCTION("""COMPUTED_VALUE"""),"NORMAL")</f>
        <v>NORMAL</v>
      </c>
      <c r="J766" s="211">
        <f>IFERROR(__xludf.DUMMYFUNCTION("""COMPUTED_VALUE"""),15.0)</f>
        <v>15</v>
      </c>
      <c r="K766" s="210" t="str">
        <f>IFERROR(__xludf.DUMMYFUNCTION("""COMPUTED_VALUE"""),"11166 11173 11200 11161 11186 1137 1125 1126 1151 1141 11115 1145 11169 11171 11167")</f>
        <v>11166 11173 11200 11161 11186 1137 1125 1126 1151 1141 11115 1145 11169 11171 11167</v>
      </c>
      <c r="L766" s="211">
        <f>IFERROR(__xludf.DUMMYFUNCTION("""COMPUTED_VALUE"""),60000.0)</f>
        <v>60000</v>
      </c>
      <c r="M766" s="211"/>
      <c r="N766" s="211"/>
      <c r="O766" s="211"/>
      <c r="Q766" s="210" t="str">
        <f>IFERROR(__xludf.DUMMYFUNCTION("""COMPUTED_VALUE"""),"05250426")</f>
        <v>05250426</v>
      </c>
      <c r="R766" s="210" t="str">
        <f>IFERROR(__xludf.DUMMYFUNCTION("""COMPUTED_VALUE"""),"05250426")</f>
        <v>05250426</v>
      </c>
      <c r="S766" s="211" t="str">
        <f>IFERROR(__xludf.DUMMYFUNCTION("""COMPUTED_VALUE"""),"d78b2eaf")</f>
        <v>d78b2eaf</v>
      </c>
      <c r="T766" s="211" t="str">
        <f>IFERROR(__xludf.DUMMYFUNCTION("""COMPUTED_VALUE"""),"PT Sinar Indogreen Kencana")</f>
        <v>PT Sinar Indogreen Kencana</v>
      </c>
      <c r="U766" s="215">
        <f>IFERROR(__xludf.DUMMYFUNCTION("""COMPUTED_VALUE"""),45791.388194444444)</f>
        <v>45791.38819</v>
      </c>
      <c r="V766" s="211" t="str">
        <f>IFERROR(__xludf.DUMMYFUNCTION("""COMPUTED_VALUE"""),"Jl. Raya Ponokawan 8b RT/001 RW/002, Ponokawan, Krian, Sidoarjo")</f>
        <v>Jl. Raya Ponokawan 8b RT/001 RW/002, Ponokawan, Krian, Sidoarjo</v>
      </c>
      <c r="W766" s="211" t="str">
        <f>IFERROR(__xludf.DUMMYFUNCTION("""COMPUTED_VALUE"""),"OUT")</f>
        <v>OUT</v>
      </c>
      <c r="X766" s="211"/>
      <c r="Z766" s="211" t="str">
        <f>IFERROR(__xludf.DUMMYFUNCTION("""COMPUTED_VALUE"""),"1025141427")</f>
        <v>1025141427</v>
      </c>
      <c r="AC766" s="211"/>
      <c r="AD766" s="211"/>
      <c r="AE766" s="211"/>
      <c r="AF766" s="211"/>
      <c r="AG766" s="211"/>
      <c r="AH766" s="211"/>
      <c r="AI766" s="211"/>
      <c r="AJ766" s="211"/>
      <c r="AL766" s="211"/>
      <c r="AM766" s="211"/>
      <c r="AN766" s="211"/>
      <c r="AO766" s="211"/>
      <c r="AP766" s="215"/>
      <c r="AQ766" s="218"/>
      <c r="AR766" s="211"/>
      <c r="AS766" s="211"/>
      <c r="AT766" s="211"/>
      <c r="AU766" s="211"/>
      <c r="AV766" s="211"/>
      <c r="AW766" s="211"/>
      <c r="AX766" s="211"/>
      <c r="AY766" s="211"/>
      <c r="AZ766" s="211"/>
      <c r="BB766" s="211"/>
      <c r="BC766" s="211"/>
      <c r="BD766" s="211"/>
      <c r="BE766" s="211"/>
      <c r="BF766" s="211"/>
      <c r="BG766" s="211"/>
      <c r="BH766" s="211"/>
      <c r="BI766" s="211"/>
    </row>
    <row r="767">
      <c r="A767" s="210" t="str">
        <f>IFERROR(__xludf.DUMMYFUNCTION("""COMPUTED_VALUE"""),"03250310")</f>
        <v>03250310</v>
      </c>
      <c r="B767" s="210" t="str">
        <f>IFERROR(__xludf.DUMMYFUNCTION("""COMPUTED_VALUE"""),"03250310")</f>
        <v>03250310</v>
      </c>
      <c r="C767" s="213">
        <f>IFERROR(__xludf.DUMMYFUNCTION("""COMPUTED_VALUE"""),45724.589583333334)</f>
        <v>45724.58958</v>
      </c>
      <c r="D767" s="211" t="str">
        <f>IFERROR(__xludf.DUMMYFUNCTION("""COMPUTED_VALUE"""),"e76bc39c")</f>
        <v>e76bc39c</v>
      </c>
      <c r="E767" s="211" t="str">
        <f>IFERROR(__xludf.DUMMYFUNCTION("""COMPUTED_VALUE"""),"Bpk. Irul")</f>
        <v>Bpk. Irul</v>
      </c>
      <c r="F767" s="211" t="str">
        <f>IFERROR(__xludf.DUMMYFUNCTION("""COMPUTED_VALUE"""),"8bdbe149")</f>
        <v>8bdbe149</v>
      </c>
      <c r="G767" s="211" t="str">
        <f>IFERROR(__xludf.DUMMYFUNCTION("""COMPUTED_VALUE"""),"Oksigen 6m3")</f>
        <v>Oksigen 6m3</v>
      </c>
      <c r="H767" s="214" t="str">
        <f>IFERROR(__xludf.DUMMYFUNCTION("""COMPUTED_VALUE"""),"OUT")</f>
        <v>OUT</v>
      </c>
      <c r="I767" s="214" t="str">
        <f>IFERROR(__xludf.DUMMYFUNCTION("""COMPUTED_VALUE"""),"NORMAL")</f>
        <v>NORMAL</v>
      </c>
      <c r="J767" s="211">
        <f>IFERROR(__xludf.DUMMYFUNCTION("""COMPUTED_VALUE"""),2.0)</f>
        <v>2</v>
      </c>
      <c r="K767" s="210" t="str">
        <f>IFERROR(__xludf.DUMMYFUNCTION("""COMPUTED_VALUE"""),"1142 1186")</f>
        <v>1142 1186</v>
      </c>
      <c r="L767" s="211">
        <f>IFERROR(__xludf.DUMMYFUNCTION("""COMPUTED_VALUE"""),65000.0)</f>
        <v>65000</v>
      </c>
      <c r="M767" s="211"/>
      <c r="N767" s="211"/>
      <c r="O767" s="211"/>
      <c r="Q767" s="210" t="str">
        <f>IFERROR(__xludf.DUMMYFUNCTION("""COMPUTED_VALUE"""),"96967266")</f>
        <v>96967266</v>
      </c>
      <c r="R767" s="210" t="str">
        <f>IFERROR(__xludf.DUMMYFUNCTION("""COMPUTED_VALUE"""),"96967266")</f>
        <v>96967266</v>
      </c>
      <c r="S767" s="211" t="str">
        <f>IFERROR(__xludf.DUMMYFUNCTION("""COMPUTED_VALUE"""),"d78b2eaf")</f>
        <v>d78b2eaf</v>
      </c>
      <c r="T767" s="211" t="str">
        <f>IFERROR(__xludf.DUMMYFUNCTION("""COMPUTED_VALUE"""),"PT Sinar Indogreen Kencana")</f>
        <v>PT Sinar Indogreen Kencana</v>
      </c>
      <c r="U767" s="215">
        <f>IFERROR(__xludf.DUMMYFUNCTION("""COMPUTED_VALUE"""),45791.459027777775)</f>
        <v>45791.45903</v>
      </c>
      <c r="V767" s="211" t="str">
        <f>IFERROR(__xludf.DUMMYFUNCTION("""COMPUTED_VALUE"""),"Jl. Raya Ponokawan 8b RT/001 RW/002, Ponokawan, Krian, Sidoarjo")</f>
        <v>Jl. Raya Ponokawan 8b RT/001 RW/002, Ponokawan, Krian, Sidoarjo</v>
      </c>
      <c r="W767" s="211" t="str">
        <f>IFERROR(__xludf.DUMMYFUNCTION("""COMPUTED_VALUE"""),"IN")</f>
        <v>IN</v>
      </c>
      <c r="X767" s="211"/>
      <c r="Z767" s="211" t="str">
        <f>IFERROR(__xludf.DUMMYFUNCTION("""COMPUTED_VALUE"""),"1025151424")</f>
        <v>1025151424</v>
      </c>
      <c r="AC767" s="211"/>
      <c r="AD767" s="211"/>
      <c r="AE767" s="211"/>
      <c r="AF767" s="211"/>
      <c r="AG767" s="211"/>
      <c r="AH767" s="211"/>
      <c r="AI767" s="211"/>
      <c r="AJ767" s="211"/>
      <c r="AL767" s="211"/>
      <c r="AM767" s="211"/>
      <c r="AN767" s="211"/>
      <c r="AO767" s="211"/>
      <c r="AP767" s="215"/>
      <c r="AQ767" s="218"/>
      <c r="AR767" s="211"/>
      <c r="AS767" s="211"/>
      <c r="AT767" s="211"/>
      <c r="AU767" s="211"/>
      <c r="AV767" s="211"/>
      <c r="AW767" s="211"/>
      <c r="AX767" s="211"/>
      <c r="AY767" s="211"/>
      <c r="AZ767" s="211"/>
      <c r="BB767" s="211"/>
      <c r="BC767" s="211"/>
      <c r="BD767" s="211"/>
      <c r="BE767" s="211"/>
      <c r="BF767" s="211"/>
      <c r="BG767" s="211"/>
      <c r="BH767" s="211"/>
      <c r="BI767" s="211"/>
    </row>
    <row r="768">
      <c r="A768" s="210" t="str">
        <f>IFERROR(__xludf.DUMMYFUNCTION("""COMPUTED_VALUE"""),"a400f262")</f>
        <v>a400f262</v>
      </c>
      <c r="B768" s="210" t="str">
        <f>IFERROR(__xludf.DUMMYFUNCTION("""COMPUTED_VALUE"""),"a400f262")</f>
        <v>a400f262</v>
      </c>
      <c r="C768" s="213">
        <f>IFERROR(__xludf.DUMMYFUNCTION("""COMPUTED_VALUE"""),45724.65347222222)</f>
        <v>45724.65347</v>
      </c>
      <c r="D768" s="211" t="str">
        <f>IFERROR(__xludf.DUMMYFUNCTION("""COMPUTED_VALUE"""),"df6bdc5d")</f>
        <v>df6bdc5d</v>
      </c>
      <c r="E768" s="211" t="str">
        <f>IFERROR(__xludf.DUMMYFUNCTION("""COMPUTED_VALUE"""),"Bpk. Maruf")</f>
        <v>Bpk. Maruf</v>
      </c>
      <c r="F768" s="211" t="str">
        <f>IFERROR(__xludf.DUMMYFUNCTION("""COMPUTED_VALUE"""),"8bdbe149")</f>
        <v>8bdbe149</v>
      </c>
      <c r="G768" s="211" t="str">
        <f>IFERROR(__xludf.DUMMYFUNCTION("""COMPUTED_VALUE"""),"Oksigen 6m3")</f>
        <v>Oksigen 6m3</v>
      </c>
      <c r="H768" s="214" t="str">
        <f>IFERROR(__xludf.DUMMYFUNCTION("""COMPUTED_VALUE"""),"IN")</f>
        <v>IN</v>
      </c>
      <c r="I768" s="214" t="str">
        <f>IFERROR(__xludf.DUMMYFUNCTION("""COMPUTED_VALUE"""),"EMPTY")</f>
        <v>EMPTY</v>
      </c>
      <c r="J768" s="211">
        <f>IFERROR(__xludf.DUMMYFUNCTION("""COMPUTED_VALUE"""),8.0)</f>
        <v>8</v>
      </c>
      <c r="K768" s="211"/>
      <c r="L768" s="211">
        <f>IFERROR(__xludf.DUMMYFUNCTION("""COMPUTED_VALUE"""),0.0)</f>
        <v>0</v>
      </c>
      <c r="M768" s="211"/>
      <c r="N768" s="211"/>
      <c r="O768" s="211"/>
      <c r="Q768" s="210" t="str">
        <f>IFERROR(__xludf.DUMMYFUNCTION("""COMPUTED_VALUE"""),"45fa361f")</f>
        <v>45fa361f</v>
      </c>
      <c r="R768" s="210" t="str">
        <f>IFERROR(__xludf.DUMMYFUNCTION("""COMPUTED_VALUE"""),"45fa361f")</f>
        <v>45fa361f</v>
      </c>
      <c r="S768" s="211" t="str">
        <f>IFERROR(__xludf.DUMMYFUNCTION("""COMPUTED_VALUE"""),"4a01ccb6")</f>
        <v>4a01ccb6</v>
      </c>
      <c r="T768" s="211" t="str">
        <f>IFERROR(__xludf.DUMMYFUNCTION("""COMPUTED_VALUE"""),"CV ANUGERAH PERSADA TEKNIK")</f>
        <v>CV ANUGERAH PERSADA TEKNIK</v>
      </c>
      <c r="U768" s="215">
        <f>IFERROR(__xludf.DUMMYFUNCTION("""COMPUTED_VALUE"""),45791.46319444444)</f>
        <v>45791.46319</v>
      </c>
      <c r="V768" s="211" t="str">
        <f>IFERROR(__xludf.DUMMYFUNCTION("""COMPUTED_VALUE"""),"JL. Raya Trosobo, Blok 3/14, Taman Sidoarjo Lingkungan Industri Kecil, Sepanjang, Jawa Timur, 61257")</f>
        <v>JL. Raya Trosobo, Blok 3/14, Taman Sidoarjo Lingkungan Industri Kecil, Sepanjang, Jawa Timur, 61257</v>
      </c>
      <c r="W768" s="211" t="str">
        <f>IFERROR(__xludf.DUMMYFUNCTION("""COMPUTED_VALUE"""),"IN")</f>
        <v>IN</v>
      </c>
      <c r="X768" s="211"/>
      <c r="Z768" s="211" t="str">
        <f>IFERROR(__xludf.DUMMYFUNCTION("""COMPUTED_VALUE"""),"1025571423")</f>
        <v>1025571423</v>
      </c>
      <c r="AC768" s="211"/>
      <c r="AD768" s="211"/>
      <c r="AE768" s="211"/>
      <c r="AF768" s="211"/>
      <c r="AG768" s="211"/>
      <c r="AH768" s="211"/>
      <c r="AI768" s="211"/>
      <c r="AJ768" s="211"/>
      <c r="AL768" s="211"/>
      <c r="AM768" s="211"/>
      <c r="AN768" s="211"/>
      <c r="AO768" s="211"/>
      <c r="AP768" s="215"/>
      <c r="AQ768" s="218"/>
      <c r="AR768" s="211"/>
      <c r="AS768" s="211"/>
      <c r="AT768" s="211"/>
      <c r="AU768" s="211"/>
      <c r="AV768" s="211"/>
      <c r="AW768" s="211"/>
      <c r="AX768" s="211"/>
      <c r="AY768" s="211"/>
      <c r="AZ768" s="211"/>
      <c r="BB768" s="211"/>
      <c r="BC768" s="211"/>
      <c r="BD768" s="211"/>
      <c r="BE768" s="211"/>
      <c r="BF768" s="211"/>
      <c r="BG768" s="211"/>
      <c r="BH768" s="211"/>
      <c r="BI768" s="211"/>
    </row>
    <row r="769">
      <c r="A769" s="210" t="str">
        <f>IFERROR(__xludf.DUMMYFUNCTION("""COMPUTED_VALUE"""),"a400f262")</f>
        <v>a400f262</v>
      </c>
      <c r="B769" s="210" t="str">
        <f>IFERROR(__xludf.DUMMYFUNCTION("""COMPUTED_VALUE"""),"a400f262")</f>
        <v>a400f262</v>
      </c>
      <c r="C769" s="213">
        <f>IFERROR(__xludf.DUMMYFUNCTION("""COMPUTED_VALUE"""),45724.65416666667)</f>
        <v>45724.65417</v>
      </c>
      <c r="D769" s="211" t="str">
        <f>IFERROR(__xludf.DUMMYFUNCTION("""COMPUTED_VALUE"""),"df6bdc5d")</f>
        <v>df6bdc5d</v>
      </c>
      <c r="E769" s="211" t="str">
        <f>IFERROR(__xludf.DUMMYFUNCTION("""COMPUTED_VALUE"""),"Bpk. Maruf")</f>
        <v>Bpk. Maruf</v>
      </c>
      <c r="F769" s="211" t="str">
        <f>IFERROR(__xludf.DUMMYFUNCTION("""COMPUTED_VALUE"""),"be525f3b")</f>
        <v>be525f3b</v>
      </c>
      <c r="G769" s="211" t="str">
        <f>IFERROR(__xludf.DUMMYFUNCTION("""COMPUTED_VALUE"""),"LPG 12kg")</f>
        <v>LPG 12kg</v>
      </c>
      <c r="H769" s="214" t="str">
        <f>IFERROR(__xludf.DUMMYFUNCTION("""COMPUTED_VALUE"""),"IN")</f>
        <v>IN</v>
      </c>
      <c r="I769" s="214" t="str">
        <f>IFERROR(__xludf.DUMMYFUNCTION("""COMPUTED_VALUE"""),"EMPTY")</f>
        <v>EMPTY</v>
      </c>
      <c r="J769" s="211">
        <f>IFERROR(__xludf.DUMMYFUNCTION("""COMPUTED_VALUE"""),1.0)</f>
        <v>1</v>
      </c>
      <c r="K769" s="211"/>
      <c r="L769" s="211">
        <f>IFERROR(__xludf.DUMMYFUNCTION("""COMPUTED_VALUE"""),0.0)</f>
        <v>0</v>
      </c>
      <c r="M769" s="211"/>
      <c r="N769" s="211"/>
      <c r="O769" s="211"/>
      <c r="Q769" s="210" t="str">
        <f>IFERROR(__xludf.DUMMYFUNCTION("""COMPUTED_VALUE"""),"0938b567")</f>
        <v>0938b567</v>
      </c>
      <c r="R769" s="210" t="str">
        <f>IFERROR(__xludf.DUMMYFUNCTION("""COMPUTED_VALUE"""),"0938b567")</f>
        <v>0938b567</v>
      </c>
      <c r="S769" s="211" t="str">
        <f>IFERROR(__xludf.DUMMYFUNCTION("""COMPUTED_VALUE"""),"b2b5f2c5")</f>
        <v>b2b5f2c5</v>
      </c>
      <c r="T769" s="211" t="str">
        <f>IFERROR(__xludf.DUMMYFUNCTION("""COMPUTED_VALUE"""),"Bengkel Las Bpk. Ari")</f>
        <v>Bengkel Las Bpk. Ari</v>
      </c>
      <c r="U769" s="215">
        <f>IFERROR(__xludf.DUMMYFUNCTION("""COMPUTED_VALUE"""),45790.46319444444)</f>
        <v>45790.46319</v>
      </c>
      <c r="V769" s="211" t="str">
        <f>IFERROR(__xludf.DUMMYFUNCTION("""COMPUTED_VALUE"""),"Sumber Kembar, Wonodadi, Kec. Kutorejo, Kabupaten Mojokerto, Jawa Timur")</f>
        <v>Sumber Kembar, Wonodadi, Kec. Kutorejo, Kabupaten Mojokerto, Jawa Timur</v>
      </c>
      <c r="W769" s="211" t="str">
        <f>IFERROR(__xludf.DUMMYFUNCTION("""COMPUTED_VALUE"""),"IN")</f>
        <v>IN</v>
      </c>
      <c r="X769" s="211"/>
      <c r="Z769" s="211" t="str">
        <f>IFERROR(__xludf.DUMMYFUNCTION("""COMPUTED_VALUE"""),"1025201422")</f>
        <v>1025201422</v>
      </c>
      <c r="AC769" s="211"/>
      <c r="AD769" s="211"/>
      <c r="AE769" s="211"/>
      <c r="AF769" s="211"/>
      <c r="AG769" s="211"/>
      <c r="AH769" s="211"/>
      <c r="AI769" s="211"/>
      <c r="AJ769" s="211"/>
      <c r="AL769" s="211"/>
      <c r="AM769" s="211"/>
      <c r="AN769" s="211"/>
      <c r="AO769" s="211"/>
      <c r="AP769" s="215"/>
      <c r="AQ769" s="218"/>
      <c r="AR769" s="211"/>
      <c r="AS769" s="211"/>
      <c r="AT769" s="211"/>
      <c r="AU769" s="211"/>
      <c r="AV769" s="211"/>
      <c r="AW769" s="211"/>
      <c r="AX769" s="211"/>
      <c r="AY769" s="211"/>
      <c r="AZ769" s="211"/>
      <c r="BB769" s="211"/>
      <c r="BC769" s="211"/>
      <c r="BD769" s="211"/>
      <c r="BE769" s="211"/>
      <c r="BF769" s="211"/>
      <c r="BG769" s="211"/>
      <c r="BH769" s="211"/>
      <c r="BI769" s="211"/>
    </row>
    <row r="770">
      <c r="A770" s="210" t="str">
        <f>IFERROR(__xludf.DUMMYFUNCTION("""COMPUTED_VALUE"""),"03250311")</f>
        <v>03250311</v>
      </c>
      <c r="B770" s="210" t="str">
        <f>IFERROR(__xludf.DUMMYFUNCTION("""COMPUTED_VALUE"""),"03250311")</f>
        <v>03250311</v>
      </c>
      <c r="C770" s="213">
        <f>IFERROR(__xludf.DUMMYFUNCTION("""COMPUTED_VALUE"""),45726.48055555556)</f>
        <v>45726.48056</v>
      </c>
      <c r="D770" s="211" t="str">
        <f>IFERROR(__xludf.DUMMYFUNCTION("""COMPUTED_VALUE"""),"01158be1")</f>
        <v>01158be1</v>
      </c>
      <c r="E770" s="211" t="str">
        <f>IFERROR(__xludf.DUMMYFUNCTION("""COMPUTED_VALUE"""),"GYF")</f>
        <v>GYF</v>
      </c>
      <c r="F770" s="211" t="str">
        <f>IFERROR(__xludf.DUMMYFUNCTION("""COMPUTED_VALUE"""),"8bdbe149")</f>
        <v>8bdbe149</v>
      </c>
      <c r="G770" s="211" t="str">
        <f>IFERROR(__xludf.DUMMYFUNCTION("""COMPUTED_VALUE"""),"Oksigen 6m3")</f>
        <v>Oksigen 6m3</v>
      </c>
      <c r="H770" s="214" t="str">
        <f>IFERROR(__xludf.DUMMYFUNCTION("""COMPUTED_VALUE"""),"OUT")</f>
        <v>OUT</v>
      </c>
      <c r="I770" s="214" t="str">
        <f>IFERROR(__xludf.DUMMYFUNCTION("""COMPUTED_VALUE"""),"NORMAL")</f>
        <v>NORMAL</v>
      </c>
      <c r="J770" s="211">
        <f>IFERROR(__xludf.DUMMYFUNCTION("""COMPUTED_VALUE"""),15.0)</f>
        <v>15</v>
      </c>
      <c r="K770" s="210" t="str">
        <f>IFERROR(__xludf.DUMMYFUNCTION("""COMPUTED_VALUE"""),"11213 11214 11215 11216 11217 11218 11219 11220 11221 11222 11223 11224 11225 11226 11227")</f>
        <v>11213 11214 11215 11216 11217 11218 11219 11220 11221 11222 11223 11224 11225 11226 11227</v>
      </c>
      <c r="L770" s="211">
        <f>IFERROR(__xludf.DUMMYFUNCTION("""COMPUTED_VALUE"""),45000.0)</f>
        <v>45000</v>
      </c>
      <c r="M770" s="211"/>
      <c r="N770" s="211"/>
      <c r="O770" s="211"/>
      <c r="Q770" s="210" t="str">
        <f>IFERROR(__xludf.DUMMYFUNCTION("""COMPUTED_VALUE"""),"bed5a83a")</f>
        <v>bed5a83a</v>
      </c>
      <c r="R770" s="210" t="str">
        <f>IFERROR(__xludf.DUMMYFUNCTION("""COMPUTED_VALUE"""),"bed5a83a")</f>
        <v>bed5a83a</v>
      </c>
      <c r="S770" s="211" t="str">
        <f>IFERROR(__xludf.DUMMYFUNCTION("""COMPUTED_VALUE"""),"01158be1")</f>
        <v>01158be1</v>
      </c>
      <c r="T770" s="211" t="str">
        <f>IFERROR(__xludf.DUMMYFUNCTION("""COMPUTED_VALUE"""),"GYF")</f>
        <v>GYF</v>
      </c>
      <c r="U770" s="215">
        <f>IFERROR(__xludf.DUMMYFUNCTION("""COMPUTED_VALUE"""),45790.46388888889)</f>
        <v>45790.46389</v>
      </c>
      <c r="V770" s="211" t="str">
        <f>IFERROR(__xludf.DUMMYFUNCTION("""COMPUTED_VALUE"""),"Kangkungan, Lengkong, Kec. Mojoanyar, Kabupaten Mojokerto, Jawa Timur")</f>
        <v>Kangkungan, Lengkong, Kec. Mojoanyar, Kabupaten Mojokerto, Jawa Timur</v>
      </c>
      <c r="W770" s="211" t="str">
        <f>IFERROR(__xludf.DUMMYFUNCTION("""COMPUTED_VALUE"""),"IN")</f>
        <v>IN</v>
      </c>
      <c r="X770" s="211"/>
      <c r="Z770" s="211" t="str">
        <f>IFERROR(__xludf.DUMMYFUNCTION("""COMPUTED_VALUE"""),"102571421")</f>
        <v>102571421</v>
      </c>
      <c r="AC770" s="211"/>
      <c r="AD770" s="211"/>
      <c r="AE770" s="211"/>
      <c r="AF770" s="211"/>
      <c r="AG770" s="211"/>
      <c r="AH770" s="211"/>
      <c r="AI770" s="211"/>
      <c r="AJ770" s="211"/>
      <c r="AL770" s="211"/>
      <c r="AM770" s="211"/>
      <c r="AN770" s="211"/>
      <c r="AO770" s="211"/>
      <c r="AP770" s="215"/>
      <c r="AQ770" s="218"/>
      <c r="AR770" s="211"/>
      <c r="AS770" s="211"/>
      <c r="AT770" s="211"/>
      <c r="AU770" s="211"/>
      <c r="AV770" s="211"/>
      <c r="AW770" s="211"/>
      <c r="AX770" s="211"/>
      <c r="AY770" s="211"/>
      <c r="AZ770" s="211"/>
      <c r="BB770" s="211"/>
      <c r="BC770" s="211"/>
      <c r="BD770" s="211"/>
      <c r="BE770" s="211"/>
      <c r="BF770" s="211"/>
      <c r="BG770" s="211"/>
      <c r="BH770" s="211"/>
      <c r="BI770" s="211"/>
    </row>
    <row r="771">
      <c r="A771" s="210" t="str">
        <f>IFERROR(__xludf.DUMMYFUNCTION("""COMPUTED_VALUE"""),"03250312")</f>
        <v>03250312</v>
      </c>
      <c r="B771" s="210" t="str">
        <f>IFERROR(__xludf.DUMMYFUNCTION("""COMPUTED_VALUE"""),"03250312")</f>
        <v>03250312</v>
      </c>
      <c r="C771" s="213">
        <f>IFERROR(__xludf.DUMMYFUNCTION("""COMPUTED_VALUE"""),45726.48333333333)</f>
        <v>45726.48333</v>
      </c>
      <c r="D771" s="211" t="str">
        <f>IFERROR(__xludf.DUMMYFUNCTION("""COMPUTED_VALUE"""),"8ea74d81")</f>
        <v>8ea74d81</v>
      </c>
      <c r="E771" s="211" t="str">
        <f>IFERROR(__xludf.DUMMYFUNCTION("""COMPUTED_VALUE"""),"Bengkel Adi Putra")</f>
        <v>Bengkel Adi Putra</v>
      </c>
      <c r="F771" s="211" t="str">
        <f>IFERROR(__xludf.DUMMYFUNCTION("""COMPUTED_VALUE"""),"8bdbe149")</f>
        <v>8bdbe149</v>
      </c>
      <c r="G771" s="211" t="str">
        <f>IFERROR(__xludf.DUMMYFUNCTION("""COMPUTED_VALUE"""),"Oksigen 6m3")</f>
        <v>Oksigen 6m3</v>
      </c>
      <c r="H771" s="214" t="str">
        <f>IFERROR(__xludf.DUMMYFUNCTION("""COMPUTED_VALUE"""),"OUT")</f>
        <v>OUT</v>
      </c>
      <c r="I771" s="214" t="str">
        <f>IFERROR(__xludf.DUMMYFUNCTION("""COMPUTED_VALUE"""),"NORMAL")</f>
        <v>NORMAL</v>
      </c>
      <c r="J771" s="211">
        <f>IFERROR(__xludf.DUMMYFUNCTION("""COMPUTED_VALUE"""),2.0)</f>
        <v>2</v>
      </c>
      <c r="K771" s="210" t="str">
        <f>IFERROR(__xludf.DUMMYFUNCTION("""COMPUTED_VALUE"""),"1165 1161")</f>
        <v>1165 1161</v>
      </c>
      <c r="L771" s="211">
        <f>IFERROR(__xludf.DUMMYFUNCTION("""COMPUTED_VALUE"""),70000.0)</f>
        <v>70000</v>
      </c>
      <c r="M771" s="211"/>
      <c r="N771" s="211"/>
      <c r="O771" s="211"/>
      <c r="Q771" s="210" t="str">
        <f>IFERROR(__xludf.DUMMYFUNCTION("""COMPUTED_VALUE"""),"27c8ded2")</f>
        <v>27c8ded2</v>
      </c>
      <c r="R771" s="210" t="str">
        <f>IFERROR(__xludf.DUMMYFUNCTION("""COMPUTED_VALUE"""),"27c8ded2")</f>
        <v>27c8ded2</v>
      </c>
      <c r="S771" s="211" t="str">
        <f>IFERROR(__xludf.DUMMYFUNCTION("""COMPUTED_VALUE"""),"ce83e171")</f>
        <v>ce83e171</v>
      </c>
      <c r="T771" s="211" t="str">
        <f>IFERROR(__xludf.DUMMYFUNCTION("""COMPUTED_VALUE"""),"Bpk. Sulaiman")</f>
        <v>Bpk. Sulaiman</v>
      </c>
      <c r="U771" s="215">
        <f>IFERROR(__xludf.DUMMYFUNCTION("""COMPUTED_VALUE"""),45790.46666666667)</f>
        <v>45790.46667</v>
      </c>
      <c r="V771" s="211" t="str">
        <f>IFERROR(__xludf.DUMMYFUNCTION("""COMPUTED_VALUE"""),"Jl. Raya Kramat Temenggung No.43, Kramat, Kramat Temenggung, Kec. Tarik, Kabupaten Sidoarjo, Jawa Timur 61265")</f>
        <v>Jl. Raya Kramat Temenggung No.43, Kramat, Kramat Temenggung, Kec. Tarik, Kabupaten Sidoarjo, Jawa Timur 61265</v>
      </c>
      <c r="W771" s="211" t="str">
        <f>IFERROR(__xludf.DUMMYFUNCTION("""COMPUTED_VALUE"""),"IN")</f>
        <v>IN</v>
      </c>
      <c r="X771" s="211"/>
      <c r="Z771" s="211" t="str">
        <f>IFERROR(__xludf.DUMMYFUNCTION("""COMPUTED_VALUE"""),"1025231414")</f>
        <v>1025231414</v>
      </c>
      <c r="AC771" s="211"/>
      <c r="AD771" s="211"/>
      <c r="AE771" s="211"/>
      <c r="AF771" s="211"/>
      <c r="AG771" s="211"/>
      <c r="AH771" s="211"/>
      <c r="AI771" s="211"/>
      <c r="AJ771" s="211"/>
      <c r="AL771" s="211"/>
      <c r="AM771" s="211"/>
      <c r="AN771" s="211"/>
      <c r="AO771" s="211"/>
      <c r="AP771" s="215"/>
      <c r="AQ771" s="218"/>
      <c r="AR771" s="211"/>
      <c r="AS771" s="211"/>
      <c r="AT771" s="211"/>
      <c r="AU771" s="211"/>
      <c r="AV771" s="211"/>
      <c r="AW771" s="211"/>
      <c r="AX771" s="211"/>
      <c r="AY771" s="211"/>
      <c r="AZ771" s="211"/>
      <c r="BB771" s="211"/>
      <c r="BC771" s="211"/>
      <c r="BD771" s="211"/>
      <c r="BE771" s="211"/>
      <c r="BF771" s="211"/>
      <c r="BG771" s="211"/>
      <c r="BH771" s="211"/>
      <c r="BI771" s="211"/>
    </row>
    <row r="772">
      <c r="A772" s="210" t="str">
        <f>IFERROR(__xludf.DUMMYFUNCTION("""COMPUTED_VALUE"""),"86555015")</f>
        <v>86555015</v>
      </c>
      <c r="B772" s="210" t="str">
        <f>IFERROR(__xludf.DUMMYFUNCTION("""COMPUTED_VALUE"""),"86555015")</f>
        <v>86555015</v>
      </c>
      <c r="C772" s="213">
        <f>IFERROR(__xludf.DUMMYFUNCTION("""COMPUTED_VALUE"""),45726.541666666664)</f>
        <v>45726.54167</v>
      </c>
      <c r="D772" s="211" t="str">
        <f>IFERROR(__xludf.DUMMYFUNCTION("""COMPUTED_VALUE"""),"df6bdc5d")</f>
        <v>df6bdc5d</v>
      </c>
      <c r="E772" s="211" t="str">
        <f>IFERROR(__xludf.DUMMYFUNCTION("""COMPUTED_VALUE"""),"Bpk. Maruf")</f>
        <v>Bpk. Maruf</v>
      </c>
      <c r="F772" s="211" t="str">
        <f>IFERROR(__xludf.DUMMYFUNCTION("""COMPUTED_VALUE"""),"8bdbe149")</f>
        <v>8bdbe149</v>
      </c>
      <c r="G772" s="211" t="str">
        <f>IFERROR(__xludf.DUMMYFUNCTION("""COMPUTED_VALUE"""),"Oksigen 6m3")</f>
        <v>Oksigen 6m3</v>
      </c>
      <c r="H772" s="214" t="str">
        <f>IFERROR(__xludf.DUMMYFUNCTION("""COMPUTED_VALUE"""),"IN")</f>
        <v>IN</v>
      </c>
      <c r="I772" s="214" t="str">
        <f>IFERROR(__xludf.DUMMYFUNCTION("""COMPUTED_VALUE"""),"EMPTY")</f>
        <v>EMPTY</v>
      </c>
      <c r="J772" s="211">
        <f>IFERROR(__xludf.DUMMYFUNCTION("""COMPUTED_VALUE"""),16.0)</f>
        <v>16</v>
      </c>
      <c r="K772" s="211"/>
      <c r="L772" s="211">
        <f>IFERROR(__xludf.DUMMYFUNCTION("""COMPUTED_VALUE"""),0.0)</f>
        <v>0</v>
      </c>
      <c r="M772" s="211"/>
      <c r="N772" s="211"/>
      <c r="O772" s="211"/>
      <c r="Q772" s="210" t="str">
        <f>IFERROR(__xludf.DUMMYFUNCTION("""COMPUTED_VALUE"""),"c33ac43a")</f>
        <v>c33ac43a</v>
      </c>
      <c r="R772" s="210" t="str">
        <f>IFERROR(__xludf.DUMMYFUNCTION("""COMPUTED_VALUE"""),"c33ac43a")</f>
        <v>c33ac43a</v>
      </c>
      <c r="S772" s="211" t="str">
        <f>IFERROR(__xludf.DUMMYFUNCTION("""COMPUTED_VALUE"""),"3fec37df")</f>
        <v>3fec37df</v>
      </c>
      <c r="T772" s="211" t="str">
        <f>IFERROR(__xludf.DUMMYFUNCTION("""COMPUTED_VALUE"""),"PT Jatim Abadi Perkasa Steel")</f>
        <v>PT Jatim Abadi Perkasa Steel</v>
      </c>
      <c r="U772" s="215">
        <f>IFERROR(__xludf.DUMMYFUNCTION("""COMPUTED_VALUE"""),45790.46805555555)</f>
        <v>45790.46806</v>
      </c>
      <c r="V772" s="211" t="str">
        <f>IFERROR(__xludf.DUMMYFUNCTION("""COMPUTED_VALUE"""),"Dsn. Bulak Sempuh, Jatirejo, Kab. Mojokerto, Jawa Timur")</f>
        <v>Dsn. Bulak Sempuh, Jatirejo, Kab. Mojokerto, Jawa Timur</v>
      </c>
      <c r="W772" s="211" t="str">
        <f>IFERROR(__xludf.DUMMYFUNCTION("""COMPUTED_VALUE"""),"IN")</f>
        <v>IN</v>
      </c>
      <c r="X772" s="211"/>
      <c r="Z772" s="211" t="str">
        <f>IFERROR(__xludf.DUMMYFUNCTION("""COMPUTED_VALUE"""),"102551411")</f>
        <v>102551411</v>
      </c>
      <c r="AC772" s="211"/>
      <c r="AD772" s="211"/>
      <c r="AE772" s="211"/>
      <c r="AF772" s="211"/>
      <c r="AG772" s="211"/>
      <c r="AH772" s="211"/>
      <c r="AI772" s="211"/>
      <c r="AJ772" s="211"/>
      <c r="AL772" s="211"/>
      <c r="AM772" s="211"/>
      <c r="AN772" s="211"/>
      <c r="AO772" s="211"/>
      <c r="AP772" s="215"/>
      <c r="AQ772" s="218"/>
      <c r="AR772" s="211"/>
      <c r="AS772" s="211"/>
      <c r="AT772" s="211"/>
      <c r="AU772" s="211"/>
      <c r="AV772" s="211"/>
      <c r="AW772" s="211"/>
      <c r="AX772" s="211"/>
      <c r="AY772" s="211"/>
      <c r="AZ772" s="211"/>
      <c r="BB772" s="211"/>
      <c r="BC772" s="211"/>
      <c r="BD772" s="211"/>
      <c r="BE772" s="211"/>
      <c r="BF772" s="211"/>
      <c r="BG772" s="211"/>
      <c r="BH772" s="211"/>
      <c r="BI772" s="211"/>
    </row>
    <row r="773">
      <c r="A773" s="210" t="str">
        <f>IFERROR(__xludf.DUMMYFUNCTION("""COMPUTED_VALUE"""),"00034b73")</f>
        <v>00034b73</v>
      </c>
      <c r="B773" s="210" t="str">
        <f>IFERROR(__xludf.DUMMYFUNCTION("""COMPUTED_VALUE"""),"00034b73")</f>
        <v>00034b73</v>
      </c>
      <c r="C773" s="213">
        <f>IFERROR(__xludf.DUMMYFUNCTION("""COMPUTED_VALUE"""),45726.541666666664)</f>
        <v>45726.54167</v>
      </c>
      <c r="D773" s="211" t="str">
        <f>IFERROR(__xludf.DUMMYFUNCTION("""COMPUTED_VALUE"""),"ed2cc96a")</f>
        <v>ed2cc96a</v>
      </c>
      <c r="E773" s="211" t="str">
        <f>IFERROR(__xludf.DUMMYFUNCTION("""COMPUTED_VALUE"""),"Bengkel Dian Jaya")</f>
        <v>Bengkel Dian Jaya</v>
      </c>
      <c r="F773" s="211" t="str">
        <f>IFERROR(__xludf.DUMMYFUNCTION("""COMPUTED_VALUE"""),"8bdbe149")</f>
        <v>8bdbe149</v>
      </c>
      <c r="G773" s="211" t="str">
        <f>IFERROR(__xludf.DUMMYFUNCTION("""COMPUTED_VALUE"""),"Oksigen 6m3")</f>
        <v>Oksigen 6m3</v>
      </c>
      <c r="H773" s="214" t="str">
        <f>IFERROR(__xludf.DUMMYFUNCTION("""COMPUTED_VALUE"""),"IN")</f>
        <v>IN</v>
      </c>
      <c r="I773" s="214" t="str">
        <f>IFERROR(__xludf.DUMMYFUNCTION("""COMPUTED_VALUE"""),"EMPTY")</f>
        <v>EMPTY</v>
      </c>
      <c r="J773" s="211">
        <f>IFERROR(__xludf.DUMMYFUNCTION("""COMPUTED_VALUE"""),6.0)</f>
        <v>6</v>
      </c>
      <c r="K773" s="210" t="str">
        <f>IFERROR(__xludf.DUMMYFUNCTION("""COMPUTED_VALUE"""),"1148 11114 1101 1134 11100 1196")</f>
        <v>1148 11114 1101 1134 11100 1196</v>
      </c>
      <c r="L773" s="211">
        <f>IFERROR(__xludf.DUMMYFUNCTION("""COMPUTED_VALUE"""),0.0)</f>
        <v>0</v>
      </c>
      <c r="M773" s="211"/>
      <c r="N773" s="211"/>
      <c r="O773" s="211"/>
      <c r="Q773" s="210" t="str">
        <f>IFERROR(__xludf.DUMMYFUNCTION("""COMPUTED_VALUE"""),"05250427")</f>
        <v>05250427</v>
      </c>
      <c r="R773" s="210" t="str">
        <f>IFERROR(__xludf.DUMMYFUNCTION("""COMPUTED_VALUE"""),"05250427")</f>
        <v>05250427</v>
      </c>
      <c r="S773" s="211" t="str">
        <f>IFERROR(__xludf.DUMMYFUNCTION("""COMPUTED_VALUE"""),"8ea74d81")</f>
        <v>8ea74d81</v>
      </c>
      <c r="T773" s="211" t="str">
        <f>IFERROR(__xludf.DUMMYFUNCTION("""COMPUTED_VALUE"""),"Bengkel Adi Putra")</f>
        <v>Bengkel Adi Putra</v>
      </c>
      <c r="U773" s="215">
        <f>IFERROR(__xludf.DUMMYFUNCTION("""COMPUTED_VALUE"""),45791.649305555555)</f>
        <v>45791.64931</v>
      </c>
      <c r="V773" s="211" t="str">
        <f>IFERROR(__xludf.DUMMYFUNCTION("""COMPUTED_VALUE"""),"Bypass Balongbendo")</f>
        <v>Bypass Balongbendo</v>
      </c>
      <c r="W773" s="211" t="str">
        <f>IFERROR(__xludf.DUMMYFUNCTION("""COMPUTED_VALUE"""),"OUT")</f>
        <v>OUT</v>
      </c>
      <c r="X773" s="211"/>
      <c r="Z773" s="211" t="str">
        <f>IFERROR(__xludf.DUMMYFUNCTION("""COMPUTED_VALUE"""),"1025221410")</f>
        <v>1025221410</v>
      </c>
      <c r="AC773" s="211"/>
      <c r="AD773" s="211"/>
      <c r="AE773" s="211"/>
      <c r="AF773" s="211"/>
      <c r="AG773" s="211"/>
      <c r="AH773" s="211"/>
      <c r="AI773" s="211"/>
      <c r="AJ773" s="211"/>
      <c r="AL773" s="211"/>
      <c r="AM773" s="211"/>
      <c r="AN773" s="211"/>
      <c r="AO773" s="211"/>
      <c r="AP773" s="215"/>
      <c r="AQ773" s="218"/>
      <c r="AR773" s="211"/>
      <c r="AS773" s="211"/>
      <c r="AT773" s="211"/>
      <c r="AU773" s="211"/>
      <c r="AV773" s="211"/>
      <c r="AW773" s="211"/>
      <c r="AX773" s="211"/>
      <c r="AY773" s="211"/>
      <c r="AZ773" s="211"/>
      <c r="BB773" s="211"/>
      <c r="BC773" s="211"/>
      <c r="BD773" s="211"/>
      <c r="BE773" s="211"/>
      <c r="BF773" s="211"/>
      <c r="BG773" s="211"/>
      <c r="BH773" s="211"/>
      <c r="BI773" s="211"/>
    </row>
    <row r="774">
      <c r="A774" s="210" t="str">
        <f>IFERROR(__xludf.DUMMYFUNCTION("""COMPUTED_VALUE"""),"00034b73")</f>
        <v>00034b73</v>
      </c>
      <c r="B774" s="210" t="str">
        <f>IFERROR(__xludf.DUMMYFUNCTION("""COMPUTED_VALUE"""),"00034b73")</f>
        <v>00034b73</v>
      </c>
      <c r="C774" s="213">
        <f>IFERROR(__xludf.DUMMYFUNCTION("""COMPUTED_VALUE"""),45726.54236111111)</f>
        <v>45726.54236</v>
      </c>
      <c r="D774" s="211" t="str">
        <f>IFERROR(__xludf.DUMMYFUNCTION("""COMPUTED_VALUE"""),"ed2cc96a")</f>
        <v>ed2cc96a</v>
      </c>
      <c r="E774" s="211" t="str">
        <f>IFERROR(__xludf.DUMMYFUNCTION("""COMPUTED_VALUE"""),"Bengkel Dian Jaya")</f>
        <v>Bengkel Dian Jaya</v>
      </c>
      <c r="F774" s="211" t="str">
        <f>IFERROR(__xludf.DUMMYFUNCTION("""COMPUTED_VALUE"""),"8bdbe149")</f>
        <v>8bdbe149</v>
      </c>
      <c r="G774" s="211" t="str">
        <f>IFERROR(__xludf.DUMMYFUNCTION("""COMPUTED_VALUE"""),"Oksigen 6m3")</f>
        <v>Oksigen 6m3</v>
      </c>
      <c r="H774" s="214" t="str">
        <f>IFERROR(__xludf.DUMMYFUNCTION("""COMPUTED_VALUE"""),"IN")</f>
        <v>IN</v>
      </c>
      <c r="I774" s="214" t="str">
        <f>IFERROR(__xludf.DUMMYFUNCTION("""COMPUTED_VALUE"""),"CLAIM")</f>
        <v>CLAIM</v>
      </c>
      <c r="J774" s="211">
        <f>IFERROR(__xludf.DUMMYFUNCTION("""COMPUTED_VALUE"""),1.0)</f>
        <v>1</v>
      </c>
      <c r="K774" s="210" t="str">
        <f>IFERROR(__xludf.DUMMYFUNCTION("""COMPUTED_VALUE"""),"1133")</f>
        <v>1133</v>
      </c>
      <c r="L774" s="211">
        <f>IFERROR(__xludf.DUMMYFUNCTION("""COMPUTED_VALUE"""),0.0)</f>
        <v>0</v>
      </c>
      <c r="M774" s="211"/>
      <c r="N774" s="211"/>
      <c r="O774" s="211"/>
      <c r="Q774" s="210" t="str">
        <f>IFERROR(__xludf.DUMMYFUNCTION("""COMPUTED_VALUE"""),"058bfed4")</f>
        <v>058bfed4</v>
      </c>
      <c r="R774" s="210" t="str">
        <f>IFERROR(__xludf.DUMMYFUNCTION("""COMPUTED_VALUE"""),"058bfed4")</f>
        <v>058bfed4</v>
      </c>
      <c r="S774" s="211" t="str">
        <f>IFERROR(__xludf.DUMMYFUNCTION("""COMPUTED_VALUE"""),"8ea74d81")</f>
        <v>8ea74d81</v>
      </c>
      <c r="T774" s="211" t="str">
        <f>IFERROR(__xludf.DUMMYFUNCTION("""COMPUTED_VALUE"""),"Bengkel Adi Putra")</f>
        <v>Bengkel Adi Putra</v>
      </c>
      <c r="U774" s="215">
        <f>IFERROR(__xludf.DUMMYFUNCTION("""COMPUTED_VALUE"""),45791.675)</f>
        <v>45791.675</v>
      </c>
      <c r="V774" s="211" t="str">
        <f>IFERROR(__xludf.DUMMYFUNCTION("""COMPUTED_VALUE"""),"Bypass Balongbendo")</f>
        <v>Bypass Balongbendo</v>
      </c>
      <c r="W774" s="211" t="str">
        <f>IFERROR(__xludf.DUMMYFUNCTION("""COMPUTED_VALUE"""),"IN")</f>
        <v>IN</v>
      </c>
      <c r="X774" s="211"/>
      <c r="Z774" s="211" t="str">
        <f>IFERROR(__xludf.DUMMYFUNCTION("""COMPUTED_VALUE"""),"1025561409")</f>
        <v>1025561409</v>
      </c>
      <c r="AC774" s="211"/>
      <c r="AD774" s="211"/>
      <c r="AE774" s="211"/>
      <c r="AF774" s="211"/>
      <c r="AG774" s="211"/>
      <c r="AH774" s="211"/>
      <c r="AI774" s="211"/>
      <c r="AJ774" s="211"/>
      <c r="AL774" s="211"/>
      <c r="AM774" s="211"/>
      <c r="AN774" s="211"/>
      <c r="AO774" s="211"/>
      <c r="AP774" s="215"/>
      <c r="AQ774" s="218"/>
      <c r="AR774" s="211"/>
      <c r="AS774" s="211"/>
      <c r="AT774" s="211"/>
      <c r="AU774" s="211"/>
      <c r="AV774" s="211"/>
      <c r="AW774" s="211"/>
      <c r="AX774" s="211"/>
      <c r="AY774" s="211"/>
      <c r="AZ774" s="211"/>
      <c r="BB774" s="211"/>
      <c r="BC774" s="211"/>
      <c r="BD774" s="211"/>
      <c r="BE774" s="211"/>
      <c r="BF774" s="211"/>
      <c r="BG774" s="211"/>
      <c r="BH774" s="211"/>
      <c r="BI774" s="211"/>
    </row>
    <row r="775">
      <c r="A775" s="210" t="str">
        <f>IFERROR(__xludf.DUMMYFUNCTION("""COMPUTED_VALUE"""),"00034b73")</f>
        <v>00034b73</v>
      </c>
      <c r="B775" s="210" t="str">
        <f>IFERROR(__xludf.DUMMYFUNCTION("""COMPUTED_VALUE"""),"00034b73")</f>
        <v>00034b73</v>
      </c>
      <c r="C775" s="213">
        <f>IFERROR(__xludf.DUMMYFUNCTION("""COMPUTED_VALUE"""),45726.54236111111)</f>
        <v>45726.54236</v>
      </c>
      <c r="D775" s="211" t="str">
        <f>IFERROR(__xludf.DUMMYFUNCTION("""COMPUTED_VALUE"""),"ed2cc96a")</f>
        <v>ed2cc96a</v>
      </c>
      <c r="E775" s="211" t="str">
        <f>IFERROR(__xludf.DUMMYFUNCTION("""COMPUTED_VALUE"""),"Bengkel Dian Jaya")</f>
        <v>Bengkel Dian Jaya</v>
      </c>
      <c r="F775" s="211" t="str">
        <f>IFERROR(__xludf.DUMMYFUNCTION("""COMPUTED_VALUE"""),"be525f3b")</f>
        <v>be525f3b</v>
      </c>
      <c r="G775" s="211" t="str">
        <f>IFERROR(__xludf.DUMMYFUNCTION("""COMPUTED_VALUE"""),"LPG 12kg")</f>
        <v>LPG 12kg</v>
      </c>
      <c r="H775" s="214" t="str">
        <f>IFERROR(__xludf.DUMMYFUNCTION("""COMPUTED_VALUE"""),"IN")</f>
        <v>IN</v>
      </c>
      <c r="I775" s="214" t="str">
        <f>IFERROR(__xludf.DUMMYFUNCTION("""COMPUTED_VALUE"""),"EMPTY")</f>
        <v>EMPTY</v>
      </c>
      <c r="J775" s="211">
        <f>IFERROR(__xludf.DUMMYFUNCTION("""COMPUTED_VALUE"""),1.0)</f>
        <v>1</v>
      </c>
      <c r="K775" s="211"/>
      <c r="L775" s="211">
        <f>IFERROR(__xludf.DUMMYFUNCTION("""COMPUTED_VALUE"""),0.0)</f>
        <v>0</v>
      </c>
      <c r="M775" s="211"/>
      <c r="N775" s="211"/>
      <c r="O775" s="211"/>
      <c r="Q775" s="210" t="str">
        <f>IFERROR(__xludf.DUMMYFUNCTION("""COMPUTED_VALUE"""),"05250428")</f>
        <v>05250428</v>
      </c>
      <c r="R775" s="210" t="str">
        <f>IFERROR(__xludf.DUMMYFUNCTION("""COMPUTED_VALUE"""),"05250428")</f>
        <v>05250428</v>
      </c>
      <c r="S775" s="211" t="str">
        <f>IFERROR(__xludf.DUMMYFUNCTION("""COMPUTED_VALUE"""),"103f3ae7")</f>
        <v>103f3ae7</v>
      </c>
      <c r="T775" s="211" t="str">
        <f>IFERROR(__xludf.DUMMYFUNCTION("""COMPUTED_VALUE"""),"PT ARYANA CAKASANA")</f>
        <v>PT ARYANA CAKASANA</v>
      </c>
      <c r="U775" s="215">
        <f>IFERROR(__xludf.DUMMYFUNCTION("""COMPUTED_VALUE"""),45792.381944444445)</f>
        <v>45792.38194</v>
      </c>
      <c r="V775" s="211" t="str">
        <f>IFERROR(__xludf.DUMMYFUNCTION("""COMPUTED_VALUE"""),"Jl Raya Tarik No. 45, Wonokupang, Bakalan, Balongbendo")</f>
        <v>Jl Raya Tarik No. 45, Wonokupang, Bakalan, Balongbendo</v>
      </c>
      <c r="W775" s="211" t="str">
        <f>IFERROR(__xludf.DUMMYFUNCTION("""COMPUTED_VALUE"""),"OUT")</f>
        <v>OUT</v>
      </c>
      <c r="X775" s="211"/>
      <c r="Z775" s="211" t="str">
        <f>IFERROR(__xludf.DUMMYFUNCTION("""COMPUTED_VALUE"""),"102531406")</f>
        <v>102531406</v>
      </c>
      <c r="AC775" s="211"/>
      <c r="AD775" s="211"/>
      <c r="AE775" s="211"/>
      <c r="AF775" s="211"/>
      <c r="AG775" s="211"/>
      <c r="AH775" s="211"/>
      <c r="AI775" s="211"/>
      <c r="AJ775" s="211"/>
      <c r="AL775" s="211"/>
      <c r="AM775" s="211"/>
      <c r="AN775" s="211"/>
      <c r="AO775" s="211"/>
      <c r="AP775" s="215"/>
      <c r="AQ775" s="218"/>
      <c r="AR775" s="211"/>
      <c r="AS775" s="211"/>
      <c r="AT775" s="211"/>
      <c r="AU775" s="211"/>
      <c r="AV775" s="211"/>
      <c r="AW775" s="211"/>
      <c r="AX775" s="211"/>
      <c r="AY775" s="211"/>
      <c r="AZ775" s="211"/>
      <c r="BB775" s="211"/>
      <c r="BC775" s="211"/>
      <c r="BD775" s="211"/>
      <c r="BE775" s="211"/>
      <c r="BF775" s="211"/>
      <c r="BG775" s="211"/>
      <c r="BH775" s="211"/>
      <c r="BI775" s="211"/>
    </row>
    <row r="776">
      <c r="A776" s="210" t="str">
        <f>IFERROR(__xludf.DUMMYFUNCTION("""COMPUTED_VALUE"""),"ad35d820")</f>
        <v>ad35d820</v>
      </c>
      <c r="B776" s="210" t="str">
        <f>IFERROR(__xludf.DUMMYFUNCTION("""COMPUTED_VALUE"""),"ad35d820")</f>
        <v>ad35d820</v>
      </c>
      <c r="C776" s="213">
        <f>IFERROR(__xludf.DUMMYFUNCTION("""COMPUTED_VALUE"""),45726.64027777778)</f>
        <v>45726.64028</v>
      </c>
      <c r="D776" s="211" t="str">
        <f>IFERROR(__xludf.DUMMYFUNCTION("""COMPUTED_VALUE"""),"785e0e07")</f>
        <v>785e0e07</v>
      </c>
      <c r="E776" s="211" t="str">
        <f>IFERROR(__xludf.DUMMYFUNCTION("""COMPUTED_VALUE"""),"Bpk. Sukirno (Bejo)")</f>
        <v>Bpk. Sukirno (Bejo)</v>
      </c>
      <c r="F776" s="211" t="str">
        <f>IFERROR(__xludf.DUMMYFUNCTION("""COMPUTED_VALUE"""),"8bdbe149")</f>
        <v>8bdbe149</v>
      </c>
      <c r="G776" s="211" t="str">
        <f>IFERROR(__xludf.DUMMYFUNCTION("""COMPUTED_VALUE"""),"Oksigen 6m3")</f>
        <v>Oksigen 6m3</v>
      </c>
      <c r="H776" s="214" t="str">
        <f>IFERROR(__xludf.DUMMYFUNCTION("""COMPUTED_VALUE"""),"IN")</f>
        <v>IN</v>
      </c>
      <c r="I776" s="214" t="str">
        <f>IFERROR(__xludf.DUMMYFUNCTION("""COMPUTED_VALUE"""),"EMPTY")</f>
        <v>EMPTY</v>
      </c>
      <c r="J776" s="211">
        <f>IFERROR(__xludf.DUMMYFUNCTION("""COMPUTED_VALUE"""),6.0)</f>
        <v>6</v>
      </c>
      <c r="K776" s="210" t="str">
        <f>IFERROR(__xludf.DUMMYFUNCTION("""COMPUTED_VALUE"""),"11110 1128 11111 11202 11191 11142")</f>
        <v>11110 1128 11111 11202 11191 11142</v>
      </c>
      <c r="L776" s="211">
        <f>IFERROR(__xludf.DUMMYFUNCTION("""COMPUTED_VALUE"""),0.0)</f>
        <v>0</v>
      </c>
      <c r="M776" s="211"/>
      <c r="N776" s="211"/>
      <c r="O776" s="211"/>
      <c r="Q776" s="210" t="str">
        <f>IFERROR(__xludf.DUMMYFUNCTION("""COMPUTED_VALUE"""),"dff43447")</f>
        <v>dff43447</v>
      </c>
      <c r="R776" s="210" t="str">
        <f>IFERROR(__xludf.DUMMYFUNCTION("""COMPUTED_VALUE"""),"dff43447")</f>
        <v>dff43447</v>
      </c>
      <c r="S776" s="211" t="str">
        <f>IFERROR(__xludf.DUMMYFUNCTION("""COMPUTED_VALUE"""),"8f5ebaea")</f>
        <v>8f5ebaea</v>
      </c>
      <c r="T776" s="211" t="str">
        <f>IFERROR(__xludf.DUMMYFUNCTION("""COMPUTED_VALUE"""),"PT Hua Zong Mesindo")</f>
        <v>PT Hua Zong Mesindo</v>
      </c>
      <c r="U776" s="215">
        <f>IFERROR(__xludf.DUMMYFUNCTION("""COMPUTED_VALUE"""),45792.464583333334)</f>
        <v>45792.46458</v>
      </c>
      <c r="V776" s="211" t="str">
        <f>IFERROR(__xludf.DUMMYFUNCTION("""COMPUTED_VALUE"""),"Jl. Bypass Krian, Sidotemo, Sidomulyo, Kec. Krian, Kabupaten Sidoarjo, Jawa Timur 61262")</f>
        <v>Jl. Bypass Krian, Sidotemo, Sidomulyo, Kec. Krian, Kabupaten Sidoarjo, Jawa Timur 61262</v>
      </c>
      <c r="W776" s="211" t="str">
        <f>IFERROR(__xludf.DUMMYFUNCTION("""COMPUTED_VALUE"""),"IN")</f>
        <v>IN</v>
      </c>
      <c r="X776" s="211"/>
      <c r="Z776" s="211" t="str">
        <f>IFERROR(__xludf.DUMMYFUNCTION("""COMPUTED_VALUE"""),"1025151404")</f>
        <v>1025151404</v>
      </c>
      <c r="AC776" s="211"/>
      <c r="AD776" s="211"/>
      <c r="AE776" s="211"/>
      <c r="AF776" s="211"/>
      <c r="AG776" s="211"/>
      <c r="AH776" s="211"/>
      <c r="AI776" s="211"/>
      <c r="AJ776" s="211"/>
      <c r="AL776" s="211"/>
      <c r="AM776" s="211"/>
      <c r="AN776" s="211"/>
      <c r="AO776" s="211"/>
      <c r="AP776" s="215"/>
      <c r="AQ776" s="218"/>
      <c r="AR776" s="211"/>
      <c r="AS776" s="211"/>
      <c r="AT776" s="211"/>
      <c r="AU776" s="211"/>
      <c r="AV776" s="211"/>
      <c r="AW776" s="211"/>
      <c r="AX776" s="211"/>
      <c r="AY776" s="211"/>
      <c r="AZ776" s="211"/>
      <c r="BB776" s="211"/>
      <c r="BC776" s="211"/>
      <c r="BD776" s="211"/>
      <c r="BE776" s="211"/>
      <c r="BF776" s="211"/>
      <c r="BG776" s="211"/>
      <c r="BH776" s="211"/>
      <c r="BI776" s="211"/>
    </row>
    <row r="777">
      <c r="A777" s="210" t="str">
        <f>IFERROR(__xludf.DUMMYFUNCTION("""COMPUTED_VALUE"""),"9f3587e4")</f>
        <v>9f3587e4</v>
      </c>
      <c r="B777" s="210" t="str">
        <f>IFERROR(__xludf.DUMMYFUNCTION("""COMPUTED_VALUE"""),"9f3587e4")</f>
        <v>9f3587e4</v>
      </c>
      <c r="C777" s="213">
        <f>IFERROR(__xludf.DUMMYFUNCTION("""COMPUTED_VALUE"""),45726.64097222222)</f>
        <v>45726.64097</v>
      </c>
      <c r="D777" s="211" t="str">
        <f>IFERROR(__xludf.DUMMYFUNCTION("""COMPUTED_VALUE"""),"8f5ebaea")</f>
        <v>8f5ebaea</v>
      </c>
      <c r="E777" s="211" t="str">
        <f>IFERROR(__xludf.DUMMYFUNCTION("""COMPUTED_VALUE"""),"PT Hua Zong Mesindo")</f>
        <v>PT Hua Zong Mesindo</v>
      </c>
      <c r="F777" s="211" t="str">
        <f>IFERROR(__xludf.DUMMYFUNCTION("""COMPUTED_VALUE"""),"8bdbe149")</f>
        <v>8bdbe149</v>
      </c>
      <c r="G777" s="211" t="str">
        <f>IFERROR(__xludf.DUMMYFUNCTION("""COMPUTED_VALUE"""),"Oksigen 6m3")</f>
        <v>Oksigen 6m3</v>
      </c>
      <c r="H777" s="214" t="str">
        <f>IFERROR(__xludf.DUMMYFUNCTION("""COMPUTED_VALUE"""),"IN")</f>
        <v>IN</v>
      </c>
      <c r="I777" s="214" t="str">
        <f>IFERROR(__xludf.DUMMYFUNCTION("""COMPUTED_VALUE"""),"EMPTY")</f>
        <v>EMPTY</v>
      </c>
      <c r="J777" s="211">
        <f>IFERROR(__xludf.DUMMYFUNCTION("""COMPUTED_VALUE"""),1.0)</f>
        <v>1</v>
      </c>
      <c r="K777" s="210" t="str">
        <f>IFERROR(__xludf.DUMMYFUNCTION("""COMPUTED_VALUE"""),"11181")</f>
        <v>11181</v>
      </c>
      <c r="L777" s="211">
        <f>IFERROR(__xludf.DUMMYFUNCTION("""COMPUTED_VALUE"""),0.0)</f>
        <v>0</v>
      </c>
      <c r="M777" s="211"/>
      <c r="N777" s="211"/>
      <c r="O777" s="211"/>
      <c r="Q777" s="210" t="str">
        <f>IFERROR(__xludf.DUMMYFUNCTION("""COMPUTED_VALUE"""),"c94298ba")</f>
        <v>c94298ba</v>
      </c>
      <c r="R777" s="210" t="str">
        <f>IFERROR(__xludf.DUMMYFUNCTION("""COMPUTED_VALUE"""),"c94298ba")</f>
        <v>c94298ba</v>
      </c>
      <c r="S777" s="211" t="str">
        <f>IFERROR(__xludf.DUMMYFUNCTION("""COMPUTED_VALUE"""),"103f3ae7")</f>
        <v>103f3ae7</v>
      </c>
      <c r="T777" s="211" t="str">
        <f>IFERROR(__xludf.DUMMYFUNCTION("""COMPUTED_VALUE"""),"PT ARYANA CAKASANA")</f>
        <v>PT ARYANA CAKASANA</v>
      </c>
      <c r="U777" s="215">
        <f>IFERROR(__xludf.DUMMYFUNCTION("""COMPUTED_VALUE"""),45792.47777777778)</f>
        <v>45792.47778</v>
      </c>
      <c r="V777" s="211" t="str">
        <f>IFERROR(__xludf.DUMMYFUNCTION("""COMPUTED_VALUE"""),"Jl Raya Tarik No. 45, Wonokupang, Bakalan, Balongbendo")</f>
        <v>Jl Raya Tarik No. 45, Wonokupang, Bakalan, Balongbendo</v>
      </c>
      <c r="W777" s="211" t="str">
        <f>IFERROR(__xludf.DUMMYFUNCTION("""COMPUTED_VALUE"""),"IN")</f>
        <v>IN</v>
      </c>
      <c r="X777" s="211"/>
      <c r="Z777" s="211" t="str">
        <f>IFERROR(__xludf.DUMMYFUNCTION("""COMPUTED_VALUE"""),"1025321403")</f>
        <v>1025321403</v>
      </c>
      <c r="AC777" s="211"/>
      <c r="AD777" s="211"/>
      <c r="AE777" s="211"/>
      <c r="AF777" s="211"/>
      <c r="AG777" s="211"/>
      <c r="AH777" s="211"/>
      <c r="AI777" s="211"/>
      <c r="AJ777" s="211"/>
      <c r="AL777" s="211"/>
      <c r="AM777" s="211"/>
      <c r="AN777" s="211"/>
      <c r="AO777" s="211"/>
      <c r="AP777" s="215"/>
      <c r="AQ777" s="218"/>
      <c r="AR777" s="211"/>
      <c r="AS777" s="211"/>
      <c r="AT777" s="211"/>
      <c r="AU777" s="211"/>
      <c r="AV777" s="211"/>
      <c r="AW777" s="211"/>
      <c r="AX777" s="211"/>
      <c r="AY777" s="211"/>
      <c r="AZ777" s="211"/>
      <c r="BB777" s="211"/>
      <c r="BC777" s="211"/>
      <c r="BD777" s="211"/>
      <c r="BE777" s="211"/>
      <c r="BF777" s="211"/>
      <c r="BG777" s="211"/>
      <c r="BH777" s="211"/>
      <c r="BI777" s="211"/>
    </row>
    <row r="778">
      <c r="A778" s="210" t="str">
        <f>IFERROR(__xludf.DUMMYFUNCTION("""COMPUTED_VALUE"""),"85672760")</f>
        <v>85672760</v>
      </c>
      <c r="B778" s="210" t="str">
        <f>IFERROR(__xludf.DUMMYFUNCTION("""COMPUTED_VALUE"""),"85672760")</f>
        <v>85672760</v>
      </c>
      <c r="C778" s="213">
        <f>IFERROR(__xludf.DUMMYFUNCTION("""COMPUTED_VALUE"""),45726.64236111111)</f>
        <v>45726.64236</v>
      </c>
      <c r="D778" s="211" t="str">
        <f>IFERROR(__xludf.DUMMYFUNCTION("""COMPUTED_VALUE"""),"8ea74d81")</f>
        <v>8ea74d81</v>
      </c>
      <c r="E778" s="211" t="str">
        <f>IFERROR(__xludf.DUMMYFUNCTION("""COMPUTED_VALUE"""),"Bengkel Adi Putra")</f>
        <v>Bengkel Adi Putra</v>
      </c>
      <c r="F778" s="211" t="str">
        <f>IFERROR(__xludf.DUMMYFUNCTION("""COMPUTED_VALUE"""),"8bdbe149")</f>
        <v>8bdbe149</v>
      </c>
      <c r="G778" s="211" t="str">
        <f>IFERROR(__xludf.DUMMYFUNCTION("""COMPUTED_VALUE"""),"Oksigen 6m3")</f>
        <v>Oksigen 6m3</v>
      </c>
      <c r="H778" s="214" t="str">
        <f>IFERROR(__xludf.DUMMYFUNCTION("""COMPUTED_VALUE"""),"IN")</f>
        <v>IN</v>
      </c>
      <c r="I778" s="214" t="str">
        <f>IFERROR(__xludf.DUMMYFUNCTION("""COMPUTED_VALUE"""),"EMPTY")</f>
        <v>EMPTY</v>
      </c>
      <c r="J778" s="211">
        <f>IFERROR(__xludf.DUMMYFUNCTION("""COMPUTED_VALUE"""),1.0)</f>
        <v>1</v>
      </c>
      <c r="K778" s="210" t="str">
        <f>IFERROR(__xludf.DUMMYFUNCTION("""COMPUTED_VALUE"""),"11188")</f>
        <v>11188</v>
      </c>
      <c r="L778" s="211">
        <f>IFERROR(__xludf.DUMMYFUNCTION("""COMPUTED_VALUE"""),0.0)</f>
        <v>0</v>
      </c>
      <c r="M778" s="211"/>
      <c r="N778" s="211"/>
      <c r="O778" s="211"/>
      <c r="Q778" s="210" t="str">
        <f>IFERROR(__xludf.DUMMYFUNCTION("""COMPUTED_VALUE"""),"05250429")</f>
        <v>05250429</v>
      </c>
      <c r="R778" s="210" t="str">
        <f>IFERROR(__xludf.DUMMYFUNCTION("""COMPUTED_VALUE"""),"05250429")</f>
        <v>05250429</v>
      </c>
      <c r="S778" s="211" t="str">
        <f>IFERROR(__xludf.DUMMYFUNCTION("""COMPUTED_VALUE"""),"1bf27092")</f>
        <v>1bf27092</v>
      </c>
      <c r="T778" s="211" t="str">
        <f>IFERROR(__xludf.DUMMYFUNCTION("""COMPUTED_VALUE"""),"Bpk. Ari Budiarto")</f>
        <v>Bpk. Ari Budiarto</v>
      </c>
      <c r="U778" s="215">
        <f>IFERROR(__xludf.DUMMYFUNCTION("""COMPUTED_VALUE"""),45792.586805555555)</f>
        <v>45792.58681</v>
      </c>
      <c r="V778" s="211" t="str">
        <f>IFERROR(__xludf.DUMMYFUNCTION("""COMPUTED_VALUE"""),"Jl. Raya Balongbendo 232, Bakalan, Bakalan Wringinpitu, Kec. BalongBendo, Kabupaten Sidoarjo, Jawa Timur 61263")</f>
        <v>Jl. Raya Balongbendo 232, Bakalan, Bakalan Wringinpitu, Kec. BalongBendo, Kabupaten Sidoarjo, Jawa Timur 61263</v>
      </c>
      <c r="W778" s="211" t="str">
        <f>IFERROR(__xludf.DUMMYFUNCTION("""COMPUTED_VALUE"""),"OUT")</f>
        <v>OUT</v>
      </c>
      <c r="X778" s="211"/>
      <c r="Z778" s="211" t="str">
        <f>IFERROR(__xludf.DUMMYFUNCTION("""COMPUTED_VALUE"""),"1025121402")</f>
        <v>1025121402</v>
      </c>
      <c r="AC778" s="211"/>
      <c r="AD778" s="211"/>
      <c r="AE778" s="211"/>
      <c r="AF778" s="211"/>
      <c r="AG778" s="211"/>
      <c r="AH778" s="211"/>
      <c r="AI778" s="211"/>
      <c r="AJ778" s="211"/>
      <c r="AL778" s="211"/>
      <c r="AM778" s="211"/>
      <c r="AN778" s="211"/>
      <c r="AO778" s="211"/>
      <c r="AP778" s="215"/>
      <c r="AQ778" s="218"/>
      <c r="AR778" s="211"/>
      <c r="AS778" s="211"/>
      <c r="AT778" s="211"/>
      <c r="AU778" s="211"/>
      <c r="AV778" s="211"/>
      <c r="AW778" s="211"/>
      <c r="AX778" s="211"/>
      <c r="AY778" s="211"/>
      <c r="AZ778" s="211"/>
      <c r="BB778" s="211"/>
      <c r="BC778" s="211"/>
      <c r="BD778" s="211"/>
      <c r="BE778" s="211"/>
      <c r="BF778" s="211"/>
      <c r="BG778" s="211"/>
      <c r="BH778" s="211"/>
      <c r="BI778" s="211"/>
    </row>
    <row r="779">
      <c r="A779" s="210" t="str">
        <f>IFERROR(__xludf.DUMMYFUNCTION("""COMPUTED_VALUE"""),"638eadbf")</f>
        <v>638eadbf</v>
      </c>
      <c r="B779" s="210" t="str">
        <f>IFERROR(__xludf.DUMMYFUNCTION("""COMPUTED_VALUE"""),"638eadbf")</f>
        <v>638eadbf</v>
      </c>
      <c r="C779" s="213">
        <f>IFERROR(__xludf.DUMMYFUNCTION("""COMPUTED_VALUE"""),45726.6625)</f>
        <v>45726.6625</v>
      </c>
      <c r="D779" s="211" t="str">
        <f>IFERROR(__xludf.DUMMYFUNCTION("""COMPUTED_VALUE"""),"01158be1")</f>
        <v>01158be1</v>
      </c>
      <c r="E779" s="211" t="str">
        <f>IFERROR(__xludf.DUMMYFUNCTION("""COMPUTED_VALUE"""),"GYF")</f>
        <v>GYF</v>
      </c>
      <c r="F779" s="211" t="str">
        <f>IFERROR(__xludf.DUMMYFUNCTION("""COMPUTED_VALUE"""),"8bdbe149")</f>
        <v>8bdbe149</v>
      </c>
      <c r="G779" s="211" t="str">
        <f>IFERROR(__xludf.DUMMYFUNCTION("""COMPUTED_VALUE"""),"Oksigen 6m3")</f>
        <v>Oksigen 6m3</v>
      </c>
      <c r="H779" s="214" t="str">
        <f>IFERROR(__xludf.DUMMYFUNCTION("""COMPUTED_VALUE"""),"IN")</f>
        <v>IN</v>
      </c>
      <c r="I779" s="214" t="str">
        <f>IFERROR(__xludf.DUMMYFUNCTION("""COMPUTED_VALUE"""),"EMPTY")</f>
        <v>EMPTY</v>
      </c>
      <c r="J779" s="211">
        <f>IFERROR(__xludf.DUMMYFUNCTION("""COMPUTED_VALUE"""),7.0)</f>
        <v>7</v>
      </c>
      <c r="K779" s="210" t="str">
        <f>IFERROR(__xludf.DUMMYFUNCTION("""COMPUTED_VALUE"""),"11143 11176 1113 1159 1105 11212 1143")</f>
        <v>11143 11176 1113 1159 1105 11212 1143</v>
      </c>
      <c r="L779" s="211">
        <f>IFERROR(__xludf.DUMMYFUNCTION("""COMPUTED_VALUE"""),0.0)</f>
        <v>0</v>
      </c>
      <c r="M779" s="211"/>
      <c r="N779" s="211"/>
      <c r="O779" s="211"/>
      <c r="Q779" s="210" t="str">
        <f>IFERROR(__xludf.DUMMYFUNCTION("""COMPUTED_VALUE"""),"05250430")</f>
        <v>05250430</v>
      </c>
      <c r="R779" s="210" t="str">
        <f>IFERROR(__xludf.DUMMYFUNCTION("""COMPUTED_VALUE"""),"05250430")</f>
        <v>05250430</v>
      </c>
      <c r="S779" s="211" t="str">
        <f>IFERROR(__xludf.DUMMYFUNCTION("""COMPUTED_VALUE"""),"b2b5f2c5")</f>
        <v>b2b5f2c5</v>
      </c>
      <c r="T779" s="211" t="str">
        <f>IFERROR(__xludf.DUMMYFUNCTION("""COMPUTED_VALUE"""),"Bengkel Las Bpk. Ari")</f>
        <v>Bengkel Las Bpk. Ari</v>
      </c>
      <c r="U779" s="215">
        <f>IFERROR(__xludf.DUMMYFUNCTION("""COMPUTED_VALUE"""),45793.356944444444)</f>
        <v>45793.35694</v>
      </c>
      <c r="V779" s="211" t="str">
        <f>IFERROR(__xludf.DUMMYFUNCTION("""COMPUTED_VALUE"""),"Sumber Kembar, Wonodadi, Kec. Kutorejo, Kabupaten Mojokerto, Jawa Timur")</f>
        <v>Sumber Kembar, Wonodadi, Kec. Kutorejo, Kabupaten Mojokerto, Jawa Timur</v>
      </c>
      <c r="W779" s="211" t="str">
        <f>IFERROR(__xludf.DUMMYFUNCTION("""COMPUTED_VALUE"""),"OUT")</f>
        <v>OUT</v>
      </c>
      <c r="X779" s="211"/>
      <c r="Z779" s="211" t="str">
        <f>IFERROR(__xludf.DUMMYFUNCTION("""COMPUTED_VALUE"""),"1025141400")</f>
        <v>1025141400</v>
      </c>
      <c r="AC779" s="211"/>
      <c r="AD779" s="211"/>
      <c r="AE779" s="211"/>
      <c r="AF779" s="211"/>
      <c r="AG779" s="211"/>
      <c r="AH779" s="211"/>
      <c r="AI779" s="211"/>
      <c r="AJ779" s="211"/>
      <c r="AL779" s="211"/>
      <c r="AM779" s="211"/>
      <c r="AN779" s="211"/>
      <c r="AO779" s="211"/>
      <c r="AP779" s="215"/>
      <c r="AQ779" s="218"/>
      <c r="AR779" s="211"/>
      <c r="AS779" s="211"/>
      <c r="AT779" s="211"/>
      <c r="AU779" s="211"/>
      <c r="AV779" s="211"/>
      <c r="AW779" s="211"/>
      <c r="AX779" s="211"/>
      <c r="AY779" s="211"/>
      <c r="AZ779" s="211"/>
      <c r="BB779" s="211"/>
      <c r="BC779" s="211"/>
      <c r="BD779" s="211"/>
      <c r="BE779" s="211"/>
      <c r="BF779" s="211"/>
      <c r="BG779" s="211"/>
      <c r="BH779" s="211"/>
      <c r="BI779" s="211"/>
    </row>
    <row r="780">
      <c r="A780" s="210" t="str">
        <f>IFERROR(__xludf.DUMMYFUNCTION("""COMPUTED_VALUE"""),"03250313")</f>
        <v>03250313</v>
      </c>
      <c r="B780" s="210" t="str">
        <f>IFERROR(__xludf.DUMMYFUNCTION("""COMPUTED_VALUE"""),"03250313")</f>
        <v>03250313</v>
      </c>
      <c r="C780" s="213">
        <f>IFERROR(__xludf.DUMMYFUNCTION("""COMPUTED_VALUE"""),45727.37430555555)</f>
        <v>45727.37431</v>
      </c>
      <c r="D780" s="211" t="str">
        <f>IFERROR(__xludf.DUMMYFUNCTION("""COMPUTED_VALUE"""),"5f23ba17")</f>
        <v>5f23ba17</v>
      </c>
      <c r="E780" s="211" t="str">
        <f>IFERROR(__xludf.DUMMYFUNCTION("""COMPUTED_VALUE"""),"Bpk. Joko (Gresik)")</f>
        <v>Bpk. Joko (Gresik)</v>
      </c>
      <c r="F780" s="211" t="str">
        <f>IFERROR(__xludf.DUMMYFUNCTION("""COMPUTED_VALUE"""),"439cf836")</f>
        <v>439cf836</v>
      </c>
      <c r="G780" s="211" t="str">
        <f>IFERROR(__xludf.DUMMYFUNCTION("""COMPUTED_VALUE"""),"Karbondioksida MR")</f>
        <v>Karbondioksida MR</v>
      </c>
      <c r="H780" s="214" t="str">
        <f>IFERROR(__xludf.DUMMYFUNCTION("""COMPUTED_VALUE"""),"OUT")</f>
        <v>OUT</v>
      </c>
      <c r="I780" s="214" t="str">
        <f>IFERROR(__xludf.DUMMYFUNCTION("""COMPUTED_VALUE"""),"NORMAL")</f>
        <v>NORMAL</v>
      </c>
      <c r="J780" s="211">
        <f>IFERROR(__xludf.DUMMYFUNCTION("""COMPUTED_VALUE"""),1.0)</f>
        <v>1</v>
      </c>
      <c r="K780" s="211"/>
      <c r="L780" s="211">
        <f>IFERROR(__xludf.DUMMYFUNCTION("""COMPUTED_VALUE"""),160000.0)</f>
        <v>160000</v>
      </c>
      <c r="M780" s="211"/>
      <c r="N780" s="211"/>
      <c r="O780" s="211"/>
      <c r="Q780" s="210" t="str">
        <f>IFERROR(__xludf.DUMMYFUNCTION("""COMPUTED_VALUE"""),"05250431")</f>
        <v>05250431</v>
      </c>
      <c r="R780" s="210" t="str">
        <f>IFERROR(__xludf.DUMMYFUNCTION("""COMPUTED_VALUE"""),"05250431")</f>
        <v>05250431</v>
      </c>
      <c r="S780" s="211" t="str">
        <f>IFERROR(__xludf.DUMMYFUNCTION("""COMPUTED_VALUE"""),"3fec37df")</f>
        <v>3fec37df</v>
      </c>
      <c r="T780" s="211" t="str">
        <f>IFERROR(__xludf.DUMMYFUNCTION("""COMPUTED_VALUE"""),"PT Jatim Abadi Perkasa Steel")</f>
        <v>PT Jatim Abadi Perkasa Steel</v>
      </c>
      <c r="U780" s="215">
        <f>IFERROR(__xludf.DUMMYFUNCTION("""COMPUTED_VALUE"""),45793.35972222222)</f>
        <v>45793.35972</v>
      </c>
      <c r="V780" s="211" t="str">
        <f>IFERROR(__xludf.DUMMYFUNCTION("""COMPUTED_VALUE"""),"Dsn. Bulak Sempuh, Jatirejo, Kab. Mojokerto, Jawa Timur")</f>
        <v>Dsn. Bulak Sempuh, Jatirejo, Kab. Mojokerto, Jawa Timur</v>
      </c>
      <c r="W780" s="211" t="str">
        <f>IFERROR(__xludf.DUMMYFUNCTION("""COMPUTED_VALUE"""),"OUT")</f>
        <v>OUT</v>
      </c>
      <c r="X780" s="211"/>
      <c r="Z780" s="211" t="str">
        <f>IFERROR(__xludf.DUMMYFUNCTION("""COMPUTED_VALUE"""),"102521398")</f>
        <v>102521398</v>
      </c>
      <c r="AC780" s="211"/>
      <c r="AD780" s="211"/>
      <c r="AE780" s="211"/>
      <c r="AF780" s="211"/>
      <c r="AG780" s="211"/>
      <c r="AH780" s="211"/>
      <c r="AI780" s="211"/>
      <c r="AJ780" s="211"/>
      <c r="AL780" s="211"/>
      <c r="AM780" s="211"/>
      <c r="AN780" s="211"/>
      <c r="AO780" s="211"/>
      <c r="AP780" s="215"/>
      <c r="AQ780" s="218"/>
      <c r="AR780" s="211"/>
      <c r="AS780" s="211"/>
      <c r="AT780" s="211"/>
      <c r="AU780" s="211"/>
      <c r="AV780" s="211"/>
      <c r="AW780" s="211"/>
      <c r="AX780" s="211"/>
      <c r="AY780" s="211"/>
      <c r="AZ780" s="211"/>
      <c r="BB780" s="211"/>
      <c r="BC780" s="211"/>
      <c r="BD780" s="211"/>
      <c r="BE780" s="211"/>
      <c r="BF780" s="211"/>
      <c r="BG780" s="211"/>
      <c r="BH780" s="211"/>
      <c r="BI780" s="211"/>
    </row>
    <row r="781">
      <c r="A781" s="210" t="str">
        <f>IFERROR(__xludf.DUMMYFUNCTION("""COMPUTED_VALUE"""),"03250314")</f>
        <v>03250314</v>
      </c>
      <c r="B781" s="210" t="str">
        <f>IFERROR(__xludf.DUMMYFUNCTION("""COMPUTED_VALUE"""),"03250314")</f>
        <v>03250314</v>
      </c>
      <c r="C781" s="213">
        <f>IFERROR(__xludf.DUMMYFUNCTION("""COMPUTED_VALUE"""),45727.33541666667)</f>
        <v>45727.33542</v>
      </c>
      <c r="D781" s="211" t="str">
        <f>IFERROR(__xludf.DUMMYFUNCTION("""COMPUTED_VALUE"""),"ac52e1fa")</f>
        <v>ac52e1fa</v>
      </c>
      <c r="E781" s="211" t="str">
        <f>IFERROR(__xludf.DUMMYFUNCTION("""COMPUTED_VALUE"""),"Abah Mad")</f>
        <v>Abah Mad</v>
      </c>
      <c r="F781" s="211" t="str">
        <f>IFERROR(__xludf.DUMMYFUNCTION("""COMPUTED_VALUE"""),"f6aab7a9")</f>
        <v>f6aab7a9</v>
      </c>
      <c r="G781" s="211" t="str">
        <f>IFERROR(__xludf.DUMMYFUNCTION("""COMPUTED_VALUE"""),"Oksigen 6m3 MR")</f>
        <v>Oksigen 6m3 MR</v>
      </c>
      <c r="H781" s="214" t="str">
        <f>IFERROR(__xludf.DUMMYFUNCTION("""COMPUTED_VALUE"""),"OUT")</f>
        <v>OUT</v>
      </c>
      <c r="I781" s="214" t="str">
        <f>IFERROR(__xludf.DUMMYFUNCTION("""COMPUTED_VALUE"""),"NORMAL")</f>
        <v>NORMAL</v>
      </c>
      <c r="J781" s="211">
        <f>IFERROR(__xludf.DUMMYFUNCTION("""COMPUTED_VALUE"""),2.0)</f>
        <v>2</v>
      </c>
      <c r="K781" s="210" t="str">
        <f>IFERROR(__xludf.DUMMYFUNCTION("""COMPUTED_VALUE"""),"07 04")</f>
        <v>07 04</v>
      </c>
      <c r="L781" s="211">
        <f>IFERROR(__xludf.DUMMYFUNCTION("""COMPUTED_VALUE"""),45000.0)</f>
        <v>45000</v>
      </c>
      <c r="M781" s="211"/>
      <c r="N781" s="211"/>
      <c r="O781" s="211"/>
      <c r="Q781" s="210" t="str">
        <f>IFERROR(__xludf.DUMMYFUNCTION("""COMPUTED_VALUE"""),"e811a1c3")</f>
        <v>e811a1c3</v>
      </c>
      <c r="R781" s="210" t="str">
        <f>IFERROR(__xludf.DUMMYFUNCTION("""COMPUTED_VALUE"""),"e811a1c3")</f>
        <v>e811a1c3</v>
      </c>
      <c r="S781" s="211" t="str">
        <f>IFERROR(__xludf.DUMMYFUNCTION("""COMPUTED_VALUE"""),"b2b5f2c5")</f>
        <v>b2b5f2c5</v>
      </c>
      <c r="T781" s="211" t="str">
        <f>IFERROR(__xludf.DUMMYFUNCTION("""COMPUTED_VALUE"""),"Bengkel Las Bpk. Ari")</f>
        <v>Bengkel Las Bpk. Ari</v>
      </c>
      <c r="U781" s="215">
        <f>IFERROR(__xludf.DUMMYFUNCTION("""COMPUTED_VALUE"""),45793.49166666667)</f>
        <v>45793.49167</v>
      </c>
      <c r="V781" s="211" t="str">
        <f>IFERROR(__xludf.DUMMYFUNCTION("""COMPUTED_VALUE"""),"Sumber Kembar, Wonodadi, Kec. Kutorejo, Kabupaten Mojokerto, Jawa Timur")</f>
        <v>Sumber Kembar, Wonodadi, Kec. Kutorejo, Kabupaten Mojokerto, Jawa Timur</v>
      </c>
      <c r="W781" s="211" t="str">
        <f>IFERROR(__xludf.DUMMYFUNCTION("""COMPUTED_VALUE"""),"IN")</f>
        <v>IN</v>
      </c>
      <c r="X781" s="211"/>
      <c r="Z781" s="211" t="str">
        <f>IFERROR(__xludf.DUMMYFUNCTION("""COMPUTED_VALUE"""),"102531397")</f>
        <v>102531397</v>
      </c>
      <c r="AC781" s="211"/>
      <c r="AD781" s="211"/>
      <c r="AE781" s="211"/>
      <c r="AF781" s="211"/>
      <c r="AG781" s="211"/>
      <c r="AH781" s="211"/>
      <c r="AI781" s="211"/>
      <c r="AJ781" s="211"/>
      <c r="AL781" s="211"/>
      <c r="AM781" s="211"/>
      <c r="AN781" s="211"/>
      <c r="AO781" s="211"/>
      <c r="AP781" s="215"/>
      <c r="AQ781" s="218"/>
      <c r="AR781" s="211"/>
      <c r="AS781" s="211"/>
      <c r="AT781" s="211"/>
      <c r="AU781" s="211"/>
      <c r="AV781" s="211"/>
      <c r="AW781" s="211"/>
      <c r="AX781" s="211"/>
      <c r="AY781" s="211"/>
      <c r="AZ781" s="211"/>
      <c r="BB781" s="211"/>
      <c r="BC781" s="211"/>
      <c r="BD781" s="211"/>
      <c r="BE781" s="211"/>
      <c r="BF781" s="211"/>
      <c r="BG781" s="211"/>
      <c r="BH781" s="211"/>
      <c r="BI781" s="211"/>
    </row>
    <row r="782">
      <c r="A782" s="210" t="str">
        <f>IFERROR(__xludf.DUMMYFUNCTION("""COMPUTED_VALUE"""),"03250315")</f>
        <v>03250315</v>
      </c>
      <c r="B782" s="210" t="str">
        <f>IFERROR(__xludf.DUMMYFUNCTION("""COMPUTED_VALUE"""),"03250315")</f>
        <v>03250315</v>
      </c>
      <c r="C782" s="213">
        <f>IFERROR(__xludf.DUMMYFUNCTION("""COMPUTED_VALUE"""),45727.342361111114)</f>
        <v>45727.34236</v>
      </c>
      <c r="D782" s="211" t="str">
        <f>IFERROR(__xludf.DUMMYFUNCTION("""COMPUTED_VALUE"""),"ed2cc96a")</f>
        <v>ed2cc96a</v>
      </c>
      <c r="E782" s="211" t="str">
        <f>IFERROR(__xludf.DUMMYFUNCTION("""COMPUTED_VALUE"""),"Bengkel Dian Jaya")</f>
        <v>Bengkel Dian Jaya</v>
      </c>
      <c r="F782" s="211" t="str">
        <f>IFERROR(__xludf.DUMMYFUNCTION("""COMPUTED_VALUE"""),"8bdbe149")</f>
        <v>8bdbe149</v>
      </c>
      <c r="G782" s="211" t="str">
        <f>IFERROR(__xludf.DUMMYFUNCTION("""COMPUTED_VALUE"""),"Oksigen 6m3")</f>
        <v>Oksigen 6m3</v>
      </c>
      <c r="H782" s="214" t="str">
        <f>IFERROR(__xludf.DUMMYFUNCTION("""COMPUTED_VALUE"""),"OUT")</f>
        <v>OUT</v>
      </c>
      <c r="I782" s="214" t="str">
        <f>IFERROR(__xludf.DUMMYFUNCTION("""COMPUTED_VALUE"""),"NORMAL")</f>
        <v>NORMAL</v>
      </c>
      <c r="J782" s="211">
        <f>IFERROR(__xludf.DUMMYFUNCTION("""COMPUTED_VALUE"""),10.0)</f>
        <v>10</v>
      </c>
      <c r="K782" s="210" t="str">
        <f>IFERROR(__xludf.DUMMYFUNCTION("""COMPUTED_VALUE"""),"1101 1148 1150 11114 11130 11189 11134 1157 11128 1173")</f>
        <v>1101 1148 1150 11114 11130 11189 11134 1157 11128 1173</v>
      </c>
      <c r="L782" s="211">
        <f>IFERROR(__xludf.DUMMYFUNCTION("""COMPUTED_VALUE"""),50000.0)</f>
        <v>50000</v>
      </c>
      <c r="M782" s="211"/>
      <c r="N782" s="211"/>
      <c r="O782" s="211"/>
      <c r="Q782" s="210" t="str">
        <f>IFERROR(__xludf.DUMMYFUNCTION("""COMPUTED_VALUE"""),"b5c22543")</f>
        <v>b5c22543</v>
      </c>
      <c r="R782" s="210" t="str">
        <f>IFERROR(__xludf.DUMMYFUNCTION("""COMPUTED_VALUE"""),"b5c22543")</f>
        <v>b5c22543</v>
      </c>
      <c r="S782" s="211" t="str">
        <f>IFERROR(__xludf.DUMMYFUNCTION("""COMPUTED_VALUE"""),"3fec37df")</f>
        <v>3fec37df</v>
      </c>
      <c r="T782" s="211" t="str">
        <f>IFERROR(__xludf.DUMMYFUNCTION("""COMPUTED_VALUE"""),"PT Jatim Abadi Perkasa Steel")</f>
        <v>PT Jatim Abadi Perkasa Steel</v>
      </c>
      <c r="U782" s="215">
        <f>IFERROR(__xludf.DUMMYFUNCTION("""COMPUTED_VALUE"""),45793.49166666667)</f>
        <v>45793.49167</v>
      </c>
      <c r="V782" s="211" t="str">
        <f>IFERROR(__xludf.DUMMYFUNCTION("""COMPUTED_VALUE"""),"Dsn. Bulak Sempuh, Jatirejo, Kab. Mojokerto, Jawa Timur")</f>
        <v>Dsn. Bulak Sempuh, Jatirejo, Kab. Mojokerto, Jawa Timur</v>
      </c>
      <c r="W782" s="211" t="str">
        <f>IFERROR(__xludf.DUMMYFUNCTION("""COMPUTED_VALUE"""),"IN")</f>
        <v>IN</v>
      </c>
      <c r="X782" s="211"/>
      <c r="Z782" s="211" t="str">
        <f>IFERROR(__xludf.DUMMYFUNCTION("""COMPUTED_VALUE"""),"1025151395")</f>
        <v>1025151395</v>
      </c>
      <c r="AC782" s="211"/>
      <c r="AD782" s="211"/>
      <c r="AE782" s="211"/>
      <c r="AF782" s="211"/>
      <c r="AG782" s="211"/>
      <c r="AH782" s="211"/>
      <c r="AI782" s="211"/>
      <c r="AJ782" s="211"/>
      <c r="AL782" s="211"/>
      <c r="AM782" s="211"/>
      <c r="AN782" s="211"/>
      <c r="AO782" s="211"/>
      <c r="AP782" s="215"/>
      <c r="AQ782" s="218"/>
      <c r="AR782" s="211"/>
      <c r="AS782" s="211"/>
      <c r="AT782" s="211"/>
      <c r="AU782" s="211"/>
      <c r="AV782" s="211"/>
      <c r="AW782" s="211"/>
      <c r="AX782" s="211"/>
      <c r="AY782" s="211"/>
      <c r="AZ782" s="211"/>
      <c r="BB782" s="211"/>
      <c r="BC782" s="211"/>
      <c r="BD782" s="211"/>
      <c r="BE782" s="211"/>
      <c r="BF782" s="211"/>
      <c r="BG782" s="211"/>
      <c r="BH782" s="211"/>
      <c r="BI782" s="211"/>
    </row>
    <row r="783">
      <c r="A783" s="210" t="str">
        <f>IFERROR(__xludf.DUMMYFUNCTION("""COMPUTED_VALUE"""),"03250315")</f>
        <v>03250315</v>
      </c>
      <c r="B783" s="210" t="str">
        <f>IFERROR(__xludf.DUMMYFUNCTION("""COMPUTED_VALUE"""),"03250315")</f>
        <v>03250315</v>
      </c>
      <c r="C783" s="213">
        <f>IFERROR(__xludf.DUMMYFUNCTION("""COMPUTED_VALUE"""),45727.342361111114)</f>
        <v>45727.34236</v>
      </c>
      <c r="D783" s="211" t="str">
        <f>IFERROR(__xludf.DUMMYFUNCTION("""COMPUTED_VALUE"""),"ed2cc96a")</f>
        <v>ed2cc96a</v>
      </c>
      <c r="E783" s="211" t="str">
        <f>IFERROR(__xludf.DUMMYFUNCTION("""COMPUTED_VALUE"""),"Bengkel Dian Jaya")</f>
        <v>Bengkel Dian Jaya</v>
      </c>
      <c r="F783" s="211" t="str">
        <f>IFERROR(__xludf.DUMMYFUNCTION("""COMPUTED_VALUE"""),"be525f3b")</f>
        <v>be525f3b</v>
      </c>
      <c r="G783" s="211" t="str">
        <f>IFERROR(__xludf.DUMMYFUNCTION("""COMPUTED_VALUE"""),"LPG 12kg")</f>
        <v>LPG 12kg</v>
      </c>
      <c r="H783" s="214" t="str">
        <f>IFERROR(__xludf.DUMMYFUNCTION("""COMPUTED_VALUE"""),"OUT")</f>
        <v>OUT</v>
      </c>
      <c r="I783" s="214" t="str">
        <f>IFERROR(__xludf.DUMMYFUNCTION("""COMPUTED_VALUE"""),"NORMAL")</f>
        <v>NORMAL</v>
      </c>
      <c r="J783" s="211">
        <f>IFERROR(__xludf.DUMMYFUNCTION("""COMPUTED_VALUE"""),1.0)</f>
        <v>1</v>
      </c>
      <c r="K783" s="211"/>
      <c r="L783" s="211">
        <f>IFERROR(__xludf.DUMMYFUNCTION("""COMPUTED_VALUE"""),215000.0)</f>
        <v>215000</v>
      </c>
      <c r="M783" s="211"/>
      <c r="N783" s="211"/>
      <c r="O783" s="211"/>
      <c r="Q783" s="210" t="str">
        <f>IFERROR(__xludf.DUMMYFUNCTION("""COMPUTED_VALUE"""),"05250432")</f>
        <v>05250432</v>
      </c>
      <c r="R783" s="210" t="str">
        <f>IFERROR(__xludf.DUMMYFUNCTION("""COMPUTED_VALUE"""),"05250432")</f>
        <v>05250432</v>
      </c>
      <c r="S783" s="211" t="str">
        <f>IFERROR(__xludf.DUMMYFUNCTION("""COMPUTED_VALUE"""),"ce83e171")</f>
        <v>ce83e171</v>
      </c>
      <c r="T783" s="211" t="str">
        <f>IFERROR(__xludf.DUMMYFUNCTION("""COMPUTED_VALUE"""),"Bpk. Sulaiman")</f>
        <v>Bpk. Sulaiman</v>
      </c>
      <c r="U783" s="215">
        <f>IFERROR(__xludf.DUMMYFUNCTION("""COMPUTED_VALUE"""),45793.54305555555)</f>
        <v>45793.54306</v>
      </c>
      <c r="V783" s="211" t="str">
        <f>IFERROR(__xludf.DUMMYFUNCTION("""COMPUTED_VALUE"""),"Jl. Raya Kramat Temenggung No.43, Kramat, Kramat Temenggung, Kec. Tarik, Kabupaten Sidoarjo, Jawa Timur 61265")</f>
        <v>Jl. Raya Kramat Temenggung No.43, Kramat, Kramat Temenggung, Kec. Tarik, Kabupaten Sidoarjo, Jawa Timur 61265</v>
      </c>
      <c r="W783" s="211" t="str">
        <f>IFERROR(__xludf.DUMMYFUNCTION("""COMPUTED_VALUE"""),"OUT")</f>
        <v>OUT</v>
      </c>
      <c r="X783" s="211"/>
      <c r="Z783" s="211" t="str">
        <f>IFERROR(__xludf.DUMMYFUNCTION("""COMPUTED_VALUE"""),"1025551394")</f>
        <v>1025551394</v>
      </c>
      <c r="AC783" s="211"/>
      <c r="AD783" s="211"/>
      <c r="AE783" s="211"/>
      <c r="AF783" s="211"/>
      <c r="AG783" s="211"/>
      <c r="AH783" s="211"/>
      <c r="AI783" s="211"/>
      <c r="AJ783" s="211"/>
      <c r="AL783" s="211"/>
      <c r="AM783" s="211"/>
      <c r="AN783" s="211"/>
      <c r="AO783" s="211"/>
      <c r="AP783" s="215"/>
      <c r="AQ783" s="218"/>
      <c r="AR783" s="211"/>
      <c r="AS783" s="211"/>
      <c r="AT783" s="211"/>
      <c r="AU783" s="211"/>
      <c r="AV783" s="211"/>
      <c r="AW783" s="211"/>
      <c r="AX783" s="211"/>
      <c r="AY783" s="211"/>
      <c r="AZ783" s="211"/>
      <c r="BB783" s="211"/>
      <c r="BC783" s="211"/>
      <c r="BD783" s="211"/>
      <c r="BE783" s="211"/>
      <c r="BF783" s="211"/>
      <c r="BG783" s="211"/>
      <c r="BH783" s="211"/>
      <c r="BI783" s="211"/>
    </row>
    <row r="784">
      <c r="A784" s="210" t="str">
        <f>IFERROR(__xludf.DUMMYFUNCTION("""COMPUTED_VALUE"""),"03250317")</f>
        <v>03250317</v>
      </c>
      <c r="B784" s="210" t="str">
        <f>IFERROR(__xludf.DUMMYFUNCTION("""COMPUTED_VALUE"""),"03250317")</f>
        <v>03250317</v>
      </c>
      <c r="C784" s="213">
        <f>IFERROR(__xludf.DUMMYFUNCTION("""COMPUTED_VALUE"""),45727.56736111111)</f>
        <v>45727.56736</v>
      </c>
      <c r="D784" s="211" t="str">
        <f>IFERROR(__xludf.DUMMYFUNCTION("""COMPUTED_VALUE"""),"df6bdc5d")</f>
        <v>df6bdc5d</v>
      </c>
      <c r="E784" s="211" t="str">
        <f>IFERROR(__xludf.DUMMYFUNCTION("""COMPUTED_VALUE"""),"Bpk. Maruf")</f>
        <v>Bpk. Maruf</v>
      </c>
      <c r="F784" s="211" t="str">
        <f>IFERROR(__xludf.DUMMYFUNCTION("""COMPUTED_VALUE"""),"8bdbe149")</f>
        <v>8bdbe149</v>
      </c>
      <c r="G784" s="211" t="str">
        <f>IFERROR(__xludf.DUMMYFUNCTION("""COMPUTED_VALUE"""),"Oksigen 6m3")</f>
        <v>Oksigen 6m3</v>
      </c>
      <c r="H784" s="214" t="str">
        <f>IFERROR(__xludf.DUMMYFUNCTION("""COMPUTED_VALUE"""),"OUT")</f>
        <v>OUT</v>
      </c>
      <c r="I784" s="214" t="str">
        <f>IFERROR(__xludf.DUMMYFUNCTION("""COMPUTED_VALUE"""),"NORMAL")</f>
        <v>NORMAL</v>
      </c>
      <c r="J784" s="211">
        <f>IFERROR(__xludf.DUMMYFUNCTION("""COMPUTED_VALUE"""),30.0)</f>
        <v>30</v>
      </c>
      <c r="K784" s="211"/>
      <c r="L784" s="211">
        <f>IFERROR(__xludf.DUMMYFUNCTION("""COMPUTED_VALUE"""),60000.0)</f>
        <v>60000</v>
      </c>
      <c r="M784" s="211"/>
      <c r="N784" s="211"/>
      <c r="O784" s="211"/>
      <c r="Q784" s="210" t="str">
        <f>IFERROR(__xludf.DUMMYFUNCTION("""COMPUTED_VALUE"""),"05250433")</f>
        <v>05250433</v>
      </c>
      <c r="R784" s="210" t="str">
        <f>IFERROR(__xludf.DUMMYFUNCTION("""COMPUTED_VALUE"""),"05250433")</f>
        <v>05250433</v>
      </c>
      <c r="S784" s="211" t="str">
        <f>IFERROR(__xludf.DUMMYFUNCTION("""COMPUTED_VALUE"""),"3bcd7fe6")</f>
        <v>3bcd7fe6</v>
      </c>
      <c r="T784" s="211" t="str">
        <f>IFERROR(__xludf.DUMMYFUNCTION("""COMPUTED_VALUE"""),"Bpk. Alvin (LB Group)")</f>
        <v>Bpk. Alvin (LB Group)</v>
      </c>
      <c r="U784" s="215">
        <f>IFERROR(__xludf.DUMMYFUNCTION("""COMPUTED_VALUE"""),45793.544444444444)</f>
        <v>45793.54444</v>
      </c>
      <c r="V784" s="211" t="str">
        <f>IFERROR(__xludf.DUMMYFUNCTION("""COMPUTED_VALUE"""),"MFF9+XHC, Jalan, Tambakrejo, Temuireng, Kec. Dawar Blandong, Kabupaten Mojokerto, Jawa Timur 61354")</f>
        <v>MFF9+XHC, Jalan, Tambakrejo, Temuireng, Kec. Dawar Blandong, Kabupaten Mojokerto, Jawa Timur 61354</v>
      </c>
      <c r="W784" s="211" t="str">
        <f>IFERROR(__xludf.DUMMYFUNCTION("""COMPUTED_VALUE"""),"OUT")</f>
        <v>OUT</v>
      </c>
      <c r="X784" s="211"/>
      <c r="Z784" s="211" t="str">
        <f>IFERROR(__xludf.DUMMYFUNCTION("""COMPUTED_VALUE"""),"102521391")</f>
        <v>102521391</v>
      </c>
      <c r="AC784" s="211"/>
      <c r="AD784" s="211"/>
      <c r="AE784" s="211"/>
      <c r="AF784" s="211"/>
      <c r="AG784" s="211"/>
      <c r="AH784" s="211"/>
      <c r="AI784" s="211"/>
      <c r="AJ784" s="211"/>
      <c r="AL784" s="211"/>
      <c r="AM784" s="211"/>
      <c r="AN784" s="211"/>
      <c r="AO784" s="211"/>
      <c r="AP784" s="215"/>
      <c r="AQ784" s="218"/>
      <c r="AR784" s="211"/>
      <c r="AS784" s="211"/>
      <c r="AT784" s="211"/>
      <c r="AU784" s="211"/>
      <c r="AV784" s="211"/>
      <c r="AW784" s="211"/>
      <c r="AX784" s="211"/>
      <c r="AY784" s="211"/>
      <c r="AZ784" s="211"/>
      <c r="BB784" s="211"/>
      <c r="BC784" s="211"/>
      <c r="BD784" s="211"/>
      <c r="BE784" s="211"/>
      <c r="BF784" s="211"/>
      <c r="BG784" s="211"/>
      <c r="BH784" s="211"/>
      <c r="BI784" s="211"/>
    </row>
    <row r="785">
      <c r="A785" s="210" t="str">
        <f>IFERROR(__xludf.DUMMYFUNCTION("""COMPUTED_VALUE"""),"03250317")</f>
        <v>03250317</v>
      </c>
      <c r="B785" s="210" t="str">
        <f>IFERROR(__xludf.DUMMYFUNCTION("""COMPUTED_VALUE"""),"03250317")</f>
        <v>03250317</v>
      </c>
      <c r="C785" s="213">
        <f>IFERROR(__xludf.DUMMYFUNCTION("""COMPUTED_VALUE"""),45727.57083333333)</f>
        <v>45727.57083</v>
      </c>
      <c r="D785" s="211" t="str">
        <f>IFERROR(__xludf.DUMMYFUNCTION("""COMPUTED_VALUE"""),"df6bdc5d")</f>
        <v>df6bdc5d</v>
      </c>
      <c r="E785" s="211" t="str">
        <f>IFERROR(__xludf.DUMMYFUNCTION("""COMPUTED_VALUE"""),"Bpk. Maruf")</f>
        <v>Bpk. Maruf</v>
      </c>
      <c r="F785" s="211" t="str">
        <f>IFERROR(__xludf.DUMMYFUNCTION("""COMPUTED_VALUE"""),"be525f3b")</f>
        <v>be525f3b</v>
      </c>
      <c r="G785" s="211" t="str">
        <f>IFERROR(__xludf.DUMMYFUNCTION("""COMPUTED_VALUE"""),"LPG 12kg")</f>
        <v>LPG 12kg</v>
      </c>
      <c r="H785" s="214" t="str">
        <f>IFERROR(__xludf.DUMMYFUNCTION("""COMPUTED_VALUE"""),"OUT")</f>
        <v>OUT</v>
      </c>
      <c r="I785" s="214" t="str">
        <f>IFERROR(__xludf.DUMMYFUNCTION("""COMPUTED_VALUE"""),"NORMAL")</f>
        <v>NORMAL</v>
      </c>
      <c r="J785" s="211">
        <f>IFERROR(__xludf.DUMMYFUNCTION("""COMPUTED_VALUE"""),2.0)</f>
        <v>2</v>
      </c>
      <c r="K785" s="211"/>
      <c r="L785" s="211">
        <f>IFERROR(__xludf.DUMMYFUNCTION("""COMPUTED_VALUE"""),215000.0)</f>
        <v>215000</v>
      </c>
      <c r="M785" s="211"/>
      <c r="N785" s="211"/>
      <c r="O785" s="211"/>
      <c r="Q785" s="210" t="str">
        <f>IFERROR(__xludf.DUMMYFUNCTION("""COMPUTED_VALUE"""),"05250434")</f>
        <v>05250434</v>
      </c>
      <c r="R785" s="210" t="str">
        <f>IFERROR(__xludf.DUMMYFUNCTION("""COMPUTED_VALUE"""),"05250434")</f>
        <v>05250434</v>
      </c>
      <c r="S785" s="211" t="str">
        <f>IFERROR(__xludf.DUMMYFUNCTION("""COMPUTED_VALUE"""),"7b9d8eba")</f>
        <v>7b9d8eba</v>
      </c>
      <c r="T785" s="211" t="str">
        <f>IFERROR(__xludf.DUMMYFUNCTION("""COMPUTED_VALUE"""),"PT PELANGI INDOKARYA")</f>
        <v>PT PELANGI INDOKARYA</v>
      </c>
      <c r="U785" s="215">
        <f>IFERROR(__xludf.DUMMYFUNCTION("""COMPUTED_VALUE"""),45793.61319444445)</f>
        <v>45793.61319</v>
      </c>
      <c r="V785"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785" s="211" t="str">
        <f>IFERROR(__xludf.DUMMYFUNCTION("""COMPUTED_VALUE"""),"OUT")</f>
        <v>OUT</v>
      </c>
      <c r="X785" s="211"/>
      <c r="Z785" s="211" t="str">
        <f>IFERROR(__xludf.DUMMYFUNCTION("""COMPUTED_VALUE"""),"102511389")</f>
        <v>102511389</v>
      </c>
      <c r="AC785" s="211"/>
      <c r="AD785" s="211"/>
      <c r="AE785" s="211"/>
      <c r="AF785" s="211"/>
      <c r="AG785" s="211"/>
      <c r="AH785" s="211"/>
      <c r="AI785" s="211"/>
      <c r="AJ785" s="211"/>
      <c r="AL785" s="211"/>
      <c r="AM785" s="211"/>
      <c r="AN785" s="211"/>
      <c r="AO785" s="211"/>
      <c r="AP785" s="215"/>
      <c r="AQ785" s="218"/>
      <c r="AR785" s="211"/>
      <c r="AS785" s="211"/>
      <c r="AT785" s="211"/>
      <c r="AU785" s="211"/>
      <c r="AV785" s="211"/>
      <c r="AW785" s="211"/>
      <c r="AX785" s="211"/>
      <c r="AY785" s="211"/>
      <c r="AZ785" s="211"/>
      <c r="BB785" s="211"/>
      <c r="BC785" s="211"/>
      <c r="BD785" s="211"/>
      <c r="BE785" s="211"/>
      <c r="BF785" s="211"/>
      <c r="BG785" s="211"/>
      <c r="BH785" s="211"/>
      <c r="BI785" s="211"/>
    </row>
    <row r="786">
      <c r="A786" s="210" t="str">
        <f>IFERROR(__xludf.DUMMYFUNCTION("""COMPUTED_VALUE"""),"0257f267")</f>
        <v>0257f267</v>
      </c>
      <c r="B786" s="210" t="str">
        <f>IFERROR(__xludf.DUMMYFUNCTION("""COMPUTED_VALUE"""),"0257f267")</f>
        <v>0257f267</v>
      </c>
      <c r="C786" s="213">
        <f>IFERROR(__xludf.DUMMYFUNCTION("""COMPUTED_VALUE"""),45727.57708333333)</f>
        <v>45727.57708</v>
      </c>
      <c r="D786" s="211" t="str">
        <f>IFERROR(__xludf.DUMMYFUNCTION("""COMPUTED_VALUE"""),"5f23ba17")</f>
        <v>5f23ba17</v>
      </c>
      <c r="E786" s="211" t="str">
        <f>IFERROR(__xludf.DUMMYFUNCTION("""COMPUTED_VALUE"""),"Bpk. Joko (Gresik)")</f>
        <v>Bpk. Joko (Gresik)</v>
      </c>
      <c r="F786" s="211" t="str">
        <f>IFERROR(__xludf.DUMMYFUNCTION("""COMPUTED_VALUE"""),"f6aab7a9")</f>
        <v>f6aab7a9</v>
      </c>
      <c r="G786" s="211" t="str">
        <f>IFERROR(__xludf.DUMMYFUNCTION("""COMPUTED_VALUE"""),"Oksigen 6m3 MR")</f>
        <v>Oksigen 6m3 MR</v>
      </c>
      <c r="H786" s="214" t="str">
        <f>IFERROR(__xludf.DUMMYFUNCTION("""COMPUTED_VALUE"""),"IN")</f>
        <v>IN</v>
      </c>
      <c r="I786" s="214" t="str">
        <f>IFERROR(__xludf.DUMMYFUNCTION("""COMPUTED_VALUE"""),"EMPTY")</f>
        <v>EMPTY</v>
      </c>
      <c r="J786" s="211">
        <f>IFERROR(__xludf.DUMMYFUNCTION("""COMPUTED_VALUE"""),4.0)</f>
        <v>4</v>
      </c>
      <c r="K786" s="211"/>
      <c r="L786" s="211">
        <f>IFERROR(__xludf.DUMMYFUNCTION("""COMPUTED_VALUE"""),0.0)</f>
        <v>0</v>
      </c>
      <c r="M786" s="211"/>
      <c r="N786" s="211"/>
      <c r="O786" s="211"/>
      <c r="Q786" s="210" t="str">
        <f>IFERROR(__xludf.DUMMYFUNCTION("""COMPUTED_VALUE"""),"e4ae17cd")</f>
        <v>e4ae17cd</v>
      </c>
      <c r="R786" s="210" t="str">
        <f>IFERROR(__xludf.DUMMYFUNCTION("""COMPUTED_VALUE"""),"e4ae17cd")</f>
        <v>e4ae17cd</v>
      </c>
      <c r="S786" s="211" t="str">
        <f>IFERROR(__xludf.DUMMYFUNCTION("""COMPUTED_VALUE"""),"7b9d8eba")</f>
        <v>7b9d8eba</v>
      </c>
      <c r="T786" s="211" t="str">
        <f>IFERROR(__xludf.DUMMYFUNCTION("""COMPUTED_VALUE"""),"PT PELANGI INDOKARYA")</f>
        <v>PT PELANGI INDOKARYA</v>
      </c>
      <c r="U786" s="215">
        <f>IFERROR(__xludf.DUMMYFUNCTION("""COMPUTED_VALUE"""),45793.66805555555)</f>
        <v>45793.66806</v>
      </c>
      <c r="V78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786" s="211" t="str">
        <f>IFERROR(__xludf.DUMMYFUNCTION("""COMPUTED_VALUE"""),"IN")</f>
        <v>IN</v>
      </c>
      <c r="X786" s="211"/>
      <c r="Z786" s="211" t="str">
        <f>IFERROR(__xludf.DUMMYFUNCTION("""COMPUTED_VALUE"""),"102511387")</f>
        <v>102511387</v>
      </c>
      <c r="AC786" s="211"/>
      <c r="AD786" s="211"/>
      <c r="AE786" s="211"/>
      <c r="AF786" s="211"/>
      <c r="AG786" s="211"/>
      <c r="AH786" s="211"/>
      <c r="AI786" s="211"/>
      <c r="AJ786" s="211"/>
      <c r="AL786" s="211"/>
      <c r="AM786" s="211"/>
      <c r="AN786" s="211"/>
      <c r="AO786" s="211"/>
      <c r="AP786" s="215"/>
      <c r="AQ786" s="218"/>
      <c r="AR786" s="211"/>
      <c r="AS786" s="211"/>
      <c r="AT786" s="211"/>
      <c r="AU786" s="211"/>
      <c r="AV786" s="211"/>
      <c r="AW786" s="211"/>
      <c r="AX786" s="211"/>
      <c r="AY786" s="211"/>
      <c r="AZ786" s="211"/>
      <c r="BB786" s="211"/>
      <c r="BC786" s="211"/>
      <c r="BD786" s="211"/>
      <c r="BE786" s="211"/>
      <c r="BF786" s="211"/>
      <c r="BG786" s="211"/>
      <c r="BH786" s="211"/>
      <c r="BI786" s="211"/>
    </row>
    <row r="787">
      <c r="A787" s="210" t="str">
        <f>IFERROR(__xludf.DUMMYFUNCTION("""COMPUTED_VALUE"""),"0257f267")</f>
        <v>0257f267</v>
      </c>
      <c r="B787" s="210" t="str">
        <f>IFERROR(__xludf.DUMMYFUNCTION("""COMPUTED_VALUE"""),"0257f267")</f>
        <v>0257f267</v>
      </c>
      <c r="C787" s="213">
        <f>IFERROR(__xludf.DUMMYFUNCTION("""COMPUTED_VALUE"""),45727.57777777778)</f>
        <v>45727.57778</v>
      </c>
      <c r="D787" s="211" t="str">
        <f>IFERROR(__xludf.DUMMYFUNCTION("""COMPUTED_VALUE"""),"5f23ba17")</f>
        <v>5f23ba17</v>
      </c>
      <c r="E787" s="211" t="str">
        <f>IFERROR(__xludf.DUMMYFUNCTION("""COMPUTED_VALUE"""),"Bpk. Joko (Gresik)")</f>
        <v>Bpk. Joko (Gresik)</v>
      </c>
      <c r="F787" s="211" t="str">
        <f>IFERROR(__xludf.DUMMYFUNCTION("""COMPUTED_VALUE"""),"439cf836")</f>
        <v>439cf836</v>
      </c>
      <c r="G787" s="211" t="str">
        <f>IFERROR(__xludf.DUMMYFUNCTION("""COMPUTED_VALUE"""),"Karbondioksida MR")</f>
        <v>Karbondioksida MR</v>
      </c>
      <c r="H787" s="214" t="str">
        <f>IFERROR(__xludf.DUMMYFUNCTION("""COMPUTED_VALUE"""),"IN")</f>
        <v>IN</v>
      </c>
      <c r="I787" s="214" t="str">
        <f>IFERROR(__xludf.DUMMYFUNCTION("""COMPUTED_VALUE"""),"EMPTY")</f>
        <v>EMPTY</v>
      </c>
      <c r="J787" s="211">
        <f>IFERROR(__xludf.DUMMYFUNCTION("""COMPUTED_VALUE"""),1.0)</f>
        <v>1</v>
      </c>
      <c r="K787" s="211"/>
      <c r="L787" s="211">
        <f>IFERROR(__xludf.DUMMYFUNCTION("""COMPUTED_VALUE"""),0.0)</f>
        <v>0</v>
      </c>
      <c r="M787" s="211"/>
      <c r="N787" s="211"/>
      <c r="O787" s="211"/>
      <c r="Q787" s="210" t="str">
        <f>IFERROR(__xludf.DUMMYFUNCTION("""COMPUTED_VALUE"""),"6f2cab8e")</f>
        <v>6f2cab8e</v>
      </c>
      <c r="R787" s="210" t="str">
        <f>IFERROR(__xludf.DUMMYFUNCTION("""COMPUTED_VALUE"""),"6f2cab8e")</f>
        <v>6f2cab8e</v>
      </c>
      <c r="S787" s="211" t="str">
        <f>IFERROR(__xludf.DUMMYFUNCTION("""COMPUTED_VALUE"""),"ac52e1fa")</f>
        <v>ac52e1fa</v>
      </c>
      <c r="T787" s="211" t="str">
        <f>IFERROR(__xludf.DUMMYFUNCTION("""COMPUTED_VALUE"""),"Abah Mad")</f>
        <v>Abah Mad</v>
      </c>
      <c r="U787" s="215">
        <f>IFERROR(__xludf.DUMMYFUNCTION("""COMPUTED_VALUE"""),45794.45)</f>
        <v>45794.45</v>
      </c>
      <c r="V787" s="211" t="str">
        <f>IFERROR(__xludf.DUMMYFUNCTION("""COMPUTED_VALUE"""),"Jl. Raya Surabaya  Madiun, Sidotemo, Sidomulyo, Kec. Krian, Kabupaten Sidoarjo, Jawa Timur 61262")</f>
        <v>Jl. Raya Surabaya  Madiun, Sidotemo, Sidomulyo, Kec. Krian, Kabupaten Sidoarjo, Jawa Timur 61262</v>
      </c>
      <c r="W787" s="211" t="str">
        <f>IFERROR(__xludf.DUMMYFUNCTION("""COMPUTED_VALUE"""),"IN")</f>
        <v>IN</v>
      </c>
      <c r="X787" s="211"/>
      <c r="Z787" s="211" t="str">
        <f>IFERROR(__xludf.DUMMYFUNCTION("""COMPUTED_VALUE"""),"1025141386")</f>
        <v>1025141386</v>
      </c>
      <c r="AC787" s="211"/>
      <c r="AD787" s="211"/>
      <c r="AE787" s="211"/>
      <c r="AF787" s="211"/>
      <c r="AG787" s="211"/>
      <c r="AH787" s="211"/>
      <c r="AI787" s="211"/>
      <c r="AJ787" s="211"/>
      <c r="AL787" s="211"/>
      <c r="AM787" s="211"/>
      <c r="AN787" s="211"/>
      <c r="AO787" s="211"/>
      <c r="AP787" s="215"/>
      <c r="AQ787" s="218"/>
      <c r="AR787" s="211"/>
      <c r="AS787" s="211"/>
      <c r="AT787" s="211"/>
      <c r="AU787" s="211"/>
      <c r="AV787" s="211"/>
      <c r="AW787" s="211"/>
      <c r="AX787" s="211"/>
      <c r="AY787" s="211"/>
      <c r="AZ787" s="211"/>
      <c r="BB787" s="211"/>
      <c r="BC787" s="211"/>
      <c r="BD787" s="211"/>
      <c r="BE787" s="211"/>
      <c r="BF787" s="211"/>
      <c r="BG787" s="211"/>
      <c r="BH787" s="211"/>
      <c r="BI787" s="211"/>
    </row>
    <row r="788">
      <c r="A788" s="210" t="str">
        <f>IFERROR(__xludf.DUMMYFUNCTION("""COMPUTED_VALUE"""),"2e0d2246")</f>
        <v>2e0d2246</v>
      </c>
      <c r="B788" s="210" t="str">
        <f>IFERROR(__xludf.DUMMYFUNCTION("""COMPUTED_VALUE"""),"2e0d2246")</f>
        <v>2e0d2246</v>
      </c>
      <c r="C788" s="213">
        <f>IFERROR(__xludf.DUMMYFUNCTION("""COMPUTED_VALUE"""),45727.57777777778)</f>
        <v>45727.57778</v>
      </c>
      <c r="D788" s="211" t="str">
        <f>IFERROR(__xludf.DUMMYFUNCTION("""COMPUTED_VALUE"""),"ac52e1fa")</f>
        <v>ac52e1fa</v>
      </c>
      <c r="E788" s="211" t="str">
        <f>IFERROR(__xludf.DUMMYFUNCTION("""COMPUTED_VALUE"""),"Abah Mad")</f>
        <v>Abah Mad</v>
      </c>
      <c r="F788" s="211" t="str">
        <f>IFERROR(__xludf.DUMMYFUNCTION("""COMPUTED_VALUE"""),"f6aab7a9")</f>
        <v>f6aab7a9</v>
      </c>
      <c r="G788" s="211" t="str">
        <f>IFERROR(__xludf.DUMMYFUNCTION("""COMPUTED_VALUE"""),"Oksigen 6m3 MR")</f>
        <v>Oksigen 6m3 MR</v>
      </c>
      <c r="H788" s="214" t="str">
        <f>IFERROR(__xludf.DUMMYFUNCTION("""COMPUTED_VALUE"""),"IN")</f>
        <v>IN</v>
      </c>
      <c r="I788" s="214" t="str">
        <f>IFERROR(__xludf.DUMMYFUNCTION("""COMPUTED_VALUE"""),"EMPTY")</f>
        <v>EMPTY</v>
      </c>
      <c r="J788" s="211">
        <f>IFERROR(__xludf.DUMMYFUNCTION("""COMPUTED_VALUE"""),4.0)</f>
        <v>4</v>
      </c>
      <c r="K788" s="211"/>
      <c r="L788" s="211">
        <f>IFERROR(__xludf.DUMMYFUNCTION("""COMPUTED_VALUE"""),0.0)</f>
        <v>0</v>
      </c>
      <c r="M788" s="211"/>
      <c r="N788" s="211"/>
      <c r="O788" s="211"/>
      <c r="Q788" s="210" t="str">
        <f>IFERROR(__xludf.DUMMYFUNCTION("""COMPUTED_VALUE"""),"d46a2f50")</f>
        <v>d46a2f50</v>
      </c>
      <c r="R788" s="210" t="str">
        <f>IFERROR(__xludf.DUMMYFUNCTION("""COMPUTED_VALUE"""),"d46a2f50")</f>
        <v>d46a2f50</v>
      </c>
      <c r="S788" s="211" t="str">
        <f>IFERROR(__xludf.DUMMYFUNCTION("""COMPUTED_VALUE"""),"06d600f6")</f>
        <v>06d600f6</v>
      </c>
      <c r="T788" s="211" t="str">
        <f>IFERROR(__xludf.DUMMYFUNCTION("""COMPUTED_VALUE"""),"Ibu Ida")</f>
        <v>Ibu Ida</v>
      </c>
      <c r="U788" s="215">
        <f>IFERROR(__xludf.DUMMYFUNCTION("""COMPUTED_VALUE"""),45796.57777777778)</f>
        <v>45796.57778</v>
      </c>
      <c r="V788" s="211" t="str">
        <f>IFERROR(__xludf.DUMMYFUNCTION("""COMPUTED_VALUE"""),"Wonoayu rt 1 rw 4, Kec wonoayu, Kab. Sidoarjo")</f>
        <v>Wonoayu rt 1 rw 4, Kec wonoayu, Kab. Sidoarjo</v>
      </c>
      <c r="W788" s="211" t="str">
        <f>IFERROR(__xludf.DUMMYFUNCTION("""COMPUTED_VALUE"""),"IN")</f>
        <v>IN</v>
      </c>
      <c r="X788" s="211"/>
      <c r="Z788" s="211" t="str">
        <f>IFERROR(__xludf.DUMMYFUNCTION("""COMPUTED_VALUE"""),"1025221385")</f>
        <v>1025221385</v>
      </c>
      <c r="AC788" s="211"/>
      <c r="AD788" s="211"/>
      <c r="AE788" s="211"/>
      <c r="AF788" s="211"/>
      <c r="AG788" s="211"/>
      <c r="AH788" s="211"/>
      <c r="AI788" s="211"/>
      <c r="AJ788" s="211"/>
      <c r="AL788" s="211"/>
      <c r="AM788" s="211"/>
      <c r="AN788" s="211"/>
      <c r="AO788" s="211"/>
      <c r="AP788" s="215"/>
      <c r="AQ788" s="218"/>
      <c r="AR788" s="211"/>
      <c r="AS788" s="211"/>
      <c r="AT788" s="211"/>
      <c r="AU788" s="211"/>
      <c r="AV788" s="211"/>
      <c r="AW788" s="211"/>
      <c r="AX788" s="211"/>
      <c r="AY788" s="211"/>
      <c r="AZ788" s="211"/>
      <c r="BB788" s="211"/>
      <c r="BC788" s="211"/>
      <c r="BD788" s="211"/>
      <c r="BE788" s="211"/>
      <c r="BF788" s="211"/>
      <c r="BG788" s="211"/>
      <c r="BH788" s="211"/>
      <c r="BI788" s="211"/>
    </row>
    <row r="789">
      <c r="A789" s="210" t="str">
        <f>IFERROR(__xludf.DUMMYFUNCTION("""COMPUTED_VALUE"""),"e772d2ec")</f>
        <v>e772d2ec</v>
      </c>
      <c r="B789" s="210" t="str">
        <f>IFERROR(__xludf.DUMMYFUNCTION("""COMPUTED_VALUE"""),"e772d2ec")</f>
        <v>e772d2ec</v>
      </c>
      <c r="C789" s="213">
        <f>IFERROR(__xludf.DUMMYFUNCTION("""COMPUTED_VALUE"""),45727.64722222222)</f>
        <v>45727.64722</v>
      </c>
      <c r="D789" s="211" t="str">
        <f>IFERROR(__xludf.DUMMYFUNCTION("""COMPUTED_VALUE"""),"d78b2eaf")</f>
        <v>d78b2eaf</v>
      </c>
      <c r="E789" s="211" t="str">
        <f>IFERROR(__xludf.DUMMYFUNCTION("""COMPUTED_VALUE"""),"PT Sinar Indogreen Kencana")</f>
        <v>PT Sinar Indogreen Kencana</v>
      </c>
      <c r="F789" s="211" t="str">
        <f>IFERROR(__xludf.DUMMYFUNCTION("""COMPUTED_VALUE"""),"be525f3b")</f>
        <v>be525f3b</v>
      </c>
      <c r="G789" s="211" t="str">
        <f>IFERROR(__xludf.DUMMYFUNCTION("""COMPUTED_VALUE"""),"LPG 12kg")</f>
        <v>LPG 12kg</v>
      </c>
      <c r="H789" s="214" t="str">
        <f>IFERROR(__xludf.DUMMYFUNCTION("""COMPUTED_VALUE"""),"IN")</f>
        <v>IN</v>
      </c>
      <c r="I789" s="214" t="str">
        <f>IFERROR(__xludf.DUMMYFUNCTION("""COMPUTED_VALUE"""),"CLAIM")</f>
        <v>CLAIM</v>
      </c>
      <c r="J789" s="211">
        <f>IFERROR(__xludf.DUMMYFUNCTION("""COMPUTED_VALUE"""),2.0)</f>
        <v>2</v>
      </c>
      <c r="K789" s="211"/>
      <c r="L789" s="211">
        <f>IFERROR(__xludf.DUMMYFUNCTION("""COMPUTED_VALUE"""),0.0)</f>
        <v>0</v>
      </c>
      <c r="M789" s="211"/>
      <c r="N789" s="211"/>
      <c r="O789" s="211"/>
      <c r="Q789" s="210" t="str">
        <f>IFERROR(__xludf.DUMMYFUNCTION("""COMPUTED_VALUE"""),"05250435")</f>
        <v>05250435</v>
      </c>
      <c r="R789" s="210" t="str">
        <f>IFERROR(__xludf.DUMMYFUNCTION("""COMPUTED_VALUE"""),"05250435")</f>
        <v>05250435</v>
      </c>
      <c r="S789" s="211" t="str">
        <f>IFERROR(__xludf.DUMMYFUNCTION("""COMPUTED_VALUE"""),"ec231cc9")</f>
        <v>ec231cc9</v>
      </c>
      <c r="T789" s="211" t="str">
        <f>IFERROR(__xludf.DUMMYFUNCTION("""COMPUTED_VALUE"""),"Bpk. Kohir (Maintenance Velg)")</f>
        <v>Bpk. Kohir (Maintenance Velg)</v>
      </c>
      <c r="U789" s="215">
        <f>IFERROR(__xludf.DUMMYFUNCTION("""COMPUTED_VALUE"""),45796.584027777775)</f>
        <v>45796.58403</v>
      </c>
      <c r="V789" s="211" t="str">
        <f>IFERROR(__xludf.DUMMYFUNCTION("""COMPUTED_VALUE"""),"Jl. Lkr. Bypass Krian Timur, Sidogolong, Watugolong, Kec. Krian, Kabupaten Sidoarjo, Jawa Timur 61262")</f>
        <v>Jl. Lkr. Bypass Krian Timur, Sidogolong, Watugolong, Kec. Krian, Kabupaten Sidoarjo, Jawa Timur 61262</v>
      </c>
      <c r="W789" s="211" t="str">
        <f>IFERROR(__xludf.DUMMYFUNCTION("""COMPUTED_VALUE"""),"OUT")</f>
        <v>OUT</v>
      </c>
      <c r="X789" s="211"/>
      <c r="Z789" s="211" t="str">
        <f>IFERROR(__xludf.DUMMYFUNCTION("""COMPUTED_VALUE"""),"102511384")</f>
        <v>102511384</v>
      </c>
      <c r="AC789" s="211"/>
      <c r="AD789" s="211"/>
      <c r="AE789" s="211"/>
      <c r="AF789" s="211"/>
      <c r="AG789" s="211"/>
      <c r="AH789" s="211"/>
      <c r="AI789" s="211"/>
      <c r="AJ789" s="211"/>
      <c r="AL789" s="211"/>
      <c r="AM789" s="211"/>
      <c r="AN789" s="211"/>
      <c r="AO789" s="211"/>
      <c r="AP789" s="215"/>
      <c r="AQ789" s="218"/>
      <c r="AR789" s="211"/>
      <c r="AS789" s="211"/>
      <c r="AT789" s="211"/>
      <c r="AU789" s="211"/>
      <c r="AV789" s="211"/>
      <c r="AW789" s="211"/>
      <c r="AX789" s="211"/>
      <c r="AY789" s="211"/>
      <c r="AZ789" s="211"/>
      <c r="BB789" s="211"/>
      <c r="BC789" s="211"/>
      <c r="BD789" s="211"/>
      <c r="BE789" s="211"/>
      <c r="BF789" s="211"/>
      <c r="BG789" s="211"/>
      <c r="BH789" s="211"/>
      <c r="BI789" s="211"/>
    </row>
    <row r="790">
      <c r="A790" s="210" t="str">
        <f>IFERROR(__xludf.DUMMYFUNCTION("""COMPUTED_VALUE"""),"b6e54624")</f>
        <v>b6e54624</v>
      </c>
      <c r="B790" s="210" t="str">
        <f>IFERROR(__xludf.DUMMYFUNCTION("""COMPUTED_VALUE"""),"b6e54624")</f>
        <v>b6e54624</v>
      </c>
      <c r="C790" s="213">
        <f>IFERROR(__xludf.DUMMYFUNCTION("""COMPUTED_VALUE"""),45727.67847222222)</f>
        <v>45727.67847</v>
      </c>
      <c r="D790" s="211" t="str">
        <f>IFERROR(__xludf.DUMMYFUNCTION("""COMPUTED_VALUE"""),"e86baf3b")</f>
        <v>e86baf3b</v>
      </c>
      <c r="E790" s="211" t="str">
        <f>IFERROR(__xludf.DUMMYFUNCTION("""COMPUTED_VALUE"""),"PT GEMILANG CIPTA WAWASAN")</f>
        <v>PT GEMILANG CIPTA WAWASAN</v>
      </c>
      <c r="F790" s="211" t="str">
        <f>IFERROR(__xludf.DUMMYFUNCTION("""COMPUTED_VALUE"""),"8bdbe149")</f>
        <v>8bdbe149</v>
      </c>
      <c r="G790" s="211" t="str">
        <f>IFERROR(__xludf.DUMMYFUNCTION("""COMPUTED_VALUE"""),"Oksigen 6m3")</f>
        <v>Oksigen 6m3</v>
      </c>
      <c r="H790" s="214" t="str">
        <f>IFERROR(__xludf.DUMMYFUNCTION("""COMPUTED_VALUE"""),"IN")</f>
        <v>IN</v>
      </c>
      <c r="I790" s="214" t="str">
        <f>IFERROR(__xludf.DUMMYFUNCTION("""COMPUTED_VALUE"""),"EMPTY")</f>
        <v>EMPTY</v>
      </c>
      <c r="J790" s="211">
        <f>IFERROR(__xludf.DUMMYFUNCTION("""COMPUTED_VALUE"""),20.0)</f>
        <v>20</v>
      </c>
      <c r="K790" s="210" t="str">
        <f>IFERROR(__xludf.DUMMYFUNCTION("""COMPUTED_VALUE"""),"11174 11157 11135 11172 1163 11192 1157 11195 11179 11182 1108 11203 1121 1189 1112 11125 1194 1192 1187 11196")</f>
        <v>11174 11157 11135 11172 1163 11192 1157 11195 11179 11182 1108 11203 1121 1189 1112 11125 1194 1192 1187 11196</v>
      </c>
      <c r="L790" s="211">
        <f>IFERROR(__xludf.DUMMYFUNCTION("""COMPUTED_VALUE"""),0.0)</f>
        <v>0</v>
      </c>
      <c r="M790" s="211"/>
      <c r="N790" s="211"/>
      <c r="O790" s="211"/>
      <c r="Q790" s="210" t="str">
        <f>IFERROR(__xludf.DUMMYFUNCTION("""COMPUTED_VALUE"""),"05250438")</f>
        <v>05250438</v>
      </c>
      <c r="R790" s="210" t="str">
        <f>IFERROR(__xludf.DUMMYFUNCTION("""COMPUTED_VALUE"""),"05250438")</f>
        <v>05250438</v>
      </c>
      <c r="S790" s="211" t="str">
        <f>IFERROR(__xludf.DUMMYFUNCTION("""COMPUTED_VALUE"""),"d78b2eaf")</f>
        <v>d78b2eaf</v>
      </c>
      <c r="T790" s="211" t="str">
        <f>IFERROR(__xludf.DUMMYFUNCTION("""COMPUTED_VALUE"""),"PT Sinar Indogreen Kencana")</f>
        <v>PT Sinar Indogreen Kencana</v>
      </c>
      <c r="U790" s="215">
        <f>IFERROR(__xludf.DUMMYFUNCTION("""COMPUTED_VALUE"""),45797.34930555556)</f>
        <v>45797.34931</v>
      </c>
      <c r="V790" s="211" t="str">
        <f>IFERROR(__xludf.DUMMYFUNCTION("""COMPUTED_VALUE"""),"Jl. Raya Ponokawan 8b RT/001 RW/002, Ponokawan, Krian, Sidoarjo")</f>
        <v>Jl. Raya Ponokawan 8b RT/001 RW/002, Ponokawan, Krian, Sidoarjo</v>
      </c>
      <c r="W790" s="211" t="str">
        <f>IFERROR(__xludf.DUMMYFUNCTION("""COMPUTED_VALUE"""),"OUT")</f>
        <v>OUT</v>
      </c>
      <c r="X790" s="211"/>
      <c r="Z790" s="211" t="str">
        <f>IFERROR(__xludf.DUMMYFUNCTION("""COMPUTED_VALUE"""),"1025131370")</f>
        <v>1025131370</v>
      </c>
      <c r="AC790" s="211"/>
      <c r="AD790" s="211"/>
      <c r="AE790" s="211"/>
      <c r="AF790" s="211"/>
      <c r="AG790" s="211"/>
      <c r="AH790" s="211"/>
      <c r="AI790" s="211"/>
      <c r="AJ790" s="211"/>
      <c r="AL790" s="211"/>
      <c r="AM790" s="211"/>
      <c r="AN790" s="211"/>
      <c r="AO790" s="211"/>
      <c r="AP790" s="215"/>
      <c r="AQ790" s="218"/>
      <c r="AR790" s="211"/>
      <c r="AS790" s="211"/>
      <c r="AT790" s="211"/>
      <c r="AU790" s="211"/>
      <c r="AV790" s="211"/>
      <c r="AW790" s="211"/>
      <c r="AX790" s="211"/>
      <c r="AY790" s="211"/>
      <c r="AZ790" s="211"/>
      <c r="BB790" s="211"/>
      <c r="BC790" s="211"/>
      <c r="BD790" s="211"/>
      <c r="BE790" s="211"/>
      <c r="BF790" s="211"/>
      <c r="BG790" s="211"/>
      <c r="BH790" s="211"/>
      <c r="BI790" s="211"/>
    </row>
    <row r="791">
      <c r="A791" s="210" t="str">
        <f>IFERROR(__xludf.DUMMYFUNCTION("""COMPUTED_VALUE"""),"b6e54624")</f>
        <v>b6e54624</v>
      </c>
      <c r="B791" s="210" t="str">
        <f>IFERROR(__xludf.DUMMYFUNCTION("""COMPUTED_VALUE"""),"b6e54624")</f>
        <v>b6e54624</v>
      </c>
      <c r="C791" s="213">
        <f>IFERROR(__xludf.DUMMYFUNCTION("""COMPUTED_VALUE"""),45727.67986111111)</f>
        <v>45727.67986</v>
      </c>
      <c r="D791" s="211" t="str">
        <f>IFERROR(__xludf.DUMMYFUNCTION("""COMPUTED_VALUE"""),"e86baf3b")</f>
        <v>e86baf3b</v>
      </c>
      <c r="E791" s="211" t="str">
        <f>IFERROR(__xludf.DUMMYFUNCTION("""COMPUTED_VALUE"""),"PT GEMILANG CIPTA WAWASAN")</f>
        <v>PT GEMILANG CIPTA WAWASAN</v>
      </c>
      <c r="F791" s="211" t="str">
        <f>IFERROR(__xludf.DUMMYFUNCTION("""COMPUTED_VALUE"""),"be525f3b")</f>
        <v>be525f3b</v>
      </c>
      <c r="G791" s="211" t="str">
        <f>IFERROR(__xludf.DUMMYFUNCTION("""COMPUTED_VALUE"""),"LPG 12kg")</f>
        <v>LPG 12kg</v>
      </c>
      <c r="H791" s="214" t="str">
        <f>IFERROR(__xludf.DUMMYFUNCTION("""COMPUTED_VALUE"""),"IN")</f>
        <v>IN</v>
      </c>
      <c r="I791" s="214" t="str">
        <f>IFERROR(__xludf.DUMMYFUNCTION("""COMPUTED_VALUE"""),"EMPTY")</f>
        <v>EMPTY</v>
      </c>
      <c r="J791" s="211">
        <f>IFERROR(__xludf.DUMMYFUNCTION("""COMPUTED_VALUE"""),7.0)</f>
        <v>7</v>
      </c>
      <c r="K791" s="211"/>
      <c r="L791" s="211">
        <f>IFERROR(__xludf.DUMMYFUNCTION("""COMPUTED_VALUE"""),0.0)</f>
        <v>0</v>
      </c>
      <c r="M791" s="211"/>
      <c r="N791" s="211"/>
      <c r="O791" s="211"/>
      <c r="Q791" s="210" t="str">
        <f>IFERROR(__xludf.DUMMYFUNCTION("""COMPUTED_VALUE"""),"05250439")</f>
        <v>05250439</v>
      </c>
      <c r="R791" s="210" t="str">
        <f>IFERROR(__xludf.DUMMYFUNCTION("""COMPUTED_VALUE"""),"05250439")</f>
        <v>05250439</v>
      </c>
      <c r="S791" s="211" t="str">
        <f>IFERROR(__xludf.DUMMYFUNCTION("""COMPUTED_VALUE"""),"609d620d")</f>
        <v>609d620d</v>
      </c>
      <c r="T791" s="211" t="str">
        <f>IFERROR(__xludf.DUMMYFUNCTION("""COMPUTED_VALUE"""),"PT Pandu Mulia Bersama")</f>
        <v>PT Pandu Mulia Bersama</v>
      </c>
      <c r="U791" s="215">
        <f>IFERROR(__xludf.DUMMYFUNCTION("""COMPUTED_VALUE"""),45797.35208333333)</f>
        <v>45797.35208</v>
      </c>
      <c r="V791" s="211" t="str">
        <f>IFERROR(__xludf.DUMMYFUNCTION("""COMPUTED_VALUE"""),"Jl. Songgat RT 12 RW 05, Kec. Tarik, Sidoarjo, Jawa Timur")</f>
        <v>Jl. Songgat RT 12 RW 05, Kec. Tarik, Sidoarjo, Jawa Timur</v>
      </c>
      <c r="W791" s="211" t="str">
        <f>IFERROR(__xludf.DUMMYFUNCTION("""COMPUTED_VALUE"""),"OUT")</f>
        <v>OUT</v>
      </c>
      <c r="X791" s="211"/>
      <c r="Z791" s="211" t="str">
        <f>IFERROR(__xludf.DUMMYFUNCTION("""COMPUTED_VALUE"""),"1025201374")</f>
        <v>1025201374</v>
      </c>
      <c r="AC791" s="211"/>
      <c r="AD791" s="211"/>
      <c r="AE791" s="211"/>
      <c r="AF791" s="211"/>
      <c r="AG791" s="211"/>
      <c r="AH791" s="211"/>
      <c r="AI791" s="211"/>
      <c r="AJ791" s="211"/>
      <c r="AL791" s="211"/>
      <c r="AM791" s="211"/>
      <c r="AN791" s="211"/>
      <c r="AO791" s="211"/>
      <c r="AP791" s="215"/>
      <c r="AQ791" s="218"/>
      <c r="AR791" s="211"/>
      <c r="AS791" s="211"/>
      <c r="AT791" s="211"/>
      <c r="AU791" s="211"/>
      <c r="AV791" s="211"/>
      <c r="AW791" s="211"/>
      <c r="AX791" s="211"/>
      <c r="AY791" s="211"/>
      <c r="AZ791" s="211"/>
      <c r="BB791" s="211"/>
      <c r="BC791" s="211"/>
      <c r="BD791" s="211"/>
      <c r="BE791" s="211"/>
      <c r="BF791" s="211"/>
      <c r="BG791" s="211"/>
      <c r="BH791" s="211"/>
      <c r="BI791" s="211"/>
    </row>
    <row r="792">
      <c r="A792" s="210" t="str">
        <f>IFERROR(__xludf.DUMMYFUNCTION("""COMPUTED_VALUE"""),"b6e54624")</f>
        <v>b6e54624</v>
      </c>
      <c r="B792" s="210" t="str">
        <f>IFERROR(__xludf.DUMMYFUNCTION("""COMPUTED_VALUE"""),"b6e54624")</f>
        <v>b6e54624</v>
      </c>
      <c r="C792" s="213">
        <f>IFERROR(__xludf.DUMMYFUNCTION("""COMPUTED_VALUE"""),45727.68125)</f>
        <v>45727.68125</v>
      </c>
      <c r="D792" s="211" t="str">
        <f>IFERROR(__xludf.DUMMYFUNCTION("""COMPUTED_VALUE"""),"e86baf3b")</f>
        <v>e86baf3b</v>
      </c>
      <c r="E792" s="211" t="str">
        <f>IFERROR(__xludf.DUMMYFUNCTION("""COMPUTED_VALUE"""),"PT GEMILANG CIPTA WAWASAN")</f>
        <v>PT GEMILANG CIPTA WAWASAN</v>
      </c>
      <c r="F792" s="211" t="str">
        <f>IFERROR(__xludf.DUMMYFUNCTION("""COMPUTED_VALUE"""),"66af7c72")</f>
        <v>66af7c72</v>
      </c>
      <c r="G792" s="211" t="str">
        <f>IFERROR(__xludf.DUMMYFUNCTION("""COMPUTED_VALUE"""),"Argon 6m3")</f>
        <v>Argon 6m3</v>
      </c>
      <c r="H792" s="214" t="str">
        <f>IFERROR(__xludf.DUMMYFUNCTION("""COMPUTED_VALUE"""),"IN")</f>
        <v>IN</v>
      </c>
      <c r="I792" s="214" t="str">
        <f>IFERROR(__xludf.DUMMYFUNCTION("""COMPUTED_VALUE"""),"EMPTY")</f>
        <v>EMPTY</v>
      </c>
      <c r="J792" s="211">
        <f>IFERROR(__xludf.DUMMYFUNCTION("""COMPUTED_VALUE"""),2.0)</f>
        <v>2</v>
      </c>
      <c r="K792" s="210" t="str">
        <f>IFERROR(__xludf.DUMMYFUNCTION("""COMPUTED_VALUE"""),"11141 11162")</f>
        <v>11141 11162</v>
      </c>
      <c r="L792" s="211">
        <f>IFERROR(__xludf.DUMMYFUNCTION("""COMPUTED_VALUE"""),0.0)</f>
        <v>0</v>
      </c>
      <c r="M792" s="211"/>
      <c r="N792" s="211"/>
      <c r="O792" s="211"/>
      <c r="Q792" s="210" t="str">
        <f>IFERROR(__xludf.DUMMYFUNCTION("""COMPUTED_VALUE"""),"05250441")</f>
        <v>05250441</v>
      </c>
      <c r="R792" s="210" t="str">
        <f>IFERROR(__xludf.DUMMYFUNCTION("""COMPUTED_VALUE"""),"05250441")</f>
        <v>05250441</v>
      </c>
      <c r="S792" s="211" t="str">
        <f>IFERROR(__xludf.DUMMYFUNCTION("""COMPUTED_VALUE"""),"4edfe755")</f>
        <v>4edfe755</v>
      </c>
      <c r="T792" s="211" t="str">
        <f>IFERROR(__xludf.DUMMYFUNCTION("""COMPUTED_VALUE"""),"Bpk. Ibnu")</f>
        <v>Bpk. Ibnu</v>
      </c>
      <c r="U792" s="215">
        <f>IFERROR(__xludf.DUMMYFUNCTION("""COMPUTED_VALUE"""),45797.37361111111)</f>
        <v>45797.37361</v>
      </c>
      <c r="V792" s="211" t="str">
        <f>IFERROR(__xludf.DUMMYFUNCTION("""COMPUTED_VALUE"""),"HGQF+482 Wonokupang, Sidoarjo, Jawa Timur")</f>
        <v>HGQF+482 Wonokupang, Sidoarjo, Jawa Timur</v>
      </c>
      <c r="W792" s="211" t="str">
        <f>IFERROR(__xludf.DUMMYFUNCTION("""COMPUTED_VALUE"""),"OUT")</f>
        <v>OUT</v>
      </c>
      <c r="X792" s="211"/>
      <c r="Z792" s="211" t="str">
        <f>IFERROR(__xludf.DUMMYFUNCTION("""COMPUTED_VALUE"""),"102511373")</f>
        <v>102511373</v>
      </c>
      <c r="AC792" s="211"/>
      <c r="AD792" s="211"/>
      <c r="AE792" s="211"/>
      <c r="AF792" s="211"/>
      <c r="AG792" s="211"/>
      <c r="AH792" s="211"/>
      <c r="AI792" s="211"/>
      <c r="AJ792" s="211"/>
      <c r="AL792" s="211"/>
      <c r="AM792" s="211"/>
      <c r="AN792" s="211"/>
      <c r="AO792" s="211"/>
      <c r="AP792" s="215"/>
      <c r="AQ792" s="218"/>
      <c r="AR792" s="211"/>
      <c r="AS792" s="211"/>
      <c r="AT792" s="211"/>
      <c r="AU792" s="211"/>
      <c r="AV792" s="211"/>
      <c r="AW792" s="211"/>
      <c r="AX792" s="211"/>
      <c r="AY792" s="211"/>
      <c r="AZ792" s="211"/>
      <c r="BB792" s="211"/>
      <c r="BC792" s="211"/>
      <c r="BD792" s="211"/>
      <c r="BE792" s="211"/>
      <c r="BF792" s="211"/>
      <c r="BG792" s="211"/>
      <c r="BH792" s="211"/>
      <c r="BI792" s="211"/>
    </row>
    <row r="793">
      <c r="A793" s="210" t="str">
        <f>IFERROR(__xludf.DUMMYFUNCTION("""COMPUTED_VALUE"""),"403250010")</f>
        <v>403250010</v>
      </c>
      <c r="B793" s="210" t="str">
        <f>IFERROR(__xludf.DUMMYFUNCTION("""COMPUTED_VALUE"""),"403250010")</f>
        <v>403250010</v>
      </c>
      <c r="C793" s="213">
        <f>IFERROR(__xludf.DUMMYFUNCTION("""COMPUTED_VALUE"""),45728.35763888889)</f>
        <v>45728.35764</v>
      </c>
      <c r="D793" s="211" t="str">
        <f>IFERROR(__xludf.DUMMYFUNCTION("""COMPUTED_VALUE"""),"ac52e1fa")</f>
        <v>ac52e1fa</v>
      </c>
      <c r="E793" s="211" t="str">
        <f>IFERROR(__xludf.DUMMYFUNCTION("""COMPUTED_VALUE"""),"Abah Mad")</f>
        <v>Abah Mad</v>
      </c>
      <c r="F793" s="211" t="str">
        <f>IFERROR(__xludf.DUMMYFUNCTION("""COMPUTED_VALUE"""),"f6aab7a9")</f>
        <v>f6aab7a9</v>
      </c>
      <c r="G793" s="211" t="str">
        <f>IFERROR(__xludf.DUMMYFUNCTION("""COMPUTED_VALUE"""),"Oksigen 6m3 MR")</f>
        <v>Oksigen 6m3 MR</v>
      </c>
      <c r="H793" s="214" t="str">
        <f>IFERROR(__xludf.DUMMYFUNCTION("""COMPUTED_VALUE"""),"OTHER")</f>
        <v>OTHER</v>
      </c>
      <c r="I793" s="214" t="str">
        <f>IFERROR(__xludf.DUMMYFUNCTION("""COMPUTED_VALUE"""),"RETUR CLAIM")</f>
        <v>RETUR CLAIM</v>
      </c>
      <c r="J793" s="211">
        <f>IFERROR(__xludf.DUMMYFUNCTION("""COMPUTED_VALUE"""),4.0)</f>
        <v>4</v>
      </c>
      <c r="K793" s="211"/>
      <c r="L793" s="211">
        <f>IFERROR(__xludf.DUMMYFUNCTION("""COMPUTED_VALUE"""),0.0)</f>
        <v>0</v>
      </c>
      <c r="M793" s="211"/>
      <c r="N793" s="211"/>
      <c r="O793" s="211"/>
      <c r="Q793" s="210" t="str">
        <f>IFERROR(__xludf.DUMMYFUNCTION("""COMPUTED_VALUE"""),"05250442")</f>
        <v>05250442</v>
      </c>
      <c r="R793" s="210" t="str">
        <f>IFERROR(__xludf.DUMMYFUNCTION("""COMPUTED_VALUE"""),"05250442")</f>
        <v>05250442</v>
      </c>
      <c r="S793" s="211" t="str">
        <f>IFERROR(__xludf.DUMMYFUNCTION("""COMPUTED_VALUE"""),"ce83e171")</f>
        <v>ce83e171</v>
      </c>
      <c r="T793" s="211" t="str">
        <f>IFERROR(__xludf.DUMMYFUNCTION("""COMPUTED_VALUE"""),"Bpk. Sulaiman")</f>
        <v>Bpk. Sulaiman</v>
      </c>
      <c r="U793" s="215">
        <f>IFERROR(__xludf.DUMMYFUNCTION("""COMPUTED_VALUE"""),45797.450694444444)</f>
        <v>45797.45069</v>
      </c>
      <c r="V793" s="211" t="str">
        <f>IFERROR(__xludf.DUMMYFUNCTION("""COMPUTED_VALUE"""),"Jl. Raya Kramat Temenggung No.43, Kramat, Kramat Temenggung, Kec. Tarik, Kabupaten Sidoarjo, Jawa Timur 61265")</f>
        <v>Jl. Raya Kramat Temenggung No.43, Kramat, Kramat Temenggung, Kec. Tarik, Kabupaten Sidoarjo, Jawa Timur 61265</v>
      </c>
      <c r="W793" s="211" t="str">
        <f>IFERROR(__xludf.DUMMYFUNCTION("""COMPUTED_VALUE"""),"OUT")</f>
        <v>OUT</v>
      </c>
      <c r="X793" s="211"/>
      <c r="Z793" s="211" t="str">
        <f>IFERROR(__xludf.DUMMYFUNCTION("""COMPUTED_VALUE"""),"1025241372")</f>
        <v>1025241372</v>
      </c>
      <c r="AC793" s="211"/>
      <c r="AD793" s="211"/>
      <c r="AE793" s="211"/>
      <c r="AF793" s="211"/>
      <c r="AG793" s="211"/>
      <c r="AH793" s="211"/>
      <c r="AI793" s="211"/>
      <c r="AJ793" s="211"/>
      <c r="AL793" s="211"/>
      <c r="AM793" s="211"/>
      <c r="AN793" s="211"/>
      <c r="AO793" s="211"/>
      <c r="AP793" s="215"/>
      <c r="AQ793" s="218"/>
      <c r="AR793" s="211"/>
      <c r="AS793" s="211"/>
      <c r="AT793" s="211"/>
      <c r="AU793" s="211"/>
      <c r="AV793" s="211"/>
      <c r="AW793" s="211"/>
      <c r="AX793" s="211"/>
      <c r="AY793" s="211"/>
      <c r="AZ793" s="211"/>
      <c r="BB793" s="211"/>
      <c r="BC793" s="211"/>
      <c r="BD793" s="211"/>
      <c r="BE793" s="211"/>
      <c r="BF793" s="211"/>
      <c r="BG793" s="211"/>
      <c r="BH793" s="211"/>
      <c r="BI793" s="211"/>
    </row>
    <row r="794">
      <c r="A794" s="210" t="str">
        <f>IFERROR(__xludf.DUMMYFUNCTION("""COMPUTED_VALUE"""),"24be59b7")</f>
        <v>24be59b7</v>
      </c>
      <c r="B794" s="210" t="str">
        <f>IFERROR(__xludf.DUMMYFUNCTION("""COMPUTED_VALUE"""),"24be59b7")</f>
        <v>24be59b7</v>
      </c>
      <c r="C794" s="213">
        <f>IFERROR(__xludf.DUMMYFUNCTION("""COMPUTED_VALUE"""),45728.464583333334)</f>
        <v>45728.46458</v>
      </c>
      <c r="D794" s="211" t="str">
        <f>IFERROR(__xludf.DUMMYFUNCTION("""COMPUTED_VALUE"""),"df6bdc5d")</f>
        <v>df6bdc5d</v>
      </c>
      <c r="E794" s="211" t="str">
        <f>IFERROR(__xludf.DUMMYFUNCTION("""COMPUTED_VALUE"""),"Bpk. Maruf")</f>
        <v>Bpk. Maruf</v>
      </c>
      <c r="F794" s="211" t="str">
        <f>IFERROR(__xludf.DUMMYFUNCTION("""COMPUTED_VALUE"""),"8bdbe149")</f>
        <v>8bdbe149</v>
      </c>
      <c r="G794" s="211" t="str">
        <f>IFERROR(__xludf.DUMMYFUNCTION("""COMPUTED_VALUE"""),"Oksigen 6m3")</f>
        <v>Oksigen 6m3</v>
      </c>
      <c r="H794" s="214" t="str">
        <f>IFERROR(__xludf.DUMMYFUNCTION("""COMPUTED_VALUE"""),"IN")</f>
        <v>IN</v>
      </c>
      <c r="I794" s="214" t="str">
        <f>IFERROR(__xludf.DUMMYFUNCTION("""COMPUTED_VALUE"""),"EMPTY")</f>
        <v>EMPTY</v>
      </c>
      <c r="J794" s="211">
        <f>IFERROR(__xludf.DUMMYFUNCTION("""COMPUTED_VALUE"""),24.0)</f>
        <v>24</v>
      </c>
      <c r="K794" s="211"/>
      <c r="L794" s="211">
        <f>IFERROR(__xludf.DUMMYFUNCTION("""COMPUTED_VALUE"""),0.0)</f>
        <v>0</v>
      </c>
      <c r="M794" s="211"/>
      <c r="N794" s="211"/>
      <c r="O794" s="211"/>
      <c r="Q794" s="210" t="str">
        <f>IFERROR(__xludf.DUMMYFUNCTION("""COMPUTED_VALUE"""),"78ffde66")</f>
        <v>78ffde66</v>
      </c>
      <c r="R794" s="210" t="str">
        <f>IFERROR(__xludf.DUMMYFUNCTION("""COMPUTED_VALUE"""),"78ffde66")</f>
        <v>78ffde66</v>
      </c>
      <c r="S794" s="211" t="str">
        <f>IFERROR(__xludf.DUMMYFUNCTION("""COMPUTED_VALUE"""),"d78b2eaf")</f>
        <v>d78b2eaf</v>
      </c>
      <c r="T794" s="211" t="str">
        <f>IFERROR(__xludf.DUMMYFUNCTION("""COMPUTED_VALUE"""),"PT Sinar Indogreen Kencana")</f>
        <v>PT Sinar Indogreen Kencana</v>
      </c>
      <c r="U794" s="215">
        <f>IFERROR(__xludf.DUMMYFUNCTION("""COMPUTED_VALUE"""),45797.47708333333)</f>
        <v>45797.47708</v>
      </c>
      <c r="V794" s="211" t="str">
        <f>IFERROR(__xludf.DUMMYFUNCTION("""COMPUTED_VALUE"""),"Jl. Raya Ponokawan 8b RT/001 RW/002, Ponokawan, Krian, Sidoarjo")</f>
        <v>Jl. Raya Ponokawan 8b RT/001 RW/002, Ponokawan, Krian, Sidoarjo</v>
      </c>
      <c r="W794" s="211" t="str">
        <f>IFERROR(__xludf.DUMMYFUNCTION("""COMPUTED_VALUE"""),"IN")</f>
        <v>IN</v>
      </c>
      <c r="X794" s="211"/>
      <c r="Z794" s="211" t="str">
        <f>IFERROR(__xludf.DUMMYFUNCTION("""COMPUTED_VALUE"""),"102511371")</f>
        <v>102511371</v>
      </c>
      <c r="AC794" s="211"/>
      <c r="AD794" s="211"/>
      <c r="AE794" s="211"/>
      <c r="AF794" s="211"/>
      <c r="AG794" s="211"/>
      <c r="AH794" s="211"/>
      <c r="AI794" s="211"/>
      <c r="AJ794" s="211"/>
      <c r="AL794" s="211"/>
      <c r="AM794" s="211"/>
      <c r="AN794" s="211"/>
      <c r="AO794" s="211"/>
      <c r="AP794" s="215"/>
      <c r="AQ794" s="218"/>
      <c r="AR794" s="211"/>
      <c r="AS794" s="211"/>
      <c r="AT794" s="211"/>
      <c r="AU794" s="211"/>
      <c r="AV794" s="211"/>
      <c r="AW794" s="211"/>
      <c r="AX794" s="211"/>
      <c r="AY794" s="211"/>
      <c r="AZ794" s="211"/>
      <c r="BB794" s="211"/>
      <c r="BC794" s="211"/>
      <c r="BD794" s="211"/>
      <c r="BE794" s="211"/>
      <c r="BF794" s="211"/>
      <c r="BG794" s="211"/>
      <c r="BH794" s="211"/>
      <c r="BI794" s="211"/>
    </row>
    <row r="795">
      <c r="A795" s="210" t="str">
        <f>IFERROR(__xludf.DUMMYFUNCTION("""COMPUTED_VALUE"""),"24be59b7")</f>
        <v>24be59b7</v>
      </c>
      <c r="B795" s="210" t="str">
        <f>IFERROR(__xludf.DUMMYFUNCTION("""COMPUTED_VALUE"""),"24be59b7")</f>
        <v>24be59b7</v>
      </c>
      <c r="C795" s="213">
        <f>IFERROR(__xludf.DUMMYFUNCTION("""COMPUTED_VALUE"""),45728.464583333334)</f>
        <v>45728.46458</v>
      </c>
      <c r="D795" s="211" t="str">
        <f>IFERROR(__xludf.DUMMYFUNCTION("""COMPUTED_VALUE"""),"df6bdc5d")</f>
        <v>df6bdc5d</v>
      </c>
      <c r="E795" s="211" t="str">
        <f>IFERROR(__xludf.DUMMYFUNCTION("""COMPUTED_VALUE"""),"Bpk. Maruf")</f>
        <v>Bpk. Maruf</v>
      </c>
      <c r="F795" s="211" t="str">
        <f>IFERROR(__xludf.DUMMYFUNCTION("""COMPUTED_VALUE"""),"8bdbe149")</f>
        <v>8bdbe149</v>
      </c>
      <c r="G795" s="211" t="str">
        <f>IFERROR(__xludf.DUMMYFUNCTION("""COMPUTED_VALUE"""),"Oksigen 6m3")</f>
        <v>Oksigen 6m3</v>
      </c>
      <c r="H795" s="214" t="str">
        <f>IFERROR(__xludf.DUMMYFUNCTION("""COMPUTED_VALUE"""),"IN")</f>
        <v>IN</v>
      </c>
      <c r="I795" s="214" t="str">
        <f>IFERROR(__xludf.DUMMYFUNCTION("""COMPUTED_VALUE"""),"CLAIM")</f>
        <v>CLAIM</v>
      </c>
      <c r="J795" s="211">
        <f>IFERROR(__xludf.DUMMYFUNCTION("""COMPUTED_VALUE"""),1.0)</f>
        <v>1</v>
      </c>
      <c r="K795" s="210" t="str">
        <f>IFERROR(__xludf.DUMMYFUNCTION("""COMPUTED_VALUE"""),"1133")</f>
        <v>1133</v>
      </c>
      <c r="L795" s="211">
        <f>IFERROR(__xludf.DUMMYFUNCTION("""COMPUTED_VALUE"""),0.0)</f>
        <v>0</v>
      </c>
      <c r="M795" s="211"/>
      <c r="N795" s="211"/>
      <c r="O795" s="211"/>
      <c r="Q795" s="210" t="str">
        <f>IFERROR(__xludf.DUMMYFUNCTION("""COMPUTED_VALUE"""),"196d5ce4")</f>
        <v>196d5ce4</v>
      </c>
      <c r="R795" s="210" t="str">
        <f>IFERROR(__xludf.DUMMYFUNCTION("""COMPUTED_VALUE"""),"196d5ce4")</f>
        <v>196d5ce4</v>
      </c>
      <c r="S795" s="211" t="str">
        <f>IFERROR(__xludf.DUMMYFUNCTION("""COMPUTED_VALUE"""),"609d620d")</f>
        <v>609d620d</v>
      </c>
      <c r="T795" s="211" t="str">
        <f>IFERROR(__xludf.DUMMYFUNCTION("""COMPUTED_VALUE"""),"PT Pandu Mulia Bersama")</f>
        <v>PT Pandu Mulia Bersama</v>
      </c>
      <c r="U795" s="215">
        <f>IFERROR(__xludf.DUMMYFUNCTION("""COMPUTED_VALUE"""),45797.47708333333)</f>
        <v>45797.47708</v>
      </c>
      <c r="V795" s="211" t="str">
        <f>IFERROR(__xludf.DUMMYFUNCTION("""COMPUTED_VALUE"""),"Jl. Songgat RT 12 RW 05, Kec. Tarik, Sidoarjo, Jawa Timur")</f>
        <v>Jl. Songgat RT 12 RW 05, Kec. Tarik, Sidoarjo, Jawa Timur</v>
      </c>
      <c r="W795" s="211" t="str">
        <f>IFERROR(__xludf.DUMMYFUNCTION("""COMPUTED_VALUE"""),"IN")</f>
        <v>IN</v>
      </c>
      <c r="X795" s="211"/>
      <c r="Z795" s="211" t="str">
        <f>IFERROR(__xludf.DUMMYFUNCTION("""COMPUTED_VALUE"""),"1025141370")</f>
        <v>1025141370</v>
      </c>
      <c r="AC795" s="211"/>
      <c r="AD795" s="211"/>
      <c r="AE795" s="211"/>
      <c r="AF795" s="211"/>
      <c r="AG795" s="211"/>
      <c r="AH795" s="211"/>
      <c r="AI795" s="211"/>
      <c r="AJ795" s="211"/>
      <c r="AL795" s="211"/>
      <c r="AM795" s="211"/>
      <c r="AN795" s="211"/>
      <c r="AO795" s="211"/>
      <c r="AP795" s="215"/>
      <c r="AQ795" s="218"/>
      <c r="AR795" s="211"/>
      <c r="AS795" s="211"/>
      <c r="AT795" s="211"/>
      <c r="AU795" s="211"/>
      <c r="AV795" s="211"/>
      <c r="AW795" s="211"/>
      <c r="AX795" s="211"/>
      <c r="AY795" s="211"/>
      <c r="AZ795" s="211"/>
      <c r="BB795" s="211"/>
      <c r="BC795" s="211"/>
      <c r="BD795" s="211"/>
      <c r="BE795" s="211"/>
      <c r="BF795" s="211"/>
      <c r="BG795" s="211"/>
      <c r="BH795" s="211"/>
      <c r="BI795" s="211"/>
    </row>
    <row r="796">
      <c r="A796" s="210" t="str">
        <f>IFERROR(__xludf.DUMMYFUNCTION("""COMPUTED_VALUE"""),"24be59b7")</f>
        <v>24be59b7</v>
      </c>
      <c r="B796" s="210" t="str">
        <f>IFERROR(__xludf.DUMMYFUNCTION("""COMPUTED_VALUE"""),"24be59b7")</f>
        <v>24be59b7</v>
      </c>
      <c r="C796" s="213">
        <f>IFERROR(__xludf.DUMMYFUNCTION("""COMPUTED_VALUE"""),45728.46527777778)</f>
        <v>45728.46528</v>
      </c>
      <c r="D796" s="211" t="str">
        <f>IFERROR(__xludf.DUMMYFUNCTION("""COMPUTED_VALUE"""),"df6bdc5d")</f>
        <v>df6bdc5d</v>
      </c>
      <c r="E796" s="211" t="str">
        <f>IFERROR(__xludf.DUMMYFUNCTION("""COMPUTED_VALUE"""),"Bpk. Maruf")</f>
        <v>Bpk. Maruf</v>
      </c>
      <c r="F796" s="211" t="str">
        <f>IFERROR(__xludf.DUMMYFUNCTION("""COMPUTED_VALUE"""),"be525f3b")</f>
        <v>be525f3b</v>
      </c>
      <c r="G796" s="211" t="str">
        <f>IFERROR(__xludf.DUMMYFUNCTION("""COMPUTED_VALUE"""),"LPG 12kg")</f>
        <v>LPG 12kg</v>
      </c>
      <c r="H796" s="214" t="str">
        <f>IFERROR(__xludf.DUMMYFUNCTION("""COMPUTED_VALUE"""),"IN")</f>
        <v>IN</v>
      </c>
      <c r="I796" s="214" t="str">
        <f>IFERROR(__xludf.DUMMYFUNCTION("""COMPUTED_VALUE"""),"EMPTY")</f>
        <v>EMPTY</v>
      </c>
      <c r="J796" s="211">
        <f>IFERROR(__xludf.DUMMYFUNCTION("""COMPUTED_VALUE"""),1.0)</f>
        <v>1</v>
      </c>
      <c r="K796" s="211"/>
      <c r="L796" s="211">
        <f>IFERROR(__xludf.DUMMYFUNCTION("""COMPUTED_VALUE"""),0.0)</f>
        <v>0</v>
      </c>
      <c r="M796" s="211"/>
      <c r="N796" s="211"/>
      <c r="O796" s="211"/>
      <c r="Q796" s="210" t="str">
        <f>IFERROR(__xludf.DUMMYFUNCTION("""COMPUTED_VALUE"""),"1267c257")</f>
        <v>1267c257</v>
      </c>
      <c r="R796" s="210" t="str">
        <f>IFERROR(__xludf.DUMMYFUNCTION("""COMPUTED_VALUE"""),"1267c257")</f>
        <v>1267c257</v>
      </c>
      <c r="S796" s="211" t="str">
        <f>IFERROR(__xludf.DUMMYFUNCTION("""COMPUTED_VALUE"""),"ce83e171")</f>
        <v>ce83e171</v>
      </c>
      <c r="T796" s="211" t="str">
        <f>IFERROR(__xludf.DUMMYFUNCTION("""COMPUTED_VALUE"""),"Bpk. Sulaiman")</f>
        <v>Bpk. Sulaiman</v>
      </c>
      <c r="U796" s="215">
        <f>IFERROR(__xludf.DUMMYFUNCTION("""COMPUTED_VALUE"""),45797.50486111111)</f>
        <v>45797.50486</v>
      </c>
      <c r="V796" s="211" t="str">
        <f>IFERROR(__xludf.DUMMYFUNCTION("""COMPUTED_VALUE"""),"Jl. Raya Kramat Temenggung No.43, Kramat, Kramat Temenggung, Kec. Tarik, Kabupaten Sidoarjo, Jawa Timur 61265")</f>
        <v>Jl. Raya Kramat Temenggung No.43, Kramat, Kramat Temenggung, Kec. Tarik, Kabupaten Sidoarjo, Jawa Timur 61265</v>
      </c>
      <c r="W796" s="211" t="str">
        <f>IFERROR(__xludf.DUMMYFUNCTION("""COMPUTED_VALUE"""),"IN")</f>
        <v>IN</v>
      </c>
      <c r="X796" s="211"/>
      <c r="Z796" s="211" t="str">
        <f>IFERROR(__xludf.DUMMYFUNCTION("""COMPUTED_VALUE"""),"1025141368")</f>
        <v>1025141368</v>
      </c>
      <c r="AC796" s="211"/>
      <c r="AD796" s="211"/>
      <c r="AE796" s="211"/>
      <c r="AF796" s="211"/>
      <c r="AG796" s="211"/>
      <c r="AH796" s="211"/>
      <c r="AI796" s="211"/>
      <c r="AJ796" s="211"/>
      <c r="AL796" s="211"/>
      <c r="AM796" s="211"/>
      <c r="AN796" s="211"/>
      <c r="AO796" s="211"/>
      <c r="AP796" s="215"/>
      <c r="AQ796" s="218"/>
      <c r="AR796" s="211"/>
      <c r="AS796" s="211"/>
      <c r="AT796" s="211"/>
      <c r="AU796" s="211"/>
      <c r="AV796" s="211"/>
      <c r="AW796" s="211"/>
      <c r="AX796" s="211"/>
      <c r="AY796" s="211"/>
      <c r="AZ796" s="211"/>
      <c r="BB796" s="211"/>
      <c r="BC796" s="211"/>
      <c r="BD796" s="211"/>
      <c r="BE796" s="211"/>
      <c r="BF796" s="211"/>
      <c r="BG796" s="211"/>
      <c r="BH796" s="211"/>
      <c r="BI796" s="211"/>
    </row>
    <row r="797">
      <c r="A797" s="210" t="str">
        <f>IFERROR(__xludf.DUMMYFUNCTION("""COMPUTED_VALUE"""),"403250011")</f>
        <v>403250011</v>
      </c>
      <c r="B797" s="210" t="str">
        <f>IFERROR(__xludf.DUMMYFUNCTION("""COMPUTED_VALUE"""),"403250011")</f>
        <v>403250011</v>
      </c>
      <c r="C797" s="213">
        <f>IFERROR(__xludf.DUMMYFUNCTION("""COMPUTED_VALUE"""),45726.48263888889)</f>
        <v>45726.48264</v>
      </c>
      <c r="D797" s="211" t="str">
        <f>IFERROR(__xludf.DUMMYFUNCTION("""COMPUTED_VALUE"""),"ed2cc96a")</f>
        <v>ed2cc96a</v>
      </c>
      <c r="E797" s="211" t="str">
        <f>IFERROR(__xludf.DUMMYFUNCTION("""COMPUTED_VALUE"""),"Bengkel Dian Jaya")</f>
        <v>Bengkel Dian Jaya</v>
      </c>
      <c r="F797" s="211" t="str">
        <f>IFERROR(__xludf.DUMMYFUNCTION("""COMPUTED_VALUE"""),"8bdbe149")</f>
        <v>8bdbe149</v>
      </c>
      <c r="G797" s="211" t="str">
        <f>IFERROR(__xludf.DUMMYFUNCTION("""COMPUTED_VALUE"""),"Oksigen 6m3")</f>
        <v>Oksigen 6m3</v>
      </c>
      <c r="H797" s="214" t="str">
        <f>IFERROR(__xludf.DUMMYFUNCTION("""COMPUTED_VALUE"""),"OTHER")</f>
        <v>OTHER</v>
      </c>
      <c r="I797" s="214" t="str">
        <f>IFERROR(__xludf.DUMMYFUNCTION("""COMPUTED_VALUE"""),"RETUR CLAIM")</f>
        <v>RETUR CLAIM</v>
      </c>
      <c r="J797" s="211">
        <f>IFERROR(__xludf.DUMMYFUNCTION("""COMPUTED_VALUE"""),1.0)</f>
        <v>1</v>
      </c>
      <c r="K797" s="211"/>
      <c r="L797" s="211">
        <f>IFERROR(__xludf.DUMMYFUNCTION("""COMPUTED_VALUE"""),0.0)</f>
        <v>0</v>
      </c>
      <c r="M797" s="211"/>
      <c r="N797" s="211"/>
      <c r="O797" s="211"/>
      <c r="Q797" s="210" t="str">
        <f>IFERROR(__xludf.DUMMYFUNCTION("""COMPUTED_VALUE"""),"05250444")</f>
        <v>05250444</v>
      </c>
      <c r="R797" s="210" t="str">
        <f>IFERROR(__xludf.DUMMYFUNCTION("""COMPUTED_VALUE"""),"05250444")</f>
        <v>05250444</v>
      </c>
      <c r="S797" s="211" t="str">
        <f>IFERROR(__xludf.DUMMYFUNCTION("""COMPUTED_VALUE"""),"1bf27092")</f>
        <v>1bf27092</v>
      </c>
      <c r="T797" s="211" t="str">
        <f>IFERROR(__xludf.DUMMYFUNCTION("""COMPUTED_VALUE"""),"Bpk. Ari Budiarto")</f>
        <v>Bpk. Ari Budiarto</v>
      </c>
      <c r="U797" s="215">
        <f>IFERROR(__xludf.DUMMYFUNCTION("""COMPUTED_VALUE"""),45798.33333333333)</f>
        <v>45798.33333</v>
      </c>
      <c r="V797" s="211" t="str">
        <f>IFERROR(__xludf.DUMMYFUNCTION("""COMPUTED_VALUE"""),"Jl. Raya Balongbendo 232, Bakalan, Bakalan Wringinpitu, Kec. BalongBendo, Kabupaten Sidoarjo, Jawa Timur 61263")</f>
        <v>Jl. Raya Balongbendo 232, Bakalan, Bakalan Wringinpitu, Kec. BalongBendo, Kabupaten Sidoarjo, Jawa Timur 61263</v>
      </c>
      <c r="W797" s="211" t="str">
        <f>IFERROR(__xludf.DUMMYFUNCTION("""COMPUTED_VALUE"""),"OUT")</f>
        <v>OUT</v>
      </c>
      <c r="X797" s="211"/>
      <c r="Z797" s="211" t="str">
        <f>IFERROR(__xludf.DUMMYFUNCTION("""COMPUTED_VALUE"""),"0925121367")</f>
        <v>0925121367</v>
      </c>
      <c r="AC797" s="211"/>
      <c r="AD797" s="211"/>
      <c r="AE797" s="211"/>
      <c r="AF797" s="211"/>
      <c r="AG797" s="211"/>
      <c r="AH797" s="211"/>
      <c r="AI797" s="211"/>
      <c r="AJ797" s="211"/>
      <c r="AL797" s="211"/>
      <c r="AM797" s="211"/>
      <c r="AN797" s="211"/>
      <c r="AO797" s="211"/>
      <c r="AP797" s="215"/>
      <c r="AQ797" s="218"/>
      <c r="AR797" s="211"/>
      <c r="AS797" s="211"/>
      <c r="AT797" s="211"/>
      <c r="AU797" s="211"/>
      <c r="AV797" s="211"/>
      <c r="AW797" s="211"/>
      <c r="AX797" s="211"/>
      <c r="AY797" s="211"/>
      <c r="AZ797" s="211"/>
      <c r="BB797" s="211"/>
      <c r="BC797" s="211"/>
      <c r="BD797" s="211"/>
      <c r="BE797" s="211"/>
      <c r="BF797" s="211"/>
      <c r="BG797" s="211"/>
      <c r="BH797" s="211"/>
      <c r="BI797" s="211"/>
    </row>
    <row r="798">
      <c r="A798" s="210" t="str">
        <f>IFERROR(__xludf.DUMMYFUNCTION("""COMPUTED_VALUE"""),"03250319")</f>
        <v>03250319</v>
      </c>
      <c r="B798" s="210" t="str">
        <f>IFERROR(__xludf.DUMMYFUNCTION("""COMPUTED_VALUE"""),"03250319")</f>
        <v>03250319</v>
      </c>
      <c r="C798" s="213">
        <f>IFERROR(__xludf.DUMMYFUNCTION("""COMPUTED_VALUE"""),45728.51597222222)</f>
        <v>45728.51597</v>
      </c>
      <c r="D798" s="211" t="str">
        <f>IFERROR(__xludf.DUMMYFUNCTION("""COMPUTED_VALUE"""),"785e0e07")</f>
        <v>785e0e07</v>
      </c>
      <c r="E798" s="211" t="str">
        <f>IFERROR(__xludf.DUMMYFUNCTION("""COMPUTED_VALUE"""),"Bpk. Sukirno (Bejo)")</f>
        <v>Bpk. Sukirno (Bejo)</v>
      </c>
      <c r="F798" s="211" t="str">
        <f>IFERROR(__xludf.DUMMYFUNCTION("""COMPUTED_VALUE"""),"8bdbe149")</f>
        <v>8bdbe149</v>
      </c>
      <c r="G798" s="211" t="str">
        <f>IFERROR(__xludf.DUMMYFUNCTION("""COMPUTED_VALUE"""),"Oksigen 6m3")</f>
        <v>Oksigen 6m3</v>
      </c>
      <c r="H798" s="214" t="str">
        <f>IFERROR(__xludf.DUMMYFUNCTION("""COMPUTED_VALUE"""),"OUT")</f>
        <v>OUT</v>
      </c>
      <c r="I798" s="214" t="str">
        <f>IFERROR(__xludf.DUMMYFUNCTION("""COMPUTED_VALUE"""),"NORMAL")</f>
        <v>NORMAL</v>
      </c>
      <c r="J798" s="211">
        <f>IFERROR(__xludf.DUMMYFUNCTION("""COMPUTED_VALUE"""),15.0)</f>
        <v>15</v>
      </c>
      <c r="K798" s="211"/>
      <c r="L798" s="211">
        <f>IFERROR(__xludf.DUMMYFUNCTION("""COMPUTED_VALUE"""),60000.0)</f>
        <v>60000</v>
      </c>
      <c r="M798" s="211"/>
      <c r="N798" s="211"/>
      <c r="O798" s="211"/>
      <c r="Q798" s="210" t="str">
        <f>IFERROR(__xludf.DUMMYFUNCTION("""COMPUTED_VALUE"""),"05250445")</f>
        <v>05250445</v>
      </c>
      <c r="R798" s="210" t="str">
        <f>IFERROR(__xludf.DUMMYFUNCTION("""COMPUTED_VALUE"""),"05250445")</f>
        <v>05250445</v>
      </c>
      <c r="S798" s="211" t="str">
        <f>IFERROR(__xludf.DUMMYFUNCTION("""COMPUTED_VALUE"""),"3bcd7fe6")</f>
        <v>3bcd7fe6</v>
      </c>
      <c r="T798" s="211" t="str">
        <f>IFERROR(__xludf.DUMMYFUNCTION("""COMPUTED_VALUE"""),"Bpk. Alvin (LB Group)")</f>
        <v>Bpk. Alvin (LB Group)</v>
      </c>
      <c r="U798" s="215">
        <f>IFERROR(__xludf.DUMMYFUNCTION("""COMPUTED_VALUE"""),45798.334027777775)</f>
        <v>45798.33403</v>
      </c>
      <c r="V798" s="211" t="str">
        <f>IFERROR(__xludf.DUMMYFUNCTION("""COMPUTED_VALUE"""),"MFF9+XHC, Jalan, Tambakrejo, Temuireng, Kec. Dawar Blandong, Kabupaten Mojokerto, Jawa Timur 61354")</f>
        <v>MFF9+XHC, Jalan, Tambakrejo, Temuireng, Kec. Dawar Blandong, Kabupaten Mojokerto, Jawa Timur 61354</v>
      </c>
      <c r="W798" s="211" t="str">
        <f>IFERROR(__xludf.DUMMYFUNCTION("""COMPUTED_VALUE"""),"OUT")</f>
        <v>OUT</v>
      </c>
      <c r="X798" s="211"/>
      <c r="Z798" s="211" t="str">
        <f>IFERROR(__xludf.DUMMYFUNCTION("""COMPUTED_VALUE"""),"0925541361")</f>
        <v>0925541361</v>
      </c>
      <c r="AC798" s="211"/>
      <c r="AD798" s="211"/>
      <c r="AE798" s="211"/>
      <c r="AF798" s="211"/>
      <c r="AG798" s="211"/>
      <c r="AH798" s="211"/>
      <c r="AI798" s="211"/>
      <c r="AJ798" s="211"/>
      <c r="AL798" s="211"/>
      <c r="AM798" s="211"/>
      <c r="AN798" s="211"/>
      <c r="AO798" s="211"/>
      <c r="AP798" s="215"/>
      <c r="AQ798" s="218"/>
      <c r="AR798" s="211"/>
      <c r="AS798" s="211"/>
      <c r="AT798" s="211"/>
      <c r="AU798" s="211"/>
      <c r="AV798" s="211"/>
      <c r="AW798" s="211"/>
      <c r="AX798" s="211"/>
      <c r="AY798" s="211"/>
      <c r="AZ798" s="211"/>
      <c r="BB798" s="211"/>
      <c r="BC798" s="211"/>
      <c r="BD798" s="211"/>
      <c r="BE798" s="211"/>
      <c r="BF798" s="211"/>
      <c r="BG798" s="211"/>
      <c r="BH798" s="211"/>
      <c r="BI798" s="211"/>
    </row>
    <row r="799">
      <c r="A799" s="210" t="str">
        <f>IFERROR(__xludf.DUMMYFUNCTION("""COMPUTED_VALUE"""),"03250320")</f>
        <v>03250320</v>
      </c>
      <c r="B799" s="210" t="str">
        <f>IFERROR(__xludf.DUMMYFUNCTION("""COMPUTED_VALUE"""),"03250320")</f>
        <v>03250320</v>
      </c>
      <c r="C799" s="213">
        <f>IFERROR(__xludf.DUMMYFUNCTION("""COMPUTED_VALUE"""),45729.35208333333)</f>
        <v>45729.35208</v>
      </c>
      <c r="D799" s="211" t="str">
        <f>IFERROR(__xludf.DUMMYFUNCTION("""COMPUTED_VALUE"""),"103f3ae7")</f>
        <v>103f3ae7</v>
      </c>
      <c r="E799" s="211" t="str">
        <f>IFERROR(__xludf.DUMMYFUNCTION("""COMPUTED_VALUE"""),"PT ARYANA CAKASANA")</f>
        <v>PT ARYANA CAKASANA</v>
      </c>
      <c r="F799" s="211" t="str">
        <f>IFERROR(__xludf.DUMMYFUNCTION("""COMPUTED_VALUE"""),"8bdbe149")</f>
        <v>8bdbe149</v>
      </c>
      <c r="G799" s="211" t="str">
        <f>IFERROR(__xludf.DUMMYFUNCTION("""COMPUTED_VALUE"""),"Oksigen 6m3")</f>
        <v>Oksigen 6m3</v>
      </c>
      <c r="H799" s="214" t="str">
        <f>IFERROR(__xludf.DUMMYFUNCTION("""COMPUTED_VALUE"""),"OUT")</f>
        <v>OUT</v>
      </c>
      <c r="I799" s="214" t="str">
        <f>IFERROR(__xludf.DUMMYFUNCTION("""COMPUTED_VALUE"""),"NORMAL")</f>
        <v>NORMAL</v>
      </c>
      <c r="J799" s="211">
        <f>IFERROR(__xludf.DUMMYFUNCTION("""COMPUTED_VALUE"""),10.0)</f>
        <v>10</v>
      </c>
      <c r="K799" s="210" t="str">
        <f>IFERROR(__xludf.DUMMYFUNCTION("""COMPUTED_VALUE"""),"1122 1192 1181 1140 1102 1189 1119 1134 1128 11100")</f>
        <v>1122 1192 1181 1140 1102 1189 1119 1134 1128 11100</v>
      </c>
      <c r="L799" s="211">
        <f>IFERROR(__xludf.DUMMYFUNCTION("""COMPUTED_VALUE"""),47297.3)</f>
        <v>47297.3</v>
      </c>
      <c r="M799" s="211"/>
      <c r="N799" s="211"/>
      <c r="O799" s="211"/>
      <c r="Q799" s="210" t="str">
        <f>IFERROR(__xludf.DUMMYFUNCTION("""COMPUTED_VALUE"""),"3b43a135")</f>
        <v>3b43a135</v>
      </c>
      <c r="R799" s="210" t="str">
        <f>IFERROR(__xludf.DUMMYFUNCTION("""COMPUTED_VALUE"""),"3b43a135")</f>
        <v>3b43a135</v>
      </c>
      <c r="S799" s="211" t="str">
        <f>IFERROR(__xludf.DUMMYFUNCTION("""COMPUTED_VALUE"""),"2d88931c")</f>
        <v>2d88931c</v>
      </c>
      <c r="T799" s="211" t="str">
        <f>IFERROR(__xludf.DUMMYFUNCTION("""COMPUTED_VALUE"""),"PT Dunia Berkat Marga Mulya")</f>
        <v>PT Dunia Berkat Marga Mulya</v>
      </c>
      <c r="U799" s="215">
        <f>IFERROR(__xludf.DUMMYFUNCTION("""COMPUTED_VALUE"""),45798.49375)</f>
        <v>45798.49375</v>
      </c>
      <c r="V799" s="211" t="str">
        <f>IFERROR(__xludf.DUMMYFUNCTION("""COMPUTED_VALUE"""),"JL JABARAN, WATESARI, BALONGBENDO, SIDOARJO, JAWA TIMUR")</f>
        <v>JL JABARAN, WATESARI, BALONGBENDO, SIDOARJO, JAWA TIMUR</v>
      </c>
      <c r="W799" s="211" t="str">
        <f>IFERROR(__xludf.DUMMYFUNCTION("""COMPUTED_VALUE"""),"IN")</f>
        <v>IN</v>
      </c>
      <c r="X799" s="211"/>
      <c r="Z799" s="211" t="str">
        <f>IFERROR(__xludf.DUMMYFUNCTION("""COMPUTED_VALUE"""),"0925281363")</f>
        <v>0925281363</v>
      </c>
      <c r="AC799" s="211"/>
      <c r="AD799" s="211"/>
      <c r="AE799" s="211"/>
      <c r="AF799" s="211"/>
      <c r="AG799" s="211"/>
      <c r="AH799" s="211"/>
      <c r="AI799" s="211"/>
      <c r="AJ799" s="211"/>
      <c r="AL799" s="211"/>
      <c r="AM799" s="211"/>
      <c r="AN799" s="211"/>
      <c r="AO799" s="211"/>
      <c r="AP799" s="215"/>
      <c r="AQ799" s="218"/>
      <c r="AR799" s="211"/>
      <c r="AS799" s="211"/>
      <c r="AT799" s="211"/>
      <c r="AU799" s="211"/>
      <c r="AV799" s="211"/>
      <c r="AW799" s="211"/>
      <c r="AX799" s="211"/>
      <c r="AY799" s="211"/>
      <c r="AZ799" s="211"/>
      <c r="BB799" s="211"/>
      <c r="BC799" s="211"/>
      <c r="BD799" s="211"/>
      <c r="BE799" s="211"/>
      <c r="BF799" s="211"/>
      <c r="BG799" s="211"/>
      <c r="BH799" s="211"/>
      <c r="BI799" s="211"/>
    </row>
    <row r="800">
      <c r="A800" s="210" t="str">
        <f>IFERROR(__xludf.DUMMYFUNCTION("""COMPUTED_VALUE"""),"7f6f348f")</f>
        <v>7f6f348f</v>
      </c>
      <c r="B800" s="210" t="str">
        <f>IFERROR(__xludf.DUMMYFUNCTION("""COMPUTED_VALUE"""),"7f6f348f")</f>
        <v>7f6f348f</v>
      </c>
      <c r="C800" s="213">
        <f>IFERROR(__xludf.DUMMYFUNCTION("""COMPUTED_VALUE"""),45728.68680555555)</f>
        <v>45728.68681</v>
      </c>
      <c r="D800" s="211" t="str">
        <f>IFERROR(__xludf.DUMMYFUNCTION("""COMPUTED_VALUE"""),"01158be1")</f>
        <v>01158be1</v>
      </c>
      <c r="E800" s="211" t="str">
        <f>IFERROR(__xludf.DUMMYFUNCTION("""COMPUTED_VALUE"""),"GYF")</f>
        <v>GYF</v>
      </c>
      <c r="F800" s="211" t="str">
        <f>IFERROR(__xludf.DUMMYFUNCTION("""COMPUTED_VALUE"""),"8bdbe149")</f>
        <v>8bdbe149</v>
      </c>
      <c r="G800" s="211" t="str">
        <f>IFERROR(__xludf.DUMMYFUNCTION("""COMPUTED_VALUE"""),"Oksigen 6m3")</f>
        <v>Oksigen 6m3</v>
      </c>
      <c r="H800" s="214" t="str">
        <f>IFERROR(__xludf.DUMMYFUNCTION("""COMPUTED_VALUE"""),"IN")</f>
        <v>IN</v>
      </c>
      <c r="I800" s="214" t="str">
        <f>IFERROR(__xludf.DUMMYFUNCTION("""COMPUTED_VALUE"""),"EMPTY")</f>
        <v>EMPTY</v>
      </c>
      <c r="J800" s="211">
        <f>IFERROR(__xludf.DUMMYFUNCTION("""COMPUTED_VALUE"""),2.0)</f>
        <v>2</v>
      </c>
      <c r="K800" s="210" t="str">
        <f>IFERROR(__xludf.DUMMYFUNCTION("""COMPUTED_VALUE"""),"11129 11105")</f>
        <v>11129 11105</v>
      </c>
      <c r="L800" s="211">
        <f>IFERROR(__xludf.DUMMYFUNCTION("""COMPUTED_VALUE"""),0.0)</f>
        <v>0</v>
      </c>
      <c r="M800" s="211"/>
      <c r="N800" s="211"/>
      <c r="O800" s="211"/>
      <c r="Q800" s="210" t="str">
        <f>IFERROR(__xludf.DUMMYFUNCTION("""COMPUTED_VALUE"""),"2916e14d")</f>
        <v>2916e14d</v>
      </c>
      <c r="R800" s="210" t="str">
        <f>IFERROR(__xludf.DUMMYFUNCTION("""COMPUTED_VALUE"""),"2916e14d")</f>
        <v>2916e14d</v>
      </c>
      <c r="S800" s="211" t="str">
        <f>IFERROR(__xludf.DUMMYFUNCTION("""COMPUTED_VALUE"""),"1bf27092")</f>
        <v>1bf27092</v>
      </c>
      <c r="T800" s="211" t="str">
        <f>IFERROR(__xludf.DUMMYFUNCTION("""COMPUTED_VALUE"""),"Bpk. Ari Budiarto")</f>
        <v>Bpk. Ari Budiarto</v>
      </c>
      <c r="U800" s="215">
        <f>IFERROR(__xludf.DUMMYFUNCTION("""COMPUTED_VALUE"""),45798.49444444444)</f>
        <v>45798.49444</v>
      </c>
      <c r="V800" s="211" t="str">
        <f>IFERROR(__xludf.DUMMYFUNCTION("""COMPUTED_VALUE"""),"Jl. Raya Balongbendo 232, Bakalan, Bakalan Wringinpitu, Kec. BalongBendo, Kabupaten Sidoarjo, Jawa Timur 61263")</f>
        <v>Jl. Raya Balongbendo 232, Bakalan, Bakalan Wringinpitu, Kec. BalongBendo, Kabupaten Sidoarjo, Jawa Timur 61263</v>
      </c>
      <c r="W800" s="211" t="str">
        <f>IFERROR(__xludf.DUMMYFUNCTION("""COMPUTED_VALUE"""),"IN")</f>
        <v>IN</v>
      </c>
      <c r="X800" s="211"/>
      <c r="Z800" s="211" t="str">
        <f>IFERROR(__xludf.DUMMYFUNCTION("""COMPUTED_VALUE"""),"0925111362")</f>
        <v>0925111362</v>
      </c>
      <c r="AC800" s="211"/>
      <c r="AD800" s="211"/>
      <c r="AE800" s="211"/>
      <c r="AF800" s="211"/>
      <c r="AG800" s="211"/>
      <c r="AH800" s="211"/>
      <c r="AI800" s="211"/>
      <c r="AJ800" s="211"/>
      <c r="AL800" s="211"/>
      <c r="AM800" s="211"/>
      <c r="AN800" s="211"/>
      <c r="AO800" s="211"/>
      <c r="AP800" s="215"/>
      <c r="AQ800" s="218"/>
      <c r="AR800" s="211"/>
      <c r="AS800" s="211"/>
      <c r="AT800" s="211"/>
      <c r="AU800" s="211"/>
      <c r="AV800" s="211"/>
      <c r="AW800" s="211"/>
      <c r="AX800" s="211"/>
      <c r="AY800" s="211"/>
      <c r="AZ800" s="211"/>
      <c r="BB800" s="211"/>
      <c r="BC800" s="211"/>
      <c r="BD800" s="211"/>
      <c r="BE800" s="211"/>
      <c r="BF800" s="211"/>
      <c r="BG800" s="211"/>
      <c r="BH800" s="211"/>
      <c r="BI800" s="211"/>
    </row>
    <row r="801">
      <c r="A801" s="210" t="str">
        <f>IFERROR(__xludf.DUMMYFUNCTION("""COMPUTED_VALUE"""),"c10fcfb0")</f>
        <v>c10fcfb0</v>
      </c>
      <c r="B801" s="210" t="str">
        <f>IFERROR(__xludf.DUMMYFUNCTION("""COMPUTED_VALUE"""),"c10fcfb0")</f>
        <v>c10fcfb0</v>
      </c>
      <c r="C801" s="213">
        <f>IFERROR(__xludf.DUMMYFUNCTION("""COMPUTED_VALUE"""),45728.6875)</f>
        <v>45728.6875</v>
      </c>
      <c r="D801" s="211" t="str">
        <f>IFERROR(__xludf.DUMMYFUNCTION("""COMPUTED_VALUE"""),"785e0e07")</f>
        <v>785e0e07</v>
      </c>
      <c r="E801" s="211" t="str">
        <f>IFERROR(__xludf.DUMMYFUNCTION("""COMPUTED_VALUE"""),"Bpk. Sukirno (Bejo)")</f>
        <v>Bpk. Sukirno (Bejo)</v>
      </c>
      <c r="F801" s="211" t="str">
        <f>IFERROR(__xludf.DUMMYFUNCTION("""COMPUTED_VALUE"""),"8bdbe149")</f>
        <v>8bdbe149</v>
      </c>
      <c r="G801" s="211" t="str">
        <f>IFERROR(__xludf.DUMMYFUNCTION("""COMPUTED_VALUE"""),"Oksigen 6m3")</f>
        <v>Oksigen 6m3</v>
      </c>
      <c r="H801" s="214" t="str">
        <f>IFERROR(__xludf.DUMMYFUNCTION("""COMPUTED_VALUE"""),"IN")</f>
        <v>IN</v>
      </c>
      <c r="I801" s="214" t="str">
        <f>IFERROR(__xludf.DUMMYFUNCTION("""COMPUTED_VALUE"""),"EMPTY")</f>
        <v>EMPTY</v>
      </c>
      <c r="J801" s="211">
        <f>IFERROR(__xludf.DUMMYFUNCTION("""COMPUTED_VALUE"""),10.0)</f>
        <v>10</v>
      </c>
      <c r="K801" s="210" t="str">
        <f>IFERROR(__xludf.DUMMYFUNCTION("""COMPUTED_VALUE"""),"1116 11169 11173 1137 11200 1141 11171 1195 1111 1125")</f>
        <v>1116 11169 11173 1137 11200 1141 11171 1195 1111 1125</v>
      </c>
      <c r="L801" s="211">
        <f>IFERROR(__xludf.DUMMYFUNCTION("""COMPUTED_VALUE"""),0.0)</f>
        <v>0</v>
      </c>
      <c r="M801" s="211"/>
      <c r="N801" s="211"/>
      <c r="O801" s="211"/>
      <c r="Q801" s="210" t="str">
        <f>IFERROR(__xludf.DUMMYFUNCTION("""COMPUTED_VALUE"""),"69b421ed")</f>
        <v>69b421ed</v>
      </c>
      <c r="R801" s="210" t="str">
        <f>IFERROR(__xludf.DUMMYFUNCTION("""COMPUTED_VALUE"""),"69b421ed")</f>
        <v>69b421ed</v>
      </c>
      <c r="S801" s="211" t="str">
        <f>IFERROR(__xludf.DUMMYFUNCTION("""COMPUTED_VALUE"""),"3bcd7fe6")</f>
        <v>3bcd7fe6</v>
      </c>
      <c r="T801" s="211" t="str">
        <f>IFERROR(__xludf.DUMMYFUNCTION("""COMPUTED_VALUE"""),"Bpk. Alvin (LB Group)")</f>
        <v>Bpk. Alvin (LB Group)</v>
      </c>
      <c r="U801" s="215">
        <f>IFERROR(__xludf.DUMMYFUNCTION("""COMPUTED_VALUE"""),45798.49513888889)</f>
        <v>45798.49514</v>
      </c>
      <c r="V801" s="211" t="str">
        <f>IFERROR(__xludf.DUMMYFUNCTION("""COMPUTED_VALUE"""),"MFF9+XHC, Jalan, Tambakrejo, Temuireng, Kec. Dawar Blandong, Kabupaten Mojokerto, Jawa Timur 61354")</f>
        <v>MFF9+XHC, Jalan, Tambakrejo, Temuireng, Kec. Dawar Blandong, Kabupaten Mojokerto, Jawa Timur 61354</v>
      </c>
      <c r="W801" s="211" t="str">
        <f>IFERROR(__xludf.DUMMYFUNCTION("""COMPUTED_VALUE"""),"IN")</f>
        <v>IN</v>
      </c>
      <c r="X801" s="211"/>
      <c r="Z801" s="211" t="str">
        <f>IFERROR(__xludf.DUMMYFUNCTION("""COMPUTED_VALUE"""),"0925311361")</f>
        <v>0925311361</v>
      </c>
      <c r="AC801" s="211"/>
      <c r="AD801" s="211"/>
      <c r="AE801" s="211"/>
      <c r="AF801" s="211"/>
      <c r="AG801" s="211"/>
      <c r="AH801" s="211"/>
      <c r="AI801" s="211"/>
      <c r="AJ801" s="211"/>
      <c r="AL801" s="211"/>
      <c r="AM801" s="211"/>
      <c r="AN801" s="211"/>
      <c r="AO801" s="211"/>
      <c r="AP801" s="215"/>
      <c r="AQ801" s="218"/>
      <c r="AR801" s="211"/>
      <c r="AS801" s="211"/>
      <c r="AT801" s="211"/>
      <c r="AU801" s="211"/>
      <c r="AV801" s="211"/>
      <c r="AW801" s="211"/>
      <c r="AX801" s="211"/>
      <c r="AY801" s="211"/>
      <c r="AZ801" s="211"/>
      <c r="BB801" s="211"/>
      <c r="BC801" s="211"/>
      <c r="BD801" s="211"/>
      <c r="BE801" s="211"/>
      <c r="BF801" s="211"/>
      <c r="BG801" s="211"/>
      <c r="BH801" s="211"/>
      <c r="BI801" s="211"/>
    </row>
    <row r="802">
      <c r="A802" s="210" t="str">
        <f>IFERROR(__xludf.DUMMYFUNCTION("""COMPUTED_VALUE"""),"c10fcfb0")</f>
        <v>c10fcfb0</v>
      </c>
      <c r="B802" s="210" t="str">
        <f>IFERROR(__xludf.DUMMYFUNCTION("""COMPUTED_VALUE"""),"c10fcfb0")</f>
        <v>c10fcfb0</v>
      </c>
      <c r="C802" s="213">
        <f>IFERROR(__xludf.DUMMYFUNCTION("""COMPUTED_VALUE"""),45728.68819444445)</f>
        <v>45728.68819</v>
      </c>
      <c r="D802" s="211" t="str">
        <f>IFERROR(__xludf.DUMMYFUNCTION("""COMPUTED_VALUE"""),"785e0e07")</f>
        <v>785e0e07</v>
      </c>
      <c r="E802" s="211" t="str">
        <f>IFERROR(__xludf.DUMMYFUNCTION("""COMPUTED_VALUE"""),"Bpk. Sukirno (Bejo)")</f>
        <v>Bpk. Sukirno (Bejo)</v>
      </c>
      <c r="F802" s="211" t="str">
        <f>IFERROR(__xludf.DUMMYFUNCTION("""COMPUTED_VALUE"""),"be525f3b")</f>
        <v>be525f3b</v>
      </c>
      <c r="G802" s="211" t="str">
        <f>IFERROR(__xludf.DUMMYFUNCTION("""COMPUTED_VALUE"""),"LPG 12kg")</f>
        <v>LPG 12kg</v>
      </c>
      <c r="H802" s="214" t="str">
        <f>IFERROR(__xludf.DUMMYFUNCTION("""COMPUTED_VALUE"""),"IN")</f>
        <v>IN</v>
      </c>
      <c r="I802" s="214" t="str">
        <f>IFERROR(__xludf.DUMMYFUNCTION("""COMPUTED_VALUE"""),"EMPTY")</f>
        <v>EMPTY</v>
      </c>
      <c r="J802" s="211">
        <f>IFERROR(__xludf.DUMMYFUNCTION("""COMPUTED_VALUE"""),1.0)</f>
        <v>1</v>
      </c>
      <c r="K802" s="211"/>
      <c r="L802" s="211">
        <f>IFERROR(__xludf.DUMMYFUNCTION("""COMPUTED_VALUE"""),0.0)</f>
        <v>0</v>
      </c>
      <c r="M802" s="211"/>
      <c r="N802" s="211"/>
      <c r="O802" s="211"/>
      <c r="Q802" s="210" t="str">
        <f>IFERROR(__xludf.DUMMYFUNCTION("""COMPUTED_VALUE"""),"98ad6957")</f>
        <v>98ad6957</v>
      </c>
      <c r="R802" s="210" t="str">
        <f>IFERROR(__xludf.DUMMYFUNCTION("""COMPUTED_VALUE"""),"98ad6957")</f>
        <v>98ad6957</v>
      </c>
      <c r="S802" s="211" t="str">
        <f>IFERROR(__xludf.DUMMYFUNCTION("""COMPUTED_VALUE"""),"785e0e07")</f>
        <v>785e0e07</v>
      </c>
      <c r="T802" s="211" t="str">
        <f>IFERROR(__xludf.DUMMYFUNCTION("""COMPUTED_VALUE"""),"Bpk. Sukirno (Bejo)")</f>
        <v>Bpk. Sukirno (Bejo)</v>
      </c>
      <c r="U802" s="215">
        <f>IFERROR(__xludf.DUMMYFUNCTION("""COMPUTED_VALUE"""),45798.6875)</f>
        <v>45798.6875</v>
      </c>
      <c r="V802" s="211" t="str">
        <f>IFERROR(__xludf.DUMMYFUNCTION("""COMPUTED_VALUE"""),"Krajan I, Wringinanom, Kec. Wringinanom, Kabupaten Gresik, Jawa Timur 61176")</f>
        <v>Krajan I, Wringinanom, Kec. Wringinanom, Kabupaten Gresik, Jawa Timur 61176</v>
      </c>
      <c r="W802" s="211" t="str">
        <f>IFERROR(__xludf.DUMMYFUNCTION("""COMPUTED_VALUE"""),"IN")</f>
        <v>IN</v>
      </c>
      <c r="X802" s="211"/>
      <c r="Z802" s="211" t="str">
        <f>IFERROR(__xludf.DUMMYFUNCTION("""COMPUTED_VALUE"""),"092511356")</f>
        <v>092511356</v>
      </c>
      <c r="AC802" s="211"/>
      <c r="AD802" s="211"/>
      <c r="AE802" s="211"/>
      <c r="AF802" s="211"/>
      <c r="AG802" s="211"/>
      <c r="AH802" s="211"/>
      <c r="AI802" s="211"/>
      <c r="AJ802" s="211"/>
      <c r="AL802" s="211"/>
      <c r="AM802" s="211"/>
      <c r="AN802" s="211"/>
      <c r="AO802" s="211"/>
      <c r="AP802" s="215"/>
      <c r="AQ802" s="218"/>
      <c r="AR802" s="211"/>
      <c r="AS802" s="211"/>
      <c r="AT802" s="211"/>
      <c r="AU802" s="211"/>
      <c r="AV802" s="211"/>
      <c r="AW802" s="211"/>
      <c r="AX802" s="211"/>
      <c r="AY802" s="211"/>
      <c r="AZ802" s="211"/>
      <c r="BB802" s="211"/>
      <c r="BC802" s="211"/>
      <c r="BD802" s="211"/>
      <c r="BE802" s="211"/>
      <c r="BF802" s="211"/>
      <c r="BG802" s="211"/>
      <c r="BH802" s="211"/>
      <c r="BI802" s="211"/>
    </row>
    <row r="803">
      <c r="A803" s="210" t="str">
        <f>IFERROR(__xludf.DUMMYFUNCTION("""COMPUTED_VALUE"""),"5945486c")</f>
        <v>5945486c</v>
      </c>
      <c r="B803" s="210" t="str">
        <f>IFERROR(__xludf.DUMMYFUNCTION("""COMPUTED_VALUE"""),"5945486c")</f>
        <v>5945486c</v>
      </c>
      <c r="C803" s="213">
        <f>IFERROR(__xludf.DUMMYFUNCTION("""COMPUTED_VALUE"""),45728.688888888886)</f>
        <v>45728.68889</v>
      </c>
      <c r="D803" s="211" t="str">
        <f>IFERROR(__xludf.DUMMYFUNCTION("""COMPUTED_VALUE"""),"2d88931c")</f>
        <v>2d88931c</v>
      </c>
      <c r="E803" s="211" t="str">
        <f>IFERROR(__xludf.DUMMYFUNCTION("""COMPUTED_VALUE"""),"PT Dunia Berkat Marga Mulya")</f>
        <v>PT Dunia Berkat Marga Mulya</v>
      </c>
      <c r="F803" s="211" t="str">
        <f>IFERROR(__xludf.DUMMYFUNCTION("""COMPUTED_VALUE"""),"8bdbe149")</f>
        <v>8bdbe149</v>
      </c>
      <c r="G803" s="211" t="str">
        <f>IFERROR(__xludf.DUMMYFUNCTION("""COMPUTED_VALUE"""),"Oksigen 6m3")</f>
        <v>Oksigen 6m3</v>
      </c>
      <c r="H803" s="214" t="str">
        <f>IFERROR(__xludf.DUMMYFUNCTION("""COMPUTED_VALUE"""),"IN")</f>
        <v>IN</v>
      </c>
      <c r="I803" s="214" t="str">
        <f>IFERROR(__xludf.DUMMYFUNCTION("""COMPUTED_VALUE"""),"EMPTY")</f>
        <v>EMPTY</v>
      </c>
      <c r="J803" s="211">
        <f>IFERROR(__xludf.DUMMYFUNCTION("""COMPUTED_VALUE"""),2.0)</f>
        <v>2</v>
      </c>
      <c r="K803" s="210" t="str">
        <f>IFERROR(__xludf.DUMMYFUNCTION("""COMPUTED_VALUE"""),"1113 1146")</f>
        <v>1113 1146</v>
      </c>
      <c r="L803" s="211">
        <f>IFERROR(__xludf.DUMMYFUNCTION("""COMPUTED_VALUE"""),0.0)</f>
        <v>0</v>
      </c>
      <c r="M803" s="211"/>
      <c r="N803" s="211"/>
      <c r="O803" s="211"/>
      <c r="Q803" s="210" t="str">
        <f>IFERROR(__xludf.DUMMYFUNCTION("""COMPUTED_VALUE"""),"baa28913")</f>
        <v>baa28913</v>
      </c>
      <c r="R803" s="210" t="str">
        <f>IFERROR(__xludf.DUMMYFUNCTION("""COMPUTED_VALUE"""),"baa28913")</f>
        <v>baa28913</v>
      </c>
      <c r="S803" s="211" t="str">
        <f>IFERROR(__xludf.DUMMYFUNCTION("""COMPUTED_VALUE"""),"8f5ebaea")</f>
        <v>8f5ebaea</v>
      </c>
      <c r="T803" s="211" t="str">
        <f>IFERROR(__xludf.DUMMYFUNCTION("""COMPUTED_VALUE"""),"PT Hua Zong Mesindo")</f>
        <v>PT Hua Zong Mesindo</v>
      </c>
      <c r="U803" s="215">
        <f>IFERROR(__xludf.DUMMYFUNCTION("""COMPUTED_VALUE"""),45798.6875)</f>
        <v>45798.6875</v>
      </c>
      <c r="V803" s="211" t="str">
        <f>IFERROR(__xludf.DUMMYFUNCTION("""COMPUTED_VALUE"""),"Jl. Bypass Krian, Sidotemo, Sidomulyo, Kec. Krian, Kabupaten Sidoarjo, Jawa Timur 61262")</f>
        <v>Jl. Bypass Krian, Sidotemo, Sidomulyo, Kec. Krian, Kabupaten Sidoarjo, Jawa Timur 61262</v>
      </c>
      <c r="W803" s="211" t="str">
        <f>IFERROR(__xludf.DUMMYFUNCTION("""COMPUTED_VALUE"""),"IN")</f>
        <v>IN</v>
      </c>
      <c r="X803" s="211"/>
      <c r="Z803" s="211" t="str">
        <f>IFERROR(__xludf.DUMMYFUNCTION("""COMPUTED_VALUE"""),"092541355")</f>
        <v>092541355</v>
      </c>
      <c r="AC803" s="211"/>
      <c r="AD803" s="211"/>
      <c r="AE803" s="211"/>
      <c r="AF803" s="211"/>
      <c r="AG803" s="211"/>
      <c r="AH803" s="211"/>
      <c r="AI803" s="211"/>
      <c r="AJ803" s="211"/>
      <c r="AL803" s="211"/>
      <c r="AM803" s="211"/>
      <c r="AN803" s="211"/>
      <c r="AO803" s="211"/>
      <c r="AP803" s="215"/>
      <c r="AQ803" s="218"/>
      <c r="AR803" s="211"/>
      <c r="AS803" s="211"/>
      <c r="AT803" s="211"/>
      <c r="AU803" s="211"/>
      <c r="AV803" s="211"/>
      <c r="AW803" s="211"/>
      <c r="AX803" s="211"/>
      <c r="AY803" s="211"/>
      <c r="AZ803" s="211"/>
      <c r="BB803" s="211"/>
      <c r="BC803" s="211"/>
      <c r="BD803" s="211"/>
      <c r="BE803" s="211"/>
      <c r="BF803" s="211"/>
      <c r="BG803" s="211"/>
      <c r="BH803" s="211"/>
      <c r="BI803" s="211"/>
    </row>
    <row r="804">
      <c r="A804" s="210" t="str">
        <f>IFERROR(__xludf.DUMMYFUNCTION("""COMPUTED_VALUE"""),"03250321")</f>
        <v>03250321</v>
      </c>
      <c r="B804" s="210" t="str">
        <f>IFERROR(__xludf.DUMMYFUNCTION("""COMPUTED_VALUE"""),"03250321")</f>
        <v>03250321</v>
      </c>
      <c r="C804" s="213">
        <f>IFERROR(__xludf.DUMMYFUNCTION("""COMPUTED_VALUE"""),45729.354166666664)</f>
        <v>45729.35417</v>
      </c>
      <c r="D804" s="211" t="str">
        <f>IFERROR(__xludf.DUMMYFUNCTION("""COMPUTED_VALUE"""),"2d88931c")</f>
        <v>2d88931c</v>
      </c>
      <c r="E804" s="211" t="str">
        <f>IFERROR(__xludf.DUMMYFUNCTION("""COMPUTED_VALUE"""),"PT Dunia Berkat Marga Mulya")</f>
        <v>PT Dunia Berkat Marga Mulya</v>
      </c>
      <c r="F804" s="211" t="str">
        <f>IFERROR(__xludf.DUMMYFUNCTION("""COMPUTED_VALUE"""),"8bdbe149")</f>
        <v>8bdbe149</v>
      </c>
      <c r="G804" s="211" t="str">
        <f>IFERROR(__xludf.DUMMYFUNCTION("""COMPUTED_VALUE"""),"Oksigen 6m3")</f>
        <v>Oksigen 6m3</v>
      </c>
      <c r="H804" s="214" t="str">
        <f>IFERROR(__xludf.DUMMYFUNCTION("""COMPUTED_VALUE"""),"OUT")</f>
        <v>OUT</v>
      </c>
      <c r="I804" s="214" t="str">
        <f>IFERROR(__xludf.DUMMYFUNCTION("""COMPUTED_VALUE"""),"NORMAL")</f>
        <v>NORMAL</v>
      </c>
      <c r="J804" s="211">
        <f>IFERROR(__xludf.DUMMYFUNCTION("""COMPUTED_VALUE"""),3.0)</f>
        <v>3</v>
      </c>
      <c r="K804" s="210" t="str">
        <f>IFERROR(__xludf.DUMMYFUNCTION("""COMPUTED_VALUE"""),"11182 1157 1163")</f>
        <v>11182 1157 1163</v>
      </c>
      <c r="L804" s="211">
        <f>IFERROR(__xludf.DUMMYFUNCTION("""COMPUTED_VALUE"""),60000.0)</f>
        <v>60000</v>
      </c>
      <c r="M804" s="211"/>
      <c r="N804" s="211"/>
      <c r="O804" s="211"/>
      <c r="Q804" s="210" t="str">
        <f>IFERROR(__xludf.DUMMYFUNCTION("""COMPUTED_VALUE"""),"05250446")</f>
        <v>05250446</v>
      </c>
      <c r="R804" s="210" t="str">
        <f>IFERROR(__xludf.DUMMYFUNCTION("""COMPUTED_VALUE"""),"05250446")</f>
        <v>05250446</v>
      </c>
      <c r="S804" s="211" t="str">
        <f>IFERROR(__xludf.DUMMYFUNCTION("""COMPUTED_VALUE"""),"e86baf3b")</f>
        <v>e86baf3b</v>
      </c>
      <c r="T804" s="211" t="str">
        <f>IFERROR(__xludf.DUMMYFUNCTION("""COMPUTED_VALUE"""),"PT GEMILANG CIPTA WAWASAN")</f>
        <v>PT GEMILANG CIPTA WAWASAN</v>
      </c>
      <c r="U804" s="215">
        <f>IFERROR(__xludf.DUMMYFUNCTION("""COMPUTED_VALUE"""),45799.37361111111)</f>
        <v>45799.37361</v>
      </c>
      <c r="V804" s="211" t="str">
        <f>IFERROR(__xludf.DUMMYFUNCTION("""COMPUTED_VALUE"""),"JL TEBET RAYA, 2A, TEBET BARAT, TEBET, KOTA ADM, JAKARTA SELATAN, DKI JAKARTA")</f>
        <v>JL TEBET RAYA, 2A, TEBET BARAT, TEBET, KOTA ADM, JAKARTA SELATAN, DKI JAKARTA</v>
      </c>
      <c r="W804" s="211" t="str">
        <f>IFERROR(__xludf.DUMMYFUNCTION("""COMPUTED_VALUE"""),"OUT")</f>
        <v>OUT</v>
      </c>
      <c r="X804" s="211"/>
      <c r="Z804" s="211" t="str">
        <f>IFERROR(__xludf.DUMMYFUNCTION("""COMPUTED_VALUE"""),"092511352")</f>
        <v>092511352</v>
      </c>
      <c r="AC804" s="211"/>
      <c r="AD804" s="211"/>
      <c r="AE804" s="211"/>
      <c r="AF804" s="211"/>
      <c r="AG804" s="211"/>
      <c r="AH804" s="211"/>
      <c r="AI804" s="211"/>
      <c r="AJ804" s="211"/>
      <c r="AL804" s="211"/>
      <c r="AM804" s="211"/>
      <c r="AN804" s="211"/>
      <c r="AO804" s="211"/>
      <c r="AP804" s="215"/>
      <c r="AQ804" s="218"/>
      <c r="AR804" s="211"/>
      <c r="AS804" s="211"/>
      <c r="AT804" s="211"/>
      <c r="AU804" s="211"/>
      <c r="AV804" s="211"/>
      <c r="AW804" s="211"/>
      <c r="AX804" s="211"/>
      <c r="AY804" s="211"/>
      <c r="AZ804" s="211"/>
      <c r="BB804" s="211"/>
      <c r="BC804" s="211"/>
      <c r="BD804" s="211"/>
      <c r="BE804" s="211"/>
      <c r="BF804" s="211"/>
      <c r="BG804" s="211"/>
      <c r="BH804" s="211"/>
      <c r="BI804" s="211"/>
    </row>
    <row r="805">
      <c r="A805" s="210" t="str">
        <f>IFERROR(__xludf.DUMMYFUNCTION("""COMPUTED_VALUE"""),"03250322")</f>
        <v>03250322</v>
      </c>
      <c r="B805" s="210" t="str">
        <f>IFERROR(__xludf.DUMMYFUNCTION("""COMPUTED_VALUE"""),"03250322")</f>
        <v>03250322</v>
      </c>
      <c r="C805" s="213">
        <f>IFERROR(__xludf.DUMMYFUNCTION("""COMPUTED_VALUE"""),45729.36111111111)</f>
        <v>45729.36111</v>
      </c>
      <c r="D805" s="211" t="str">
        <f>IFERROR(__xludf.DUMMYFUNCTION("""COMPUTED_VALUE"""),"df6bdc5d")</f>
        <v>df6bdc5d</v>
      </c>
      <c r="E805" s="211" t="str">
        <f>IFERROR(__xludf.DUMMYFUNCTION("""COMPUTED_VALUE"""),"Bpk. Maruf")</f>
        <v>Bpk. Maruf</v>
      </c>
      <c r="F805" s="211" t="str">
        <f>IFERROR(__xludf.DUMMYFUNCTION("""COMPUTED_VALUE"""),"8bdbe149")</f>
        <v>8bdbe149</v>
      </c>
      <c r="G805" s="211" t="str">
        <f>IFERROR(__xludf.DUMMYFUNCTION("""COMPUTED_VALUE"""),"Oksigen 6m3")</f>
        <v>Oksigen 6m3</v>
      </c>
      <c r="H805" s="214" t="str">
        <f>IFERROR(__xludf.DUMMYFUNCTION("""COMPUTED_VALUE"""),"OUT")</f>
        <v>OUT</v>
      </c>
      <c r="I805" s="214" t="str">
        <f>IFERROR(__xludf.DUMMYFUNCTION("""COMPUTED_VALUE"""),"NORMAL")</f>
        <v>NORMAL</v>
      </c>
      <c r="J805" s="211">
        <f>IFERROR(__xludf.DUMMYFUNCTION("""COMPUTED_VALUE"""),13.0)</f>
        <v>13</v>
      </c>
      <c r="K805" s="211"/>
      <c r="L805" s="211">
        <f>IFERROR(__xludf.DUMMYFUNCTION("""COMPUTED_VALUE"""),60000.0)</f>
        <v>60000</v>
      </c>
      <c r="M805" s="211"/>
      <c r="N805" s="211"/>
      <c r="O805" s="211"/>
      <c r="Q805" s="210" t="str">
        <f>IFERROR(__xludf.DUMMYFUNCTION("""COMPUTED_VALUE"""),"05250447")</f>
        <v>05250447</v>
      </c>
      <c r="R805" s="210" t="str">
        <f>IFERROR(__xludf.DUMMYFUNCTION("""COMPUTED_VALUE"""),"05250447")</f>
        <v>05250447</v>
      </c>
      <c r="S805" s="211" t="str">
        <f>IFERROR(__xludf.DUMMYFUNCTION("""COMPUTED_VALUE"""),"4edfe755")</f>
        <v>4edfe755</v>
      </c>
      <c r="T805" s="211" t="str">
        <f>IFERROR(__xludf.DUMMYFUNCTION("""COMPUTED_VALUE"""),"Bpk. Ibnu")</f>
        <v>Bpk. Ibnu</v>
      </c>
      <c r="U805" s="215">
        <f>IFERROR(__xludf.DUMMYFUNCTION("""COMPUTED_VALUE"""),45799.38055555556)</f>
        <v>45799.38056</v>
      </c>
      <c r="V805" s="211" t="str">
        <f>IFERROR(__xludf.DUMMYFUNCTION("""COMPUTED_VALUE"""),"HGQF+482 Wonokupang, Sidoarjo, Jawa Timur")</f>
        <v>HGQF+482 Wonokupang, Sidoarjo, Jawa Timur</v>
      </c>
      <c r="W805" s="211" t="str">
        <f>IFERROR(__xludf.DUMMYFUNCTION("""COMPUTED_VALUE"""),"OUT")</f>
        <v>OUT</v>
      </c>
      <c r="X805" s="211"/>
      <c r="Z805" s="211" t="str">
        <f>IFERROR(__xludf.DUMMYFUNCTION("""COMPUTED_VALUE"""),"0925101346")</f>
        <v>0925101346</v>
      </c>
      <c r="AC805" s="211"/>
      <c r="AD805" s="211"/>
      <c r="AE805" s="211"/>
      <c r="AF805" s="211"/>
      <c r="AG805" s="211"/>
      <c r="AH805" s="211"/>
      <c r="AI805" s="211"/>
      <c r="AJ805" s="211"/>
      <c r="AL805" s="211"/>
      <c r="AM805" s="211"/>
      <c r="AN805" s="211"/>
      <c r="AO805" s="211"/>
      <c r="AP805" s="215"/>
      <c r="AQ805" s="218"/>
      <c r="AR805" s="211"/>
      <c r="AS805" s="211"/>
      <c r="AT805" s="211"/>
      <c r="AU805" s="211"/>
      <c r="AV805" s="211"/>
      <c r="AW805" s="211"/>
      <c r="AX805" s="211"/>
      <c r="AY805" s="211"/>
      <c r="AZ805" s="211"/>
      <c r="BB805" s="211"/>
      <c r="BC805" s="211"/>
      <c r="BD805" s="211"/>
      <c r="BE805" s="211"/>
      <c r="BF805" s="211"/>
      <c r="BG805" s="211"/>
      <c r="BH805" s="211"/>
      <c r="BI805" s="211"/>
    </row>
    <row r="806">
      <c r="A806" s="210" t="str">
        <f>IFERROR(__xludf.DUMMYFUNCTION("""COMPUTED_VALUE"""),"03250322")</f>
        <v>03250322</v>
      </c>
      <c r="B806" s="210" t="str">
        <f>IFERROR(__xludf.DUMMYFUNCTION("""COMPUTED_VALUE"""),"03250322")</f>
        <v>03250322</v>
      </c>
      <c r="C806" s="213">
        <f>IFERROR(__xludf.DUMMYFUNCTION("""COMPUTED_VALUE"""),45729.36111111111)</f>
        <v>45729.36111</v>
      </c>
      <c r="D806" s="211" t="str">
        <f>IFERROR(__xludf.DUMMYFUNCTION("""COMPUTED_VALUE"""),"df6bdc5d")</f>
        <v>df6bdc5d</v>
      </c>
      <c r="E806" s="211" t="str">
        <f>IFERROR(__xludf.DUMMYFUNCTION("""COMPUTED_VALUE"""),"Bpk. Maruf")</f>
        <v>Bpk. Maruf</v>
      </c>
      <c r="F806" s="211" t="str">
        <f>IFERROR(__xludf.DUMMYFUNCTION("""COMPUTED_VALUE"""),"be525f3b")</f>
        <v>be525f3b</v>
      </c>
      <c r="G806" s="211" t="str">
        <f>IFERROR(__xludf.DUMMYFUNCTION("""COMPUTED_VALUE"""),"LPG 12kg")</f>
        <v>LPG 12kg</v>
      </c>
      <c r="H806" s="214" t="str">
        <f>IFERROR(__xludf.DUMMYFUNCTION("""COMPUTED_VALUE"""),"OUT")</f>
        <v>OUT</v>
      </c>
      <c r="I806" s="214" t="str">
        <f>IFERROR(__xludf.DUMMYFUNCTION("""COMPUTED_VALUE"""),"NORMAL")</f>
        <v>NORMAL</v>
      </c>
      <c r="J806" s="211">
        <f>IFERROR(__xludf.DUMMYFUNCTION("""COMPUTED_VALUE"""),2.0)</f>
        <v>2</v>
      </c>
      <c r="K806" s="211"/>
      <c r="L806" s="211">
        <f>IFERROR(__xludf.DUMMYFUNCTION("""COMPUTED_VALUE"""),215000.0)</f>
        <v>215000</v>
      </c>
      <c r="M806" s="211"/>
      <c r="N806" s="211"/>
      <c r="O806" s="211"/>
      <c r="Q806" s="210" t="str">
        <f>IFERROR(__xludf.DUMMYFUNCTION("""COMPUTED_VALUE"""),"58384560")</f>
        <v>58384560</v>
      </c>
      <c r="R806" s="210" t="str">
        <f>IFERROR(__xludf.DUMMYFUNCTION("""COMPUTED_VALUE"""),"58384560")</f>
        <v>58384560</v>
      </c>
      <c r="S806" s="211" t="str">
        <f>IFERROR(__xludf.DUMMYFUNCTION("""COMPUTED_VALUE"""),"e86baf3b")</f>
        <v>e86baf3b</v>
      </c>
      <c r="T806" s="211" t="str">
        <f>IFERROR(__xludf.DUMMYFUNCTION("""COMPUTED_VALUE"""),"PT GEMILANG CIPTA WAWASAN")</f>
        <v>PT GEMILANG CIPTA WAWASAN</v>
      </c>
      <c r="U806" s="215">
        <f>IFERROR(__xludf.DUMMYFUNCTION("""COMPUTED_VALUE"""),45799.53263888889)</f>
        <v>45799.53264</v>
      </c>
      <c r="V806" s="211" t="str">
        <f>IFERROR(__xludf.DUMMYFUNCTION("""COMPUTED_VALUE"""),"JL TEBET RAYA, 2A, TEBET BARAT, TEBET, KOTA ADM, JAKARTA SELATAN, DKI JAKARTA")</f>
        <v>JL TEBET RAYA, 2A, TEBET BARAT, TEBET, KOTA ADM, JAKARTA SELATAN, DKI JAKARTA</v>
      </c>
      <c r="W806" s="211" t="str">
        <f>IFERROR(__xludf.DUMMYFUNCTION("""COMPUTED_VALUE"""),"IN")</f>
        <v>IN</v>
      </c>
      <c r="X806" s="211"/>
      <c r="Z806" s="211" t="str">
        <f>IFERROR(__xludf.DUMMYFUNCTION("""COMPUTED_VALUE"""),"0925271345")</f>
        <v>0925271345</v>
      </c>
      <c r="AC806" s="211"/>
      <c r="AD806" s="211"/>
      <c r="AE806" s="211"/>
      <c r="AF806" s="211"/>
      <c r="AG806" s="211"/>
      <c r="AH806" s="211"/>
      <c r="AI806" s="211"/>
      <c r="AJ806" s="211"/>
      <c r="AL806" s="211"/>
      <c r="AM806" s="211"/>
      <c r="AN806" s="211"/>
      <c r="AO806" s="211"/>
      <c r="AP806" s="215"/>
      <c r="AQ806" s="218"/>
      <c r="AR806" s="211"/>
      <c r="AS806" s="211"/>
      <c r="AT806" s="211"/>
      <c r="AU806" s="211"/>
      <c r="AV806" s="211"/>
      <c r="AW806" s="211"/>
      <c r="AX806" s="211"/>
      <c r="AY806" s="211"/>
      <c r="AZ806" s="211"/>
      <c r="BB806" s="211"/>
      <c r="BC806" s="211"/>
      <c r="BD806" s="211"/>
      <c r="BE806" s="211"/>
      <c r="BF806" s="211"/>
      <c r="BG806" s="211"/>
      <c r="BH806" s="211"/>
      <c r="BI806" s="211"/>
    </row>
    <row r="807">
      <c r="A807" s="210" t="str">
        <f>IFERROR(__xludf.DUMMYFUNCTION("""COMPUTED_VALUE"""),"403250012")</f>
        <v>403250012</v>
      </c>
      <c r="B807" s="210" t="str">
        <f>IFERROR(__xludf.DUMMYFUNCTION("""COMPUTED_VALUE"""),"403250012")</f>
        <v>403250012</v>
      </c>
      <c r="C807" s="213">
        <f>IFERROR(__xludf.DUMMYFUNCTION("""COMPUTED_VALUE"""),45729.36111111111)</f>
        <v>45729.36111</v>
      </c>
      <c r="D807" s="211" t="str">
        <f>IFERROR(__xludf.DUMMYFUNCTION("""COMPUTED_VALUE"""),"df6bdc5d")</f>
        <v>df6bdc5d</v>
      </c>
      <c r="E807" s="211" t="str">
        <f>IFERROR(__xludf.DUMMYFUNCTION("""COMPUTED_VALUE"""),"Bpk. Maruf")</f>
        <v>Bpk. Maruf</v>
      </c>
      <c r="F807" s="211" t="str">
        <f>IFERROR(__xludf.DUMMYFUNCTION("""COMPUTED_VALUE"""),"8bdbe149")</f>
        <v>8bdbe149</v>
      </c>
      <c r="G807" s="211" t="str">
        <f>IFERROR(__xludf.DUMMYFUNCTION("""COMPUTED_VALUE"""),"Oksigen 6m3")</f>
        <v>Oksigen 6m3</v>
      </c>
      <c r="H807" s="214" t="str">
        <f>IFERROR(__xludf.DUMMYFUNCTION("""COMPUTED_VALUE"""),"OTHER")</f>
        <v>OTHER</v>
      </c>
      <c r="I807" s="214" t="str">
        <f>IFERROR(__xludf.DUMMYFUNCTION("""COMPUTED_VALUE"""),"RETUR CLAIM")</f>
        <v>RETUR CLAIM</v>
      </c>
      <c r="J807" s="211">
        <f>IFERROR(__xludf.DUMMYFUNCTION("""COMPUTED_VALUE"""),1.0)</f>
        <v>1</v>
      </c>
      <c r="K807" s="211"/>
      <c r="L807" s="211">
        <f>IFERROR(__xludf.DUMMYFUNCTION("""COMPUTED_VALUE"""),0.0)</f>
        <v>0</v>
      </c>
      <c r="M807" s="211"/>
      <c r="N807" s="211"/>
      <c r="O807" s="211"/>
      <c r="Q807" s="210" t="str">
        <f>IFERROR(__xludf.DUMMYFUNCTION("""COMPUTED_VALUE"""),"18e2306f")</f>
        <v>18e2306f</v>
      </c>
      <c r="R807" s="210" t="str">
        <f>IFERROR(__xludf.DUMMYFUNCTION("""COMPUTED_VALUE"""),"18e2306f")</f>
        <v>18e2306f</v>
      </c>
      <c r="S807" s="211" t="str">
        <f>IFERROR(__xludf.DUMMYFUNCTION("""COMPUTED_VALUE"""),"4edfe755")</f>
        <v>4edfe755</v>
      </c>
      <c r="T807" s="211" t="str">
        <f>IFERROR(__xludf.DUMMYFUNCTION("""COMPUTED_VALUE"""),"Bpk. Ibnu")</f>
        <v>Bpk. Ibnu</v>
      </c>
      <c r="U807" s="215">
        <f>IFERROR(__xludf.DUMMYFUNCTION("""COMPUTED_VALUE"""),45799.53333333333)</f>
        <v>45799.53333</v>
      </c>
      <c r="V807" s="211" t="str">
        <f>IFERROR(__xludf.DUMMYFUNCTION("""COMPUTED_VALUE"""),"HGQF+482 Wonokupang, Sidoarjo, Jawa Timur")</f>
        <v>HGQF+482 Wonokupang, Sidoarjo, Jawa Timur</v>
      </c>
      <c r="W807" s="211" t="str">
        <f>IFERROR(__xludf.DUMMYFUNCTION("""COMPUTED_VALUE"""),"IN")</f>
        <v>IN</v>
      </c>
      <c r="X807" s="211"/>
      <c r="Z807" s="211" t="str">
        <f>IFERROR(__xludf.DUMMYFUNCTION("""COMPUTED_VALUE"""),"0925531344")</f>
        <v>0925531344</v>
      </c>
      <c r="AC807" s="211"/>
      <c r="AD807" s="211"/>
      <c r="AE807" s="211"/>
      <c r="AF807" s="211"/>
      <c r="AG807" s="211"/>
      <c r="AH807" s="211"/>
      <c r="AI807" s="211"/>
      <c r="AJ807" s="211"/>
      <c r="AL807" s="211"/>
      <c r="AM807" s="211"/>
      <c r="AN807" s="211"/>
      <c r="AO807" s="211"/>
      <c r="AP807" s="215"/>
      <c r="AQ807" s="218"/>
      <c r="AR807" s="211"/>
      <c r="AS807" s="211"/>
      <c r="AT807" s="211"/>
      <c r="AU807" s="211"/>
      <c r="AV807" s="211"/>
      <c r="AW807" s="211"/>
      <c r="AX807" s="211"/>
      <c r="AY807" s="211"/>
      <c r="AZ807" s="211"/>
      <c r="BB807" s="211"/>
      <c r="BC807" s="211"/>
      <c r="BD807" s="211"/>
      <c r="BE807" s="211"/>
      <c r="BF807" s="211"/>
      <c r="BG807" s="211"/>
      <c r="BH807" s="211"/>
      <c r="BI807" s="211"/>
    </row>
    <row r="808">
      <c r="A808" s="210" t="str">
        <f>IFERROR(__xludf.DUMMYFUNCTION("""COMPUTED_VALUE"""),"2cf4335d")</f>
        <v>2cf4335d</v>
      </c>
      <c r="B808" s="210" t="str">
        <f>IFERROR(__xludf.DUMMYFUNCTION("""COMPUTED_VALUE"""),"2cf4335d")</f>
        <v>2cf4335d</v>
      </c>
      <c r="C808" s="213">
        <f>IFERROR(__xludf.DUMMYFUNCTION("""COMPUTED_VALUE"""),45729.470138888886)</f>
        <v>45729.47014</v>
      </c>
      <c r="D808" s="211" t="str">
        <f>IFERROR(__xludf.DUMMYFUNCTION("""COMPUTED_VALUE"""),"4a01ccb6")</f>
        <v>4a01ccb6</v>
      </c>
      <c r="E808" s="211" t="str">
        <f>IFERROR(__xludf.DUMMYFUNCTION("""COMPUTED_VALUE"""),"CV ANUGERAH PERSADA TEKNIK")</f>
        <v>CV ANUGERAH PERSADA TEKNIK</v>
      </c>
      <c r="F808" s="211" t="str">
        <f>IFERROR(__xludf.DUMMYFUNCTION("""COMPUTED_VALUE"""),"8bdbe149")</f>
        <v>8bdbe149</v>
      </c>
      <c r="G808" s="211" t="str">
        <f>IFERROR(__xludf.DUMMYFUNCTION("""COMPUTED_VALUE"""),"Oksigen 6m3")</f>
        <v>Oksigen 6m3</v>
      </c>
      <c r="H808" s="214" t="str">
        <f>IFERROR(__xludf.DUMMYFUNCTION("""COMPUTED_VALUE"""),"IN")</f>
        <v>IN</v>
      </c>
      <c r="I808" s="214" t="str">
        <f>IFERROR(__xludf.DUMMYFUNCTION("""COMPUTED_VALUE"""),"EMPTY")</f>
        <v>EMPTY</v>
      </c>
      <c r="J808" s="211">
        <f>IFERROR(__xludf.DUMMYFUNCTION("""COMPUTED_VALUE"""),2.0)</f>
        <v>2</v>
      </c>
      <c r="K808" s="210" t="str">
        <f>IFERROR(__xludf.DUMMYFUNCTION("""COMPUTED_VALUE"""),"1130 1132")</f>
        <v>1130 1132</v>
      </c>
      <c r="L808" s="211">
        <f>IFERROR(__xludf.DUMMYFUNCTION("""COMPUTED_VALUE"""),0.0)</f>
        <v>0</v>
      </c>
      <c r="M808" s="211"/>
      <c r="N808" s="211"/>
      <c r="O808" s="211"/>
      <c r="Q808" s="210" t="str">
        <f>IFERROR(__xludf.DUMMYFUNCTION("""COMPUTED_VALUE"""),"05250448")</f>
        <v>05250448</v>
      </c>
      <c r="R808" s="210" t="str">
        <f>IFERROR(__xludf.DUMMYFUNCTION("""COMPUTED_VALUE"""),"05250448")</f>
        <v>05250448</v>
      </c>
      <c r="S808" s="211" t="str">
        <f>IFERROR(__xludf.DUMMYFUNCTION("""COMPUTED_VALUE"""),"ce83e171")</f>
        <v>ce83e171</v>
      </c>
      <c r="T808" s="211" t="str">
        <f>IFERROR(__xludf.DUMMYFUNCTION("""COMPUTED_VALUE"""),"Bpk. Sulaiman")</f>
        <v>Bpk. Sulaiman</v>
      </c>
      <c r="U808" s="215">
        <f>IFERROR(__xludf.DUMMYFUNCTION("""COMPUTED_VALUE"""),45800.33472222222)</f>
        <v>45800.33472</v>
      </c>
      <c r="V808" s="211" t="str">
        <f>IFERROR(__xludf.DUMMYFUNCTION("""COMPUTED_VALUE"""),"Jl. Raya Kramat Temenggung No.43, Kramat, Kramat Temenggung, Kec. Tarik, Kabupaten Sidoarjo, Jawa Timur 61265")</f>
        <v>Jl. Raya Kramat Temenggung No.43, Kramat, Kramat Temenggung, Kec. Tarik, Kabupaten Sidoarjo, Jawa Timur 61265</v>
      </c>
      <c r="W808" s="211" t="str">
        <f>IFERROR(__xludf.DUMMYFUNCTION("""COMPUTED_VALUE"""),"OUT")</f>
        <v>OUT</v>
      </c>
      <c r="X808" s="211"/>
      <c r="Z808" s="211" t="str">
        <f>IFERROR(__xludf.DUMMYFUNCTION("""COMPUTED_VALUE"""),"092561342")</f>
        <v>092561342</v>
      </c>
      <c r="AC808" s="211"/>
      <c r="AD808" s="211"/>
      <c r="AE808" s="211"/>
      <c r="AF808" s="211"/>
      <c r="AG808" s="211"/>
      <c r="AH808" s="211"/>
      <c r="AI808" s="211"/>
      <c r="AJ808" s="211"/>
      <c r="AL808" s="211"/>
      <c r="AM808" s="211"/>
      <c r="AN808" s="211"/>
      <c r="AO808" s="211"/>
      <c r="AP808" s="215"/>
      <c r="AQ808" s="218"/>
      <c r="AR808" s="211"/>
      <c r="AS808" s="211"/>
      <c r="AT808" s="211"/>
      <c r="AU808" s="211"/>
      <c r="AV808" s="211"/>
      <c r="AW808" s="211"/>
      <c r="AX808" s="211"/>
      <c r="AY808" s="211"/>
      <c r="AZ808" s="211"/>
      <c r="BB808" s="211"/>
      <c r="BC808" s="211"/>
      <c r="BD808" s="211"/>
      <c r="BE808" s="211"/>
      <c r="BF808" s="211"/>
      <c r="BG808" s="211"/>
      <c r="BH808" s="211"/>
      <c r="BI808" s="211"/>
    </row>
    <row r="809">
      <c r="A809" s="210" t="str">
        <f>IFERROR(__xludf.DUMMYFUNCTION("""COMPUTED_VALUE"""),"2cf4335d")</f>
        <v>2cf4335d</v>
      </c>
      <c r="B809" s="210" t="str">
        <f>IFERROR(__xludf.DUMMYFUNCTION("""COMPUTED_VALUE"""),"2cf4335d")</f>
        <v>2cf4335d</v>
      </c>
      <c r="C809" s="213">
        <f>IFERROR(__xludf.DUMMYFUNCTION("""COMPUTED_VALUE"""),45729.47083333333)</f>
        <v>45729.47083</v>
      </c>
      <c r="D809" s="211" t="str">
        <f>IFERROR(__xludf.DUMMYFUNCTION("""COMPUTED_VALUE"""),"4a01ccb6")</f>
        <v>4a01ccb6</v>
      </c>
      <c r="E809" s="211" t="str">
        <f>IFERROR(__xludf.DUMMYFUNCTION("""COMPUTED_VALUE"""),"CV ANUGERAH PERSADA TEKNIK")</f>
        <v>CV ANUGERAH PERSADA TEKNIK</v>
      </c>
      <c r="F809" s="211" t="str">
        <f>IFERROR(__xludf.DUMMYFUNCTION("""COMPUTED_VALUE"""),"8bdbe149")</f>
        <v>8bdbe149</v>
      </c>
      <c r="G809" s="211" t="str">
        <f>IFERROR(__xludf.DUMMYFUNCTION("""COMPUTED_VALUE"""),"Oksigen 6m3")</f>
        <v>Oksigen 6m3</v>
      </c>
      <c r="H809" s="214" t="str">
        <f>IFERROR(__xludf.DUMMYFUNCTION("""COMPUTED_VALUE"""),"IN")</f>
        <v>IN</v>
      </c>
      <c r="I809" s="214" t="str">
        <f>IFERROR(__xludf.DUMMYFUNCTION("""COMPUTED_VALUE"""),"EMPTY")</f>
        <v>EMPTY</v>
      </c>
      <c r="J809" s="211">
        <f>IFERROR(__xludf.DUMMYFUNCTION("""COMPUTED_VALUE"""),1.0)</f>
        <v>1</v>
      </c>
      <c r="K809" s="210" t="str">
        <f>IFERROR(__xludf.DUMMYFUNCTION("""COMPUTED_VALUE"""),"1490")</f>
        <v>1490</v>
      </c>
      <c r="L809" s="211">
        <f>IFERROR(__xludf.DUMMYFUNCTION("""COMPUTED_VALUE"""),0.0)</f>
        <v>0</v>
      </c>
      <c r="M809" s="211"/>
      <c r="N809" s="211"/>
      <c r="O809" s="211"/>
      <c r="Q809" s="210" t="str">
        <f>IFERROR(__xludf.DUMMYFUNCTION("""COMPUTED_VALUE"""),"05250450")</f>
        <v>05250450</v>
      </c>
      <c r="R809" s="210" t="str">
        <f>IFERROR(__xludf.DUMMYFUNCTION("""COMPUTED_VALUE"""),"05250450")</f>
        <v>05250450</v>
      </c>
      <c r="S809" s="211" t="str">
        <f>IFERROR(__xludf.DUMMYFUNCTION("""COMPUTED_VALUE"""),"b2b5f2c5")</f>
        <v>b2b5f2c5</v>
      </c>
      <c r="T809" s="211" t="str">
        <f>IFERROR(__xludf.DUMMYFUNCTION("""COMPUTED_VALUE"""),"Bengkel Las Bpk. Ari")</f>
        <v>Bengkel Las Bpk. Ari</v>
      </c>
      <c r="U809" s="215">
        <f>IFERROR(__xludf.DUMMYFUNCTION("""COMPUTED_VALUE"""),45800.37638888889)</f>
        <v>45800.37639</v>
      </c>
      <c r="V809" s="211" t="str">
        <f>IFERROR(__xludf.DUMMYFUNCTION("""COMPUTED_VALUE"""),"Sumber Kembar, Wonodadi, Kec. Kutorejo, Kabupaten Mojokerto, Jawa Timur")</f>
        <v>Sumber Kembar, Wonodadi, Kec. Kutorejo, Kabupaten Mojokerto, Jawa Timur</v>
      </c>
      <c r="W809" s="211" t="str">
        <f>IFERROR(__xludf.DUMMYFUNCTION("""COMPUTED_VALUE"""),"OUT")</f>
        <v>OUT</v>
      </c>
      <c r="X809" s="211"/>
      <c r="Z809" s="211" t="str">
        <f>IFERROR(__xludf.DUMMYFUNCTION("""COMPUTED_VALUE"""),"092531336")</f>
        <v>092531336</v>
      </c>
      <c r="AC809" s="211"/>
      <c r="AD809" s="211"/>
      <c r="AE809" s="211"/>
      <c r="AF809" s="211"/>
      <c r="AG809" s="211"/>
      <c r="AH809" s="211"/>
      <c r="AI809" s="211"/>
      <c r="AJ809" s="211"/>
      <c r="AL809" s="211"/>
      <c r="AM809" s="211"/>
      <c r="AN809" s="211"/>
      <c r="AO809" s="211"/>
      <c r="AP809" s="215"/>
      <c r="AQ809" s="218"/>
      <c r="AR809" s="211"/>
      <c r="AS809" s="211"/>
      <c r="AT809" s="211"/>
      <c r="AU809" s="211"/>
      <c r="AV809" s="211"/>
      <c r="AW809" s="211"/>
      <c r="AX809" s="211"/>
      <c r="AY809" s="211"/>
      <c r="AZ809" s="211"/>
      <c r="BB809" s="211"/>
      <c r="BC809" s="211"/>
      <c r="BD809" s="211"/>
      <c r="BE809" s="211"/>
      <c r="BF809" s="211"/>
      <c r="BG809" s="211"/>
      <c r="BH809" s="211"/>
      <c r="BI809" s="211"/>
    </row>
    <row r="810">
      <c r="A810" s="210" t="str">
        <f>IFERROR(__xludf.DUMMYFUNCTION("""COMPUTED_VALUE"""),"80112b23")</f>
        <v>80112b23</v>
      </c>
      <c r="B810" s="210" t="str">
        <f>IFERROR(__xludf.DUMMYFUNCTION("""COMPUTED_VALUE"""),"80112b23")</f>
        <v>80112b23</v>
      </c>
      <c r="C810" s="213">
        <f>IFERROR(__xludf.DUMMYFUNCTION("""COMPUTED_VALUE"""),45729.50902777778)</f>
        <v>45729.50903</v>
      </c>
      <c r="D810" s="211" t="str">
        <f>IFERROR(__xludf.DUMMYFUNCTION("""COMPUTED_VALUE"""),"06d600f6")</f>
        <v>06d600f6</v>
      </c>
      <c r="E810" s="211" t="str">
        <f>IFERROR(__xludf.DUMMYFUNCTION("""COMPUTED_VALUE"""),"Ibu Ida")</f>
        <v>Ibu Ida</v>
      </c>
      <c r="F810" s="211" t="str">
        <f>IFERROR(__xludf.DUMMYFUNCTION("""COMPUTED_VALUE"""),"f6aab7a9")</f>
        <v>f6aab7a9</v>
      </c>
      <c r="G810" s="211" t="str">
        <f>IFERROR(__xludf.DUMMYFUNCTION("""COMPUTED_VALUE"""),"Oksigen 6m3 MR")</f>
        <v>Oksigen 6m3 MR</v>
      </c>
      <c r="H810" s="214" t="str">
        <f>IFERROR(__xludf.DUMMYFUNCTION("""COMPUTED_VALUE"""),"IN")</f>
        <v>IN</v>
      </c>
      <c r="I810" s="214" t="str">
        <f>IFERROR(__xludf.DUMMYFUNCTION("""COMPUTED_VALUE"""),"EMPTY")</f>
        <v>EMPTY</v>
      </c>
      <c r="J810" s="211">
        <f>IFERROR(__xludf.DUMMYFUNCTION("""COMPUTED_VALUE"""),6.0)</f>
        <v>6</v>
      </c>
      <c r="K810" s="211"/>
      <c r="L810" s="211">
        <f>IFERROR(__xludf.DUMMYFUNCTION("""COMPUTED_VALUE"""),0.0)</f>
        <v>0</v>
      </c>
      <c r="M810" s="211"/>
      <c r="N810" s="211"/>
      <c r="O810" s="211"/>
      <c r="Q810" s="210" t="str">
        <f>IFERROR(__xludf.DUMMYFUNCTION("""COMPUTED_VALUE"""),"7592be98")</f>
        <v>7592be98</v>
      </c>
      <c r="R810" s="210" t="str">
        <f>IFERROR(__xludf.DUMMYFUNCTION("""COMPUTED_VALUE"""),"7592be98")</f>
        <v>7592be98</v>
      </c>
      <c r="S810" s="211" t="str">
        <f>IFERROR(__xludf.DUMMYFUNCTION("""COMPUTED_VALUE"""),"b2b5f2c5")</f>
        <v>b2b5f2c5</v>
      </c>
      <c r="T810" s="211" t="str">
        <f>IFERROR(__xludf.DUMMYFUNCTION("""COMPUTED_VALUE"""),"Bengkel Las Bpk. Ari")</f>
        <v>Bengkel Las Bpk. Ari</v>
      </c>
      <c r="U810" s="215">
        <f>IFERROR(__xludf.DUMMYFUNCTION("""COMPUTED_VALUE"""),45800.49375)</f>
        <v>45800.49375</v>
      </c>
      <c r="V810" s="211" t="str">
        <f>IFERROR(__xludf.DUMMYFUNCTION("""COMPUTED_VALUE"""),"Sumber Kembar, Wonodadi, Kec. Kutorejo, Kabupaten Mojokerto, Jawa Timur")</f>
        <v>Sumber Kembar, Wonodadi, Kec. Kutorejo, Kabupaten Mojokerto, Jawa Timur</v>
      </c>
      <c r="W810" s="211" t="str">
        <f>IFERROR(__xludf.DUMMYFUNCTION("""COMPUTED_VALUE"""),"IN")</f>
        <v>IN</v>
      </c>
      <c r="X810" s="211"/>
      <c r="Z810" s="211" t="str">
        <f>IFERROR(__xludf.DUMMYFUNCTION("""COMPUTED_VALUE"""),"0925311332")</f>
        <v>0925311332</v>
      </c>
      <c r="AC810" s="211"/>
      <c r="AD810" s="211"/>
      <c r="AE810" s="211"/>
      <c r="AF810" s="211"/>
      <c r="AG810" s="211"/>
      <c r="AH810" s="211"/>
      <c r="AI810" s="211"/>
      <c r="AJ810" s="211"/>
      <c r="AL810" s="211"/>
      <c r="AM810" s="211"/>
      <c r="AN810" s="211"/>
      <c r="AO810" s="211"/>
      <c r="AP810" s="215"/>
      <c r="AQ810" s="218"/>
      <c r="AR810" s="211"/>
      <c r="AS810" s="211"/>
      <c r="AT810" s="211"/>
      <c r="AU810" s="211"/>
      <c r="AV810" s="211"/>
      <c r="AW810" s="211"/>
      <c r="AX810" s="211"/>
      <c r="AY810" s="211"/>
      <c r="AZ810" s="211"/>
      <c r="BB810" s="211"/>
      <c r="BC810" s="211"/>
      <c r="BD810" s="211"/>
      <c r="BE810" s="211"/>
      <c r="BF810" s="211"/>
      <c r="BG810" s="211"/>
      <c r="BH810" s="211"/>
      <c r="BI810" s="211"/>
    </row>
    <row r="811">
      <c r="A811" s="210" t="str">
        <f>IFERROR(__xludf.DUMMYFUNCTION("""COMPUTED_VALUE"""),"7e0bb35d")</f>
        <v>7e0bb35d</v>
      </c>
      <c r="B811" s="210" t="str">
        <f>IFERROR(__xludf.DUMMYFUNCTION("""COMPUTED_VALUE"""),"7e0bb35d")</f>
        <v>7e0bb35d</v>
      </c>
      <c r="C811" s="213">
        <f>IFERROR(__xludf.DUMMYFUNCTION("""COMPUTED_VALUE"""),45729.61944444444)</f>
        <v>45729.61944</v>
      </c>
      <c r="D811" s="211" t="str">
        <f>IFERROR(__xludf.DUMMYFUNCTION("""COMPUTED_VALUE"""),"df6bdc5d")</f>
        <v>df6bdc5d</v>
      </c>
      <c r="E811" s="211" t="str">
        <f>IFERROR(__xludf.DUMMYFUNCTION("""COMPUTED_VALUE"""),"Bpk. Maruf")</f>
        <v>Bpk. Maruf</v>
      </c>
      <c r="F811" s="211" t="str">
        <f>IFERROR(__xludf.DUMMYFUNCTION("""COMPUTED_VALUE"""),"8bdbe149")</f>
        <v>8bdbe149</v>
      </c>
      <c r="G811" s="211" t="str">
        <f>IFERROR(__xludf.DUMMYFUNCTION("""COMPUTED_VALUE"""),"Oksigen 6m3")</f>
        <v>Oksigen 6m3</v>
      </c>
      <c r="H811" s="214" t="str">
        <f>IFERROR(__xludf.DUMMYFUNCTION("""COMPUTED_VALUE"""),"IN")</f>
        <v>IN</v>
      </c>
      <c r="I811" s="214" t="str">
        <f>IFERROR(__xludf.DUMMYFUNCTION("""COMPUTED_VALUE"""),"EMPTY")</f>
        <v>EMPTY</v>
      </c>
      <c r="J811" s="211">
        <f>IFERROR(__xludf.DUMMYFUNCTION("""COMPUTED_VALUE"""),14.0)</f>
        <v>14</v>
      </c>
      <c r="K811" s="211"/>
      <c r="L811" s="211">
        <f>IFERROR(__xludf.DUMMYFUNCTION("""COMPUTED_VALUE"""),0.0)</f>
        <v>0</v>
      </c>
      <c r="M811" s="211"/>
      <c r="N811" s="211"/>
      <c r="O811" s="211"/>
      <c r="Q811" s="210" t="str">
        <f>IFERROR(__xludf.DUMMYFUNCTION("""COMPUTED_VALUE"""),"925e1d47")</f>
        <v>925e1d47</v>
      </c>
      <c r="R811" s="210" t="str">
        <f>IFERROR(__xludf.DUMMYFUNCTION("""COMPUTED_VALUE"""),"925e1d47")</f>
        <v>925e1d47</v>
      </c>
      <c r="S811" s="211" t="str">
        <f>IFERROR(__xludf.DUMMYFUNCTION("""COMPUTED_VALUE"""),"ce83e171")</f>
        <v>ce83e171</v>
      </c>
      <c r="T811" s="211" t="str">
        <f>IFERROR(__xludf.DUMMYFUNCTION("""COMPUTED_VALUE"""),"Bpk. Sulaiman")</f>
        <v>Bpk. Sulaiman</v>
      </c>
      <c r="U811" s="215">
        <f>IFERROR(__xludf.DUMMYFUNCTION("""COMPUTED_VALUE"""),45800.49444444444)</f>
        <v>45800.49444</v>
      </c>
      <c r="V811" s="211" t="str">
        <f>IFERROR(__xludf.DUMMYFUNCTION("""COMPUTED_VALUE"""),"Jl. Raya Kramat Temenggung No.43, Kramat, Kramat Temenggung, Kec. Tarik, Kabupaten Sidoarjo, Jawa Timur 61265")</f>
        <v>Jl. Raya Kramat Temenggung No.43, Kramat, Kramat Temenggung, Kec. Tarik, Kabupaten Sidoarjo, Jawa Timur 61265</v>
      </c>
      <c r="W811" s="211" t="str">
        <f>IFERROR(__xludf.DUMMYFUNCTION("""COMPUTED_VALUE"""),"IN")</f>
        <v>IN</v>
      </c>
      <c r="X811" s="211"/>
      <c r="Z811" s="211" t="str">
        <f>IFERROR(__xludf.DUMMYFUNCTION("""COMPUTED_VALUE"""),"0925131334")</f>
        <v>0925131334</v>
      </c>
      <c r="AC811" s="211"/>
      <c r="AD811" s="211"/>
      <c r="AE811" s="211"/>
      <c r="AF811" s="211"/>
      <c r="AG811" s="211"/>
      <c r="AH811" s="211"/>
      <c r="AI811" s="211"/>
      <c r="AJ811" s="211"/>
      <c r="AL811" s="211"/>
      <c r="AM811" s="211"/>
      <c r="AN811" s="211"/>
      <c r="AO811" s="211"/>
      <c r="AP811" s="215"/>
      <c r="AQ811" s="218"/>
      <c r="AR811" s="211"/>
      <c r="AS811" s="211"/>
      <c r="AT811" s="211"/>
      <c r="AU811" s="211"/>
      <c r="AV811" s="211"/>
      <c r="AW811" s="211"/>
      <c r="AX811" s="211"/>
      <c r="AY811" s="211"/>
      <c r="AZ811" s="211"/>
      <c r="BB811" s="211"/>
      <c r="BC811" s="211"/>
      <c r="BD811" s="211"/>
      <c r="BE811" s="211"/>
      <c r="BF811" s="211"/>
      <c r="BG811" s="211"/>
      <c r="BH811" s="211"/>
      <c r="BI811" s="211"/>
    </row>
    <row r="812">
      <c r="A812" s="211"/>
      <c r="B812" s="211"/>
      <c r="C812" s="211"/>
      <c r="D812" s="211"/>
      <c r="E812" s="211"/>
      <c r="F812" s="211"/>
      <c r="G812" s="211"/>
      <c r="H812" s="211"/>
      <c r="I812" s="211"/>
      <c r="J812" s="211"/>
      <c r="K812" s="211"/>
      <c r="L812" s="211"/>
      <c r="M812" s="211"/>
      <c r="N812" s="211"/>
      <c r="O812" s="211"/>
      <c r="Q812" s="210" t="str">
        <f>IFERROR(__xludf.DUMMYFUNCTION("""COMPUTED_VALUE"""),"05250452")</f>
        <v>05250452</v>
      </c>
      <c r="R812" s="210" t="str">
        <f>IFERROR(__xludf.DUMMYFUNCTION("""COMPUTED_VALUE"""),"05250452")</f>
        <v>05250452</v>
      </c>
      <c r="S812" s="211" t="str">
        <f>IFERROR(__xludf.DUMMYFUNCTION("""COMPUTED_VALUE"""),"#N/A")</f>
        <v>#N/A</v>
      </c>
      <c r="T812" s="211" t="str">
        <f>IFERROR(__xludf.DUMMYFUNCTION("""COMPUTED_VALUE"""),"Bpk. Rokhim (Kraton)")</f>
        <v>Bpk. Rokhim (Kraton)</v>
      </c>
      <c r="U812" s="215">
        <f>IFERROR(__xludf.DUMMYFUNCTION("""COMPUTED_VALUE"""),45801.35486111111)</f>
        <v>45801.35486</v>
      </c>
      <c r="V812" s="211" t="str">
        <f>IFERROR(__xludf.DUMMYFUNCTION("""COMPUTED_VALUE"""),"#N/A")</f>
        <v>#N/A</v>
      </c>
      <c r="W812" s="211" t="str">
        <f>IFERROR(__xludf.DUMMYFUNCTION("""COMPUTED_VALUE"""),"OUT")</f>
        <v>OUT</v>
      </c>
      <c r="X812" s="211"/>
      <c r="Z812" s="211" t="str">
        <f>IFERROR(__xludf.DUMMYFUNCTION("""COMPUTED_VALUE"""),"0925131333")</f>
        <v>0925131333</v>
      </c>
      <c r="AC812" s="211"/>
      <c r="AD812" s="211"/>
      <c r="AE812" s="211"/>
      <c r="AF812" s="211"/>
      <c r="AG812" s="211"/>
      <c r="AH812" s="211"/>
      <c r="AI812" s="211"/>
      <c r="AJ812" s="211"/>
      <c r="AL812" s="211"/>
      <c r="AM812" s="211"/>
      <c r="AN812" s="211"/>
      <c r="AO812" s="211"/>
      <c r="AP812" s="215"/>
      <c r="AQ812" s="218"/>
      <c r="AR812" s="211"/>
      <c r="AS812" s="211"/>
      <c r="AT812" s="211"/>
      <c r="AU812" s="211"/>
      <c r="AV812" s="211"/>
      <c r="AW812" s="211"/>
      <c r="AX812" s="211"/>
      <c r="AY812" s="211"/>
      <c r="AZ812" s="211"/>
      <c r="BB812" s="211"/>
      <c r="BC812" s="211"/>
      <c r="BD812" s="211"/>
      <c r="BE812" s="211"/>
      <c r="BF812" s="211"/>
      <c r="BG812" s="211"/>
      <c r="BH812" s="211"/>
      <c r="BI812" s="211"/>
    </row>
    <row r="813">
      <c r="A813" s="210" t="str">
        <f>IFERROR(__xludf.DUMMYFUNCTION("""COMPUTED_VALUE"""),"03250324")</f>
        <v>03250324</v>
      </c>
      <c r="B813" s="210" t="str">
        <f>IFERROR(__xludf.DUMMYFUNCTION("""COMPUTED_VALUE"""),"03250324")</f>
        <v>03250324</v>
      </c>
      <c r="C813" s="213">
        <f>IFERROR(__xludf.DUMMYFUNCTION("""COMPUTED_VALUE"""),45730.39166666667)</f>
        <v>45730.39167</v>
      </c>
      <c r="D813" s="211" t="str">
        <f>IFERROR(__xludf.DUMMYFUNCTION("""COMPUTED_VALUE"""),"06d600f6")</f>
        <v>06d600f6</v>
      </c>
      <c r="E813" s="211" t="str">
        <f>IFERROR(__xludf.DUMMYFUNCTION("""COMPUTED_VALUE"""),"Ibu Ida")</f>
        <v>Ibu Ida</v>
      </c>
      <c r="F813" s="211" t="str">
        <f>IFERROR(__xludf.DUMMYFUNCTION("""COMPUTED_VALUE"""),"f6aab7a9")</f>
        <v>f6aab7a9</v>
      </c>
      <c r="G813" s="211" t="str">
        <f>IFERROR(__xludf.DUMMYFUNCTION("""COMPUTED_VALUE"""),"Oksigen 6m3 MR")</f>
        <v>Oksigen 6m3 MR</v>
      </c>
      <c r="H813" s="214" t="str">
        <f>IFERROR(__xludf.DUMMYFUNCTION("""COMPUTED_VALUE"""),"OUT")</f>
        <v>OUT</v>
      </c>
      <c r="I813" s="214" t="str">
        <f>IFERROR(__xludf.DUMMYFUNCTION("""COMPUTED_VALUE"""),"NORMAL")</f>
        <v>NORMAL</v>
      </c>
      <c r="J813" s="211">
        <f>IFERROR(__xludf.DUMMYFUNCTION("""COMPUTED_VALUE"""),6.0)</f>
        <v>6</v>
      </c>
      <c r="K813" s="211"/>
      <c r="L813" s="211">
        <f>IFERROR(__xludf.DUMMYFUNCTION("""COMPUTED_VALUE"""),50000.0)</f>
        <v>50000</v>
      </c>
      <c r="M813" s="211"/>
      <c r="N813" s="211"/>
      <c r="O813" s="211"/>
      <c r="Q813" s="210" t="str">
        <f>IFERROR(__xludf.DUMMYFUNCTION("""COMPUTED_VALUE"""),"05250453")</f>
        <v>05250453</v>
      </c>
      <c r="R813" s="210" t="str">
        <f>IFERROR(__xludf.DUMMYFUNCTION("""COMPUTED_VALUE"""),"05250453")</f>
        <v>05250453</v>
      </c>
      <c r="S813" s="211" t="str">
        <f>IFERROR(__xludf.DUMMYFUNCTION("""COMPUTED_VALUE"""),"103f3ae7")</f>
        <v>103f3ae7</v>
      </c>
      <c r="T813" s="211" t="str">
        <f>IFERROR(__xludf.DUMMYFUNCTION("""COMPUTED_VALUE"""),"PT ARYANA CAKASANA")</f>
        <v>PT ARYANA CAKASANA</v>
      </c>
      <c r="U813" s="215">
        <f>IFERROR(__xludf.DUMMYFUNCTION("""COMPUTED_VALUE"""),45801.35763888889)</f>
        <v>45801.35764</v>
      </c>
      <c r="V813" s="211" t="str">
        <f>IFERROR(__xludf.DUMMYFUNCTION("""COMPUTED_VALUE"""),"Jl Raya Tarik No. 45, Wonokupang, Bakalan, Balongbendo")</f>
        <v>Jl Raya Tarik No. 45, Wonokupang, Bakalan, Balongbendo</v>
      </c>
      <c r="W813" s="211" t="str">
        <f>IFERROR(__xludf.DUMMYFUNCTION("""COMPUTED_VALUE"""),"OUT")</f>
        <v>OUT</v>
      </c>
      <c r="X813" s="211"/>
      <c r="Z813" s="211" t="str">
        <f>IFERROR(__xludf.DUMMYFUNCTION("""COMPUTED_VALUE"""),"092521328")</f>
        <v>092521328</v>
      </c>
      <c r="AC813" s="211"/>
      <c r="AD813" s="211"/>
      <c r="AE813" s="211"/>
      <c r="AF813" s="211"/>
      <c r="AG813" s="211"/>
      <c r="AH813" s="211"/>
      <c r="AI813" s="211"/>
      <c r="AJ813" s="211"/>
      <c r="AL813" s="211"/>
      <c r="AM813" s="211"/>
      <c r="AN813" s="211"/>
      <c r="AO813" s="211"/>
      <c r="AP813" s="215"/>
      <c r="AQ813" s="218"/>
      <c r="AR813" s="211"/>
      <c r="AS813" s="211"/>
      <c r="AT813" s="211"/>
      <c r="AU813" s="211"/>
      <c r="AV813" s="211"/>
      <c r="AW813" s="211"/>
      <c r="AX813" s="211"/>
      <c r="AY813" s="211"/>
      <c r="AZ813" s="211"/>
      <c r="BB813" s="211"/>
      <c r="BC813" s="211"/>
      <c r="BD813" s="211"/>
      <c r="BE813" s="211"/>
      <c r="BF813" s="211"/>
      <c r="BG813" s="211"/>
      <c r="BH813" s="211"/>
      <c r="BI813" s="211"/>
    </row>
    <row r="814">
      <c r="A814" s="210" t="str">
        <f>IFERROR(__xludf.DUMMYFUNCTION("""COMPUTED_VALUE"""),"03250325")</f>
        <v>03250325</v>
      </c>
      <c r="B814" s="210" t="str">
        <f>IFERROR(__xludf.DUMMYFUNCTION("""COMPUTED_VALUE"""),"03250325")</f>
        <v>03250325</v>
      </c>
      <c r="C814" s="213">
        <f>IFERROR(__xludf.DUMMYFUNCTION("""COMPUTED_VALUE"""),45730.39236111111)</f>
        <v>45730.39236</v>
      </c>
      <c r="D814" s="211" t="str">
        <f>IFERROR(__xludf.DUMMYFUNCTION("""COMPUTED_VALUE"""),"785e0e07")</f>
        <v>785e0e07</v>
      </c>
      <c r="E814" s="211" t="str">
        <f>IFERROR(__xludf.DUMMYFUNCTION("""COMPUTED_VALUE"""),"Bpk. Sukirno (Bejo)")</f>
        <v>Bpk. Sukirno (Bejo)</v>
      </c>
      <c r="F814" s="211" t="str">
        <f>IFERROR(__xludf.DUMMYFUNCTION("""COMPUTED_VALUE"""),"8bdbe149")</f>
        <v>8bdbe149</v>
      </c>
      <c r="G814" s="211" t="str">
        <f>IFERROR(__xludf.DUMMYFUNCTION("""COMPUTED_VALUE"""),"Oksigen 6m3")</f>
        <v>Oksigen 6m3</v>
      </c>
      <c r="H814" s="214" t="str">
        <f>IFERROR(__xludf.DUMMYFUNCTION("""COMPUTED_VALUE"""),"OUT")</f>
        <v>OUT</v>
      </c>
      <c r="I814" s="214" t="str">
        <f>IFERROR(__xludf.DUMMYFUNCTION("""COMPUTED_VALUE"""),"NORMAL")</f>
        <v>NORMAL</v>
      </c>
      <c r="J814" s="211">
        <f>IFERROR(__xludf.DUMMYFUNCTION("""COMPUTED_VALUE"""),15.0)</f>
        <v>15</v>
      </c>
      <c r="K814" s="211"/>
      <c r="L814" s="211">
        <f>IFERROR(__xludf.DUMMYFUNCTION("""COMPUTED_VALUE"""),60000.0)</f>
        <v>60000</v>
      </c>
      <c r="M814" s="211"/>
      <c r="N814" s="211"/>
      <c r="O814" s="211"/>
      <c r="Q814" s="210" t="str">
        <f>IFERROR(__xludf.DUMMYFUNCTION("""COMPUTED_VALUE"""),"05250454")</f>
        <v>05250454</v>
      </c>
      <c r="R814" s="210" t="str">
        <f>IFERROR(__xludf.DUMMYFUNCTION("""COMPUTED_VALUE"""),"05250454")</f>
        <v>05250454</v>
      </c>
      <c r="S814" s="211" t="str">
        <f>IFERROR(__xludf.DUMMYFUNCTION("""COMPUTED_VALUE"""),"1bf27092")</f>
        <v>1bf27092</v>
      </c>
      <c r="T814" s="211" t="str">
        <f>IFERROR(__xludf.DUMMYFUNCTION("""COMPUTED_VALUE"""),"Bpk. Ari Budiarto")</f>
        <v>Bpk. Ari Budiarto</v>
      </c>
      <c r="U814" s="215">
        <f>IFERROR(__xludf.DUMMYFUNCTION("""COMPUTED_VALUE"""),45801.3)</f>
        <v>45801.3</v>
      </c>
      <c r="V814" s="211" t="str">
        <f>IFERROR(__xludf.DUMMYFUNCTION("""COMPUTED_VALUE"""),"Jl. Raya Balongbendo 232, Bakalan, Bakalan Wringinpitu, Kec. BalongBendo, Kabupaten Sidoarjo, Jawa Timur 61263")</f>
        <v>Jl. Raya Balongbendo 232, Bakalan, Bakalan Wringinpitu, Kec. BalongBendo, Kabupaten Sidoarjo, Jawa Timur 61263</v>
      </c>
      <c r="W814" s="211" t="str">
        <f>IFERROR(__xludf.DUMMYFUNCTION("""COMPUTED_VALUE"""),"OUT")</f>
        <v>OUT</v>
      </c>
      <c r="X814" s="211"/>
      <c r="Z814" s="211" t="str">
        <f>IFERROR(__xludf.DUMMYFUNCTION("""COMPUTED_VALUE"""),"092591327")</f>
        <v>092591327</v>
      </c>
      <c r="AC814" s="211"/>
      <c r="AD814" s="211"/>
      <c r="AE814" s="211"/>
      <c r="AF814" s="211"/>
      <c r="AG814" s="211"/>
      <c r="AH814" s="211"/>
      <c r="AI814" s="211"/>
      <c r="AJ814" s="211"/>
      <c r="AL814" s="211"/>
      <c r="AM814" s="211"/>
      <c r="AN814" s="211"/>
      <c r="AO814" s="211"/>
      <c r="AP814" s="215"/>
      <c r="AQ814" s="218"/>
      <c r="AR814" s="211"/>
      <c r="AS814" s="211"/>
      <c r="AT814" s="211"/>
      <c r="AU814" s="211"/>
      <c r="AV814" s="211"/>
      <c r="AW814" s="211"/>
      <c r="AX814" s="211"/>
      <c r="AY814" s="211"/>
      <c r="AZ814" s="211"/>
      <c r="BB814" s="211"/>
      <c r="BC814" s="211"/>
      <c r="BD814" s="211"/>
      <c r="BE814" s="211"/>
      <c r="BF814" s="211"/>
      <c r="BG814" s="211"/>
      <c r="BH814" s="211"/>
      <c r="BI814" s="211"/>
    </row>
    <row r="815">
      <c r="A815" s="210" t="str">
        <f>IFERROR(__xludf.DUMMYFUNCTION("""COMPUTED_VALUE"""),"403250013")</f>
        <v>403250013</v>
      </c>
      <c r="B815" s="210" t="str">
        <f>IFERROR(__xludf.DUMMYFUNCTION("""COMPUTED_VALUE"""),"403250013")</f>
        <v>403250013</v>
      </c>
      <c r="C815" s="213">
        <f>IFERROR(__xludf.DUMMYFUNCTION("""COMPUTED_VALUE"""),45730.39236111111)</f>
        <v>45730.39236</v>
      </c>
      <c r="D815" s="211" t="str">
        <f>IFERROR(__xludf.DUMMYFUNCTION("""COMPUTED_VALUE"""),"ac52e1fa")</f>
        <v>ac52e1fa</v>
      </c>
      <c r="E815" s="211" t="str">
        <f>IFERROR(__xludf.DUMMYFUNCTION("""COMPUTED_VALUE"""),"Abah Mad")</f>
        <v>Abah Mad</v>
      </c>
      <c r="F815" s="211" t="str">
        <f>IFERROR(__xludf.DUMMYFUNCTION("""COMPUTED_VALUE"""),"f6aab7a9")</f>
        <v>f6aab7a9</v>
      </c>
      <c r="G815" s="211" t="str">
        <f>IFERROR(__xludf.DUMMYFUNCTION("""COMPUTED_VALUE"""),"Oksigen 6m3 MR")</f>
        <v>Oksigen 6m3 MR</v>
      </c>
      <c r="H815" s="214" t="str">
        <f>IFERROR(__xludf.DUMMYFUNCTION("""COMPUTED_VALUE"""),"OTHER")</f>
        <v>OTHER</v>
      </c>
      <c r="I815" s="214" t="str">
        <f>IFERROR(__xludf.DUMMYFUNCTION("""COMPUTED_VALUE"""),"RETUR CLAIM")</f>
        <v>RETUR CLAIM</v>
      </c>
      <c r="J815" s="211">
        <f>IFERROR(__xludf.DUMMYFUNCTION("""COMPUTED_VALUE"""),3.0)</f>
        <v>3</v>
      </c>
      <c r="K815" s="211"/>
      <c r="L815" s="211">
        <f>IFERROR(__xludf.DUMMYFUNCTION("""COMPUTED_VALUE"""),0.0)</f>
        <v>0</v>
      </c>
      <c r="M815" s="211"/>
      <c r="N815" s="211"/>
      <c r="O815" s="211"/>
      <c r="Q815" s="210" t="str">
        <f>IFERROR(__xludf.DUMMYFUNCTION("""COMPUTED_VALUE"""),"05250455")</f>
        <v>05250455</v>
      </c>
      <c r="R815" s="210" t="str">
        <f>IFERROR(__xludf.DUMMYFUNCTION("""COMPUTED_VALUE"""),"05250455")</f>
        <v>05250455</v>
      </c>
      <c r="S815" s="211" t="str">
        <f>IFERROR(__xludf.DUMMYFUNCTION("""COMPUTED_VALUE"""),"3fec37df")</f>
        <v>3fec37df</v>
      </c>
      <c r="T815" s="211" t="str">
        <f>IFERROR(__xludf.DUMMYFUNCTION("""COMPUTED_VALUE"""),"PT Jatim Abadi Perkasa Steel")</f>
        <v>PT Jatim Abadi Perkasa Steel</v>
      </c>
      <c r="U815" s="215">
        <f>IFERROR(__xludf.DUMMYFUNCTION("""COMPUTED_VALUE"""),45801.3)</f>
        <v>45801.3</v>
      </c>
      <c r="V815" s="211" t="str">
        <f>IFERROR(__xludf.DUMMYFUNCTION("""COMPUTED_VALUE"""),"Dsn. Bulak Sempuh, Jatirejo, Kab. Mojokerto, Jawa Timur")</f>
        <v>Dsn. Bulak Sempuh, Jatirejo, Kab. Mojokerto, Jawa Timur</v>
      </c>
      <c r="W815" s="211" t="str">
        <f>IFERROR(__xludf.DUMMYFUNCTION("""COMPUTED_VALUE"""),"OUT")</f>
        <v>OUT</v>
      </c>
      <c r="X815" s="211"/>
      <c r="Z815" s="211" t="str">
        <f>IFERROR(__xludf.DUMMYFUNCTION("""COMPUTED_VALUE"""),"0925521326")</f>
        <v>0925521326</v>
      </c>
      <c r="AC815" s="211"/>
      <c r="AD815" s="211"/>
      <c r="AE815" s="211"/>
      <c r="AF815" s="211"/>
      <c r="AG815" s="211"/>
      <c r="AH815" s="211"/>
      <c r="AI815" s="211"/>
      <c r="AJ815" s="211"/>
      <c r="AL815" s="211"/>
      <c r="AM815" s="211"/>
      <c r="AN815" s="211"/>
      <c r="AO815" s="211"/>
      <c r="AP815" s="215"/>
      <c r="AQ815" s="218"/>
      <c r="AR815" s="211"/>
      <c r="AS815" s="211"/>
      <c r="AT815" s="211"/>
      <c r="AU815" s="211"/>
      <c r="AV815" s="211"/>
      <c r="AW815" s="211"/>
      <c r="AX815" s="211"/>
      <c r="AY815" s="211"/>
      <c r="AZ815" s="211"/>
      <c r="BB815" s="211"/>
      <c r="BC815" s="211"/>
      <c r="BD815" s="211"/>
      <c r="BE815" s="211"/>
      <c r="BF815" s="211"/>
      <c r="BG815" s="211"/>
      <c r="BH815" s="211"/>
      <c r="BI815" s="211"/>
    </row>
    <row r="816">
      <c r="A816" s="210" t="str">
        <f>IFERROR(__xludf.DUMMYFUNCTION("""COMPUTED_VALUE"""),"4248a097")</f>
        <v>4248a097</v>
      </c>
      <c r="B816" s="210" t="str">
        <f>IFERROR(__xludf.DUMMYFUNCTION("""COMPUTED_VALUE"""),"4248a097")</f>
        <v>4248a097</v>
      </c>
      <c r="C816" s="213">
        <f>IFERROR(__xludf.DUMMYFUNCTION("""COMPUTED_VALUE"""),45730.35833333333)</f>
        <v>45730.35833</v>
      </c>
      <c r="D816" s="211" t="str">
        <f>IFERROR(__xludf.DUMMYFUNCTION("""COMPUTED_VALUE"""),"ac52e1fa")</f>
        <v>ac52e1fa</v>
      </c>
      <c r="E816" s="211" t="str">
        <f>IFERROR(__xludf.DUMMYFUNCTION("""COMPUTED_VALUE"""),"Abah Mad")</f>
        <v>Abah Mad</v>
      </c>
      <c r="F816" s="211" t="str">
        <f>IFERROR(__xludf.DUMMYFUNCTION("""COMPUTED_VALUE"""),"f6aab7a9")</f>
        <v>f6aab7a9</v>
      </c>
      <c r="G816" s="211" t="str">
        <f>IFERROR(__xludf.DUMMYFUNCTION("""COMPUTED_VALUE"""),"Oksigen 6m3 MR")</f>
        <v>Oksigen 6m3 MR</v>
      </c>
      <c r="H816" s="214" t="str">
        <f>IFERROR(__xludf.DUMMYFUNCTION("""COMPUTED_VALUE"""),"IN")</f>
        <v>IN</v>
      </c>
      <c r="I816" s="214" t="str">
        <f>IFERROR(__xludf.DUMMYFUNCTION("""COMPUTED_VALUE"""),"EMPTY")</f>
        <v>EMPTY</v>
      </c>
      <c r="J816" s="211">
        <f>IFERROR(__xludf.DUMMYFUNCTION("""COMPUTED_VALUE"""),3.0)</f>
        <v>3</v>
      </c>
      <c r="K816" s="211"/>
      <c r="L816" s="211">
        <f>IFERROR(__xludf.DUMMYFUNCTION("""COMPUTED_VALUE"""),0.0)</f>
        <v>0</v>
      </c>
      <c r="M816" s="211"/>
      <c r="N816" s="211"/>
      <c r="O816" s="211"/>
      <c r="Q816" s="210" t="str">
        <f>IFERROR(__xludf.DUMMYFUNCTION("""COMPUTED_VALUE"""),"05250456")</f>
        <v>05250456</v>
      </c>
      <c r="R816" s="210" t="str">
        <f>IFERROR(__xludf.DUMMYFUNCTION("""COMPUTED_VALUE"""),"05250456")</f>
        <v>05250456</v>
      </c>
      <c r="S816" s="211" t="str">
        <f>IFERROR(__xludf.DUMMYFUNCTION("""COMPUTED_VALUE"""),"ce83e171")</f>
        <v>ce83e171</v>
      </c>
      <c r="T816" s="211" t="str">
        <f>IFERROR(__xludf.DUMMYFUNCTION("""COMPUTED_VALUE"""),"Bpk. Sulaiman")</f>
        <v>Bpk. Sulaiman</v>
      </c>
      <c r="U816" s="215">
        <f>IFERROR(__xludf.DUMMYFUNCTION("""COMPUTED_VALUE"""),45801.30138888889)</f>
        <v>45801.30139</v>
      </c>
      <c r="V816" s="211" t="str">
        <f>IFERROR(__xludf.DUMMYFUNCTION("""COMPUTED_VALUE"""),"Jl. Raya Kramat Temenggung No.43, Kramat, Kramat Temenggung, Kec. Tarik, Kabupaten Sidoarjo, Jawa Timur 61265")</f>
        <v>Jl. Raya Kramat Temenggung No.43, Kramat, Kramat Temenggung, Kec. Tarik, Kabupaten Sidoarjo, Jawa Timur 61265</v>
      </c>
      <c r="W816" s="211" t="str">
        <f>IFERROR(__xludf.DUMMYFUNCTION("""COMPUTED_VALUE"""),"OUT")</f>
        <v>OUT</v>
      </c>
      <c r="X816" s="211"/>
      <c r="Z816" s="211" t="str">
        <f>IFERROR(__xludf.DUMMYFUNCTION("""COMPUTED_VALUE"""),"0925211323")</f>
        <v>0925211323</v>
      </c>
      <c r="AC816" s="211"/>
      <c r="AD816" s="211"/>
      <c r="AE816" s="211"/>
      <c r="AF816" s="211"/>
      <c r="AG816" s="211"/>
      <c r="AH816" s="211"/>
      <c r="AI816" s="211"/>
      <c r="AJ816" s="211"/>
      <c r="AL816" s="211"/>
      <c r="AM816" s="211"/>
      <c r="AN816" s="211"/>
      <c r="AO816" s="211"/>
      <c r="AP816" s="215"/>
      <c r="AQ816" s="218"/>
      <c r="AR816" s="211"/>
      <c r="AS816" s="211"/>
      <c r="AT816" s="211"/>
      <c r="AU816" s="211"/>
      <c r="AV816" s="211"/>
      <c r="AW816" s="211"/>
      <c r="AX816" s="211"/>
      <c r="AY816" s="211"/>
      <c r="AZ816" s="211"/>
      <c r="BB816" s="211"/>
      <c r="BC816" s="211"/>
      <c r="BD816" s="211"/>
      <c r="BE816" s="211"/>
      <c r="BF816" s="211"/>
      <c r="BG816" s="211"/>
      <c r="BH816" s="211"/>
      <c r="BI816" s="211"/>
    </row>
    <row r="817">
      <c r="A817" s="210" t="str">
        <f>IFERROR(__xludf.DUMMYFUNCTION("""COMPUTED_VALUE"""),"fd23d9f1")</f>
        <v>fd23d9f1</v>
      </c>
      <c r="B817" s="210" t="str">
        <f>IFERROR(__xludf.DUMMYFUNCTION("""COMPUTED_VALUE"""),"fd23d9f1")</f>
        <v>fd23d9f1</v>
      </c>
      <c r="C817" s="213">
        <f>IFERROR(__xludf.DUMMYFUNCTION("""COMPUTED_VALUE"""),45730.52291666667)</f>
        <v>45730.52292</v>
      </c>
      <c r="D817" s="211" t="str">
        <f>IFERROR(__xludf.DUMMYFUNCTION("""COMPUTED_VALUE"""),"785e0e07")</f>
        <v>785e0e07</v>
      </c>
      <c r="E817" s="211" t="str">
        <f>IFERROR(__xludf.DUMMYFUNCTION("""COMPUTED_VALUE"""),"Bpk. Sukirno (Bejo)")</f>
        <v>Bpk. Sukirno (Bejo)</v>
      </c>
      <c r="F817" s="211" t="str">
        <f>IFERROR(__xludf.DUMMYFUNCTION("""COMPUTED_VALUE"""),"8bdbe149")</f>
        <v>8bdbe149</v>
      </c>
      <c r="G817" s="211" t="str">
        <f>IFERROR(__xludf.DUMMYFUNCTION("""COMPUTED_VALUE"""),"Oksigen 6m3")</f>
        <v>Oksigen 6m3</v>
      </c>
      <c r="H817" s="214" t="str">
        <f>IFERROR(__xludf.DUMMYFUNCTION("""COMPUTED_VALUE"""),"IN")</f>
        <v>IN</v>
      </c>
      <c r="I817" s="214" t="str">
        <f>IFERROR(__xludf.DUMMYFUNCTION("""COMPUTED_VALUE"""),"EMPTY")</f>
        <v>EMPTY</v>
      </c>
      <c r="J817" s="211">
        <f>IFERROR(__xludf.DUMMYFUNCTION("""COMPUTED_VALUE"""),15.0)</f>
        <v>15</v>
      </c>
      <c r="K817" s="210" t="str">
        <f>IFERROR(__xludf.DUMMYFUNCTION("""COMPUTED_VALUE"""),"1145 11161 11167 11115 11125 11195 11194 11192 1112 1155 11157 1187 11172 1167 1194")</f>
        <v>1145 11161 11167 11115 11125 11195 11194 11192 1112 1155 11157 1187 11172 1167 1194</v>
      </c>
      <c r="L817" s="211">
        <f>IFERROR(__xludf.DUMMYFUNCTION("""COMPUTED_VALUE"""),0.0)</f>
        <v>0</v>
      </c>
      <c r="M817" s="211"/>
      <c r="N817" s="211"/>
      <c r="O817" s="211"/>
      <c r="Q817" s="210" t="str">
        <f>IFERROR(__xludf.DUMMYFUNCTION("""COMPUTED_VALUE"""),"57044fe2")</f>
        <v>57044fe2</v>
      </c>
      <c r="R817" s="210" t="str">
        <f>IFERROR(__xludf.DUMMYFUNCTION("""COMPUTED_VALUE"""),"57044fe2")</f>
        <v>57044fe2</v>
      </c>
      <c r="S817" s="211" t="str">
        <f>IFERROR(__xludf.DUMMYFUNCTION("""COMPUTED_VALUE"""),"3fec37df")</f>
        <v>3fec37df</v>
      </c>
      <c r="T817" s="211" t="str">
        <f>IFERROR(__xludf.DUMMYFUNCTION("""COMPUTED_VALUE"""),"PT Jatim Abadi Perkasa Steel")</f>
        <v>PT Jatim Abadi Perkasa Steel</v>
      </c>
      <c r="U817" s="215">
        <f>IFERROR(__xludf.DUMMYFUNCTION("""COMPUTED_VALUE"""),45801.46388888889)</f>
        <v>45801.46389</v>
      </c>
      <c r="V817" s="211" t="str">
        <f>IFERROR(__xludf.DUMMYFUNCTION("""COMPUTED_VALUE"""),"Dsn. Bulak Sempuh, Jatirejo, Kab. Mojokerto, Jawa Timur")</f>
        <v>Dsn. Bulak Sempuh, Jatirejo, Kab. Mojokerto, Jawa Timur</v>
      </c>
      <c r="W817" s="211" t="str">
        <f>IFERROR(__xludf.DUMMYFUNCTION("""COMPUTED_VALUE"""),"IN")</f>
        <v>IN</v>
      </c>
      <c r="X817" s="211"/>
      <c r="Z817" s="211" t="str">
        <f>IFERROR(__xludf.DUMMYFUNCTION("""COMPUTED_VALUE"""),"0925131323")</f>
        <v>0925131323</v>
      </c>
      <c r="AC817" s="211"/>
      <c r="AD817" s="211"/>
      <c r="AE817" s="211"/>
      <c r="AF817" s="211"/>
      <c r="AG817" s="211"/>
      <c r="AH817" s="211"/>
      <c r="AI817" s="211"/>
      <c r="AJ817" s="211"/>
      <c r="AL817" s="211"/>
      <c r="AM817" s="211"/>
      <c r="AN817" s="211"/>
      <c r="AO817" s="211"/>
      <c r="AP817" s="215"/>
      <c r="AQ817" s="218"/>
      <c r="AR817" s="211"/>
      <c r="AS817" s="211"/>
      <c r="AT817" s="211"/>
      <c r="AU817" s="211"/>
      <c r="AV817" s="211"/>
      <c r="AW817" s="211"/>
      <c r="AX817" s="211"/>
      <c r="AY817" s="211"/>
      <c r="AZ817" s="211"/>
      <c r="BB817" s="211"/>
      <c r="BC817" s="211"/>
      <c r="BD817" s="211"/>
      <c r="BE817" s="211"/>
      <c r="BF817" s="211"/>
      <c r="BG817" s="211"/>
      <c r="BH817" s="211"/>
      <c r="BI817" s="211"/>
    </row>
    <row r="818">
      <c r="A818" s="210" t="str">
        <f>IFERROR(__xludf.DUMMYFUNCTION("""COMPUTED_VALUE"""),"0a5880c1")</f>
        <v>0a5880c1</v>
      </c>
      <c r="B818" s="210" t="str">
        <f>IFERROR(__xludf.DUMMYFUNCTION("""COMPUTED_VALUE"""),"0a5880c1")</f>
        <v>0a5880c1</v>
      </c>
      <c r="C818" s="213">
        <f>IFERROR(__xludf.DUMMYFUNCTION("""COMPUTED_VALUE"""),45730.66111111111)</f>
        <v>45730.66111</v>
      </c>
      <c r="D818" s="211" t="str">
        <f>IFERROR(__xludf.DUMMYFUNCTION("""COMPUTED_VALUE"""),"01158be1")</f>
        <v>01158be1</v>
      </c>
      <c r="E818" s="211" t="str">
        <f>IFERROR(__xludf.DUMMYFUNCTION("""COMPUTED_VALUE"""),"GYF")</f>
        <v>GYF</v>
      </c>
      <c r="F818" s="211" t="str">
        <f>IFERROR(__xludf.DUMMYFUNCTION("""COMPUTED_VALUE"""),"8bdbe149")</f>
        <v>8bdbe149</v>
      </c>
      <c r="G818" s="211" t="str">
        <f>IFERROR(__xludf.DUMMYFUNCTION("""COMPUTED_VALUE"""),"Oksigen 6m3")</f>
        <v>Oksigen 6m3</v>
      </c>
      <c r="H818" s="214" t="str">
        <f>IFERROR(__xludf.DUMMYFUNCTION("""COMPUTED_VALUE"""),"IN")</f>
        <v>IN</v>
      </c>
      <c r="I818" s="214" t="str">
        <f>IFERROR(__xludf.DUMMYFUNCTION("""COMPUTED_VALUE"""),"EMPTY")</f>
        <v>EMPTY</v>
      </c>
      <c r="J818" s="211">
        <f>IFERROR(__xludf.DUMMYFUNCTION("""COMPUTED_VALUE"""),3.0)</f>
        <v>3</v>
      </c>
      <c r="K818" s="210" t="str">
        <f>IFERROR(__xludf.DUMMYFUNCTION("""COMPUTED_VALUE"""),"11183 11217 11213")</f>
        <v>11183 11217 11213</v>
      </c>
      <c r="L818" s="211">
        <f>IFERROR(__xludf.DUMMYFUNCTION("""COMPUTED_VALUE"""),0.0)</f>
        <v>0</v>
      </c>
      <c r="M818" s="211"/>
      <c r="N818" s="211"/>
      <c r="O818" s="211"/>
      <c r="Q818" s="210" t="str">
        <f>IFERROR(__xludf.DUMMYFUNCTION("""COMPUTED_VALUE"""),"dfb9d59a")</f>
        <v>dfb9d59a</v>
      </c>
      <c r="R818" s="210" t="str">
        <f>IFERROR(__xludf.DUMMYFUNCTION("""COMPUTED_VALUE"""),"dfb9d59a")</f>
        <v>dfb9d59a</v>
      </c>
      <c r="S818" s="211" t="str">
        <f>IFERROR(__xludf.DUMMYFUNCTION("""COMPUTED_VALUE"""),"1bf27092")</f>
        <v>1bf27092</v>
      </c>
      <c r="T818" s="211" t="str">
        <f>IFERROR(__xludf.DUMMYFUNCTION("""COMPUTED_VALUE"""),"Bpk. Ari Budiarto")</f>
        <v>Bpk. Ari Budiarto</v>
      </c>
      <c r="U818" s="215">
        <f>IFERROR(__xludf.DUMMYFUNCTION("""COMPUTED_VALUE"""),45801.46388888889)</f>
        <v>45801.46389</v>
      </c>
      <c r="V818" s="211" t="str">
        <f>IFERROR(__xludf.DUMMYFUNCTION("""COMPUTED_VALUE"""),"Jl. Raya Balongbendo 232, Bakalan, Bakalan Wringinpitu, Kec. BalongBendo, Kabupaten Sidoarjo, Jawa Timur 61263")</f>
        <v>Jl. Raya Balongbendo 232, Bakalan, Bakalan Wringinpitu, Kec. BalongBendo, Kabupaten Sidoarjo, Jawa Timur 61263</v>
      </c>
      <c r="W818" s="211" t="str">
        <f>IFERROR(__xludf.DUMMYFUNCTION("""COMPUTED_VALUE"""),"IN")</f>
        <v>IN</v>
      </c>
      <c r="X818" s="211"/>
      <c r="Z818" s="211" t="str">
        <f>IFERROR(__xludf.DUMMYFUNCTION("""COMPUTED_VALUE"""),"092521316")</f>
        <v>092521316</v>
      </c>
      <c r="AC818" s="211"/>
      <c r="AD818" s="211"/>
      <c r="AE818" s="211"/>
      <c r="AF818" s="211"/>
      <c r="AG818" s="211"/>
      <c r="AH818" s="211"/>
      <c r="AI818" s="211"/>
      <c r="AJ818" s="211"/>
      <c r="AL818" s="211"/>
      <c r="AM818" s="211"/>
      <c r="AN818" s="211"/>
      <c r="AO818" s="211"/>
      <c r="AP818" s="215"/>
      <c r="AQ818" s="218"/>
      <c r="AR818" s="211"/>
      <c r="AS818" s="211"/>
      <c r="AT818" s="211"/>
      <c r="AU818" s="211"/>
      <c r="AV818" s="211"/>
      <c r="AW818" s="211"/>
      <c r="AX818" s="211"/>
      <c r="AY818" s="211"/>
      <c r="AZ818" s="211"/>
      <c r="BB818" s="211"/>
      <c r="BC818" s="211"/>
      <c r="BD818" s="211"/>
      <c r="BE818" s="211"/>
      <c r="BF818" s="211"/>
      <c r="BG818" s="211"/>
      <c r="BH818" s="211"/>
      <c r="BI818" s="211"/>
    </row>
    <row r="819">
      <c r="A819" s="210" t="str">
        <f>IFERROR(__xludf.DUMMYFUNCTION("""COMPUTED_VALUE"""),"03250326")</f>
        <v>03250326</v>
      </c>
      <c r="B819" s="210" t="str">
        <f>IFERROR(__xludf.DUMMYFUNCTION("""COMPUTED_VALUE"""),"03250326")</f>
        <v>03250326</v>
      </c>
      <c r="C819" s="213">
        <f>IFERROR(__xludf.DUMMYFUNCTION("""COMPUTED_VALUE"""),45731.42291666667)</f>
        <v>45731.42292</v>
      </c>
      <c r="D819" s="211" t="str">
        <f>IFERROR(__xludf.DUMMYFUNCTION("""COMPUTED_VALUE"""),"ce83e171")</f>
        <v>ce83e171</v>
      </c>
      <c r="E819" s="211" t="str">
        <f>IFERROR(__xludf.DUMMYFUNCTION("""COMPUTED_VALUE"""),"Bpk. Sulaiman")</f>
        <v>Bpk. Sulaiman</v>
      </c>
      <c r="F819" s="211" t="str">
        <f>IFERROR(__xludf.DUMMYFUNCTION("""COMPUTED_VALUE"""),"8bdbe149")</f>
        <v>8bdbe149</v>
      </c>
      <c r="G819" s="211" t="str">
        <f>IFERROR(__xludf.DUMMYFUNCTION("""COMPUTED_VALUE"""),"Oksigen 6m3")</f>
        <v>Oksigen 6m3</v>
      </c>
      <c r="H819" s="214" t="str">
        <f>IFERROR(__xludf.DUMMYFUNCTION("""COMPUTED_VALUE"""),"OUT")</f>
        <v>OUT</v>
      </c>
      <c r="I819" s="214" t="str">
        <f>IFERROR(__xludf.DUMMYFUNCTION("""COMPUTED_VALUE"""),"NORMAL")</f>
        <v>NORMAL</v>
      </c>
      <c r="J819" s="211">
        <f>IFERROR(__xludf.DUMMYFUNCTION("""COMPUTED_VALUE"""),3.0)</f>
        <v>3</v>
      </c>
      <c r="K819" s="210" t="str">
        <f>IFERROR(__xludf.DUMMYFUNCTION("""COMPUTED_VALUE"""),"1158 1162 11195")</f>
        <v>1158 1162 11195</v>
      </c>
      <c r="L819" s="211">
        <f>IFERROR(__xludf.DUMMYFUNCTION("""COMPUTED_VALUE"""),55000.0)</f>
        <v>55000</v>
      </c>
      <c r="M819" s="211"/>
      <c r="N819" s="211"/>
      <c r="O819" s="211"/>
      <c r="Q819" s="210" t="str">
        <f>IFERROR(__xludf.DUMMYFUNCTION("""COMPUTED_VALUE"""),"3b7e7cdb")</f>
        <v>3b7e7cdb</v>
      </c>
      <c r="R819" s="210" t="str">
        <f>IFERROR(__xludf.DUMMYFUNCTION("""COMPUTED_VALUE"""),"3b7e7cdb")</f>
        <v>3b7e7cdb</v>
      </c>
      <c r="S819" s="211" t="str">
        <f>IFERROR(__xludf.DUMMYFUNCTION("""COMPUTED_VALUE"""),"#N/A")</f>
        <v>#N/A</v>
      </c>
      <c r="T819" s="211" t="str">
        <f>IFERROR(__xludf.DUMMYFUNCTION("""COMPUTED_VALUE"""),"Bpk. Rokhim (Kraton)")</f>
        <v>Bpk. Rokhim (Kraton)</v>
      </c>
      <c r="U819" s="215">
        <f>IFERROR(__xludf.DUMMYFUNCTION("""COMPUTED_VALUE"""),45801.464583333334)</f>
        <v>45801.46458</v>
      </c>
      <c r="V819" s="211" t="str">
        <f>IFERROR(__xludf.DUMMYFUNCTION("""COMPUTED_VALUE"""),"#N/A")</f>
        <v>#N/A</v>
      </c>
      <c r="W819" s="211" t="str">
        <f>IFERROR(__xludf.DUMMYFUNCTION("""COMPUTED_VALUE"""),"IN")</f>
        <v>IN</v>
      </c>
      <c r="X819" s="211"/>
      <c r="Z819" s="211" t="str">
        <f>IFERROR(__xludf.DUMMYFUNCTION("""COMPUTED_VALUE"""),"092511315")</f>
        <v>092511315</v>
      </c>
      <c r="AC819" s="211"/>
      <c r="AD819" s="211"/>
      <c r="AE819" s="211"/>
      <c r="AF819" s="211"/>
      <c r="AG819" s="211"/>
      <c r="AH819" s="211"/>
      <c r="AI819" s="211"/>
      <c r="AJ819" s="211"/>
      <c r="AL819" s="211"/>
      <c r="AM819" s="211"/>
      <c r="AN819" s="211"/>
      <c r="AO819" s="211"/>
      <c r="AP819" s="215"/>
      <c r="AQ819" s="218"/>
      <c r="AR819" s="211"/>
      <c r="AS819" s="211"/>
      <c r="AT819" s="211"/>
      <c r="AU819" s="211"/>
      <c r="AV819" s="211"/>
      <c r="AW819" s="211"/>
      <c r="AX819" s="211"/>
      <c r="AY819" s="211"/>
      <c r="AZ819" s="211"/>
      <c r="BB819" s="211"/>
      <c r="BC819" s="211"/>
      <c r="BD819" s="211"/>
      <c r="BE819" s="211"/>
      <c r="BF819" s="211"/>
      <c r="BG819" s="211"/>
      <c r="BH819" s="211"/>
      <c r="BI819" s="211"/>
    </row>
    <row r="820">
      <c r="A820" s="210" t="str">
        <f>IFERROR(__xludf.DUMMYFUNCTION("""COMPUTED_VALUE"""),"6b02c58b")</f>
        <v>6b02c58b</v>
      </c>
      <c r="B820" s="210" t="str">
        <f>IFERROR(__xludf.DUMMYFUNCTION("""COMPUTED_VALUE"""),"6b02c58b")</f>
        <v>6b02c58b</v>
      </c>
      <c r="C820" s="213">
        <f>IFERROR(__xludf.DUMMYFUNCTION("""COMPUTED_VALUE"""),45731.467361111114)</f>
        <v>45731.46736</v>
      </c>
      <c r="D820" s="211" t="str">
        <f>IFERROR(__xludf.DUMMYFUNCTION("""COMPUTED_VALUE"""),"df6bdc5d")</f>
        <v>df6bdc5d</v>
      </c>
      <c r="E820" s="211" t="str">
        <f>IFERROR(__xludf.DUMMYFUNCTION("""COMPUTED_VALUE"""),"Bpk. Maruf")</f>
        <v>Bpk. Maruf</v>
      </c>
      <c r="F820" s="211" t="str">
        <f>IFERROR(__xludf.DUMMYFUNCTION("""COMPUTED_VALUE"""),"8bdbe149")</f>
        <v>8bdbe149</v>
      </c>
      <c r="G820" s="211" t="str">
        <f>IFERROR(__xludf.DUMMYFUNCTION("""COMPUTED_VALUE"""),"Oksigen 6m3")</f>
        <v>Oksigen 6m3</v>
      </c>
      <c r="H820" s="214" t="str">
        <f>IFERROR(__xludf.DUMMYFUNCTION("""COMPUTED_VALUE"""),"IN")</f>
        <v>IN</v>
      </c>
      <c r="I820" s="214" t="str">
        <f>IFERROR(__xludf.DUMMYFUNCTION("""COMPUTED_VALUE"""),"EMPTY")</f>
        <v>EMPTY</v>
      </c>
      <c r="J820" s="211">
        <f>IFERROR(__xludf.DUMMYFUNCTION("""COMPUTED_VALUE"""),12.0)</f>
        <v>12</v>
      </c>
      <c r="K820" s="210" t="str">
        <f>IFERROR(__xludf.DUMMYFUNCTION("""COMPUTED_VALUE"""),"01 1133 1146 1154 11208 11169 11103 1114 11129 11131 1160 11152")</f>
        <v>01 1133 1146 1154 11208 11169 11103 1114 11129 11131 1160 11152</v>
      </c>
      <c r="L820" s="211">
        <f>IFERROR(__xludf.DUMMYFUNCTION("""COMPUTED_VALUE"""),0.0)</f>
        <v>0</v>
      </c>
      <c r="M820" s="211"/>
      <c r="N820" s="211"/>
      <c r="O820" s="211"/>
      <c r="Q820" s="210" t="str">
        <f>IFERROR(__xludf.DUMMYFUNCTION("""COMPUTED_VALUE"""),"05250458")</f>
        <v>05250458</v>
      </c>
      <c r="R820" s="210" t="str">
        <f>IFERROR(__xludf.DUMMYFUNCTION("""COMPUTED_VALUE"""),"05250458")</f>
        <v>05250458</v>
      </c>
      <c r="S820" s="211" t="str">
        <f>IFERROR(__xludf.DUMMYFUNCTION("""COMPUTED_VALUE"""),"785e0e07")</f>
        <v>785e0e07</v>
      </c>
      <c r="T820" s="211" t="str">
        <f>IFERROR(__xludf.DUMMYFUNCTION("""COMPUTED_VALUE"""),"Bpk. Sukirno (Bejo)")</f>
        <v>Bpk. Sukirno (Bejo)</v>
      </c>
      <c r="U820" s="215">
        <f>IFERROR(__xludf.DUMMYFUNCTION("""COMPUTED_VALUE"""),45803.44027777778)</f>
        <v>45803.44028</v>
      </c>
      <c r="V820" s="211" t="str">
        <f>IFERROR(__xludf.DUMMYFUNCTION("""COMPUTED_VALUE"""),"Krajan I, Wringinanom, Kec. Wringinanom, Kabupaten Gresik, Jawa Timur 61176")</f>
        <v>Krajan I, Wringinanom, Kec. Wringinanom, Kabupaten Gresik, Jawa Timur 61176</v>
      </c>
      <c r="W820" s="211" t="str">
        <f>IFERROR(__xludf.DUMMYFUNCTION("""COMPUTED_VALUE"""),"OUT")</f>
        <v>OUT</v>
      </c>
      <c r="X820" s="211"/>
      <c r="Z820" s="211" t="str">
        <f>IFERROR(__xludf.DUMMYFUNCTION("""COMPUTED_VALUE"""),"092511314")</f>
        <v>092511314</v>
      </c>
      <c r="AC820" s="211"/>
      <c r="AD820" s="211"/>
      <c r="AE820" s="211"/>
      <c r="AF820" s="211"/>
      <c r="AG820" s="211"/>
      <c r="AH820" s="211"/>
      <c r="AI820" s="211"/>
      <c r="AJ820" s="211"/>
      <c r="AL820" s="211"/>
      <c r="AM820" s="211"/>
      <c r="AN820" s="211"/>
      <c r="AO820" s="211"/>
      <c r="AP820" s="215"/>
      <c r="AQ820" s="218"/>
      <c r="AR820" s="211"/>
      <c r="AS820" s="211"/>
      <c r="AT820" s="211"/>
      <c r="AU820" s="211"/>
      <c r="AV820" s="211"/>
      <c r="AW820" s="211"/>
      <c r="AX820" s="211"/>
      <c r="AY820" s="211"/>
      <c r="AZ820" s="211"/>
      <c r="BB820" s="211"/>
      <c r="BC820" s="211"/>
      <c r="BD820" s="211"/>
      <c r="BE820" s="211"/>
      <c r="BF820" s="211"/>
      <c r="BG820" s="211"/>
      <c r="BH820" s="211"/>
      <c r="BI820" s="211"/>
    </row>
    <row r="821">
      <c r="A821" s="210" t="str">
        <f>IFERROR(__xludf.DUMMYFUNCTION("""COMPUTED_VALUE"""),"e2ef158d")</f>
        <v>e2ef158d</v>
      </c>
      <c r="B821" s="210" t="str">
        <f>IFERROR(__xludf.DUMMYFUNCTION("""COMPUTED_VALUE"""),"e2ef158d")</f>
        <v>e2ef158d</v>
      </c>
      <c r="C821" s="213">
        <f>IFERROR(__xludf.DUMMYFUNCTION("""COMPUTED_VALUE"""),45731.572222222225)</f>
        <v>45731.57222</v>
      </c>
      <c r="D821" s="211" t="str">
        <f>IFERROR(__xludf.DUMMYFUNCTION("""COMPUTED_VALUE"""),"ce83e171")</f>
        <v>ce83e171</v>
      </c>
      <c r="E821" s="211" t="str">
        <f>IFERROR(__xludf.DUMMYFUNCTION("""COMPUTED_VALUE"""),"Bpk. Sulaiman")</f>
        <v>Bpk. Sulaiman</v>
      </c>
      <c r="F821" s="211" t="str">
        <f>IFERROR(__xludf.DUMMYFUNCTION("""COMPUTED_VALUE"""),"8bdbe149")</f>
        <v>8bdbe149</v>
      </c>
      <c r="G821" s="211" t="str">
        <f>IFERROR(__xludf.DUMMYFUNCTION("""COMPUTED_VALUE"""),"Oksigen 6m3")</f>
        <v>Oksigen 6m3</v>
      </c>
      <c r="H821" s="214" t="str">
        <f>IFERROR(__xludf.DUMMYFUNCTION("""COMPUTED_VALUE"""),"IN")</f>
        <v>IN</v>
      </c>
      <c r="I821" s="214" t="str">
        <f>IFERROR(__xludf.DUMMYFUNCTION("""COMPUTED_VALUE"""),"EMPTY")</f>
        <v>EMPTY</v>
      </c>
      <c r="J821" s="211">
        <f>IFERROR(__xludf.DUMMYFUNCTION("""COMPUTED_VALUE"""),5.0)</f>
        <v>5</v>
      </c>
      <c r="K821" s="210" t="str">
        <f>IFERROR(__xludf.DUMMYFUNCTION("""COMPUTED_VALUE"""),"11124 1190 1115 1152 1107")</f>
        <v>11124 1190 1115 1152 1107</v>
      </c>
      <c r="L821" s="211">
        <f>IFERROR(__xludf.DUMMYFUNCTION("""COMPUTED_VALUE"""),0.0)</f>
        <v>0</v>
      </c>
      <c r="M821" s="211"/>
      <c r="N821" s="211"/>
      <c r="O821" s="211"/>
      <c r="Q821" s="210" t="str">
        <f>IFERROR(__xludf.DUMMYFUNCTION("""COMPUTED_VALUE"""),"05250459")</f>
        <v>05250459</v>
      </c>
      <c r="R821" s="210" t="str">
        <f>IFERROR(__xludf.DUMMYFUNCTION("""COMPUTED_VALUE"""),"05250459")</f>
        <v>05250459</v>
      </c>
      <c r="S821" s="211" t="str">
        <f>IFERROR(__xludf.DUMMYFUNCTION("""COMPUTED_VALUE"""),"8f5ebaea")</f>
        <v>8f5ebaea</v>
      </c>
      <c r="T821" s="211" t="str">
        <f>IFERROR(__xludf.DUMMYFUNCTION("""COMPUTED_VALUE"""),"PT Hua Zong Mesindo")</f>
        <v>PT Hua Zong Mesindo</v>
      </c>
      <c r="U821" s="215">
        <f>IFERROR(__xludf.DUMMYFUNCTION("""COMPUTED_VALUE"""),45803.493055555555)</f>
        <v>45803.49306</v>
      </c>
      <c r="V821" s="211" t="str">
        <f>IFERROR(__xludf.DUMMYFUNCTION("""COMPUTED_VALUE"""),"Jl. Bypass Krian, Sidotemo, Sidomulyo, Kec. Krian, Kabupaten Sidoarjo, Jawa Timur 61262")</f>
        <v>Jl. Bypass Krian, Sidotemo, Sidomulyo, Kec. Krian, Kabupaten Sidoarjo, Jawa Timur 61262</v>
      </c>
      <c r="W821" s="211" t="str">
        <f>IFERROR(__xludf.DUMMYFUNCTION("""COMPUTED_VALUE"""),"OUT")</f>
        <v>OUT</v>
      </c>
      <c r="X821" s="211"/>
      <c r="Z821" s="211" t="str">
        <f>IFERROR(__xludf.DUMMYFUNCTION("""COMPUTED_VALUE"""),"0925121313")</f>
        <v>0925121313</v>
      </c>
      <c r="AC821" s="211"/>
      <c r="AD821" s="211"/>
      <c r="AE821" s="211"/>
      <c r="AF821" s="211"/>
      <c r="AG821" s="211"/>
      <c r="AH821" s="211"/>
      <c r="AI821" s="211"/>
      <c r="AJ821" s="211"/>
      <c r="AL821" s="211"/>
      <c r="AM821" s="211"/>
      <c r="AN821" s="211"/>
      <c r="AO821" s="211"/>
      <c r="AP821" s="215"/>
      <c r="AQ821" s="218"/>
      <c r="AR821" s="211"/>
      <c r="AS821" s="211"/>
      <c r="AT821" s="211"/>
      <c r="AU821" s="211"/>
      <c r="AV821" s="211"/>
      <c r="AW821" s="211"/>
      <c r="AX821" s="211"/>
      <c r="AY821" s="211"/>
      <c r="AZ821" s="211"/>
      <c r="BB821" s="211"/>
      <c r="BC821" s="211"/>
      <c r="BD821" s="211"/>
      <c r="BE821" s="211"/>
      <c r="BF821" s="211"/>
      <c r="BG821" s="211"/>
      <c r="BH821" s="211"/>
      <c r="BI821" s="211"/>
    </row>
    <row r="822">
      <c r="A822" s="210" t="str">
        <f>IFERROR(__xludf.DUMMYFUNCTION("""COMPUTED_VALUE"""),"e2ef158d")</f>
        <v>e2ef158d</v>
      </c>
      <c r="B822" s="210" t="str">
        <f>IFERROR(__xludf.DUMMYFUNCTION("""COMPUTED_VALUE"""),"e2ef158d")</f>
        <v>e2ef158d</v>
      </c>
      <c r="C822" s="213">
        <f>IFERROR(__xludf.DUMMYFUNCTION("""COMPUTED_VALUE"""),45731.57083333333)</f>
        <v>45731.57083</v>
      </c>
      <c r="D822" s="211" t="str">
        <f>IFERROR(__xludf.DUMMYFUNCTION("""COMPUTED_VALUE"""),"ce83e171")</f>
        <v>ce83e171</v>
      </c>
      <c r="E822" s="211" t="str">
        <f>IFERROR(__xludf.DUMMYFUNCTION("""COMPUTED_VALUE"""),"Bpk. Sulaiman")</f>
        <v>Bpk. Sulaiman</v>
      </c>
      <c r="F822" s="211" t="str">
        <f>IFERROR(__xludf.DUMMYFUNCTION("""COMPUTED_VALUE"""),"f6aab7a9")</f>
        <v>f6aab7a9</v>
      </c>
      <c r="G822" s="211" t="str">
        <f>IFERROR(__xludf.DUMMYFUNCTION("""COMPUTED_VALUE"""),"Oksigen 6m3 MR")</f>
        <v>Oksigen 6m3 MR</v>
      </c>
      <c r="H822" s="214" t="str">
        <f>IFERROR(__xludf.DUMMYFUNCTION("""COMPUTED_VALUE"""),"IN")</f>
        <v>IN</v>
      </c>
      <c r="I822" s="214" t="str">
        <f>IFERROR(__xludf.DUMMYFUNCTION("""COMPUTED_VALUE"""),"EMPTY")</f>
        <v>EMPTY</v>
      </c>
      <c r="J822" s="211">
        <f>IFERROR(__xludf.DUMMYFUNCTION("""COMPUTED_VALUE"""),1.0)</f>
        <v>1</v>
      </c>
      <c r="K822" s="211"/>
      <c r="L822" s="211">
        <f>IFERROR(__xludf.DUMMYFUNCTION("""COMPUTED_VALUE"""),0.0)</f>
        <v>0</v>
      </c>
      <c r="M822" s="211"/>
      <c r="N822" s="211"/>
      <c r="O822" s="211"/>
      <c r="Q822" s="210" t="str">
        <f>IFERROR(__xludf.DUMMYFUNCTION("""COMPUTED_VALUE"""),"dcd473c0")</f>
        <v>dcd473c0</v>
      </c>
      <c r="R822" s="210" t="str">
        <f>IFERROR(__xludf.DUMMYFUNCTION("""COMPUTED_VALUE"""),"dcd473c0")</f>
        <v>dcd473c0</v>
      </c>
      <c r="S822" s="211" t="str">
        <f>IFERROR(__xludf.DUMMYFUNCTION("""COMPUTED_VALUE"""),"785e0e07")</f>
        <v>785e0e07</v>
      </c>
      <c r="T822" s="211" t="str">
        <f>IFERROR(__xludf.DUMMYFUNCTION("""COMPUTED_VALUE"""),"Bpk. Sukirno (Bejo)")</f>
        <v>Bpk. Sukirno (Bejo)</v>
      </c>
      <c r="U822" s="215">
        <f>IFERROR(__xludf.DUMMYFUNCTION("""COMPUTED_VALUE"""),45803.55972222222)</f>
        <v>45803.55972</v>
      </c>
      <c r="V822" s="211" t="str">
        <f>IFERROR(__xludf.DUMMYFUNCTION("""COMPUTED_VALUE"""),"Krajan I, Wringinanom, Kec. Wringinanom, Kabupaten Gresik, Jawa Timur 61176")</f>
        <v>Krajan I, Wringinanom, Kec. Wringinanom, Kabupaten Gresik, Jawa Timur 61176</v>
      </c>
      <c r="W822" s="211" t="str">
        <f>IFERROR(__xludf.DUMMYFUNCTION("""COMPUTED_VALUE"""),"IN")</f>
        <v>IN</v>
      </c>
      <c r="X822" s="211"/>
      <c r="Z822" s="211" t="str">
        <f>IFERROR(__xludf.DUMMYFUNCTION("""COMPUTED_VALUE"""),"0925191311")</f>
        <v>0925191311</v>
      </c>
      <c r="AC822" s="211"/>
      <c r="AD822" s="211"/>
      <c r="AE822" s="211"/>
      <c r="AF822" s="211"/>
      <c r="AG822" s="211"/>
      <c r="AH822" s="211"/>
      <c r="AI822" s="211"/>
      <c r="AJ822" s="211"/>
      <c r="AL822" s="211"/>
      <c r="AM822" s="211"/>
      <c r="AN822" s="211"/>
      <c r="AO822" s="211"/>
      <c r="AP822" s="215"/>
      <c r="AQ822" s="218"/>
      <c r="AR822" s="211"/>
      <c r="AS822" s="211"/>
      <c r="AT822" s="211"/>
      <c r="AU822" s="211"/>
      <c r="AV822" s="211"/>
      <c r="AW822" s="211"/>
      <c r="AX822" s="211"/>
      <c r="AY822" s="211"/>
      <c r="AZ822" s="211"/>
      <c r="BB822" s="211"/>
      <c r="BC822" s="211"/>
      <c r="BD822" s="211"/>
      <c r="BE822" s="211"/>
      <c r="BF822" s="211"/>
      <c r="BG822" s="211"/>
      <c r="BH822" s="211"/>
      <c r="BI822" s="211"/>
    </row>
    <row r="823">
      <c r="A823" s="210" t="str">
        <f>IFERROR(__xludf.DUMMYFUNCTION("""COMPUTED_VALUE"""),"563bf1fe")</f>
        <v>563bf1fe</v>
      </c>
      <c r="B823" s="210" t="str">
        <f>IFERROR(__xludf.DUMMYFUNCTION("""COMPUTED_VALUE"""),"563bf1fe")</f>
        <v>563bf1fe</v>
      </c>
      <c r="C823" s="213">
        <f>IFERROR(__xludf.DUMMYFUNCTION("""COMPUTED_VALUE"""),45733.48472222222)</f>
        <v>45733.48472</v>
      </c>
      <c r="D823" s="211" t="str">
        <f>IFERROR(__xludf.DUMMYFUNCTION("""COMPUTED_VALUE"""),"df6bdc5d")</f>
        <v>df6bdc5d</v>
      </c>
      <c r="E823" s="211" t="str">
        <f>IFERROR(__xludf.DUMMYFUNCTION("""COMPUTED_VALUE"""),"Bpk. Maruf")</f>
        <v>Bpk. Maruf</v>
      </c>
      <c r="F823" s="211" t="str">
        <f>IFERROR(__xludf.DUMMYFUNCTION("""COMPUTED_VALUE"""),"8bdbe149")</f>
        <v>8bdbe149</v>
      </c>
      <c r="G823" s="211" t="str">
        <f>IFERROR(__xludf.DUMMYFUNCTION("""COMPUTED_VALUE"""),"Oksigen 6m3")</f>
        <v>Oksigen 6m3</v>
      </c>
      <c r="H823" s="214" t="str">
        <f>IFERROR(__xludf.DUMMYFUNCTION("""COMPUTED_VALUE"""),"IN")</f>
        <v>IN</v>
      </c>
      <c r="I823" s="214" t="str">
        <f>IFERROR(__xludf.DUMMYFUNCTION("""COMPUTED_VALUE"""),"EMPTY")</f>
        <v>EMPTY</v>
      </c>
      <c r="J823" s="211">
        <f>IFERROR(__xludf.DUMMYFUNCTION("""COMPUTED_VALUE"""),20.0)</f>
        <v>20</v>
      </c>
      <c r="K823" s="211"/>
      <c r="L823" s="211">
        <f>IFERROR(__xludf.DUMMYFUNCTION("""COMPUTED_VALUE"""),0.0)</f>
        <v>0</v>
      </c>
      <c r="M823" s="211"/>
      <c r="N823" s="211"/>
      <c r="O823" s="211"/>
      <c r="Q823" s="210" t="str">
        <f>IFERROR(__xludf.DUMMYFUNCTION("""COMPUTED_VALUE"""),"05250462")</f>
        <v>05250462</v>
      </c>
      <c r="R823" s="210" t="str">
        <f>IFERROR(__xludf.DUMMYFUNCTION("""COMPUTED_VALUE"""),"05250462")</f>
        <v>05250462</v>
      </c>
      <c r="S823" s="211" t="str">
        <f>IFERROR(__xludf.DUMMYFUNCTION("""COMPUTED_VALUE"""),"01158be1")</f>
        <v>01158be1</v>
      </c>
      <c r="T823" s="211" t="str">
        <f>IFERROR(__xludf.DUMMYFUNCTION("""COMPUTED_VALUE"""),"GYF")</f>
        <v>GYF</v>
      </c>
      <c r="U823" s="215">
        <f>IFERROR(__xludf.DUMMYFUNCTION("""COMPUTED_VALUE"""),45803.58194444445)</f>
        <v>45803.58194</v>
      </c>
      <c r="V823" s="211" t="str">
        <f>IFERROR(__xludf.DUMMYFUNCTION("""COMPUTED_VALUE"""),"Kangkungan, Lengkong, Kec. Mojoanyar, Kabupaten Mojokerto, Jawa Timur")</f>
        <v>Kangkungan, Lengkong, Kec. Mojoanyar, Kabupaten Mojokerto, Jawa Timur</v>
      </c>
      <c r="W823" s="211" t="str">
        <f>IFERROR(__xludf.DUMMYFUNCTION("""COMPUTED_VALUE"""),"OUT")</f>
        <v>OUT</v>
      </c>
      <c r="X823" s="211"/>
      <c r="Z823" s="211" t="str">
        <f>IFERROR(__xludf.DUMMYFUNCTION("""COMPUTED_VALUE"""),"0925511307")</f>
        <v>0925511307</v>
      </c>
      <c r="AC823" s="211"/>
      <c r="AD823" s="211"/>
      <c r="AE823" s="211"/>
      <c r="AF823" s="211"/>
      <c r="AG823" s="211"/>
      <c r="AH823" s="211"/>
      <c r="AI823" s="211"/>
      <c r="AJ823" s="211"/>
      <c r="AL823" s="211"/>
      <c r="AM823" s="211"/>
      <c r="AN823" s="211"/>
      <c r="AO823" s="211"/>
      <c r="AP823" s="215"/>
      <c r="AQ823" s="218"/>
      <c r="AR823" s="211"/>
      <c r="AS823" s="211"/>
      <c r="AT823" s="211"/>
      <c r="AU823" s="211"/>
      <c r="AV823" s="211"/>
      <c r="AW823" s="211"/>
      <c r="AX823" s="211"/>
      <c r="AY823" s="211"/>
      <c r="AZ823" s="211"/>
      <c r="BB823" s="211"/>
      <c r="BC823" s="211"/>
      <c r="BD823" s="211"/>
      <c r="BE823" s="211"/>
      <c r="BF823" s="211"/>
      <c r="BG823" s="211"/>
      <c r="BH823" s="211"/>
      <c r="BI823" s="211"/>
    </row>
    <row r="824">
      <c r="A824" s="210" t="str">
        <f>IFERROR(__xludf.DUMMYFUNCTION("""COMPUTED_VALUE"""),"563bf1fe")</f>
        <v>563bf1fe</v>
      </c>
      <c r="B824" s="210" t="str">
        <f>IFERROR(__xludf.DUMMYFUNCTION("""COMPUTED_VALUE"""),"563bf1fe")</f>
        <v>563bf1fe</v>
      </c>
      <c r="C824" s="213">
        <f>IFERROR(__xludf.DUMMYFUNCTION("""COMPUTED_VALUE"""),45733.48402777778)</f>
        <v>45733.48403</v>
      </c>
      <c r="D824" s="211" t="str">
        <f>IFERROR(__xludf.DUMMYFUNCTION("""COMPUTED_VALUE"""),"df6bdc5d")</f>
        <v>df6bdc5d</v>
      </c>
      <c r="E824" s="211" t="str">
        <f>IFERROR(__xludf.DUMMYFUNCTION("""COMPUTED_VALUE"""),"Bpk. Maruf")</f>
        <v>Bpk. Maruf</v>
      </c>
      <c r="F824" s="211" t="str">
        <f>IFERROR(__xludf.DUMMYFUNCTION("""COMPUTED_VALUE"""),"be525f3b")</f>
        <v>be525f3b</v>
      </c>
      <c r="G824" s="211" t="str">
        <f>IFERROR(__xludf.DUMMYFUNCTION("""COMPUTED_VALUE"""),"LPG 12kg")</f>
        <v>LPG 12kg</v>
      </c>
      <c r="H824" s="214" t="str">
        <f>IFERROR(__xludf.DUMMYFUNCTION("""COMPUTED_VALUE"""),"IN")</f>
        <v>IN</v>
      </c>
      <c r="I824" s="214" t="str">
        <f>IFERROR(__xludf.DUMMYFUNCTION("""COMPUTED_VALUE"""),"EMPTY")</f>
        <v>EMPTY</v>
      </c>
      <c r="J824" s="211">
        <f>IFERROR(__xludf.DUMMYFUNCTION("""COMPUTED_VALUE"""),6.0)</f>
        <v>6</v>
      </c>
      <c r="K824" s="211"/>
      <c r="L824" s="211">
        <f>IFERROR(__xludf.DUMMYFUNCTION("""COMPUTED_VALUE"""),0.0)</f>
        <v>0</v>
      </c>
      <c r="M824" s="211"/>
      <c r="N824" s="211"/>
      <c r="O824" s="211"/>
      <c r="Q824" s="210" t="str">
        <f>IFERROR(__xludf.DUMMYFUNCTION("""COMPUTED_VALUE"""),"4378ab44")</f>
        <v>4378ab44</v>
      </c>
      <c r="R824" s="210" t="str">
        <f>IFERROR(__xludf.DUMMYFUNCTION("""COMPUTED_VALUE"""),"4378ab44")</f>
        <v>4378ab44</v>
      </c>
      <c r="S824" s="211" t="str">
        <f>IFERROR(__xludf.DUMMYFUNCTION("""COMPUTED_VALUE"""),"8f5ebaea")</f>
        <v>8f5ebaea</v>
      </c>
      <c r="T824" s="211" t="str">
        <f>IFERROR(__xludf.DUMMYFUNCTION("""COMPUTED_VALUE"""),"PT Hua Zong Mesindo")</f>
        <v>PT Hua Zong Mesindo</v>
      </c>
      <c r="U824" s="215">
        <f>IFERROR(__xludf.DUMMYFUNCTION("""COMPUTED_VALUE"""),45803.61666666667)</f>
        <v>45803.61667</v>
      </c>
      <c r="V824" s="211" t="str">
        <f>IFERROR(__xludf.DUMMYFUNCTION("""COMPUTED_VALUE"""),"Jl. Bypass Krian, Sidotemo, Sidomulyo, Kec. Krian, Kabupaten Sidoarjo, Jawa Timur 61262")</f>
        <v>Jl. Bypass Krian, Sidotemo, Sidomulyo, Kec. Krian, Kabupaten Sidoarjo, Jawa Timur 61262</v>
      </c>
      <c r="W824" s="211" t="str">
        <f>IFERROR(__xludf.DUMMYFUNCTION("""COMPUTED_VALUE"""),"IN")</f>
        <v>IN</v>
      </c>
      <c r="X824" s="211"/>
      <c r="Z824" s="211" t="str">
        <f>IFERROR(__xludf.DUMMYFUNCTION("""COMPUTED_VALUE"""),"092561303")</f>
        <v>092561303</v>
      </c>
      <c r="AC824" s="211"/>
      <c r="AD824" s="211"/>
      <c r="AE824" s="211"/>
      <c r="AF824" s="211"/>
      <c r="AG824" s="211"/>
      <c r="AH824" s="211"/>
      <c r="AI824" s="211"/>
      <c r="AJ824" s="211"/>
      <c r="AL824" s="211"/>
      <c r="AM824" s="211"/>
      <c r="AN824" s="211"/>
      <c r="AO824" s="211"/>
      <c r="AP824" s="215"/>
      <c r="AQ824" s="218"/>
      <c r="AR824" s="211"/>
      <c r="AS824" s="211"/>
      <c r="AT824" s="211"/>
      <c r="AU824" s="211"/>
      <c r="AV824" s="211"/>
      <c r="AW824" s="211"/>
      <c r="AX824" s="211"/>
      <c r="AY824" s="211"/>
      <c r="AZ824" s="211"/>
      <c r="BB824" s="211"/>
      <c r="BC824" s="211"/>
      <c r="BD824" s="211"/>
      <c r="BE824" s="211"/>
      <c r="BF824" s="211"/>
      <c r="BG824" s="211"/>
      <c r="BH824" s="211"/>
      <c r="BI824" s="211"/>
    </row>
    <row r="825">
      <c r="A825" s="210" t="str">
        <f>IFERROR(__xludf.DUMMYFUNCTION("""COMPUTED_VALUE"""),"03250327")</f>
        <v>03250327</v>
      </c>
      <c r="B825" s="210" t="str">
        <f>IFERROR(__xludf.DUMMYFUNCTION("""COMPUTED_VALUE"""),"03250327")</f>
        <v>03250327</v>
      </c>
      <c r="C825" s="213">
        <f>IFERROR(__xludf.DUMMYFUNCTION("""COMPUTED_VALUE"""),45733.51458333333)</f>
        <v>45733.51458</v>
      </c>
      <c r="D825" s="211" t="str">
        <f>IFERROR(__xludf.DUMMYFUNCTION("""COMPUTED_VALUE"""),"785e0e07")</f>
        <v>785e0e07</v>
      </c>
      <c r="E825" s="211" t="str">
        <f>IFERROR(__xludf.DUMMYFUNCTION("""COMPUTED_VALUE"""),"Bpk. Sukirno (Bejo)")</f>
        <v>Bpk. Sukirno (Bejo)</v>
      </c>
      <c r="F825" s="211" t="str">
        <f>IFERROR(__xludf.DUMMYFUNCTION("""COMPUTED_VALUE"""),"be525f3b")</f>
        <v>be525f3b</v>
      </c>
      <c r="G825" s="211" t="str">
        <f>IFERROR(__xludf.DUMMYFUNCTION("""COMPUTED_VALUE"""),"LPG 12kg")</f>
        <v>LPG 12kg</v>
      </c>
      <c r="H825" s="214" t="str">
        <f>IFERROR(__xludf.DUMMYFUNCTION("""COMPUTED_VALUE"""),"OUT")</f>
        <v>OUT</v>
      </c>
      <c r="I825" s="214" t="str">
        <f>IFERROR(__xludf.DUMMYFUNCTION("""COMPUTED_VALUE"""),"NORMAL")</f>
        <v>NORMAL</v>
      </c>
      <c r="J825" s="211">
        <f>IFERROR(__xludf.DUMMYFUNCTION("""COMPUTED_VALUE"""),2.0)</f>
        <v>2</v>
      </c>
      <c r="K825" s="211"/>
      <c r="L825" s="211">
        <f>IFERROR(__xludf.DUMMYFUNCTION("""COMPUTED_VALUE"""),210000.0)</f>
        <v>210000</v>
      </c>
      <c r="M825" s="211"/>
      <c r="N825" s="211"/>
      <c r="O825" s="211"/>
      <c r="Q825" s="210" t="str">
        <f>IFERROR(__xludf.DUMMYFUNCTION("""COMPUTED_VALUE"""),"ebc6fa1b")</f>
        <v>ebc6fa1b</v>
      </c>
      <c r="R825" s="210" t="str">
        <f>IFERROR(__xludf.DUMMYFUNCTION("""COMPUTED_VALUE"""),"ebc6fa1b")</f>
        <v>ebc6fa1b</v>
      </c>
      <c r="S825" s="211" t="str">
        <f>IFERROR(__xludf.DUMMYFUNCTION("""COMPUTED_VALUE"""),"01158be1")</f>
        <v>01158be1</v>
      </c>
      <c r="T825" s="211" t="str">
        <f>IFERROR(__xludf.DUMMYFUNCTION("""COMPUTED_VALUE"""),"GYF")</f>
        <v>GYF</v>
      </c>
      <c r="U825" s="215">
        <f>IFERROR(__xludf.DUMMYFUNCTION("""COMPUTED_VALUE"""),45803.70486111111)</f>
        <v>45803.70486</v>
      </c>
      <c r="V825" s="211" t="str">
        <f>IFERROR(__xludf.DUMMYFUNCTION("""COMPUTED_VALUE"""),"Kangkungan, Lengkong, Kec. Mojoanyar, Kabupaten Mojokerto, Jawa Timur")</f>
        <v>Kangkungan, Lengkong, Kec. Mojoanyar, Kabupaten Mojokerto, Jawa Timur</v>
      </c>
      <c r="W825" s="211" t="str">
        <f>IFERROR(__xludf.DUMMYFUNCTION("""COMPUTED_VALUE"""),"IN")</f>
        <v>IN</v>
      </c>
      <c r="X825" s="211"/>
      <c r="Z825" s="211" t="str">
        <f>IFERROR(__xludf.DUMMYFUNCTION("""COMPUTED_VALUE"""),"0925211301")</f>
        <v>0925211301</v>
      </c>
      <c r="AC825" s="211"/>
      <c r="AD825" s="211"/>
      <c r="AE825" s="211"/>
      <c r="AF825" s="211"/>
      <c r="AG825" s="211"/>
      <c r="AH825" s="211"/>
      <c r="AI825" s="211"/>
      <c r="AJ825" s="211"/>
      <c r="AL825" s="211"/>
      <c r="AM825" s="211"/>
      <c r="AN825" s="211"/>
      <c r="AO825" s="211"/>
      <c r="AP825" s="215"/>
      <c r="AQ825" s="218"/>
      <c r="AR825" s="211"/>
      <c r="AS825" s="211"/>
      <c r="AT825" s="211"/>
      <c r="AU825" s="211"/>
      <c r="AV825" s="211"/>
      <c r="AW825" s="211"/>
      <c r="AX825" s="211"/>
      <c r="AY825" s="211"/>
      <c r="AZ825" s="211"/>
      <c r="BB825" s="211"/>
      <c r="BC825" s="211"/>
      <c r="BD825" s="211"/>
      <c r="BE825" s="211"/>
      <c r="BF825" s="211"/>
      <c r="BG825" s="211"/>
      <c r="BH825" s="211"/>
      <c r="BI825" s="211"/>
    </row>
    <row r="826">
      <c r="A826" s="210" t="str">
        <f>IFERROR(__xludf.DUMMYFUNCTION("""COMPUTED_VALUE"""),"03250328")</f>
        <v>03250328</v>
      </c>
      <c r="B826" s="210" t="str">
        <f>IFERROR(__xludf.DUMMYFUNCTION("""COMPUTED_VALUE"""),"03250328")</f>
        <v>03250328</v>
      </c>
      <c r="C826" s="213">
        <f>IFERROR(__xludf.DUMMYFUNCTION("""COMPUTED_VALUE"""),45733.51527777778)</f>
        <v>45733.51528</v>
      </c>
      <c r="D826" s="211" t="str">
        <f>IFERROR(__xludf.DUMMYFUNCTION("""COMPUTED_VALUE"""),"5f23ba17")</f>
        <v>5f23ba17</v>
      </c>
      <c r="E826" s="211" t="str">
        <f>IFERROR(__xludf.DUMMYFUNCTION("""COMPUTED_VALUE"""),"Bpk. Joko (Gresik)")</f>
        <v>Bpk. Joko (Gresik)</v>
      </c>
      <c r="F826" s="211" t="str">
        <f>IFERROR(__xludf.DUMMYFUNCTION("""COMPUTED_VALUE"""),"f6aab7a9")</f>
        <v>f6aab7a9</v>
      </c>
      <c r="G826" s="211" t="str">
        <f>IFERROR(__xludf.DUMMYFUNCTION("""COMPUTED_VALUE"""),"Oksigen 6m3 MR")</f>
        <v>Oksigen 6m3 MR</v>
      </c>
      <c r="H826" s="214" t="str">
        <f>IFERROR(__xludf.DUMMYFUNCTION("""COMPUTED_VALUE"""),"OUT")</f>
        <v>OUT</v>
      </c>
      <c r="I826" s="214" t="str">
        <f>IFERROR(__xludf.DUMMYFUNCTION("""COMPUTED_VALUE"""),"NORMAL")</f>
        <v>NORMAL</v>
      </c>
      <c r="J826" s="211">
        <f>IFERROR(__xludf.DUMMYFUNCTION("""COMPUTED_VALUE"""),4.0)</f>
        <v>4</v>
      </c>
      <c r="K826" s="211"/>
      <c r="L826" s="211">
        <f>IFERROR(__xludf.DUMMYFUNCTION("""COMPUTED_VALUE"""),55000.0)</f>
        <v>55000</v>
      </c>
      <c r="M826" s="211"/>
      <c r="N826" s="211"/>
      <c r="O826" s="211"/>
      <c r="Q826" s="210" t="str">
        <f>IFERROR(__xludf.DUMMYFUNCTION("""COMPUTED_VALUE"""),"05250463")</f>
        <v>05250463</v>
      </c>
      <c r="R826" s="210" t="str">
        <f>IFERROR(__xludf.DUMMYFUNCTION("""COMPUTED_VALUE"""),"05250463")</f>
        <v>05250463</v>
      </c>
      <c r="S826" s="211" t="str">
        <f>IFERROR(__xludf.DUMMYFUNCTION("""COMPUTED_VALUE"""),"ce83e171")</f>
        <v>ce83e171</v>
      </c>
      <c r="T826" s="211" t="str">
        <f>IFERROR(__xludf.DUMMYFUNCTION("""COMPUTED_VALUE"""),"Bpk. Sulaiman")</f>
        <v>Bpk. Sulaiman</v>
      </c>
      <c r="U826" s="215">
        <f>IFERROR(__xludf.DUMMYFUNCTION("""COMPUTED_VALUE"""),45804.316666666666)</f>
        <v>45804.31667</v>
      </c>
      <c r="V826" s="211" t="str">
        <f>IFERROR(__xludf.DUMMYFUNCTION("""COMPUTED_VALUE"""),"Jl. Raya Kramat Temenggung No.43, Kramat, Kramat Temenggung, Kec. Tarik, Kabupaten Sidoarjo, Jawa Timur 61265")</f>
        <v>Jl. Raya Kramat Temenggung No.43, Kramat, Kramat Temenggung, Kec. Tarik, Kabupaten Sidoarjo, Jawa Timur 61265</v>
      </c>
      <c r="W826" s="211" t="str">
        <f>IFERROR(__xludf.DUMMYFUNCTION("""COMPUTED_VALUE"""),"OUT")</f>
        <v>OUT</v>
      </c>
      <c r="X826" s="211"/>
      <c r="Z826" s="211" t="str">
        <f>IFERROR(__xludf.DUMMYFUNCTION("""COMPUTED_VALUE"""),"0925261298")</f>
        <v>0925261298</v>
      </c>
      <c r="AC826" s="211"/>
      <c r="AD826" s="211"/>
      <c r="AE826" s="211"/>
      <c r="AF826" s="211"/>
      <c r="AG826" s="211"/>
      <c r="AH826" s="211"/>
      <c r="AI826" s="211"/>
      <c r="AJ826" s="211"/>
      <c r="AL826" s="211"/>
      <c r="AM826" s="211"/>
      <c r="AN826" s="211"/>
      <c r="AO826" s="211"/>
      <c r="AP826" s="215"/>
      <c r="AQ826" s="218"/>
      <c r="AR826" s="211"/>
      <c r="AS826" s="211"/>
      <c r="AT826" s="211"/>
      <c r="AU826" s="211"/>
      <c r="AV826" s="211"/>
      <c r="AW826" s="211"/>
      <c r="AX826" s="211"/>
      <c r="AY826" s="211"/>
      <c r="AZ826" s="211"/>
      <c r="BB826" s="211"/>
      <c r="BC826" s="211"/>
      <c r="BD826" s="211"/>
      <c r="BE826" s="211"/>
      <c r="BF826" s="211"/>
      <c r="BG826" s="211"/>
      <c r="BH826" s="211"/>
      <c r="BI826" s="211"/>
    </row>
    <row r="827">
      <c r="A827" s="210" t="str">
        <f>IFERROR(__xludf.DUMMYFUNCTION("""COMPUTED_VALUE"""),"0325201090")</f>
        <v>0325201090</v>
      </c>
      <c r="B827" s="210" t="str">
        <f>IFERROR(__xludf.DUMMYFUNCTION("""COMPUTED_VALUE"""),"0325201090")</f>
        <v>0325201090</v>
      </c>
      <c r="C827" s="213">
        <f>IFERROR(__xludf.DUMMYFUNCTION("""COMPUTED_VALUE"""),45733.51527777778)</f>
        <v>45733.51528</v>
      </c>
      <c r="D827" s="211" t="str">
        <f>IFERROR(__xludf.DUMMYFUNCTION("""COMPUTED_VALUE"""),"5f23ba17")</f>
        <v>5f23ba17</v>
      </c>
      <c r="E827" s="211" t="str">
        <f>IFERROR(__xludf.DUMMYFUNCTION("""COMPUTED_VALUE"""),"Bpk. Joko (Gresik)")</f>
        <v>Bpk. Joko (Gresik)</v>
      </c>
      <c r="F827" s="211" t="str">
        <f>IFERROR(__xludf.DUMMYFUNCTION("""COMPUTED_VALUE"""),"be525f3b")</f>
        <v>be525f3b</v>
      </c>
      <c r="G827" s="211" t="str">
        <f>IFERROR(__xludf.DUMMYFUNCTION("""COMPUTED_VALUE"""),"LPG 12kg")</f>
        <v>LPG 12kg</v>
      </c>
      <c r="H827" s="214" t="str">
        <f>IFERROR(__xludf.DUMMYFUNCTION("""COMPUTED_VALUE"""),"OUT")</f>
        <v>OUT</v>
      </c>
      <c r="I827" s="214" t="str">
        <f>IFERROR(__xludf.DUMMYFUNCTION("""COMPUTED_VALUE"""),"NORMAL")</f>
        <v>NORMAL</v>
      </c>
      <c r="J827" s="211">
        <f>IFERROR(__xludf.DUMMYFUNCTION("""COMPUTED_VALUE"""),2.0)</f>
        <v>2</v>
      </c>
      <c r="K827" s="211"/>
      <c r="L827" s="211">
        <f>IFERROR(__xludf.DUMMYFUNCTION("""COMPUTED_VALUE"""),200000.0)</f>
        <v>200000</v>
      </c>
      <c r="M827" s="211"/>
      <c r="N827" s="211"/>
      <c r="O827" s="211"/>
      <c r="Q827" s="210" t="str">
        <f>IFERROR(__xludf.DUMMYFUNCTION("""COMPUTED_VALUE"""),"efd28706")</f>
        <v>efd28706</v>
      </c>
      <c r="R827" s="210" t="str">
        <f>IFERROR(__xludf.DUMMYFUNCTION("""COMPUTED_VALUE"""),"efd28706")</f>
        <v>efd28706</v>
      </c>
      <c r="S827" s="211" t="str">
        <f>IFERROR(__xludf.DUMMYFUNCTION("""COMPUTED_VALUE"""),"ce83e171")</f>
        <v>ce83e171</v>
      </c>
      <c r="T827" s="211" t="str">
        <f>IFERROR(__xludf.DUMMYFUNCTION("""COMPUTED_VALUE"""),"Bpk. Sulaiman")</f>
        <v>Bpk. Sulaiman</v>
      </c>
      <c r="U827" s="215">
        <f>IFERROR(__xludf.DUMMYFUNCTION("""COMPUTED_VALUE"""),45804.48819444445)</f>
        <v>45804.48819</v>
      </c>
      <c r="V827" s="211" t="str">
        <f>IFERROR(__xludf.DUMMYFUNCTION("""COMPUTED_VALUE"""),"Jl. Raya Kramat Temenggung No.43, Kramat, Kramat Temenggung, Kec. Tarik, Kabupaten Sidoarjo, Jawa Timur 61265")</f>
        <v>Jl. Raya Kramat Temenggung No.43, Kramat, Kramat Temenggung, Kec. Tarik, Kabupaten Sidoarjo, Jawa Timur 61265</v>
      </c>
      <c r="W827" s="211" t="str">
        <f>IFERROR(__xludf.DUMMYFUNCTION("""COMPUTED_VALUE"""),"IN")</f>
        <v>IN</v>
      </c>
      <c r="X827" s="211"/>
      <c r="Z827" s="211" t="str">
        <f>IFERROR(__xludf.DUMMYFUNCTION("""COMPUTED_VALUE"""),"092541297")</f>
        <v>092541297</v>
      </c>
      <c r="AC827" s="211"/>
      <c r="AD827" s="211"/>
      <c r="AE827" s="211"/>
      <c r="AF827" s="211"/>
      <c r="AG827" s="211"/>
      <c r="AH827" s="211"/>
      <c r="AI827" s="211"/>
      <c r="AJ827" s="211"/>
      <c r="AL827" s="211"/>
      <c r="AM827" s="211"/>
      <c r="AN827" s="211"/>
      <c r="AO827" s="211"/>
      <c r="AP827" s="215"/>
      <c r="AQ827" s="218"/>
      <c r="AR827" s="211"/>
      <c r="AS827" s="211"/>
      <c r="AT827" s="211"/>
      <c r="AU827" s="211"/>
      <c r="AV827" s="211"/>
      <c r="AW827" s="211"/>
      <c r="AX827" s="211"/>
      <c r="AY827" s="211"/>
      <c r="AZ827" s="211"/>
      <c r="BB827" s="211"/>
      <c r="BC827" s="211"/>
      <c r="BD827" s="211"/>
      <c r="BE827" s="211"/>
      <c r="BF827" s="211"/>
      <c r="BG827" s="211"/>
      <c r="BH827" s="211"/>
      <c r="BI827" s="211"/>
    </row>
    <row r="828">
      <c r="A828" s="210" t="str">
        <f>IFERROR(__xludf.DUMMYFUNCTION("""COMPUTED_VALUE"""),"0325201090")</f>
        <v>0325201090</v>
      </c>
      <c r="B828" s="210" t="str">
        <f>IFERROR(__xludf.DUMMYFUNCTION("""COMPUTED_VALUE"""),"0325201090")</f>
        <v>0325201090</v>
      </c>
      <c r="C828" s="213">
        <f>IFERROR(__xludf.DUMMYFUNCTION("""COMPUTED_VALUE"""),45733.51597222222)</f>
        <v>45733.51597</v>
      </c>
      <c r="D828" s="211" t="str">
        <f>IFERROR(__xludf.DUMMYFUNCTION("""COMPUTED_VALUE"""),"5f23ba17")</f>
        <v>5f23ba17</v>
      </c>
      <c r="E828" s="211" t="str">
        <f>IFERROR(__xludf.DUMMYFUNCTION("""COMPUTED_VALUE"""),"Bpk. Joko (Gresik)")</f>
        <v>Bpk. Joko (Gresik)</v>
      </c>
      <c r="F828" s="211" t="str">
        <f>IFERROR(__xludf.DUMMYFUNCTION("""COMPUTED_VALUE"""),"ef306e54")</f>
        <v>ef306e54</v>
      </c>
      <c r="G828" s="211" t="str">
        <f>IFERROR(__xludf.DUMMYFUNCTION("""COMPUTED_VALUE"""),"Karbondioksida")</f>
        <v>Karbondioksida</v>
      </c>
      <c r="H828" s="214" t="str">
        <f>IFERROR(__xludf.DUMMYFUNCTION("""COMPUTED_VALUE"""),"OUT")</f>
        <v>OUT</v>
      </c>
      <c r="I828" s="214" t="str">
        <f>IFERROR(__xludf.DUMMYFUNCTION("""COMPUTED_VALUE"""),"NORMAL")</f>
        <v>NORMAL</v>
      </c>
      <c r="J828" s="211">
        <f>IFERROR(__xludf.DUMMYFUNCTION("""COMPUTED_VALUE"""),1.0)</f>
        <v>1</v>
      </c>
      <c r="K828" s="210" t="str">
        <f>IFERROR(__xludf.DUMMYFUNCTION("""COMPUTED_VALUE"""),"13009")</f>
        <v>13009</v>
      </c>
      <c r="L828" s="211">
        <f>IFERROR(__xludf.DUMMYFUNCTION("""COMPUTED_VALUE"""),160000.0)</f>
        <v>160000</v>
      </c>
      <c r="M828" s="211"/>
      <c r="N828" s="211"/>
      <c r="O828" s="211"/>
      <c r="Q828" s="210" t="str">
        <f>IFERROR(__xludf.DUMMYFUNCTION("""COMPUTED_VALUE"""),"1a91e671")</f>
        <v>1a91e671</v>
      </c>
      <c r="R828" s="210" t="str">
        <f>IFERROR(__xludf.DUMMYFUNCTION("""COMPUTED_VALUE"""),"1a91e671")</f>
        <v>1a91e671</v>
      </c>
      <c r="S828" s="211" t="str">
        <f>IFERROR(__xludf.DUMMYFUNCTION("""COMPUTED_VALUE"""),"e86baf3b")</f>
        <v>e86baf3b</v>
      </c>
      <c r="T828" s="211" t="str">
        <f>IFERROR(__xludf.DUMMYFUNCTION("""COMPUTED_VALUE"""),"PT GEMILANG CIPTA WAWASAN")</f>
        <v>PT GEMILANG CIPTA WAWASAN</v>
      </c>
      <c r="U828" s="215">
        <f>IFERROR(__xludf.DUMMYFUNCTION("""COMPUTED_VALUE"""),45804.490277777775)</f>
        <v>45804.49028</v>
      </c>
      <c r="V828" s="211" t="str">
        <f>IFERROR(__xludf.DUMMYFUNCTION("""COMPUTED_VALUE"""),"JL TEBET RAYA, 2A, TEBET BARAT, TEBET, KOTA ADM, JAKARTA SELATAN, DKI JAKARTA")</f>
        <v>JL TEBET RAYA, 2A, TEBET BARAT, TEBET, KOTA ADM, JAKARTA SELATAN, DKI JAKARTA</v>
      </c>
      <c r="W828" s="211" t="str">
        <f>IFERROR(__xludf.DUMMYFUNCTION("""COMPUTED_VALUE"""),"IN")</f>
        <v>IN</v>
      </c>
      <c r="X828" s="211"/>
      <c r="Z828" s="211" t="str">
        <f>IFERROR(__xludf.DUMMYFUNCTION("""COMPUTED_VALUE"""),"0925291284")</f>
        <v>0925291284</v>
      </c>
      <c r="AC828" s="211"/>
      <c r="AD828" s="211"/>
      <c r="AE828" s="211"/>
      <c r="AF828" s="211"/>
      <c r="AG828" s="211"/>
      <c r="AH828" s="211"/>
      <c r="AI828" s="211"/>
      <c r="AJ828" s="211"/>
      <c r="AL828" s="211"/>
      <c r="AM828" s="211"/>
      <c r="AN828" s="211"/>
      <c r="AO828" s="211"/>
      <c r="AP828" s="215"/>
      <c r="AQ828" s="218"/>
      <c r="AR828" s="211"/>
      <c r="AS828" s="211"/>
      <c r="AT828" s="211"/>
      <c r="AU828" s="211"/>
      <c r="AV828" s="211"/>
      <c r="AW828" s="211"/>
      <c r="AX828" s="211"/>
      <c r="AY828" s="211"/>
      <c r="AZ828" s="211"/>
      <c r="BB828" s="211"/>
      <c r="BC828" s="211"/>
      <c r="BD828" s="211"/>
      <c r="BE828" s="211"/>
      <c r="BF828" s="211"/>
      <c r="BG828" s="211"/>
      <c r="BH828" s="211"/>
      <c r="BI828" s="211"/>
    </row>
    <row r="829">
      <c r="A829" s="210" t="str">
        <f>IFERROR(__xludf.DUMMYFUNCTION("""COMPUTED_VALUE"""),"03250331")</f>
        <v>03250331</v>
      </c>
      <c r="B829" s="210" t="str">
        <f>IFERROR(__xludf.DUMMYFUNCTION("""COMPUTED_VALUE"""),"03250331")</f>
        <v>03250331</v>
      </c>
      <c r="C829" s="213">
        <f>IFERROR(__xludf.DUMMYFUNCTION("""COMPUTED_VALUE"""),45733.51597222222)</f>
        <v>45733.51597</v>
      </c>
      <c r="D829" s="211" t="str">
        <f>IFERROR(__xludf.DUMMYFUNCTION("""COMPUTED_VALUE"""),"3fec37df")</f>
        <v>3fec37df</v>
      </c>
      <c r="E829" s="211" t="str">
        <f>IFERROR(__xludf.DUMMYFUNCTION("""COMPUTED_VALUE"""),"PT Jatim Abadi Perkasa Steel")</f>
        <v>PT Jatim Abadi Perkasa Steel</v>
      </c>
      <c r="F829" s="211" t="str">
        <f>IFERROR(__xludf.DUMMYFUNCTION("""COMPUTED_VALUE"""),"ef306e54")</f>
        <v>ef306e54</v>
      </c>
      <c r="G829" s="211" t="str">
        <f>IFERROR(__xludf.DUMMYFUNCTION("""COMPUTED_VALUE"""),"Karbondioksida")</f>
        <v>Karbondioksida</v>
      </c>
      <c r="H829" s="214" t="str">
        <f>IFERROR(__xludf.DUMMYFUNCTION("""COMPUTED_VALUE"""),"OUT")</f>
        <v>OUT</v>
      </c>
      <c r="I829" s="214" t="str">
        <f>IFERROR(__xludf.DUMMYFUNCTION("""COMPUTED_VALUE"""),"NORMAL")</f>
        <v>NORMAL</v>
      </c>
      <c r="J829" s="211">
        <f>IFERROR(__xludf.DUMMYFUNCTION("""COMPUTED_VALUE"""),4.0)</f>
        <v>4</v>
      </c>
      <c r="K829" s="210" t="str">
        <f>IFERROR(__xludf.DUMMYFUNCTION("""COMPUTED_VALUE"""),"13008 13007 13006 13005")</f>
        <v>13008 13007 13006 13005</v>
      </c>
      <c r="L829" s="211">
        <f>IFERROR(__xludf.DUMMYFUNCTION("""COMPUTED_VALUE"""),162162.16)</f>
        <v>162162.16</v>
      </c>
      <c r="M829" s="211"/>
      <c r="N829" s="211"/>
      <c r="O829" s="211"/>
      <c r="Q829" s="210" t="str">
        <f>IFERROR(__xludf.DUMMYFUNCTION("""COMPUTED_VALUE"""),"05250465")</f>
        <v>05250465</v>
      </c>
      <c r="R829" s="210" t="str">
        <f>IFERROR(__xludf.DUMMYFUNCTION("""COMPUTED_VALUE"""),"05250465")</f>
        <v>05250465</v>
      </c>
      <c r="S829" s="211" t="str">
        <f>IFERROR(__xludf.DUMMYFUNCTION("""COMPUTED_VALUE"""),"d78b2eaf")</f>
        <v>d78b2eaf</v>
      </c>
      <c r="T829" s="211" t="str">
        <f>IFERROR(__xludf.DUMMYFUNCTION("""COMPUTED_VALUE"""),"PT Sinar Indogreen Kencana")</f>
        <v>PT Sinar Indogreen Kencana</v>
      </c>
      <c r="U829" s="215">
        <f>IFERROR(__xludf.DUMMYFUNCTION("""COMPUTED_VALUE"""),45804.50208333333)</f>
        <v>45804.50208</v>
      </c>
      <c r="V829" s="211" t="str">
        <f>IFERROR(__xludf.DUMMYFUNCTION("""COMPUTED_VALUE"""),"Jl. Raya Ponokawan 8b RT/001 RW/002, Ponokawan, Krian, Sidoarjo")</f>
        <v>Jl. Raya Ponokawan 8b RT/001 RW/002, Ponokawan, Krian, Sidoarjo</v>
      </c>
      <c r="W829" s="211" t="str">
        <f>IFERROR(__xludf.DUMMYFUNCTION("""COMPUTED_VALUE"""),"OUT")</f>
        <v>OUT</v>
      </c>
      <c r="X829" s="211"/>
      <c r="Z829" s="211" t="str">
        <f>IFERROR(__xludf.DUMMYFUNCTION("""COMPUTED_VALUE"""),"092581291")</f>
        <v>092581291</v>
      </c>
      <c r="AC829" s="211"/>
      <c r="AD829" s="211"/>
      <c r="AE829" s="211"/>
      <c r="AF829" s="211"/>
      <c r="AG829" s="211"/>
      <c r="AH829" s="211"/>
      <c r="AI829" s="211"/>
      <c r="AJ829" s="211"/>
      <c r="AL829" s="211"/>
      <c r="AM829" s="211"/>
      <c r="AN829" s="211"/>
      <c r="AO829" s="211"/>
      <c r="AP829" s="215"/>
      <c r="AQ829" s="218"/>
      <c r="AR829" s="211"/>
      <c r="AS829" s="211"/>
      <c r="AT829" s="211"/>
      <c r="AU829" s="211"/>
      <c r="AV829" s="211"/>
      <c r="AW829" s="211"/>
      <c r="AX829" s="211"/>
      <c r="AY829" s="211"/>
      <c r="AZ829" s="211"/>
      <c r="BB829" s="211"/>
      <c r="BC829" s="211"/>
      <c r="BD829" s="211"/>
      <c r="BE829" s="211"/>
      <c r="BF829" s="211"/>
      <c r="BG829" s="211"/>
      <c r="BH829" s="211"/>
      <c r="BI829" s="211"/>
    </row>
    <row r="830">
      <c r="A830" s="210" t="str">
        <f>IFERROR(__xludf.DUMMYFUNCTION("""COMPUTED_VALUE"""),"03250332")</f>
        <v>03250332</v>
      </c>
      <c r="B830" s="210" t="str">
        <f>IFERROR(__xludf.DUMMYFUNCTION("""COMPUTED_VALUE"""),"03250332")</f>
        <v>03250332</v>
      </c>
      <c r="C830" s="213">
        <f>IFERROR(__xludf.DUMMYFUNCTION("""COMPUTED_VALUE"""),45734.368055555555)</f>
        <v>45734.36806</v>
      </c>
      <c r="D830" s="211" t="str">
        <f>IFERROR(__xludf.DUMMYFUNCTION("""COMPUTED_VALUE"""),"01158be1")</f>
        <v>01158be1</v>
      </c>
      <c r="E830" s="211" t="str">
        <f>IFERROR(__xludf.DUMMYFUNCTION("""COMPUTED_VALUE"""),"GYF")</f>
        <v>GYF</v>
      </c>
      <c r="F830" s="211" t="str">
        <f>IFERROR(__xludf.DUMMYFUNCTION("""COMPUTED_VALUE"""),"8bdbe149")</f>
        <v>8bdbe149</v>
      </c>
      <c r="G830" s="211" t="str">
        <f>IFERROR(__xludf.DUMMYFUNCTION("""COMPUTED_VALUE"""),"Oksigen 6m3")</f>
        <v>Oksigen 6m3</v>
      </c>
      <c r="H830" s="214" t="str">
        <f>IFERROR(__xludf.DUMMYFUNCTION("""COMPUTED_VALUE"""),"OUT")</f>
        <v>OUT</v>
      </c>
      <c r="I830" s="214" t="str">
        <f>IFERROR(__xludf.DUMMYFUNCTION("""COMPUTED_VALUE"""),"NORMAL")</f>
        <v>NORMAL</v>
      </c>
      <c r="J830" s="211">
        <f>IFERROR(__xludf.DUMMYFUNCTION("""COMPUTED_VALUE"""),15.0)</f>
        <v>15</v>
      </c>
      <c r="K830" s="210" t="str">
        <f>IFERROR(__xludf.DUMMYFUNCTION("""COMPUTED_VALUE"""),"11129 1146 11131 1141 1111 1115 1160 1167 1190 11123 1195 11183 11200 11208 11193")</f>
        <v>11129 1146 11131 1141 1111 1115 1160 1167 1190 11123 1195 11183 11200 11208 11193</v>
      </c>
      <c r="L830" s="211">
        <f>IFERROR(__xludf.DUMMYFUNCTION("""COMPUTED_VALUE"""),45000.0)</f>
        <v>45000</v>
      </c>
      <c r="M830" s="211"/>
      <c r="N830" s="211"/>
      <c r="O830" s="211"/>
      <c r="Q830" s="210" t="str">
        <f>IFERROR(__xludf.DUMMYFUNCTION("""COMPUTED_VALUE"""),"05250468")</f>
        <v>05250468</v>
      </c>
      <c r="R830" s="210" t="str">
        <f>IFERROR(__xludf.DUMMYFUNCTION("""COMPUTED_VALUE"""),"05250468")</f>
        <v>05250468</v>
      </c>
      <c r="S830" s="211" t="str">
        <f>IFERROR(__xludf.DUMMYFUNCTION("""COMPUTED_VALUE"""),"7b9d8eba")</f>
        <v>7b9d8eba</v>
      </c>
      <c r="T830" s="211" t="str">
        <f>IFERROR(__xludf.DUMMYFUNCTION("""COMPUTED_VALUE"""),"PT PELANGI INDOKARYA")</f>
        <v>PT PELANGI INDOKARYA</v>
      </c>
      <c r="U830" s="215">
        <f>IFERROR(__xludf.DUMMYFUNCTION("""COMPUTED_VALUE"""),45805.35208333333)</f>
        <v>45805.35208</v>
      </c>
      <c r="V83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830" s="211" t="str">
        <f>IFERROR(__xludf.DUMMYFUNCTION("""COMPUTED_VALUE"""),"OUT")</f>
        <v>OUT</v>
      </c>
      <c r="X830" s="211"/>
      <c r="Z830" s="211" t="str">
        <f>IFERROR(__xludf.DUMMYFUNCTION("""COMPUTED_VALUE"""),"092511288")</f>
        <v>092511288</v>
      </c>
      <c r="AC830" s="211"/>
      <c r="AD830" s="211"/>
      <c r="AE830" s="211"/>
      <c r="AF830" s="211"/>
      <c r="AG830" s="211"/>
      <c r="AH830" s="211"/>
      <c r="AI830" s="211"/>
      <c r="AJ830" s="211"/>
      <c r="AL830" s="211"/>
      <c r="AM830" s="211"/>
      <c r="AN830" s="211"/>
      <c r="AO830" s="211"/>
      <c r="AP830" s="215"/>
      <c r="AQ830" s="218"/>
      <c r="AR830" s="211"/>
      <c r="AS830" s="211"/>
      <c r="AT830" s="211"/>
      <c r="AU830" s="211"/>
      <c r="AV830" s="211"/>
      <c r="AW830" s="211"/>
      <c r="AX830" s="211"/>
      <c r="AY830" s="211"/>
      <c r="AZ830" s="211"/>
      <c r="BB830" s="211"/>
      <c r="BC830" s="211"/>
      <c r="BD830" s="211"/>
      <c r="BE830" s="211"/>
      <c r="BF830" s="211"/>
      <c r="BG830" s="211"/>
      <c r="BH830" s="211"/>
      <c r="BI830" s="211"/>
    </row>
    <row r="831">
      <c r="A831" s="210" t="str">
        <f>IFERROR(__xludf.DUMMYFUNCTION("""COMPUTED_VALUE"""),"403250014")</f>
        <v>403250014</v>
      </c>
      <c r="B831" s="210" t="str">
        <f>IFERROR(__xludf.DUMMYFUNCTION("""COMPUTED_VALUE"""),"403250014")</f>
        <v>403250014</v>
      </c>
      <c r="C831" s="213">
        <f>IFERROR(__xludf.DUMMYFUNCTION("""COMPUTED_VALUE"""),45734.34583333333)</f>
        <v>45734.34583</v>
      </c>
      <c r="D831" s="211" t="str">
        <f>IFERROR(__xludf.DUMMYFUNCTION("""COMPUTED_VALUE"""),"d78b2eaf")</f>
        <v>d78b2eaf</v>
      </c>
      <c r="E831" s="211" t="str">
        <f>IFERROR(__xludf.DUMMYFUNCTION("""COMPUTED_VALUE"""),"PT Sinar Indogreen Kencana")</f>
        <v>PT Sinar Indogreen Kencana</v>
      </c>
      <c r="F831" s="211" t="str">
        <f>IFERROR(__xludf.DUMMYFUNCTION("""COMPUTED_VALUE"""),"be525f3b")</f>
        <v>be525f3b</v>
      </c>
      <c r="G831" s="211" t="str">
        <f>IFERROR(__xludf.DUMMYFUNCTION("""COMPUTED_VALUE"""),"LPG 12kg")</f>
        <v>LPG 12kg</v>
      </c>
      <c r="H831" s="214" t="str">
        <f>IFERROR(__xludf.DUMMYFUNCTION("""COMPUTED_VALUE"""),"OTHER")</f>
        <v>OTHER</v>
      </c>
      <c r="I831" s="214" t="str">
        <f>IFERROR(__xludf.DUMMYFUNCTION("""COMPUTED_VALUE"""),"RETUR CLAIM")</f>
        <v>RETUR CLAIM</v>
      </c>
      <c r="J831" s="211">
        <f>IFERROR(__xludf.DUMMYFUNCTION("""COMPUTED_VALUE"""),2.0)</f>
        <v>2</v>
      </c>
      <c r="K831" s="211"/>
      <c r="L831" s="211">
        <f>IFERROR(__xludf.DUMMYFUNCTION("""COMPUTED_VALUE"""),0.0)</f>
        <v>0</v>
      </c>
      <c r="M831" s="211"/>
      <c r="N831" s="211"/>
      <c r="O831" s="211"/>
      <c r="Q831" s="210" t="str">
        <f>IFERROR(__xludf.DUMMYFUNCTION("""COMPUTED_VALUE"""),"05250469")</f>
        <v>05250469</v>
      </c>
      <c r="R831" s="210" t="str">
        <f>IFERROR(__xludf.DUMMYFUNCTION("""COMPUTED_VALUE"""),"05250469")</f>
        <v>05250469</v>
      </c>
      <c r="S831" s="211" t="str">
        <f>IFERROR(__xludf.DUMMYFUNCTION("""COMPUTED_VALUE"""),"ec231cc9")</f>
        <v>ec231cc9</v>
      </c>
      <c r="T831" s="211" t="str">
        <f>IFERROR(__xludf.DUMMYFUNCTION("""COMPUTED_VALUE"""),"Bpk. Kohir (Maintenance Velg)")</f>
        <v>Bpk. Kohir (Maintenance Velg)</v>
      </c>
      <c r="U831" s="215">
        <f>IFERROR(__xludf.DUMMYFUNCTION("""COMPUTED_VALUE"""),45805.44791666667)</f>
        <v>45805.44792</v>
      </c>
      <c r="V831" s="211" t="str">
        <f>IFERROR(__xludf.DUMMYFUNCTION("""COMPUTED_VALUE"""),"Jl. Lkr. Bypass Krian Timur, Sidogolong, Watugolong, Kec. Krian, Kabupaten Sidoarjo, Jawa Timur 61262")</f>
        <v>Jl. Lkr. Bypass Krian Timur, Sidogolong, Watugolong, Kec. Krian, Kabupaten Sidoarjo, Jawa Timur 61262</v>
      </c>
      <c r="W831" s="211" t="str">
        <f>IFERROR(__xludf.DUMMYFUNCTION("""COMPUTED_VALUE"""),"OUT")</f>
        <v>OUT</v>
      </c>
      <c r="X831" s="211"/>
      <c r="Z831" s="211" t="str">
        <f>IFERROR(__xludf.DUMMYFUNCTION("""COMPUTED_VALUE"""),"0925371289")</f>
        <v>0925371289</v>
      </c>
      <c r="AC831" s="211"/>
      <c r="AD831" s="211"/>
      <c r="AE831" s="211"/>
      <c r="AF831" s="211"/>
      <c r="AG831" s="211"/>
      <c r="AH831" s="211"/>
      <c r="AI831" s="211"/>
      <c r="AJ831" s="211"/>
      <c r="AL831" s="211"/>
      <c r="AM831" s="211"/>
      <c r="AN831" s="211"/>
      <c r="AO831" s="211"/>
      <c r="AP831" s="215"/>
      <c r="AQ831" s="218"/>
      <c r="AR831" s="211"/>
      <c r="AS831" s="211"/>
      <c r="AT831" s="211"/>
      <c r="AU831" s="211"/>
      <c r="AV831" s="211"/>
      <c r="AW831" s="211"/>
      <c r="AX831" s="211"/>
      <c r="AY831" s="211"/>
      <c r="AZ831" s="211"/>
      <c r="BB831" s="211"/>
      <c r="BC831" s="211"/>
      <c r="BD831" s="211"/>
      <c r="BE831" s="211"/>
      <c r="BF831" s="211"/>
      <c r="BG831" s="211"/>
      <c r="BH831" s="211"/>
      <c r="BI831" s="211"/>
    </row>
    <row r="832">
      <c r="A832" s="210" t="str">
        <f>IFERROR(__xludf.DUMMYFUNCTION("""COMPUTED_VALUE"""),"6d2057e9")</f>
        <v>6d2057e9</v>
      </c>
      <c r="B832" s="210" t="str">
        <f>IFERROR(__xludf.DUMMYFUNCTION("""COMPUTED_VALUE"""),"6d2057e9")</f>
        <v>6d2057e9</v>
      </c>
      <c r="C832" s="213">
        <f>IFERROR(__xludf.DUMMYFUNCTION("""COMPUTED_VALUE"""),45733.70694444444)</f>
        <v>45733.70694</v>
      </c>
      <c r="D832" s="211" t="str">
        <f>IFERROR(__xludf.DUMMYFUNCTION("""COMPUTED_VALUE"""),"5f23ba17")</f>
        <v>5f23ba17</v>
      </c>
      <c r="E832" s="211" t="str">
        <f>IFERROR(__xludf.DUMMYFUNCTION("""COMPUTED_VALUE"""),"Bpk. Joko (Gresik)")</f>
        <v>Bpk. Joko (Gresik)</v>
      </c>
      <c r="F832" s="211" t="str">
        <f>IFERROR(__xludf.DUMMYFUNCTION("""COMPUTED_VALUE"""),"f6aab7a9")</f>
        <v>f6aab7a9</v>
      </c>
      <c r="G832" s="211" t="str">
        <f>IFERROR(__xludf.DUMMYFUNCTION("""COMPUTED_VALUE"""),"Oksigen 6m3 MR")</f>
        <v>Oksigen 6m3 MR</v>
      </c>
      <c r="H832" s="214" t="str">
        <f>IFERROR(__xludf.DUMMYFUNCTION("""COMPUTED_VALUE"""),"IN")</f>
        <v>IN</v>
      </c>
      <c r="I832" s="214" t="str">
        <f>IFERROR(__xludf.DUMMYFUNCTION("""COMPUTED_VALUE"""),"EMPTY")</f>
        <v>EMPTY</v>
      </c>
      <c r="J832" s="211">
        <f>IFERROR(__xludf.DUMMYFUNCTION("""COMPUTED_VALUE"""),4.0)</f>
        <v>4</v>
      </c>
      <c r="K832" s="211"/>
      <c r="L832" s="211">
        <f>IFERROR(__xludf.DUMMYFUNCTION("""COMPUTED_VALUE"""),0.0)</f>
        <v>0</v>
      </c>
      <c r="M832" s="211"/>
      <c r="N832" s="211"/>
      <c r="O832" s="211"/>
      <c r="Q832" s="210" t="str">
        <f>IFERROR(__xludf.DUMMYFUNCTION("""COMPUTED_VALUE"""),"05250470")</f>
        <v>05250470</v>
      </c>
      <c r="R832" s="210" t="str">
        <f>IFERROR(__xludf.DUMMYFUNCTION("""COMPUTED_VALUE"""),"05250470")</f>
        <v>05250470</v>
      </c>
      <c r="S832" s="211" t="str">
        <f>IFERROR(__xludf.DUMMYFUNCTION("""COMPUTED_VALUE"""),"e93f2c03")</f>
        <v>e93f2c03</v>
      </c>
      <c r="T832" s="211" t="str">
        <f>IFERROR(__xludf.DUMMYFUNCTION("""COMPUTED_VALUE"""),"Ibu Siti Barokah")</f>
        <v>Ibu Siti Barokah</v>
      </c>
      <c r="U832" s="215">
        <f>IFERROR(__xludf.DUMMYFUNCTION("""COMPUTED_VALUE"""),45805.44861111111)</f>
        <v>45805.44861</v>
      </c>
      <c r="V832" s="211" t="str">
        <f>IFERROR(__xludf.DUMMYFUNCTION("""COMPUTED_VALUE"""),"#N/A")</f>
        <v>#N/A</v>
      </c>
      <c r="W832" s="211" t="str">
        <f>IFERROR(__xludf.DUMMYFUNCTION("""COMPUTED_VALUE"""),"OUT")</f>
        <v>OUT</v>
      </c>
      <c r="X832" s="211"/>
      <c r="Z832" s="211" t="str">
        <f>IFERROR(__xludf.DUMMYFUNCTION("""COMPUTED_VALUE"""),"0925111280")</f>
        <v>0925111280</v>
      </c>
      <c r="AC832" s="211"/>
      <c r="AD832" s="211"/>
      <c r="AE832" s="211"/>
      <c r="AF832" s="211"/>
      <c r="AG832" s="211"/>
      <c r="AH832" s="211"/>
      <c r="AI832" s="211"/>
      <c r="AJ832" s="211"/>
      <c r="AL832" s="211"/>
      <c r="AM832" s="211"/>
      <c r="AN832" s="211"/>
      <c r="AO832" s="211"/>
      <c r="AP832" s="215"/>
      <c r="AQ832" s="218"/>
      <c r="AR832" s="211"/>
      <c r="AS832" s="211"/>
      <c r="AT832" s="211"/>
      <c r="AU832" s="211"/>
      <c r="AV832" s="211"/>
      <c r="AW832" s="211"/>
      <c r="AX832" s="211"/>
      <c r="AY832" s="211"/>
      <c r="AZ832" s="211"/>
      <c r="BB832" s="211"/>
      <c r="BC832" s="211"/>
      <c r="BD832" s="211"/>
      <c r="BE832" s="211"/>
      <c r="BF832" s="211"/>
      <c r="BG832" s="211"/>
      <c r="BH832" s="211"/>
      <c r="BI832" s="211"/>
    </row>
    <row r="833">
      <c r="A833" s="210" t="str">
        <f>IFERROR(__xludf.DUMMYFUNCTION("""COMPUTED_VALUE"""),"6d2057e9")</f>
        <v>6d2057e9</v>
      </c>
      <c r="B833" s="210" t="str">
        <f>IFERROR(__xludf.DUMMYFUNCTION("""COMPUTED_VALUE"""),"6d2057e9")</f>
        <v>6d2057e9</v>
      </c>
      <c r="C833" s="213">
        <f>IFERROR(__xludf.DUMMYFUNCTION("""COMPUTED_VALUE"""),45733.70972222222)</f>
        <v>45733.70972</v>
      </c>
      <c r="D833" s="211" t="str">
        <f>IFERROR(__xludf.DUMMYFUNCTION("""COMPUTED_VALUE"""),"5f23ba17")</f>
        <v>5f23ba17</v>
      </c>
      <c r="E833" s="211" t="str">
        <f>IFERROR(__xludf.DUMMYFUNCTION("""COMPUTED_VALUE"""),"Bpk. Joko (Gresik)")</f>
        <v>Bpk. Joko (Gresik)</v>
      </c>
      <c r="F833" s="211" t="str">
        <f>IFERROR(__xludf.DUMMYFUNCTION("""COMPUTED_VALUE"""),"439cf836")</f>
        <v>439cf836</v>
      </c>
      <c r="G833" s="211" t="str">
        <f>IFERROR(__xludf.DUMMYFUNCTION("""COMPUTED_VALUE"""),"Karbondioksida MR")</f>
        <v>Karbondioksida MR</v>
      </c>
      <c r="H833" s="214" t="str">
        <f>IFERROR(__xludf.DUMMYFUNCTION("""COMPUTED_VALUE"""),"IN")</f>
        <v>IN</v>
      </c>
      <c r="I833" s="214" t="str">
        <f>IFERROR(__xludf.DUMMYFUNCTION("""COMPUTED_VALUE"""),"EMPTY")</f>
        <v>EMPTY</v>
      </c>
      <c r="J833" s="211">
        <f>IFERROR(__xludf.DUMMYFUNCTION("""COMPUTED_VALUE"""),1.0)</f>
        <v>1</v>
      </c>
      <c r="K833" s="211"/>
      <c r="L833" s="211">
        <f>IFERROR(__xludf.DUMMYFUNCTION("""COMPUTED_VALUE"""),0.0)</f>
        <v>0</v>
      </c>
      <c r="M833" s="211"/>
      <c r="N833" s="211"/>
      <c r="O833" s="211"/>
      <c r="Q833" s="210" t="str">
        <f>IFERROR(__xludf.DUMMYFUNCTION("""COMPUTED_VALUE"""),"05250471")</f>
        <v>05250471</v>
      </c>
      <c r="R833" s="210" t="str">
        <f>IFERROR(__xludf.DUMMYFUNCTION("""COMPUTED_VALUE"""),"05250471")</f>
        <v>05250471</v>
      </c>
      <c r="S833" s="211" t="str">
        <f>IFERROR(__xludf.DUMMYFUNCTION("""COMPUTED_VALUE"""),"ce83e171")</f>
        <v>ce83e171</v>
      </c>
      <c r="T833" s="211" t="str">
        <f>IFERROR(__xludf.DUMMYFUNCTION("""COMPUTED_VALUE"""),"Bpk. Sulaiman")</f>
        <v>Bpk. Sulaiman</v>
      </c>
      <c r="U833" s="215">
        <f>IFERROR(__xludf.DUMMYFUNCTION("""COMPUTED_VALUE"""),45805.47986111111)</f>
        <v>45805.47986</v>
      </c>
      <c r="V833" s="211" t="str">
        <f>IFERROR(__xludf.DUMMYFUNCTION("""COMPUTED_VALUE"""),"Jl. Raya Kramat Temenggung No.43, Kramat, Kramat Temenggung, Kec. Tarik, Kabupaten Sidoarjo, Jawa Timur 61265")</f>
        <v>Jl. Raya Kramat Temenggung No.43, Kramat, Kramat Temenggung, Kec. Tarik, Kabupaten Sidoarjo, Jawa Timur 61265</v>
      </c>
      <c r="W833" s="211" t="str">
        <f>IFERROR(__xludf.DUMMYFUNCTION("""COMPUTED_VALUE"""),"OUT")</f>
        <v>OUT</v>
      </c>
      <c r="X833" s="211"/>
      <c r="Z833" s="211" t="str">
        <f>IFERROR(__xludf.DUMMYFUNCTION("""COMPUTED_VALUE"""),"0925201283")</f>
        <v>0925201283</v>
      </c>
      <c r="AC833" s="211"/>
      <c r="AD833" s="211"/>
      <c r="AE833" s="211"/>
      <c r="AF833" s="211"/>
      <c r="AG833" s="211"/>
      <c r="AH833" s="211"/>
      <c r="AI833" s="211"/>
      <c r="AJ833" s="211"/>
      <c r="AL833" s="211"/>
      <c r="AM833" s="211"/>
      <c r="AN833" s="211"/>
      <c r="AO833" s="211"/>
      <c r="AP833" s="215"/>
      <c r="AQ833" s="218"/>
      <c r="AR833" s="211"/>
      <c r="AS833" s="211"/>
      <c r="AT833" s="211"/>
      <c r="AU833" s="211"/>
      <c r="AV833" s="211"/>
      <c r="AW833" s="211"/>
      <c r="AX833" s="211"/>
      <c r="AY833" s="211"/>
      <c r="AZ833" s="211"/>
      <c r="BB833" s="211"/>
      <c r="BC833" s="211"/>
      <c r="BD833" s="211"/>
      <c r="BE833" s="211"/>
      <c r="BF833" s="211"/>
      <c r="BG833" s="211"/>
      <c r="BH833" s="211"/>
      <c r="BI833" s="211"/>
    </row>
    <row r="834">
      <c r="A834" s="210" t="str">
        <f>IFERROR(__xludf.DUMMYFUNCTION("""COMPUTED_VALUE"""),"b157a973")</f>
        <v>b157a973</v>
      </c>
      <c r="B834" s="210" t="str">
        <f>IFERROR(__xludf.DUMMYFUNCTION("""COMPUTED_VALUE"""),"b157a973")</f>
        <v>b157a973</v>
      </c>
      <c r="C834" s="213">
        <f>IFERROR(__xludf.DUMMYFUNCTION("""COMPUTED_VALUE"""),45733.70972222222)</f>
        <v>45733.70972</v>
      </c>
      <c r="D834" s="211" t="str">
        <f>IFERROR(__xludf.DUMMYFUNCTION("""COMPUTED_VALUE"""),"5f23ba17")</f>
        <v>5f23ba17</v>
      </c>
      <c r="E834" s="211" t="str">
        <f>IFERROR(__xludf.DUMMYFUNCTION("""COMPUTED_VALUE"""),"Bpk. Joko (Gresik)")</f>
        <v>Bpk. Joko (Gresik)</v>
      </c>
      <c r="F834" s="211" t="str">
        <f>IFERROR(__xludf.DUMMYFUNCTION("""COMPUTED_VALUE"""),"be525f3b")</f>
        <v>be525f3b</v>
      </c>
      <c r="G834" s="211" t="str">
        <f>IFERROR(__xludf.DUMMYFUNCTION("""COMPUTED_VALUE"""),"LPG 12kg")</f>
        <v>LPG 12kg</v>
      </c>
      <c r="H834" s="214" t="str">
        <f>IFERROR(__xludf.DUMMYFUNCTION("""COMPUTED_VALUE"""),"IN")</f>
        <v>IN</v>
      </c>
      <c r="I834" s="214" t="str">
        <f>IFERROR(__xludf.DUMMYFUNCTION("""COMPUTED_VALUE"""),"EMPTY")</f>
        <v>EMPTY</v>
      </c>
      <c r="J834" s="211">
        <f>IFERROR(__xludf.DUMMYFUNCTION("""COMPUTED_VALUE"""),2.0)</f>
        <v>2</v>
      </c>
      <c r="K834" s="211"/>
      <c r="L834" s="211">
        <f>IFERROR(__xludf.DUMMYFUNCTION("""COMPUTED_VALUE"""),0.0)</f>
        <v>0</v>
      </c>
      <c r="M834" s="211"/>
      <c r="N834" s="211"/>
      <c r="O834" s="211"/>
      <c r="Q834" s="210" t="str">
        <f>IFERROR(__xludf.DUMMYFUNCTION("""COMPUTED_VALUE"""),"da69e183")</f>
        <v>da69e183</v>
      </c>
      <c r="R834" s="210" t="str">
        <f>IFERROR(__xludf.DUMMYFUNCTION("""COMPUTED_VALUE"""),"da69e183")</f>
        <v>da69e183</v>
      </c>
      <c r="S834" s="211" t="str">
        <f>IFERROR(__xludf.DUMMYFUNCTION("""COMPUTED_VALUE"""),"7b9d8eba")</f>
        <v>7b9d8eba</v>
      </c>
      <c r="T834" s="211" t="str">
        <f>IFERROR(__xludf.DUMMYFUNCTION("""COMPUTED_VALUE"""),"PT PELANGI INDOKARYA")</f>
        <v>PT PELANGI INDOKARYA</v>
      </c>
      <c r="U834" s="215">
        <f>IFERROR(__xludf.DUMMYFUNCTION("""COMPUTED_VALUE"""),45805.5625)</f>
        <v>45805.5625</v>
      </c>
      <c r="V83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834" s="211" t="str">
        <f>IFERROR(__xludf.DUMMYFUNCTION("""COMPUTED_VALUE"""),"IN")</f>
        <v>IN</v>
      </c>
      <c r="X834" s="211"/>
      <c r="Z834" s="211" t="str">
        <f>IFERROR(__xludf.DUMMYFUNCTION("""COMPUTED_VALUE"""),"0925501278")</f>
        <v>0925501278</v>
      </c>
      <c r="AC834" s="211"/>
      <c r="AD834" s="211"/>
      <c r="AE834" s="211"/>
      <c r="AF834" s="211"/>
      <c r="AG834" s="211"/>
      <c r="AH834" s="211"/>
      <c r="AI834" s="211"/>
      <c r="AJ834" s="211"/>
      <c r="AL834" s="211"/>
      <c r="AM834" s="211"/>
      <c r="AN834" s="211"/>
      <c r="AO834" s="211"/>
      <c r="AP834" s="215"/>
      <c r="AQ834" s="218"/>
      <c r="AR834" s="211"/>
      <c r="AS834" s="211"/>
      <c r="AT834" s="211"/>
      <c r="AU834" s="211"/>
      <c r="AV834" s="211"/>
      <c r="AW834" s="211"/>
      <c r="AX834" s="211"/>
      <c r="AY834" s="211"/>
      <c r="AZ834" s="211"/>
      <c r="BB834" s="211"/>
      <c r="BC834" s="211"/>
      <c r="BD834" s="211"/>
      <c r="BE834" s="211"/>
      <c r="BF834" s="211"/>
      <c r="BG834" s="211"/>
      <c r="BH834" s="211"/>
      <c r="BI834" s="211"/>
    </row>
    <row r="835">
      <c r="A835" s="210" t="str">
        <f>IFERROR(__xludf.DUMMYFUNCTION("""COMPUTED_VALUE"""),"20193ded")</f>
        <v>20193ded</v>
      </c>
      <c r="B835" s="210" t="str">
        <f>IFERROR(__xludf.DUMMYFUNCTION("""COMPUTED_VALUE"""),"20193ded")</f>
        <v>20193ded</v>
      </c>
      <c r="C835" s="213">
        <f>IFERROR(__xludf.DUMMYFUNCTION("""COMPUTED_VALUE"""),45733.711805555555)</f>
        <v>45733.71181</v>
      </c>
      <c r="D835" s="211" t="str">
        <f>IFERROR(__xludf.DUMMYFUNCTION("""COMPUTED_VALUE"""),"3fec37df")</f>
        <v>3fec37df</v>
      </c>
      <c r="E835" s="211" t="str">
        <f>IFERROR(__xludf.DUMMYFUNCTION("""COMPUTED_VALUE"""),"PT Jatim Abadi Perkasa Steel")</f>
        <v>PT Jatim Abadi Perkasa Steel</v>
      </c>
      <c r="F835" s="211" t="str">
        <f>IFERROR(__xludf.DUMMYFUNCTION("""COMPUTED_VALUE"""),"ef306e54")</f>
        <v>ef306e54</v>
      </c>
      <c r="G835" s="211" t="str">
        <f>IFERROR(__xludf.DUMMYFUNCTION("""COMPUTED_VALUE"""),"Karbondioksida")</f>
        <v>Karbondioksida</v>
      </c>
      <c r="H835" s="214" t="str">
        <f>IFERROR(__xludf.DUMMYFUNCTION("""COMPUTED_VALUE"""),"IN")</f>
        <v>IN</v>
      </c>
      <c r="I835" s="214" t="str">
        <f>IFERROR(__xludf.DUMMYFUNCTION("""COMPUTED_VALUE"""),"EMPTY")</f>
        <v>EMPTY</v>
      </c>
      <c r="J835" s="211">
        <f>IFERROR(__xludf.DUMMYFUNCTION("""COMPUTED_VALUE"""),1.0)</f>
        <v>1</v>
      </c>
      <c r="K835" s="210" t="str">
        <f>IFERROR(__xludf.DUMMYFUNCTION("""COMPUTED_VALUE"""),"13002")</f>
        <v>13002</v>
      </c>
      <c r="L835" s="211">
        <f>IFERROR(__xludf.DUMMYFUNCTION("""COMPUTED_VALUE"""),0.0)</f>
        <v>0</v>
      </c>
      <c r="M835" s="211"/>
      <c r="N835" s="211"/>
      <c r="O835" s="211"/>
      <c r="Q835" s="210" t="str">
        <f>IFERROR(__xludf.DUMMYFUNCTION("""COMPUTED_VALUE"""),"1ed8a44f")</f>
        <v>1ed8a44f</v>
      </c>
      <c r="R835" s="210" t="str">
        <f>IFERROR(__xludf.DUMMYFUNCTION("""COMPUTED_VALUE"""),"1ed8a44f")</f>
        <v>1ed8a44f</v>
      </c>
      <c r="S835" s="211" t="str">
        <f>IFERROR(__xludf.DUMMYFUNCTION("""COMPUTED_VALUE"""),"ec231cc9")</f>
        <v>ec231cc9</v>
      </c>
      <c r="T835" s="211" t="str">
        <f>IFERROR(__xludf.DUMMYFUNCTION("""COMPUTED_VALUE"""),"Bpk. Kohir (Maintenance Velg)")</f>
        <v>Bpk. Kohir (Maintenance Velg)</v>
      </c>
      <c r="U835" s="215">
        <f>IFERROR(__xludf.DUMMYFUNCTION("""COMPUTED_VALUE"""),45805.5625)</f>
        <v>45805.5625</v>
      </c>
      <c r="V835" s="211" t="str">
        <f>IFERROR(__xludf.DUMMYFUNCTION("""COMPUTED_VALUE"""),"Jl. Lkr. Bypass Krian Timur, Sidogolong, Watugolong, Kec. Krian, Kabupaten Sidoarjo, Jawa Timur 61262")</f>
        <v>Jl. Lkr. Bypass Krian Timur, Sidogolong, Watugolong, Kec. Krian, Kabupaten Sidoarjo, Jawa Timur 61262</v>
      </c>
      <c r="W835" s="211" t="str">
        <f>IFERROR(__xludf.DUMMYFUNCTION("""COMPUTED_VALUE"""),"IN")</f>
        <v>IN</v>
      </c>
      <c r="X835" s="211"/>
      <c r="Z835" s="211" t="str">
        <f>IFERROR(__xludf.DUMMYFUNCTION("""COMPUTED_VALUE"""),"0925491276")</f>
        <v>0925491276</v>
      </c>
      <c r="AC835" s="211"/>
      <c r="AD835" s="211"/>
      <c r="AE835" s="211"/>
      <c r="AF835" s="211"/>
      <c r="AG835" s="211"/>
      <c r="AH835" s="211"/>
      <c r="AI835" s="211"/>
      <c r="AJ835" s="211"/>
      <c r="AL835" s="211"/>
      <c r="AM835" s="211"/>
      <c r="AN835" s="211"/>
      <c r="AO835" s="211"/>
      <c r="AP835" s="215"/>
      <c r="AQ835" s="218"/>
      <c r="AR835" s="211"/>
      <c r="AS835" s="211"/>
      <c r="AT835" s="211"/>
      <c r="AU835" s="211"/>
      <c r="AV835" s="211"/>
      <c r="AW835" s="211"/>
      <c r="AX835" s="211"/>
      <c r="AY835" s="211"/>
      <c r="AZ835" s="211"/>
      <c r="BB835" s="211"/>
      <c r="BC835" s="211"/>
      <c r="BD835" s="211"/>
      <c r="BE835" s="211"/>
      <c r="BF835" s="211"/>
      <c r="BG835" s="211"/>
      <c r="BH835" s="211"/>
      <c r="BI835" s="211"/>
    </row>
    <row r="836">
      <c r="A836" s="210" t="str">
        <f>IFERROR(__xludf.DUMMYFUNCTION("""COMPUTED_VALUE"""),"af57a0cd")</f>
        <v>af57a0cd</v>
      </c>
      <c r="B836" s="210" t="str">
        <f>IFERROR(__xludf.DUMMYFUNCTION("""COMPUTED_VALUE"""),"af57a0cd")</f>
        <v>af57a0cd</v>
      </c>
      <c r="C836" s="213">
        <f>IFERROR(__xludf.DUMMYFUNCTION("""COMPUTED_VALUE"""),45733.71388888889)</f>
        <v>45733.71389</v>
      </c>
      <c r="D836" s="211" t="str">
        <f>IFERROR(__xludf.DUMMYFUNCTION("""COMPUTED_VALUE"""),"785e0e07")</f>
        <v>785e0e07</v>
      </c>
      <c r="E836" s="211" t="str">
        <f>IFERROR(__xludf.DUMMYFUNCTION("""COMPUTED_VALUE"""),"Bpk. Sukirno (Bejo)")</f>
        <v>Bpk. Sukirno (Bejo)</v>
      </c>
      <c r="F836" s="211" t="str">
        <f>IFERROR(__xludf.DUMMYFUNCTION("""COMPUTED_VALUE"""),"8bdbe149")</f>
        <v>8bdbe149</v>
      </c>
      <c r="G836" s="211" t="str">
        <f>IFERROR(__xludf.DUMMYFUNCTION("""COMPUTED_VALUE"""),"Oksigen 6m3")</f>
        <v>Oksigen 6m3</v>
      </c>
      <c r="H836" s="214" t="str">
        <f>IFERROR(__xludf.DUMMYFUNCTION("""COMPUTED_VALUE"""),"IN")</f>
        <v>IN</v>
      </c>
      <c r="I836" s="214" t="str">
        <f>IFERROR(__xludf.DUMMYFUNCTION("""COMPUTED_VALUE"""),"EMPTY")</f>
        <v>EMPTY</v>
      </c>
      <c r="J836" s="211">
        <f>IFERROR(__xludf.DUMMYFUNCTION("""COMPUTED_VALUE"""),9.0)</f>
        <v>9</v>
      </c>
      <c r="K836" s="210" t="str">
        <f>IFERROR(__xludf.DUMMYFUNCTION("""COMPUTED_VALUE"""),"11160 1121 1126 1151 11186 1108 1175 11147 11135")</f>
        <v>11160 1121 1126 1151 11186 1108 1175 11147 11135</v>
      </c>
      <c r="L836" s="211">
        <f>IFERROR(__xludf.DUMMYFUNCTION("""COMPUTED_VALUE"""),0.0)</f>
        <v>0</v>
      </c>
      <c r="M836" s="211"/>
      <c r="N836" s="211"/>
      <c r="O836" s="211"/>
      <c r="Q836" s="210" t="str">
        <f>IFERROR(__xludf.DUMMYFUNCTION("""COMPUTED_VALUE"""),"85f82373")</f>
        <v>85f82373</v>
      </c>
      <c r="R836" s="210" t="str">
        <f>IFERROR(__xludf.DUMMYFUNCTION("""COMPUTED_VALUE"""),"85f82373")</f>
        <v>85f82373</v>
      </c>
      <c r="S836" s="211" t="str">
        <f>IFERROR(__xludf.DUMMYFUNCTION("""COMPUTED_VALUE"""),"ce83e171")</f>
        <v>ce83e171</v>
      </c>
      <c r="T836" s="211" t="str">
        <f>IFERROR(__xludf.DUMMYFUNCTION("""COMPUTED_VALUE"""),"Bpk. Sulaiman")</f>
        <v>Bpk. Sulaiman</v>
      </c>
      <c r="U836" s="215">
        <f>IFERROR(__xludf.DUMMYFUNCTION("""COMPUTED_VALUE"""),45805.64722222222)</f>
        <v>45805.64722</v>
      </c>
      <c r="V836" s="211" t="str">
        <f>IFERROR(__xludf.DUMMYFUNCTION("""COMPUTED_VALUE"""),"Jl. Raya Kramat Temenggung No.43, Kramat, Kramat Temenggung, Kec. Tarik, Kabupaten Sidoarjo, Jawa Timur 61265")</f>
        <v>Jl. Raya Kramat Temenggung No.43, Kramat, Kramat Temenggung, Kec. Tarik, Kabupaten Sidoarjo, Jawa Timur 61265</v>
      </c>
      <c r="W836" s="211" t="str">
        <f>IFERROR(__xludf.DUMMYFUNCTION("""COMPUTED_VALUE"""),"IN")</f>
        <v>IN</v>
      </c>
      <c r="X836" s="211"/>
      <c r="Z836" s="211" t="str">
        <f>IFERROR(__xludf.DUMMYFUNCTION("""COMPUTED_VALUE"""),"0925231274")</f>
        <v>0925231274</v>
      </c>
      <c r="AC836" s="211"/>
      <c r="AD836" s="211"/>
      <c r="AE836" s="211"/>
      <c r="AF836" s="211"/>
      <c r="AG836" s="211"/>
      <c r="AH836" s="211"/>
      <c r="AI836" s="211"/>
      <c r="AJ836" s="211"/>
      <c r="AL836" s="211"/>
      <c r="AM836" s="211"/>
      <c r="AN836" s="211"/>
      <c r="AO836" s="211"/>
      <c r="AP836" s="215"/>
      <c r="AQ836" s="218"/>
      <c r="AR836" s="211"/>
      <c r="AS836" s="211"/>
      <c r="AT836" s="211"/>
      <c r="AU836" s="211"/>
      <c r="AV836" s="211"/>
      <c r="AW836" s="211"/>
      <c r="AX836" s="211"/>
      <c r="AY836" s="211"/>
      <c r="AZ836" s="211"/>
      <c r="BB836" s="211"/>
      <c r="BC836" s="211"/>
      <c r="BD836" s="211"/>
      <c r="BE836" s="211"/>
      <c r="BF836" s="211"/>
      <c r="BG836" s="211"/>
      <c r="BH836" s="211"/>
      <c r="BI836" s="211"/>
    </row>
    <row r="837">
      <c r="A837" s="210" t="str">
        <f>IFERROR(__xludf.DUMMYFUNCTION("""COMPUTED_VALUE"""),"a0fbaab7")</f>
        <v>a0fbaab7</v>
      </c>
      <c r="B837" s="210" t="str">
        <f>IFERROR(__xludf.DUMMYFUNCTION("""COMPUTED_VALUE"""),"a0fbaab7")</f>
        <v>a0fbaab7</v>
      </c>
      <c r="C837" s="213">
        <f>IFERROR(__xludf.DUMMYFUNCTION("""COMPUTED_VALUE"""),45734.447916666664)</f>
        <v>45734.44792</v>
      </c>
      <c r="D837" s="211" t="str">
        <f>IFERROR(__xludf.DUMMYFUNCTION("""COMPUTED_VALUE"""),"d78b2eaf")</f>
        <v>d78b2eaf</v>
      </c>
      <c r="E837" s="211" t="str">
        <f>IFERROR(__xludf.DUMMYFUNCTION("""COMPUTED_VALUE"""),"PT Sinar Indogreen Kencana")</f>
        <v>PT Sinar Indogreen Kencana</v>
      </c>
      <c r="F837" s="211" t="str">
        <f>IFERROR(__xludf.DUMMYFUNCTION("""COMPUTED_VALUE"""),"be525f3b")</f>
        <v>be525f3b</v>
      </c>
      <c r="G837" s="211" t="str">
        <f>IFERROR(__xludf.DUMMYFUNCTION("""COMPUTED_VALUE"""),"LPG 12kg")</f>
        <v>LPG 12kg</v>
      </c>
      <c r="H837" s="214" t="str">
        <f>IFERROR(__xludf.DUMMYFUNCTION("""COMPUTED_VALUE"""),"IN")</f>
        <v>IN</v>
      </c>
      <c r="I837" s="214" t="str">
        <f>IFERROR(__xludf.DUMMYFUNCTION("""COMPUTED_VALUE"""),"EMPTY")</f>
        <v>EMPTY</v>
      </c>
      <c r="J837" s="211">
        <f>IFERROR(__xludf.DUMMYFUNCTION("""COMPUTED_VALUE"""),1.0)</f>
        <v>1</v>
      </c>
      <c r="K837" s="211"/>
      <c r="L837" s="211">
        <f>IFERROR(__xludf.DUMMYFUNCTION("""COMPUTED_VALUE"""),0.0)</f>
        <v>0</v>
      </c>
      <c r="M837" s="211"/>
      <c r="N837" s="211"/>
      <c r="O837" s="211"/>
      <c r="Q837" s="210" t="str">
        <f>IFERROR(__xludf.DUMMYFUNCTION("""COMPUTED_VALUE"""),"05250473")</f>
        <v>05250473</v>
      </c>
      <c r="R837" s="210" t="str">
        <f>IFERROR(__xludf.DUMMYFUNCTION("""COMPUTED_VALUE"""),"05250473")</f>
        <v>05250473</v>
      </c>
      <c r="S837" s="211" t="str">
        <f>IFERROR(__xludf.DUMMYFUNCTION("""COMPUTED_VALUE"""),"ce83e171")</f>
        <v>ce83e171</v>
      </c>
      <c r="T837" s="211" t="str">
        <f>IFERROR(__xludf.DUMMYFUNCTION("""COMPUTED_VALUE"""),"Bpk. Sulaiman")</f>
        <v>Bpk. Sulaiman</v>
      </c>
      <c r="U837" s="215">
        <f>IFERROR(__xludf.DUMMYFUNCTION("""COMPUTED_VALUE"""),45807.36041666666)</f>
        <v>45807.36042</v>
      </c>
      <c r="V837" s="211" t="str">
        <f>IFERROR(__xludf.DUMMYFUNCTION("""COMPUTED_VALUE"""),"Jl. Raya Kramat Temenggung No.43, Kramat, Kramat Temenggung, Kec. Tarik, Kabupaten Sidoarjo, Jawa Timur 61265")</f>
        <v>Jl. Raya Kramat Temenggung No.43, Kramat, Kramat Temenggung, Kec. Tarik, Kabupaten Sidoarjo, Jawa Timur 61265</v>
      </c>
      <c r="W837" s="211" t="str">
        <f>IFERROR(__xludf.DUMMYFUNCTION("""COMPUTED_VALUE"""),"OUT")</f>
        <v>OUT</v>
      </c>
      <c r="X837" s="211"/>
      <c r="Z837" s="211" t="str">
        <f>IFERROR(__xludf.DUMMYFUNCTION("""COMPUTED_VALUE"""),"0925191273")</f>
        <v>0925191273</v>
      </c>
      <c r="AC837" s="211"/>
      <c r="AD837" s="211"/>
      <c r="AE837" s="211"/>
      <c r="AF837" s="211"/>
      <c r="AG837" s="211"/>
      <c r="AH837" s="211"/>
      <c r="AI837" s="211"/>
      <c r="AJ837" s="211"/>
      <c r="AL837" s="211"/>
      <c r="AM837" s="211"/>
      <c r="AN837" s="211"/>
      <c r="AO837" s="211"/>
      <c r="AP837" s="215"/>
      <c r="AQ837" s="218"/>
      <c r="AR837" s="211"/>
      <c r="AS837" s="211"/>
      <c r="AT837" s="211"/>
      <c r="AU837" s="211"/>
      <c r="AV837" s="211"/>
      <c r="AW837" s="211"/>
      <c r="AX837" s="211"/>
      <c r="AY837" s="211"/>
      <c r="AZ837" s="211"/>
      <c r="BB837" s="211"/>
      <c r="BC837" s="211"/>
      <c r="BD837" s="211"/>
      <c r="BE837" s="211"/>
      <c r="BF837" s="211"/>
      <c r="BG837" s="211"/>
      <c r="BH837" s="211"/>
      <c r="BI837" s="211"/>
    </row>
    <row r="838">
      <c r="A838" s="210" t="str">
        <f>IFERROR(__xludf.DUMMYFUNCTION("""COMPUTED_VALUE"""),"94876ad9")</f>
        <v>94876ad9</v>
      </c>
      <c r="B838" s="210" t="str">
        <f>IFERROR(__xludf.DUMMYFUNCTION("""COMPUTED_VALUE"""),"94876ad9")</f>
        <v>94876ad9</v>
      </c>
      <c r="C838" s="213">
        <f>IFERROR(__xludf.DUMMYFUNCTION("""COMPUTED_VALUE"""),45729.46527777778)</f>
        <v>45729.46528</v>
      </c>
      <c r="D838" s="211" t="str">
        <f>IFERROR(__xludf.DUMMYFUNCTION("""COMPUTED_VALUE"""),"3fec37df")</f>
        <v>3fec37df</v>
      </c>
      <c r="E838" s="211" t="str">
        <f>IFERROR(__xludf.DUMMYFUNCTION("""COMPUTED_VALUE"""),"PT Jatim Abadi Perkasa Steel")</f>
        <v>PT Jatim Abadi Perkasa Steel</v>
      </c>
      <c r="F838" s="211" t="str">
        <f>IFERROR(__xludf.DUMMYFUNCTION("""COMPUTED_VALUE"""),"ef306e54")</f>
        <v>ef306e54</v>
      </c>
      <c r="G838" s="211" t="str">
        <f>IFERROR(__xludf.DUMMYFUNCTION("""COMPUTED_VALUE"""),"Karbondioksida")</f>
        <v>Karbondioksida</v>
      </c>
      <c r="H838" s="214" t="str">
        <f>IFERROR(__xludf.DUMMYFUNCTION("""COMPUTED_VALUE"""),"IN")</f>
        <v>IN</v>
      </c>
      <c r="I838" s="214" t="str">
        <f>IFERROR(__xludf.DUMMYFUNCTION("""COMPUTED_VALUE"""),"EMPTY")</f>
        <v>EMPTY</v>
      </c>
      <c r="J838" s="211">
        <f>IFERROR(__xludf.DUMMYFUNCTION("""COMPUTED_VALUE"""),3.0)</f>
        <v>3</v>
      </c>
      <c r="K838" s="210" t="str">
        <f>IFERROR(__xludf.DUMMYFUNCTION("""COMPUTED_VALUE"""),"6659 6614 13004")</f>
        <v>6659 6614 13004</v>
      </c>
      <c r="L838" s="211">
        <f>IFERROR(__xludf.DUMMYFUNCTION("""COMPUTED_VALUE"""),0.0)</f>
        <v>0</v>
      </c>
      <c r="M838" s="211"/>
      <c r="N838" s="211"/>
      <c r="O838" s="211"/>
      <c r="Q838" s="210" t="str">
        <f>IFERROR(__xludf.DUMMYFUNCTION("""COMPUTED_VALUE"""),"05250477")</f>
        <v>05250477</v>
      </c>
      <c r="R838" s="210" t="str">
        <f>IFERROR(__xludf.DUMMYFUNCTION("""COMPUTED_VALUE"""),"05250477")</f>
        <v>05250477</v>
      </c>
      <c r="S838" s="211" t="str">
        <f>IFERROR(__xludf.DUMMYFUNCTION("""COMPUTED_VALUE"""),"ec231cc9")</f>
        <v>ec231cc9</v>
      </c>
      <c r="T838" s="211" t="str">
        <f>IFERROR(__xludf.DUMMYFUNCTION("""COMPUTED_VALUE"""),"Bpk. Kohir (Maintenance Velg)")</f>
        <v>Bpk. Kohir (Maintenance Velg)</v>
      </c>
      <c r="U838" s="215">
        <f>IFERROR(__xludf.DUMMYFUNCTION("""COMPUTED_VALUE"""),45807.379166666666)</f>
        <v>45807.37917</v>
      </c>
      <c r="V838" s="211" t="str">
        <f>IFERROR(__xludf.DUMMYFUNCTION("""COMPUTED_VALUE"""),"Jl. Lkr. Bypass Krian Timur, Sidogolong, Watugolong, Kec. Krian, Kabupaten Sidoarjo, Jawa Timur 61262")</f>
        <v>Jl. Lkr. Bypass Krian Timur, Sidogolong, Watugolong, Kec. Krian, Kabupaten Sidoarjo, Jawa Timur 61262</v>
      </c>
      <c r="W838" s="211" t="str">
        <f>IFERROR(__xludf.DUMMYFUNCTION("""COMPUTED_VALUE"""),"OUT")</f>
        <v>OUT</v>
      </c>
      <c r="X838" s="211"/>
      <c r="Z838" s="211" t="str">
        <f>IFERROR(__xludf.DUMMYFUNCTION("""COMPUTED_VALUE"""),"092511269")</f>
        <v>092511269</v>
      </c>
      <c r="AC838" s="211"/>
      <c r="AD838" s="211"/>
      <c r="AE838" s="211"/>
      <c r="AF838" s="211"/>
      <c r="AG838" s="211"/>
      <c r="AH838" s="211"/>
      <c r="AI838" s="211"/>
      <c r="AJ838" s="211"/>
      <c r="AL838" s="211"/>
      <c r="AM838" s="211"/>
      <c r="AN838" s="211"/>
      <c r="AO838" s="211"/>
      <c r="AP838" s="215"/>
      <c r="AQ838" s="218"/>
      <c r="AR838" s="211"/>
      <c r="AS838" s="211"/>
      <c r="AT838" s="211"/>
      <c r="AU838" s="211"/>
      <c r="AV838" s="211"/>
      <c r="AW838" s="211"/>
      <c r="AX838" s="211"/>
      <c r="AY838" s="211"/>
      <c r="AZ838" s="211"/>
      <c r="BB838" s="211"/>
      <c r="BC838" s="211"/>
      <c r="BD838" s="211"/>
      <c r="BE838" s="211"/>
      <c r="BF838" s="211"/>
      <c r="BG838" s="211"/>
      <c r="BH838" s="211"/>
      <c r="BI838" s="211"/>
    </row>
    <row r="839">
      <c r="A839" s="210" t="str">
        <f>IFERROR(__xludf.DUMMYFUNCTION("""COMPUTED_VALUE"""),"03250333")</f>
        <v>03250333</v>
      </c>
      <c r="B839" s="210" t="str">
        <f>IFERROR(__xludf.DUMMYFUNCTION("""COMPUTED_VALUE"""),"03250333")</f>
        <v>03250333</v>
      </c>
      <c r="C839" s="213">
        <f>IFERROR(__xludf.DUMMYFUNCTION("""COMPUTED_VALUE"""),45735.34930555556)</f>
        <v>45735.34931</v>
      </c>
      <c r="D839" s="211" t="str">
        <f>IFERROR(__xludf.DUMMYFUNCTION("""COMPUTED_VALUE"""),"103f3ae7")</f>
        <v>103f3ae7</v>
      </c>
      <c r="E839" s="211" t="str">
        <f>IFERROR(__xludf.DUMMYFUNCTION("""COMPUTED_VALUE"""),"PT ARYANA CAKASANA")</f>
        <v>PT ARYANA CAKASANA</v>
      </c>
      <c r="F839" s="211" t="str">
        <f>IFERROR(__xludf.DUMMYFUNCTION("""COMPUTED_VALUE"""),"8bdbe149")</f>
        <v>8bdbe149</v>
      </c>
      <c r="G839" s="211" t="str">
        <f>IFERROR(__xludf.DUMMYFUNCTION("""COMPUTED_VALUE"""),"Oksigen 6m3")</f>
        <v>Oksigen 6m3</v>
      </c>
      <c r="H839" s="214" t="str">
        <f>IFERROR(__xludf.DUMMYFUNCTION("""COMPUTED_VALUE"""),"OUT")</f>
        <v>OUT</v>
      </c>
      <c r="I839" s="214" t="str">
        <f>IFERROR(__xludf.DUMMYFUNCTION("""COMPUTED_VALUE"""),"NORMAL")</f>
        <v>NORMAL</v>
      </c>
      <c r="J839" s="211">
        <f>IFERROR(__xludf.DUMMYFUNCTION("""COMPUTED_VALUE"""),10.0)</f>
        <v>10</v>
      </c>
      <c r="K839" s="210" t="str">
        <f>IFERROR(__xludf.DUMMYFUNCTION("""COMPUTED_VALUE"""),"1194 11105 1145 1125 1110 11110 11124 1113 1152 1133")</f>
        <v>1194 11105 1145 1125 1110 11110 11124 1113 1152 1133</v>
      </c>
      <c r="L839" s="211">
        <f>IFERROR(__xludf.DUMMYFUNCTION("""COMPUTED_VALUE"""),47297.2973)</f>
        <v>47297.2973</v>
      </c>
      <c r="M839" s="211"/>
      <c r="N839" s="211"/>
      <c r="O839" s="211"/>
      <c r="Q839" s="210" t="str">
        <f>IFERROR(__xludf.DUMMYFUNCTION("""COMPUTED_VALUE"""),"e8268dc7")</f>
        <v>e8268dc7</v>
      </c>
      <c r="R839" s="210" t="str">
        <f>IFERROR(__xludf.DUMMYFUNCTION("""COMPUTED_VALUE"""),"e8268dc7")</f>
        <v>e8268dc7</v>
      </c>
      <c r="S839" s="211" t="str">
        <f>IFERROR(__xludf.DUMMYFUNCTION("""COMPUTED_VALUE"""),"ec231cc9")</f>
        <v>ec231cc9</v>
      </c>
      <c r="T839" s="211" t="str">
        <f>IFERROR(__xludf.DUMMYFUNCTION("""COMPUTED_VALUE"""),"Bpk. Kohir (Maintenance Velg)")</f>
        <v>Bpk. Kohir (Maintenance Velg)</v>
      </c>
      <c r="U839" s="215">
        <f>IFERROR(__xludf.DUMMYFUNCTION("""COMPUTED_VALUE"""),45808.48333333334)</f>
        <v>45808.48333</v>
      </c>
      <c r="V839" s="211" t="str">
        <f>IFERROR(__xludf.DUMMYFUNCTION("""COMPUTED_VALUE"""),"Jl. Lkr. Bypass Krian Timur, Sidogolong, Watugolong, Kec. Krian, Kabupaten Sidoarjo, Jawa Timur 61262")</f>
        <v>Jl. Lkr. Bypass Krian Timur, Sidogolong, Watugolong, Kec. Krian, Kabupaten Sidoarjo, Jawa Timur 61262</v>
      </c>
      <c r="W839" s="211" t="str">
        <f>IFERROR(__xludf.DUMMYFUNCTION("""COMPUTED_VALUE"""),"IN")</f>
        <v>IN</v>
      </c>
      <c r="X839" s="211"/>
      <c r="Z839" s="211" t="str">
        <f>IFERROR(__xludf.DUMMYFUNCTION("""COMPUTED_VALUE"""),"092541267")</f>
        <v>092541267</v>
      </c>
      <c r="AC839" s="211"/>
      <c r="AD839" s="211"/>
      <c r="AE839" s="211"/>
      <c r="AF839" s="211"/>
      <c r="AG839" s="211"/>
      <c r="AH839" s="211"/>
      <c r="AI839" s="211"/>
      <c r="AJ839" s="211"/>
      <c r="AL839" s="211"/>
      <c r="AM839" s="211"/>
      <c r="AN839" s="211"/>
      <c r="AO839" s="211"/>
      <c r="AP839" s="215"/>
      <c r="AQ839" s="218"/>
      <c r="AR839" s="211"/>
      <c r="AS839" s="211"/>
      <c r="AT839" s="211"/>
      <c r="AU839" s="211"/>
      <c r="AV839" s="211"/>
      <c r="AW839" s="211"/>
      <c r="AX839" s="211"/>
      <c r="AY839" s="211"/>
      <c r="AZ839" s="211"/>
      <c r="BB839" s="211"/>
      <c r="BC839" s="211"/>
      <c r="BD839" s="211"/>
      <c r="BE839" s="211"/>
      <c r="BF839" s="211"/>
      <c r="BG839" s="211"/>
      <c r="BH839" s="211"/>
      <c r="BI839" s="211"/>
    </row>
    <row r="840">
      <c r="A840" s="210" t="str">
        <f>IFERROR(__xludf.DUMMYFUNCTION("""COMPUTED_VALUE"""),"22078399")</f>
        <v>22078399</v>
      </c>
      <c r="B840" s="210" t="str">
        <f>IFERROR(__xludf.DUMMYFUNCTION("""COMPUTED_VALUE"""),"22078399")</f>
        <v>22078399</v>
      </c>
      <c r="C840" s="213">
        <f>IFERROR(__xludf.DUMMYFUNCTION("""COMPUTED_VALUE"""),45734.64791666667)</f>
        <v>45734.64792</v>
      </c>
      <c r="D840" s="211" t="str">
        <f>IFERROR(__xludf.DUMMYFUNCTION("""COMPUTED_VALUE"""),"01158be1")</f>
        <v>01158be1</v>
      </c>
      <c r="E840" s="211" t="str">
        <f>IFERROR(__xludf.DUMMYFUNCTION("""COMPUTED_VALUE"""),"GYF")</f>
        <v>GYF</v>
      </c>
      <c r="F840" s="211" t="str">
        <f>IFERROR(__xludf.DUMMYFUNCTION("""COMPUTED_VALUE"""),"8bdbe149")</f>
        <v>8bdbe149</v>
      </c>
      <c r="G840" s="211" t="str">
        <f>IFERROR(__xludf.DUMMYFUNCTION("""COMPUTED_VALUE"""),"Oksigen 6m3")</f>
        <v>Oksigen 6m3</v>
      </c>
      <c r="H840" s="214" t="str">
        <f>IFERROR(__xludf.DUMMYFUNCTION("""COMPUTED_VALUE"""),"IN")</f>
        <v>IN</v>
      </c>
      <c r="I840" s="214" t="str">
        <f>IFERROR(__xludf.DUMMYFUNCTION("""COMPUTED_VALUE"""),"EMPTY")</f>
        <v>EMPTY</v>
      </c>
      <c r="J840" s="211">
        <f>IFERROR(__xludf.DUMMYFUNCTION("""COMPUTED_VALUE"""),11.0)</f>
        <v>11</v>
      </c>
      <c r="K840" s="210" t="str">
        <f>IFERROR(__xludf.DUMMYFUNCTION("""COMPUTED_VALUE"""),"11225 11155 11120 11218 11219 11222 1135 11214 11205 11154 11210")</f>
        <v>11225 11155 11120 11218 11219 11222 1135 11214 11205 11154 11210</v>
      </c>
      <c r="L840" s="211">
        <f>IFERROR(__xludf.DUMMYFUNCTION("""COMPUTED_VALUE"""),0.0)</f>
        <v>0</v>
      </c>
      <c r="M840" s="211"/>
      <c r="N840" s="211"/>
      <c r="O840" s="211"/>
      <c r="Q840" s="210" t="str">
        <f>IFERROR(__xludf.DUMMYFUNCTION("""COMPUTED_VALUE"""),"460f0ae6")</f>
        <v>460f0ae6</v>
      </c>
      <c r="R840" s="210" t="str">
        <f>IFERROR(__xludf.DUMMYFUNCTION("""COMPUTED_VALUE"""),"460f0ae6")</f>
        <v>460f0ae6</v>
      </c>
      <c r="S840" s="211" t="str">
        <f>IFERROR(__xludf.DUMMYFUNCTION("""COMPUTED_VALUE"""),"ce83e171")</f>
        <v>ce83e171</v>
      </c>
      <c r="T840" s="211" t="str">
        <f>IFERROR(__xludf.DUMMYFUNCTION("""COMPUTED_VALUE"""),"Bpk. Sulaiman")</f>
        <v>Bpk. Sulaiman</v>
      </c>
      <c r="U840" s="215">
        <f>IFERROR(__xludf.DUMMYFUNCTION("""COMPUTED_VALUE"""),45808.48402777778)</f>
        <v>45808.48403</v>
      </c>
      <c r="V840" s="211" t="str">
        <f>IFERROR(__xludf.DUMMYFUNCTION("""COMPUTED_VALUE"""),"Jl. Raya Kramat Temenggung No.43, Kramat, Kramat Temenggung, Kec. Tarik, Kabupaten Sidoarjo, Jawa Timur 61265")</f>
        <v>Jl. Raya Kramat Temenggung No.43, Kramat, Kramat Temenggung, Kec. Tarik, Kabupaten Sidoarjo, Jawa Timur 61265</v>
      </c>
      <c r="W840" s="211" t="str">
        <f>IFERROR(__xludf.DUMMYFUNCTION("""COMPUTED_VALUE"""),"IN")</f>
        <v>IN</v>
      </c>
      <c r="X840" s="211"/>
      <c r="Z840" s="211" t="str">
        <f>IFERROR(__xludf.DUMMYFUNCTION("""COMPUTED_VALUE"""),"0925181266")</f>
        <v>0925181266</v>
      </c>
      <c r="AC840" s="211"/>
      <c r="AD840" s="211"/>
      <c r="AE840" s="211"/>
      <c r="AF840" s="211"/>
      <c r="AG840" s="211"/>
      <c r="AH840" s="211"/>
      <c r="AI840" s="211"/>
      <c r="AJ840" s="211"/>
      <c r="AL840" s="211"/>
      <c r="AM840" s="211"/>
      <c r="AN840" s="211"/>
      <c r="AO840" s="211"/>
      <c r="AP840" s="215"/>
      <c r="AQ840" s="218"/>
      <c r="AR840" s="211"/>
      <c r="AS840" s="211"/>
      <c r="AT840" s="211"/>
      <c r="AU840" s="211"/>
      <c r="AV840" s="211"/>
      <c r="AW840" s="211"/>
      <c r="AX840" s="211"/>
      <c r="AY840" s="211"/>
      <c r="AZ840" s="211"/>
      <c r="BB840" s="211"/>
      <c r="BC840" s="211"/>
      <c r="BD840" s="211"/>
      <c r="BE840" s="211"/>
      <c r="BF840" s="211"/>
      <c r="BG840" s="211"/>
      <c r="BH840" s="211"/>
      <c r="BI840" s="211"/>
    </row>
    <row r="841">
      <c r="A841" s="210" t="str">
        <f>IFERROR(__xludf.DUMMYFUNCTION("""COMPUTED_VALUE"""),"03250334")</f>
        <v>03250334</v>
      </c>
      <c r="B841" s="210" t="str">
        <f>IFERROR(__xludf.DUMMYFUNCTION("""COMPUTED_VALUE"""),"03250334")</f>
        <v>03250334</v>
      </c>
      <c r="C841" s="213">
        <f>IFERROR(__xludf.DUMMYFUNCTION("""COMPUTED_VALUE"""),45735.370833333334)</f>
        <v>45735.37083</v>
      </c>
      <c r="D841" s="211" t="str">
        <f>IFERROR(__xludf.DUMMYFUNCTION("""COMPUTED_VALUE"""),"785e0e07")</f>
        <v>785e0e07</v>
      </c>
      <c r="E841" s="211" t="str">
        <f>IFERROR(__xludf.DUMMYFUNCTION("""COMPUTED_VALUE"""),"Bpk. Sukirno (Bejo)")</f>
        <v>Bpk. Sukirno (Bejo)</v>
      </c>
      <c r="F841" s="211" t="str">
        <f>IFERROR(__xludf.DUMMYFUNCTION("""COMPUTED_VALUE"""),"8bdbe149")</f>
        <v>8bdbe149</v>
      </c>
      <c r="G841" s="211" t="str">
        <f>IFERROR(__xludf.DUMMYFUNCTION("""COMPUTED_VALUE"""),"Oksigen 6m3")</f>
        <v>Oksigen 6m3</v>
      </c>
      <c r="H841" s="214" t="str">
        <f>IFERROR(__xludf.DUMMYFUNCTION("""COMPUTED_VALUE"""),"OUT")</f>
        <v>OUT</v>
      </c>
      <c r="I841" s="214" t="str">
        <f>IFERROR(__xludf.DUMMYFUNCTION("""COMPUTED_VALUE"""),"NORMAL")</f>
        <v>NORMAL</v>
      </c>
      <c r="J841" s="211">
        <f>IFERROR(__xludf.DUMMYFUNCTION("""COMPUTED_VALUE"""),10.0)</f>
        <v>10</v>
      </c>
      <c r="K841" s="210" t="str">
        <f>IFERROR(__xludf.DUMMYFUNCTION("""COMPUTED_VALUE"""),"11141 11162 11143 11152 11157 11172 11167 11169 11212 76")</f>
        <v>11141 11162 11143 11152 11157 11172 11167 11169 11212 76</v>
      </c>
      <c r="L841" s="211">
        <f>IFERROR(__xludf.DUMMYFUNCTION("""COMPUTED_VALUE"""),60000.0)</f>
        <v>60000</v>
      </c>
      <c r="M841" s="211"/>
      <c r="N841" s="211"/>
      <c r="O841" s="211"/>
      <c r="Q841" s="210" t="str">
        <f>IFERROR(__xludf.DUMMYFUNCTION("""COMPUTED_VALUE"""),"05250478")</f>
        <v>05250478</v>
      </c>
      <c r="R841" s="210" t="str">
        <f>IFERROR(__xludf.DUMMYFUNCTION("""COMPUTED_VALUE"""),"05250478")</f>
        <v>05250478</v>
      </c>
      <c r="S841" s="211" t="str">
        <f>IFERROR(__xludf.DUMMYFUNCTION("""COMPUTED_VALUE"""),"bdb5baf1")</f>
        <v>bdb5baf1</v>
      </c>
      <c r="T841" s="211" t="str">
        <f>IFERROR(__xludf.DUMMYFUNCTION("""COMPUTED_VALUE"""),"Bpk. Abdul")</f>
        <v>Bpk. Abdul</v>
      </c>
      <c r="U841" s="215">
        <f>IFERROR(__xludf.DUMMYFUNCTION("""COMPUTED_VALUE"""),45808.57986111111)</f>
        <v>45808.57986</v>
      </c>
      <c r="V841" s="211" t="str">
        <f>IFERROR(__xludf.DUMMYFUNCTION("""COMPUTED_VALUE"""),"#N/A")</f>
        <v>#N/A</v>
      </c>
      <c r="W841" s="211" t="str">
        <f>IFERROR(__xludf.DUMMYFUNCTION("""COMPUTED_VALUE"""),"OUT")</f>
        <v>OUT</v>
      </c>
      <c r="X841" s="211"/>
      <c r="Z841" s="211" t="str">
        <f>IFERROR(__xludf.DUMMYFUNCTION("""COMPUTED_VALUE"""),"0925481265")</f>
        <v>0925481265</v>
      </c>
      <c r="AC841" s="211"/>
      <c r="AD841" s="211"/>
      <c r="AE841" s="211"/>
      <c r="AF841" s="211"/>
      <c r="AG841" s="211"/>
      <c r="AH841" s="211"/>
      <c r="AI841" s="211"/>
      <c r="AJ841" s="211"/>
      <c r="AL841" s="211"/>
      <c r="AM841" s="211"/>
      <c r="AN841" s="211"/>
      <c r="AO841" s="211"/>
      <c r="AP841" s="215"/>
      <c r="AQ841" s="218"/>
      <c r="AR841" s="211"/>
      <c r="AS841" s="211"/>
      <c r="AT841" s="211"/>
      <c r="AU841" s="211"/>
      <c r="AV841" s="211"/>
      <c r="AW841" s="211"/>
      <c r="AX841" s="211"/>
      <c r="AY841" s="211"/>
      <c r="AZ841" s="211"/>
      <c r="BB841" s="211"/>
      <c r="BC841" s="211"/>
      <c r="BD841" s="211"/>
      <c r="BE841" s="211"/>
      <c r="BF841" s="211"/>
      <c r="BG841" s="211"/>
      <c r="BH841" s="211"/>
      <c r="BI841" s="211"/>
    </row>
    <row r="842">
      <c r="A842" s="210" t="str">
        <f>IFERROR(__xludf.DUMMYFUNCTION("""COMPUTED_VALUE"""),"49ec4723")</f>
        <v>49ec4723</v>
      </c>
      <c r="B842" s="210" t="str">
        <f>IFERROR(__xludf.DUMMYFUNCTION("""COMPUTED_VALUE"""),"49ec4723")</f>
        <v>49ec4723</v>
      </c>
      <c r="C842" s="213">
        <f>IFERROR(__xludf.DUMMYFUNCTION("""COMPUTED_VALUE"""),45735.69861111111)</f>
        <v>45735.69861</v>
      </c>
      <c r="D842" s="211" t="str">
        <f>IFERROR(__xludf.DUMMYFUNCTION("""COMPUTED_VALUE"""),"e76bc39c")</f>
        <v>e76bc39c</v>
      </c>
      <c r="E842" s="211" t="str">
        <f>IFERROR(__xludf.DUMMYFUNCTION("""COMPUTED_VALUE"""),"Bpk. Irul")</f>
        <v>Bpk. Irul</v>
      </c>
      <c r="F842" s="211" t="str">
        <f>IFERROR(__xludf.DUMMYFUNCTION("""COMPUTED_VALUE"""),"8bdbe149")</f>
        <v>8bdbe149</v>
      </c>
      <c r="G842" s="211" t="str">
        <f>IFERROR(__xludf.DUMMYFUNCTION("""COMPUTED_VALUE"""),"Oksigen 6m3")</f>
        <v>Oksigen 6m3</v>
      </c>
      <c r="H842" s="214" t="str">
        <f>IFERROR(__xludf.DUMMYFUNCTION("""COMPUTED_VALUE"""),"IN")</f>
        <v>IN</v>
      </c>
      <c r="I842" s="214" t="str">
        <f>IFERROR(__xludf.DUMMYFUNCTION("""COMPUTED_VALUE"""),"EMPTY")</f>
        <v>EMPTY</v>
      </c>
      <c r="J842" s="211">
        <f>IFERROR(__xludf.DUMMYFUNCTION("""COMPUTED_VALUE"""),2.0)</f>
        <v>2</v>
      </c>
      <c r="K842" s="210" t="str">
        <f>IFERROR(__xludf.DUMMYFUNCTION("""COMPUTED_VALUE"""),"1144 1142")</f>
        <v>1144 1142</v>
      </c>
      <c r="L842" s="211">
        <f>IFERROR(__xludf.DUMMYFUNCTION("""COMPUTED_VALUE"""),0.0)</f>
        <v>0</v>
      </c>
      <c r="M842" s="211"/>
      <c r="N842" s="211"/>
      <c r="O842" s="211"/>
      <c r="Q842" s="210" t="str">
        <f>IFERROR(__xludf.DUMMYFUNCTION("""COMPUTED_VALUE"""),"06250479")</f>
        <v>06250479</v>
      </c>
      <c r="R842" s="210" t="str">
        <f>IFERROR(__xludf.DUMMYFUNCTION("""COMPUTED_VALUE"""),"06250479")</f>
        <v>06250479</v>
      </c>
      <c r="S842" s="211" t="str">
        <f>IFERROR(__xludf.DUMMYFUNCTION("""COMPUTED_VALUE"""),"5449a0b8")</f>
        <v>5449a0b8</v>
      </c>
      <c r="T842" s="211" t="str">
        <f>IFERROR(__xludf.DUMMYFUNCTION("""COMPUTED_VALUE"""),"Bpk. Supar")</f>
        <v>Bpk. Supar</v>
      </c>
      <c r="U842" s="215">
        <f>IFERROR(__xludf.DUMMYFUNCTION("""COMPUTED_VALUE"""),45810.336111111115)</f>
        <v>45810.33611</v>
      </c>
      <c r="V842" s="211" t="str">
        <f>IFERROR(__xludf.DUMMYFUNCTION("""COMPUTED_VALUE"""),"Ciro Kulon, Bakungtemenggungan, Kec. BalongBendo, Kabupaten Sidoarjo, Jawa Timur")</f>
        <v>Ciro Kulon, Bakungtemenggungan, Kec. BalongBendo, Kabupaten Sidoarjo, Jawa Timur</v>
      </c>
      <c r="W842" s="211" t="str">
        <f>IFERROR(__xludf.DUMMYFUNCTION("""COMPUTED_VALUE"""),"OUT")</f>
        <v>OUT</v>
      </c>
      <c r="X842" s="211"/>
      <c r="Z842" s="211" t="str">
        <f>IFERROR(__xludf.DUMMYFUNCTION("""COMPUTED_VALUE"""),"092541262")</f>
        <v>092541262</v>
      </c>
      <c r="AC842" s="211"/>
      <c r="AD842" s="211"/>
      <c r="AE842" s="211"/>
      <c r="AF842" s="211"/>
      <c r="AG842" s="211"/>
      <c r="AH842" s="211"/>
      <c r="AI842" s="211"/>
      <c r="AJ842" s="211"/>
      <c r="AL842" s="211"/>
      <c r="AM842" s="211"/>
      <c r="AN842" s="211"/>
      <c r="AO842" s="211"/>
      <c r="AP842" s="215"/>
      <c r="AQ842" s="218"/>
      <c r="AR842" s="211"/>
      <c r="AS842" s="211"/>
      <c r="AT842" s="211"/>
      <c r="AU842" s="211"/>
      <c r="AV842" s="211"/>
      <c r="AW842" s="211"/>
      <c r="AX842" s="211"/>
      <c r="AY842" s="211"/>
      <c r="AZ842" s="211"/>
      <c r="BB842" s="211"/>
      <c r="BC842" s="211"/>
      <c r="BD842" s="211"/>
      <c r="BE842" s="211"/>
      <c r="BF842" s="211"/>
      <c r="BG842" s="211"/>
      <c r="BH842" s="211"/>
      <c r="BI842" s="211"/>
    </row>
    <row r="843">
      <c r="A843" s="210" t="str">
        <f>IFERROR(__xludf.DUMMYFUNCTION("""COMPUTED_VALUE"""),"9935724f")</f>
        <v>9935724f</v>
      </c>
      <c r="B843" s="210" t="str">
        <f>IFERROR(__xludf.DUMMYFUNCTION("""COMPUTED_VALUE"""),"9935724f")</f>
        <v>9935724f</v>
      </c>
      <c r="C843" s="213">
        <f>IFERROR(__xludf.DUMMYFUNCTION("""COMPUTED_VALUE"""),45735.69861111111)</f>
        <v>45735.69861</v>
      </c>
      <c r="D843" s="211" t="str">
        <f>IFERROR(__xludf.DUMMYFUNCTION("""COMPUTED_VALUE"""),"785e0e07")</f>
        <v>785e0e07</v>
      </c>
      <c r="E843" s="211" t="str">
        <f>IFERROR(__xludf.DUMMYFUNCTION("""COMPUTED_VALUE"""),"Bpk. Sukirno (Bejo)")</f>
        <v>Bpk. Sukirno (Bejo)</v>
      </c>
      <c r="F843" s="211" t="str">
        <f>IFERROR(__xludf.DUMMYFUNCTION("""COMPUTED_VALUE"""),"8bdbe149")</f>
        <v>8bdbe149</v>
      </c>
      <c r="G843" s="211" t="str">
        <f>IFERROR(__xludf.DUMMYFUNCTION("""COMPUTED_VALUE"""),"Oksigen 6m3")</f>
        <v>Oksigen 6m3</v>
      </c>
      <c r="H843" s="214" t="str">
        <f>IFERROR(__xludf.DUMMYFUNCTION("""COMPUTED_VALUE"""),"IN")</f>
        <v>IN</v>
      </c>
      <c r="I843" s="214" t="str">
        <f>IFERROR(__xludf.DUMMYFUNCTION("""COMPUTED_VALUE"""),"EMPTY")</f>
        <v>EMPTY</v>
      </c>
      <c r="J843" s="211">
        <f>IFERROR(__xludf.DUMMYFUNCTION("""COMPUTED_VALUE"""),7.0)</f>
        <v>7</v>
      </c>
      <c r="K843" s="210" t="str">
        <f>IFERROR(__xludf.DUMMYFUNCTION("""COMPUTED_VALUE"""),"1143 11111 1132 11181 1130 1159 11230")</f>
        <v>1143 11111 1132 11181 1130 1159 11230</v>
      </c>
      <c r="L843" s="211">
        <f>IFERROR(__xludf.DUMMYFUNCTION("""COMPUTED_VALUE"""),0.0)</f>
        <v>0</v>
      </c>
      <c r="M843" s="211"/>
      <c r="N843" s="211"/>
      <c r="O843" s="211"/>
      <c r="Q843" s="210" t="str">
        <f>IFERROR(__xludf.DUMMYFUNCTION("""COMPUTED_VALUE"""),"06250480")</f>
        <v>06250480</v>
      </c>
      <c r="R843" s="210" t="str">
        <f>IFERROR(__xludf.DUMMYFUNCTION("""COMPUTED_VALUE"""),"06250480")</f>
        <v>06250480</v>
      </c>
      <c r="S843" s="211" t="str">
        <f>IFERROR(__xludf.DUMMYFUNCTION("""COMPUTED_VALUE"""),"3fec37df")</f>
        <v>3fec37df</v>
      </c>
      <c r="T843" s="211" t="str">
        <f>IFERROR(__xludf.DUMMYFUNCTION("""COMPUTED_VALUE"""),"PT Jatim Abadi Perkasa Steel")</f>
        <v>PT Jatim Abadi Perkasa Steel</v>
      </c>
      <c r="U843" s="215">
        <f>IFERROR(__xludf.DUMMYFUNCTION("""COMPUTED_VALUE"""),45810.34444444445)</f>
        <v>45810.34444</v>
      </c>
      <c r="V843" s="211" t="str">
        <f>IFERROR(__xludf.DUMMYFUNCTION("""COMPUTED_VALUE"""),"Dsn. Bulak Sempuh, Jatirejo, Kab. Mojokerto, Jawa Timur")</f>
        <v>Dsn. Bulak Sempuh, Jatirejo, Kab. Mojokerto, Jawa Timur</v>
      </c>
      <c r="W843" s="211" t="str">
        <f>IFERROR(__xludf.DUMMYFUNCTION("""COMPUTED_VALUE"""),"OUT")</f>
        <v>OUT</v>
      </c>
      <c r="X843" s="211"/>
      <c r="Z843" s="211" t="str">
        <f>IFERROR(__xludf.DUMMYFUNCTION("""COMPUTED_VALUE"""),"092551261")</f>
        <v>092551261</v>
      </c>
      <c r="AC843" s="211"/>
      <c r="AD843" s="211"/>
      <c r="AE843" s="211"/>
      <c r="AF843" s="211"/>
      <c r="AG843" s="211"/>
      <c r="AH843" s="211"/>
      <c r="AI843" s="211"/>
      <c r="AJ843" s="211"/>
      <c r="AL843" s="211"/>
      <c r="AM843" s="211"/>
      <c r="AN843" s="211"/>
      <c r="AO843" s="211"/>
      <c r="AP843" s="215"/>
      <c r="AQ843" s="218"/>
      <c r="AR843" s="211"/>
      <c r="AS843" s="211"/>
      <c r="AT843" s="211"/>
      <c r="AU843" s="211"/>
      <c r="AV843" s="211"/>
      <c r="AW843" s="211"/>
      <c r="AX843" s="211"/>
      <c r="AY843" s="211"/>
      <c r="AZ843" s="211"/>
      <c r="BB843" s="211"/>
      <c r="BC843" s="211"/>
      <c r="BD843" s="211"/>
      <c r="BE843" s="211"/>
      <c r="BF843" s="211"/>
      <c r="BG843" s="211"/>
      <c r="BH843" s="211"/>
      <c r="BI843" s="211"/>
    </row>
    <row r="844">
      <c r="A844" s="210" t="str">
        <f>IFERROR(__xludf.DUMMYFUNCTION("""COMPUTED_VALUE"""),"9935724f")</f>
        <v>9935724f</v>
      </c>
      <c r="B844" s="210" t="str">
        <f>IFERROR(__xludf.DUMMYFUNCTION("""COMPUTED_VALUE"""),"9935724f")</f>
        <v>9935724f</v>
      </c>
      <c r="C844" s="213">
        <f>IFERROR(__xludf.DUMMYFUNCTION("""COMPUTED_VALUE"""),45735.700694444444)</f>
        <v>45735.70069</v>
      </c>
      <c r="D844" s="211" t="str">
        <f>IFERROR(__xludf.DUMMYFUNCTION("""COMPUTED_VALUE"""),"785e0e07")</f>
        <v>785e0e07</v>
      </c>
      <c r="E844" s="211" t="str">
        <f>IFERROR(__xludf.DUMMYFUNCTION("""COMPUTED_VALUE"""),"Bpk. Sukirno (Bejo)")</f>
        <v>Bpk. Sukirno (Bejo)</v>
      </c>
      <c r="F844" s="211" t="str">
        <f>IFERROR(__xludf.DUMMYFUNCTION("""COMPUTED_VALUE"""),"be525f3b")</f>
        <v>be525f3b</v>
      </c>
      <c r="G844" s="211" t="str">
        <f>IFERROR(__xludf.DUMMYFUNCTION("""COMPUTED_VALUE"""),"LPG 12kg")</f>
        <v>LPG 12kg</v>
      </c>
      <c r="H844" s="214" t="str">
        <f>IFERROR(__xludf.DUMMYFUNCTION("""COMPUTED_VALUE"""),"IN")</f>
        <v>IN</v>
      </c>
      <c r="I844" s="214" t="str">
        <f>IFERROR(__xludf.DUMMYFUNCTION("""COMPUTED_VALUE"""),"EMPTY")</f>
        <v>EMPTY</v>
      </c>
      <c r="J844" s="211">
        <f>IFERROR(__xludf.DUMMYFUNCTION("""COMPUTED_VALUE"""),3.0)</f>
        <v>3</v>
      </c>
      <c r="K844" s="211"/>
      <c r="L844" s="211">
        <f>IFERROR(__xludf.DUMMYFUNCTION("""COMPUTED_VALUE"""),0.0)</f>
        <v>0</v>
      </c>
      <c r="M844" s="211"/>
      <c r="N844" s="211"/>
      <c r="O844" s="211"/>
      <c r="Q844" s="210" t="str">
        <f>IFERROR(__xludf.DUMMYFUNCTION("""COMPUTED_VALUE"""),"06250481")</f>
        <v>06250481</v>
      </c>
      <c r="R844" s="210" t="str">
        <f>IFERROR(__xludf.DUMMYFUNCTION("""COMPUTED_VALUE"""),"06250481")</f>
        <v>06250481</v>
      </c>
      <c r="S844" s="211" t="str">
        <f>IFERROR(__xludf.DUMMYFUNCTION("""COMPUTED_VALUE"""),"0411d86e")</f>
        <v>0411d86e</v>
      </c>
      <c r="T844" s="211" t="str">
        <f>IFERROR(__xludf.DUMMYFUNCTION("""COMPUTED_VALUE"""),"Bpk. Subiantoro (Parengan)")</f>
        <v>Bpk. Subiantoro (Parengan)</v>
      </c>
      <c r="U844" s="215">
        <f>IFERROR(__xludf.DUMMYFUNCTION("""COMPUTED_VALUE"""),45810.35486111111)</f>
        <v>45810.35486</v>
      </c>
      <c r="V844" s="211" t="str">
        <f>IFERROR(__xludf.DUMMYFUNCTION("""COMPUTED_VALUE"""),"Jl. Kraton, Sidomukti, Kraton, Kec. Krian, Kabupaten Sidoarjo, Jawa Timur 61262")</f>
        <v>Jl. Kraton, Sidomukti, Kraton, Kec. Krian, Kabupaten Sidoarjo, Jawa Timur 61262</v>
      </c>
      <c r="W844" s="211" t="str">
        <f>IFERROR(__xludf.DUMMYFUNCTION("""COMPUTED_VALUE"""),"OUT")</f>
        <v>OUT</v>
      </c>
      <c r="X844" s="211"/>
      <c r="Z844" s="211" t="str">
        <f>IFERROR(__xludf.DUMMYFUNCTION("""COMPUTED_VALUE"""),"092531260")</f>
        <v>092531260</v>
      </c>
      <c r="AC844" s="211"/>
      <c r="AD844" s="211"/>
      <c r="AE844" s="211"/>
      <c r="AF844" s="211"/>
      <c r="AG844" s="211"/>
      <c r="AH844" s="211"/>
      <c r="AI844" s="211"/>
      <c r="AJ844" s="211"/>
      <c r="AL844" s="211"/>
      <c r="AM844" s="211"/>
      <c r="AN844" s="211"/>
      <c r="AO844" s="211"/>
      <c r="AP844" s="215"/>
      <c r="AQ844" s="218"/>
      <c r="AR844" s="211"/>
      <c r="AS844" s="211"/>
      <c r="AT844" s="211"/>
      <c r="AU844" s="211"/>
      <c r="AV844" s="211"/>
      <c r="AW844" s="211"/>
      <c r="AX844" s="211"/>
      <c r="AY844" s="211"/>
      <c r="AZ844" s="211"/>
      <c r="BB844" s="211"/>
      <c r="BC844" s="211"/>
      <c r="BD844" s="211"/>
      <c r="BE844" s="211"/>
      <c r="BF844" s="211"/>
      <c r="BG844" s="211"/>
      <c r="BH844" s="211"/>
      <c r="BI844" s="211"/>
    </row>
    <row r="845">
      <c r="A845" s="210" t="str">
        <f>IFERROR(__xludf.DUMMYFUNCTION("""COMPUTED_VALUE"""),"03250335")</f>
        <v>03250335</v>
      </c>
      <c r="B845" s="210" t="str">
        <f>IFERROR(__xludf.DUMMYFUNCTION("""COMPUTED_VALUE"""),"03250335")</f>
        <v>03250335</v>
      </c>
      <c r="C845" s="213">
        <f>IFERROR(__xludf.DUMMYFUNCTION("""COMPUTED_VALUE"""),45736.37013888889)</f>
        <v>45736.37014</v>
      </c>
      <c r="D845" s="211" t="str">
        <f>IFERROR(__xludf.DUMMYFUNCTION("""COMPUTED_VALUE"""),"5f23ba17")</f>
        <v>5f23ba17</v>
      </c>
      <c r="E845" s="211" t="str">
        <f>IFERROR(__xludf.DUMMYFUNCTION("""COMPUTED_VALUE"""),"Bpk. Joko (Gresik)")</f>
        <v>Bpk. Joko (Gresik)</v>
      </c>
      <c r="F845" s="211" t="str">
        <f>IFERROR(__xludf.DUMMYFUNCTION("""COMPUTED_VALUE"""),"f6aab7a9")</f>
        <v>f6aab7a9</v>
      </c>
      <c r="G845" s="211" t="str">
        <f>IFERROR(__xludf.DUMMYFUNCTION("""COMPUTED_VALUE"""),"Oksigen 6m3 MR")</f>
        <v>Oksigen 6m3 MR</v>
      </c>
      <c r="H845" s="214" t="str">
        <f>IFERROR(__xludf.DUMMYFUNCTION("""COMPUTED_VALUE"""),"OUT")</f>
        <v>OUT</v>
      </c>
      <c r="I845" s="214" t="str">
        <f>IFERROR(__xludf.DUMMYFUNCTION("""COMPUTED_VALUE"""),"NORMAL")</f>
        <v>NORMAL</v>
      </c>
      <c r="J845" s="211">
        <f>IFERROR(__xludf.DUMMYFUNCTION("""COMPUTED_VALUE"""),4.0)</f>
        <v>4</v>
      </c>
      <c r="K845" s="211"/>
      <c r="L845" s="211">
        <f>IFERROR(__xludf.DUMMYFUNCTION("""COMPUTED_VALUE"""),55000.0)</f>
        <v>55000</v>
      </c>
      <c r="M845" s="211"/>
      <c r="N845" s="211"/>
      <c r="O845" s="211"/>
      <c r="Q845" s="210" t="str">
        <f>IFERROR(__xludf.DUMMYFUNCTION("""COMPUTED_VALUE"""),"06250482")</f>
        <v>06250482</v>
      </c>
      <c r="R845" s="210" t="str">
        <f>IFERROR(__xludf.DUMMYFUNCTION("""COMPUTED_VALUE"""),"06250482")</f>
        <v>06250482</v>
      </c>
      <c r="S845" s="211" t="str">
        <f>IFERROR(__xludf.DUMMYFUNCTION("""COMPUTED_VALUE"""),"45d814b4")</f>
        <v>45d814b4</v>
      </c>
      <c r="T845" s="211" t="str">
        <f>IFERROR(__xludf.DUMMYFUNCTION("""COMPUTED_VALUE"""),"Bpk. Joko (Ponokawan)")</f>
        <v>Bpk. Joko (Ponokawan)</v>
      </c>
      <c r="U845" s="215">
        <f>IFERROR(__xludf.DUMMYFUNCTION("""COMPUTED_VALUE"""),45810.37708333333)</f>
        <v>45810.37708</v>
      </c>
      <c r="V845" s="211" t="str">
        <f>IFERROR(__xludf.DUMMYFUNCTION("""COMPUTED_VALUE"""),"Ponokawan, Krian")</f>
        <v>Ponokawan, Krian</v>
      </c>
      <c r="W845" s="211" t="str">
        <f>IFERROR(__xludf.DUMMYFUNCTION("""COMPUTED_VALUE"""),"OUT")</f>
        <v>OUT</v>
      </c>
      <c r="X845" s="211"/>
      <c r="Z845" s="211" t="str">
        <f>IFERROR(__xludf.DUMMYFUNCTION("""COMPUTED_VALUE"""),"0925281259")</f>
        <v>0925281259</v>
      </c>
      <c r="AC845" s="211"/>
      <c r="AD845" s="211"/>
      <c r="AE845" s="211"/>
      <c r="AF845" s="211"/>
      <c r="AG845" s="211"/>
      <c r="AH845" s="211"/>
      <c r="AI845" s="211"/>
      <c r="AJ845" s="211"/>
      <c r="AL845" s="211"/>
      <c r="AM845" s="211"/>
      <c r="AN845" s="211"/>
      <c r="AO845" s="211"/>
      <c r="AP845" s="215"/>
      <c r="AQ845" s="218"/>
      <c r="AR845" s="211"/>
      <c r="AS845" s="211"/>
      <c r="AT845" s="211"/>
      <c r="AU845" s="211"/>
      <c r="AV845" s="211"/>
      <c r="AW845" s="211"/>
      <c r="AX845" s="211"/>
      <c r="AY845" s="211"/>
      <c r="AZ845" s="211"/>
      <c r="BB845" s="211"/>
      <c r="BC845" s="211"/>
      <c r="BD845" s="211"/>
      <c r="BE845" s="211"/>
      <c r="BF845" s="211"/>
      <c r="BG845" s="211"/>
      <c r="BH845" s="211"/>
      <c r="BI845" s="211"/>
    </row>
    <row r="846">
      <c r="A846" s="210" t="str">
        <f>IFERROR(__xludf.DUMMYFUNCTION("""COMPUTED_VALUE"""),"03250335")</f>
        <v>03250335</v>
      </c>
      <c r="B846" s="210" t="str">
        <f>IFERROR(__xludf.DUMMYFUNCTION("""COMPUTED_VALUE"""),"03250335")</f>
        <v>03250335</v>
      </c>
      <c r="C846" s="213">
        <f>IFERROR(__xludf.DUMMYFUNCTION("""COMPUTED_VALUE"""),45736.37013888889)</f>
        <v>45736.37014</v>
      </c>
      <c r="D846" s="211" t="str">
        <f>IFERROR(__xludf.DUMMYFUNCTION("""COMPUTED_VALUE"""),"5f23ba17")</f>
        <v>5f23ba17</v>
      </c>
      <c r="E846" s="211" t="str">
        <f>IFERROR(__xludf.DUMMYFUNCTION("""COMPUTED_VALUE"""),"Bpk. Joko (Gresik)")</f>
        <v>Bpk. Joko (Gresik)</v>
      </c>
      <c r="F846" s="211" t="str">
        <f>IFERROR(__xludf.DUMMYFUNCTION("""COMPUTED_VALUE"""),"439cf836")</f>
        <v>439cf836</v>
      </c>
      <c r="G846" s="211" t="str">
        <f>IFERROR(__xludf.DUMMYFUNCTION("""COMPUTED_VALUE"""),"Karbondioksida MR")</f>
        <v>Karbondioksida MR</v>
      </c>
      <c r="H846" s="214" t="str">
        <f>IFERROR(__xludf.DUMMYFUNCTION("""COMPUTED_VALUE"""),"OUT")</f>
        <v>OUT</v>
      </c>
      <c r="I846" s="214" t="str">
        <f>IFERROR(__xludf.DUMMYFUNCTION("""COMPUTED_VALUE"""),"NORMAL")</f>
        <v>NORMAL</v>
      </c>
      <c r="J846" s="211">
        <f>IFERROR(__xludf.DUMMYFUNCTION("""COMPUTED_VALUE"""),2.0)</f>
        <v>2</v>
      </c>
      <c r="K846" s="211"/>
      <c r="L846" s="211">
        <f>IFERROR(__xludf.DUMMYFUNCTION("""COMPUTED_VALUE"""),160000.0)</f>
        <v>160000</v>
      </c>
      <c r="M846" s="211"/>
      <c r="N846" s="211"/>
      <c r="O846" s="211"/>
      <c r="Q846" s="210" t="str">
        <f>IFERROR(__xludf.DUMMYFUNCTION("""COMPUTED_VALUE"""),"06250484")</f>
        <v>06250484</v>
      </c>
      <c r="R846" s="210" t="str">
        <f>IFERROR(__xludf.DUMMYFUNCTION("""COMPUTED_VALUE"""),"06250484")</f>
        <v>06250484</v>
      </c>
      <c r="S846" s="211" t="str">
        <f>IFERROR(__xludf.DUMMYFUNCTION("""COMPUTED_VALUE"""),"2d88931c")</f>
        <v>2d88931c</v>
      </c>
      <c r="T846" s="211" t="str">
        <f>IFERROR(__xludf.DUMMYFUNCTION("""COMPUTED_VALUE"""),"PT Dunia Berkat Marga Mulya")</f>
        <v>PT Dunia Berkat Marga Mulya</v>
      </c>
      <c r="U846" s="215">
        <f>IFERROR(__xludf.DUMMYFUNCTION("""COMPUTED_VALUE"""),45810.43888888889)</f>
        <v>45810.43889</v>
      </c>
      <c r="V846" s="211" t="str">
        <f>IFERROR(__xludf.DUMMYFUNCTION("""COMPUTED_VALUE"""),"JL JABARAN, WATESARI, BALONGBENDO, SIDOARJO, JAWA TIMUR")</f>
        <v>JL JABARAN, WATESARI, BALONGBENDO, SIDOARJO, JAWA TIMUR</v>
      </c>
      <c r="W846" s="211" t="str">
        <f>IFERROR(__xludf.DUMMYFUNCTION("""COMPUTED_VALUE"""),"OUT")</f>
        <v>OUT</v>
      </c>
      <c r="X846" s="211"/>
      <c r="Z846" s="211" t="str">
        <f>IFERROR(__xludf.DUMMYFUNCTION("""COMPUTED_VALUE"""),"092541252")</f>
        <v>092541252</v>
      </c>
      <c r="AC846" s="211"/>
      <c r="AD846" s="211"/>
      <c r="AE846" s="211"/>
      <c r="AF846" s="211"/>
      <c r="AG846" s="211"/>
      <c r="AH846" s="211"/>
      <c r="AI846" s="211"/>
      <c r="AJ846" s="211"/>
      <c r="AL846" s="211"/>
      <c r="AM846" s="211"/>
      <c r="AN846" s="211"/>
      <c r="AO846" s="211"/>
      <c r="AP846" s="215"/>
      <c r="AQ846" s="218"/>
      <c r="AR846" s="211"/>
      <c r="AS846" s="211"/>
      <c r="AT846" s="211"/>
      <c r="AU846" s="211"/>
      <c r="AV846" s="211"/>
      <c r="AW846" s="211"/>
      <c r="AX846" s="211"/>
      <c r="AY846" s="211"/>
      <c r="AZ846" s="211"/>
      <c r="BB846" s="211"/>
      <c r="BC846" s="211"/>
      <c r="BD846" s="211"/>
      <c r="BE846" s="211"/>
      <c r="BF846" s="211"/>
      <c r="BG846" s="211"/>
      <c r="BH846" s="211"/>
      <c r="BI846" s="211"/>
    </row>
    <row r="847">
      <c r="A847" s="210" t="str">
        <f>IFERROR(__xludf.DUMMYFUNCTION("""COMPUTED_VALUE"""),"cb8383eb")</f>
        <v>cb8383eb</v>
      </c>
      <c r="B847" s="210" t="str">
        <f>IFERROR(__xludf.DUMMYFUNCTION("""COMPUTED_VALUE"""),"cb8383eb")</f>
        <v>cb8383eb</v>
      </c>
      <c r="C847" s="213">
        <f>IFERROR(__xludf.DUMMYFUNCTION("""COMPUTED_VALUE"""),45736.46805555555)</f>
        <v>45736.46806</v>
      </c>
      <c r="D847" s="211" t="str">
        <f>IFERROR(__xludf.DUMMYFUNCTION("""COMPUTED_VALUE"""),"103f3ae7")</f>
        <v>103f3ae7</v>
      </c>
      <c r="E847" s="211" t="str">
        <f>IFERROR(__xludf.DUMMYFUNCTION("""COMPUTED_VALUE"""),"PT ARYANA CAKASANA")</f>
        <v>PT ARYANA CAKASANA</v>
      </c>
      <c r="F847" s="211" t="str">
        <f>IFERROR(__xludf.DUMMYFUNCTION("""COMPUTED_VALUE"""),"8bdbe149")</f>
        <v>8bdbe149</v>
      </c>
      <c r="G847" s="211" t="str">
        <f>IFERROR(__xludf.DUMMYFUNCTION("""COMPUTED_VALUE"""),"Oksigen 6m3")</f>
        <v>Oksigen 6m3</v>
      </c>
      <c r="H847" s="214" t="str">
        <f>IFERROR(__xludf.DUMMYFUNCTION("""COMPUTED_VALUE"""),"IN")</f>
        <v>IN</v>
      </c>
      <c r="I847" s="214" t="str">
        <f>IFERROR(__xludf.DUMMYFUNCTION("""COMPUTED_VALUE"""),"EMPTY")</f>
        <v>EMPTY</v>
      </c>
      <c r="J847" s="211">
        <f>IFERROR(__xludf.DUMMYFUNCTION("""COMPUTED_VALUE"""),9.0)</f>
        <v>9</v>
      </c>
      <c r="K847" s="210" t="str">
        <f>IFERROR(__xludf.DUMMYFUNCTION("""COMPUTED_VALUE"""),"1109 1182 11117 11104 1164 1116 1168 11132 1123")</f>
        <v>1109 1182 11117 11104 1164 1116 1168 11132 1123</v>
      </c>
      <c r="L847" s="211">
        <f>IFERROR(__xludf.DUMMYFUNCTION("""COMPUTED_VALUE"""),0.0)</f>
        <v>0</v>
      </c>
      <c r="M847" s="211"/>
      <c r="N847" s="211"/>
      <c r="O847" s="211"/>
      <c r="Q847" s="210" t="str">
        <f>IFERROR(__xludf.DUMMYFUNCTION("""COMPUTED_VALUE"""),"06250485")</f>
        <v>06250485</v>
      </c>
      <c r="R847" s="210" t="str">
        <f>IFERROR(__xludf.DUMMYFUNCTION("""COMPUTED_VALUE"""),"06250485")</f>
        <v>06250485</v>
      </c>
      <c r="S847" s="211" t="str">
        <f>IFERROR(__xludf.DUMMYFUNCTION("""COMPUTED_VALUE"""),"d78b2eaf")</f>
        <v>d78b2eaf</v>
      </c>
      <c r="T847" s="211" t="str">
        <f>IFERROR(__xludf.DUMMYFUNCTION("""COMPUTED_VALUE"""),"PT Sinar Indogreen Kencana")</f>
        <v>PT Sinar Indogreen Kencana</v>
      </c>
      <c r="U847" s="215">
        <f>IFERROR(__xludf.DUMMYFUNCTION("""COMPUTED_VALUE"""),45810.52777777778)</f>
        <v>45810.52778</v>
      </c>
      <c r="V847" s="211" t="str">
        <f>IFERROR(__xludf.DUMMYFUNCTION("""COMPUTED_VALUE"""),"Jl. Raya Ponokawan 8b RT/001 RW/002, Ponokawan, Krian, Sidoarjo")</f>
        <v>Jl. Raya Ponokawan 8b RT/001 RW/002, Ponokawan, Krian, Sidoarjo</v>
      </c>
      <c r="W847" s="211" t="str">
        <f>IFERROR(__xludf.DUMMYFUNCTION("""COMPUTED_VALUE"""),"OUT")</f>
        <v>OUT</v>
      </c>
      <c r="X847" s="211"/>
      <c r="Z847" s="211" t="str">
        <f>IFERROR(__xludf.DUMMYFUNCTION("""COMPUTED_VALUE"""),"0925121250")</f>
        <v>0925121250</v>
      </c>
      <c r="AC847" s="211"/>
      <c r="AD847" s="211"/>
      <c r="AE847" s="211"/>
      <c r="AF847" s="211"/>
      <c r="AG847" s="211"/>
      <c r="AH847" s="211"/>
      <c r="AI847" s="211"/>
      <c r="AJ847" s="211"/>
      <c r="AL847" s="211"/>
      <c r="AM847" s="211"/>
      <c r="AN847" s="211"/>
      <c r="AO847" s="211"/>
      <c r="AP847" s="215"/>
      <c r="AQ847" s="218"/>
      <c r="AR847" s="211"/>
      <c r="AS847" s="211"/>
      <c r="AT847" s="211"/>
      <c r="AU847" s="211"/>
      <c r="AV847" s="211"/>
      <c r="AW847" s="211"/>
      <c r="AX847" s="211"/>
      <c r="AY847" s="211"/>
      <c r="AZ847" s="211"/>
      <c r="BB847" s="211"/>
      <c r="BC847" s="211"/>
      <c r="BD847" s="211"/>
      <c r="BE847" s="211"/>
      <c r="BF847" s="211"/>
      <c r="BG847" s="211"/>
      <c r="BH847" s="211"/>
      <c r="BI847" s="211"/>
    </row>
    <row r="848">
      <c r="A848" s="210" t="str">
        <f>IFERROR(__xludf.DUMMYFUNCTION("""COMPUTED_VALUE"""),"6549dd9b")</f>
        <v>6549dd9b</v>
      </c>
      <c r="B848" s="210" t="str">
        <f>IFERROR(__xludf.DUMMYFUNCTION("""COMPUTED_VALUE"""),"6549dd9b")</f>
        <v>6549dd9b</v>
      </c>
      <c r="C848" s="213">
        <f>IFERROR(__xludf.DUMMYFUNCTION("""COMPUTED_VALUE"""),45736.475694444445)</f>
        <v>45736.47569</v>
      </c>
      <c r="D848" s="211" t="str">
        <f>IFERROR(__xludf.DUMMYFUNCTION("""COMPUTED_VALUE"""),"69d002bb")</f>
        <v>69d002bb</v>
      </c>
      <c r="E848" s="211" t="str">
        <f>IFERROR(__xludf.DUMMYFUNCTION("""COMPUTED_VALUE"""),"Bengkel Putra Sanjaya (Bpk. Amin)")</f>
        <v>Bengkel Putra Sanjaya (Bpk. Amin)</v>
      </c>
      <c r="F848" s="211" t="str">
        <f>IFERROR(__xludf.DUMMYFUNCTION("""COMPUTED_VALUE"""),"66af7c72")</f>
        <v>66af7c72</v>
      </c>
      <c r="G848" s="211" t="str">
        <f>IFERROR(__xludf.DUMMYFUNCTION("""COMPUTED_VALUE"""),"Argon 6m3")</f>
        <v>Argon 6m3</v>
      </c>
      <c r="H848" s="214" t="str">
        <f>IFERROR(__xludf.DUMMYFUNCTION("""COMPUTED_VALUE"""),"IN")</f>
        <v>IN</v>
      </c>
      <c r="I848" s="214" t="str">
        <f>IFERROR(__xludf.DUMMYFUNCTION("""COMPUTED_VALUE"""),"EMPTY")</f>
        <v>EMPTY</v>
      </c>
      <c r="J848" s="211">
        <f>IFERROR(__xludf.DUMMYFUNCTION("""COMPUTED_VALUE"""),1.0)</f>
        <v>1</v>
      </c>
      <c r="K848" s="210" t="str">
        <f>IFERROR(__xludf.DUMMYFUNCTION("""COMPUTED_VALUE"""),"12006")</f>
        <v>12006</v>
      </c>
      <c r="L848" s="211">
        <f>IFERROR(__xludf.DUMMYFUNCTION("""COMPUTED_VALUE"""),0.0)</f>
        <v>0</v>
      </c>
      <c r="M848" s="211"/>
      <c r="N848" s="211"/>
      <c r="O848" s="211"/>
      <c r="Q848" s="210" t="str">
        <f>IFERROR(__xludf.DUMMYFUNCTION("""COMPUTED_VALUE"""),"f1f5f986")</f>
        <v>f1f5f986</v>
      </c>
      <c r="R848" s="210" t="str">
        <f>IFERROR(__xludf.DUMMYFUNCTION("""COMPUTED_VALUE"""),"f1f5f986")</f>
        <v>f1f5f986</v>
      </c>
      <c r="S848" s="211" t="str">
        <f>IFERROR(__xludf.DUMMYFUNCTION("""COMPUTED_VALUE"""),"slmt76")</f>
        <v>slmt76</v>
      </c>
      <c r="T848" s="211" t="str">
        <f>IFERROR(__xludf.DUMMYFUNCTION("""COMPUTED_VALUE"""),"Bpk. Slamet")</f>
        <v>Bpk. Slamet</v>
      </c>
      <c r="U848" s="215">
        <f>IFERROR(__xludf.DUMMYFUNCTION("""COMPUTED_VALUE"""),45810.57847222222)</f>
        <v>45810.57847</v>
      </c>
      <c r="V848" s="211" t="str">
        <f>IFERROR(__xludf.DUMMYFUNCTION("""COMPUTED_VALUE"""),"#N/A")</f>
        <v>#N/A</v>
      </c>
      <c r="W848" s="211" t="str">
        <f>IFERROR(__xludf.DUMMYFUNCTION("""COMPUTED_VALUE"""),"IN")</f>
        <v>IN</v>
      </c>
      <c r="X848" s="211"/>
      <c r="Z848" s="211" t="str">
        <f>IFERROR(__xludf.DUMMYFUNCTION("""COMPUTED_VALUE"""),"0925201249")</f>
        <v>0925201249</v>
      </c>
      <c r="AC848" s="211"/>
      <c r="AD848" s="211"/>
      <c r="AE848" s="211"/>
      <c r="AF848" s="211"/>
      <c r="AG848" s="211"/>
      <c r="AH848" s="211"/>
      <c r="AI848" s="211"/>
      <c r="AJ848" s="211"/>
      <c r="AL848" s="211"/>
      <c r="AM848" s="211"/>
      <c r="AN848" s="211"/>
      <c r="AO848" s="211"/>
      <c r="AP848" s="215"/>
      <c r="AQ848" s="218"/>
      <c r="AR848" s="211"/>
      <c r="AS848" s="211"/>
      <c r="AT848" s="211"/>
      <c r="AU848" s="211"/>
      <c r="AV848" s="211"/>
      <c r="AW848" s="211"/>
      <c r="AX848" s="211"/>
      <c r="AY848" s="211"/>
      <c r="AZ848" s="211"/>
      <c r="BB848" s="211"/>
      <c r="BC848" s="211"/>
      <c r="BD848" s="211"/>
      <c r="BE848" s="211"/>
      <c r="BF848" s="211"/>
      <c r="BG848" s="211"/>
      <c r="BH848" s="211"/>
      <c r="BI848" s="211"/>
    </row>
    <row r="849">
      <c r="A849" s="210" t="str">
        <f>IFERROR(__xludf.DUMMYFUNCTION("""COMPUTED_VALUE"""),"738f3ed2")</f>
        <v>738f3ed2</v>
      </c>
      <c r="B849" s="210" t="str">
        <f>IFERROR(__xludf.DUMMYFUNCTION("""COMPUTED_VALUE"""),"738f3ed2")</f>
        <v>738f3ed2</v>
      </c>
      <c r="C849" s="213">
        <f>IFERROR(__xludf.DUMMYFUNCTION("""COMPUTED_VALUE"""),45736.47638888889)</f>
        <v>45736.47639</v>
      </c>
      <c r="D849" s="211" t="str">
        <f>IFERROR(__xludf.DUMMYFUNCTION("""COMPUTED_VALUE"""),"e76bc39c")</f>
        <v>e76bc39c</v>
      </c>
      <c r="E849" s="211" t="str">
        <f>IFERROR(__xludf.DUMMYFUNCTION("""COMPUTED_VALUE"""),"Bpk. Irul")</f>
        <v>Bpk. Irul</v>
      </c>
      <c r="F849" s="211" t="str">
        <f>IFERROR(__xludf.DUMMYFUNCTION("""COMPUTED_VALUE"""),"8bdbe149")</f>
        <v>8bdbe149</v>
      </c>
      <c r="G849" s="211" t="str">
        <f>IFERROR(__xludf.DUMMYFUNCTION("""COMPUTED_VALUE"""),"Oksigen 6m3")</f>
        <v>Oksigen 6m3</v>
      </c>
      <c r="H849" s="214" t="str">
        <f>IFERROR(__xludf.DUMMYFUNCTION("""COMPUTED_VALUE"""),"IN")</f>
        <v>IN</v>
      </c>
      <c r="I849" s="214" t="str">
        <f>IFERROR(__xludf.DUMMYFUNCTION("""COMPUTED_VALUE"""),"EMPTY")</f>
        <v>EMPTY</v>
      </c>
      <c r="J849" s="211">
        <f>IFERROR(__xludf.DUMMYFUNCTION("""COMPUTED_VALUE"""),1.0)</f>
        <v>1</v>
      </c>
      <c r="K849" s="210" t="str">
        <f>IFERROR(__xludf.DUMMYFUNCTION("""COMPUTED_VALUE"""),"1186")</f>
        <v>1186</v>
      </c>
      <c r="L849" s="211">
        <f>IFERROR(__xludf.DUMMYFUNCTION("""COMPUTED_VALUE"""),0.0)</f>
        <v>0</v>
      </c>
      <c r="M849" s="211"/>
      <c r="N849" s="211"/>
      <c r="O849" s="211"/>
      <c r="Q849" s="210" t="str">
        <f>IFERROR(__xludf.DUMMYFUNCTION("""COMPUTED_VALUE"""),"c215bfba")</f>
        <v>c215bfba</v>
      </c>
      <c r="R849" s="210" t="str">
        <f>IFERROR(__xludf.DUMMYFUNCTION("""COMPUTED_VALUE"""),"c215bfba")</f>
        <v>c215bfba</v>
      </c>
      <c r="S849" s="211" t="str">
        <f>IFERROR(__xludf.DUMMYFUNCTION("""COMPUTED_VALUE"""),"2d88931c")</f>
        <v>2d88931c</v>
      </c>
      <c r="T849" s="211" t="str">
        <f>IFERROR(__xludf.DUMMYFUNCTION("""COMPUTED_VALUE"""),"PT Dunia Berkat Marga Mulya")</f>
        <v>PT Dunia Berkat Marga Mulya</v>
      </c>
      <c r="U849" s="215">
        <f>IFERROR(__xludf.DUMMYFUNCTION("""COMPUTED_VALUE"""),45810.58125)</f>
        <v>45810.58125</v>
      </c>
      <c r="V849" s="211" t="str">
        <f>IFERROR(__xludf.DUMMYFUNCTION("""COMPUTED_VALUE"""),"JL JABARAN, WATESARI, BALONGBENDO, SIDOARJO, JAWA TIMUR")</f>
        <v>JL JABARAN, WATESARI, BALONGBENDO, SIDOARJO, JAWA TIMUR</v>
      </c>
      <c r="W849" s="211" t="str">
        <f>IFERROR(__xludf.DUMMYFUNCTION("""COMPUTED_VALUE"""),"IN")</f>
        <v>IN</v>
      </c>
      <c r="X849" s="211"/>
      <c r="Z849" s="211" t="str">
        <f>IFERROR(__xludf.DUMMYFUNCTION("""COMPUTED_VALUE"""),"0925471248")</f>
        <v>0925471248</v>
      </c>
      <c r="AC849" s="211"/>
      <c r="AD849" s="211"/>
      <c r="AE849" s="211"/>
      <c r="AF849" s="211"/>
      <c r="AG849" s="211"/>
      <c r="AH849" s="211"/>
      <c r="AI849" s="211"/>
      <c r="AJ849" s="211"/>
      <c r="AL849" s="211"/>
      <c r="AM849" s="211"/>
      <c r="AN849" s="211"/>
      <c r="AO849" s="211"/>
      <c r="AP849" s="215"/>
      <c r="AQ849" s="218"/>
      <c r="AR849" s="211"/>
      <c r="AS849" s="211"/>
      <c r="AT849" s="211"/>
      <c r="AU849" s="211"/>
      <c r="AV849" s="211"/>
      <c r="AW849" s="211"/>
      <c r="AX849" s="211"/>
      <c r="AY849" s="211"/>
      <c r="AZ849" s="211"/>
      <c r="BB849" s="211"/>
      <c r="BC849" s="211"/>
      <c r="BD849" s="211"/>
      <c r="BE849" s="211"/>
      <c r="BF849" s="211"/>
      <c r="BG849" s="211"/>
      <c r="BH849" s="211"/>
      <c r="BI849" s="211"/>
    </row>
    <row r="850">
      <c r="A850" s="210" t="str">
        <f>IFERROR(__xludf.DUMMYFUNCTION("""COMPUTED_VALUE"""),"0cac82e5")</f>
        <v>0cac82e5</v>
      </c>
      <c r="B850" s="210" t="str">
        <f>IFERROR(__xludf.DUMMYFUNCTION("""COMPUTED_VALUE"""),"0cac82e5")</f>
        <v>0cac82e5</v>
      </c>
      <c r="C850" s="213">
        <f>IFERROR(__xludf.DUMMYFUNCTION("""COMPUTED_VALUE"""),45736.47638888889)</f>
        <v>45736.47639</v>
      </c>
      <c r="D850" s="211" t="str">
        <f>IFERROR(__xludf.DUMMYFUNCTION("""COMPUTED_VALUE"""),"785e0e07")</f>
        <v>785e0e07</v>
      </c>
      <c r="E850" s="211" t="str">
        <f>IFERROR(__xludf.DUMMYFUNCTION("""COMPUTED_VALUE"""),"Bpk. Sukirno (Bejo)")</f>
        <v>Bpk. Sukirno (Bejo)</v>
      </c>
      <c r="F850" s="211" t="str">
        <f>IFERROR(__xludf.DUMMYFUNCTION("""COMPUTED_VALUE"""),"8bdbe149")</f>
        <v>8bdbe149</v>
      </c>
      <c r="G850" s="211" t="str">
        <f>IFERROR(__xludf.DUMMYFUNCTION("""COMPUTED_VALUE"""),"Oksigen 6m3")</f>
        <v>Oksigen 6m3</v>
      </c>
      <c r="H850" s="214" t="str">
        <f>IFERROR(__xludf.DUMMYFUNCTION("""COMPUTED_VALUE"""),"IN")</f>
        <v>IN</v>
      </c>
      <c r="I850" s="214" t="str">
        <f>IFERROR(__xludf.DUMMYFUNCTION("""COMPUTED_VALUE"""),"EMPTY")</f>
        <v>EMPTY</v>
      </c>
      <c r="J850" s="211">
        <f>IFERROR(__xludf.DUMMYFUNCTION("""COMPUTED_VALUE"""),4.0)</f>
        <v>4</v>
      </c>
      <c r="K850" s="210" t="str">
        <f>IFERROR(__xludf.DUMMYFUNCTION("""COMPUTED_VALUE"""),"11191 1196 11202 11137")</f>
        <v>11191 1196 11202 11137</v>
      </c>
      <c r="L850" s="211">
        <f>IFERROR(__xludf.DUMMYFUNCTION("""COMPUTED_VALUE"""),0.0)</f>
        <v>0</v>
      </c>
      <c r="M850" s="211"/>
      <c r="N850" s="211"/>
      <c r="O850" s="211"/>
      <c r="Q850" s="210" t="str">
        <f>IFERROR(__xludf.DUMMYFUNCTION("""COMPUTED_VALUE"""),"66b48efd")</f>
        <v>66b48efd</v>
      </c>
      <c r="R850" s="210" t="str">
        <f>IFERROR(__xludf.DUMMYFUNCTION("""COMPUTED_VALUE"""),"66b48efd")</f>
        <v>66b48efd</v>
      </c>
      <c r="S850" s="211" t="str">
        <f>IFERROR(__xludf.DUMMYFUNCTION("""COMPUTED_VALUE"""),"5f23ba17")</f>
        <v>5f23ba17</v>
      </c>
      <c r="T850" s="211" t="str">
        <f>IFERROR(__xludf.DUMMYFUNCTION("""COMPUTED_VALUE"""),"Bpk. Joko (Gresik)")</f>
        <v>Bpk. Joko (Gresik)</v>
      </c>
      <c r="U850" s="215">
        <f>IFERROR(__xludf.DUMMYFUNCTION("""COMPUTED_VALUE"""),45810.58125)</f>
        <v>45810.58125</v>
      </c>
      <c r="V850" s="211" t="str">
        <f>IFERROR(__xludf.DUMMYFUNCTION("""COMPUTED_VALUE"""),"Tanggungan, Lebaniwaras, Kec. Wringinanom, Kabupaten Gresik, Jawa Timur")</f>
        <v>Tanggungan, Lebaniwaras, Kec. Wringinanom, Kabupaten Gresik, Jawa Timur</v>
      </c>
      <c r="W850" s="211" t="str">
        <f>IFERROR(__xludf.DUMMYFUNCTION("""COMPUTED_VALUE"""),"IN")</f>
        <v>IN</v>
      </c>
      <c r="X850" s="211"/>
      <c r="Z850" s="211" t="str">
        <f>IFERROR(__xludf.DUMMYFUNCTION("""COMPUTED_VALUE"""),"0925361247")</f>
        <v>0925361247</v>
      </c>
      <c r="AC850" s="211"/>
      <c r="AD850" s="211"/>
      <c r="AE850" s="211"/>
      <c r="AF850" s="211"/>
      <c r="AG850" s="211"/>
      <c r="AH850" s="211"/>
      <c r="AI850" s="211"/>
      <c r="AJ850" s="211"/>
      <c r="AL850" s="211"/>
      <c r="AM850" s="211"/>
      <c r="AN850" s="211"/>
      <c r="AO850" s="211"/>
      <c r="AP850" s="215"/>
      <c r="AQ850" s="218"/>
      <c r="AR850" s="211"/>
      <c r="AS850" s="211"/>
      <c r="AT850" s="211"/>
      <c r="AU850" s="211"/>
      <c r="AV850" s="211"/>
      <c r="AW850" s="211"/>
      <c r="AX850" s="211"/>
      <c r="AY850" s="211"/>
      <c r="AZ850" s="211"/>
      <c r="BB850" s="211"/>
      <c r="BC850" s="211"/>
      <c r="BD850" s="211"/>
      <c r="BE850" s="211"/>
      <c r="BF850" s="211"/>
      <c r="BG850" s="211"/>
      <c r="BH850" s="211"/>
      <c r="BI850" s="211"/>
    </row>
    <row r="851">
      <c r="A851" s="210" t="str">
        <f>IFERROR(__xludf.DUMMYFUNCTION("""COMPUTED_VALUE"""),"0cac82e5")</f>
        <v>0cac82e5</v>
      </c>
      <c r="B851" s="210" t="str">
        <f>IFERROR(__xludf.DUMMYFUNCTION("""COMPUTED_VALUE"""),"0cac82e5")</f>
        <v>0cac82e5</v>
      </c>
      <c r="C851" s="213">
        <f>IFERROR(__xludf.DUMMYFUNCTION("""COMPUTED_VALUE"""),45736.47638888889)</f>
        <v>45736.47639</v>
      </c>
      <c r="D851" s="211" t="str">
        <f>IFERROR(__xludf.DUMMYFUNCTION("""COMPUTED_VALUE"""),"785e0e07")</f>
        <v>785e0e07</v>
      </c>
      <c r="E851" s="211" t="str">
        <f>IFERROR(__xludf.DUMMYFUNCTION("""COMPUTED_VALUE"""),"Bpk. Sukirno (Bejo)")</f>
        <v>Bpk. Sukirno (Bejo)</v>
      </c>
      <c r="F851" s="211" t="str">
        <f>IFERROR(__xludf.DUMMYFUNCTION("""COMPUTED_VALUE"""),"be525f3b")</f>
        <v>be525f3b</v>
      </c>
      <c r="G851" s="211" t="str">
        <f>IFERROR(__xludf.DUMMYFUNCTION("""COMPUTED_VALUE"""),"LPG 12kg")</f>
        <v>LPG 12kg</v>
      </c>
      <c r="H851" s="214" t="str">
        <f>IFERROR(__xludf.DUMMYFUNCTION("""COMPUTED_VALUE"""),"IN")</f>
        <v>IN</v>
      </c>
      <c r="I851" s="214" t="str">
        <f>IFERROR(__xludf.DUMMYFUNCTION("""COMPUTED_VALUE"""),"EMPTY")</f>
        <v>EMPTY</v>
      </c>
      <c r="J851" s="211">
        <f>IFERROR(__xludf.DUMMYFUNCTION("""COMPUTED_VALUE"""),1.0)</f>
        <v>1</v>
      </c>
      <c r="K851" s="211"/>
      <c r="L851" s="211">
        <f>IFERROR(__xludf.DUMMYFUNCTION("""COMPUTED_VALUE"""),0.0)</f>
        <v>0</v>
      </c>
      <c r="M851" s="211"/>
      <c r="N851" s="211"/>
      <c r="O851" s="211"/>
      <c r="Q851" s="210" t="str">
        <f>IFERROR(__xludf.DUMMYFUNCTION("""COMPUTED_VALUE"""),"419130b7")</f>
        <v>419130b7</v>
      </c>
      <c r="R851" s="210" t="str">
        <f>IFERROR(__xludf.DUMMYFUNCTION("""COMPUTED_VALUE"""),"419130b7")</f>
        <v>419130b7</v>
      </c>
      <c r="S851" s="211" t="str">
        <f>IFERROR(__xludf.DUMMYFUNCTION("""COMPUTED_VALUE"""),"3fec37df")</f>
        <v>3fec37df</v>
      </c>
      <c r="T851" s="211" t="str">
        <f>IFERROR(__xludf.DUMMYFUNCTION("""COMPUTED_VALUE"""),"PT Jatim Abadi Perkasa Steel")</f>
        <v>PT Jatim Abadi Perkasa Steel</v>
      </c>
      <c r="U851" s="215">
        <f>IFERROR(__xludf.DUMMYFUNCTION("""COMPUTED_VALUE"""),45810.72083333333)</f>
        <v>45810.72083</v>
      </c>
      <c r="V851" s="211" t="str">
        <f>IFERROR(__xludf.DUMMYFUNCTION("""COMPUTED_VALUE"""),"Dsn. Bulak Sempuh, Jatirejo, Kab. Mojokerto, Jawa Timur")</f>
        <v>Dsn. Bulak Sempuh, Jatirejo, Kab. Mojokerto, Jawa Timur</v>
      </c>
      <c r="W851" s="211" t="str">
        <f>IFERROR(__xludf.DUMMYFUNCTION("""COMPUTED_VALUE"""),"IN")</f>
        <v>IN</v>
      </c>
      <c r="X851" s="211"/>
      <c r="Z851" s="211" t="str">
        <f>IFERROR(__xludf.DUMMYFUNCTION("""COMPUTED_VALUE"""),"092571245")</f>
        <v>092571245</v>
      </c>
      <c r="AC851" s="211"/>
      <c r="AD851" s="211"/>
      <c r="AE851" s="211"/>
      <c r="AF851" s="211"/>
      <c r="AG851" s="211"/>
      <c r="AH851" s="211"/>
      <c r="AI851" s="211"/>
      <c r="AJ851" s="211"/>
      <c r="AL851" s="211"/>
      <c r="AM851" s="211"/>
      <c r="AN851" s="211"/>
      <c r="AO851" s="211"/>
      <c r="AP851" s="215"/>
      <c r="AQ851" s="218"/>
      <c r="AR851" s="211"/>
      <c r="AS851" s="211"/>
      <c r="AT851" s="211"/>
      <c r="AU851" s="211"/>
      <c r="AV851" s="211"/>
      <c r="AW851" s="211"/>
      <c r="AX851" s="211"/>
      <c r="AY851" s="211"/>
      <c r="AZ851" s="211"/>
      <c r="BB851" s="211"/>
      <c r="BC851" s="211"/>
      <c r="BD851" s="211"/>
      <c r="BE851" s="211"/>
      <c r="BF851" s="211"/>
      <c r="BG851" s="211"/>
      <c r="BH851" s="211"/>
      <c r="BI851" s="211"/>
    </row>
    <row r="852">
      <c r="A852" s="210" t="str">
        <f>IFERROR(__xludf.DUMMYFUNCTION("""COMPUTED_VALUE"""),"03250337")</f>
        <v>03250337</v>
      </c>
      <c r="B852" s="210" t="str">
        <f>IFERROR(__xludf.DUMMYFUNCTION("""COMPUTED_VALUE"""),"03250337")</f>
        <v>03250337</v>
      </c>
      <c r="C852" s="213">
        <f>IFERROR(__xludf.DUMMYFUNCTION("""COMPUTED_VALUE"""),45736.50763888889)</f>
        <v>45736.50764</v>
      </c>
      <c r="D852" s="211" t="str">
        <f>IFERROR(__xludf.DUMMYFUNCTION("""COMPUTED_VALUE"""),"e86baf3b")</f>
        <v>e86baf3b</v>
      </c>
      <c r="E852" s="211" t="str">
        <f>IFERROR(__xludf.DUMMYFUNCTION("""COMPUTED_VALUE"""),"PT GEMILANG CIPTA WAWASAN")</f>
        <v>PT GEMILANG CIPTA WAWASAN</v>
      </c>
      <c r="F852" s="211" t="str">
        <f>IFERROR(__xludf.DUMMYFUNCTION("""COMPUTED_VALUE"""),"8bdbe149")</f>
        <v>8bdbe149</v>
      </c>
      <c r="G852" s="211" t="str">
        <f>IFERROR(__xludf.DUMMYFUNCTION("""COMPUTED_VALUE"""),"Oksigen 6m3")</f>
        <v>Oksigen 6m3</v>
      </c>
      <c r="H852" s="214" t="str">
        <f>IFERROR(__xludf.DUMMYFUNCTION("""COMPUTED_VALUE"""),"OUT")</f>
        <v>OUT</v>
      </c>
      <c r="I852" s="214" t="str">
        <f>IFERROR(__xludf.DUMMYFUNCTION("""COMPUTED_VALUE"""),"NORMAL")</f>
        <v>NORMAL</v>
      </c>
      <c r="J852" s="211">
        <f>IFERROR(__xludf.DUMMYFUNCTION("""COMPUTED_VALUE"""),10.0)</f>
        <v>10</v>
      </c>
      <c r="K852" s="210" t="str">
        <f>IFERROR(__xludf.DUMMYFUNCTION("""COMPUTED_VALUE"""),"11210 1159 11181 11111 1126 1175 11165 1132 1143 11205")</f>
        <v>11210 1159 11181 11111 1126 1175 11165 1132 1143 11205</v>
      </c>
      <c r="L852" s="211">
        <f>IFERROR(__xludf.DUMMYFUNCTION("""COMPUTED_VALUE"""),60000.0)</f>
        <v>60000</v>
      </c>
      <c r="M852" s="211"/>
      <c r="N852" s="211"/>
      <c r="O852" s="211"/>
      <c r="Q852" s="210" t="str">
        <f>IFERROR(__xludf.DUMMYFUNCTION("""COMPUTED_VALUE"""),"a8f6093d")</f>
        <v>a8f6093d</v>
      </c>
      <c r="R852" s="210" t="str">
        <f>IFERROR(__xludf.DUMMYFUNCTION("""COMPUTED_VALUE"""),"a8f6093d")</f>
        <v>a8f6093d</v>
      </c>
      <c r="S852" s="211" t="str">
        <f>IFERROR(__xludf.DUMMYFUNCTION("""COMPUTED_VALUE"""),"d78b2eaf")</f>
        <v>d78b2eaf</v>
      </c>
      <c r="T852" s="211" t="str">
        <f>IFERROR(__xludf.DUMMYFUNCTION("""COMPUTED_VALUE"""),"PT Sinar Indogreen Kencana")</f>
        <v>PT Sinar Indogreen Kencana</v>
      </c>
      <c r="U852" s="215">
        <f>IFERROR(__xludf.DUMMYFUNCTION("""COMPUTED_VALUE"""),45810.72083333333)</f>
        <v>45810.72083</v>
      </c>
      <c r="V852" s="211" t="str">
        <f>IFERROR(__xludf.DUMMYFUNCTION("""COMPUTED_VALUE"""),"Jl. Raya Ponokawan 8b RT/001 RW/002, Ponokawan, Krian, Sidoarjo")</f>
        <v>Jl. Raya Ponokawan 8b RT/001 RW/002, Ponokawan, Krian, Sidoarjo</v>
      </c>
      <c r="W852" s="211" t="str">
        <f>IFERROR(__xludf.DUMMYFUNCTION("""COMPUTED_VALUE"""),"IN")</f>
        <v>IN</v>
      </c>
      <c r="X852" s="211"/>
      <c r="Z852" s="211" t="str">
        <f>IFERROR(__xludf.DUMMYFUNCTION("""COMPUTED_VALUE"""),"0925461244")</f>
        <v>0925461244</v>
      </c>
      <c r="AC852" s="211"/>
      <c r="AD852" s="211"/>
      <c r="AE852" s="211"/>
      <c r="AF852" s="211"/>
      <c r="AG852" s="211"/>
      <c r="AH852" s="211"/>
      <c r="AI852" s="211"/>
      <c r="AJ852" s="211"/>
      <c r="AL852" s="211"/>
      <c r="AM852" s="211"/>
      <c r="AN852" s="211"/>
      <c r="AO852" s="211"/>
      <c r="AP852" s="215"/>
      <c r="AQ852" s="218"/>
      <c r="AR852" s="211"/>
      <c r="AS852" s="211"/>
      <c r="AT852" s="211"/>
      <c r="AU852" s="211"/>
      <c r="AV852" s="211"/>
      <c r="AW852" s="211"/>
      <c r="AX852" s="211"/>
      <c r="AY852" s="211"/>
      <c r="AZ852" s="211"/>
      <c r="BB852" s="211"/>
      <c r="BC852" s="211"/>
      <c r="BD852" s="211"/>
      <c r="BE852" s="211"/>
      <c r="BF852" s="211"/>
      <c r="BG852" s="211"/>
      <c r="BH852" s="211"/>
      <c r="BI852" s="211"/>
    </row>
    <row r="853">
      <c r="A853" s="210" t="str">
        <f>IFERROR(__xludf.DUMMYFUNCTION("""COMPUTED_VALUE"""),"03250337")</f>
        <v>03250337</v>
      </c>
      <c r="B853" s="210" t="str">
        <f>IFERROR(__xludf.DUMMYFUNCTION("""COMPUTED_VALUE"""),"03250337")</f>
        <v>03250337</v>
      </c>
      <c r="C853" s="213">
        <f>IFERROR(__xludf.DUMMYFUNCTION("""COMPUTED_VALUE"""),45736.50763888889)</f>
        <v>45736.50764</v>
      </c>
      <c r="D853" s="211" t="str">
        <f>IFERROR(__xludf.DUMMYFUNCTION("""COMPUTED_VALUE"""),"e86baf3b")</f>
        <v>e86baf3b</v>
      </c>
      <c r="E853" s="211" t="str">
        <f>IFERROR(__xludf.DUMMYFUNCTION("""COMPUTED_VALUE"""),"PT GEMILANG CIPTA WAWASAN")</f>
        <v>PT GEMILANG CIPTA WAWASAN</v>
      </c>
      <c r="F853" s="211" t="str">
        <f>IFERROR(__xludf.DUMMYFUNCTION("""COMPUTED_VALUE"""),"be525f3b")</f>
        <v>be525f3b</v>
      </c>
      <c r="G853" s="211" t="str">
        <f>IFERROR(__xludf.DUMMYFUNCTION("""COMPUTED_VALUE"""),"LPG 12kg")</f>
        <v>LPG 12kg</v>
      </c>
      <c r="H853" s="214" t="str">
        <f>IFERROR(__xludf.DUMMYFUNCTION("""COMPUTED_VALUE"""),"OUT")</f>
        <v>OUT</v>
      </c>
      <c r="I853" s="214" t="str">
        <f>IFERROR(__xludf.DUMMYFUNCTION("""COMPUTED_VALUE"""),"NORMAL")</f>
        <v>NORMAL</v>
      </c>
      <c r="J853" s="211">
        <f>IFERROR(__xludf.DUMMYFUNCTION("""COMPUTED_VALUE"""),7.0)</f>
        <v>7</v>
      </c>
      <c r="K853" s="211"/>
      <c r="L853" s="211">
        <f>IFERROR(__xludf.DUMMYFUNCTION("""COMPUTED_VALUE"""),210000.0)</f>
        <v>210000</v>
      </c>
      <c r="M853" s="211"/>
      <c r="N853" s="211"/>
      <c r="O853" s="211"/>
      <c r="Q853" s="210" t="str">
        <f>IFERROR(__xludf.DUMMYFUNCTION("""COMPUTED_VALUE"""),"06250486")</f>
        <v>06250486</v>
      </c>
      <c r="R853" s="210" t="str">
        <f>IFERROR(__xludf.DUMMYFUNCTION("""COMPUTED_VALUE"""),"06250486")</f>
        <v>06250486</v>
      </c>
      <c r="S853" s="211" t="str">
        <f>IFERROR(__xludf.DUMMYFUNCTION("""COMPUTED_VALUE"""),"609d620d")</f>
        <v>609d620d</v>
      </c>
      <c r="T853" s="211" t="str">
        <f>IFERROR(__xludf.DUMMYFUNCTION("""COMPUTED_VALUE"""),"PT Pandu Mulia Bersama")</f>
        <v>PT Pandu Mulia Bersama</v>
      </c>
      <c r="U853" s="215">
        <f>IFERROR(__xludf.DUMMYFUNCTION("""COMPUTED_VALUE"""),45811.37291666667)</f>
        <v>45811.37292</v>
      </c>
      <c r="V853" s="211" t="str">
        <f>IFERROR(__xludf.DUMMYFUNCTION("""COMPUTED_VALUE"""),"Jl. Songgat RT 12 RW 05, Kec. Tarik, Sidoarjo, Jawa Timur")</f>
        <v>Jl. Songgat RT 12 RW 05, Kec. Tarik, Sidoarjo, Jawa Timur</v>
      </c>
      <c r="W853" s="211" t="str">
        <f>IFERROR(__xludf.DUMMYFUNCTION("""COMPUTED_VALUE"""),"OUT")</f>
        <v>OUT</v>
      </c>
      <c r="X853" s="211"/>
      <c r="Z853" s="211" t="str">
        <f>IFERROR(__xludf.DUMMYFUNCTION("""COMPUTED_VALUE"""),"0925121240")</f>
        <v>0925121240</v>
      </c>
      <c r="AC853" s="211"/>
      <c r="AD853" s="211"/>
      <c r="AE853" s="211"/>
      <c r="AF853" s="211"/>
      <c r="AG853" s="211"/>
      <c r="AH853" s="211"/>
      <c r="AI853" s="211"/>
      <c r="AJ853" s="211"/>
      <c r="AL853" s="211"/>
      <c r="AM853" s="211"/>
      <c r="AN853" s="211"/>
      <c r="AO853" s="211"/>
      <c r="AP853" s="215"/>
      <c r="AQ853" s="218"/>
      <c r="AR853" s="211"/>
      <c r="AS853" s="211"/>
      <c r="AT853" s="211"/>
      <c r="AU853" s="211"/>
      <c r="AV853" s="211"/>
      <c r="AW853" s="211"/>
      <c r="AX853" s="211"/>
      <c r="AY853" s="211"/>
      <c r="AZ853" s="211"/>
      <c r="BB853" s="211"/>
      <c r="BC853" s="211"/>
      <c r="BD853" s="211"/>
      <c r="BE853" s="211"/>
      <c r="BF853" s="211"/>
      <c r="BG853" s="211"/>
      <c r="BH853" s="211"/>
      <c r="BI853" s="211"/>
    </row>
    <row r="854">
      <c r="A854" s="210" t="str">
        <f>IFERROR(__xludf.DUMMYFUNCTION("""COMPUTED_VALUE"""),"03250339")</f>
        <v>03250339</v>
      </c>
      <c r="B854" s="210" t="str">
        <f>IFERROR(__xludf.DUMMYFUNCTION("""COMPUTED_VALUE"""),"03250339")</f>
        <v>03250339</v>
      </c>
      <c r="C854" s="213">
        <f>IFERROR(__xludf.DUMMYFUNCTION("""COMPUTED_VALUE"""),45737.34097222222)</f>
        <v>45737.34097</v>
      </c>
      <c r="D854" s="211" t="str">
        <f>IFERROR(__xludf.DUMMYFUNCTION("""COMPUTED_VALUE"""),"2d88931c")</f>
        <v>2d88931c</v>
      </c>
      <c r="E854" s="211" t="str">
        <f>IFERROR(__xludf.DUMMYFUNCTION("""COMPUTED_VALUE"""),"PT Dunia Berkat Marga Mulya")</f>
        <v>PT Dunia Berkat Marga Mulya</v>
      </c>
      <c r="F854" s="211" t="str">
        <f>IFERROR(__xludf.DUMMYFUNCTION("""COMPUTED_VALUE"""),"8bdbe149")</f>
        <v>8bdbe149</v>
      </c>
      <c r="G854" s="211" t="str">
        <f>IFERROR(__xludf.DUMMYFUNCTION("""COMPUTED_VALUE"""),"Oksigen 6m3")</f>
        <v>Oksigen 6m3</v>
      </c>
      <c r="H854" s="214" t="str">
        <f>IFERROR(__xludf.DUMMYFUNCTION("""COMPUTED_VALUE"""),"OUT")</f>
        <v>OUT</v>
      </c>
      <c r="I854" s="214" t="str">
        <f>IFERROR(__xludf.DUMMYFUNCTION("""COMPUTED_VALUE"""),"NORMAL")</f>
        <v>NORMAL</v>
      </c>
      <c r="J854" s="211">
        <f>IFERROR(__xludf.DUMMYFUNCTION("""COMPUTED_VALUE"""),5.0)</f>
        <v>5</v>
      </c>
      <c r="K854" s="210" t="str">
        <f>IFERROR(__xludf.DUMMYFUNCTION("""COMPUTED_VALUE"""),"1168 11132 1109 1196 11104")</f>
        <v>1168 11132 1109 1196 11104</v>
      </c>
      <c r="L854" s="211">
        <f>IFERROR(__xludf.DUMMYFUNCTION("""COMPUTED_VALUE"""),60000.0)</f>
        <v>60000</v>
      </c>
      <c r="M854" s="211"/>
      <c r="N854" s="211"/>
      <c r="O854" s="211"/>
      <c r="Q854" s="210" t="str">
        <f>IFERROR(__xludf.DUMMYFUNCTION("""COMPUTED_VALUE"""),"06250488")</f>
        <v>06250488</v>
      </c>
      <c r="R854" s="210" t="str">
        <f>IFERROR(__xludf.DUMMYFUNCTION("""COMPUTED_VALUE"""),"06250488")</f>
        <v>06250488</v>
      </c>
      <c r="S854" s="211" t="str">
        <f>IFERROR(__xludf.DUMMYFUNCTION("""COMPUTED_VALUE"""),"5f23ba17")</f>
        <v>5f23ba17</v>
      </c>
      <c r="T854" s="211" t="str">
        <f>IFERROR(__xludf.DUMMYFUNCTION("""COMPUTED_VALUE"""),"Bpk. Joko (Gresik)")</f>
        <v>Bpk. Joko (Gresik)</v>
      </c>
      <c r="U854" s="215">
        <f>IFERROR(__xludf.DUMMYFUNCTION("""COMPUTED_VALUE"""),45811.37361111111)</f>
        <v>45811.37361</v>
      </c>
      <c r="V854" s="211" t="str">
        <f>IFERROR(__xludf.DUMMYFUNCTION("""COMPUTED_VALUE"""),"Tanggungan, Lebaniwaras, Kec. Wringinanom, Kabupaten Gresik, Jawa Timur")</f>
        <v>Tanggungan, Lebaniwaras, Kec. Wringinanom, Kabupaten Gresik, Jawa Timur</v>
      </c>
      <c r="W854" s="211" t="str">
        <f>IFERROR(__xludf.DUMMYFUNCTION("""COMPUTED_VALUE"""),"OUT")</f>
        <v>OUT</v>
      </c>
      <c r="X854" s="211"/>
      <c r="Z854" s="211" t="str">
        <f>IFERROR(__xludf.DUMMYFUNCTION("""COMPUTED_VALUE"""),"0925181238")</f>
        <v>0925181238</v>
      </c>
      <c r="AC854" s="211"/>
      <c r="AD854" s="211"/>
      <c r="AE854" s="211"/>
      <c r="AF854" s="211"/>
      <c r="AG854" s="211"/>
      <c r="AH854" s="211"/>
      <c r="AI854" s="211"/>
      <c r="AJ854" s="211"/>
      <c r="AL854" s="211"/>
      <c r="AM854" s="211"/>
      <c r="AN854" s="211"/>
      <c r="AO854" s="211"/>
      <c r="AP854" s="215"/>
      <c r="AQ854" s="218"/>
      <c r="AR854" s="211"/>
      <c r="AS854" s="211"/>
      <c r="AT854" s="211"/>
      <c r="AU854" s="211"/>
      <c r="AV854" s="211"/>
      <c r="AW854" s="211"/>
      <c r="AX854" s="211"/>
      <c r="AY854" s="211"/>
      <c r="AZ854" s="211"/>
      <c r="BB854" s="211"/>
      <c r="BC854" s="211"/>
      <c r="BD854" s="211"/>
      <c r="BE854" s="211"/>
      <c r="BF854" s="211"/>
      <c r="BG854" s="211"/>
      <c r="BH854" s="211"/>
      <c r="BI854" s="211"/>
    </row>
    <row r="855">
      <c r="A855" s="210" t="str">
        <f>IFERROR(__xludf.DUMMYFUNCTION("""COMPUTED_VALUE"""),"03250340")</f>
        <v>03250340</v>
      </c>
      <c r="B855" s="210" t="str">
        <f>IFERROR(__xludf.DUMMYFUNCTION("""COMPUTED_VALUE"""),"03250340")</f>
        <v>03250340</v>
      </c>
      <c r="C855" s="213">
        <f>IFERROR(__xludf.DUMMYFUNCTION("""COMPUTED_VALUE"""),45736.61319444444)</f>
        <v>45736.61319</v>
      </c>
      <c r="D855" s="211" t="str">
        <f>IFERROR(__xludf.DUMMYFUNCTION("""COMPUTED_VALUE"""),"8f5ebaea")</f>
        <v>8f5ebaea</v>
      </c>
      <c r="E855" s="211" t="str">
        <f>IFERROR(__xludf.DUMMYFUNCTION("""COMPUTED_VALUE"""),"PT Hua Zong Mesindo")</f>
        <v>PT Hua Zong Mesindo</v>
      </c>
      <c r="F855" s="211" t="str">
        <f>IFERROR(__xludf.DUMMYFUNCTION("""COMPUTED_VALUE"""),"8bdbe149")</f>
        <v>8bdbe149</v>
      </c>
      <c r="G855" s="211" t="str">
        <f>IFERROR(__xludf.DUMMYFUNCTION("""COMPUTED_VALUE"""),"Oksigen 6m3")</f>
        <v>Oksigen 6m3</v>
      </c>
      <c r="H855" s="214" t="str">
        <f>IFERROR(__xludf.DUMMYFUNCTION("""COMPUTED_VALUE"""),"OUT")</f>
        <v>OUT</v>
      </c>
      <c r="I855" s="214" t="str">
        <f>IFERROR(__xludf.DUMMYFUNCTION("""COMPUTED_VALUE"""),"NORMAL")</f>
        <v>NORMAL</v>
      </c>
      <c r="J855" s="211">
        <f>IFERROR(__xludf.DUMMYFUNCTION("""COMPUTED_VALUE"""),3.0)</f>
        <v>3</v>
      </c>
      <c r="K855" s="210" t="str">
        <f>IFERROR(__xludf.DUMMYFUNCTION("""COMPUTED_VALUE"""),"1135 1186 11117")</f>
        <v>1135 1186 11117</v>
      </c>
      <c r="L855" s="211">
        <f>IFERROR(__xludf.DUMMYFUNCTION("""COMPUTED_VALUE"""),60000.0)</f>
        <v>60000</v>
      </c>
      <c r="M855" s="211"/>
      <c r="N855" s="211"/>
      <c r="O855" s="211"/>
      <c r="Q855" s="210" t="str">
        <f>IFERROR(__xludf.DUMMYFUNCTION("""COMPUTED_VALUE"""),"06250490")</f>
        <v>06250490</v>
      </c>
      <c r="R855" s="210" t="str">
        <f>IFERROR(__xludf.DUMMYFUNCTION("""COMPUTED_VALUE"""),"06250490")</f>
        <v>06250490</v>
      </c>
      <c r="S855" s="211" t="str">
        <f>IFERROR(__xludf.DUMMYFUNCTION("""COMPUTED_VALUE"""),"4bef3bbf")</f>
        <v>4bef3bbf</v>
      </c>
      <c r="T855" s="211" t="str">
        <f>IFERROR(__xludf.DUMMYFUNCTION("""COMPUTED_VALUE"""),"PT Dingsheng Metal Indonesia (Ngoro)")</f>
        <v>PT Dingsheng Metal Indonesia (Ngoro)</v>
      </c>
      <c r="U855" s="215">
        <f>IFERROR(__xludf.DUMMYFUNCTION("""COMPUTED_VALUE"""),45811.37569444445)</f>
        <v>45811.37569</v>
      </c>
      <c r="V855" s="211" t="str">
        <f>IFERROR(__xludf.DUMMYFUNCTION("""COMPUTED_VALUE"""),"Kri Kilan, Watesnegoro, Kec. Ngoro, Kabupaten Mojokerto, Jawa Timur 61385")</f>
        <v>Kri Kilan, Watesnegoro, Kec. Ngoro, Kabupaten Mojokerto, Jawa Timur 61385</v>
      </c>
      <c r="W855" s="211" t="str">
        <f>IFERROR(__xludf.DUMMYFUNCTION("""COMPUTED_VALUE"""),"OUT")</f>
        <v>OUT</v>
      </c>
      <c r="X855" s="211"/>
      <c r="Z855" s="211" t="str">
        <f>IFERROR(__xludf.DUMMYFUNCTION("""COMPUTED_VALUE"""),"0925111237")</f>
        <v>0925111237</v>
      </c>
      <c r="AC855" s="211"/>
      <c r="AD855" s="211"/>
      <c r="AE855" s="211"/>
      <c r="AF855" s="211"/>
      <c r="AG855" s="211"/>
      <c r="AH855" s="211"/>
      <c r="AI855" s="211"/>
      <c r="AJ855" s="211"/>
      <c r="AL855" s="211"/>
      <c r="AM855" s="211"/>
      <c r="AN855" s="211"/>
      <c r="AO855" s="211"/>
      <c r="AP855" s="215"/>
      <c r="AQ855" s="218"/>
      <c r="AR855" s="211"/>
      <c r="AS855" s="211"/>
      <c r="AT855" s="211"/>
      <c r="AU855" s="211"/>
      <c r="AV855" s="211"/>
      <c r="AW855" s="211"/>
      <c r="AX855" s="211"/>
      <c r="AY855" s="211"/>
      <c r="AZ855" s="211"/>
      <c r="BB855" s="211"/>
      <c r="BC855" s="211"/>
      <c r="BD855" s="211"/>
      <c r="BE855" s="211"/>
      <c r="BF855" s="211"/>
      <c r="BG855" s="211"/>
      <c r="BH855" s="211"/>
      <c r="BI855" s="211"/>
    </row>
    <row r="856">
      <c r="A856" s="210" t="str">
        <f>IFERROR(__xludf.DUMMYFUNCTION("""COMPUTED_VALUE"""),"32f52641")</f>
        <v>32f52641</v>
      </c>
      <c r="B856" s="210" t="str">
        <f>IFERROR(__xludf.DUMMYFUNCTION("""COMPUTED_VALUE"""),"32f52641")</f>
        <v>32f52641</v>
      </c>
      <c r="C856" s="213">
        <f>IFERROR(__xludf.DUMMYFUNCTION("""COMPUTED_VALUE"""),45737.48611111111)</f>
        <v>45737.48611</v>
      </c>
      <c r="D856" s="211" t="str">
        <f>IFERROR(__xludf.DUMMYFUNCTION("""COMPUTED_VALUE"""),"2d88931c")</f>
        <v>2d88931c</v>
      </c>
      <c r="E856" s="211" t="str">
        <f>IFERROR(__xludf.DUMMYFUNCTION("""COMPUTED_VALUE"""),"PT Dunia Berkat Marga Mulya")</f>
        <v>PT Dunia Berkat Marga Mulya</v>
      </c>
      <c r="F856" s="211" t="str">
        <f>IFERROR(__xludf.DUMMYFUNCTION("""COMPUTED_VALUE"""),"8bdbe149")</f>
        <v>8bdbe149</v>
      </c>
      <c r="G856" s="211" t="str">
        <f>IFERROR(__xludf.DUMMYFUNCTION("""COMPUTED_VALUE"""),"Oksigen 6m3")</f>
        <v>Oksigen 6m3</v>
      </c>
      <c r="H856" s="214" t="str">
        <f>IFERROR(__xludf.DUMMYFUNCTION("""COMPUTED_VALUE"""),"IN")</f>
        <v>IN</v>
      </c>
      <c r="I856" s="214" t="str">
        <f>IFERROR(__xludf.DUMMYFUNCTION("""COMPUTED_VALUE"""),"EMPTY")</f>
        <v>EMPTY</v>
      </c>
      <c r="J856" s="211">
        <f>IFERROR(__xludf.DUMMYFUNCTION("""COMPUTED_VALUE"""),1.0)</f>
        <v>1</v>
      </c>
      <c r="K856" s="210" t="str">
        <f>IFERROR(__xludf.DUMMYFUNCTION("""COMPUTED_VALUE"""),"1117")</f>
        <v>1117</v>
      </c>
      <c r="L856" s="211">
        <f>IFERROR(__xludf.DUMMYFUNCTION("""COMPUTED_VALUE"""),0.0)</f>
        <v>0</v>
      </c>
      <c r="M856" s="211"/>
      <c r="N856" s="211"/>
      <c r="O856" s="211"/>
      <c r="Q856" s="210" t="str">
        <f>IFERROR(__xludf.DUMMYFUNCTION("""COMPUTED_VALUE"""),"06250491")</f>
        <v>06250491</v>
      </c>
      <c r="R856" s="210" t="str">
        <f>IFERROR(__xludf.DUMMYFUNCTION("""COMPUTED_VALUE"""),"06250491")</f>
        <v>06250491</v>
      </c>
      <c r="S856" s="211" t="str">
        <f>IFERROR(__xludf.DUMMYFUNCTION("""COMPUTED_VALUE"""),"1bf27092")</f>
        <v>1bf27092</v>
      </c>
      <c r="T856" s="211" t="str">
        <f>IFERROR(__xludf.DUMMYFUNCTION("""COMPUTED_VALUE"""),"Bpk. Ari Budiarto")</f>
        <v>Bpk. Ari Budiarto</v>
      </c>
      <c r="U856" s="215">
        <f>IFERROR(__xludf.DUMMYFUNCTION("""COMPUTED_VALUE"""),45811.4625)</f>
        <v>45811.4625</v>
      </c>
      <c r="V856" s="211" t="str">
        <f>IFERROR(__xludf.DUMMYFUNCTION("""COMPUTED_VALUE"""),"Jl. Raya Balongbendo 232, Bakalan, Bakalan Wringinpitu, Kec. BalongBendo, Kabupaten Sidoarjo, Jawa Timur 61263")</f>
        <v>Jl. Raya Balongbendo 232, Bakalan, Bakalan Wringinpitu, Kec. BalongBendo, Kabupaten Sidoarjo, Jawa Timur 61263</v>
      </c>
      <c r="W856" s="211" t="str">
        <f>IFERROR(__xludf.DUMMYFUNCTION("""COMPUTED_VALUE"""),"OUT")</f>
        <v>OUT</v>
      </c>
      <c r="X856" s="211"/>
      <c r="Z856" s="211" t="str">
        <f>IFERROR(__xludf.DUMMYFUNCTION("""COMPUTED_VALUE"""),"092531236")</f>
        <v>092531236</v>
      </c>
      <c r="AC856" s="211"/>
      <c r="AD856" s="211"/>
      <c r="AE856" s="211"/>
      <c r="AF856" s="211"/>
      <c r="AG856" s="211"/>
      <c r="AH856" s="211"/>
      <c r="AI856" s="211"/>
      <c r="AJ856" s="211"/>
      <c r="AL856" s="211"/>
      <c r="AM856" s="211"/>
      <c r="AN856" s="211"/>
      <c r="AO856" s="211"/>
      <c r="AP856" s="215"/>
      <c r="AQ856" s="218"/>
      <c r="AR856" s="211"/>
      <c r="AS856" s="211"/>
      <c r="AT856" s="211"/>
      <c r="AU856" s="211"/>
      <c r="AV856" s="211"/>
      <c r="AW856" s="211"/>
      <c r="AX856" s="211"/>
      <c r="AY856" s="211"/>
      <c r="AZ856" s="211"/>
      <c r="BB856" s="211"/>
      <c r="BC856" s="211"/>
      <c r="BD856" s="211"/>
      <c r="BE856" s="211"/>
      <c r="BF856" s="211"/>
      <c r="BG856" s="211"/>
      <c r="BH856" s="211"/>
      <c r="BI856" s="211"/>
    </row>
    <row r="857">
      <c r="A857" s="210" t="str">
        <f>IFERROR(__xludf.DUMMYFUNCTION("""COMPUTED_VALUE"""),"03250341")</f>
        <v>03250341</v>
      </c>
      <c r="B857" s="210" t="str">
        <f>IFERROR(__xludf.DUMMYFUNCTION("""COMPUTED_VALUE"""),"03250341")</f>
        <v>03250341</v>
      </c>
      <c r="C857" s="213">
        <f>IFERROR(__xludf.DUMMYFUNCTION("""COMPUTED_VALUE"""),45740.33888888889)</f>
        <v>45740.33889</v>
      </c>
      <c r="D857" s="211" t="str">
        <f>IFERROR(__xludf.DUMMYFUNCTION("""COMPUTED_VALUE"""),"103f3ae7")</f>
        <v>103f3ae7</v>
      </c>
      <c r="E857" s="211" t="str">
        <f>IFERROR(__xludf.DUMMYFUNCTION("""COMPUTED_VALUE"""),"PT ARYANA CAKASANA")</f>
        <v>PT ARYANA CAKASANA</v>
      </c>
      <c r="F857" s="211" t="str">
        <f>IFERROR(__xludf.DUMMYFUNCTION("""COMPUTED_VALUE"""),"8bdbe149")</f>
        <v>8bdbe149</v>
      </c>
      <c r="G857" s="211" t="str">
        <f>IFERROR(__xludf.DUMMYFUNCTION("""COMPUTED_VALUE"""),"Oksigen 6m3")</f>
        <v>Oksigen 6m3</v>
      </c>
      <c r="H857" s="214" t="str">
        <f>IFERROR(__xludf.DUMMYFUNCTION("""COMPUTED_VALUE"""),"OUT")</f>
        <v>OUT</v>
      </c>
      <c r="I857" s="214" t="str">
        <f>IFERROR(__xludf.DUMMYFUNCTION("""COMPUTED_VALUE"""),"NORMAL")</f>
        <v>NORMAL</v>
      </c>
      <c r="J857" s="211">
        <f>IFERROR(__xludf.DUMMYFUNCTION("""COMPUTED_VALUE"""),10.0)</f>
        <v>10</v>
      </c>
      <c r="K857" s="210" t="str">
        <f>IFERROR(__xludf.DUMMYFUNCTION("""COMPUTED_VALUE"""),"1187 1121 1114 11103 11125 1151 1107 1155 1137 1112")</f>
        <v>1187 1121 1114 11103 11125 1151 1107 1155 1137 1112</v>
      </c>
      <c r="L857" s="211">
        <f>IFERROR(__xludf.DUMMYFUNCTION("""COMPUTED_VALUE"""),47297.2973)</f>
        <v>47297.2973</v>
      </c>
      <c r="M857" s="211"/>
      <c r="N857" s="211"/>
      <c r="O857" s="211"/>
      <c r="Q857" s="210" t="str">
        <f>IFERROR(__xludf.DUMMYFUNCTION("""COMPUTED_VALUE"""),"7a0f7e45")</f>
        <v>7a0f7e45</v>
      </c>
      <c r="R857" s="210" t="str">
        <f>IFERROR(__xludf.DUMMYFUNCTION("""COMPUTED_VALUE"""),"7a0f7e45")</f>
        <v>7a0f7e45</v>
      </c>
      <c r="S857" s="211" t="str">
        <f>IFERROR(__xludf.DUMMYFUNCTION("""COMPUTED_VALUE"""),"4bef3bbf")</f>
        <v>4bef3bbf</v>
      </c>
      <c r="T857" s="211" t="str">
        <f>IFERROR(__xludf.DUMMYFUNCTION("""COMPUTED_VALUE"""),"PT Dingsheng Metal Indonesia (Ngoro)")</f>
        <v>PT Dingsheng Metal Indonesia (Ngoro)</v>
      </c>
      <c r="U857" s="215">
        <f>IFERROR(__xludf.DUMMYFUNCTION("""COMPUTED_VALUE"""),45811.61041666666)</f>
        <v>45811.61042</v>
      </c>
      <c r="V857" s="211" t="str">
        <f>IFERROR(__xludf.DUMMYFUNCTION("""COMPUTED_VALUE"""),"Kri Kilan, Watesnegoro, Kec. Ngoro, Kabupaten Mojokerto, Jawa Timur 61385")</f>
        <v>Kri Kilan, Watesnegoro, Kec. Ngoro, Kabupaten Mojokerto, Jawa Timur 61385</v>
      </c>
      <c r="W857" s="211" t="str">
        <f>IFERROR(__xludf.DUMMYFUNCTION("""COMPUTED_VALUE"""),"IN")</f>
        <v>IN</v>
      </c>
      <c r="X857" s="211"/>
      <c r="Z857" s="211" t="str">
        <f>IFERROR(__xludf.DUMMYFUNCTION("""COMPUTED_VALUE"""),"0925101235")</f>
        <v>0925101235</v>
      </c>
      <c r="AC857" s="211"/>
      <c r="AD857" s="211"/>
      <c r="AE857" s="211"/>
      <c r="AF857" s="211"/>
      <c r="AG857" s="211"/>
      <c r="AH857" s="211"/>
      <c r="AI857" s="211"/>
      <c r="AJ857" s="211"/>
      <c r="AL857" s="211"/>
      <c r="AM857" s="211"/>
      <c r="AN857" s="211"/>
      <c r="AO857" s="211"/>
      <c r="AP857" s="215"/>
      <c r="AQ857" s="218"/>
      <c r="AR857" s="211"/>
      <c r="AS857" s="211"/>
      <c r="AT857" s="211"/>
      <c r="AU857" s="211"/>
      <c r="AV857" s="211"/>
      <c r="AW857" s="211"/>
      <c r="AX857" s="211"/>
      <c r="AY857" s="211"/>
      <c r="AZ857" s="211"/>
      <c r="BB857" s="211"/>
      <c r="BC857" s="211"/>
      <c r="BD857" s="211"/>
      <c r="BE857" s="211"/>
      <c r="BF857" s="211"/>
      <c r="BG857" s="211"/>
      <c r="BH857" s="211"/>
      <c r="BI857" s="211"/>
    </row>
    <row r="858">
      <c r="A858" s="210" t="str">
        <f>IFERROR(__xludf.DUMMYFUNCTION("""COMPUTED_VALUE"""),"ae2fce97")</f>
        <v>ae2fce97</v>
      </c>
      <c r="B858" s="210" t="str">
        <f>IFERROR(__xludf.DUMMYFUNCTION("""COMPUTED_VALUE"""),"ae2fce97")</f>
        <v>ae2fce97</v>
      </c>
      <c r="C858" s="213">
        <f>IFERROR(__xludf.DUMMYFUNCTION("""COMPUTED_VALUE"""),45738.57430555556)</f>
        <v>45738.57431</v>
      </c>
      <c r="D858" s="211" t="str">
        <f>IFERROR(__xludf.DUMMYFUNCTION("""COMPUTED_VALUE"""),"785e0e07")</f>
        <v>785e0e07</v>
      </c>
      <c r="E858" s="211" t="str">
        <f>IFERROR(__xludf.DUMMYFUNCTION("""COMPUTED_VALUE"""),"Bpk. Sukirno (Bejo)")</f>
        <v>Bpk. Sukirno (Bejo)</v>
      </c>
      <c r="F858" s="211" t="str">
        <f>IFERROR(__xludf.DUMMYFUNCTION("""COMPUTED_VALUE"""),"8bdbe149")</f>
        <v>8bdbe149</v>
      </c>
      <c r="G858" s="211" t="str">
        <f>IFERROR(__xludf.DUMMYFUNCTION("""COMPUTED_VALUE"""),"Oksigen 6m3")</f>
        <v>Oksigen 6m3</v>
      </c>
      <c r="H858" s="214" t="str">
        <f>IFERROR(__xludf.DUMMYFUNCTION("""COMPUTED_VALUE"""),"IN")</f>
        <v>IN</v>
      </c>
      <c r="I858" s="214" t="str">
        <f>IFERROR(__xludf.DUMMYFUNCTION("""COMPUTED_VALUE"""),"EMPTY")</f>
        <v>EMPTY</v>
      </c>
      <c r="J858" s="211">
        <f>IFERROR(__xludf.DUMMYFUNCTION("""COMPUTED_VALUE"""),7.0)</f>
        <v>7</v>
      </c>
      <c r="K858" s="210" t="str">
        <f>IFERROR(__xludf.DUMMYFUNCTION("""COMPUTED_VALUE"""),"11151 76 11169 11157 11143 1105 11229")</f>
        <v>11151 76 11169 11157 11143 1105 11229</v>
      </c>
      <c r="L858" s="211">
        <f>IFERROR(__xludf.DUMMYFUNCTION("""COMPUTED_VALUE"""),0.0)</f>
        <v>0</v>
      </c>
      <c r="M858" s="211"/>
      <c r="N858" s="211"/>
      <c r="O858" s="211"/>
      <c r="Q858" s="210" t="str">
        <f>IFERROR(__xludf.DUMMYFUNCTION("""COMPUTED_VALUE"""),"75324e8d")</f>
        <v>75324e8d</v>
      </c>
      <c r="R858" s="210" t="str">
        <f>IFERROR(__xludf.DUMMYFUNCTION("""COMPUTED_VALUE"""),"75324e8d")</f>
        <v>75324e8d</v>
      </c>
      <c r="S858" s="211" t="str">
        <f>IFERROR(__xludf.DUMMYFUNCTION("""COMPUTED_VALUE"""),"609d620d")</f>
        <v>609d620d</v>
      </c>
      <c r="T858" s="211" t="str">
        <f>IFERROR(__xludf.DUMMYFUNCTION("""COMPUTED_VALUE"""),"PT Pandu Mulia Bersama")</f>
        <v>PT Pandu Mulia Bersama</v>
      </c>
      <c r="U858" s="215">
        <f>IFERROR(__xludf.DUMMYFUNCTION("""COMPUTED_VALUE"""),45811.61111111111)</f>
        <v>45811.61111</v>
      </c>
      <c r="V858" s="211" t="str">
        <f>IFERROR(__xludf.DUMMYFUNCTION("""COMPUTED_VALUE"""),"Jl. Songgat RT 12 RW 05, Kec. Tarik, Sidoarjo, Jawa Timur")</f>
        <v>Jl. Songgat RT 12 RW 05, Kec. Tarik, Sidoarjo, Jawa Timur</v>
      </c>
      <c r="W858" s="211" t="str">
        <f>IFERROR(__xludf.DUMMYFUNCTION("""COMPUTED_VALUE"""),"IN")</f>
        <v>IN</v>
      </c>
      <c r="X858" s="211"/>
      <c r="Z858" s="211" t="str">
        <f>IFERROR(__xludf.DUMMYFUNCTION("""COMPUTED_VALUE"""),"0925271234")</f>
        <v>0925271234</v>
      </c>
      <c r="AC858" s="211"/>
      <c r="AD858" s="211"/>
      <c r="AE858" s="211"/>
      <c r="AF858" s="211"/>
      <c r="AG858" s="211"/>
      <c r="AH858" s="211"/>
      <c r="AI858" s="211"/>
      <c r="AJ858" s="211"/>
      <c r="AL858" s="211"/>
      <c r="AM858" s="211"/>
      <c r="AN858" s="211"/>
      <c r="AO858" s="211"/>
      <c r="AP858" s="215"/>
      <c r="AQ858" s="218"/>
      <c r="AR858" s="211"/>
      <c r="AS858" s="211"/>
      <c r="AT858" s="211"/>
      <c r="AU858" s="211"/>
      <c r="AV858" s="211"/>
      <c r="AW858" s="211"/>
      <c r="AX858" s="211"/>
      <c r="AY858" s="211"/>
      <c r="AZ858" s="211"/>
      <c r="BB858" s="211"/>
      <c r="BC858" s="211"/>
      <c r="BD858" s="211"/>
      <c r="BE858" s="211"/>
      <c r="BF858" s="211"/>
      <c r="BG858" s="211"/>
      <c r="BH858" s="211"/>
      <c r="BI858" s="211"/>
    </row>
    <row r="859">
      <c r="A859" s="210" t="str">
        <f>IFERROR(__xludf.DUMMYFUNCTION("""COMPUTED_VALUE"""),"ae2fce97")</f>
        <v>ae2fce97</v>
      </c>
      <c r="B859" s="210" t="str">
        <f>IFERROR(__xludf.DUMMYFUNCTION("""COMPUTED_VALUE"""),"ae2fce97")</f>
        <v>ae2fce97</v>
      </c>
      <c r="C859" s="213">
        <f>IFERROR(__xludf.DUMMYFUNCTION("""COMPUTED_VALUE"""),45738.57430555556)</f>
        <v>45738.57431</v>
      </c>
      <c r="D859" s="211" t="str">
        <f>IFERROR(__xludf.DUMMYFUNCTION("""COMPUTED_VALUE"""),"785e0e07")</f>
        <v>785e0e07</v>
      </c>
      <c r="E859" s="211" t="str">
        <f>IFERROR(__xludf.DUMMYFUNCTION("""COMPUTED_VALUE"""),"Bpk. Sukirno (Bejo)")</f>
        <v>Bpk. Sukirno (Bejo)</v>
      </c>
      <c r="F859" s="211" t="str">
        <f>IFERROR(__xludf.DUMMYFUNCTION("""COMPUTED_VALUE"""),"be525f3b")</f>
        <v>be525f3b</v>
      </c>
      <c r="G859" s="211" t="str">
        <f>IFERROR(__xludf.DUMMYFUNCTION("""COMPUTED_VALUE"""),"LPG 12kg")</f>
        <v>LPG 12kg</v>
      </c>
      <c r="H859" s="214" t="str">
        <f>IFERROR(__xludf.DUMMYFUNCTION("""COMPUTED_VALUE"""),"IN")</f>
        <v>IN</v>
      </c>
      <c r="I859" s="214" t="str">
        <f>IFERROR(__xludf.DUMMYFUNCTION("""COMPUTED_VALUE"""),"EMPTY")</f>
        <v>EMPTY</v>
      </c>
      <c r="J859" s="211">
        <f>IFERROR(__xludf.DUMMYFUNCTION("""COMPUTED_VALUE"""),1.0)</f>
        <v>1</v>
      </c>
      <c r="K859" s="211"/>
      <c r="L859" s="211">
        <f>IFERROR(__xludf.DUMMYFUNCTION("""COMPUTED_VALUE"""),0.0)</f>
        <v>0</v>
      </c>
      <c r="M859" s="211"/>
      <c r="N859" s="211"/>
      <c r="O859" s="211"/>
      <c r="Q859" s="210" t="str">
        <f>IFERROR(__xludf.DUMMYFUNCTION("""COMPUTED_VALUE"""),"06250492")</f>
        <v>06250492</v>
      </c>
      <c r="R859" s="210" t="str">
        <f>IFERROR(__xludf.DUMMYFUNCTION("""COMPUTED_VALUE"""),"06250492")</f>
        <v>06250492</v>
      </c>
      <c r="S859" s="211" t="str">
        <f>IFERROR(__xludf.DUMMYFUNCTION("""COMPUTED_VALUE"""),"e86baf3b")</f>
        <v>e86baf3b</v>
      </c>
      <c r="T859" s="211" t="str">
        <f>IFERROR(__xludf.DUMMYFUNCTION("""COMPUTED_VALUE"""),"PT GEMILANG CIPTA WAWASAN")</f>
        <v>PT GEMILANG CIPTA WAWASAN</v>
      </c>
      <c r="U859" s="215">
        <f>IFERROR(__xludf.DUMMYFUNCTION("""COMPUTED_VALUE"""),45812.36458333333)</f>
        <v>45812.36458</v>
      </c>
      <c r="V859" s="211" t="str">
        <f>IFERROR(__xludf.DUMMYFUNCTION("""COMPUTED_VALUE"""),"JL TEBET RAYA, 2A, TEBET BARAT, TEBET, KOTA ADM, JAKARTA SELATAN, DKI JAKARTA")</f>
        <v>JL TEBET RAYA, 2A, TEBET BARAT, TEBET, KOTA ADM, JAKARTA SELATAN, DKI JAKARTA</v>
      </c>
      <c r="W859" s="211" t="str">
        <f>IFERROR(__xludf.DUMMYFUNCTION("""COMPUTED_VALUE"""),"OUT")</f>
        <v>OUT</v>
      </c>
      <c r="X859" s="211"/>
      <c r="Z859" s="211" t="str">
        <f>IFERROR(__xludf.DUMMYFUNCTION("""COMPUTED_VALUE"""),"092521228")</f>
        <v>092521228</v>
      </c>
      <c r="AC859" s="211"/>
      <c r="AD859" s="211"/>
      <c r="AE859" s="211"/>
      <c r="AF859" s="211"/>
      <c r="AG859" s="211"/>
      <c r="AH859" s="211"/>
      <c r="AI859" s="211"/>
      <c r="AJ859" s="211"/>
      <c r="AL859" s="211"/>
      <c r="AM859" s="211"/>
      <c r="AN859" s="211"/>
      <c r="AO859" s="211"/>
      <c r="AP859" s="215"/>
      <c r="AQ859" s="218"/>
      <c r="AR859" s="211"/>
      <c r="AS859" s="211"/>
      <c r="AT859" s="211"/>
      <c r="AU859" s="211"/>
      <c r="AV859" s="211"/>
      <c r="AW859" s="211"/>
      <c r="AX859" s="211"/>
      <c r="AY859" s="211"/>
      <c r="AZ859" s="211"/>
      <c r="BB859" s="211"/>
      <c r="BC859" s="211"/>
      <c r="BD859" s="211"/>
      <c r="BE859" s="211"/>
      <c r="BF859" s="211"/>
      <c r="BG859" s="211"/>
      <c r="BH859" s="211"/>
      <c r="BI859" s="211"/>
    </row>
    <row r="860">
      <c r="A860" s="210" t="str">
        <f>IFERROR(__xludf.DUMMYFUNCTION("""COMPUTED_VALUE"""),"03250342")</f>
        <v>03250342</v>
      </c>
      <c r="B860" s="210" t="str">
        <f>IFERROR(__xludf.DUMMYFUNCTION("""COMPUTED_VALUE"""),"03250342")</f>
        <v>03250342</v>
      </c>
      <c r="C860" s="213">
        <f>IFERROR(__xludf.DUMMYFUNCTION("""COMPUTED_VALUE"""),45740.37777777778)</f>
        <v>45740.37778</v>
      </c>
      <c r="D860" s="211" t="str">
        <f>IFERROR(__xludf.DUMMYFUNCTION("""COMPUTED_VALUE"""),"785e0e07")</f>
        <v>785e0e07</v>
      </c>
      <c r="E860" s="211" t="str">
        <f>IFERROR(__xludf.DUMMYFUNCTION("""COMPUTED_VALUE"""),"Bpk. Sukirno (Bejo)")</f>
        <v>Bpk. Sukirno (Bejo)</v>
      </c>
      <c r="F860" s="211" t="str">
        <f>IFERROR(__xludf.DUMMYFUNCTION("""COMPUTED_VALUE"""),"8bdbe149")</f>
        <v>8bdbe149</v>
      </c>
      <c r="G860" s="211" t="str">
        <f>IFERROR(__xludf.DUMMYFUNCTION("""COMPUTED_VALUE"""),"Oksigen 6m3")</f>
        <v>Oksigen 6m3</v>
      </c>
      <c r="H860" s="214" t="str">
        <f>IFERROR(__xludf.DUMMYFUNCTION("""COMPUTED_VALUE"""),"OUT")</f>
        <v>OUT</v>
      </c>
      <c r="I860" s="214" t="str">
        <f>IFERROR(__xludf.DUMMYFUNCTION("""COMPUTED_VALUE"""),"NORMAL")</f>
        <v>NORMAL</v>
      </c>
      <c r="J860" s="211">
        <f>IFERROR(__xludf.DUMMYFUNCTION("""COMPUTED_VALUE"""),15.0)</f>
        <v>15</v>
      </c>
      <c r="K860" s="210" t="str">
        <f>IFERROR(__xludf.DUMMYFUNCTION("""COMPUTED_VALUE"""),"11157 11169 11155 11143 11137 11174 11154 11151 11161 11166 11135 11173 11142 11171 76")</f>
        <v>11157 11169 11155 11143 11137 11174 11154 11151 11161 11166 11135 11173 11142 11171 76</v>
      </c>
      <c r="L860" s="211">
        <f>IFERROR(__xludf.DUMMYFUNCTION("""COMPUTED_VALUE"""),60000.0)</f>
        <v>60000</v>
      </c>
      <c r="M860" s="211"/>
      <c r="N860" s="211"/>
      <c r="O860" s="211"/>
      <c r="Q860" s="210" t="str">
        <f>IFERROR(__xludf.DUMMYFUNCTION("""COMPUTED_VALUE"""),"06250493")</f>
        <v>06250493</v>
      </c>
      <c r="R860" s="210" t="str">
        <f>IFERROR(__xludf.DUMMYFUNCTION("""COMPUTED_VALUE"""),"06250493")</f>
        <v>06250493</v>
      </c>
      <c r="S860" s="211" t="str">
        <f>IFERROR(__xludf.DUMMYFUNCTION("""COMPUTED_VALUE"""),"ce83e171")</f>
        <v>ce83e171</v>
      </c>
      <c r="T860" s="211" t="str">
        <f>IFERROR(__xludf.DUMMYFUNCTION("""COMPUTED_VALUE"""),"Bpk. Sulaiman")</f>
        <v>Bpk. Sulaiman</v>
      </c>
      <c r="U860" s="215">
        <f>IFERROR(__xludf.DUMMYFUNCTION("""COMPUTED_VALUE"""),45812.322222222225)</f>
        <v>45812.32222</v>
      </c>
      <c r="V860" s="211" t="str">
        <f>IFERROR(__xludf.DUMMYFUNCTION("""COMPUTED_VALUE"""),"Jl. Raya Kramat Temenggung No.43, Kramat, Kramat Temenggung, Kec. Tarik, Kabupaten Sidoarjo, Jawa Timur 61265")</f>
        <v>Jl. Raya Kramat Temenggung No.43, Kramat, Kramat Temenggung, Kec. Tarik, Kabupaten Sidoarjo, Jawa Timur 61265</v>
      </c>
      <c r="W860" s="211" t="str">
        <f>IFERROR(__xludf.DUMMYFUNCTION("""COMPUTED_VALUE"""),"OUT")</f>
        <v>OUT</v>
      </c>
      <c r="X860" s="211"/>
      <c r="Z860" s="211" t="str">
        <f>IFERROR(__xludf.DUMMYFUNCTION("""COMPUTED_VALUE"""),"092521227")</f>
        <v>092521227</v>
      </c>
      <c r="AC860" s="211"/>
      <c r="AD860" s="211"/>
      <c r="AE860" s="211"/>
      <c r="AF860" s="211"/>
      <c r="AG860" s="211"/>
      <c r="AH860" s="211"/>
      <c r="AI860" s="211"/>
      <c r="AJ860" s="211"/>
      <c r="AL860" s="211"/>
      <c r="AM860" s="211"/>
      <c r="AN860" s="211"/>
      <c r="AO860" s="211"/>
      <c r="AP860" s="215"/>
      <c r="AQ860" s="218"/>
      <c r="AR860" s="211"/>
      <c r="AS860" s="211"/>
      <c r="AT860" s="211"/>
      <c r="AU860" s="211"/>
      <c r="AV860" s="211"/>
      <c r="AW860" s="211"/>
      <c r="AX860" s="211"/>
      <c r="AY860" s="211"/>
      <c r="AZ860" s="211"/>
      <c r="BB860" s="211"/>
      <c r="BC860" s="211"/>
      <c r="BD860" s="211"/>
      <c r="BE860" s="211"/>
      <c r="BF860" s="211"/>
      <c r="BG860" s="211"/>
      <c r="BH860" s="211"/>
      <c r="BI860" s="211"/>
    </row>
    <row r="861">
      <c r="A861" s="210" t="str">
        <f>IFERROR(__xludf.DUMMYFUNCTION("""COMPUTED_VALUE"""),"03250342")</f>
        <v>03250342</v>
      </c>
      <c r="B861" s="210" t="str">
        <f>IFERROR(__xludf.DUMMYFUNCTION("""COMPUTED_VALUE"""),"03250342")</f>
        <v>03250342</v>
      </c>
      <c r="C861" s="213">
        <f>IFERROR(__xludf.DUMMYFUNCTION("""COMPUTED_VALUE"""),45740.37777777778)</f>
        <v>45740.37778</v>
      </c>
      <c r="D861" s="211" t="str">
        <f>IFERROR(__xludf.DUMMYFUNCTION("""COMPUTED_VALUE"""),"785e0e07")</f>
        <v>785e0e07</v>
      </c>
      <c r="E861" s="211" t="str">
        <f>IFERROR(__xludf.DUMMYFUNCTION("""COMPUTED_VALUE"""),"Bpk. Sukirno (Bejo)")</f>
        <v>Bpk. Sukirno (Bejo)</v>
      </c>
      <c r="F861" s="211" t="str">
        <f>IFERROR(__xludf.DUMMYFUNCTION("""COMPUTED_VALUE"""),"be525f3b")</f>
        <v>be525f3b</v>
      </c>
      <c r="G861" s="211" t="str">
        <f>IFERROR(__xludf.DUMMYFUNCTION("""COMPUTED_VALUE"""),"LPG 12kg")</f>
        <v>LPG 12kg</v>
      </c>
      <c r="H861" s="214" t="str">
        <f>IFERROR(__xludf.DUMMYFUNCTION("""COMPUTED_VALUE"""),"OUT")</f>
        <v>OUT</v>
      </c>
      <c r="I861" s="214" t="str">
        <f>IFERROR(__xludf.DUMMYFUNCTION("""COMPUTED_VALUE"""),"NORMAL")</f>
        <v>NORMAL</v>
      </c>
      <c r="J861" s="211">
        <f>IFERROR(__xludf.DUMMYFUNCTION("""COMPUTED_VALUE"""),1.0)</f>
        <v>1</v>
      </c>
      <c r="K861" s="211"/>
      <c r="L861" s="211">
        <f>IFERROR(__xludf.DUMMYFUNCTION("""COMPUTED_VALUE"""),210000.0)</f>
        <v>210000</v>
      </c>
      <c r="M861" s="211"/>
      <c r="N861" s="211"/>
      <c r="O861" s="211"/>
      <c r="Q861" s="210" t="str">
        <f>IFERROR(__xludf.DUMMYFUNCTION("""COMPUTED_VALUE"""),"06250494")</f>
        <v>06250494</v>
      </c>
      <c r="R861" s="210" t="str">
        <f>IFERROR(__xludf.DUMMYFUNCTION("""COMPUTED_VALUE"""),"06250494")</f>
        <v>06250494</v>
      </c>
      <c r="S861" s="211" t="str">
        <f>IFERROR(__xludf.DUMMYFUNCTION("""COMPUTED_VALUE"""),"b2b5f2c5")</f>
        <v>b2b5f2c5</v>
      </c>
      <c r="T861" s="211" t="str">
        <f>IFERROR(__xludf.DUMMYFUNCTION("""COMPUTED_VALUE"""),"Bengkel Las Bpk. Ari")</f>
        <v>Bengkel Las Bpk. Ari</v>
      </c>
      <c r="U861" s="215">
        <f>IFERROR(__xludf.DUMMYFUNCTION("""COMPUTED_VALUE"""),45812.37847222222)</f>
        <v>45812.37847</v>
      </c>
      <c r="V861" s="211" t="str">
        <f>IFERROR(__xludf.DUMMYFUNCTION("""COMPUTED_VALUE"""),"Sumber Kembar, Wonodadi, Kec. Kutorejo, Kabupaten Mojokerto, Jawa Timur")</f>
        <v>Sumber Kembar, Wonodadi, Kec. Kutorejo, Kabupaten Mojokerto, Jawa Timur</v>
      </c>
      <c r="W861" s="211" t="str">
        <f>IFERROR(__xludf.DUMMYFUNCTION("""COMPUTED_VALUE"""),"OUT")</f>
        <v>OUT</v>
      </c>
      <c r="X861" s="211"/>
      <c r="Z861" s="211" t="str">
        <f>IFERROR(__xludf.DUMMYFUNCTION("""COMPUTED_VALUE"""),"0925171220")</f>
        <v>0925171220</v>
      </c>
      <c r="AC861" s="211"/>
      <c r="AD861" s="211"/>
      <c r="AE861" s="211"/>
      <c r="AF861" s="211"/>
      <c r="AG861" s="211"/>
      <c r="AH861" s="211"/>
      <c r="AI861" s="211"/>
      <c r="AJ861" s="211"/>
      <c r="AL861" s="211"/>
      <c r="AM861" s="211"/>
      <c r="AN861" s="211"/>
      <c r="AO861" s="211"/>
      <c r="AP861" s="215"/>
      <c r="AQ861" s="218"/>
      <c r="AR861" s="211"/>
      <c r="AS861" s="211"/>
      <c r="AT861" s="211"/>
      <c r="AU861" s="211"/>
      <c r="AV861" s="211"/>
      <c r="AW861" s="211"/>
      <c r="AX861" s="211"/>
      <c r="AY861" s="211"/>
      <c r="AZ861" s="211"/>
      <c r="BB861" s="211"/>
      <c r="BC861" s="211"/>
      <c r="BD861" s="211"/>
      <c r="BE861" s="211"/>
      <c r="BF861" s="211"/>
      <c r="BG861" s="211"/>
      <c r="BH861" s="211"/>
      <c r="BI861" s="211"/>
    </row>
    <row r="862">
      <c r="A862" s="210" t="str">
        <f>IFERROR(__xludf.DUMMYFUNCTION("""COMPUTED_VALUE"""),"a0361dc0")</f>
        <v>a0361dc0</v>
      </c>
      <c r="B862" s="210" t="str">
        <f>IFERROR(__xludf.DUMMYFUNCTION("""COMPUTED_VALUE"""),"a0361dc0")</f>
        <v>a0361dc0</v>
      </c>
      <c r="C862" s="213">
        <f>IFERROR(__xludf.DUMMYFUNCTION("""COMPUTED_VALUE"""),45740.49444444444)</f>
        <v>45740.49444</v>
      </c>
      <c r="D862" s="211" t="str">
        <f>IFERROR(__xludf.DUMMYFUNCTION("""COMPUTED_VALUE"""),"5f23ba17")</f>
        <v>5f23ba17</v>
      </c>
      <c r="E862" s="211" t="str">
        <f>IFERROR(__xludf.DUMMYFUNCTION("""COMPUTED_VALUE"""),"Bpk. Joko (Gresik)")</f>
        <v>Bpk. Joko (Gresik)</v>
      </c>
      <c r="F862" s="211" t="str">
        <f>IFERROR(__xludf.DUMMYFUNCTION("""COMPUTED_VALUE"""),"f6aab7a9")</f>
        <v>f6aab7a9</v>
      </c>
      <c r="G862" s="211" t="str">
        <f>IFERROR(__xludf.DUMMYFUNCTION("""COMPUTED_VALUE"""),"Oksigen 6m3 MR")</f>
        <v>Oksigen 6m3 MR</v>
      </c>
      <c r="H862" s="214" t="str">
        <f>IFERROR(__xludf.DUMMYFUNCTION("""COMPUTED_VALUE"""),"IN")</f>
        <v>IN</v>
      </c>
      <c r="I862" s="214" t="str">
        <f>IFERROR(__xludf.DUMMYFUNCTION("""COMPUTED_VALUE"""),"EMPTY")</f>
        <v>EMPTY</v>
      </c>
      <c r="J862" s="211">
        <f>IFERROR(__xludf.DUMMYFUNCTION("""COMPUTED_VALUE"""),10.0)</f>
        <v>10</v>
      </c>
      <c r="K862" s="211"/>
      <c r="L862" s="211">
        <f>IFERROR(__xludf.DUMMYFUNCTION("""COMPUTED_VALUE"""),0.0)</f>
        <v>0</v>
      </c>
      <c r="M862" s="211"/>
      <c r="N862" s="211"/>
      <c r="O862" s="211"/>
      <c r="Q862" s="210" t="str">
        <f>IFERROR(__xludf.DUMMYFUNCTION("""COMPUTED_VALUE"""),"fcc30418")</f>
        <v>fcc30418</v>
      </c>
      <c r="R862" s="210" t="str">
        <f>IFERROR(__xludf.DUMMYFUNCTION("""COMPUTED_VALUE"""),"fcc30418")</f>
        <v>fcc30418</v>
      </c>
      <c r="S862" s="211" t="str">
        <f>IFERROR(__xludf.DUMMYFUNCTION("""COMPUTED_VALUE"""),"e86baf3b")</f>
        <v>e86baf3b</v>
      </c>
      <c r="T862" s="211" t="str">
        <f>IFERROR(__xludf.DUMMYFUNCTION("""COMPUTED_VALUE"""),"PT GEMILANG CIPTA WAWASAN")</f>
        <v>PT GEMILANG CIPTA WAWASAN</v>
      </c>
      <c r="U862" s="215">
        <f>IFERROR(__xludf.DUMMYFUNCTION("""COMPUTED_VALUE"""),45812.42847222222)</f>
        <v>45812.42847</v>
      </c>
      <c r="V862" s="211" t="str">
        <f>IFERROR(__xludf.DUMMYFUNCTION("""COMPUTED_VALUE"""),"JL TEBET RAYA, 2A, TEBET BARAT, TEBET, KOTA ADM, JAKARTA SELATAN, DKI JAKARTA")</f>
        <v>JL TEBET RAYA, 2A, TEBET BARAT, TEBET, KOTA ADM, JAKARTA SELATAN, DKI JAKARTA</v>
      </c>
      <c r="W862" s="211" t="str">
        <f>IFERROR(__xludf.DUMMYFUNCTION("""COMPUTED_VALUE"""),"IN")</f>
        <v>IN</v>
      </c>
      <c r="X862" s="211"/>
      <c r="Z862" s="211" t="str">
        <f>IFERROR(__xludf.DUMMYFUNCTION("""COMPUTED_VALUE"""),"0925101219")</f>
        <v>0925101219</v>
      </c>
      <c r="AC862" s="211"/>
      <c r="AD862" s="211"/>
      <c r="AE862" s="211"/>
      <c r="AF862" s="211"/>
      <c r="AG862" s="211"/>
      <c r="AH862" s="211"/>
      <c r="AI862" s="211"/>
      <c r="AJ862" s="211"/>
      <c r="AL862" s="211"/>
      <c r="AM862" s="211"/>
      <c r="AN862" s="211"/>
      <c r="AO862" s="211"/>
      <c r="AP862" s="215"/>
      <c r="AQ862" s="218"/>
      <c r="AR862" s="211"/>
      <c r="AS862" s="211"/>
      <c r="AT862" s="211"/>
      <c r="AU862" s="211"/>
      <c r="AV862" s="211"/>
      <c r="AW862" s="211"/>
      <c r="AX862" s="211"/>
      <c r="AY862" s="211"/>
      <c r="AZ862" s="211"/>
      <c r="BB862" s="211"/>
      <c r="BC862" s="211"/>
      <c r="BD862" s="211"/>
      <c r="BE862" s="211"/>
      <c r="BF862" s="211"/>
      <c r="BG862" s="211"/>
      <c r="BH862" s="211"/>
      <c r="BI862" s="211"/>
    </row>
    <row r="863">
      <c r="A863" s="210" t="str">
        <f>IFERROR(__xludf.DUMMYFUNCTION("""COMPUTED_VALUE"""),"61c6eb5f")</f>
        <v>61c6eb5f</v>
      </c>
      <c r="B863" s="210" t="str">
        <f>IFERROR(__xludf.DUMMYFUNCTION("""COMPUTED_VALUE"""),"61c6eb5f")</f>
        <v>61c6eb5f</v>
      </c>
      <c r="C863" s="213">
        <f>IFERROR(__xludf.DUMMYFUNCTION("""COMPUTED_VALUE"""),45740.49513888889)</f>
        <v>45740.49514</v>
      </c>
      <c r="D863" s="211" t="str">
        <f>IFERROR(__xludf.DUMMYFUNCTION("""COMPUTED_VALUE"""),"785e0e07")</f>
        <v>785e0e07</v>
      </c>
      <c r="E863" s="211" t="str">
        <f>IFERROR(__xludf.DUMMYFUNCTION("""COMPUTED_VALUE"""),"Bpk. Sukirno (Bejo)")</f>
        <v>Bpk. Sukirno (Bejo)</v>
      </c>
      <c r="F863" s="211" t="str">
        <f>IFERROR(__xludf.DUMMYFUNCTION("""COMPUTED_VALUE"""),"8bdbe149")</f>
        <v>8bdbe149</v>
      </c>
      <c r="G863" s="211" t="str">
        <f>IFERROR(__xludf.DUMMYFUNCTION("""COMPUTED_VALUE"""),"Oksigen 6m3")</f>
        <v>Oksigen 6m3</v>
      </c>
      <c r="H863" s="214" t="str">
        <f>IFERROR(__xludf.DUMMYFUNCTION("""COMPUTED_VALUE"""),"IN")</f>
        <v>IN</v>
      </c>
      <c r="I863" s="214" t="str">
        <f>IFERROR(__xludf.DUMMYFUNCTION("""COMPUTED_VALUE"""),"EMPTY")</f>
        <v>EMPTY</v>
      </c>
      <c r="J863" s="211">
        <f>IFERROR(__xludf.DUMMYFUNCTION("""COMPUTED_VALUE"""),4.0)</f>
        <v>4</v>
      </c>
      <c r="K863" s="210" t="str">
        <f>IFERROR(__xludf.DUMMYFUNCTION("""COMPUTED_VALUE"""),"11162 11212 11167 11152")</f>
        <v>11162 11212 11167 11152</v>
      </c>
      <c r="L863" s="211">
        <f>IFERROR(__xludf.DUMMYFUNCTION("""COMPUTED_VALUE"""),0.0)</f>
        <v>0</v>
      </c>
      <c r="M863" s="211"/>
      <c r="N863" s="211"/>
      <c r="O863" s="211"/>
      <c r="Q863" s="210" t="str">
        <f>IFERROR(__xludf.DUMMYFUNCTION("""COMPUTED_VALUE"""),"d8417487")</f>
        <v>d8417487</v>
      </c>
      <c r="R863" s="210" t="str">
        <f>IFERROR(__xludf.DUMMYFUNCTION("""COMPUTED_VALUE"""),"d8417487")</f>
        <v>d8417487</v>
      </c>
      <c r="S863" s="211" t="str">
        <f>IFERROR(__xludf.DUMMYFUNCTION("""COMPUTED_VALUE"""),"1bf27092")</f>
        <v>1bf27092</v>
      </c>
      <c r="T863" s="211" t="str">
        <f>IFERROR(__xludf.DUMMYFUNCTION("""COMPUTED_VALUE"""),"Bpk. Ari Budiarto")</f>
        <v>Bpk. Ari Budiarto</v>
      </c>
      <c r="U863" s="215">
        <f>IFERROR(__xludf.DUMMYFUNCTION("""COMPUTED_VALUE"""),45812.429861111115)</f>
        <v>45812.42986</v>
      </c>
      <c r="V863" s="211" t="str">
        <f>IFERROR(__xludf.DUMMYFUNCTION("""COMPUTED_VALUE"""),"Jl. Raya Balongbendo 232, Bakalan, Bakalan Wringinpitu, Kec. BalongBendo, Kabupaten Sidoarjo, Jawa Timur 61263")</f>
        <v>Jl. Raya Balongbendo 232, Bakalan, Bakalan Wringinpitu, Kec. BalongBendo, Kabupaten Sidoarjo, Jawa Timur 61263</v>
      </c>
      <c r="W863" s="211" t="str">
        <f>IFERROR(__xludf.DUMMYFUNCTION("""COMPUTED_VALUE"""),"IN")</f>
        <v>IN</v>
      </c>
      <c r="X863" s="211"/>
      <c r="Z863" s="211" t="str">
        <f>IFERROR(__xludf.DUMMYFUNCTION("""COMPUTED_VALUE"""),"0925191214")</f>
        <v>0925191214</v>
      </c>
      <c r="AC863" s="211"/>
      <c r="AD863" s="211"/>
      <c r="AE863" s="211"/>
      <c r="AF863" s="211"/>
      <c r="AG863" s="211"/>
      <c r="AH863" s="211"/>
      <c r="AI863" s="211"/>
      <c r="AJ863" s="211"/>
      <c r="AL863" s="211"/>
      <c r="AM863" s="211"/>
      <c r="AN863" s="211"/>
      <c r="AO863" s="211"/>
      <c r="AP863" s="215"/>
      <c r="AQ863" s="218"/>
      <c r="AR863" s="211"/>
      <c r="AS863" s="211"/>
      <c r="AT863" s="211"/>
      <c r="AU863" s="211"/>
      <c r="AV863" s="211"/>
      <c r="AW863" s="211"/>
      <c r="AX863" s="211"/>
      <c r="AY863" s="211"/>
      <c r="AZ863" s="211"/>
      <c r="BB863" s="211"/>
      <c r="BC863" s="211"/>
      <c r="BD863" s="211"/>
      <c r="BE863" s="211"/>
      <c r="BF863" s="211"/>
      <c r="BG863" s="211"/>
      <c r="BH863" s="211"/>
      <c r="BI863" s="211"/>
    </row>
    <row r="864">
      <c r="A864" s="210" t="str">
        <f>IFERROR(__xludf.DUMMYFUNCTION("""COMPUTED_VALUE"""),"29d571d9")</f>
        <v>29d571d9</v>
      </c>
      <c r="B864" s="210" t="str">
        <f>IFERROR(__xludf.DUMMYFUNCTION("""COMPUTED_VALUE"""),"29d571d9")</f>
        <v>29d571d9</v>
      </c>
      <c r="C864" s="213">
        <f>IFERROR(__xludf.DUMMYFUNCTION("""COMPUTED_VALUE"""),45741.65069444444)</f>
        <v>45741.65069</v>
      </c>
      <c r="D864" s="211" t="str">
        <f>IFERROR(__xludf.DUMMYFUNCTION("""COMPUTED_VALUE"""),"e86baf3b")</f>
        <v>e86baf3b</v>
      </c>
      <c r="E864" s="211" t="str">
        <f>IFERROR(__xludf.DUMMYFUNCTION("""COMPUTED_VALUE"""),"PT GEMILANG CIPTA WAWASAN")</f>
        <v>PT GEMILANG CIPTA WAWASAN</v>
      </c>
      <c r="F864" s="211" t="str">
        <f>IFERROR(__xludf.DUMMYFUNCTION("""COMPUTED_VALUE"""),"8bdbe149")</f>
        <v>8bdbe149</v>
      </c>
      <c r="G864" s="211" t="str">
        <f>IFERROR(__xludf.DUMMYFUNCTION("""COMPUTED_VALUE"""),"Oksigen 6m3")</f>
        <v>Oksigen 6m3</v>
      </c>
      <c r="H864" s="214" t="str">
        <f>IFERROR(__xludf.DUMMYFUNCTION("""COMPUTED_VALUE"""),"IN")</f>
        <v>IN</v>
      </c>
      <c r="I864" s="214" t="str">
        <f>IFERROR(__xludf.DUMMYFUNCTION("""COMPUTED_VALUE"""),"EMPTY")</f>
        <v>EMPTY</v>
      </c>
      <c r="J864" s="211">
        <f>IFERROR(__xludf.DUMMYFUNCTION("""COMPUTED_VALUE"""),14.0)</f>
        <v>14</v>
      </c>
      <c r="K864" s="210" t="str">
        <f>IFERROR(__xludf.DUMMYFUNCTION("""COMPUTED_VALUE"""),"11138 11163 11164 11177 11136 11159 11127 11180 11178 11158 11150 11139 1199 11206")</f>
        <v>11138 11163 11164 11177 11136 11159 11127 11180 11178 11158 11150 11139 1199 11206</v>
      </c>
      <c r="L864" s="211">
        <f>IFERROR(__xludf.DUMMYFUNCTION("""COMPUTED_VALUE"""),0.0)</f>
        <v>0</v>
      </c>
      <c r="M864" s="211"/>
      <c r="N864" s="211"/>
      <c r="O864" s="211"/>
      <c r="Q864" s="210" t="str">
        <f>IFERROR(__xludf.DUMMYFUNCTION("""COMPUTED_VALUE"""),"8c0627b2")</f>
        <v>8c0627b2</v>
      </c>
      <c r="R864" s="210" t="str">
        <f>IFERROR(__xludf.DUMMYFUNCTION("""COMPUTED_VALUE"""),"8c0627b2")</f>
        <v>8c0627b2</v>
      </c>
      <c r="S864" s="211" t="str">
        <f>IFERROR(__xludf.DUMMYFUNCTION("""COMPUTED_VALUE"""),"785e0e07")</f>
        <v>785e0e07</v>
      </c>
      <c r="T864" s="211" t="str">
        <f>IFERROR(__xludf.DUMMYFUNCTION("""COMPUTED_VALUE"""),"Bpk. Sukirno (Bejo)")</f>
        <v>Bpk. Sukirno (Bejo)</v>
      </c>
      <c r="U864" s="215">
        <f>IFERROR(__xludf.DUMMYFUNCTION("""COMPUTED_VALUE"""),45812.429861111115)</f>
        <v>45812.42986</v>
      </c>
      <c r="V864" s="211" t="str">
        <f>IFERROR(__xludf.DUMMYFUNCTION("""COMPUTED_VALUE"""),"Krajan I, Wringinanom, Kec. Wringinanom, Kabupaten Gresik, Jawa Timur 61176")</f>
        <v>Krajan I, Wringinanom, Kec. Wringinanom, Kabupaten Gresik, Jawa Timur 61176</v>
      </c>
      <c r="W864" s="211" t="str">
        <f>IFERROR(__xludf.DUMMYFUNCTION("""COMPUTED_VALUE"""),"IN")</f>
        <v>IN</v>
      </c>
      <c r="X864" s="211"/>
      <c r="Z864" s="211" t="str">
        <f>IFERROR(__xludf.DUMMYFUNCTION("""COMPUTED_VALUE"""),"092561214")</f>
        <v>092561214</v>
      </c>
      <c r="AC864" s="211"/>
      <c r="AD864" s="211"/>
      <c r="AE864" s="211"/>
      <c r="AF864" s="211"/>
      <c r="AG864" s="211"/>
      <c r="AH864" s="211"/>
      <c r="AI864" s="211"/>
      <c r="AJ864" s="211"/>
      <c r="AL864" s="211"/>
      <c r="AM864" s="211"/>
      <c r="AN864" s="211"/>
      <c r="AO864" s="211"/>
      <c r="AP864" s="215"/>
      <c r="AQ864" s="218"/>
      <c r="AR864" s="211"/>
      <c r="AS864" s="211"/>
      <c r="AT864" s="211"/>
      <c r="AU864" s="211"/>
      <c r="AV864" s="211"/>
      <c r="AW864" s="211"/>
      <c r="AX864" s="211"/>
      <c r="AY864" s="211"/>
      <c r="AZ864" s="211"/>
      <c r="BB864" s="211"/>
      <c r="BC864" s="211"/>
      <c r="BD864" s="211"/>
      <c r="BE864" s="211"/>
      <c r="BF864" s="211"/>
      <c r="BG864" s="211"/>
      <c r="BH864" s="211"/>
      <c r="BI864" s="211"/>
    </row>
    <row r="865">
      <c r="A865" s="210" t="str">
        <f>IFERROR(__xludf.DUMMYFUNCTION("""COMPUTED_VALUE"""),"29d571d9")</f>
        <v>29d571d9</v>
      </c>
      <c r="B865" s="210" t="str">
        <f>IFERROR(__xludf.DUMMYFUNCTION("""COMPUTED_VALUE"""),"29d571d9")</f>
        <v>29d571d9</v>
      </c>
      <c r="C865" s="213">
        <f>IFERROR(__xludf.DUMMYFUNCTION("""COMPUTED_VALUE"""),45741.65069444444)</f>
        <v>45741.65069</v>
      </c>
      <c r="D865" s="211" t="str">
        <f>IFERROR(__xludf.DUMMYFUNCTION("""COMPUTED_VALUE"""),"e86baf3b")</f>
        <v>e86baf3b</v>
      </c>
      <c r="E865" s="211" t="str">
        <f>IFERROR(__xludf.DUMMYFUNCTION("""COMPUTED_VALUE"""),"PT GEMILANG CIPTA WAWASAN")</f>
        <v>PT GEMILANG CIPTA WAWASAN</v>
      </c>
      <c r="F865" s="211" t="str">
        <f>IFERROR(__xludf.DUMMYFUNCTION("""COMPUTED_VALUE"""),"be525f3b")</f>
        <v>be525f3b</v>
      </c>
      <c r="G865" s="211" t="str">
        <f>IFERROR(__xludf.DUMMYFUNCTION("""COMPUTED_VALUE"""),"LPG 12kg")</f>
        <v>LPG 12kg</v>
      </c>
      <c r="H865" s="214" t="str">
        <f>IFERROR(__xludf.DUMMYFUNCTION("""COMPUTED_VALUE"""),"IN")</f>
        <v>IN</v>
      </c>
      <c r="I865" s="214" t="str">
        <f>IFERROR(__xludf.DUMMYFUNCTION("""COMPUTED_VALUE"""),"EMPTY")</f>
        <v>EMPTY</v>
      </c>
      <c r="J865" s="211">
        <f>IFERROR(__xludf.DUMMYFUNCTION("""COMPUTED_VALUE"""),4.0)</f>
        <v>4</v>
      </c>
      <c r="K865" s="211"/>
      <c r="L865" s="211">
        <f>IFERROR(__xludf.DUMMYFUNCTION("""COMPUTED_VALUE"""),0.0)</f>
        <v>0</v>
      </c>
      <c r="M865" s="211"/>
      <c r="N865" s="211"/>
      <c r="O865" s="211"/>
      <c r="Q865" s="210" t="str">
        <f>IFERROR(__xludf.DUMMYFUNCTION("""COMPUTED_VALUE"""),"3ced37c6")</f>
        <v>3ced37c6</v>
      </c>
      <c r="R865" s="210" t="str">
        <f>IFERROR(__xludf.DUMMYFUNCTION("""COMPUTED_VALUE"""),"3ced37c6")</f>
        <v>3ced37c6</v>
      </c>
      <c r="S865" s="211" t="str">
        <f>IFERROR(__xludf.DUMMYFUNCTION("""COMPUTED_VALUE"""),"5449a0b8")</f>
        <v>5449a0b8</v>
      </c>
      <c r="T865" s="211" t="str">
        <f>IFERROR(__xludf.DUMMYFUNCTION("""COMPUTED_VALUE"""),"Bpk. Supar")</f>
        <v>Bpk. Supar</v>
      </c>
      <c r="U865" s="215">
        <f>IFERROR(__xludf.DUMMYFUNCTION("""COMPUTED_VALUE"""),45812.43263888889)</f>
        <v>45812.43264</v>
      </c>
      <c r="V865" s="211" t="str">
        <f>IFERROR(__xludf.DUMMYFUNCTION("""COMPUTED_VALUE"""),"Ciro Kulon, Bakungtemenggungan, Kec. BalongBendo, Kabupaten Sidoarjo, Jawa Timur")</f>
        <v>Ciro Kulon, Bakungtemenggungan, Kec. BalongBendo, Kabupaten Sidoarjo, Jawa Timur</v>
      </c>
      <c r="W865" s="211" t="str">
        <f>IFERROR(__xludf.DUMMYFUNCTION("""COMPUTED_VALUE"""),"IN")</f>
        <v>IN</v>
      </c>
      <c r="X865" s="211"/>
      <c r="Z865" s="211" t="str">
        <f>IFERROR(__xludf.DUMMYFUNCTION("""COMPUTED_VALUE"""),"0925451213")</f>
        <v>0925451213</v>
      </c>
      <c r="AC865" s="211"/>
      <c r="AD865" s="211"/>
      <c r="AE865" s="211"/>
      <c r="AF865" s="211"/>
      <c r="AG865" s="211"/>
      <c r="AH865" s="211"/>
      <c r="AI865" s="211"/>
      <c r="AJ865" s="211"/>
      <c r="AL865" s="211"/>
      <c r="AM865" s="211"/>
      <c r="AN865" s="211"/>
      <c r="AO865" s="211"/>
      <c r="AP865" s="215"/>
      <c r="AQ865" s="218"/>
      <c r="AR865" s="211"/>
      <c r="AS865" s="211"/>
      <c r="AT865" s="211"/>
      <c r="AU865" s="211"/>
      <c r="AV865" s="211"/>
      <c r="AW865" s="211"/>
      <c r="AX865" s="211"/>
      <c r="AY865" s="211"/>
      <c r="AZ865" s="211"/>
      <c r="BB865" s="211"/>
      <c r="BC865" s="211"/>
      <c r="BD865" s="211"/>
      <c r="BE865" s="211"/>
      <c r="BF865" s="211"/>
      <c r="BG865" s="211"/>
      <c r="BH865" s="211"/>
      <c r="BI865" s="211"/>
    </row>
    <row r="866">
      <c r="A866" s="210" t="str">
        <f>IFERROR(__xludf.DUMMYFUNCTION("""COMPUTED_VALUE"""),"29d571d9")</f>
        <v>29d571d9</v>
      </c>
      <c r="B866" s="210" t="str">
        <f>IFERROR(__xludf.DUMMYFUNCTION("""COMPUTED_VALUE"""),"29d571d9")</f>
        <v>29d571d9</v>
      </c>
      <c r="C866" s="213">
        <f>IFERROR(__xludf.DUMMYFUNCTION("""COMPUTED_VALUE"""),45741.65)</f>
        <v>45741.65</v>
      </c>
      <c r="D866" s="211" t="str">
        <f>IFERROR(__xludf.DUMMYFUNCTION("""COMPUTED_VALUE"""),"e86baf3b")</f>
        <v>e86baf3b</v>
      </c>
      <c r="E866" s="211" t="str">
        <f>IFERROR(__xludf.DUMMYFUNCTION("""COMPUTED_VALUE"""),"PT GEMILANG CIPTA WAWASAN")</f>
        <v>PT GEMILANG CIPTA WAWASAN</v>
      </c>
      <c r="F866" s="211" t="str">
        <f>IFERROR(__xludf.DUMMYFUNCTION("""COMPUTED_VALUE"""),"66af7c72")</f>
        <v>66af7c72</v>
      </c>
      <c r="G866" s="211" t="str">
        <f>IFERROR(__xludf.DUMMYFUNCTION("""COMPUTED_VALUE"""),"Argon 6m3")</f>
        <v>Argon 6m3</v>
      </c>
      <c r="H866" s="214" t="str">
        <f>IFERROR(__xludf.DUMMYFUNCTION("""COMPUTED_VALUE"""),"IN")</f>
        <v>IN</v>
      </c>
      <c r="I866" s="214" t="str">
        <f>IFERROR(__xludf.DUMMYFUNCTION("""COMPUTED_VALUE"""),"EMPTY")</f>
        <v>EMPTY</v>
      </c>
      <c r="J866" s="211">
        <f>IFERROR(__xludf.DUMMYFUNCTION("""COMPUTED_VALUE"""),1.0)</f>
        <v>1</v>
      </c>
      <c r="K866" s="210" t="str">
        <f>IFERROR(__xludf.DUMMYFUNCTION("""COMPUTED_VALUE"""),"11145")</f>
        <v>11145</v>
      </c>
      <c r="L866" s="211">
        <f>IFERROR(__xludf.DUMMYFUNCTION("""COMPUTED_VALUE"""),0.0)</f>
        <v>0</v>
      </c>
      <c r="M866" s="211"/>
      <c r="N866" s="211"/>
      <c r="O866" s="211"/>
      <c r="Q866" s="210" t="str">
        <f>IFERROR(__xludf.DUMMYFUNCTION("""COMPUTED_VALUE"""),"5d22af18")</f>
        <v>5d22af18</v>
      </c>
      <c r="R866" s="210" t="str">
        <f>IFERROR(__xludf.DUMMYFUNCTION("""COMPUTED_VALUE"""),"5d22af18")</f>
        <v>5d22af18</v>
      </c>
      <c r="S866" s="211" t="str">
        <f>IFERROR(__xludf.DUMMYFUNCTION("""COMPUTED_VALUE"""),"4bef3bbf")</f>
        <v>4bef3bbf</v>
      </c>
      <c r="T866" s="211" t="str">
        <f>IFERROR(__xludf.DUMMYFUNCTION("""COMPUTED_VALUE"""),"PT Dingsheng Metal Indonesia (Ngoro)")</f>
        <v>PT Dingsheng Metal Indonesia (Ngoro)</v>
      </c>
      <c r="U866" s="215">
        <f>IFERROR(__xludf.DUMMYFUNCTION("""COMPUTED_VALUE"""),45812.46805555555)</f>
        <v>45812.46806</v>
      </c>
      <c r="V866" s="211" t="str">
        <f>IFERROR(__xludf.DUMMYFUNCTION("""COMPUTED_VALUE"""),"Kri Kilan, Watesnegoro, Kec. Ngoro, Kabupaten Mojokerto, Jawa Timur 61385")</f>
        <v>Kri Kilan, Watesnegoro, Kec. Ngoro, Kabupaten Mojokerto, Jawa Timur 61385</v>
      </c>
      <c r="W866" s="211" t="str">
        <f>IFERROR(__xludf.DUMMYFUNCTION("""COMPUTED_VALUE"""),"IN")</f>
        <v>IN</v>
      </c>
      <c r="X866" s="211"/>
      <c r="Z866" s="211" t="str">
        <f>IFERROR(__xludf.DUMMYFUNCTION("""COMPUTED_VALUE"""),"0925171212")</f>
        <v>0925171212</v>
      </c>
      <c r="AC866" s="211"/>
      <c r="AD866" s="211"/>
      <c r="AE866" s="211"/>
      <c r="AF866" s="211"/>
      <c r="AG866" s="211"/>
      <c r="AH866" s="211"/>
      <c r="AI866" s="211"/>
      <c r="AJ866" s="211"/>
      <c r="AL866" s="211"/>
      <c r="AM866" s="211"/>
      <c r="AN866" s="211"/>
      <c r="AO866" s="211"/>
      <c r="AP866" s="215"/>
      <c r="AQ866" s="218"/>
      <c r="AR866" s="211"/>
      <c r="AS866" s="211"/>
      <c r="AT866" s="211"/>
      <c r="AU866" s="211"/>
      <c r="AV866" s="211"/>
      <c r="AW866" s="211"/>
      <c r="AX866" s="211"/>
      <c r="AY866" s="211"/>
      <c r="AZ866" s="211"/>
      <c r="BB866" s="211"/>
      <c r="BC866" s="211"/>
      <c r="BD866" s="211"/>
      <c r="BE866" s="211"/>
      <c r="BF866" s="211"/>
      <c r="BG866" s="211"/>
      <c r="BH866" s="211"/>
      <c r="BI866" s="211"/>
    </row>
    <row r="867">
      <c r="A867" s="210" t="str">
        <f>IFERROR(__xludf.DUMMYFUNCTION("""COMPUTED_VALUE"""),"03250344")</f>
        <v>03250344</v>
      </c>
      <c r="B867" s="210" t="str">
        <f>IFERROR(__xludf.DUMMYFUNCTION("""COMPUTED_VALUE"""),"03250344")</f>
        <v>03250344</v>
      </c>
      <c r="C867" s="213">
        <f>IFERROR(__xludf.DUMMYFUNCTION("""COMPUTED_VALUE"""),45742.399305555555)</f>
        <v>45742.39931</v>
      </c>
      <c r="D867" s="211" t="str">
        <f>IFERROR(__xludf.DUMMYFUNCTION("""COMPUTED_VALUE"""),"5f23ba17")</f>
        <v>5f23ba17</v>
      </c>
      <c r="E867" s="211" t="str">
        <f>IFERROR(__xludf.DUMMYFUNCTION("""COMPUTED_VALUE"""),"Bpk. Joko (Gresik)")</f>
        <v>Bpk. Joko (Gresik)</v>
      </c>
      <c r="F867" s="211" t="str">
        <f>IFERROR(__xludf.DUMMYFUNCTION("""COMPUTED_VALUE"""),"f6aab7a9")</f>
        <v>f6aab7a9</v>
      </c>
      <c r="G867" s="211" t="str">
        <f>IFERROR(__xludf.DUMMYFUNCTION("""COMPUTED_VALUE"""),"Oksigen 6m3 MR")</f>
        <v>Oksigen 6m3 MR</v>
      </c>
      <c r="H867" s="214" t="str">
        <f>IFERROR(__xludf.DUMMYFUNCTION("""COMPUTED_VALUE"""),"OUT")</f>
        <v>OUT</v>
      </c>
      <c r="I867" s="214" t="str">
        <f>IFERROR(__xludf.DUMMYFUNCTION("""COMPUTED_VALUE"""),"NORMAL")</f>
        <v>NORMAL</v>
      </c>
      <c r="J867" s="211">
        <f>IFERROR(__xludf.DUMMYFUNCTION("""COMPUTED_VALUE"""),10.0)</f>
        <v>10</v>
      </c>
      <c r="K867" s="211"/>
      <c r="L867" s="211">
        <f>IFERROR(__xludf.DUMMYFUNCTION("""COMPUTED_VALUE"""),55000.0)</f>
        <v>55000</v>
      </c>
      <c r="M867" s="211"/>
      <c r="N867" s="211"/>
      <c r="O867" s="211"/>
      <c r="Q867" s="210" t="str">
        <f>IFERROR(__xludf.DUMMYFUNCTION("""COMPUTED_VALUE"""),"b8129664")</f>
        <v>b8129664</v>
      </c>
      <c r="R867" s="210" t="str">
        <f>IFERROR(__xludf.DUMMYFUNCTION("""COMPUTED_VALUE"""),"b8129664")</f>
        <v>b8129664</v>
      </c>
      <c r="S867" s="211" t="str">
        <f>IFERROR(__xludf.DUMMYFUNCTION("""COMPUTED_VALUE"""),"103f3ae7")</f>
        <v>103f3ae7</v>
      </c>
      <c r="T867" s="211" t="str">
        <f>IFERROR(__xludf.DUMMYFUNCTION("""COMPUTED_VALUE"""),"PT ARYANA CAKASANA")</f>
        <v>PT ARYANA CAKASANA</v>
      </c>
      <c r="U867" s="215">
        <f>IFERROR(__xludf.DUMMYFUNCTION("""COMPUTED_VALUE"""),45812.56458333333)</f>
        <v>45812.56458</v>
      </c>
      <c r="V867" s="211" t="str">
        <f>IFERROR(__xludf.DUMMYFUNCTION("""COMPUTED_VALUE"""),"Jl Raya Tarik No. 45, Wonokupang, Bakalan, Balongbendo")</f>
        <v>Jl Raya Tarik No. 45, Wonokupang, Bakalan, Balongbendo</v>
      </c>
      <c r="W867" s="211" t="str">
        <f>IFERROR(__xludf.DUMMYFUNCTION("""COMPUTED_VALUE"""),"IN")</f>
        <v>IN</v>
      </c>
      <c r="X867" s="211"/>
      <c r="Z867" s="211" t="str">
        <f>IFERROR(__xludf.DUMMYFUNCTION("""COMPUTED_VALUE"""),"0925351206")</f>
        <v>0925351206</v>
      </c>
      <c r="AC867" s="211"/>
      <c r="AD867" s="211"/>
      <c r="AE867" s="211"/>
      <c r="AF867" s="211"/>
      <c r="AG867" s="211"/>
      <c r="AH867" s="211"/>
      <c r="AI867" s="211"/>
      <c r="AJ867" s="211"/>
      <c r="AL867" s="211"/>
      <c r="AM867" s="211"/>
      <c r="AN867" s="211"/>
      <c r="AO867" s="211"/>
      <c r="AP867" s="215"/>
      <c r="AQ867" s="218"/>
      <c r="AR867" s="211"/>
      <c r="AS867" s="211"/>
      <c r="AT867" s="211"/>
      <c r="AU867" s="211"/>
      <c r="AV867" s="211"/>
      <c r="AW867" s="211"/>
      <c r="AX867" s="211"/>
      <c r="AY867" s="211"/>
      <c r="AZ867" s="211"/>
      <c r="BB867" s="211"/>
      <c r="BC867" s="211"/>
      <c r="BD867" s="211"/>
      <c r="BE867" s="211"/>
      <c r="BF867" s="211"/>
      <c r="BG867" s="211"/>
      <c r="BH867" s="211"/>
      <c r="BI867" s="211"/>
    </row>
    <row r="868">
      <c r="A868" s="210" t="str">
        <f>IFERROR(__xludf.DUMMYFUNCTION("""COMPUTED_VALUE"""),"03250345")</f>
        <v>03250345</v>
      </c>
      <c r="B868" s="210" t="str">
        <f>IFERROR(__xludf.DUMMYFUNCTION("""COMPUTED_VALUE"""),"03250345")</f>
        <v>03250345</v>
      </c>
      <c r="C868" s="213">
        <f>IFERROR(__xludf.DUMMYFUNCTION("""COMPUTED_VALUE"""),45743.34305555555)</f>
        <v>45743.34306</v>
      </c>
      <c r="D868" s="211" t="str">
        <f>IFERROR(__xludf.DUMMYFUNCTION("""COMPUTED_VALUE"""),"3fec37df")</f>
        <v>3fec37df</v>
      </c>
      <c r="E868" s="211" t="str">
        <f>IFERROR(__xludf.DUMMYFUNCTION("""COMPUTED_VALUE"""),"PT Jatim Abadi Perkasa Steel")</f>
        <v>PT Jatim Abadi Perkasa Steel</v>
      </c>
      <c r="F868" s="211" t="str">
        <f>IFERROR(__xludf.DUMMYFUNCTION("""COMPUTED_VALUE"""),"ef306e54")</f>
        <v>ef306e54</v>
      </c>
      <c r="G868" s="211" t="str">
        <f>IFERROR(__xludf.DUMMYFUNCTION("""COMPUTED_VALUE"""),"Karbondioksida")</f>
        <v>Karbondioksida</v>
      </c>
      <c r="H868" s="214" t="str">
        <f>IFERROR(__xludf.DUMMYFUNCTION("""COMPUTED_VALUE"""),"OUT")</f>
        <v>OUT</v>
      </c>
      <c r="I868" s="214" t="str">
        <f>IFERROR(__xludf.DUMMYFUNCTION("""COMPUTED_VALUE"""),"NORMAL")</f>
        <v>NORMAL</v>
      </c>
      <c r="J868" s="211">
        <f>IFERROR(__xludf.DUMMYFUNCTION("""COMPUTED_VALUE"""),2.0)</f>
        <v>2</v>
      </c>
      <c r="K868" s="210" t="str">
        <f>IFERROR(__xludf.DUMMYFUNCTION("""COMPUTED_VALUE"""),"13010 13004")</f>
        <v>13010 13004</v>
      </c>
      <c r="L868" s="211">
        <f>IFERROR(__xludf.DUMMYFUNCTION("""COMPUTED_VALUE"""),167000.0)</f>
        <v>167000</v>
      </c>
      <c r="M868" s="211"/>
      <c r="N868" s="211"/>
      <c r="O868" s="211"/>
      <c r="Q868" s="210" t="str">
        <f>IFERROR(__xludf.DUMMYFUNCTION("""COMPUTED_VALUE"""),"00c0dbe9")</f>
        <v>00c0dbe9</v>
      </c>
      <c r="R868" s="210" t="str">
        <f>IFERROR(__xludf.DUMMYFUNCTION("""COMPUTED_VALUE"""),"00c0dbe9")</f>
        <v>00c0dbe9</v>
      </c>
      <c r="S868" s="211" t="str">
        <f>IFERROR(__xludf.DUMMYFUNCTION("""COMPUTED_VALUE"""),"b2b5f2c5")</f>
        <v>b2b5f2c5</v>
      </c>
      <c r="T868" s="211" t="str">
        <f>IFERROR(__xludf.DUMMYFUNCTION("""COMPUTED_VALUE"""),"Bengkel Las Bpk. Ari")</f>
        <v>Bengkel Las Bpk. Ari</v>
      </c>
      <c r="U868" s="215">
        <f>IFERROR(__xludf.DUMMYFUNCTION("""COMPUTED_VALUE"""),45812.56597222222)</f>
        <v>45812.56597</v>
      </c>
      <c r="V868" s="211" t="str">
        <f>IFERROR(__xludf.DUMMYFUNCTION("""COMPUTED_VALUE"""),"Sumber Kembar, Wonodadi, Kec. Kutorejo, Kabupaten Mojokerto, Jawa Timur")</f>
        <v>Sumber Kembar, Wonodadi, Kec. Kutorejo, Kabupaten Mojokerto, Jawa Timur</v>
      </c>
      <c r="W868" s="211" t="str">
        <f>IFERROR(__xludf.DUMMYFUNCTION("""COMPUTED_VALUE"""),"IN")</f>
        <v>IN</v>
      </c>
      <c r="X868" s="211"/>
      <c r="Z868" s="211" t="str">
        <f>IFERROR(__xludf.DUMMYFUNCTION("""COMPUTED_VALUE"""),"0925261205")</f>
        <v>0925261205</v>
      </c>
      <c r="AC868" s="211"/>
      <c r="AD868" s="211"/>
      <c r="AE868" s="211"/>
      <c r="AF868" s="211"/>
      <c r="AG868" s="211"/>
      <c r="AH868" s="211"/>
      <c r="AI868" s="211"/>
      <c r="AJ868" s="211"/>
      <c r="AL868" s="211"/>
      <c r="AM868" s="211"/>
      <c r="AN868" s="211"/>
      <c r="AO868" s="211"/>
      <c r="AP868" s="215"/>
      <c r="AQ868" s="218"/>
      <c r="AR868" s="211"/>
      <c r="AS868" s="211"/>
      <c r="AT868" s="211"/>
      <c r="AU868" s="211"/>
      <c r="AV868" s="211"/>
      <c r="AW868" s="211"/>
      <c r="AX868" s="211"/>
      <c r="AY868" s="211"/>
      <c r="AZ868" s="211"/>
      <c r="BB868" s="211"/>
      <c r="BC868" s="211"/>
      <c r="BD868" s="211"/>
      <c r="BE868" s="211"/>
      <c r="BF868" s="211"/>
      <c r="BG868" s="211"/>
      <c r="BH868" s="211"/>
      <c r="BI868" s="211"/>
    </row>
    <row r="869">
      <c r="A869" s="210" t="str">
        <f>IFERROR(__xludf.DUMMYFUNCTION("""COMPUTED_VALUE"""),"a109d5fe")</f>
        <v>a109d5fe</v>
      </c>
      <c r="B869" s="210" t="str">
        <f>IFERROR(__xludf.DUMMYFUNCTION("""COMPUTED_VALUE"""),"a109d5fe")</f>
        <v>a109d5fe</v>
      </c>
      <c r="C869" s="213">
        <f>IFERROR(__xludf.DUMMYFUNCTION("""COMPUTED_VALUE"""),45742.498611111114)</f>
        <v>45742.49861</v>
      </c>
      <c r="D869" s="211" t="str">
        <f>IFERROR(__xludf.DUMMYFUNCTION("""COMPUTED_VALUE"""),"785e0e07")</f>
        <v>785e0e07</v>
      </c>
      <c r="E869" s="211" t="str">
        <f>IFERROR(__xludf.DUMMYFUNCTION("""COMPUTED_VALUE"""),"Bpk. Sukirno (Bejo)")</f>
        <v>Bpk. Sukirno (Bejo)</v>
      </c>
      <c r="F869" s="211" t="str">
        <f>IFERROR(__xludf.DUMMYFUNCTION("""COMPUTED_VALUE"""),"8bdbe149")</f>
        <v>8bdbe149</v>
      </c>
      <c r="G869" s="211" t="str">
        <f>IFERROR(__xludf.DUMMYFUNCTION("""COMPUTED_VALUE"""),"Oksigen 6m3")</f>
        <v>Oksigen 6m3</v>
      </c>
      <c r="H869" s="214" t="str">
        <f>IFERROR(__xludf.DUMMYFUNCTION("""COMPUTED_VALUE"""),"IN")</f>
        <v>IN</v>
      </c>
      <c r="I869" s="214" t="str">
        <f>IFERROR(__xludf.DUMMYFUNCTION("""COMPUTED_VALUE"""),"EMPTY")</f>
        <v>EMPTY</v>
      </c>
      <c r="J869" s="211">
        <f>IFERROR(__xludf.DUMMYFUNCTION("""COMPUTED_VALUE"""),6.0)</f>
        <v>6</v>
      </c>
      <c r="K869" s="210" t="str">
        <f>IFERROR(__xludf.DUMMYFUNCTION("""COMPUTED_VALUE"""),"11172 11155 11174 11171 11166 11141")</f>
        <v>11172 11155 11174 11171 11166 11141</v>
      </c>
      <c r="L869" s="211">
        <f>IFERROR(__xludf.DUMMYFUNCTION("""COMPUTED_VALUE"""),0.0)</f>
        <v>0</v>
      </c>
      <c r="M869" s="211"/>
      <c r="N869" s="211"/>
      <c r="O869" s="211"/>
      <c r="Q869" s="211"/>
      <c r="R869" s="211"/>
      <c r="S869" s="211"/>
      <c r="T869" s="211"/>
      <c r="U869" s="211"/>
      <c r="V869" s="211"/>
      <c r="W869" s="211"/>
      <c r="X869" s="211"/>
      <c r="Z869" s="211" t="str">
        <f>IFERROR(__xludf.DUMMYFUNCTION("""COMPUTED_VALUE"""),"092511204")</f>
        <v>092511204</v>
      </c>
      <c r="AC869" s="211"/>
      <c r="AD869" s="211"/>
      <c r="AE869" s="211"/>
      <c r="AF869" s="211"/>
      <c r="AG869" s="211"/>
      <c r="AH869" s="211"/>
      <c r="AI869" s="211"/>
      <c r="AJ869" s="211"/>
      <c r="AL869" s="211"/>
      <c r="AM869" s="211"/>
      <c r="AN869" s="211"/>
      <c r="AO869" s="211"/>
      <c r="AP869" s="215"/>
      <c r="AQ869" s="218"/>
      <c r="AR869" s="211"/>
      <c r="AS869" s="211"/>
      <c r="AT869" s="211"/>
      <c r="AU869" s="211"/>
      <c r="AV869" s="211"/>
      <c r="AW869" s="211"/>
      <c r="AX869" s="211"/>
      <c r="AY869" s="211"/>
      <c r="AZ869" s="211"/>
      <c r="BB869" s="211"/>
      <c r="BC869" s="211"/>
      <c r="BD869" s="211"/>
      <c r="BE869" s="211"/>
      <c r="BF869" s="211"/>
      <c r="BG869" s="211"/>
      <c r="BH869" s="211"/>
      <c r="BI869" s="211"/>
    </row>
    <row r="870">
      <c r="A870" s="210" t="str">
        <f>IFERROR(__xludf.DUMMYFUNCTION("""COMPUTED_VALUE"""),"97f4a55c")</f>
        <v>97f4a55c</v>
      </c>
      <c r="B870" s="210" t="str">
        <f>IFERROR(__xludf.DUMMYFUNCTION("""COMPUTED_VALUE"""),"97f4a55c")</f>
        <v>97f4a55c</v>
      </c>
      <c r="C870" s="213">
        <f>IFERROR(__xludf.DUMMYFUNCTION("""COMPUTED_VALUE"""),45742.49930555555)</f>
        <v>45742.49931</v>
      </c>
      <c r="D870" s="211" t="str">
        <f>IFERROR(__xludf.DUMMYFUNCTION("""COMPUTED_VALUE"""),"103f3ae7")</f>
        <v>103f3ae7</v>
      </c>
      <c r="E870" s="211" t="str">
        <f>IFERROR(__xludf.DUMMYFUNCTION("""COMPUTED_VALUE"""),"PT ARYANA CAKASANA")</f>
        <v>PT ARYANA CAKASANA</v>
      </c>
      <c r="F870" s="211" t="str">
        <f>IFERROR(__xludf.DUMMYFUNCTION("""COMPUTED_VALUE"""),"8bdbe149")</f>
        <v>8bdbe149</v>
      </c>
      <c r="G870" s="211" t="str">
        <f>IFERROR(__xludf.DUMMYFUNCTION("""COMPUTED_VALUE"""),"Oksigen 6m3")</f>
        <v>Oksigen 6m3</v>
      </c>
      <c r="H870" s="214" t="str">
        <f>IFERROR(__xludf.DUMMYFUNCTION("""COMPUTED_VALUE"""),"IN")</f>
        <v>IN</v>
      </c>
      <c r="I870" s="214" t="str">
        <f>IFERROR(__xludf.DUMMYFUNCTION("""COMPUTED_VALUE"""),"EMPTY")</f>
        <v>EMPTY</v>
      </c>
      <c r="J870" s="211">
        <f>IFERROR(__xludf.DUMMYFUNCTION("""COMPUTED_VALUE"""),2.0)</f>
        <v>2</v>
      </c>
      <c r="K870" s="210" t="str">
        <f>IFERROR(__xludf.DUMMYFUNCTION("""COMPUTED_VALUE"""),"1184 1181")</f>
        <v>1184 1181</v>
      </c>
      <c r="L870" s="211">
        <f>IFERROR(__xludf.DUMMYFUNCTION("""COMPUTED_VALUE"""),0.0)</f>
        <v>0</v>
      </c>
      <c r="M870" s="211"/>
      <c r="N870" s="211"/>
      <c r="O870" s="211"/>
      <c r="Q870" s="210" t="str">
        <f>IFERROR(__xludf.DUMMYFUNCTION("""COMPUTED_VALUE"""),"06250496")</f>
        <v>06250496</v>
      </c>
      <c r="R870" s="210" t="str">
        <f>IFERROR(__xludf.DUMMYFUNCTION("""COMPUTED_VALUE"""),"06250496")</f>
        <v>06250496</v>
      </c>
      <c r="S870" s="211" t="str">
        <f>IFERROR(__xludf.DUMMYFUNCTION("""COMPUTED_VALUE"""),"e86baf3b")</f>
        <v>e86baf3b</v>
      </c>
      <c r="T870" s="211" t="str">
        <f>IFERROR(__xludf.DUMMYFUNCTION("""COMPUTED_VALUE"""),"PT GEMILANG CIPTA WAWASAN")</f>
        <v>PT GEMILANG CIPTA WAWASAN</v>
      </c>
      <c r="U870" s="215">
        <f>IFERROR(__xludf.DUMMYFUNCTION("""COMPUTED_VALUE"""),45813.370833333334)</f>
        <v>45813.37083</v>
      </c>
      <c r="V870" s="211" t="str">
        <f>IFERROR(__xludf.DUMMYFUNCTION("""COMPUTED_VALUE"""),"JL TEBET RAYA, 2A, TEBET BARAT, TEBET, KOTA ADM, JAKARTA SELATAN, DKI JAKARTA")</f>
        <v>JL TEBET RAYA, 2A, TEBET BARAT, TEBET, KOTA ADM, JAKARTA SELATAN, DKI JAKARTA</v>
      </c>
      <c r="W870" s="211" t="str">
        <f>IFERROR(__xludf.DUMMYFUNCTION("""COMPUTED_VALUE"""),"OUT")</f>
        <v>OUT</v>
      </c>
      <c r="X870" s="211"/>
      <c r="Z870" s="211" t="str">
        <f>IFERROR(__xludf.DUMMYFUNCTION("""COMPUTED_VALUE"""),"092591202")</f>
        <v>092591202</v>
      </c>
      <c r="AC870" s="211"/>
      <c r="AD870" s="211"/>
      <c r="AE870" s="211"/>
      <c r="AF870" s="211"/>
      <c r="AG870" s="211"/>
      <c r="AH870" s="211"/>
      <c r="AI870" s="211"/>
      <c r="AJ870" s="211"/>
      <c r="AL870" s="211"/>
      <c r="AM870" s="211"/>
      <c r="AN870" s="211"/>
      <c r="AO870" s="211"/>
      <c r="AP870" s="215"/>
      <c r="AQ870" s="218"/>
      <c r="AR870" s="211"/>
      <c r="AS870" s="211"/>
      <c r="AT870" s="211"/>
      <c r="AU870" s="211"/>
      <c r="AV870" s="211"/>
      <c r="AW870" s="211"/>
      <c r="AX870" s="211"/>
      <c r="AY870" s="211"/>
      <c r="AZ870" s="211"/>
      <c r="BB870" s="211"/>
      <c r="BC870" s="211"/>
      <c r="BD870" s="211"/>
      <c r="BE870" s="211"/>
      <c r="BF870" s="211"/>
      <c r="BG870" s="211"/>
      <c r="BH870" s="211"/>
      <c r="BI870" s="211"/>
    </row>
    <row r="871">
      <c r="A871" s="210" t="str">
        <f>IFERROR(__xludf.DUMMYFUNCTION("""COMPUTED_VALUE"""),"03250346")</f>
        <v>03250346</v>
      </c>
      <c r="B871" s="210" t="str">
        <f>IFERROR(__xludf.DUMMYFUNCTION("""COMPUTED_VALUE"""),"03250346")</f>
        <v>03250346</v>
      </c>
      <c r="C871" s="213">
        <f>IFERROR(__xludf.DUMMYFUNCTION("""COMPUTED_VALUE"""),45742.53125)</f>
        <v>45742.53125</v>
      </c>
      <c r="D871" s="211" t="str">
        <f>IFERROR(__xludf.DUMMYFUNCTION("""COMPUTED_VALUE"""),"71909be0")</f>
        <v>71909be0</v>
      </c>
      <c r="E871" s="211" t="str">
        <f>IFERROR(__xludf.DUMMYFUNCTION("""COMPUTED_VALUE"""),"Bpk. Pendik")</f>
        <v>Bpk. Pendik</v>
      </c>
      <c r="F871" s="211" t="str">
        <f>IFERROR(__xludf.DUMMYFUNCTION("""COMPUTED_VALUE"""),"be525f3b")</f>
        <v>be525f3b</v>
      </c>
      <c r="G871" s="211" t="str">
        <f>IFERROR(__xludf.DUMMYFUNCTION("""COMPUTED_VALUE"""),"LPG 12kg")</f>
        <v>LPG 12kg</v>
      </c>
      <c r="H871" s="214" t="str">
        <f>IFERROR(__xludf.DUMMYFUNCTION("""COMPUTED_VALUE"""),"OUT")</f>
        <v>OUT</v>
      </c>
      <c r="I871" s="214" t="str">
        <f>IFERROR(__xludf.DUMMYFUNCTION("""COMPUTED_VALUE"""),"NORMAL")</f>
        <v>NORMAL</v>
      </c>
      <c r="J871" s="211">
        <f>IFERROR(__xludf.DUMMYFUNCTION("""COMPUTED_VALUE"""),1.0)</f>
        <v>1</v>
      </c>
      <c r="K871" s="211"/>
      <c r="L871" s="211">
        <f>IFERROR(__xludf.DUMMYFUNCTION("""COMPUTED_VALUE"""),450000.0)</f>
        <v>450000</v>
      </c>
      <c r="M871" s="211"/>
      <c r="N871" s="211"/>
      <c r="O871" s="211"/>
      <c r="Q871" s="210" t="str">
        <f>IFERROR(__xludf.DUMMYFUNCTION("""COMPUTED_VALUE"""),"d512605e")</f>
        <v>d512605e</v>
      </c>
      <c r="R871" s="210" t="str">
        <f>IFERROR(__xludf.DUMMYFUNCTION("""COMPUTED_VALUE"""),"d512605e")</f>
        <v>d512605e</v>
      </c>
      <c r="S871" s="211" t="str">
        <f>IFERROR(__xludf.DUMMYFUNCTION("""COMPUTED_VALUE"""),"ce83e171")</f>
        <v>ce83e171</v>
      </c>
      <c r="T871" s="211" t="str">
        <f>IFERROR(__xludf.DUMMYFUNCTION("""COMPUTED_VALUE"""),"Bpk. Sulaiman")</f>
        <v>Bpk. Sulaiman</v>
      </c>
      <c r="U871" s="215">
        <f>IFERROR(__xludf.DUMMYFUNCTION("""COMPUTED_VALUE"""),45813.50902777778)</f>
        <v>45813.50903</v>
      </c>
      <c r="V871" s="211" t="str">
        <f>IFERROR(__xludf.DUMMYFUNCTION("""COMPUTED_VALUE"""),"Jl. Raya Kramat Temenggung No.43, Kramat, Kramat Temenggung, Kec. Tarik, Kabupaten Sidoarjo, Jawa Timur 61265")</f>
        <v>Jl. Raya Kramat Temenggung No.43, Kramat, Kramat Temenggung, Kec. Tarik, Kabupaten Sidoarjo, Jawa Timur 61265</v>
      </c>
      <c r="W871" s="211" t="str">
        <f>IFERROR(__xludf.DUMMYFUNCTION("""COMPUTED_VALUE"""),"IN")</f>
        <v>IN</v>
      </c>
      <c r="X871" s="211"/>
      <c r="Z871" s="211" t="str">
        <f>IFERROR(__xludf.DUMMYFUNCTION("""COMPUTED_VALUE"""),"0925101201")</f>
        <v>0925101201</v>
      </c>
      <c r="AC871" s="211"/>
      <c r="AD871" s="211"/>
      <c r="AE871" s="211"/>
      <c r="AF871" s="211"/>
      <c r="AG871" s="211"/>
      <c r="AH871" s="211"/>
      <c r="AI871" s="211"/>
      <c r="AJ871" s="211"/>
      <c r="AL871" s="211"/>
      <c r="AM871" s="211"/>
      <c r="AN871" s="211"/>
      <c r="AO871" s="211"/>
      <c r="AP871" s="215"/>
      <c r="AQ871" s="218"/>
      <c r="AR871" s="211"/>
      <c r="AS871" s="211"/>
      <c r="AT871" s="211"/>
      <c r="AU871" s="211"/>
      <c r="AV871" s="211"/>
      <c r="AW871" s="211"/>
      <c r="AX871" s="211"/>
      <c r="AY871" s="211"/>
      <c r="AZ871" s="211"/>
      <c r="BB871" s="211"/>
      <c r="BC871" s="211"/>
      <c r="BD871" s="211"/>
      <c r="BE871" s="211"/>
      <c r="BF871" s="211"/>
      <c r="BG871" s="211"/>
      <c r="BH871" s="211"/>
      <c r="BI871" s="211"/>
    </row>
    <row r="872">
      <c r="A872" s="210" t="str">
        <f>IFERROR(__xludf.DUMMYFUNCTION("""COMPUTED_VALUE"""),"03250347")</f>
        <v>03250347</v>
      </c>
      <c r="B872" s="210" t="str">
        <f>IFERROR(__xludf.DUMMYFUNCTION("""COMPUTED_VALUE"""),"03250347")</f>
        <v>03250347</v>
      </c>
      <c r="C872" s="213">
        <f>IFERROR(__xludf.DUMMYFUNCTION("""COMPUTED_VALUE"""),45743.45208333333)</f>
        <v>45743.45208</v>
      </c>
      <c r="D872" s="211" t="str">
        <f>IFERROR(__xludf.DUMMYFUNCTION("""COMPUTED_VALUE"""),"slmt76")</f>
        <v>slmt76</v>
      </c>
      <c r="E872" s="211" t="str">
        <f>IFERROR(__xludf.DUMMYFUNCTION("""COMPUTED_VALUE"""),"Bpk. Slamet")</f>
        <v>Bpk. Slamet</v>
      </c>
      <c r="F872" s="211" t="str">
        <f>IFERROR(__xludf.DUMMYFUNCTION("""COMPUTED_VALUE"""),"8bdbe149")</f>
        <v>8bdbe149</v>
      </c>
      <c r="G872" s="211" t="str">
        <f>IFERROR(__xludf.DUMMYFUNCTION("""COMPUTED_VALUE"""),"Oksigen 6m3")</f>
        <v>Oksigen 6m3</v>
      </c>
      <c r="H872" s="214" t="str">
        <f>IFERROR(__xludf.DUMMYFUNCTION("""COMPUTED_VALUE"""),"OUT")</f>
        <v>OUT</v>
      </c>
      <c r="I872" s="214" t="str">
        <f>IFERROR(__xludf.DUMMYFUNCTION("""COMPUTED_VALUE"""),"NORMAL")</f>
        <v>NORMAL</v>
      </c>
      <c r="J872" s="211">
        <f>IFERROR(__xludf.DUMMYFUNCTION("""COMPUTED_VALUE"""),1.0)</f>
        <v>1</v>
      </c>
      <c r="K872" s="210" t="str">
        <f>IFERROR(__xludf.DUMMYFUNCTION("""COMPUTED_VALUE"""),"11139")</f>
        <v>11139</v>
      </c>
      <c r="L872" s="211"/>
      <c r="M872" s="211"/>
      <c r="N872" s="211"/>
      <c r="O872" s="211"/>
      <c r="Q872" s="210" t="str">
        <f>IFERROR(__xludf.DUMMYFUNCTION("""COMPUTED_VALUE"""),"900a2860")</f>
        <v>900a2860</v>
      </c>
      <c r="R872" s="210" t="str">
        <f>IFERROR(__xludf.DUMMYFUNCTION("""COMPUTED_VALUE"""),"900a2860")</f>
        <v>900a2860</v>
      </c>
      <c r="S872" s="211" t="str">
        <f>IFERROR(__xludf.DUMMYFUNCTION("""COMPUTED_VALUE"""),"ce83e171")</f>
        <v>ce83e171</v>
      </c>
      <c r="T872" s="211" t="str">
        <f>IFERROR(__xludf.DUMMYFUNCTION("""COMPUTED_VALUE"""),"Bpk. Sulaiman")</f>
        <v>Bpk. Sulaiman</v>
      </c>
      <c r="U872" s="215">
        <f>IFERROR(__xludf.DUMMYFUNCTION("""COMPUTED_VALUE"""),45777.51180555555)</f>
        <v>45777.51181</v>
      </c>
      <c r="V872" s="211" t="str">
        <f>IFERROR(__xludf.DUMMYFUNCTION("""COMPUTED_VALUE"""),"Jl. Raya Kramat Temenggung No.43, Kramat, Kramat Temenggung, Kec. Tarik, Kabupaten Sidoarjo, Jawa Timur 61265")</f>
        <v>Jl. Raya Kramat Temenggung No.43, Kramat, Kramat Temenggung, Kec. Tarik, Kabupaten Sidoarjo, Jawa Timur 61265</v>
      </c>
      <c r="W872" s="211" t="str">
        <f>IFERROR(__xludf.DUMMYFUNCTION("""COMPUTED_VALUE"""),"IN")</f>
        <v>IN</v>
      </c>
      <c r="X872" s="211"/>
      <c r="Z872" s="211" t="str">
        <f>IFERROR(__xludf.DUMMYFUNCTION("""COMPUTED_VALUE"""),"082511200")</f>
        <v>082511200</v>
      </c>
      <c r="AC872" s="211"/>
      <c r="AD872" s="211"/>
      <c r="AE872" s="211"/>
      <c r="AF872" s="211"/>
      <c r="AG872" s="211"/>
      <c r="AH872" s="211"/>
      <c r="AI872" s="211"/>
      <c r="AJ872" s="211"/>
      <c r="AL872" s="211"/>
      <c r="AM872" s="211"/>
      <c r="AN872" s="211"/>
      <c r="AO872" s="211"/>
      <c r="AP872" s="215"/>
      <c r="AQ872" s="218"/>
      <c r="AR872" s="211"/>
      <c r="AS872" s="211"/>
      <c r="AT872" s="211"/>
      <c r="AU872" s="211"/>
      <c r="AV872" s="211"/>
      <c r="AW872" s="211"/>
      <c r="AX872" s="211"/>
      <c r="AY872" s="211"/>
      <c r="AZ872" s="211"/>
      <c r="BB872" s="211"/>
      <c r="BC872" s="211"/>
      <c r="BD872" s="211"/>
      <c r="BE872" s="211"/>
      <c r="BF872" s="211"/>
      <c r="BG872" s="211"/>
      <c r="BH872" s="211"/>
      <c r="BI872" s="211"/>
    </row>
    <row r="873">
      <c r="A873" s="210" t="str">
        <f>IFERROR(__xludf.DUMMYFUNCTION("""COMPUTED_VALUE"""),"994cb360")</f>
        <v>994cb360</v>
      </c>
      <c r="B873" s="210" t="str">
        <f>IFERROR(__xludf.DUMMYFUNCTION("""COMPUTED_VALUE"""),"994cb360")</f>
        <v>994cb360</v>
      </c>
      <c r="C873" s="213">
        <f>IFERROR(__xludf.DUMMYFUNCTION("""COMPUTED_VALUE"""),45743.49097222222)</f>
        <v>45743.49097</v>
      </c>
      <c r="D873" s="211" t="str">
        <f>IFERROR(__xludf.DUMMYFUNCTION("""COMPUTED_VALUE"""),"ce83e171")</f>
        <v>ce83e171</v>
      </c>
      <c r="E873" s="211" t="str">
        <f>IFERROR(__xludf.DUMMYFUNCTION("""COMPUTED_VALUE"""),"Bpk. Sulaiman")</f>
        <v>Bpk. Sulaiman</v>
      </c>
      <c r="F873" s="211" t="str">
        <f>IFERROR(__xludf.DUMMYFUNCTION("""COMPUTED_VALUE"""),"8bdbe149")</f>
        <v>8bdbe149</v>
      </c>
      <c r="G873" s="211" t="str">
        <f>IFERROR(__xludf.DUMMYFUNCTION("""COMPUTED_VALUE"""),"Oksigen 6m3")</f>
        <v>Oksigen 6m3</v>
      </c>
      <c r="H873" s="214" t="str">
        <f>IFERROR(__xludf.DUMMYFUNCTION("""COMPUTED_VALUE"""),"IN")</f>
        <v>IN</v>
      </c>
      <c r="I873" s="214" t="str">
        <f>IFERROR(__xludf.DUMMYFUNCTION("""COMPUTED_VALUE"""),"EMPTY")</f>
        <v>EMPTY</v>
      </c>
      <c r="J873" s="211">
        <f>IFERROR(__xludf.DUMMYFUNCTION("""COMPUTED_VALUE"""),3.0)</f>
        <v>3</v>
      </c>
      <c r="K873" s="210" t="str">
        <f>IFERROR(__xludf.DUMMYFUNCTION("""COMPUTED_VALUE"""),"11195 1158 1162")</f>
        <v>11195 1158 1162</v>
      </c>
      <c r="L873" s="211">
        <f>IFERROR(__xludf.DUMMYFUNCTION("""COMPUTED_VALUE"""),0.0)</f>
        <v>0</v>
      </c>
      <c r="M873" s="211"/>
      <c r="N873" s="211"/>
      <c r="O873" s="211"/>
      <c r="Q873" s="210" t="str">
        <f>IFERROR(__xludf.DUMMYFUNCTION("""COMPUTED_VALUE"""),"06250498")</f>
        <v>06250498</v>
      </c>
      <c r="R873" s="210" t="str">
        <f>IFERROR(__xludf.DUMMYFUNCTION("""COMPUTED_VALUE"""),"06250498")</f>
        <v>06250498</v>
      </c>
      <c r="S873" s="211" t="str">
        <f>IFERROR(__xludf.DUMMYFUNCTION("""COMPUTED_VALUE"""),"ec231cc9")</f>
        <v>ec231cc9</v>
      </c>
      <c r="T873" s="211" t="str">
        <f>IFERROR(__xludf.DUMMYFUNCTION("""COMPUTED_VALUE"""),"Bpk. Kohir (Maintenance Velg)")</f>
        <v>Bpk. Kohir (Maintenance Velg)</v>
      </c>
      <c r="U873" s="215">
        <f>IFERROR(__xludf.DUMMYFUNCTION("""COMPUTED_VALUE"""),45813.57361111111)</f>
        <v>45813.57361</v>
      </c>
      <c r="V873" s="211" t="str">
        <f>IFERROR(__xludf.DUMMYFUNCTION("""COMPUTED_VALUE"""),"Jl. Lkr. Bypass Krian Timur, Sidogolong, Watugolong, Kec. Krian, Kabupaten Sidoarjo, Jawa Timur 61262")</f>
        <v>Jl. Lkr. Bypass Krian Timur, Sidogolong, Watugolong, Kec. Krian, Kabupaten Sidoarjo, Jawa Timur 61262</v>
      </c>
      <c r="W873" s="211" t="str">
        <f>IFERROR(__xludf.DUMMYFUNCTION("""COMPUTED_VALUE"""),"OUT")</f>
        <v>OUT</v>
      </c>
      <c r="X873" s="211"/>
      <c r="Z873" s="211" t="str">
        <f>IFERROR(__xludf.DUMMYFUNCTION("""COMPUTED_VALUE"""),"0825101195")</f>
        <v>0825101195</v>
      </c>
      <c r="AC873" s="211"/>
      <c r="AD873" s="211"/>
      <c r="AE873" s="211"/>
      <c r="AF873" s="211"/>
      <c r="AG873" s="211"/>
      <c r="AH873" s="211"/>
      <c r="AI873" s="211"/>
      <c r="AJ873" s="211"/>
      <c r="AL873" s="211"/>
      <c r="AM873" s="211"/>
      <c r="AN873" s="211"/>
      <c r="AO873" s="211"/>
      <c r="AP873" s="215"/>
      <c r="AQ873" s="218"/>
      <c r="AR873" s="211"/>
      <c r="AS873" s="211"/>
      <c r="AT873" s="211"/>
      <c r="AU873" s="211"/>
      <c r="AV873" s="211"/>
      <c r="AW873" s="211"/>
      <c r="AX873" s="211"/>
      <c r="AY873" s="211"/>
      <c r="AZ873" s="211"/>
      <c r="BB873" s="211"/>
      <c r="BC873" s="211"/>
      <c r="BD873" s="211"/>
      <c r="BE873" s="211"/>
      <c r="BF873" s="211"/>
      <c r="BG873" s="211"/>
      <c r="BH873" s="211"/>
      <c r="BI873" s="211"/>
    </row>
    <row r="874">
      <c r="A874" s="210" t="str">
        <f>IFERROR(__xludf.DUMMYFUNCTION("""COMPUTED_VALUE"""),"994cb360")</f>
        <v>994cb360</v>
      </c>
      <c r="B874" s="210" t="str">
        <f>IFERROR(__xludf.DUMMYFUNCTION("""COMPUTED_VALUE"""),"994cb360")</f>
        <v>994cb360</v>
      </c>
      <c r="C874" s="213">
        <f>IFERROR(__xludf.DUMMYFUNCTION("""COMPUTED_VALUE"""),45743.49097222222)</f>
        <v>45743.49097</v>
      </c>
      <c r="D874" s="211" t="str">
        <f>IFERROR(__xludf.DUMMYFUNCTION("""COMPUTED_VALUE"""),"ce83e171")</f>
        <v>ce83e171</v>
      </c>
      <c r="E874" s="211" t="str">
        <f>IFERROR(__xludf.DUMMYFUNCTION("""COMPUTED_VALUE"""),"Bpk. Sulaiman")</f>
        <v>Bpk. Sulaiman</v>
      </c>
      <c r="F874" s="211" t="str">
        <f>IFERROR(__xludf.DUMMYFUNCTION("""COMPUTED_VALUE"""),"f6aab7a9")</f>
        <v>f6aab7a9</v>
      </c>
      <c r="G874" s="211" t="str">
        <f>IFERROR(__xludf.DUMMYFUNCTION("""COMPUTED_VALUE"""),"Oksigen 6m3 MR")</f>
        <v>Oksigen 6m3 MR</v>
      </c>
      <c r="H874" s="214" t="str">
        <f>IFERROR(__xludf.DUMMYFUNCTION("""COMPUTED_VALUE"""),"IN")</f>
        <v>IN</v>
      </c>
      <c r="I874" s="214" t="str">
        <f>IFERROR(__xludf.DUMMYFUNCTION("""COMPUTED_VALUE"""),"EMPTY")</f>
        <v>EMPTY</v>
      </c>
      <c r="J874" s="211">
        <f>IFERROR(__xludf.DUMMYFUNCTION("""COMPUTED_VALUE"""),1.0)</f>
        <v>1</v>
      </c>
      <c r="K874" s="211"/>
      <c r="L874" s="211">
        <f>IFERROR(__xludf.DUMMYFUNCTION("""COMPUTED_VALUE"""),0.0)</f>
        <v>0</v>
      </c>
      <c r="M874" s="211"/>
      <c r="N874" s="211"/>
      <c r="O874" s="211"/>
      <c r="Q874" s="210" t="str">
        <f>IFERROR(__xludf.DUMMYFUNCTION("""COMPUTED_VALUE"""),"ba18943f")</f>
        <v>ba18943f</v>
      </c>
      <c r="R874" s="210" t="str">
        <f>IFERROR(__xludf.DUMMYFUNCTION("""COMPUTED_VALUE"""),"ba18943f")</f>
        <v>ba18943f</v>
      </c>
      <c r="S874" s="211" t="str">
        <f>IFERROR(__xludf.DUMMYFUNCTION("""COMPUTED_VALUE"""),"ec231cc9")</f>
        <v>ec231cc9</v>
      </c>
      <c r="T874" s="211" t="str">
        <f>IFERROR(__xludf.DUMMYFUNCTION("""COMPUTED_VALUE"""),"Bpk. Kohir (Maintenance Velg)")</f>
        <v>Bpk. Kohir (Maintenance Velg)</v>
      </c>
      <c r="U874" s="215">
        <f>IFERROR(__xludf.DUMMYFUNCTION("""COMPUTED_VALUE"""),45813.617361111115)</f>
        <v>45813.61736</v>
      </c>
      <c r="V874" s="211" t="str">
        <f>IFERROR(__xludf.DUMMYFUNCTION("""COMPUTED_VALUE"""),"Jl. Lkr. Bypass Krian Timur, Sidogolong, Watugolong, Kec. Krian, Kabupaten Sidoarjo, Jawa Timur 61262")</f>
        <v>Jl. Lkr. Bypass Krian Timur, Sidogolong, Watugolong, Kec. Krian, Kabupaten Sidoarjo, Jawa Timur 61262</v>
      </c>
      <c r="W874" s="211" t="str">
        <f>IFERROR(__xludf.DUMMYFUNCTION("""COMPUTED_VALUE"""),"IN")</f>
        <v>IN</v>
      </c>
      <c r="X874" s="211"/>
      <c r="Z874" s="211" t="str">
        <f>IFERROR(__xludf.DUMMYFUNCTION("""COMPUTED_VALUE"""),"0825441191")</f>
        <v>0825441191</v>
      </c>
      <c r="AC874" s="211"/>
      <c r="AD874" s="211"/>
      <c r="AE874" s="211"/>
      <c r="AF874" s="211"/>
      <c r="AG874" s="211"/>
      <c r="AH874" s="211"/>
      <c r="AI874" s="211"/>
      <c r="AJ874" s="211"/>
      <c r="AL874" s="211"/>
      <c r="AM874" s="211"/>
      <c r="AN874" s="211"/>
      <c r="AO874" s="211"/>
      <c r="AP874" s="215"/>
      <c r="AQ874" s="218"/>
      <c r="AR874" s="211"/>
      <c r="AS874" s="211"/>
      <c r="AT874" s="211"/>
      <c r="AU874" s="211"/>
      <c r="AV874" s="211"/>
      <c r="AW874" s="211"/>
      <c r="AX874" s="211"/>
      <c r="AY874" s="211"/>
      <c r="AZ874" s="211"/>
      <c r="BB874" s="211"/>
      <c r="BC874" s="211"/>
      <c r="BD874" s="211"/>
      <c r="BE874" s="211"/>
      <c r="BF874" s="211"/>
      <c r="BG874" s="211"/>
      <c r="BH874" s="211"/>
      <c r="BI874" s="211"/>
    </row>
    <row r="875">
      <c r="A875" s="210" t="str">
        <f>IFERROR(__xludf.DUMMYFUNCTION("""COMPUTED_VALUE"""),"b6c16cac")</f>
        <v>b6c16cac</v>
      </c>
      <c r="B875" s="210" t="str">
        <f>IFERROR(__xludf.DUMMYFUNCTION("""COMPUTED_VALUE"""),"b6c16cac")</f>
        <v>b6c16cac</v>
      </c>
      <c r="C875" s="213">
        <f>IFERROR(__xludf.DUMMYFUNCTION("""COMPUTED_VALUE"""),45743.49097222222)</f>
        <v>45743.49097</v>
      </c>
      <c r="D875" s="211" t="str">
        <f>IFERROR(__xludf.DUMMYFUNCTION("""COMPUTED_VALUE"""),"3fec37df")</f>
        <v>3fec37df</v>
      </c>
      <c r="E875" s="211" t="str">
        <f>IFERROR(__xludf.DUMMYFUNCTION("""COMPUTED_VALUE"""),"PT Jatim Abadi Perkasa Steel")</f>
        <v>PT Jatim Abadi Perkasa Steel</v>
      </c>
      <c r="F875" s="211" t="str">
        <f>IFERROR(__xludf.DUMMYFUNCTION("""COMPUTED_VALUE"""),"ef306e54")</f>
        <v>ef306e54</v>
      </c>
      <c r="G875" s="211" t="str">
        <f>IFERROR(__xludf.DUMMYFUNCTION("""COMPUTED_VALUE"""),"Karbondioksida")</f>
        <v>Karbondioksida</v>
      </c>
      <c r="H875" s="214" t="str">
        <f>IFERROR(__xludf.DUMMYFUNCTION("""COMPUTED_VALUE"""),"IN")</f>
        <v>IN</v>
      </c>
      <c r="I875" s="214" t="str">
        <f>IFERROR(__xludf.DUMMYFUNCTION("""COMPUTED_VALUE"""),"EMPTY")</f>
        <v>EMPTY</v>
      </c>
      <c r="J875" s="211">
        <f>IFERROR(__xludf.DUMMYFUNCTION("""COMPUTED_VALUE"""),2.0)</f>
        <v>2</v>
      </c>
      <c r="K875" s="210" t="str">
        <f>IFERROR(__xludf.DUMMYFUNCTION("""COMPUTED_VALUE"""),"13001 13003")</f>
        <v>13001 13003</v>
      </c>
      <c r="L875" s="211">
        <f>IFERROR(__xludf.DUMMYFUNCTION("""COMPUTED_VALUE"""),0.0)</f>
        <v>0</v>
      </c>
      <c r="M875" s="211"/>
      <c r="N875" s="211"/>
      <c r="O875" s="211"/>
      <c r="Q875" s="210" t="str">
        <f>IFERROR(__xludf.DUMMYFUNCTION("""COMPUTED_VALUE"""),"06250499")</f>
        <v>06250499</v>
      </c>
      <c r="R875" s="210" t="str">
        <f>IFERROR(__xludf.DUMMYFUNCTION("""COMPUTED_VALUE"""),"06250499")</f>
        <v>06250499</v>
      </c>
      <c r="S875" s="211" t="str">
        <f>IFERROR(__xludf.DUMMYFUNCTION("""COMPUTED_VALUE"""),"ec231cc9")</f>
        <v>ec231cc9</v>
      </c>
      <c r="T875" s="211" t="str">
        <f>IFERROR(__xludf.DUMMYFUNCTION("""COMPUTED_VALUE"""),"Bpk. Kohir (Maintenance Velg)")</f>
        <v>Bpk. Kohir (Maintenance Velg)</v>
      </c>
      <c r="U875" s="215">
        <f>IFERROR(__xludf.DUMMYFUNCTION("""COMPUTED_VALUE"""),45817.46527777778)</f>
        <v>45817.46528</v>
      </c>
      <c r="V875" s="211" t="str">
        <f>IFERROR(__xludf.DUMMYFUNCTION("""COMPUTED_VALUE"""),"Jl. Lkr. Bypass Krian Timur, Sidogolong, Watugolong, Kec. Krian, Kabupaten Sidoarjo, Jawa Timur 61262")</f>
        <v>Jl. Lkr. Bypass Krian Timur, Sidogolong, Watugolong, Kec. Krian, Kabupaten Sidoarjo, Jawa Timur 61262</v>
      </c>
      <c r="W875" s="211" t="str">
        <f>IFERROR(__xludf.DUMMYFUNCTION("""COMPUTED_VALUE"""),"OUT")</f>
        <v>OUT</v>
      </c>
      <c r="X875" s="211"/>
      <c r="Z875" s="211" t="str">
        <f>IFERROR(__xludf.DUMMYFUNCTION("""COMPUTED_VALUE"""),"082521190")</f>
        <v>082521190</v>
      </c>
      <c r="AC875" s="211"/>
      <c r="AD875" s="211"/>
      <c r="AE875" s="211"/>
      <c r="AF875" s="211"/>
      <c r="AG875" s="211"/>
      <c r="AH875" s="211"/>
      <c r="AI875" s="211"/>
      <c r="AJ875" s="211"/>
      <c r="AL875" s="211"/>
      <c r="AM875" s="211"/>
      <c r="AN875" s="211"/>
      <c r="AO875" s="211"/>
      <c r="AP875" s="215"/>
      <c r="AQ875" s="218"/>
      <c r="AR875" s="211"/>
      <c r="AS875" s="211"/>
      <c r="AT875" s="211"/>
      <c r="AU875" s="211"/>
      <c r="AV875" s="211"/>
      <c r="AW875" s="211"/>
      <c r="AX875" s="211"/>
      <c r="AY875" s="211"/>
      <c r="AZ875" s="211"/>
      <c r="BB875" s="211"/>
      <c r="BC875" s="211"/>
      <c r="BD875" s="211"/>
      <c r="BE875" s="211"/>
      <c r="BF875" s="211"/>
      <c r="BG875" s="211"/>
      <c r="BH875" s="211"/>
      <c r="BI875" s="211"/>
    </row>
    <row r="876">
      <c r="A876" s="210" t="str">
        <f>IFERROR(__xludf.DUMMYFUNCTION("""COMPUTED_VALUE"""),"04250348")</f>
        <v>04250348</v>
      </c>
      <c r="B876" s="210" t="str">
        <f>IFERROR(__xludf.DUMMYFUNCTION("""COMPUTED_VALUE"""),"04250348")</f>
        <v>04250348</v>
      </c>
      <c r="C876" s="213">
        <f>IFERROR(__xludf.DUMMYFUNCTION("""COMPUTED_VALUE"""),45754.3375)</f>
        <v>45754.3375</v>
      </c>
      <c r="D876" s="211" t="str">
        <f>IFERROR(__xludf.DUMMYFUNCTION("""COMPUTED_VALUE"""),"5449a0b8")</f>
        <v>5449a0b8</v>
      </c>
      <c r="E876" s="211" t="str">
        <f>IFERROR(__xludf.DUMMYFUNCTION("""COMPUTED_VALUE"""),"Bpk. Supar")</f>
        <v>Bpk. Supar</v>
      </c>
      <c r="F876" s="211" t="str">
        <f>IFERROR(__xludf.DUMMYFUNCTION("""COMPUTED_VALUE"""),"8bdbe149")</f>
        <v>8bdbe149</v>
      </c>
      <c r="G876" s="211" t="str">
        <f>IFERROR(__xludf.DUMMYFUNCTION("""COMPUTED_VALUE"""),"Oksigen 6m3")</f>
        <v>Oksigen 6m3</v>
      </c>
      <c r="H876" s="214" t="str">
        <f>IFERROR(__xludf.DUMMYFUNCTION("""COMPUTED_VALUE"""),"OUT")</f>
        <v>OUT</v>
      </c>
      <c r="I876" s="214" t="str">
        <f>IFERROR(__xludf.DUMMYFUNCTION("""COMPUTED_VALUE"""),"NORMAL")</f>
        <v>NORMAL</v>
      </c>
      <c r="J876" s="211">
        <f>IFERROR(__xludf.DUMMYFUNCTION("""COMPUTED_VALUE"""),1.0)</f>
        <v>1</v>
      </c>
      <c r="K876" s="210" t="str">
        <f>IFERROR(__xludf.DUMMYFUNCTION("""COMPUTED_VALUE"""),"11136")</f>
        <v>11136</v>
      </c>
      <c r="L876" s="211">
        <f>IFERROR(__xludf.DUMMYFUNCTION("""COMPUTED_VALUE"""),70000.0)</f>
        <v>70000</v>
      </c>
      <c r="M876" s="211"/>
      <c r="N876" s="211"/>
      <c r="O876" s="211"/>
      <c r="Q876" s="210" t="str">
        <f>IFERROR(__xludf.DUMMYFUNCTION("""COMPUTED_VALUE"""),"c90c74d6")</f>
        <v>c90c74d6</v>
      </c>
      <c r="R876" s="210" t="str">
        <f>IFERROR(__xludf.DUMMYFUNCTION("""COMPUTED_VALUE"""),"c90c74d6")</f>
        <v>c90c74d6</v>
      </c>
      <c r="S876" s="211" t="str">
        <f>IFERROR(__xludf.DUMMYFUNCTION("""COMPUTED_VALUE"""),"8f5ebaea")</f>
        <v>8f5ebaea</v>
      </c>
      <c r="T876" s="211" t="str">
        <f>IFERROR(__xludf.DUMMYFUNCTION("""COMPUTED_VALUE"""),"PT Hua Zong Mesindo")</f>
        <v>PT Hua Zong Mesindo</v>
      </c>
      <c r="U876" s="215">
        <f>IFERROR(__xludf.DUMMYFUNCTION("""COMPUTED_VALUE"""),45817.625)</f>
        <v>45817.625</v>
      </c>
      <c r="V876" s="211" t="str">
        <f>IFERROR(__xludf.DUMMYFUNCTION("""COMPUTED_VALUE"""),"Jl. Bypass Krian, Sidotemo, Sidomulyo, Kec. Krian, Kabupaten Sidoarjo, Jawa Timur 61262")</f>
        <v>Jl. Bypass Krian, Sidotemo, Sidomulyo, Kec. Krian, Kabupaten Sidoarjo, Jawa Timur 61262</v>
      </c>
      <c r="W876" s="211" t="str">
        <f>IFERROR(__xludf.DUMMYFUNCTION("""COMPUTED_VALUE"""),"IN")</f>
        <v>IN</v>
      </c>
      <c r="X876" s="211"/>
      <c r="Z876" s="211" t="str">
        <f>IFERROR(__xludf.DUMMYFUNCTION("""COMPUTED_VALUE"""),"0825261185")</f>
        <v>0825261185</v>
      </c>
      <c r="AC876" s="211"/>
      <c r="AD876" s="211"/>
      <c r="AE876" s="211"/>
      <c r="AF876" s="211"/>
      <c r="AG876" s="211"/>
      <c r="AH876" s="211"/>
      <c r="AI876" s="211"/>
      <c r="AJ876" s="211"/>
      <c r="AL876" s="211"/>
      <c r="AM876" s="211"/>
      <c r="AN876" s="211"/>
      <c r="AO876" s="211"/>
      <c r="AP876" s="215"/>
      <c r="AQ876" s="218"/>
      <c r="AR876" s="211"/>
      <c r="AS876" s="211"/>
      <c r="AT876" s="211"/>
      <c r="AU876" s="211"/>
      <c r="AV876" s="211"/>
      <c r="AW876" s="211"/>
      <c r="AX876" s="211"/>
      <c r="AY876" s="211"/>
      <c r="AZ876" s="211"/>
      <c r="BB876" s="211"/>
      <c r="BC876" s="211"/>
      <c r="BD876" s="211"/>
      <c r="BE876" s="211"/>
      <c r="BF876" s="211"/>
      <c r="BG876" s="211"/>
      <c r="BH876" s="211"/>
      <c r="BI876" s="211"/>
    </row>
    <row r="877">
      <c r="A877" s="210" t="str">
        <f>IFERROR(__xludf.DUMMYFUNCTION("""COMPUTED_VALUE"""),"04250349")</f>
        <v>04250349</v>
      </c>
      <c r="B877" s="210" t="str">
        <f>IFERROR(__xludf.DUMMYFUNCTION("""COMPUTED_VALUE"""),"04250349")</f>
        <v>04250349</v>
      </c>
      <c r="C877" s="213">
        <f>IFERROR(__xludf.DUMMYFUNCTION("""COMPUTED_VALUE"""),45755.45347222222)</f>
        <v>45755.45347</v>
      </c>
      <c r="D877" s="211" t="str">
        <f>IFERROR(__xludf.DUMMYFUNCTION("""COMPUTED_VALUE"""),"8f5ebaea")</f>
        <v>8f5ebaea</v>
      </c>
      <c r="E877" s="211" t="str">
        <f>IFERROR(__xludf.DUMMYFUNCTION("""COMPUTED_VALUE"""),"PT Hua Zong Mesindo")</f>
        <v>PT Hua Zong Mesindo</v>
      </c>
      <c r="F877" s="211" t="str">
        <f>IFERROR(__xludf.DUMMYFUNCTION("""COMPUTED_VALUE"""),"66af7c72")</f>
        <v>66af7c72</v>
      </c>
      <c r="G877" s="211" t="str">
        <f>IFERROR(__xludf.DUMMYFUNCTION("""COMPUTED_VALUE"""),"Argon 6m3")</f>
        <v>Argon 6m3</v>
      </c>
      <c r="H877" s="214" t="str">
        <f>IFERROR(__xludf.DUMMYFUNCTION("""COMPUTED_VALUE"""),"OUT")</f>
        <v>OUT</v>
      </c>
      <c r="I877" s="214" t="str">
        <f>IFERROR(__xludf.DUMMYFUNCTION("""COMPUTED_VALUE"""),"NORMAL")</f>
        <v>NORMAL</v>
      </c>
      <c r="J877" s="211">
        <f>IFERROR(__xludf.DUMMYFUNCTION("""COMPUTED_VALUE"""),4.0)</f>
        <v>4</v>
      </c>
      <c r="K877" s="210" t="str">
        <f>IFERROR(__xludf.DUMMYFUNCTION("""COMPUTED_VALUE"""),"12004 1131 12012 12009")</f>
        <v>12004 1131 12012 12009</v>
      </c>
      <c r="L877" s="211">
        <f>IFERROR(__xludf.DUMMYFUNCTION("""COMPUTED_VALUE"""),190000.0)</f>
        <v>190000</v>
      </c>
      <c r="M877" s="211"/>
      <c r="N877" s="211"/>
      <c r="O877" s="211"/>
      <c r="Q877" s="210" t="str">
        <f>IFERROR(__xludf.DUMMYFUNCTION("""COMPUTED_VALUE"""),"f8d9129b")</f>
        <v>f8d9129b</v>
      </c>
      <c r="R877" s="210" t="str">
        <f>IFERROR(__xludf.DUMMYFUNCTION("""COMPUTED_VALUE"""),"f8d9129b")</f>
        <v>f8d9129b</v>
      </c>
      <c r="S877" s="211" t="str">
        <f>IFERROR(__xludf.DUMMYFUNCTION("""COMPUTED_VALUE"""),"ec231cc9")</f>
        <v>ec231cc9</v>
      </c>
      <c r="T877" s="211" t="str">
        <f>IFERROR(__xludf.DUMMYFUNCTION("""COMPUTED_VALUE"""),"Bpk. Kohir (Maintenance Velg)")</f>
        <v>Bpk. Kohir (Maintenance Velg)</v>
      </c>
      <c r="U877" s="215">
        <f>IFERROR(__xludf.DUMMYFUNCTION("""COMPUTED_VALUE"""),45817.625)</f>
        <v>45817.625</v>
      </c>
      <c r="V877" s="211" t="str">
        <f>IFERROR(__xludf.DUMMYFUNCTION("""COMPUTED_VALUE"""),"Jl. Lkr. Bypass Krian Timur, Sidogolong, Watugolong, Kec. Krian, Kabupaten Sidoarjo, Jawa Timur 61262")</f>
        <v>Jl. Lkr. Bypass Krian Timur, Sidogolong, Watugolong, Kec. Krian, Kabupaten Sidoarjo, Jawa Timur 61262</v>
      </c>
      <c r="W877" s="211" t="str">
        <f>IFERROR(__xludf.DUMMYFUNCTION("""COMPUTED_VALUE"""),"IN")</f>
        <v>IN</v>
      </c>
      <c r="X877" s="211"/>
      <c r="Z877" s="211" t="str">
        <f>IFERROR(__xludf.DUMMYFUNCTION("""COMPUTED_VALUE"""),"0825111183")</f>
        <v>0825111183</v>
      </c>
      <c r="AC877" s="211"/>
      <c r="AD877" s="211"/>
      <c r="AE877" s="211"/>
      <c r="AF877" s="211"/>
      <c r="AG877" s="211"/>
      <c r="AH877" s="211"/>
      <c r="AI877" s="211"/>
      <c r="AJ877" s="211"/>
      <c r="AL877" s="211"/>
      <c r="AM877" s="211"/>
      <c r="AN877" s="211"/>
      <c r="AO877" s="211"/>
      <c r="AP877" s="215"/>
      <c r="AQ877" s="218"/>
      <c r="AR877" s="211"/>
      <c r="AS877" s="211"/>
      <c r="AT877" s="211"/>
      <c r="AU877" s="211"/>
      <c r="AV877" s="211"/>
      <c r="AW877" s="211"/>
      <c r="AX877" s="211"/>
      <c r="AY877" s="211"/>
      <c r="AZ877" s="211"/>
      <c r="BB877" s="211"/>
      <c r="BC877" s="211"/>
      <c r="BD877" s="211"/>
      <c r="BE877" s="211"/>
      <c r="BF877" s="211"/>
      <c r="BG877" s="211"/>
      <c r="BH877" s="211"/>
      <c r="BI877" s="211"/>
    </row>
    <row r="878">
      <c r="A878" s="210" t="str">
        <f>IFERROR(__xludf.DUMMYFUNCTION("""COMPUTED_VALUE"""),"04250349")</f>
        <v>04250349</v>
      </c>
      <c r="B878" s="210" t="str">
        <f>IFERROR(__xludf.DUMMYFUNCTION("""COMPUTED_VALUE"""),"04250349")</f>
        <v>04250349</v>
      </c>
      <c r="C878" s="213">
        <f>IFERROR(__xludf.DUMMYFUNCTION("""COMPUTED_VALUE"""),45755.45416666667)</f>
        <v>45755.45417</v>
      </c>
      <c r="D878" s="211" t="str">
        <f>IFERROR(__xludf.DUMMYFUNCTION("""COMPUTED_VALUE"""),"8f5ebaea")</f>
        <v>8f5ebaea</v>
      </c>
      <c r="E878" s="211" t="str">
        <f>IFERROR(__xludf.DUMMYFUNCTION("""COMPUTED_VALUE"""),"PT Hua Zong Mesindo")</f>
        <v>PT Hua Zong Mesindo</v>
      </c>
      <c r="F878" s="211" t="str">
        <f>IFERROR(__xludf.DUMMYFUNCTION("""COMPUTED_VALUE"""),"ef306e54")</f>
        <v>ef306e54</v>
      </c>
      <c r="G878" s="211" t="str">
        <f>IFERROR(__xludf.DUMMYFUNCTION("""COMPUTED_VALUE"""),"Karbondioksida")</f>
        <v>Karbondioksida</v>
      </c>
      <c r="H878" s="214" t="str">
        <f>IFERROR(__xludf.DUMMYFUNCTION("""COMPUTED_VALUE"""),"OUT")</f>
        <v>OUT</v>
      </c>
      <c r="I878" s="214" t="str">
        <f>IFERROR(__xludf.DUMMYFUNCTION("""COMPUTED_VALUE"""),"NORMAL")</f>
        <v>NORMAL</v>
      </c>
      <c r="J878" s="211">
        <f>IFERROR(__xludf.DUMMYFUNCTION("""COMPUTED_VALUE"""),3.0)</f>
        <v>3</v>
      </c>
      <c r="K878" s="210" t="str">
        <f>IFERROR(__xludf.DUMMYFUNCTION("""COMPUTED_VALUE"""),"13003 13001 13002")</f>
        <v>13003 13001 13002</v>
      </c>
      <c r="L878" s="211">
        <f>IFERROR(__xludf.DUMMYFUNCTION("""COMPUTED_VALUE"""),160000.0)</f>
        <v>160000</v>
      </c>
      <c r="M878" s="211"/>
      <c r="N878" s="211"/>
      <c r="O878" s="211"/>
      <c r="Q878" s="210" t="str">
        <f>IFERROR(__xludf.DUMMYFUNCTION("""COMPUTED_VALUE"""),"06250501")</f>
        <v>06250501</v>
      </c>
      <c r="R878" s="210" t="str">
        <f>IFERROR(__xludf.DUMMYFUNCTION("""COMPUTED_VALUE"""),"06250501")</f>
        <v>06250501</v>
      </c>
      <c r="S878" s="211" t="str">
        <f>IFERROR(__xludf.DUMMYFUNCTION("""COMPUTED_VALUE"""),"3fec37df")</f>
        <v>3fec37df</v>
      </c>
      <c r="T878" s="211" t="str">
        <f>IFERROR(__xludf.DUMMYFUNCTION("""COMPUTED_VALUE"""),"PT Jatim Abadi Perkasa Steel")</f>
        <v>PT Jatim Abadi Perkasa Steel</v>
      </c>
      <c r="U878" s="215">
        <f>IFERROR(__xludf.DUMMYFUNCTION("""COMPUTED_VALUE"""),45818.35972222222)</f>
        <v>45818.35972</v>
      </c>
      <c r="V878" s="211" t="str">
        <f>IFERROR(__xludf.DUMMYFUNCTION("""COMPUTED_VALUE"""),"Dsn. Bulak Sempuh, Jatirejo, Kab. Mojokerto, Jawa Timur")</f>
        <v>Dsn. Bulak Sempuh, Jatirejo, Kab. Mojokerto, Jawa Timur</v>
      </c>
      <c r="W878" s="211" t="str">
        <f>IFERROR(__xludf.DUMMYFUNCTION("""COMPUTED_VALUE"""),"OUT")</f>
        <v>OUT</v>
      </c>
      <c r="X878" s="211"/>
      <c r="Z878" s="211" t="str">
        <f>IFERROR(__xludf.DUMMYFUNCTION("""COMPUTED_VALUE"""),"082591182")</f>
        <v>082591182</v>
      </c>
      <c r="AC878" s="211"/>
      <c r="AD878" s="211"/>
      <c r="AE878" s="211"/>
      <c r="AF878" s="211"/>
      <c r="AG878" s="211"/>
      <c r="AH878" s="211"/>
      <c r="AI878" s="211"/>
      <c r="AJ878" s="211"/>
      <c r="AL878" s="211"/>
      <c r="AM878" s="211"/>
      <c r="AN878" s="211"/>
      <c r="AO878" s="211"/>
      <c r="AP878" s="215"/>
      <c r="AQ878" s="218"/>
      <c r="AR878" s="211"/>
      <c r="AS878" s="211"/>
      <c r="AT878" s="211"/>
      <c r="AU878" s="211"/>
      <c r="AV878" s="211"/>
      <c r="AW878" s="211"/>
      <c r="AX878" s="211"/>
      <c r="AY878" s="211"/>
      <c r="AZ878" s="211"/>
      <c r="BB878" s="211"/>
      <c r="BC878" s="211"/>
      <c r="BD878" s="211"/>
      <c r="BE878" s="211"/>
      <c r="BF878" s="211"/>
      <c r="BG878" s="211"/>
      <c r="BH878" s="211"/>
      <c r="BI878" s="211"/>
    </row>
    <row r="879">
      <c r="A879" s="210" t="str">
        <f>IFERROR(__xludf.DUMMYFUNCTION("""COMPUTED_VALUE"""),"04250349")</f>
        <v>04250349</v>
      </c>
      <c r="B879" s="210" t="str">
        <f>IFERROR(__xludf.DUMMYFUNCTION("""COMPUTED_VALUE"""),"04250349")</f>
        <v>04250349</v>
      </c>
      <c r="C879" s="213">
        <f>IFERROR(__xludf.DUMMYFUNCTION("""COMPUTED_VALUE"""),45755.45416666667)</f>
        <v>45755.45417</v>
      </c>
      <c r="D879" s="211" t="str">
        <f>IFERROR(__xludf.DUMMYFUNCTION("""COMPUTED_VALUE"""),"8f5ebaea")</f>
        <v>8f5ebaea</v>
      </c>
      <c r="E879" s="211" t="str">
        <f>IFERROR(__xludf.DUMMYFUNCTION("""COMPUTED_VALUE"""),"PT Hua Zong Mesindo")</f>
        <v>PT Hua Zong Mesindo</v>
      </c>
      <c r="F879" s="211" t="str">
        <f>IFERROR(__xludf.DUMMYFUNCTION("""COMPUTED_VALUE"""),"8bdbe149")</f>
        <v>8bdbe149</v>
      </c>
      <c r="G879" s="211" t="str">
        <f>IFERROR(__xludf.DUMMYFUNCTION("""COMPUTED_VALUE"""),"Oksigen 6m3")</f>
        <v>Oksigen 6m3</v>
      </c>
      <c r="H879" s="214" t="str">
        <f>IFERROR(__xludf.DUMMYFUNCTION("""COMPUTED_VALUE"""),"OUT")</f>
        <v>OUT</v>
      </c>
      <c r="I879" s="214" t="str">
        <f>IFERROR(__xludf.DUMMYFUNCTION("""COMPUTED_VALUE"""),"NORMAL")</f>
        <v>NORMAL</v>
      </c>
      <c r="J879" s="211">
        <f>IFERROR(__xludf.DUMMYFUNCTION("""COMPUTED_VALUE"""),2.0)</f>
        <v>2</v>
      </c>
      <c r="K879" s="210" t="str">
        <f>IFERROR(__xludf.DUMMYFUNCTION("""COMPUTED_VALUE"""),"11122 1158")</f>
        <v>11122 1158</v>
      </c>
      <c r="L879" s="211">
        <f>IFERROR(__xludf.DUMMYFUNCTION("""COMPUTED_VALUE"""),60000.0)</f>
        <v>60000</v>
      </c>
      <c r="M879" s="211"/>
      <c r="N879" s="211"/>
      <c r="O879" s="211"/>
      <c r="Q879" s="210" t="str">
        <f>IFERROR(__xludf.DUMMYFUNCTION("""COMPUTED_VALUE"""),"6a1dfde4")</f>
        <v>6a1dfde4</v>
      </c>
      <c r="R879" s="210" t="str">
        <f>IFERROR(__xludf.DUMMYFUNCTION("""COMPUTED_VALUE"""),"6a1dfde4")</f>
        <v>6a1dfde4</v>
      </c>
      <c r="S879" s="211" t="str">
        <f>IFERROR(__xludf.DUMMYFUNCTION("""COMPUTED_VALUE"""),"3fec37df")</f>
        <v>3fec37df</v>
      </c>
      <c r="T879" s="211" t="str">
        <f>IFERROR(__xludf.DUMMYFUNCTION("""COMPUTED_VALUE"""),"PT Jatim Abadi Perkasa Steel")</f>
        <v>PT Jatim Abadi Perkasa Steel</v>
      </c>
      <c r="U879" s="215">
        <f>IFERROR(__xludf.DUMMYFUNCTION("""COMPUTED_VALUE"""),45818.71527777778)</f>
        <v>45818.71528</v>
      </c>
      <c r="V879" s="211" t="str">
        <f>IFERROR(__xludf.DUMMYFUNCTION("""COMPUTED_VALUE"""),"Dsn. Bulak Sempuh, Jatirejo, Kab. Mojokerto, Jawa Timur")</f>
        <v>Dsn. Bulak Sempuh, Jatirejo, Kab. Mojokerto, Jawa Timur</v>
      </c>
      <c r="W879" s="211" t="str">
        <f>IFERROR(__xludf.DUMMYFUNCTION("""COMPUTED_VALUE"""),"IN")</f>
        <v>IN</v>
      </c>
      <c r="X879" s="211"/>
      <c r="Z879" s="211" t="str">
        <f>IFERROR(__xludf.DUMMYFUNCTION("""COMPUTED_VALUE"""),"0825431179")</f>
        <v>0825431179</v>
      </c>
      <c r="AC879" s="211"/>
      <c r="AD879" s="211"/>
      <c r="AE879" s="211"/>
      <c r="AF879" s="211"/>
      <c r="AG879" s="211"/>
      <c r="AH879" s="211"/>
      <c r="AI879" s="211"/>
      <c r="AJ879" s="211"/>
      <c r="AL879" s="211"/>
      <c r="AM879" s="211"/>
      <c r="AN879" s="211"/>
      <c r="AO879" s="211"/>
      <c r="AP879" s="215"/>
      <c r="AQ879" s="218"/>
      <c r="AR879" s="211"/>
      <c r="AS879" s="211"/>
      <c r="AT879" s="211"/>
      <c r="AU879" s="211"/>
      <c r="AV879" s="211"/>
      <c r="AW879" s="211"/>
      <c r="AX879" s="211"/>
      <c r="AY879" s="211"/>
      <c r="AZ879" s="211"/>
      <c r="BB879" s="211"/>
      <c r="BC879" s="211"/>
      <c r="BD879" s="211"/>
      <c r="BE879" s="211"/>
      <c r="BF879" s="211"/>
      <c r="BG879" s="211"/>
      <c r="BH879" s="211"/>
      <c r="BI879" s="211"/>
    </row>
    <row r="880">
      <c r="A880" s="210" t="str">
        <f>IFERROR(__xludf.DUMMYFUNCTION("""COMPUTED_VALUE"""),"0ab37351")</f>
        <v>0ab37351</v>
      </c>
      <c r="B880" s="210" t="str">
        <f>IFERROR(__xludf.DUMMYFUNCTION("""COMPUTED_VALUE"""),"0ab37351")</f>
        <v>0ab37351</v>
      </c>
      <c r="C880" s="213">
        <f>IFERROR(__xludf.DUMMYFUNCTION("""COMPUTED_VALUE"""),45755.50625)</f>
        <v>45755.50625</v>
      </c>
      <c r="D880" s="211" t="str">
        <f>IFERROR(__xludf.DUMMYFUNCTION("""COMPUTED_VALUE"""),"8f5ebaea")</f>
        <v>8f5ebaea</v>
      </c>
      <c r="E880" s="211" t="str">
        <f>IFERROR(__xludf.DUMMYFUNCTION("""COMPUTED_VALUE"""),"PT Hua Zong Mesindo")</f>
        <v>PT Hua Zong Mesindo</v>
      </c>
      <c r="F880" s="211" t="str">
        <f>IFERROR(__xludf.DUMMYFUNCTION("""COMPUTED_VALUE"""),"8bdbe149")</f>
        <v>8bdbe149</v>
      </c>
      <c r="G880" s="211" t="str">
        <f>IFERROR(__xludf.DUMMYFUNCTION("""COMPUTED_VALUE"""),"Oksigen 6m3")</f>
        <v>Oksigen 6m3</v>
      </c>
      <c r="H880" s="214" t="str">
        <f>IFERROR(__xludf.DUMMYFUNCTION("""COMPUTED_VALUE"""),"IN")</f>
        <v>IN</v>
      </c>
      <c r="I880" s="214" t="str">
        <f>IFERROR(__xludf.DUMMYFUNCTION("""COMPUTED_VALUE"""),"EMPTY")</f>
        <v>EMPTY</v>
      </c>
      <c r="J880" s="211">
        <f>IFERROR(__xludf.DUMMYFUNCTION("""COMPUTED_VALUE"""),1.0)</f>
        <v>1</v>
      </c>
      <c r="K880" s="210" t="str">
        <f>IFERROR(__xludf.DUMMYFUNCTION("""COMPUTED_VALUE"""),"1118")</f>
        <v>1118</v>
      </c>
      <c r="L880" s="211">
        <f>IFERROR(__xludf.DUMMYFUNCTION("""COMPUTED_VALUE"""),0.0)</f>
        <v>0</v>
      </c>
      <c r="M880" s="211"/>
      <c r="N880" s="211"/>
      <c r="O880" s="211"/>
      <c r="Q880" s="210" t="str">
        <f>IFERROR(__xludf.DUMMYFUNCTION("""COMPUTED_VALUE"""),"06250502")</f>
        <v>06250502</v>
      </c>
      <c r="R880" s="210" t="str">
        <f>IFERROR(__xludf.DUMMYFUNCTION("""COMPUTED_VALUE"""),"06250502")</f>
        <v>06250502</v>
      </c>
      <c r="S880" s="211" t="str">
        <f>IFERROR(__xludf.DUMMYFUNCTION("""COMPUTED_VALUE"""),"d78b2eaf")</f>
        <v>d78b2eaf</v>
      </c>
      <c r="T880" s="211" t="str">
        <f>IFERROR(__xludf.DUMMYFUNCTION("""COMPUTED_VALUE"""),"PT Sinar Indogreen Kencana")</f>
        <v>PT Sinar Indogreen Kencana</v>
      </c>
      <c r="U880" s="215">
        <f>IFERROR(__xludf.DUMMYFUNCTION("""COMPUTED_VALUE"""),45819.540972222225)</f>
        <v>45819.54097</v>
      </c>
      <c r="V880" s="211" t="str">
        <f>IFERROR(__xludf.DUMMYFUNCTION("""COMPUTED_VALUE"""),"Jl. Raya Ponokawan 8b RT/001 RW/002, Ponokawan, Krian, Sidoarjo")</f>
        <v>Jl. Raya Ponokawan 8b RT/001 RW/002, Ponokawan, Krian, Sidoarjo</v>
      </c>
      <c r="W880" s="211" t="str">
        <f>IFERROR(__xludf.DUMMYFUNCTION("""COMPUTED_VALUE"""),"OUT")</f>
        <v>OUT</v>
      </c>
      <c r="X880" s="211"/>
      <c r="Z880" s="211" t="str">
        <f>IFERROR(__xludf.DUMMYFUNCTION("""COMPUTED_VALUE"""),"0825161176")</f>
        <v>0825161176</v>
      </c>
      <c r="AC880" s="211"/>
      <c r="AD880" s="211"/>
      <c r="AE880" s="211"/>
      <c r="AF880" s="211"/>
      <c r="AG880" s="211"/>
      <c r="AH880" s="211"/>
      <c r="AI880" s="211"/>
      <c r="AJ880" s="211"/>
      <c r="AL880" s="211"/>
      <c r="AM880" s="211"/>
      <c r="AN880" s="211"/>
      <c r="AO880" s="211"/>
      <c r="AP880" s="215"/>
      <c r="AQ880" s="218"/>
      <c r="AR880" s="211"/>
      <c r="AS880" s="211"/>
      <c r="AT880" s="211"/>
      <c r="AU880" s="211"/>
      <c r="AV880" s="211"/>
      <c r="AW880" s="211"/>
      <c r="AX880" s="211"/>
      <c r="AY880" s="211"/>
      <c r="AZ880" s="211"/>
      <c r="BB880" s="211"/>
      <c r="BC880" s="211"/>
      <c r="BD880" s="211"/>
      <c r="BE880" s="211"/>
      <c r="BF880" s="211"/>
      <c r="BG880" s="211"/>
      <c r="BH880" s="211"/>
      <c r="BI880" s="211"/>
    </row>
    <row r="881">
      <c r="A881" s="210" t="str">
        <f>IFERROR(__xludf.DUMMYFUNCTION("""COMPUTED_VALUE"""),"0ab37351")</f>
        <v>0ab37351</v>
      </c>
      <c r="B881" s="210" t="str">
        <f>IFERROR(__xludf.DUMMYFUNCTION("""COMPUTED_VALUE"""),"0ab37351")</f>
        <v>0ab37351</v>
      </c>
      <c r="C881" s="213">
        <f>IFERROR(__xludf.DUMMYFUNCTION("""COMPUTED_VALUE"""),45755.50625)</f>
        <v>45755.50625</v>
      </c>
      <c r="D881" s="211" t="str">
        <f>IFERROR(__xludf.DUMMYFUNCTION("""COMPUTED_VALUE"""),"8f5ebaea")</f>
        <v>8f5ebaea</v>
      </c>
      <c r="E881" s="211" t="str">
        <f>IFERROR(__xludf.DUMMYFUNCTION("""COMPUTED_VALUE"""),"PT Hua Zong Mesindo")</f>
        <v>PT Hua Zong Mesindo</v>
      </c>
      <c r="F881" s="211" t="str">
        <f>IFERROR(__xludf.DUMMYFUNCTION("""COMPUTED_VALUE"""),"66af7c72")</f>
        <v>66af7c72</v>
      </c>
      <c r="G881" s="211" t="str">
        <f>IFERROR(__xludf.DUMMYFUNCTION("""COMPUTED_VALUE"""),"Argon 6m3")</f>
        <v>Argon 6m3</v>
      </c>
      <c r="H881" s="214" t="str">
        <f>IFERROR(__xludf.DUMMYFUNCTION("""COMPUTED_VALUE"""),"IN")</f>
        <v>IN</v>
      </c>
      <c r="I881" s="214" t="str">
        <f>IFERROR(__xludf.DUMMYFUNCTION("""COMPUTED_VALUE"""),"EMPTY")</f>
        <v>EMPTY</v>
      </c>
      <c r="J881" s="211">
        <f>IFERROR(__xludf.DUMMYFUNCTION("""COMPUTED_VALUE"""),2.0)</f>
        <v>2</v>
      </c>
      <c r="K881" s="210" t="str">
        <f>IFERROR(__xludf.DUMMYFUNCTION("""COMPUTED_VALUE"""),"8308 12001")</f>
        <v>8308 12001</v>
      </c>
      <c r="L881" s="211">
        <f>IFERROR(__xludf.DUMMYFUNCTION("""COMPUTED_VALUE"""),0.0)</f>
        <v>0</v>
      </c>
      <c r="M881" s="211"/>
      <c r="N881" s="211"/>
      <c r="O881" s="211"/>
      <c r="Q881" s="210" t="str">
        <f>IFERROR(__xludf.DUMMYFUNCTION("""COMPUTED_VALUE"""),"da48b68f")</f>
        <v>da48b68f</v>
      </c>
      <c r="R881" s="210" t="str">
        <f>IFERROR(__xludf.DUMMYFUNCTION("""COMPUTED_VALUE"""),"da48b68f")</f>
        <v>da48b68f</v>
      </c>
      <c r="S881" s="211" t="str">
        <f>IFERROR(__xludf.DUMMYFUNCTION("""COMPUTED_VALUE"""),"d78b2eaf")</f>
        <v>d78b2eaf</v>
      </c>
      <c r="T881" s="211" t="str">
        <f>IFERROR(__xludf.DUMMYFUNCTION("""COMPUTED_VALUE"""),"PT Sinar Indogreen Kencana")</f>
        <v>PT Sinar Indogreen Kencana</v>
      </c>
      <c r="U881" s="215">
        <f>IFERROR(__xludf.DUMMYFUNCTION("""COMPUTED_VALUE"""),45819.60763888889)</f>
        <v>45819.60764</v>
      </c>
      <c r="V881" s="211" t="str">
        <f>IFERROR(__xludf.DUMMYFUNCTION("""COMPUTED_VALUE"""),"Jl. Raya Ponokawan 8b RT/001 RW/002, Ponokawan, Krian, Sidoarjo")</f>
        <v>Jl. Raya Ponokawan 8b RT/001 RW/002, Ponokawan, Krian, Sidoarjo</v>
      </c>
      <c r="W881" s="211" t="str">
        <f>IFERROR(__xludf.DUMMYFUNCTION("""COMPUTED_VALUE"""),"IN")</f>
        <v>IN</v>
      </c>
      <c r="X881" s="211"/>
      <c r="Z881" s="211" t="str">
        <f>IFERROR(__xludf.DUMMYFUNCTION("""COMPUTED_VALUE"""),"082511175")</f>
        <v>082511175</v>
      </c>
      <c r="AC881" s="211"/>
      <c r="AD881" s="211"/>
      <c r="AE881" s="211"/>
      <c r="AF881" s="211"/>
      <c r="AG881" s="211"/>
      <c r="AH881" s="211"/>
      <c r="AI881" s="211"/>
      <c r="AJ881" s="211"/>
      <c r="AL881" s="211"/>
      <c r="AM881" s="211"/>
      <c r="AN881" s="211"/>
      <c r="AO881" s="211"/>
      <c r="AP881" s="215"/>
      <c r="AQ881" s="218"/>
      <c r="AR881" s="211"/>
      <c r="AS881" s="211"/>
      <c r="AT881" s="211"/>
      <c r="AU881" s="211"/>
      <c r="AV881" s="211"/>
      <c r="AW881" s="211"/>
      <c r="AX881" s="211"/>
      <c r="AY881" s="211"/>
      <c r="AZ881" s="211"/>
      <c r="BB881" s="211"/>
      <c r="BC881" s="211"/>
      <c r="BD881" s="211"/>
      <c r="BE881" s="211"/>
      <c r="BF881" s="211"/>
      <c r="BG881" s="211"/>
      <c r="BH881" s="211"/>
      <c r="BI881" s="211"/>
    </row>
    <row r="882">
      <c r="A882" s="210" t="str">
        <f>IFERROR(__xludf.DUMMYFUNCTION("""COMPUTED_VALUE"""),"04250352")</f>
        <v>04250352</v>
      </c>
      <c r="B882" s="210" t="str">
        <f>IFERROR(__xludf.DUMMYFUNCTION("""COMPUTED_VALUE"""),"04250352")</f>
        <v>04250352</v>
      </c>
      <c r="C882" s="213">
        <f>IFERROR(__xludf.DUMMYFUNCTION("""COMPUTED_VALUE"""),45755.584027777775)</f>
        <v>45755.58403</v>
      </c>
      <c r="D882" s="211" t="str">
        <f>IFERROR(__xludf.DUMMYFUNCTION("""COMPUTED_VALUE"""),"4bef3bbf")</f>
        <v>4bef3bbf</v>
      </c>
      <c r="E882" s="211" t="str">
        <f>IFERROR(__xludf.DUMMYFUNCTION("""COMPUTED_VALUE"""),"PT Dingsheng Metal Indonesia (Ngoro)")</f>
        <v>PT Dingsheng Metal Indonesia (Ngoro)</v>
      </c>
      <c r="F882" s="211" t="str">
        <f>IFERROR(__xludf.DUMMYFUNCTION("""COMPUTED_VALUE"""),"8bdbe149")</f>
        <v>8bdbe149</v>
      </c>
      <c r="G882" s="211" t="str">
        <f>IFERROR(__xludf.DUMMYFUNCTION("""COMPUTED_VALUE"""),"Oksigen 6m3")</f>
        <v>Oksigen 6m3</v>
      </c>
      <c r="H882" s="214" t="str">
        <f>IFERROR(__xludf.DUMMYFUNCTION("""COMPUTED_VALUE"""),"OUT")</f>
        <v>OUT</v>
      </c>
      <c r="I882" s="214" t="str">
        <f>IFERROR(__xludf.DUMMYFUNCTION("""COMPUTED_VALUE"""),"NORMAL")</f>
        <v>NORMAL</v>
      </c>
      <c r="J882" s="211">
        <f>IFERROR(__xludf.DUMMYFUNCTION("""COMPUTED_VALUE"""),10.0)</f>
        <v>10</v>
      </c>
      <c r="K882" s="210" t="str">
        <f>IFERROR(__xludf.DUMMYFUNCTION("""COMPUTED_VALUE"""),"11177 11127 1164 11176 11188 11191 11202 11192 11186 11195")</f>
        <v>11177 11127 1164 11176 11188 11191 11202 11192 11186 11195</v>
      </c>
      <c r="L882" s="211">
        <f>IFERROR(__xludf.DUMMYFUNCTION("""COMPUTED_VALUE"""),45045.045)</f>
        <v>45045.045</v>
      </c>
      <c r="M882" s="211"/>
      <c r="N882" s="211"/>
      <c r="O882" s="211"/>
      <c r="Q882" s="210" t="str">
        <f>IFERROR(__xludf.DUMMYFUNCTION("""COMPUTED_VALUE"""),"435e9bac")</f>
        <v>435e9bac</v>
      </c>
      <c r="R882" s="210" t="str">
        <f>IFERROR(__xludf.DUMMYFUNCTION("""COMPUTED_VALUE"""),"435e9bac")</f>
        <v>435e9bac</v>
      </c>
      <c r="S882" s="211" t="str">
        <f>IFERROR(__xludf.DUMMYFUNCTION("""COMPUTED_VALUE"""),"103f3ae7")</f>
        <v>103f3ae7</v>
      </c>
      <c r="T882" s="211" t="str">
        <f>IFERROR(__xludf.DUMMYFUNCTION("""COMPUTED_VALUE"""),"PT ARYANA CAKASANA")</f>
        <v>PT ARYANA CAKASANA</v>
      </c>
      <c r="U882" s="215">
        <f>IFERROR(__xludf.DUMMYFUNCTION("""COMPUTED_VALUE"""),45819.60763888889)</f>
        <v>45819.60764</v>
      </c>
      <c r="V882" s="211" t="str">
        <f>IFERROR(__xludf.DUMMYFUNCTION("""COMPUTED_VALUE"""),"Jl Raya Tarik No. 45, Wonokupang, Bakalan, Balongbendo")</f>
        <v>Jl Raya Tarik No. 45, Wonokupang, Bakalan, Balongbendo</v>
      </c>
      <c r="W882" s="211" t="str">
        <f>IFERROR(__xludf.DUMMYFUNCTION("""COMPUTED_VALUE"""),"IN")</f>
        <v>IN</v>
      </c>
      <c r="X882" s="211"/>
      <c r="Z882" s="211" t="str">
        <f>IFERROR(__xludf.DUMMYFUNCTION("""COMPUTED_VALUE"""),"082541174")</f>
        <v>082541174</v>
      </c>
      <c r="AC882" s="211"/>
      <c r="AD882" s="211"/>
      <c r="AE882" s="211"/>
      <c r="AF882" s="211"/>
      <c r="AG882" s="211"/>
      <c r="AH882" s="211"/>
      <c r="AI882" s="211"/>
      <c r="AJ882" s="211"/>
      <c r="AL882" s="211"/>
      <c r="AM882" s="211"/>
      <c r="AN882" s="211"/>
      <c r="AO882" s="211"/>
      <c r="AP882" s="215"/>
      <c r="AQ882" s="218"/>
      <c r="AR882" s="211"/>
      <c r="AS882" s="211"/>
      <c r="AT882" s="211"/>
      <c r="AU882" s="211"/>
      <c r="AV882" s="211"/>
      <c r="AW882" s="211"/>
      <c r="AX882" s="211"/>
      <c r="AY882" s="211"/>
      <c r="AZ882" s="211"/>
      <c r="BB882" s="211"/>
      <c r="BC882" s="211"/>
      <c r="BD882" s="211"/>
      <c r="BE882" s="211"/>
      <c r="BF882" s="211"/>
      <c r="BG882" s="211"/>
      <c r="BH882" s="211"/>
      <c r="BI882" s="211"/>
    </row>
    <row r="883">
      <c r="A883" s="210" t="str">
        <f>IFERROR(__xludf.DUMMYFUNCTION("""COMPUTED_VALUE"""),"fec6e5d5")</f>
        <v>fec6e5d5</v>
      </c>
      <c r="B883" s="210" t="str">
        <f>IFERROR(__xludf.DUMMYFUNCTION("""COMPUTED_VALUE"""),"fec6e5d5")</f>
        <v>fec6e5d5</v>
      </c>
      <c r="C883" s="213">
        <f>IFERROR(__xludf.DUMMYFUNCTION("""COMPUTED_VALUE"""),45755.625)</f>
        <v>45755.625</v>
      </c>
      <c r="D883" s="211" t="str">
        <f>IFERROR(__xludf.DUMMYFUNCTION("""COMPUTED_VALUE"""),"e93f2c03")</f>
        <v>e93f2c03</v>
      </c>
      <c r="E883" s="211" t="str">
        <f>IFERROR(__xludf.DUMMYFUNCTION("""COMPUTED_VALUE"""),"Ibu Siti Barokah")</f>
        <v>Ibu Siti Barokah</v>
      </c>
      <c r="F883" s="211" t="str">
        <f>IFERROR(__xludf.DUMMYFUNCTION("""COMPUTED_VALUE"""),"8bdbe149")</f>
        <v>8bdbe149</v>
      </c>
      <c r="G883" s="211" t="str">
        <f>IFERROR(__xludf.DUMMYFUNCTION("""COMPUTED_VALUE"""),"Oksigen 6m3")</f>
        <v>Oksigen 6m3</v>
      </c>
      <c r="H883" s="214" t="str">
        <f>IFERROR(__xludf.DUMMYFUNCTION("""COMPUTED_VALUE"""),"IN")</f>
        <v>IN</v>
      </c>
      <c r="I883" s="214" t="str">
        <f>IFERROR(__xludf.DUMMYFUNCTION("""COMPUTED_VALUE"""),"EMPTY")</f>
        <v>EMPTY</v>
      </c>
      <c r="J883" s="211">
        <f>IFERROR(__xludf.DUMMYFUNCTION("""COMPUTED_VALUE"""),1.0)</f>
        <v>1</v>
      </c>
      <c r="K883" s="211"/>
      <c r="L883" s="211">
        <f>IFERROR(__xludf.DUMMYFUNCTION("""COMPUTED_VALUE"""),0.0)</f>
        <v>0</v>
      </c>
      <c r="M883" s="211"/>
      <c r="N883" s="211"/>
      <c r="O883" s="211"/>
      <c r="Q883" s="210" t="str">
        <f>IFERROR(__xludf.DUMMYFUNCTION("""COMPUTED_VALUE"""),"06250503")</f>
        <v>06250503</v>
      </c>
      <c r="R883" s="210" t="str">
        <f>IFERROR(__xludf.DUMMYFUNCTION("""COMPUTED_VALUE"""),"06250503")</f>
        <v>06250503</v>
      </c>
      <c r="S883" s="211" t="str">
        <f>IFERROR(__xludf.DUMMYFUNCTION("""COMPUTED_VALUE"""),"ed2cc96a")</f>
        <v>ed2cc96a</v>
      </c>
      <c r="T883" s="211" t="str">
        <f>IFERROR(__xludf.DUMMYFUNCTION("""COMPUTED_VALUE"""),"Bengkel Dian Jaya")</f>
        <v>Bengkel Dian Jaya</v>
      </c>
      <c r="U883" s="215">
        <f>IFERROR(__xludf.DUMMYFUNCTION("""COMPUTED_VALUE"""),45820.365277777775)</f>
        <v>45820.36528</v>
      </c>
      <c r="V883" s="211" t="str">
        <f>IFERROR(__xludf.DUMMYFUNCTION("""COMPUTED_VALUE"""),"Gg. 2, Kejagan, Kec. Trowulan, Kabupaten Mojokerto, Jawa Timur 61362")</f>
        <v>Gg. 2, Kejagan, Kec. Trowulan, Kabupaten Mojokerto, Jawa Timur 61362</v>
      </c>
      <c r="W883" s="211" t="str">
        <f>IFERROR(__xludf.DUMMYFUNCTION("""COMPUTED_VALUE"""),"OUT")</f>
        <v>OUT</v>
      </c>
      <c r="X883" s="211"/>
      <c r="Z883" s="211" t="str">
        <f>IFERROR(__xludf.DUMMYFUNCTION("""COMPUTED_VALUE"""),"082581171")</f>
        <v>082581171</v>
      </c>
      <c r="AC883" s="211"/>
      <c r="AD883" s="211"/>
      <c r="AE883" s="211"/>
      <c r="AF883" s="211"/>
      <c r="AG883" s="211"/>
      <c r="AH883" s="211"/>
      <c r="AI883" s="211"/>
      <c r="AJ883" s="211"/>
      <c r="AL883" s="211"/>
      <c r="AM883" s="211"/>
      <c r="AN883" s="211"/>
      <c r="AO883" s="211"/>
      <c r="AP883" s="215"/>
      <c r="AQ883" s="218"/>
      <c r="AR883" s="211"/>
      <c r="AS883" s="211"/>
      <c r="AT883" s="211"/>
      <c r="AU883" s="211"/>
      <c r="AV883" s="211"/>
      <c r="AW883" s="211"/>
      <c r="AX883" s="211"/>
      <c r="AY883" s="211"/>
      <c r="AZ883" s="211"/>
      <c r="BB883" s="211"/>
      <c r="BC883" s="211"/>
      <c r="BD883" s="211"/>
      <c r="BE883" s="211"/>
      <c r="BF883" s="211"/>
      <c r="BG883" s="211"/>
      <c r="BH883" s="211"/>
      <c r="BI883" s="211"/>
    </row>
    <row r="884">
      <c r="A884" s="210" t="str">
        <f>IFERROR(__xludf.DUMMYFUNCTION("""COMPUTED_VALUE"""),"04250353")</f>
        <v>04250353</v>
      </c>
      <c r="B884" s="210" t="str">
        <f>IFERROR(__xludf.DUMMYFUNCTION("""COMPUTED_VALUE"""),"04250353")</f>
        <v>04250353</v>
      </c>
      <c r="C884" s="213">
        <f>IFERROR(__xludf.DUMMYFUNCTION("""COMPUTED_VALUE"""),45755.62569444445)</f>
        <v>45755.62569</v>
      </c>
      <c r="D884" s="211" t="str">
        <f>IFERROR(__xludf.DUMMYFUNCTION("""COMPUTED_VALUE"""),"e93f2c03")</f>
        <v>e93f2c03</v>
      </c>
      <c r="E884" s="211" t="str">
        <f>IFERROR(__xludf.DUMMYFUNCTION("""COMPUTED_VALUE"""),"Ibu Siti Barokah")</f>
        <v>Ibu Siti Barokah</v>
      </c>
      <c r="F884" s="211" t="str">
        <f>IFERROR(__xludf.DUMMYFUNCTION("""COMPUTED_VALUE"""),"8bdbe149")</f>
        <v>8bdbe149</v>
      </c>
      <c r="G884" s="211" t="str">
        <f>IFERROR(__xludf.DUMMYFUNCTION("""COMPUTED_VALUE"""),"Oksigen 6m3")</f>
        <v>Oksigen 6m3</v>
      </c>
      <c r="H884" s="214" t="str">
        <f>IFERROR(__xludf.DUMMYFUNCTION("""COMPUTED_VALUE"""),"OUT")</f>
        <v>OUT</v>
      </c>
      <c r="I884" s="214" t="str">
        <f>IFERROR(__xludf.DUMMYFUNCTION("""COMPUTED_VALUE"""),"NORMAL")</f>
        <v>NORMAL</v>
      </c>
      <c r="J884" s="211">
        <f>IFERROR(__xludf.DUMMYFUNCTION("""COMPUTED_VALUE"""),1.0)</f>
        <v>1</v>
      </c>
      <c r="K884" s="211"/>
      <c r="L884" s="211">
        <f>IFERROR(__xludf.DUMMYFUNCTION("""COMPUTED_VALUE"""),80000.0)</f>
        <v>80000</v>
      </c>
      <c r="M884" s="211"/>
      <c r="N884" s="211"/>
      <c r="O884" s="211"/>
      <c r="Q884" s="210" t="str">
        <f>IFERROR(__xludf.DUMMYFUNCTION("""COMPUTED_VALUE"""),"06250504")</f>
        <v>06250504</v>
      </c>
      <c r="R884" s="210" t="str">
        <f>IFERROR(__xludf.DUMMYFUNCTION("""COMPUTED_VALUE"""),"06250504")</f>
        <v>06250504</v>
      </c>
      <c r="S884" s="211" t="str">
        <f>IFERROR(__xludf.DUMMYFUNCTION("""COMPUTED_VALUE"""),"785e0e07")</f>
        <v>785e0e07</v>
      </c>
      <c r="T884" s="211" t="str">
        <f>IFERROR(__xludf.DUMMYFUNCTION("""COMPUTED_VALUE"""),"Bpk. Sukirno (Bejo)")</f>
        <v>Bpk. Sukirno (Bejo)</v>
      </c>
      <c r="U884" s="215">
        <f>IFERROR(__xludf.DUMMYFUNCTION("""COMPUTED_VALUE"""),45820.419444444444)</f>
        <v>45820.41944</v>
      </c>
      <c r="V884" s="211" t="str">
        <f>IFERROR(__xludf.DUMMYFUNCTION("""COMPUTED_VALUE"""),"Krajan I, Wringinanom, Kec. Wringinanom, Kabupaten Gresik, Jawa Timur 61176")</f>
        <v>Krajan I, Wringinanom, Kec. Wringinanom, Kabupaten Gresik, Jawa Timur 61176</v>
      </c>
      <c r="W884" s="211" t="str">
        <f>IFERROR(__xludf.DUMMYFUNCTION("""COMPUTED_VALUE"""),"OUT")</f>
        <v>OUT</v>
      </c>
      <c r="X884" s="211"/>
      <c r="Z884" s="211" t="str">
        <f>IFERROR(__xludf.DUMMYFUNCTION("""COMPUTED_VALUE"""),"0825161170")</f>
        <v>0825161170</v>
      </c>
      <c r="AC884" s="211"/>
      <c r="AD884" s="211"/>
      <c r="AE884" s="211"/>
      <c r="AF884" s="211"/>
      <c r="AG884" s="211"/>
      <c r="AH884" s="211"/>
      <c r="AI884" s="211"/>
      <c r="AJ884" s="211"/>
      <c r="AL884" s="211"/>
      <c r="AM884" s="211"/>
      <c r="AN884" s="211"/>
      <c r="AO884" s="211"/>
      <c r="AP884" s="215"/>
      <c r="AQ884" s="218"/>
      <c r="AR884" s="211"/>
      <c r="AS884" s="211"/>
      <c r="AT884" s="211"/>
      <c r="AU884" s="211"/>
      <c r="AV884" s="211"/>
      <c r="AW884" s="211"/>
      <c r="AX884" s="211"/>
      <c r="AY884" s="211"/>
      <c r="AZ884" s="211"/>
      <c r="BB884" s="211"/>
      <c r="BC884" s="211"/>
      <c r="BD884" s="211"/>
      <c r="BE884" s="211"/>
      <c r="BF884" s="211"/>
      <c r="BG884" s="211"/>
      <c r="BH884" s="211"/>
      <c r="BI884" s="211"/>
    </row>
    <row r="885">
      <c r="A885" s="210" t="str">
        <f>IFERROR(__xludf.DUMMYFUNCTION("""COMPUTED_VALUE"""),"04250354")</f>
        <v>04250354</v>
      </c>
      <c r="B885" s="210" t="str">
        <f>IFERROR(__xludf.DUMMYFUNCTION("""COMPUTED_VALUE"""),"04250354")</f>
        <v>04250354</v>
      </c>
      <c r="C885" s="213">
        <f>IFERROR(__xludf.DUMMYFUNCTION("""COMPUTED_VALUE"""),45756.32708333333)</f>
        <v>45756.32708</v>
      </c>
      <c r="D885" s="211" t="str">
        <f>IFERROR(__xludf.DUMMYFUNCTION("""COMPUTED_VALUE"""),"103f3ae7")</f>
        <v>103f3ae7</v>
      </c>
      <c r="E885" s="211" t="str">
        <f>IFERROR(__xludf.DUMMYFUNCTION("""COMPUTED_VALUE"""),"PT ARYANA CAKASANA")</f>
        <v>PT ARYANA CAKASANA</v>
      </c>
      <c r="F885" s="211" t="str">
        <f>IFERROR(__xludf.DUMMYFUNCTION("""COMPUTED_VALUE"""),"8bdbe149")</f>
        <v>8bdbe149</v>
      </c>
      <c r="G885" s="211" t="str">
        <f>IFERROR(__xludf.DUMMYFUNCTION("""COMPUTED_VALUE"""),"Oksigen 6m3")</f>
        <v>Oksigen 6m3</v>
      </c>
      <c r="H885" s="214" t="str">
        <f>IFERROR(__xludf.DUMMYFUNCTION("""COMPUTED_VALUE"""),"OUT")</f>
        <v>OUT</v>
      </c>
      <c r="I885" s="214" t="str">
        <f>IFERROR(__xludf.DUMMYFUNCTION("""COMPUTED_VALUE"""),"NORMAL")</f>
        <v>NORMAL</v>
      </c>
      <c r="J885" s="211">
        <f>IFERROR(__xludf.DUMMYFUNCTION("""COMPUTED_VALUE"""),10.0)</f>
        <v>10</v>
      </c>
      <c r="K885" s="210" t="str">
        <f>IFERROR(__xludf.DUMMYFUNCTION("""COMPUTED_VALUE"""),"1116 1117 1123 11120 1144 1182 1199 1184 1181 1105")</f>
        <v>1116 1117 1123 11120 1144 1182 1199 1184 1181 1105</v>
      </c>
      <c r="L885" s="211">
        <f>IFERROR(__xludf.DUMMYFUNCTION("""COMPUTED_VALUE"""),47297.2973)</f>
        <v>47297.2973</v>
      </c>
      <c r="M885" s="211"/>
      <c r="N885" s="211"/>
      <c r="O885" s="211"/>
      <c r="Q885" s="210" t="str">
        <f>IFERROR(__xludf.DUMMYFUNCTION("""COMPUTED_VALUE"""),"cd306d30")</f>
        <v>cd306d30</v>
      </c>
      <c r="R885" s="210" t="str">
        <f>IFERROR(__xludf.DUMMYFUNCTION("""COMPUTED_VALUE"""),"cd306d30")</f>
        <v>cd306d30</v>
      </c>
      <c r="S885" s="211" t="str">
        <f>IFERROR(__xludf.DUMMYFUNCTION("""COMPUTED_VALUE"""),"785e0e07")</f>
        <v>785e0e07</v>
      </c>
      <c r="T885" s="211" t="str">
        <f>IFERROR(__xludf.DUMMYFUNCTION("""COMPUTED_VALUE"""),"Bpk. Sukirno (Bejo)")</f>
        <v>Bpk. Sukirno (Bejo)</v>
      </c>
      <c r="U885" s="215">
        <f>IFERROR(__xludf.DUMMYFUNCTION("""COMPUTED_VALUE"""),45820.81319444445)</f>
        <v>45820.81319</v>
      </c>
      <c r="V885" s="211" t="str">
        <f>IFERROR(__xludf.DUMMYFUNCTION("""COMPUTED_VALUE"""),"Krajan I, Wringinanom, Kec. Wringinanom, Kabupaten Gresik, Jawa Timur 61176")</f>
        <v>Krajan I, Wringinanom, Kec. Wringinanom, Kabupaten Gresik, Jawa Timur 61176</v>
      </c>
      <c r="W885" s="211" t="str">
        <f>IFERROR(__xludf.DUMMYFUNCTION("""COMPUTED_VALUE"""),"IN")</f>
        <v>IN</v>
      </c>
      <c r="X885" s="211"/>
      <c r="Z885" s="211" t="str">
        <f>IFERROR(__xludf.DUMMYFUNCTION("""COMPUTED_VALUE"""),"0825421168")</f>
        <v>0825421168</v>
      </c>
      <c r="AC885" s="211"/>
      <c r="AD885" s="211"/>
      <c r="AE885" s="211"/>
      <c r="AF885" s="211"/>
      <c r="AG885" s="211"/>
      <c r="AH885" s="211"/>
      <c r="AI885" s="211"/>
      <c r="AJ885" s="211"/>
      <c r="AL885" s="211"/>
      <c r="AM885" s="211"/>
      <c r="AN885" s="211"/>
      <c r="AO885" s="211"/>
      <c r="AP885" s="215"/>
      <c r="AQ885" s="218"/>
      <c r="AR885" s="211"/>
      <c r="AS885" s="211"/>
      <c r="AT885" s="211"/>
      <c r="AU885" s="211"/>
      <c r="AV885" s="211"/>
      <c r="AW885" s="211"/>
      <c r="AX885" s="211"/>
      <c r="AY885" s="211"/>
      <c r="AZ885" s="211"/>
      <c r="BB885" s="211"/>
      <c r="BC885" s="211"/>
      <c r="BD885" s="211"/>
      <c r="BE885" s="211"/>
      <c r="BF885" s="211"/>
      <c r="BG885" s="211"/>
      <c r="BH885" s="211"/>
      <c r="BI885" s="211"/>
    </row>
    <row r="886">
      <c r="A886" s="210" t="str">
        <f>IFERROR(__xludf.DUMMYFUNCTION("""COMPUTED_VALUE"""),"b790e449")</f>
        <v>b790e449</v>
      </c>
      <c r="B886" s="210" t="str">
        <f>IFERROR(__xludf.DUMMYFUNCTION("""COMPUTED_VALUE"""),"b790e449")</f>
        <v>b790e449</v>
      </c>
      <c r="C886" s="213">
        <f>IFERROR(__xludf.DUMMYFUNCTION("""COMPUTED_VALUE"""),45755.70277777778)</f>
        <v>45755.70278</v>
      </c>
      <c r="D886" s="211" t="str">
        <f>IFERROR(__xludf.DUMMYFUNCTION("""COMPUTED_VALUE"""),"4bef3bbf")</f>
        <v>4bef3bbf</v>
      </c>
      <c r="E886" s="211" t="str">
        <f>IFERROR(__xludf.DUMMYFUNCTION("""COMPUTED_VALUE"""),"PT Dingsheng Metal Indonesia (Ngoro)")</f>
        <v>PT Dingsheng Metal Indonesia (Ngoro)</v>
      </c>
      <c r="F886" s="211" t="str">
        <f>IFERROR(__xludf.DUMMYFUNCTION("""COMPUTED_VALUE"""),"8bdbe149")</f>
        <v>8bdbe149</v>
      </c>
      <c r="G886" s="211" t="str">
        <f>IFERROR(__xludf.DUMMYFUNCTION("""COMPUTED_VALUE"""),"Oksigen 6m3")</f>
        <v>Oksigen 6m3</v>
      </c>
      <c r="H886" s="214" t="str">
        <f>IFERROR(__xludf.DUMMYFUNCTION("""COMPUTED_VALUE"""),"IN")</f>
        <v>IN</v>
      </c>
      <c r="I886" s="214" t="str">
        <f>IFERROR(__xludf.DUMMYFUNCTION("""COMPUTED_VALUE"""),"EMPTY")</f>
        <v>EMPTY</v>
      </c>
      <c r="J886" s="211">
        <f>IFERROR(__xludf.DUMMYFUNCTION("""COMPUTED_VALUE"""),9.0)</f>
        <v>9</v>
      </c>
      <c r="K886" s="210" t="str">
        <f>IFERROR(__xludf.DUMMYFUNCTION("""COMPUTED_VALUE"""),"11147 11199 11184 11149 1139 11211 11207 11197 11146")</f>
        <v>11147 11199 11184 11149 1139 11211 11207 11197 11146</v>
      </c>
      <c r="L886" s="211">
        <f>IFERROR(__xludf.DUMMYFUNCTION("""COMPUTED_VALUE"""),0.0)</f>
        <v>0</v>
      </c>
      <c r="M886" s="211"/>
      <c r="N886" s="211"/>
      <c r="O886" s="211"/>
      <c r="Q886" s="210" t="str">
        <f>IFERROR(__xludf.DUMMYFUNCTION("""COMPUTED_VALUE"""),"b8d22ccc")</f>
        <v>b8d22ccc</v>
      </c>
      <c r="R886" s="210" t="str">
        <f>IFERROR(__xludf.DUMMYFUNCTION("""COMPUTED_VALUE"""),"b8d22ccc")</f>
        <v>b8d22ccc</v>
      </c>
      <c r="S886" s="211" t="str">
        <f>IFERROR(__xludf.DUMMYFUNCTION("""COMPUTED_VALUE"""),"ed2cc96a")</f>
        <v>ed2cc96a</v>
      </c>
      <c r="T886" s="211" t="str">
        <f>IFERROR(__xludf.DUMMYFUNCTION("""COMPUTED_VALUE"""),"Bengkel Dian Jaya")</f>
        <v>Bengkel Dian Jaya</v>
      </c>
      <c r="U886" s="215">
        <f>IFERROR(__xludf.DUMMYFUNCTION("""COMPUTED_VALUE"""),45820.81388888889)</f>
        <v>45820.81389</v>
      </c>
      <c r="V886" s="211" t="str">
        <f>IFERROR(__xludf.DUMMYFUNCTION("""COMPUTED_VALUE"""),"Gg. 2, Kejagan, Kec. Trowulan, Kabupaten Mojokerto, Jawa Timur 61362")</f>
        <v>Gg. 2, Kejagan, Kec. Trowulan, Kabupaten Mojokerto, Jawa Timur 61362</v>
      </c>
      <c r="W886" s="211" t="str">
        <f>IFERROR(__xludf.DUMMYFUNCTION("""COMPUTED_VALUE"""),"IN")</f>
        <v>IN</v>
      </c>
      <c r="X886" s="211"/>
      <c r="Z886" s="211" t="str">
        <f>IFERROR(__xludf.DUMMYFUNCTION("""COMPUTED_VALUE"""),"082551166")</f>
        <v>082551166</v>
      </c>
      <c r="AC886" s="211"/>
      <c r="AD886" s="211"/>
      <c r="AE886" s="211"/>
      <c r="AF886" s="211"/>
      <c r="AG886" s="211"/>
      <c r="AH886" s="211"/>
      <c r="AI886" s="211"/>
      <c r="AJ886" s="211"/>
      <c r="AL886" s="211"/>
      <c r="AM886" s="211"/>
      <c r="AN886" s="211"/>
      <c r="AO886" s="211"/>
      <c r="AP886" s="215"/>
      <c r="AQ886" s="218"/>
      <c r="AR886" s="211"/>
      <c r="AS886" s="211"/>
      <c r="AT886" s="211"/>
      <c r="AU886" s="211"/>
      <c r="AV886" s="211"/>
      <c r="AW886" s="211"/>
      <c r="AX886" s="211"/>
      <c r="AY886" s="211"/>
      <c r="AZ886" s="211"/>
      <c r="BB886" s="211"/>
      <c r="BC886" s="211"/>
      <c r="BD886" s="211"/>
      <c r="BE886" s="211"/>
      <c r="BF886" s="211"/>
      <c r="BG886" s="211"/>
      <c r="BH886" s="211"/>
      <c r="BI886" s="211"/>
    </row>
    <row r="887">
      <c r="A887" s="210" t="str">
        <f>IFERROR(__xludf.DUMMYFUNCTION("""COMPUTED_VALUE"""),"04250355")</f>
        <v>04250355</v>
      </c>
      <c r="B887" s="210" t="str">
        <f>IFERROR(__xludf.DUMMYFUNCTION("""COMPUTED_VALUE"""),"04250355")</f>
        <v>04250355</v>
      </c>
      <c r="C887" s="213">
        <f>IFERROR(__xludf.DUMMYFUNCTION("""COMPUTED_VALUE"""),45756.38402777778)</f>
        <v>45756.38403</v>
      </c>
      <c r="D887" s="211" t="str">
        <f>IFERROR(__xludf.DUMMYFUNCTION("""COMPUTED_VALUE"""),"b2b5f2c5")</f>
        <v>b2b5f2c5</v>
      </c>
      <c r="E887" s="211" t="str">
        <f>IFERROR(__xludf.DUMMYFUNCTION("""COMPUTED_VALUE"""),"Bengkel Las Bpk. Ari")</f>
        <v>Bengkel Las Bpk. Ari</v>
      </c>
      <c r="F887" s="211" t="str">
        <f>IFERROR(__xludf.DUMMYFUNCTION("""COMPUTED_VALUE"""),"8bdbe149")</f>
        <v>8bdbe149</v>
      </c>
      <c r="G887" s="211" t="str">
        <f>IFERROR(__xludf.DUMMYFUNCTION("""COMPUTED_VALUE"""),"Oksigen 6m3")</f>
        <v>Oksigen 6m3</v>
      </c>
      <c r="H887" s="214" t="str">
        <f>IFERROR(__xludf.DUMMYFUNCTION("""COMPUTED_VALUE"""),"OUT")</f>
        <v>OUT</v>
      </c>
      <c r="I887" s="214" t="str">
        <f>IFERROR(__xludf.DUMMYFUNCTION("""COMPUTED_VALUE"""),"NORMAL")</f>
        <v>NORMAL</v>
      </c>
      <c r="J887" s="211">
        <f>IFERROR(__xludf.DUMMYFUNCTION("""COMPUTED_VALUE"""),5.0)</f>
        <v>5</v>
      </c>
      <c r="K887" s="210" t="str">
        <f>IFERROR(__xludf.DUMMYFUNCTION("""COMPUTED_VALUE"""),"1130 1178 1142 1108 11115")</f>
        <v>1130 1178 1142 1108 11115</v>
      </c>
      <c r="L887" s="211">
        <f>IFERROR(__xludf.DUMMYFUNCTION("""COMPUTED_VALUE"""),60000.0)</f>
        <v>60000</v>
      </c>
      <c r="M887" s="211"/>
      <c r="N887" s="211"/>
      <c r="O887" s="211"/>
      <c r="Q887" s="210" t="str">
        <f>IFERROR(__xludf.DUMMYFUNCTION("""COMPUTED_VALUE"""),"06250505")</f>
        <v>06250505</v>
      </c>
      <c r="R887" s="210" t="str">
        <f>IFERROR(__xludf.DUMMYFUNCTION("""COMPUTED_VALUE"""),"06250505")</f>
        <v>06250505</v>
      </c>
      <c r="S887" s="211" t="str">
        <f>IFERROR(__xludf.DUMMYFUNCTION("""COMPUTED_VALUE"""),"1bf27092")</f>
        <v>1bf27092</v>
      </c>
      <c r="T887" s="211" t="str">
        <f>IFERROR(__xludf.DUMMYFUNCTION("""COMPUTED_VALUE"""),"Bpk. Ari Budiarto")</f>
        <v>Bpk. Ari Budiarto</v>
      </c>
      <c r="U887" s="215">
        <f>IFERROR(__xludf.DUMMYFUNCTION("""COMPUTED_VALUE"""),45821.350694444445)</f>
        <v>45821.35069</v>
      </c>
      <c r="V887" s="211" t="str">
        <f>IFERROR(__xludf.DUMMYFUNCTION("""COMPUTED_VALUE"""),"Jl. Raya Balongbendo 232, Bakalan, Bakalan Wringinpitu, Kec. BalongBendo, Kabupaten Sidoarjo, Jawa Timur 61263")</f>
        <v>Jl. Raya Balongbendo 232, Bakalan, Bakalan Wringinpitu, Kec. BalongBendo, Kabupaten Sidoarjo, Jawa Timur 61263</v>
      </c>
      <c r="W887" s="211" t="str">
        <f>IFERROR(__xludf.DUMMYFUNCTION("""COMPUTED_VALUE"""),"OUT")</f>
        <v>OUT</v>
      </c>
      <c r="X887" s="211"/>
      <c r="Z887" s="211" t="str">
        <f>IFERROR(__xludf.DUMMYFUNCTION("""COMPUTED_VALUE"""),"0825411165")</f>
        <v>0825411165</v>
      </c>
      <c r="AC887" s="211"/>
      <c r="AD887" s="211"/>
      <c r="AE887" s="211"/>
      <c r="AF887" s="211"/>
      <c r="AG887" s="211"/>
      <c r="AH887" s="211"/>
      <c r="AI887" s="211"/>
      <c r="AJ887" s="211"/>
      <c r="AL887" s="211"/>
      <c r="AM887" s="211"/>
      <c r="AN887" s="211"/>
      <c r="AO887" s="211"/>
      <c r="AP887" s="215"/>
      <c r="AQ887" s="218"/>
      <c r="AR887" s="211"/>
      <c r="AS887" s="211"/>
      <c r="AT887" s="211"/>
      <c r="AU887" s="211"/>
      <c r="AV887" s="211"/>
      <c r="AW887" s="211"/>
      <c r="AX887" s="211"/>
      <c r="AY887" s="211"/>
      <c r="AZ887" s="211"/>
      <c r="BB887" s="211"/>
      <c r="BC887" s="211"/>
      <c r="BD887" s="211"/>
      <c r="BE887" s="211"/>
      <c r="BF887" s="211"/>
      <c r="BG887" s="211"/>
      <c r="BH887" s="211"/>
      <c r="BI887" s="211"/>
    </row>
    <row r="888">
      <c r="A888" s="210" t="str">
        <f>IFERROR(__xludf.DUMMYFUNCTION("""COMPUTED_VALUE"""),"04250356")</f>
        <v>04250356</v>
      </c>
      <c r="B888" s="210" t="str">
        <f>IFERROR(__xludf.DUMMYFUNCTION("""COMPUTED_VALUE"""),"04250356")</f>
        <v>04250356</v>
      </c>
      <c r="C888" s="213">
        <f>IFERROR(__xludf.DUMMYFUNCTION("""COMPUTED_VALUE"""),45756.42847222222)</f>
        <v>45756.42847</v>
      </c>
      <c r="D888" s="211" t="str">
        <f>IFERROR(__xludf.DUMMYFUNCTION("""COMPUTED_VALUE"""),"01158be1")</f>
        <v>01158be1</v>
      </c>
      <c r="E888" s="211" t="str">
        <f>IFERROR(__xludf.DUMMYFUNCTION("""COMPUTED_VALUE"""),"GYF")</f>
        <v>GYF</v>
      </c>
      <c r="F888" s="211" t="str">
        <f>IFERROR(__xludf.DUMMYFUNCTION("""COMPUTED_VALUE"""),"8bdbe149")</f>
        <v>8bdbe149</v>
      </c>
      <c r="G888" s="211" t="str">
        <f>IFERROR(__xludf.DUMMYFUNCTION("""COMPUTED_VALUE"""),"Oksigen 6m3")</f>
        <v>Oksigen 6m3</v>
      </c>
      <c r="H888" s="214" t="str">
        <f>IFERROR(__xludf.DUMMYFUNCTION("""COMPUTED_VALUE"""),"OUT")</f>
        <v>OUT</v>
      </c>
      <c r="I888" s="214" t="str">
        <f>IFERROR(__xludf.DUMMYFUNCTION("""COMPUTED_VALUE"""),"NORMAL")</f>
        <v>NORMAL</v>
      </c>
      <c r="J888" s="211">
        <f>IFERROR(__xludf.DUMMYFUNCTION("""COMPUTED_VALUE"""),10.0)</f>
        <v>10</v>
      </c>
      <c r="K888" s="210" t="str">
        <f>IFERROR(__xludf.DUMMYFUNCTION("""COMPUTED_VALUE"""),"11155 11141 11166 11138 11158 11159 11162 11152 11167 11172")</f>
        <v>11155 11141 11166 11138 11158 11159 11162 11152 11167 11172</v>
      </c>
      <c r="L888" s="211">
        <f>IFERROR(__xludf.DUMMYFUNCTION("""COMPUTED_VALUE"""),45000.0)</f>
        <v>45000</v>
      </c>
      <c r="M888" s="211"/>
      <c r="N888" s="211"/>
      <c r="O888" s="211"/>
      <c r="Q888" s="210" t="str">
        <f>IFERROR(__xludf.DUMMYFUNCTION("""COMPUTED_VALUE"""),"e88ec3e4")</f>
        <v>e88ec3e4</v>
      </c>
      <c r="R888" s="210" t="str">
        <f>IFERROR(__xludf.DUMMYFUNCTION("""COMPUTED_VALUE"""),"e88ec3e4")</f>
        <v>e88ec3e4</v>
      </c>
      <c r="S888" s="211" t="str">
        <f>IFERROR(__xludf.DUMMYFUNCTION("""COMPUTED_VALUE"""),"1bf27092")</f>
        <v>1bf27092</v>
      </c>
      <c r="T888" s="211" t="str">
        <f>IFERROR(__xludf.DUMMYFUNCTION("""COMPUTED_VALUE"""),"Bpk. Ari Budiarto")</f>
        <v>Bpk. Ari Budiarto</v>
      </c>
      <c r="U888" s="215">
        <f>IFERROR(__xludf.DUMMYFUNCTION("""COMPUTED_VALUE"""),45821.48541666666)</f>
        <v>45821.48542</v>
      </c>
      <c r="V888" s="211" t="str">
        <f>IFERROR(__xludf.DUMMYFUNCTION("""COMPUTED_VALUE"""),"Jl. Raya Balongbendo 232, Bakalan, Bakalan Wringinpitu, Kec. BalongBendo, Kabupaten Sidoarjo, Jawa Timur 61263")</f>
        <v>Jl. Raya Balongbendo 232, Bakalan, Bakalan Wringinpitu, Kec. BalongBendo, Kabupaten Sidoarjo, Jawa Timur 61263</v>
      </c>
      <c r="W888" s="211" t="str">
        <f>IFERROR(__xludf.DUMMYFUNCTION("""COMPUTED_VALUE"""),"IN")</f>
        <v>IN</v>
      </c>
      <c r="X888" s="211"/>
      <c r="Z888" s="211" t="str">
        <f>IFERROR(__xludf.DUMMYFUNCTION("""COMPUTED_VALUE"""),"0825151163")</f>
        <v>0825151163</v>
      </c>
      <c r="AC888" s="211"/>
      <c r="AD888" s="211"/>
      <c r="AE888" s="211"/>
      <c r="AF888" s="211"/>
      <c r="AG888" s="211"/>
      <c r="AH888" s="211"/>
      <c r="AI888" s="211"/>
      <c r="AJ888" s="211"/>
      <c r="AL888" s="211"/>
      <c r="AM888" s="211"/>
      <c r="AN888" s="211"/>
      <c r="AO888" s="211"/>
      <c r="AP888" s="215"/>
      <c r="AQ888" s="218"/>
      <c r="AR888" s="211"/>
      <c r="AS888" s="211"/>
      <c r="AT888" s="211"/>
      <c r="AU888" s="211"/>
      <c r="AV888" s="211"/>
      <c r="AW888" s="211"/>
      <c r="AX888" s="211"/>
      <c r="AY888" s="211"/>
      <c r="AZ888" s="211"/>
      <c r="BB888" s="211"/>
      <c r="BC888" s="211"/>
      <c r="BD888" s="211"/>
      <c r="BE888" s="211"/>
      <c r="BF888" s="211"/>
      <c r="BG888" s="211"/>
      <c r="BH888" s="211"/>
      <c r="BI888" s="211"/>
    </row>
    <row r="889">
      <c r="A889" s="210" t="str">
        <f>IFERROR(__xludf.DUMMYFUNCTION("""COMPUTED_VALUE"""),"aa2e5e6e")</f>
        <v>aa2e5e6e</v>
      </c>
      <c r="B889" s="210" t="str">
        <f>IFERROR(__xludf.DUMMYFUNCTION("""COMPUTED_VALUE"""),"aa2e5e6e")</f>
        <v>aa2e5e6e</v>
      </c>
      <c r="C889" s="213">
        <f>IFERROR(__xludf.DUMMYFUNCTION("""COMPUTED_VALUE"""),45756.625)</f>
        <v>45756.625</v>
      </c>
      <c r="D889" s="211" t="str">
        <f>IFERROR(__xludf.DUMMYFUNCTION("""COMPUTED_VALUE"""),"01158be1")</f>
        <v>01158be1</v>
      </c>
      <c r="E889" s="211" t="str">
        <f>IFERROR(__xludf.DUMMYFUNCTION("""COMPUTED_VALUE"""),"GYF")</f>
        <v>GYF</v>
      </c>
      <c r="F889" s="211" t="str">
        <f>IFERROR(__xludf.DUMMYFUNCTION("""COMPUTED_VALUE"""),"8bdbe149")</f>
        <v>8bdbe149</v>
      </c>
      <c r="G889" s="211" t="str">
        <f>IFERROR(__xludf.DUMMYFUNCTION("""COMPUTED_VALUE"""),"Oksigen 6m3")</f>
        <v>Oksigen 6m3</v>
      </c>
      <c r="H889" s="214" t="str">
        <f>IFERROR(__xludf.DUMMYFUNCTION("""COMPUTED_VALUE"""),"IN")</f>
        <v>IN</v>
      </c>
      <c r="I889" s="214" t="str">
        <f>IFERROR(__xludf.DUMMYFUNCTION("""COMPUTED_VALUE"""),"EMPTY")</f>
        <v>EMPTY</v>
      </c>
      <c r="J889" s="211">
        <f>IFERROR(__xludf.DUMMYFUNCTION("""COMPUTED_VALUE"""),16.0)</f>
        <v>16</v>
      </c>
      <c r="K889" s="210" t="str">
        <f>IFERROR(__xludf.DUMMYFUNCTION("""COMPUTED_VALUE"""),"1195 1160 11226 11193 11223 11131 1154 11224 1167 1115 11200 11216 1141 11220 11227 11215")</f>
        <v>1195 1160 11226 11193 11223 11131 1154 11224 1167 1115 11200 11216 1141 11220 11227 11215</v>
      </c>
      <c r="L889" s="211">
        <f>IFERROR(__xludf.DUMMYFUNCTION("""COMPUTED_VALUE"""),0.0)</f>
        <v>0</v>
      </c>
      <c r="M889" s="211"/>
      <c r="N889" s="211"/>
      <c r="O889" s="211"/>
      <c r="Q889" s="210" t="str">
        <f>IFERROR(__xludf.DUMMYFUNCTION("""COMPUTED_VALUE"""),"06250506")</f>
        <v>06250506</v>
      </c>
      <c r="R889" s="210" t="str">
        <f>IFERROR(__xludf.DUMMYFUNCTION("""COMPUTED_VALUE"""),"06250506")</f>
        <v>06250506</v>
      </c>
      <c r="S889" s="211" t="str">
        <f>IFERROR(__xludf.DUMMYFUNCTION("""COMPUTED_VALUE"""),"4bef3bbf")</f>
        <v>4bef3bbf</v>
      </c>
      <c r="T889" s="211" t="str">
        <f>IFERROR(__xludf.DUMMYFUNCTION("""COMPUTED_VALUE"""),"PT Dingsheng Metal Indonesia (Ngoro)")</f>
        <v>PT Dingsheng Metal Indonesia (Ngoro)</v>
      </c>
      <c r="U889" s="215">
        <f>IFERROR(__xludf.DUMMYFUNCTION("""COMPUTED_VALUE"""),45821.61319444445)</f>
        <v>45821.61319</v>
      </c>
      <c r="V889" s="211" t="str">
        <f>IFERROR(__xludf.DUMMYFUNCTION("""COMPUTED_VALUE"""),"Kri Kilan, Watesnegoro, Kec. Ngoro, Kabupaten Mojokerto, Jawa Timur 61385")</f>
        <v>Kri Kilan, Watesnegoro, Kec. Ngoro, Kabupaten Mojokerto, Jawa Timur 61385</v>
      </c>
      <c r="W889" s="211" t="str">
        <f>IFERROR(__xludf.DUMMYFUNCTION("""COMPUTED_VALUE"""),"OUT")</f>
        <v>OUT</v>
      </c>
      <c r="X889" s="211"/>
      <c r="Z889" s="211" t="str">
        <f>IFERROR(__xludf.DUMMYFUNCTION("""COMPUTED_VALUE"""),"082571162")</f>
        <v>082571162</v>
      </c>
      <c r="AC889" s="211"/>
      <c r="AD889" s="211"/>
      <c r="AE889" s="211"/>
      <c r="AF889" s="211"/>
      <c r="AG889" s="211"/>
      <c r="AH889" s="211"/>
      <c r="AI889" s="211"/>
      <c r="AJ889" s="211"/>
      <c r="AL889" s="211"/>
      <c r="AM889" s="211"/>
      <c r="AN889" s="211"/>
      <c r="AO889" s="211"/>
      <c r="AP889" s="215"/>
      <c r="AQ889" s="218"/>
      <c r="AR889" s="211"/>
      <c r="AS889" s="211"/>
      <c r="AT889" s="211"/>
      <c r="AU889" s="211"/>
      <c r="AV889" s="211"/>
      <c r="AW889" s="211"/>
      <c r="AX889" s="211"/>
      <c r="AY889" s="211"/>
      <c r="AZ889" s="211"/>
      <c r="BB889" s="211"/>
      <c r="BC889" s="211"/>
      <c r="BD889" s="211"/>
      <c r="BE889" s="211"/>
      <c r="BF889" s="211"/>
      <c r="BG889" s="211"/>
      <c r="BH889" s="211"/>
      <c r="BI889" s="211"/>
    </row>
    <row r="890">
      <c r="A890" s="210" t="str">
        <f>IFERROR(__xludf.DUMMYFUNCTION("""COMPUTED_VALUE"""),"04250357")</f>
        <v>04250357</v>
      </c>
      <c r="B890" s="210" t="str">
        <f>IFERROR(__xludf.DUMMYFUNCTION("""COMPUTED_VALUE"""),"04250357")</f>
        <v>04250357</v>
      </c>
      <c r="C890" s="213">
        <f>IFERROR(__xludf.DUMMYFUNCTION("""COMPUTED_VALUE"""),45757.37847222222)</f>
        <v>45757.37847</v>
      </c>
      <c r="D890" s="211" t="str">
        <f>IFERROR(__xludf.DUMMYFUNCTION("""COMPUTED_VALUE"""),"ce83e171")</f>
        <v>ce83e171</v>
      </c>
      <c r="E890" s="211" t="str">
        <f>IFERROR(__xludf.DUMMYFUNCTION("""COMPUTED_VALUE"""),"Bpk. Sulaiman")</f>
        <v>Bpk. Sulaiman</v>
      </c>
      <c r="F890" s="211" t="str">
        <f>IFERROR(__xludf.DUMMYFUNCTION("""COMPUTED_VALUE"""),"8bdbe149")</f>
        <v>8bdbe149</v>
      </c>
      <c r="G890" s="211" t="str">
        <f>IFERROR(__xludf.DUMMYFUNCTION("""COMPUTED_VALUE"""),"Oksigen 6m3")</f>
        <v>Oksigen 6m3</v>
      </c>
      <c r="H890" s="214" t="str">
        <f>IFERROR(__xludf.DUMMYFUNCTION("""COMPUTED_VALUE"""),"OUT")</f>
        <v>OUT</v>
      </c>
      <c r="I890" s="214" t="str">
        <f>IFERROR(__xludf.DUMMYFUNCTION("""COMPUTED_VALUE"""),"NORMAL")</f>
        <v>NORMAL</v>
      </c>
      <c r="J890" s="211">
        <f>IFERROR(__xludf.DUMMYFUNCTION("""COMPUTED_VALUE"""),2.0)</f>
        <v>2</v>
      </c>
      <c r="K890" s="210" t="str">
        <f>IFERROR(__xludf.DUMMYFUNCTION("""COMPUTED_VALUE"""),"11206 11212")</f>
        <v>11206 11212</v>
      </c>
      <c r="L890" s="211">
        <f>IFERROR(__xludf.DUMMYFUNCTION("""COMPUTED_VALUE"""),55000.0)</f>
        <v>55000</v>
      </c>
      <c r="M890" s="211"/>
      <c r="N890" s="211"/>
      <c r="O890" s="211"/>
      <c r="Q890" s="210" t="str">
        <f>IFERROR(__xludf.DUMMYFUNCTION("""COMPUTED_VALUE"""),"06250507")</f>
        <v>06250507</v>
      </c>
      <c r="R890" s="210" t="str">
        <f>IFERROR(__xludf.DUMMYFUNCTION("""COMPUTED_VALUE"""),"06250507")</f>
        <v>06250507</v>
      </c>
      <c r="S890" s="211" t="str">
        <f>IFERROR(__xludf.DUMMYFUNCTION("""COMPUTED_VALUE"""),"8f5ebaea")</f>
        <v>8f5ebaea</v>
      </c>
      <c r="T890" s="211" t="str">
        <f>IFERROR(__xludf.DUMMYFUNCTION("""COMPUTED_VALUE"""),"PT Hua Zong Mesindo")</f>
        <v>PT Hua Zong Mesindo</v>
      </c>
      <c r="U890" s="215">
        <f>IFERROR(__xludf.DUMMYFUNCTION("""COMPUTED_VALUE"""),45821.652083333334)</f>
        <v>45821.65208</v>
      </c>
      <c r="V890" s="211" t="str">
        <f>IFERROR(__xludf.DUMMYFUNCTION("""COMPUTED_VALUE"""),"Jl. Bypass Krian, Sidotemo, Sidomulyo, Kec. Krian, Kabupaten Sidoarjo, Jawa Timur 61262")</f>
        <v>Jl. Bypass Krian, Sidotemo, Sidomulyo, Kec. Krian, Kabupaten Sidoarjo, Jawa Timur 61262</v>
      </c>
      <c r="W890" s="211" t="str">
        <f>IFERROR(__xludf.DUMMYFUNCTION("""COMPUTED_VALUE"""),"OUT")</f>
        <v>OUT</v>
      </c>
      <c r="X890" s="211"/>
      <c r="Z890" s="211" t="str">
        <f>IFERROR(__xludf.DUMMYFUNCTION("""COMPUTED_VALUE"""),"0825251161")</f>
        <v>0825251161</v>
      </c>
      <c r="AC890" s="211"/>
      <c r="AD890" s="211"/>
      <c r="AE890" s="211"/>
      <c r="AF890" s="211"/>
      <c r="AG890" s="211"/>
      <c r="AH890" s="211"/>
      <c r="AI890" s="211"/>
      <c r="AJ890" s="211"/>
      <c r="AL890" s="211"/>
      <c r="AM890" s="211"/>
      <c r="AN890" s="211"/>
      <c r="AO890" s="211"/>
      <c r="AP890" s="215"/>
      <c r="AQ890" s="218"/>
      <c r="AR890" s="211"/>
      <c r="AS890" s="211"/>
      <c r="AT890" s="211"/>
      <c r="AU890" s="211"/>
      <c r="AV890" s="211"/>
      <c r="AW890" s="211"/>
      <c r="AX890" s="211"/>
      <c r="AY890" s="211"/>
      <c r="AZ890" s="211"/>
      <c r="BB890" s="211"/>
      <c r="BC890" s="211"/>
      <c r="BD890" s="211"/>
      <c r="BE890" s="211"/>
      <c r="BF890" s="211"/>
      <c r="BG890" s="211"/>
      <c r="BH890" s="211"/>
      <c r="BI890" s="211"/>
    </row>
    <row r="891">
      <c r="A891" s="210" t="str">
        <f>IFERROR(__xludf.DUMMYFUNCTION("""COMPUTED_VALUE"""),"04250357")</f>
        <v>04250357</v>
      </c>
      <c r="B891" s="210" t="str">
        <f>IFERROR(__xludf.DUMMYFUNCTION("""COMPUTED_VALUE"""),"04250357")</f>
        <v>04250357</v>
      </c>
      <c r="C891" s="213">
        <f>IFERROR(__xludf.DUMMYFUNCTION("""COMPUTED_VALUE"""),45757.37847222222)</f>
        <v>45757.37847</v>
      </c>
      <c r="D891" s="211" t="str">
        <f>IFERROR(__xludf.DUMMYFUNCTION("""COMPUTED_VALUE"""),"ce83e171")</f>
        <v>ce83e171</v>
      </c>
      <c r="E891" s="211" t="str">
        <f>IFERROR(__xludf.DUMMYFUNCTION("""COMPUTED_VALUE"""),"Bpk. Sulaiman")</f>
        <v>Bpk. Sulaiman</v>
      </c>
      <c r="F891" s="211" t="str">
        <f>IFERROR(__xludf.DUMMYFUNCTION("""COMPUTED_VALUE"""),"f6aab7a9")</f>
        <v>f6aab7a9</v>
      </c>
      <c r="G891" s="211" t="str">
        <f>IFERROR(__xludf.DUMMYFUNCTION("""COMPUTED_VALUE"""),"Oksigen 6m3 MR")</f>
        <v>Oksigen 6m3 MR</v>
      </c>
      <c r="H891" s="214" t="str">
        <f>IFERROR(__xludf.DUMMYFUNCTION("""COMPUTED_VALUE"""),"OUT")</f>
        <v>OUT</v>
      </c>
      <c r="I891" s="214" t="str">
        <f>IFERROR(__xludf.DUMMYFUNCTION("""COMPUTED_VALUE"""),"NORMAL")</f>
        <v>NORMAL</v>
      </c>
      <c r="J891" s="211">
        <f>IFERROR(__xludf.DUMMYFUNCTION("""COMPUTED_VALUE"""),2.0)</f>
        <v>2</v>
      </c>
      <c r="K891" s="210" t="str">
        <f>IFERROR(__xludf.DUMMYFUNCTION("""COMPUTED_VALUE"""),"76 75")</f>
        <v>76 75</v>
      </c>
      <c r="L891" s="211">
        <f>IFERROR(__xludf.DUMMYFUNCTION("""COMPUTED_VALUE"""),55000.0)</f>
        <v>55000</v>
      </c>
      <c r="M891" s="211"/>
      <c r="N891" s="211"/>
      <c r="O891" s="211"/>
      <c r="Q891" s="210" t="str">
        <f>IFERROR(__xludf.DUMMYFUNCTION("""COMPUTED_VALUE"""),"bfe223d7")</f>
        <v>bfe223d7</v>
      </c>
      <c r="R891" s="210" t="str">
        <f>IFERROR(__xludf.DUMMYFUNCTION("""COMPUTED_VALUE"""),"bfe223d7")</f>
        <v>bfe223d7</v>
      </c>
      <c r="S891" s="211" t="str">
        <f>IFERROR(__xludf.DUMMYFUNCTION("""COMPUTED_VALUE"""),"8f5ebaea")</f>
        <v>8f5ebaea</v>
      </c>
      <c r="T891" s="211" t="str">
        <f>IFERROR(__xludf.DUMMYFUNCTION("""COMPUTED_VALUE"""),"PT Hua Zong Mesindo")</f>
        <v>PT Hua Zong Mesindo</v>
      </c>
      <c r="U891" s="215">
        <f>IFERROR(__xludf.DUMMYFUNCTION("""COMPUTED_VALUE"""),45821.679861111115)</f>
        <v>45821.67986</v>
      </c>
      <c r="V891" s="211" t="str">
        <f>IFERROR(__xludf.DUMMYFUNCTION("""COMPUTED_VALUE"""),"Jl. Bypass Krian, Sidotemo, Sidomulyo, Kec. Krian, Kabupaten Sidoarjo, Jawa Timur 61262")</f>
        <v>Jl. Bypass Krian, Sidotemo, Sidomulyo, Kec. Krian, Kabupaten Sidoarjo, Jawa Timur 61262</v>
      </c>
      <c r="W891" s="211" t="str">
        <f>IFERROR(__xludf.DUMMYFUNCTION("""COMPUTED_VALUE"""),"IN")</f>
        <v>IN</v>
      </c>
      <c r="X891" s="211"/>
      <c r="Z891" s="211" t="str">
        <f>IFERROR(__xludf.DUMMYFUNCTION("""COMPUTED_VALUE"""),"0825221159")</f>
        <v>0825221159</v>
      </c>
      <c r="AC891" s="211"/>
      <c r="AD891" s="211"/>
      <c r="AE891" s="211"/>
      <c r="AF891" s="211"/>
      <c r="AG891" s="211"/>
      <c r="AH891" s="211"/>
      <c r="AI891" s="211"/>
      <c r="AJ891" s="211"/>
      <c r="AL891" s="211"/>
      <c r="AM891" s="211"/>
      <c r="AN891" s="211"/>
      <c r="AO891" s="211"/>
      <c r="AP891" s="215"/>
      <c r="AQ891" s="218"/>
      <c r="AR891" s="211"/>
      <c r="AS891" s="211"/>
      <c r="AT891" s="211"/>
      <c r="AU891" s="211"/>
      <c r="AV891" s="211"/>
      <c r="AW891" s="211"/>
      <c r="AX891" s="211"/>
      <c r="AY891" s="211"/>
      <c r="AZ891" s="211"/>
      <c r="BB891" s="211"/>
      <c r="BC891" s="211"/>
      <c r="BD891" s="211"/>
      <c r="BE891" s="211"/>
      <c r="BF891" s="211"/>
      <c r="BG891" s="211"/>
      <c r="BH891" s="211"/>
      <c r="BI891" s="211"/>
    </row>
    <row r="892">
      <c r="A892" s="210" t="str">
        <f>IFERROR(__xludf.DUMMYFUNCTION("""COMPUTED_VALUE"""),"04250359")</f>
        <v>04250359</v>
      </c>
      <c r="B892" s="210" t="str">
        <f>IFERROR(__xludf.DUMMYFUNCTION("""COMPUTED_VALUE"""),"04250359")</f>
        <v>04250359</v>
      </c>
      <c r="C892" s="213">
        <f>IFERROR(__xludf.DUMMYFUNCTION("""COMPUTED_VALUE"""),45757.518055555556)</f>
        <v>45757.51806</v>
      </c>
      <c r="D892" s="211" t="str">
        <f>IFERROR(__xludf.DUMMYFUNCTION("""COMPUTED_VALUE"""),"5449a0b8")</f>
        <v>5449a0b8</v>
      </c>
      <c r="E892" s="211" t="str">
        <f>IFERROR(__xludf.DUMMYFUNCTION("""COMPUTED_VALUE"""),"Bpk. Supar")</f>
        <v>Bpk. Supar</v>
      </c>
      <c r="F892" s="211" t="str">
        <f>IFERROR(__xludf.DUMMYFUNCTION("""COMPUTED_VALUE"""),"8bdbe149")</f>
        <v>8bdbe149</v>
      </c>
      <c r="G892" s="211" t="str">
        <f>IFERROR(__xludf.DUMMYFUNCTION("""COMPUTED_VALUE"""),"Oksigen 6m3")</f>
        <v>Oksigen 6m3</v>
      </c>
      <c r="H892" s="214" t="str">
        <f>IFERROR(__xludf.DUMMYFUNCTION("""COMPUTED_VALUE"""),"OUT")</f>
        <v>OUT</v>
      </c>
      <c r="I892" s="214" t="str">
        <f>IFERROR(__xludf.DUMMYFUNCTION("""COMPUTED_VALUE"""),"NORMAL")</f>
        <v>NORMAL</v>
      </c>
      <c r="J892" s="211">
        <f>IFERROR(__xludf.DUMMYFUNCTION("""COMPUTED_VALUE"""),1.0)</f>
        <v>1</v>
      </c>
      <c r="K892" s="210" t="str">
        <f>IFERROR(__xludf.DUMMYFUNCTION("""COMPUTED_VALUE"""),"11150")</f>
        <v>11150</v>
      </c>
      <c r="L892" s="211">
        <f>IFERROR(__xludf.DUMMYFUNCTION("""COMPUTED_VALUE"""),70000.0)</f>
        <v>70000</v>
      </c>
      <c r="M892" s="211"/>
      <c r="N892" s="211"/>
      <c r="O892" s="211"/>
      <c r="Q892" s="210" t="str">
        <f>IFERROR(__xludf.DUMMYFUNCTION("""COMPUTED_VALUE"""),"06250509")</f>
        <v>06250509</v>
      </c>
      <c r="R892" s="210" t="str">
        <f>IFERROR(__xludf.DUMMYFUNCTION("""COMPUTED_VALUE"""),"06250509")</f>
        <v>06250509</v>
      </c>
      <c r="S892" s="211" t="str">
        <f>IFERROR(__xludf.DUMMYFUNCTION("""COMPUTED_VALUE"""),"01158be1")</f>
        <v>01158be1</v>
      </c>
      <c r="T892" s="211" t="str">
        <f>IFERROR(__xludf.DUMMYFUNCTION("""COMPUTED_VALUE"""),"GYF")</f>
        <v>GYF</v>
      </c>
      <c r="U892" s="215">
        <f>IFERROR(__xludf.DUMMYFUNCTION("""COMPUTED_VALUE"""),45822.35763888889)</f>
        <v>45822.35764</v>
      </c>
      <c r="V892" s="211" t="str">
        <f>IFERROR(__xludf.DUMMYFUNCTION("""COMPUTED_VALUE"""),"Kangkungan, Lengkong, Kec. Mojoanyar, Kabupaten Mojokerto, Jawa Timur")</f>
        <v>Kangkungan, Lengkong, Kec. Mojoanyar, Kabupaten Mojokerto, Jawa Timur</v>
      </c>
      <c r="W892" s="211" t="str">
        <f>IFERROR(__xludf.DUMMYFUNCTION("""COMPUTED_VALUE"""),"OUT")</f>
        <v>OUT</v>
      </c>
      <c r="X892" s="211"/>
      <c r="Z892" s="211" t="str">
        <f>IFERROR(__xludf.DUMMYFUNCTION("""COMPUTED_VALUE"""),"082551156")</f>
        <v>082551156</v>
      </c>
      <c r="AC892" s="211"/>
      <c r="AD892" s="211"/>
      <c r="AE892" s="211"/>
      <c r="AF892" s="211"/>
      <c r="AG892" s="211"/>
      <c r="AH892" s="211"/>
      <c r="AI892" s="211"/>
      <c r="AJ892" s="211"/>
      <c r="AL892" s="211"/>
      <c r="AM892" s="211"/>
      <c r="AN892" s="211"/>
      <c r="AO892" s="211"/>
      <c r="AP892" s="215"/>
      <c r="AQ892" s="218"/>
      <c r="AR892" s="211"/>
      <c r="AS892" s="211"/>
      <c r="AT892" s="211"/>
      <c r="AU892" s="211"/>
      <c r="AV892" s="211"/>
      <c r="AW892" s="211"/>
      <c r="AX892" s="211"/>
      <c r="AY892" s="211"/>
      <c r="AZ892" s="211"/>
      <c r="BB892" s="211"/>
      <c r="BC892" s="211"/>
      <c r="BD892" s="211"/>
      <c r="BE892" s="211"/>
      <c r="BF892" s="211"/>
      <c r="BG892" s="211"/>
      <c r="BH892" s="211"/>
      <c r="BI892" s="211"/>
    </row>
    <row r="893">
      <c r="A893" s="210" t="str">
        <f>IFERROR(__xludf.DUMMYFUNCTION("""COMPUTED_VALUE"""),"acfd43cd")</f>
        <v>acfd43cd</v>
      </c>
      <c r="B893" s="210" t="str">
        <f>IFERROR(__xludf.DUMMYFUNCTION("""COMPUTED_VALUE"""),"acfd43cd")</f>
        <v>acfd43cd</v>
      </c>
      <c r="C893" s="213">
        <f>IFERROR(__xludf.DUMMYFUNCTION("""COMPUTED_VALUE"""),45757.64027777778)</f>
        <v>45757.64028</v>
      </c>
      <c r="D893" s="211" t="str">
        <f>IFERROR(__xludf.DUMMYFUNCTION("""COMPUTED_VALUE"""),"5449a0b8")</f>
        <v>5449a0b8</v>
      </c>
      <c r="E893" s="211" t="str">
        <f>IFERROR(__xludf.DUMMYFUNCTION("""COMPUTED_VALUE"""),"Bpk. Supar")</f>
        <v>Bpk. Supar</v>
      </c>
      <c r="F893" s="211" t="str">
        <f>IFERROR(__xludf.DUMMYFUNCTION("""COMPUTED_VALUE"""),"8bdbe149")</f>
        <v>8bdbe149</v>
      </c>
      <c r="G893" s="211" t="str">
        <f>IFERROR(__xludf.DUMMYFUNCTION("""COMPUTED_VALUE"""),"Oksigen 6m3")</f>
        <v>Oksigen 6m3</v>
      </c>
      <c r="H893" s="214" t="str">
        <f>IFERROR(__xludf.DUMMYFUNCTION("""COMPUTED_VALUE"""),"IN")</f>
        <v>IN</v>
      </c>
      <c r="I893" s="214" t="str">
        <f>IFERROR(__xludf.DUMMYFUNCTION("""COMPUTED_VALUE"""),"EMPTY")</f>
        <v>EMPTY</v>
      </c>
      <c r="J893" s="211">
        <f>IFERROR(__xludf.DUMMYFUNCTION("""COMPUTED_VALUE"""),1.0)</f>
        <v>1</v>
      </c>
      <c r="K893" s="210" t="str">
        <f>IFERROR(__xludf.DUMMYFUNCTION("""COMPUTED_VALUE"""),"11136")</f>
        <v>11136</v>
      </c>
      <c r="L893" s="211">
        <f>IFERROR(__xludf.DUMMYFUNCTION("""COMPUTED_VALUE"""),0.0)</f>
        <v>0</v>
      </c>
      <c r="M893" s="211"/>
      <c r="N893" s="211"/>
      <c r="O893" s="211"/>
      <c r="Q893" s="210" t="str">
        <f>IFERROR(__xludf.DUMMYFUNCTION("""COMPUTED_VALUE"""),"c210f9af")</f>
        <v>c210f9af</v>
      </c>
      <c r="R893" s="210" t="str">
        <f>IFERROR(__xludf.DUMMYFUNCTION("""COMPUTED_VALUE"""),"c210f9af")</f>
        <v>c210f9af</v>
      </c>
      <c r="S893" s="211" t="str">
        <f>IFERROR(__xludf.DUMMYFUNCTION("""COMPUTED_VALUE"""),"4bef3bbf")</f>
        <v>4bef3bbf</v>
      </c>
      <c r="T893" s="211" t="str">
        <f>IFERROR(__xludf.DUMMYFUNCTION("""COMPUTED_VALUE"""),"PT Dingsheng Metal Indonesia (Ngoro)")</f>
        <v>PT Dingsheng Metal Indonesia (Ngoro)</v>
      </c>
      <c r="U893" s="215">
        <f>IFERROR(__xludf.DUMMYFUNCTION("""COMPUTED_VALUE"""),45821.73472222222)</f>
        <v>45821.73472</v>
      </c>
      <c r="V893" s="211" t="str">
        <f>IFERROR(__xludf.DUMMYFUNCTION("""COMPUTED_VALUE"""),"Kri Kilan, Watesnegoro, Kec. Ngoro, Kabupaten Mojokerto, Jawa Timur 61385")</f>
        <v>Kri Kilan, Watesnegoro, Kec. Ngoro, Kabupaten Mojokerto, Jawa Timur 61385</v>
      </c>
      <c r="W893" s="211" t="str">
        <f>IFERROR(__xludf.DUMMYFUNCTION("""COMPUTED_VALUE"""),"IN")</f>
        <v>IN</v>
      </c>
      <c r="X893" s="211"/>
      <c r="Z893" s="211" t="str">
        <f>IFERROR(__xludf.DUMMYFUNCTION("""COMPUTED_VALUE"""),"0825251153")</f>
        <v>0825251153</v>
      </c>
      <c r="AC893" s="211"/>
      <c r="AD893" s="211"/>
      <c r="AE893" s="211"/>
      <c r="AF893" s="211"/>
      <c r="AG893" s="211"/>
      <c r="AH893" s="211"/>
      <c r="AI893" s="211"/>
      <c r="AJ893" s="211"/>
      <c r="AL893" s="211"/>
      <c r="AM893" s="211"/>
      <c r="AN893" s="211"/>
      <c r="AO893" s="211"/>
      <c r="AP893" s="215"/>
      <c r="AQ893" s="218"/>
      <c r="AR893" s="211"/>
      <c r="AS893" s="211"/>
      <c r="AT893" s="211"/>
      <c r="AU893" s="211"/>
      <c r="AV893" s="211"/>
      <c r="AW893" s="211"/>
      <c r="AX893" s="211"/>
      <c r="AY893" s="211"/>
      <c r="AZ893" s="211"/>
      <c r="BB893" s="211"/>
      <c r="BC893" s="211"/>
      <c r="BD893" s="211"/>
      <c r="BE893" s="211"/>
      <c r="BF893" s="211"/>
      <c r="BG893" s="211"/>
      <c r="BH893" s="211"/>
      <c r="BI893" s="211"/>
    </row>
    <row r="894">
      <c r="A894" s="210" t="str">
        <f>IFERROR(__xludf.DUMMYFUNCTION("""COMPUTED_VALUE"""),"fcc48c69")</f>
        <v>fcc48c69</v>
      </c>
      <c r="B894" s="210" t="str">
        <f>IFERROR(__xludf.DUMMYFUNCTION("""COMPUTED_VALUE"""),"fcc48c69")</f>
        <v>fcc48c69</v>
      </c>
      <c r="C894" s="213">
        <f>IFERROR(__xludf.DUMMYFUNCTION("""COMPUTED_VALUE"""),45757.64097222222)</f>
        <v>45757.64097</v>
      </c>
      <c r="D894" s="211" t="str">
        <f>IFERROR(__xludf.DUMMYFUNCTION("""COMPUTED_VALUE"""),"103f3ae7")</f>
        <v>103f3ae7</v>
      </c>
      <c r="E894" s="211" t="str">
        <f>IFERROR(__xludf.DUMMYFUNCTION("""COMPUTED_VALUE"""),"PT ARYANA CAKASANA")</f>
        <v>PT ARYANA CAKASANA</v>
      </c>
      <c r="F894" s="211" t="str">
        <f>IFERROR(__xludf.DUMMYFUNCTION("""COMPUTED_VALUE"""),"8bdbe149")</f>
        <v>8bdbe149</v>
      </c>
      <c r="G894" s="211" t="str">
        <f>IFERROR(__xludf.DUMMYFUNCTION("""COMPUTED_VALUE"""),"Oksigen 6m3")</f>
        <v>Oksigen 6m3</v>
      </c>
      <c r="H894" s="214" t="str">
        <f>IFERROR(__xludf.DUMMYFUNCTION("""COMPUTED_VALUE"""),"IN")</f>
        <v>IN</v>
      </c>
      <c r="I894" s="214" t="str">
        <f>IFERROR(__xludf.DUMMYFUNCTION("""COMPUTED_VALUE"""),"EMPTY")</f>
        <v>EMPTY</v>
      </c>
      <c r="J894" s="211">
        <f>IFERROR(__xludf.DUMMYFUNCTION("""COMPUTED_VALUE"""),4.0)</f>
        <v>4</v>
      </c>
      <c r="K894" s="210" t="str">
        <f>IFERROR(__xludf.DUMMYFUNCTION("""COMPUTED_VALUE"""),"1170 1136 1138 1133")</f>
        <v>1170 1136 1138 1133</v>
      </c>
      <c r="L894" s="211">
        <f>IFERROR(__xludf.DUMMYFUNCTION("""COMPUTED_VALUE"""),0.0)</f>
        <v>0</v>
      </c>
      <c r="M894" s="211"/>
      <c r="N894" s="211"/>
      <c r="O894" s="211"/>
      <c r="Q894" s="210" t="str">
        <f>IFERROR(__xludf.DUMMYFUNCTION("""COMPUTED_VALUE"""),"06250510")</f>
        <v>06250510</v>
      </c>
      <c r="R894" s="210" t="str">
        <f>IFERROR(__xludf.DUMMYFUNCTION("""COMPUTED_VALUE"""),"06250510")</f>
        <v>06250510</v>
      </c>
      <c r="S894" s="211" t="str">
        <f>IFERROR(__xludf.DUMMYFUNCTION("""COMPUTED_VALUE"""),"8ea74d81")</f>
        <v>8ea74d81</v>
      </c>
      <c r="T894" s="211" t="str">
        <f>IFERROR(__xludf.DUMMYFUNCTION("""COMPUTED_VALUE"""),"Bengkel Adi Putra")</f>
        <v>Bengkel Adi Putra</v>
      </c>
      <c r="U894" s="215">
        <f>IFERROR(__xludf.DUMMYFUNCTION("""COMPUTED_VALUE"""),45822.37986111111)</f>
        <v>45822.37986</v>
      </c>
      <c r="V894" s="211" t="str">
        <f>IFERROR(__xludf.DUMMYFUNCTION("""COMPUTED_VALUE"""),"Bypass Balongbendo")</f>
        <v>Bypass Balongbendo</v>
      </c>
      <c r="W894" s="211" t="str">
        <f>IFERROR(__xludf.DUMMYFUNCTION("""COMPUTED_VALUE"""),"OUT")</f>
        <v>OUT</v>
      </c>
      <c r="X894" s="211"/>
      <c r="Z894" s="211" t="str">
        <f>IFERROR(__xludf.DUMMYFUNCTION("""COMPUTED_VALUE"""),"0825401152")</f>
        <v>0825401152</v>
      </c>
      <c r="AC894" s="211"/>
      <c r="AD894" s="211"/>
      <c r="AE894" s="211"/>
      <c r="AF894" s="211"/>
      <c r="AG894" s="211"/>
      <c r="AH894" s="211"/>
      <c r="AI894" s="211"/>
      <c r="AJ894" s="211"/>
      <c r="AL894" s="211"/>
      <c r="AM894" s="211"/>
      <c r="AN894" s="211"/>
      <c r="AO894" s="211"/>
      <c r="AP894" s="215"/>
      <c r="AQ894" s="218"/>
      <c r="AR894" s="211"/>
      <c r="AS894" s="211"/>
      <c r="AT894" s="211"/>
      <c r="AU894" s="211"/>
      <c r="AV894" s="211"/>
      <c r="AW894" s="211"/>
      <c r="AX894" s="211"/>
      <c r="AY894" s="211"/>
      <c r="AZ894" s="211"/>
      <c r="BB894" s="211"/>
      <c r="BC894" s="211"/>
      <c r="BD894" s="211"/>
      <c r="BE894" s="211"/>
      <c r="BF894" s="211"/>
      <c r="BG894" s="211"/>
      <c r="BH894" s="211"/>
      <c r="BI894" s="211"/>
    </row>
    <row r="895">
      <c r="A895" s="210" t="str">
        <f>IFERROR(__xludf.DUMMYFUNCTION("""COMPUTED_VALUE"""),"04250360")</f>
        <v>04250360</v>
      </c>
      <c r="B895" s="210" t="str">
        <f>IFERROR(__xludf.DUMMYFUNCTION("""COMPUTED_VALUE"""),"04250360")</f>
        <v>04250360</v>
      </c>
      <c r="C895" s="213">
        <f>IFERROR(__xludf.DUMMYFUNCTION("""COMPUTED_VALUE"""),45758.35833333333)</f>
        <v>45758.35833</v>
      </c>
      <c r="D895" s="211" t="str">
        <f>IFERROR(__xludf.DUMMYFUNCTION("""COMPUTED_VALUE"""),"e86baf3b")</f>
        <v>e86baf3b</v>
      </c>
      <c r="E895" s="211" t="str">
        <f>IFERROR(__xludf.DUMMYFUNCTION("""COMPUTED_VALUE"""),"PT GEMILANG CIPTA WAWASAN")</f>
        <v>PT GEMILANG CIPTA WAWASAN</v>
      </c>
      <c r="F895" s="211" t="str">
        <f>IFERROR(__xludf.DUMMYFUNCTION("""COMPUTED_VALUE"""),"66af7c72")</f>
        <v>66af7c72</v>
      </c>
      <c r="G895" s="211" t="str">
        <f>IFERROR(__xludf.DUMMYFUNCTION("""COMPUTED_VALUE"""),"Argon 6m3")</f>
        <v>Argon 6m3</v>
      </c>
      <c r="H895" s="214" t="str">
        <f>IFERROR(__xludf.DUMMYFUNCTION("""COMPUTED_VALUE"""),"OUT")</f>
        <v>OUT</v>
      </c>
      <c r="I895" s="214" t="str">
        <f>IFERROR(__xludf.DUMMYFUNCTION("""COMPUTED_VALUE"""),"NORMAL")</f>
        <v>NORMAL</v>
      </c>
      <c r="J895" s="211">
        <f>IFERROR(__xludf.DUMMYFUNCTION("""COMPUTED_VALUE"""),4.0)</f>
        <v>4</v>
      </c>
      <c r="K895" s="210" t="str">
        <f>IFERROR(__xludf.DUMMYFUNCTION("""COMPUTED_VALUE"""),"12006 12007 12008 12011")</f>
        <v>12006 12007 12008 12011</v>
      </c>
      <c r="L895" s="211">
        <f>IFERROR(__xludf.DUMMYFUNCTION("""COMPUTED_VALUE"""),185000.0)</f>
        <v>185000</v>
      </c>
      <c r="M895" s="211"/>
      <c r="N895" s="211"/>
      <c r="O895" s="211"/>
      <c r="Q895" s="210" t="str">
        <f>IFERROR(__xludf.DUMMYFUNCTION("""COMPUTED_VALUE"""),"06250511")</f>
        <v>06250511</v>
      </c>
      <c r="R895" s="210" t="str">
        <f>IFERROR(__xludf.DUMMYFUNCTION("""COMPUTED_VALUE"""),"06250511")</f>
        <v>06250511</v>
      </c>
      <c r="S895" s="211" t="str">
        <f>IFERROR(__xludf.DUMMYFUNCTION("""COMPUTED_VALUE"""),"3bcd7fe6")</f>
        <v>3bcd7fe6</v>
      </c>
      <c r="T895" s="211" t="str">
        <f>IFERROR(__xludf.DUMMYFUNCTION("""COMPUTED_VALUE"""),"Bpk. Alvin (LB Group)")</f>
        <v>Bpk. Alvin (LB Group)</v>
      </c>
      <c r="U895" s="215">
        <f>IFERROR(__xludf.DUMMYFUNCTION("""COMPUTED_VALUE"""),45822.492361111115)</f>
        <v>45822.49236</v>
      </c>
      <c r="V895" s="211" t="str">
        <f>IFERROR(__xludf.DUMMYFUNCTION("""COMPUTED_VALUE"""),"MFF9+XHC, Jalan, Tambakrejo, Temuireng, Kec. Dawar Blandong, Kabupaten Mojokerto, Jawa Timur 61354")</f>
        <v>MFF9+XHC, Jalan, Tambakrejo, Temuireng, Kec. Dawar Blandong, Kabupaten Mojokerto, Jawa Timur 61354</v>
      </c>
      <c r="W895" s="211" t="str">
        <f>IFERROR(__xludf.DUMMYFUNCTION("""COMPUTED_VALUE"""),"OUT")</f>
        <v>OUT</v>
      </c>
      <c r="X895" s="211"/>
      <c r="Z895" s="211" t="str">
        <f>IFERROR(__xludf.DUMMYFUNCTION("""COMPUTED_VALUE"""),"0825181150")</f>
        <v>0825181150</v>
      </c>
      <c r="AC895" s="211"/>
      <c r="AD895" s="211"/>
      <c r="AE895" s="211"/>
      <c r="AF895" s="211"/>
      <c r="AG895" s="211"/>
      <c r="AH895" s="211"/>
      <c r="AI895" s="211"/>
      <c r="AJ895" s="211"/>
      <c r="AL895" s="211"/>
      <c r="AM895" s="211"/>
      <c r="AN895" s="211"/>
      <c r="AO895" s="211"/>
      <c r="AP895" s="215"/>
      <c r="AQ895" s="218"/>
      <c r="AR895" s="211"/>
      <c r="AS895" s="211"/>
      <c r="AT895" s="211"/>
      <c r="AU895" s="211"/>
      <c r="AV895" s="211"/>
      <c r="AW895" s="211"/>
      <c r="AX895" s="211"/>
      <c r="AY895" s="211"/>
      <c r="AZ895" s="211"/>
      <c r="BB895" s="211"/>
      <c r="BC895" s="211"/>
      <c r="BD895" s="211"/>
      <c r="BE895" s="211"/>
      <c r="BF895" s="211"/>
      <c r="BG895" s="211"/>
      <c r="BH895" s="211"/>
      <c r="BI895" s="211"/>
    </row>
    <row r="896">
      <c r="A896" s="210" t="str">
        <f>IFERROR(__xludf.DUMMYFUNCTION("""COMPUTED_VALUE"""),"04250361")</f>
        <v>04250361</v>
      </c>
      <c r="B896" s="210" t="str">
        <f>IFERROR(__xludf.DUMMYFUNCTION("""COMPUTED_VALUE"""),"04250361")</f>
        <v>04250361</v>
      </c>
      <c r="C896" s="213">
        <f>IFERROR(__xludf.DUMMYFUNCTION("""COMPUTED_VALUE"""),45761.48402777778)</f>
        <v>45761.48403</v>
      </c>
      <c r="D896" s="211" t="str">
        <f>IFERROR(__xludf.DUMMYFUNCTION("""COMPUTED_VALUE"""),"e86baf3b")</f>
        <v>e86baf3b</v>
      </c>
      <c r="E896" s="211" t="str">
        <f>IFERROR(__xludf.DUMMYFUNCTION("""COMPUTED_VALUE"""),"PT GEMILANG CIPTA WAWASAN")</f>
        <v>PT GEMILANG CIPTA WAWASAN</v>
      </c>
      <c r="F896" s="211" t="str">
        <f>IFERROR(__xludf.DUMMYFUNCTION("""COMPUTED_VALUE"""),"66af7c72")</f>
        <v>66af7c72</v>
      </c>
      <c r="G896" s="211" t="str">
        <f>IFERROR(__xludf.DUMMYFUNCTION("""COMPUTED_VALUE"""),"Argon 6m3")</f>
        <v>Argon 6m3</v>
      </c>
      <c r="H896" s="214" t="str">
        <f>IFERROR(__xludf.DUMMYFUNCTION("""COMPUTED_VALUE"""),"OUT")</f>
        <v>OUT</v>
      </c>
      <c r="I896" s="214" t="str">
        <f>IFERROR(__xludf.DUMMYFUNCTION("""COMPUTED_VALUE"""),"NORMAL")</f>
        <v>NORMAL</v>
      </c>
      <c r="J896" s="211">
        <f>IFERROR(__xludf.DUMMYFUNCTION("""COMPUTED_VALUE"""),11.0)</f>
        <v>11</v>
      </c>
      <c r="K896" s="210" t="str">
        <f>IFERROR(__xludf.DUMMYFUNCTION("""COMPUTED_VALUE"""),"12018 12017 12016 12015 12014 12013 12019 12020 12021 12023 12024")</f>
        <v>12018 12017 12016 12015 12014 12013 12019 12020 12021 12023 12024</v>
      </c>
      <c r="L896" s="211">
        <f>IFERROR(__xludf.DUMMYFUNCTION("""COMPUTED_VALUE"""),185000.0)</f>
        <v>185000</v>
      </c>
      <c r="M896" s="211"/>
      <c r="N896" s="211"/>
      <c r="O896" s="211"/>
      <c r="Q896" s="210" t="str">
        <f>IFERROR(__xludf.DUMMYFUNCTION("""COMPUTED_VALUE"""),"06250514")</f>
        <v>06250514</v>
      </c>
      <c r="R896" s="210" t="str">
        <f>IFERROR(__xludf.DUMMYFUNCTION("""COMPUTED_VALUE"""),"06250514")</f>
        <v>06250514</v>
      </c>
      <c r="S896" s="211" t="str">
        <f>IFERROR(__xludf.DUMMYFUNCTION("""COMPUTED_VALUE"""),"bdb5baf0")</f>
        <v>bdb5baf0</v>
      </c>
      <c r="T896" s="211" t="str">
        <f>IFERROR(__xludf.DUMMYFUNCTION("""COMPUTED_VALUE"""),"Bpk. Abdul")</f>
        <v>Bpk. Abdul</v>
      </c>
      <c r="U896" s="215">
        <f>IFERROR(__xludf.DUMMYFUNCTION("""COMPUTED_VALUE"""),45822.51180555555)</f>
        <v>45822.51181</v>
      </c>
      <c r="V896" s="211" t="str">
        <f>IFERROR(__xludf.DUMMYFUNCTION("""COMPUTED_VALUE"""),"#N/A")</f>
        <v>#N/A</v>
      </c>
      <c r="W896" s="211" t="str">
        <f>IFERROR(__xludf.DUMMYFUNCTION("""COMPUTED_VALUE"""),"OUT")</f>
        <v>OUT</v>
      </c>
      <c r="X896" s="211"/>
      <c r="Z896" s="211" t="str">
        <f>IFERROR(__xludf.DUMMYFUNCTION("""COMPUTED_VALUE"""),"082511143")</f>
        <v>082511143</v>
      </c>
      <c r="AC896" s="211"/>
      <c r="AD896" s="211"/>
      <c r="AE896" s="211"/>
      <c r="AF896" s="211"/>
      <c r="AG896" s="211"/>
      <c r="AH896" s="211"/>
      <c r="AI896" s="211"/>
      <c r="AJ896" s="211"/>
      <c r="AL896" s="211"/>
      <c r="AM896" s="211"/>
      <c r="AN896" s="211"/>
      <c r="AO896" s="211"/>
      <c r="AP896" s="215"/>
      <c r="AQ896" s="218"/>
      <c r="AR896" s="211"/>
      <c r="AS896" s="211"/>
      <c r="AT896" s="211"/>
      <c r="AU896" s="211"/>
      <c r="AV896" s="211"/>
      <c r="AW896" s="211"/>
      <c r="AX896" s="211"/>
      <c r="AY896" s="211"/>
      <c r="AZ896" s="211"/>
      <c r="BB896" s="211"/>
      <c r="BC896" s="211"/>
      <c r="BD896" s="211"/>
      <c r="BE896" s="211"/>
      <c r="BF896" s="211"/>
      <c r="BG896" s="211"/>
      <c r="BH896" s="211"/>
      <c r="BI896" s="211"/>
    </row>
    <row r="897">
      <c r="A897" s="210" t="str">
        <f>IFERROR(__xludf.DUMMYFUNCTION("""COMPUTED_VALUE"""),"04250362")</f>
        <v>04250362</v>
      </c>
      <c r="B897" s="210" t="str">
        <f>IFERROR(__xludf.DUMMYFUNCTION("""COMPUTED_VALUE"""),"04250362")</f>
        <v>04250362</v>
      </c>
      <c r="C897" s="213">
        <f>IFERROR(__xludf.DUMMYFUNCTION("""COMPUTED_VALUE"""),45762.34027777778)</f>
        <v>45762.34028</v>
      </c>
      <c r="D897" s="211" t="str">
        <f>IFERROR(__xludf.DUMMYFUNCTION("""COMPUTED_VALUE"""),"3fec37df")</f>
        <v>3fec37df</v>
      </c>
      <c r="E897" s="211" t="str">
        <f>IFERROR(__xludf.DUMMYFUNCTION("""COMPUTED_VALUE"""),"PT Jatim Abadi Perkasa Steel")</f>
        <v>PT Jatim Abadi Perkasa Steel</v>
      </c>
      <c r="F897" s="211" t="str">
        <f>IFERROR(__xludf.DUMMYFUNCTION("""COMPUTED_VALUE"""),"ef306e54")</f>
        <v>ef306e54</v>
      </c>
      <c r="G897" s="211" t="str">
        <f>IFERROR(__xludf.DUMMYFUNCTION("""COMPUTED_VALUE"""),"Karbondioksida")</f>
        <v>Karbondioksida</v>
      </c>
      <c r="H897" s="214" t="str">
        <f>IFERROR(__xludf.DUMMYFUNCTION("""COMPUTED_VALUE"""),"OUT")</f>
        <v>OUT</v>
      </c>
      <c r="I897" s="214" t="str">
        <f>IFERROR(__xludf.DUMMYFUNCTION("""COMPUTED_VALUE"""),"NORMAL")</f>
        <v>NORMAL</v>
      </c>
      <c r="J897" s="211">
        <f>IFERROR(__xludf.DUMMYFUNCTION("""COMPUTED_VALUE"""),4.0)</f>
        <v>4</v>
      </c>
      <c r="K897" s="210" t="str">
        <f>IFERROR(__xludf.DUMMYFUNCTION("""COMPUTED_VALUE"""),"13012 13013 13014 13011")</f>
        <v>13012 13013 13014 13011</v>
      </c>
      <c r="L897" s="211">
        <f>IFERROR(__xludf.DUMMYFUNCTION("""COMPUTED_VALUE"""),167000.0)</f>
        <v>167000</v>
      </c>
      <c r="M897" s="211"/>
      <c r="N897" s="211"/>
      <c r="O897" s="211"/>
      <c r="Q897" s="210" t="str">
        <f>IFERROR(__xludf.DUMMYFUNCTION("""COMPUTED_VALUE"""),"b7d830b6")</f>
        <v>b7d830b6</v>
      </c>
      <c r="R897" s="210" t="str">
        <f>IFERROR(__xludf.DUMMYFUNCTION("""COMPUTED_VALUE"""),"b7d830b6")</f>
        <v>b7d830b6</v>
      </c>
      <c r="S897" s="211" t="str">
        <f>IFERROR(__xludf.DUMMYFUNCTION("""COMPUTED_VALUE"""),"3bcd7fe6")</f>
        <v>3bcd7fe6</v>
      </c>
      <c r="T897" s="211" t="str">
        <f>IFERROR(__xludf.DUMMYFUNCTION("""COMPUTED_VALUE"""),"Bpk. Alvin (LB Group)")</f>
        <v>Bpk. Alvin (LB Group)</v>
      </c>
      <c r="U897" s="215">
        <f>IFERROR(__xludf.DUMMYFUNCTION("""COMPUTED_VALUE"""),45822.606944444444)</f>
        <v>45822.60694</v>
      </c>
      <c r="V897" s="211" t="str">
        <f>IFERROR(__xludf.DUMMYFUNCTION("""COMPUTED_VALUE"""),"MFF9+XHC, Jalan, Tambakrejo, Temuireng, Kec. Dawar Blandong, Kabupaten Mojokerto, Jawa Timur 61354")</f>
        <v>MFF9+XHC, Jalan, Tambakrejo, Temuireng, Kec. Dawar Blandong, Kabupaten Mojokerto, Jawa Timur 61354</v>
      </c>
      <c r="W897" s="211" t="str">
        <f>IFERROR(__xludf.DUMMYFUNCTION("""COMPUTED_VALUE"""),"IN")</f>
        <v>IN</v>
      </c>
      <c r="X897" s="211"/>
      <c r="Z897" s="211" t="str">
        <f>IFERROR(__xludf.DUMMYFUNCTION("""COMPUTED_VALUE"""),"0825271364")</f>
        <v>0825271364</v>
      </c>
      <c r="AC897" s="211"/>
      <c r="AD897" s="211"/>
      <c r="AE897" s="211"/>
      <c r="AF897" s="211"/>
      <c r="AG897" s="211"/>
      <c r="AH897" s="211"/>
      <c r="AI897" s="211"/>
      <c r="AJ897" s="211"/>
      <c r="AL897" s="211"/>
      <c r="AM897" s="211"/>
      <c r="AN897" s="211"/>
      <c r="AO897" s="211"/>
      <c r="AP897" s="215"/>
      <c r="AQ897" s="218"/>
      <c r="AR897" s="211"/>
      <c r="AS897" s="211"/>
      <c r="AT897" s="211"/>
      <c r="AU897" s="211"/>
      <c r="AV897" s="211"/>
      <c r="AW897" s="211"/>
      <c r="AX897" s="211"/>
      <c r="AY897" s="211"/>
      <c r="AZ897" s="211"/>
      <c r="BB897" s="211"/>
      <c r="BC897" s="211"/>
      <c r="BD897" s="211"/>
      <c r="BE897" s="211"/>
      <c r="BF897" s="211"/>
      <c r="BG897" s="211"/>
      <c r="BH897" s="211"/>
      <c r="BI897" s="211"/>
    </row>
    <row r="898">
      <c r="A898" s="210" t="str">
        <f>IFERROR(__xludf.DUMMYFUNCTION("""COMPUTED_VALUE"""),"04250363")</f>
        <v>04250363</v>
      </c>
      <c r="B898" s="210" t="str">
        <f>IFERROR(__xludf.DUMMYFUNCTION("""COMPUTED_VALUE"""),"04250363")</f>
        <v>04250363</v>
      </c>
      <c r="C898" s="213">
        <f>IFERROR(__xludf.DUMMYFUNCTION("""COMPUTED_VALUE"""),45762.38888888889)</f>
        <v>45762.38889</v>
      </c>
      <c r="D898" s="211" t="str">
        <f>IFERROR(__xludf.DUMMYFUNCTION("""COMPUTED_VALUE"""),"609d620d")</f>
        <v>609d620d</v>
      </c>
      <c r="E898" s="211" t="str">
        <f>IFERROR(__xludf.DUMMYFUNCTION("""COMPUTED_VALUE"""),"PT Pandu Mulia Bersama")</f>
        <v>PT Pandu Mulia Bersama</v>
      </c>
      <c r="F898" s="211" t="str">
        <f>IFERROR(__xludf.DUMMYFUNCTION("""COMPUTED_VALUE"""),"7d2764f1")</f>
        <v>7d2764f1</v>
      </c>
      <c r="G898" s="211" t="str">
        <f>IFERROR(__xludf.DUMMYFUNCTION("""COMPUTED_VALUE"""),"Oksigen 7m3")</f>
        <v>Oksigen 7m3</v>
      </c>
      <c r="H898" s="214" t="str">
        <f>IFERROR(__xludf.DUMMYFUNCTION("""COMPUTED_VALUE"""),"OUT")</f>
        <v>OUT</v>
      </c>
      <c r="I898" s="214" t="str">
        <f>IFERROR(__xludf.DUMMYFUNCTION("""COMPUTED_VALUE"""),"NORMAL")</f>
        <v>NORMAL</v>
      </c>
      <c r="J898" s="211">
        <f>IFERROR(__xludf.DUMMYFUNCTION("""COMPUTED_VALUE"""),10.0)</f>
        <v>10</v>
      </c>
      <c r="K898" s="210" t="str">
        <f>IFERROR(__xludf.DUMMYFUNCTION("""COMPUTED_VALUE"""),"11241 11240 11245 1162 11244 11239 11234 11261 11228 11229")</f>
        <v>11241 11240 11245 1162 11244 11239 11234 11261 11228 11229</v>
      </c>
      <c r="L898" s="211">
        <f>IFERROR(__xludf.DUMMYFUNCTION("""COMPUTED_VALUE"""),60000.0)</f>
        <v>60000</v>
      </c>
      <c r="M898" s="211"/>
      <c r="N898" s="211"/>
      <c r="O898" s="211"/>
      <c r="Q898" s="210" t="str">
        <f>IFERROR(__xludf.DUMMYFUNCTION("""COMPUTED_VALUE"""),"a0bc1a65")</f>
        <v>a0bc1a65</v>
      </c>
      <c r="R898" s="210" t="str">
        <f>IFERROR(__xludf.DUMMYFUNCTION("""COMPUTED_VALUE"""),"a0bc1a65")</f>
        <v>a0bc1a65</v>
      </c>
      <c r="S898" s="211" t="str">
        <f>IFERROR(__xludf.DUMMYFUNCTION("""COMPUTED_VALUE"""),"01158be1")</f>
        <v>01158be1</v>
      </c>
      <c r="T898" s="211" t="str">
        <f>IFERROR(__xludf.DUMMYFUNCTION("""COMPUTED_VALUE"""),"GYF")</f>
        <v>GYF</v>
      </c>
      <c r="U898" s="215">
        <f>IFERROR(__xludf.DUMMYFUNCTION("""COMPUTED_VALUE"""),45822.606944444444)</f>
        <v>45822.60694</v>
      </c>
      <c r="V898" s="211" t="str">
        <f>IFERROR(__xludf.DUMMYFUNCTION("""COMPUTED_VALUE"""),"Kangkungan, Lengkong, Kec. Mojoanyar, Kabupaten Mojokerto, Jawa Timur")</f>
        <v>Kangkungan, Lengkong, Kec. Mojoanyar, Kabupaten Mojokerto, Jawa Timur</v>
      </c>
      <c r="W898" s="211" t="str">
        <f>IFERROR(__xludf.DUMMYFUNCTION("""COMPUTED_VALUE"""),"IN")</f>
        <v>IN</v>
      </c>
      <c r="X898" s="211"/>
      <c r="Z898" s="211" t="str">
        <f>IFERROR(__xludf.DUMMYFUNCTION("""COMPUTED_VALUE"""),"0825131141")</f>
        <v>0825131141</v>
      </c>
      <c r="AC898" s="211"/>
      <c r="AD898" s="211"/>
      <c r="AE898" s="211"/>
      <c r="AF898" s="211"/>
      <c r="AG898" s="211"/>
      <c r="AH898" s="211"/>
      <c r="AI898" s="211"/>
      <c r="AJ898" s="211"/>
      <c r="AL898" s="211"/>
      <c r="AM898" s="211"/>
      <c r="AN898" s="211"/>
      <c r="AO898" s="211"/>
      <c r="AP898" s="215"/>
      <c r="AQ898" s="218"/>
      <c r="AR898" s="211"/>
      <c r="AS898" s="211"/>
      <c r="AT898" s="211"/>
      <c r="AU898" s="211"/>
      <c r="AV898" s="211"/>
      <c r="AW898" s="211"/>
      <c r="AX898" s="211"/>
      <c r="AY898" s="211"/>
      <c r="AZ898" s="211"/>
      <c r="BB898" s="211"/>
      <c r="BC898" s="211"/>
      <c r="BD898" s="211"/>
      <c r="BE898" s="211"/>
      <c r="BF898" s="211"/>
      <c r="BG898" s="211"/>
      <c r="BH898" s="211"/>
      <c r="BI898" s="211"/>
    </row>
    <row r="899">
      <c r="A899" s="210" t="str">
        <f>IFERROR(__xludf.DUMMYFUNCTION("""COMPUTED_VALUE"""),"04250363")</f>
        <v>04250363</v>
      </c>
      <c r="B899" s="210" t="str">
        <f>IFERROR(__xludf.DUMMYFUNCTION("""COMPUTED_VALUE"""),"04250363")</f>
        <v>04250363</v>
      </c>
      <c r="C899" s="213">
        <f>IFERROR(__xludf.DUMMYFUNCTION("""COMPUTED_VALUE"""),45762.38958333333)</f>
        <v>45762.38958</v>
      </c>
      <c r="D899" s="211" t="str">
        <f>IFERROR(__xludf.DUMMYFUNCTION("""COMPUTED_VALUE"""),"609d620d")</f>
        <v>609d620d</v>
      </c>
      <c r="E899" s="211" t="str">
        <f>IFERROR(__xludf.DUMMYFUNCTION("""COMPUTED_VALUE"""),"PT Pandu Mulia Bersama")</f>
        <v>PT Pandu Mulia Bersama</v>
      </c>
      <c r="F899" s="211" t="str">
        <f>IFERROR(__xludf.DUMMYFUNCTION("""COMPUTED_VALUE"""),"be525f3b")</f>
        <v>be525f3b</v>
      </c>
      <c r="G899" s="211" t="str">
        <f>IFERROR(__xludf.DUMMYFUNCTION("""COMPUTED_VALUE"""),"LPG 12kg")</f>
        <v>LPG 12kg</v>
      </c>
      <c r="H899" s="214" t="str">
        <f>IFERROR(__xludf.DUMMYFUNCTION("""COMPUTED_VALUE"""),"OUT")</f>
        <v>OUT</v>
      </c>
      <c r="I899" s="214" t="str">
        <f>IFERROR(__xludf.DUMMYFUNCTION("""COMPUTED_VALUE"""),"NORMAL")</f>
        <v>NORMAL</v>
      </c>
      <c r="J899" s="211">
        <f>IFERROR(__xludf.DUMMYFUNCTION("""COMPUTED_VALUE"""),3.0)</f>
        <v>3</v>
      </c>
      <c r="K899" s="211"/>
      <c r="L899" s="211">
        <f>IFERROR(__xludf.DUMMYFUNCTION("""COMPUTED_VALUE"""),200000.0)</f>
        <v>200000</v>
      </c>
      <c r="M899" s="211"/>
      <c r="N899" s="211"/>
      <c r="O899" s="211"/>
      <c r="Q899" s="210" t="str">
        <f>IFERROR(__xludf.DUMMYFUNCTION("""COMPUTED_VALUE"""),"001b70e0")</f>
        <v>001b70e0</v>
      </c>
      <c r="R899" s="210" t="str">
        <f>IFERROR(__xludf.DUMMYFUNCTION("""COMPUTED_VALUE"""),"001b70e0")</f>
        <v>001b70e0</v>
      </c>
      <c r="S899" s="211" t="str">
        <f>IFERROR(__xludf.DUMMYFUNCTION("""COMPUTED_VALUE"""),"8ea74d81")</f>
        <v>8ea74d81</v>
      </c>
      <c r="T899" s="211" t="str">
        <f>IFERROR(__xludf.DUMMYFUNCTION("""COMPUTED_VALUE"""),"Bengkel Adi Putra")</f>
        <v>Bengkel Adi Putra</v>
      </c>
      <c r="U899" s="215">
        <f>IFERROR(__xludf.DUMMYFUNCTION("""COMPUTED_VALUE"""),45822.60833333334)</f>
        <v>45822.60833</v>
      </c>
      <c r="V899" s="211" t="str">
        <f>IFERROR(__xludf.DUMMYFUNCTION("""COMPUTED_VALUE"""),"Bypass Balongbendo")</f>
        <v>Bypass Balongbendo</v>
      </c>
      <c r="W899" s="211" t="str">
        <f>IFERROR(__xludf.DUMMYFUNCTION("""COMPUTED_VALUE"""),"IN")</f>
        <v>IN</v>
      </c>
      <c r="X899" s="211"/>
      <c r="Z899" s="211" t="str">
        <f>IFERROR(__xludf.DUMMYFUNCTION("""COMPUTED_VALUE"""),"0825251140")</f>
        <v>0825251140</v>
      </c>
      <c r="AC899" s="211"/>
      <c r="AD899" s="211"/>
      <c r="AE899" s="211"/>
      <c r="AF899" s="211"/>
      <c r="AG899" s="211"/>
      <c r="AH899" s="211"/>
      <c r="AI899" s="211"/>
      <c r="AJ899" s="211"/>
      <c r="AL899" s="211"/>
      <c r="AM899" s="211"/>
      <c r="AN899" s="211"/>
      <c r="AO899" s="211"/>
      <c r="AP899" s="215"/>
      <c r="AQ899" s="218"/>
      <c r="AR899" s="211"/>
      <c r="AS899" s="211"/>
      <c r="AT899" s="211"/>
      <c r="AU899" s="211"/>
      <c r="AV899" s="211"/>
      <c r="AW899" s="211"/>
      <c r="AX899" s="211"/>
      <c r="AY899" s="211"/>
      <c r="AZ899" s="211"/>
      <c r="BB899" s="211"/>
      <c r="BC899" s="211"/>
      <c r="BD899" s="211"/>
      <c r="BE899" s="211"/>
      <c r="BF899" s="211"/>
      <c r="BG899" s="211"/>
      <c r="BH899" s="211"/>
      <c r="BI899" s="211"/>
    </row>
    <row r="900">
      <c r="A900" s="210" t="str">
        <f>IFERROR(__xludf.DUMMYFUNCTION("""COMPUTED_VALUE"""),"e26f42c0")</f>
        <v>e26f42c0</v>
      </c>
      <c r="B900" s="210" t="str">
        <f>IFERROR(__xludf.DUMMYFUNCTION("""COMPUTED_VALUE"""),"e26f42c0")</f>
        <v>e26f42c0</v>
      </c>
      <c r="C900" s="213">
        <f>IFERROR(__xludf.DUMMYFUNCTION("""COMPUTED_VALUE"""),45762.45208333333)</f>
        <v>45762.45208</v>
      </c>
      <c r="D900" s="211" t="str">
        <f>IFERROR(__xludf.DUMMYFUNCTION("""COMPUTED_VALUE"""),"3fec37df")</f>
        <v>3fec37df</v>
      </c>
      <c r="E900" s="211" t="str">
        <f>IFERROR(__xludf.DUMMYFUNCTION("""COMPUTED_VALUE"""),"PT Jatim Abadi Perkasa Steel")</f>
        <v>PT Jatim Abadi Perkasa Steel</v>
      </c>
      <c r="F900" s="211" t="str">
        <f>IFERROR(__xludf.DUMMYFUNCTION("""COMPUTED_VALUE"""),"ef306e54")</f>
        <v>ef306e54</v>
      </c>
      <c r="G900" s="211" t="str">
        <f>IFERROR(__xludf.DUMMYFUNCTION("""COMPUTED_VALUE"""),"Karbondioksida")</f>
        <v>Karbondioksida</v>
      </c>
      <c r="H900" s="214" t="str">
        <f>IFERROR(__xludf.DUMMYFUNCTION("""COMPUTED_VALUE"""),"IN")</f>
        <v>IN</v>
      </c>
      <c r="I900" s="214" t="str">
        <f>IFERROR(__xludf.DUMMYFUNCTION("""COMPUTED_VALUE"""),"EMPTY")</f>
        <v>EMPTY</v>
      </c>
      <c r="J900" s="211">
        <f>IFERROR(__xludf.DUMMYFUNCTION("""COMPUTED_VALUE"""),4.0)</f>
        <v>4</v>
      </c>
      <c r="K900" s="210" t="str">
        <f>IFERROR(__xludf.DUMMYFUNCTION("""COMPUTED_VALUE"""),"13008 13007 13005 13004")</f>
        <v>13008 13007 13005 13004</v>
      </c>
      <c r="L900" s="211">
        <f>IFERROR(__xludf.DUMMYFUNCTION("""COMPUTED_VALUE"""),0.0)</f>
        <v>0</v>
      </c>
      <c r="M900" s="211"/>
      <c r="N900" s="211"/>
      <c r="O900" s="211"/>
      <c r="Q900" s="211"/>
      <c r="R900" s="211"/>
      <c r="S900" s="211"/>
      <c r="T900" s="211"/>
      <c r="U900" s="211"/>
      <c r="V900" s="211"/>
      <c r="W900" s="211"/>
      <c r="X900" s="211"/>
      <c r="Z900" s="211" t="str">
        <f>IFERROR(__xludf.DUMMYFUNCTION("""COMPUTED_VALUE"""),"0825101138")</f>
        <v>0825101138</v>
      </c>
      <c r="AC900" s="211"/>
      <c r="AD900" s="211"/>
      <c r="AE900" s="211"/>
      <c r="AF900" s="211"/>
      <c r="AG900" s="211"/>
      <c r="AH900" s="211"/>
      <c r="AI900" s="211"/>
      <c r="AJ900" s="211"/>
      <c r="AL900" s="211"/>
      <c r="AM900" s="211"/>
      <c r="AN900" s="211"/>
      <c r="AO900" s="211"/>
      <c r="AP900" s="215"/>
      <c r="AQ900" s="218"/>
      <c r="AR900" s="211"/>
      <c r="AS900" s="211"/>
      <c r="AT900" s="211"/>
      <c r="AU900" s="211"/>
      <c r="AV900" s="211"/>
      <c r="AW900" s="211"/>
      <c r="AX900" s="211"/>
      <c r="AY900" s="211"/>
      <c r="AZ900" s="211"/>
      <c r="BB900" s="211"/>
      <c r="BC900" s="211"/>
      <c r="BD900" s="211"/>
      <c r="BE900" s="211"/>
      <c r="BF900" s="211"/>
      <c r="BG900" s="211"/>
      <c r="BH900" s="211"/>
      <c r="BI900" s="211"/>
    </row>
    <row r="901">
      <c r="A901" s="210" t="str">
        <f>IFERROR(__xludf.DUMMYFUNCTION("""COMPUTED_VALUE"""),"42566707")</f>
        <v>42566707</v>
      </c>
      <c r="B901" s="210" t="str">
        <f>IFERROR(__xludf.DUMMYFUNCTION("""COMPUTED_VALUE"""),"42566707")</f>
        <v>42566707</v>
      </c>
      <c r="C901" s="213">
        <f>IFERROR(__xludf.DUMMYFUNCTION("""COMPUTED_VALUE"""),45762.45277777778)</f>
        <v>45762.45278</v>
      </c>
      <c r="D901" s="211" t="str">
        <f>IFERROR(__xludf.DUMMYFUNCTION("""COMPUTED_VALUE"""),"609d620d")</f>
        <v>609d620d</v>
      </c>
      <c r="E901" s="211" t="str">
        <f>IFERROR(__xludf.DUMMYFUNCTION("""COMPUTED_VALUE"""),"PT Pandu Mulia Bersama")</f>
        <v>PT Pandu Mulia Bersama</v>
      </c>
      <c r="F901" s="211" t="str">
        <f>IFERROR(__xludf.DUMMYFUNCTION("""COMPUTED_VALUE"""),"be525f3b")</f>
        <v>be525f3b</v>
      </c>
      <c r="G901" s="211" t="str">
        <f>IFERROR(__xludf.DUMMYFUNCTION("""COMPUTED_VALUE"""),"LPG 12kg")</f>
        <v>LPG 12kg</v>
      </c>
      <c r="H901" s="214" t="str">
        <f>IFERROR(__xludf.DUMMYFUNCTION("""COMPUTED_VALUE"""),"IN")</f>
        <v>IN</v>
      </c>
      <c r="I901" s="214" t="str">
        <f>IFERROR(__xludf.DUMMYFUNCTION("""COMPUTED_VALUE"""),"EMPTY")</f>
        <v>EMPTY</v>
      </c>
      <c r="J901" s="211">
        <f>IFERROR(__xludf.DUMMYFUNCTION("""COMPUTED_VALUE"""),3.0)</f>
        <v>3</v>
      </c>
      <c r="K901" s="211"/>
      <c r="L901" s="211">
        <f>IFERROR(__xludf.DUMMYFUNCTION("""COMPUTED_VALUE"""),0.0)</f>
        <v>0</v>
      </c>
      <c r="M901" s="211"/>
      <c r="N901" s="211"/>
      <c r="O901" s="211"/>
      <c r="Q901" s="210" t="str">
        <f>IFERROR(__xludf.DUMMYFUNCTION("""COMPUTED_VALUE"""),"06250516")</f>
        <v>06250516</v>
      </c>
      <c r="R901" s="210" t="str">
        <f>IFERROR(__xludf.DUMMYFUNCTION("""COMPUTED_VALUE"""),"06250516")</f>
        <v>06250516</v>
      </c>
      <c r="S901" s="211" t="str">
        <f>IFERROR(__xludf.DUMMYFUNCTION("""COMPUTED_VALUE"""),"182fb0fe")</f>
        <v>182fb0fe</v>
      </c>
      <c r="T901" s="211" t="str">
        <f>IFERROR(__xludf.DUMMYFUNCTION("""COMPUTED_VALUE"""),"PT Amtech")</f>
        <v>PT Amtech</v>
      </c>
      <c r="U901" s="215">
        <f>IFERROR(__xludf.DUMMYFUNCTION("""COMPUTED_VALUE"""),45824.4625)</f>
        <v>45824.4625</v>
      </c>
      <c r="V901"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901" s="211" t="str">
        <f>IFERROR(__xludf.DUMMYFUNCTION("""COMPUTED_VALUE"""),"OUT")</f>
        <v>OUT</v>
      </c>
      <c r="X901" s="211"/>
      <c r="Z901" s="211" t="str">
        <f>IFERROR(__xludf.DUMMYFUNCTION("""COMPUTED_VALUE"""),"082581137")</f>
        <v>082581137</v>
      </c>
      <c r="AC901" s="211"/>
      <c r="AD901" s="211"/>
      <c r="AE901" s="211"/>
      <c r="AF901" s="211"/>
      <c r="AG901" s="211"/>
      <c r="AH901" s="211"/>
      <c r="AI901" s="211"/>
      <c r="AJ901" s="211"/>
      <c r="AL901" s="211"/>
      <c r="AM901" s="211"/>
      <c r="AN901" s="211"/>
      <c r="AO901" s="211"/>
      <c r="AP901" s="215"/>
      <c r="AQ901" s="218"/>
      <c r="AR901" s="211"/>
      <c r="AS901" s="211"/>
      <c r="AT901" s="211"/>
      <c r="AU901" s="211"/>
      <c r="AV901" s="211"/>
      <c r="AW901" s="211"/>
      <c r="AX901" s="211"/>
      <c r="AY901" s="211"/>
      <c r="AZ901" s="211"/>
      <c r="BB901" s="211"/>
      <c r="BC901" s="211"/>
      <c r="BD901" s="211"/>
      <c r="BE901" s="211"/>
      <c r="BF901" s="211"/>
      <c r="BG901" s="211"/>
      <c r="BH901" s="211"/>
      <c r="BI901" s="211"/>
    </row>
    <row r="902">
      <c r="A902" s="210" t="str">
        <f>IFERROR(__xludf.DUMMYFUNCTION("""COMPUTED_VALUE"""),"04250362")</f>
        <v>04250362</v>
      </c>
      <c r="B902" s="210" t="str">
        <f>IFERROR(__xludf.DUMMYFUNCTION("""COMPUTED_VALUE"""),"04250362")</f>
        <v>04250362</v>
      </c>
      <c r="C902" s="213">
        <f>IFERROR(__xludf.DUMMYFUNCTION("""COMPUTED_VALUE"""),45762.45347222222)</f>
        <v>45762.45347</v>
      </c>
      <c r="D902" s="211" t="str">
        <f>IFERROR(__xludf.DUMMYFUNCTION("""COMPUTED_VALUE"""),"3fec37df")</f>
        <v>3fec37df</v>
      </c>
      <c r="E902" s="211" t="str">
        <f>IFERROR(__xludf.DUMMYFUNCTION("""COMPUTED_VALUE"""),"PT Jatim Abadi Perkasa Steel")</f>
        <v>PT Jatim Abadi Perkasa Steel</v>
      </c>
      <c r="F902" s="211" t="str">
        <f>IFERROR(__xludf.DUMMYFUNCTION("""COMPUTED_VALUE"""),"b7a8fff1")</f>
        <v>b7a8fff1</v>
      </c>
      <c r="G902" s="211" t="str">
        <f>IFERROR(__xludf.DUMMYFUNCTION("""COMPUTED_VALUE"""),"LPG 50kg")</f>
        <v>LPG 50kg</v>
      </c>
      <c r="H902" s="214" t="str">
        <f>IFERROR(__xludf.DUMMYFUNCTION("""COMPUTED_VALUE"""),"OUT")</f>
        <v>OUT</v>
      </c>
      <c r="I902" s="214" t="str">
        <f>IFERROR(__xludf.DUMMYFUNCTION("""COMPUTED_VALUE"""),"NORMAL")</f>
        <v>NORMAL</v>
      </c>
      <c r="J902" s="211">
        <f>IFERROR(__xludf.DUMMYFUNCTION("""COMPUTED_VALUE"""),6.0)</f>
        <v>6</v>
      </c>
      <c r="K902" s="211"/>
      <c r="L902" s="211">
        <f>IFERROR(__xludf.DUMMYFUNCTION("""COMPUTED_VALUE"""),909909.9099)</f>
        <v>909909.9099</v>
      </c>
      <c r="M902" s="211"/>
      <c r="N902" s="211"/>
      <c r="O902" s="211"/>
      <c r="Q902" s="210" t="str">
        <f>IFERROR(__xludf.DUMMYFUNCTION("""COMPUTED_VALUE"""),"06250517")</f>
        <v>06250517</v>
      </c>
      <c r="R902" s="210" t="str">
        <f>IFERROR(__xludf.DUMMYFUNCTION("""COMPUTED_VALUE"""),"06250517")</f>
        <v>06250517</v>
      </c>
      <c r="S902" s="211" t="str">
        <f>IFERROR(__xludf.DUMMYFUNCTION("""COMPUTED_VALUE"""),"3fec37df")</f>
        <v>3fec37df</v>
      </c>
      <c r="T902" s="211" t="str">
        <f>IFERROR(__xludf.DUMMYFUNCTION("""COMPUTED_VALUE"""),"PT Jatim Abadi Perkasa Steel")</f>
        <v>PT Jatim Abadi Perkasa Steel</v>
      </c>
      <c r="U902" s="215">
        <f>IFERROR(__xludf.DUMMYFUNCTION("""COMPUTED_VALUE"""),45824.49097222222)</f>
        <v>45824.49097</v>
      </c>
      <c r="V902" s="211" t="str">
        <f>IFERROR(__xludf.DUMMYFUNCTION("""COMPUTED_VALUE"""),"Dsn. Bulak Sempuh, Jatirejo, Kab. Mojokerto, Jawa Timur")</f>
        <v>Dsn. Bulak Sempuh, Jatirejo, Kab. Mojokerto, Jawa Timur</v>
      </c>
      <c r="W902" s="211" t="str">
        <f>IFERROR(__xludf.DUMMYFUNCTION("""COMPUTED_VALUE"""),"OUT")</f>
        <v>OUT</v>
      </c>
      <c r="X902" s="211"/>
      <c r="Z902" s="211" t="str">
        <f>IFERROR(__xludf.DUMMYFUNCTION("""COMPUTED_VALUE"""),"082591134")</f>
        <v>082591134</v>
      </c>
      <c r="AC902" s="211"/>
      <c r="AD902" s="211"/>
      <c r="AE902" s="211"/>
      <c r="AF902" s="211"/>
      <c r="AG902" s="211"/>
      <c r="AH902" s="211"/>
      <c r="AI902" s="211"/>
      <c r="AJ902" s="211"/>
      <c r="AL902" s="211"/>
      <c r="AM902" s="211"/>
      <c r="AN902" s="211"/>
      <c r="AO902" s="211"/>
      <c r="AP902" s="215"/>
      <c r="AQ902" s="218"/>
      <c r="AR902" s="211"/>
      <c r="AS902" s="211"/>
      <c r="AT902" s="211"/>
      <c r="AU902" s="211"/>
      <c r="AV902" s="211"/>
      <c r="AW902" s="211"/>
      <c r="AX902" s="211"/>
      <c r="AY902" s="211"/>
      <c r="AZ902" s="211"/>
      <c r="BB902" s="211"/>
      <c r="BC902" s="211"/>
      <c r="BD902" s="211"/>
      <c r="BE902" s="211"/>
      <c r="BF902" s="211"/>
      <c r="BG902" s="211"/>
      <c r="BH902" s="211"/>
      <c r="BI902" s="211"/>
    </row>
    <row r="903">
      <c r="A903" s="210" t="str">
        <f>IFERROR(__xludf.DUMMYFUNCTION("""COMPUTED_VALUE"""),"04250366")</f>
        <v>04250366</v>
      </c>
      <c r="B903" s="210" t="str">
        <f>IFERROR(__xludf.DUMMYFUNCTION("""COMPUTED_VALUE"""),"04250366")</f>
        <v>04250366</v>
      </c>
      <c r="C903" s="213">
        <f>IFERROR(__xludf.DUMMYFUNCTION("""COMPUTED_VALUE"""),45762.46041666667)</f>
        <v>45762.46042</v>
      </c>
      <c r="D903" s="211" t="str">
        <f>IFERROR(__xludf.DUMMYFUNCTION("""COMPUTED_VALUE"""),"anwr")</f>
        <v>anwr</v>
      </c>
      <c r="E903" s="211" t="str">
        <f>IFERROR(__xludf.DUMMYFUNCTION("""COMPUTED_VALUE"""),"Bpk. Anwar")</f>
        <v>Bpk. Anwar</v>
      </c>
      <c r="F903" s="211" t="str">
        <f>IFERROR(__xludf.DUMMYFUNCTION("""COMPUTED_VALUE"""),"8bdbe149")</f>
        <v>8bdbe149</v>
      </c>
      <c r="G903" s="211" t="str">
        <f>IFERROR(__xludf.DUMMYFUNCTION("""COMPUTED_VALUE"""),"Oksigen 6m3")</f>
        <v>Oksigen 6m3</v>
      </c>
      <c r="H903" s="214" t="str">
        <f>IFERROR(__xludf.DUMMYFUNCTION("""COMPUTED_VALUE"""),"OUT")</f>
        <v>OUT</v>
      </c>
      <c r="I903" s="214" t="str">
        <f>IFERROR(__xludf.DUMMYFUNCTION("""COMPUTED_VALUE"""),"NORMAL")</f>
        <v>NORMAL</v>
      </c>
      <c r="J903" s="211">
        <f>IFERROR(__xludf.DUMMYFUNCTION("""COMPUTED_VALUE"""),1.0)</f>
        <v>1</v>
      </c>
      <c r="K903" s="210" t="str">
        <f>IFERROR(__xludf.DUMMYFUNCTION("""COMPUTED_VALUE"""),"1154")</f>
        <v>1154</v>
      </c>
      <c r="L903" s="211">
        <f>IFERROR(__xludf.DUMMYFUNCTION("""COMPUTED_VALUE"""),60000.0)</f>
        <v>60000</v>
      </c>
      <c r="M903" s="211"/>
      <c r="N903" s="211"/>
      <c r="O903" s="211"/>
      <c r="Q903" s="210" t="str">
        <f>IFERROR(__xludf.DUMMYFUNCTION("""COMPUTED_VALUE"""),"406250017")</f>
        <v>406250017</v>
      </c>
      <c r="R903" s="210" t="str">
        <f>IFERROR(__xludf.DUMMYFUNCTION("""COMPUTED_VALUE"""),"406250017")</f>
        <v>406250017</v>
      </c>
      <c r="S903" s="211" t="str">
        <f>IFERROR(__xludf.DUMMYFUNCTION("""COMPUTED_VALUE"""),"3fec37df")</f>
        <v>3fec37df</v>
      </c>
      <c r="T903" s="211" t="str">
        <f>IFERROR(__xludf.DUMMYFUNCTION("""COMPUTED_VALUE"""),"PT Jatim Abadi Perkasa Steel")</f>
        <v>PT Jatim Abadi Perkasa Steel</v>
      </c>
      <c r="U903" s="215">
        <f>IFERROR(__xludf.DUMMYFUNCTION("""COMPUTED_VALUE"""),45824.49097222222)</f>
        <v>45824.49097</v>
      </c>
      <c r="V903" s="211" t="str">
        <f>IFERROR(__xludf.DUMMYFUNCTION("""COMPUTED_VALUE"""),"Dsn. Bulak Sempuh, Jatirejo, Kab. Mojokerto, Jawa Timur")</f>
        <v>Dsn. Bulak Sempuh, Jatirejo, Kab. Mojokerto, Jawa Timur</v>
      </c>
      <c r="W903" s="211" t="str">
        <f>IFERROR(__xludf.DUMMYFUNCTION("""COMPUTED_VALUE"""),"OTHER")</f>
        <v>OTHER</v>
      </c>
      <c r="X903" s="211"/>
      <c r="Z903" s="211" t="str">
        <f>IFERROR(__xludf.DUMMYFUNCTION("""COMPUTED_VALUE"""),"0825391131")</f>
        <v>0825391131</v>
      </c>
      <c r="AC903" s="211"/>
      <c r="AD903" s="211"/>
      <c r="AE903" s="211"/>
      <c r="AF903" s="211"/>
      <c r="AG903" s="211"/>
      <c r="AH903" s="211"/>
      <c r="AI903" s="211"/>
      <c r="AJ903" s="211"/>
      <c r="AL903" s="211"/>
      <c r="AM903" s="211"/>
      <c r="AN903" s="211"/>
      <c r="AO903" s="211"/>
      <c r="AP903" s="215"/>
      <c r="AQ903" s="218"/>
      <c r="AR903" s="211"/>
      <c r="AS903" s="211"/>
      <c r="AT903" s="211"/>
      <c r="AU903" s="211"/>
      <c r="AV903" s="211"/>
      <c r="AW903" s="211"/>
      <c r="AX903" s="211"/>
      <c r="AY903" s="211"/>
      <c r="AZ903" s="211"/>
      <c r="BB903" s="211"/>
      <c r="BC903" s="211"/>
      <c r="BD903" s="211"/>
      <c r="BE903" s="211"/>
      <c r="BF903" s="211"/>
      <c r="BG903" s="211"/>
      <c r="BH903" s="211"/>
      <c r="BI903" s="211"/>
    </row>
    <row r="904">
      <c r="A904" s="210" t="str">
        <f>IFERROR(__xludf.DUMMYFUNCTION("""COMPUTED_VALUE"""),"04250366")</f>
        <v>04250366</v>
      </c>
      <c r="B904" s="210" t="str">
        <f>IFERROR(__xludf.DUMMYFUNCTION("""COMPUTED_VALUE"""),"04250366")</f>
        <v>04250366</v>
      </c>
      <c r="C904" s="213">
        <f>IFERROR(__xludf.DUMMYFUNCTION("""COMPUTED_VALUE"""),45762.46111111111)</f>
        <v>45762.46111</v>
      </c>
      <c r="D904" s="211" t="str">
        <f>IFERROR(__xludf.DUMMYFUNCTION("""COMPUTED_VALUE"""),"anwr")</f>
        <v>anwr</v>
      </c>
      <c r="E904" s="211" t="str">
        <f>IFERROR(__xludf.DUMMYFUNCTION("""COMPUTED_VALUE"""),"Bpk. Anwar")</f>
        <v>Bpk. Anwar</v>
      </c>
      <c r="F904" s="211" t="str">
        <f>IFERROR(__xludf.DUMMYFUNCTION("""COMPUTED_VALUE"""),"f6aab7a9")</f>
        <v>f6aab7a9</v>
      </c>
      <c r="G904" s="211" t="str">
        <f>IFERROR(__xludf.DUMMYFUNCTION("""COMPUTED_VALUE"""),"Oksigen 6m3 MR")</f>
        <v>Oksigen 6m3 MR</v>
      </c>
      <c r="H904" s="214" t="str">
        <f>IFERROR(__xludf.DUMMYFUNCTION("""COMPUTED_VALUE"""),"OUT")</f>
        <v>OUT</v>
      </c>
      <c r="I904" s="214" t="str">
        <f>IFERROR(__xludf.DUMMYFUNCTION("""COMPUTED_VALUE"""),"NORMAL")</f>
        <v>NORMAL</v>
      </c>
      <c r="J904" s="211">
        <f>IFERROR(__xludf.DUMMYFUNCTION("""COMPUTED_VALUE"""),1.0)</f>
        <v>1</v>
      </c>
      <c r="K904" s="211"/>
      <c r="L904" s="211">
        <f>IFERROR(__xludf.DUMMYFUNCTION("""COMPUTED_VALUE"""),60000.0)</f>
        <v>60000</v>
      </c>
      <c r="M904" s="211"/>
      <c r="N904" s="211"/>
      <c r="O904" s="211"/>
      <c r="Q904" s="210" t="str">
        <f>IFERROR(__xludf.DUMMYFUNCTION("""COMPUTED_VALUE"""),"06250518")</f>
        <v>06250518</v>
      </c>
      <c r="R904" s="210" t="str">
        <f>IFERROR(__xludf.DUMMYFUNCTION("""COMPUTED_VALUE"""),"06250518")</f>
        <v>06250518</v>
      </c>
      <c r="S904" s="211" t="str">
        <f>IFERROR(__xludf.DUMMYFUNCTION("""COMPUTED_VALUE"""),"4bef3bbf")</f>
        <v>4bef3bbf</v>
      </c>
      <c r="T904" s="211" t="str">
        <f>IFERROR(__xludf.DUMMYFUNCTION("""COMPUTED_VALUE"""),"PT Dingsheng Metal Indonesia (Ngoro)")</f>
        <v>PT Dingsheng Metal Indonesia (Ngoro)</v>
      </c>
      <c r="U904" s="215">
        <f>IFERROR(__xludf.DUMMYFUNCTION("""COMPUTED_VALUE"""),45824.56388888889)</f>
        <v>45824.56389</v>
      </c>
      <c r="V904" s="211" t="str">
        <f>IFERROR(__xludf.DUMMYFUNCTION("""COMPUTED_VALUE"""),"Kri Kilan, Watesnegoro, Kec. Ngoro, Kabupaten Mojokerto, Jawa Timur 61385")</f>
        <v>Kri Kilan, Watesnegoro, Kec. Ngoro, Kabupaten Mojokerto, Jawa Timur 61385</v>
      </c>
      <c r="W904" s="211" t="str">
        <f>IFERROR(__xludf.DUMMYFUNCTION("""COMPUTED_VALUE"""),"OUT")</f>
        <v>OUT</v>
      </c>
      <c r="X904" s="211"/>
      <c r="Z904" s="211" t="str">
        <f>IFERROR(__xludf.DUMMYFUNCTION("""COMPUTED_VALUE"""),"0825151129")</f>
        <v>0825151129</v>
      </c>
      <c r="AC904" s="211"/>
      <c r="AD904" s="211"/>
      <c r="AE904" s="211"/>
      <c r="AF904" s="211"/>
      <c r="AG904" s="211"/>
      <c r="AH904" s="211"/>
      <c r="AI904" s="211"/>
      <c r="AJ904" s="211"/>
      <c r="AL904" s="211"/>
      <c r="AM904" s="211"/>
      <c r="AN904" s="211"/>
      <c r="AO904" s="211"/>
      <c r="AP904" s="215"/>
      <c r="AQ904" s="218"/>
      <c r="AR904" s="211"/>
      <c r="AS904" s="211"/>
      <c r="AT904" s="211"/>
      <c r="AU904" s="211"/>
      <c r="AV904" s="211"/>
      <c r="AW904" s="211"/>
      <c r="AX904" s="211"/>
      <c r="AY904" s="211"/>
      <c r="AZ904" s="211"/>
      <c r="BB904" s="211"/>
      <c r="BC904" s="211"/>
      <c r="BD904" s="211"/>
      <c r="BE904" s="211"/>
      <c r="BF904" s="211"/>
      <c r="BG904" s="211"/>
      <c r="BH904" s="211"/>
      <c r="BI904" s="211"/>
    </row>
    <row r="905">
      <c r="A905" s="210" t="str">
        <f>IFERROR(__xludf.DUMMYFUNCTION("""COMPUTED_VALUE"""),"e51b8848")</f>
        <v>e51b8848</v>
      </c>
      <c r="B905" s="210" t="str">
        <f>IFERROR(__xludf.DUMMYFUNCTION("""COMPUTED_VALUE"""),"e51b8848")</f>
        <v>e51b8848</v>
      </c>
      <c r="C905" s="213">
        <f>IFERROR(__xludf.DUMMYFUNCTION("""COMPUTED_VALUE"""),45762.46319444444)</f>
        <v>45762.46319</v>
      </c>
      <c r="D905" s="211" t="str">
        <f>IFERROR(__xludf.DUMMYFUNCTION("""COMPUTED_VALUE"""),"anwr")</f>
        <v>anwr</v>
      </c>
      <c r="E905" s="211" t="str">
        <f>IFERROR(__xludf.DUMMYFUNCTION("""COMPUTED_VALUE"""),"Bpk. Anwar")</f>
        <v>Bpk. Anwar</v>
      </c>
      <c r="F905" s="211" t="str">
        <f>IFERROR(__xludf.DUMMYFUNCTION("""COMPUTED_VALUE"""),"f6aab7a9")</f>
        <v>f6aab7a9</v>
      </c>
      <c r="G905" s="211" t="str">
        <f>IFERROR(__xludf.DUMMYFUNCTION("""COMPUTED_VALUE"""),"Oksigen 6m3 MR")</f>
        <v>Oksigen 6m3 MR</v>
      </c>
      <c r="H905" s="214" t="str">
        <f>IFERROR(__xludf.DUMMYFUNCTION("""COMPUTED_VALUE"""),"IN")</f>
        <v>IN</v>
      </c>
      <c r="I905" s="214" t="str">
        <f>IFERROR(__xludf.DUMMYFUNCTION("""COMPUTED_VALUE"""),"EMPTY")</f>
        <v>EMPTY</v>
      </c>
      <c r="J905" s="211">
        <f>IFERROR(__xludf.DUMMYFUNCTION("""COMPUTED_VALUE"""),1.0)</f>
        <v>1</v>
      </c>
      <c r="K905" s="211"/>
      <c r="L905" s="211">
        <f>IFERROR(__xludf.DUMMYFUNCTION("""COMPUTED_VALUE"""),0.0)</f>
        <v>0</v>
      </c>
      <c r="M905" s="211"/>
      <c r="N905" s="211"/>
      <c r="O905" s="211"/>
      <c r="Q905" s="210" t="str">
        <f>IFERROR(__xludf.DUMMYFUNCTION("""COMPUTED_VALUE"""),"3d4dc704")</f>
        <v>3d4dc704</v>
      </c>
      <c r="R905" s="210" t="str">
        <f>IFERROR(__xludf.DUMMYFUNCTION("""COMPUTED_VALUE"""),"3d4dc704")</f>
        <v>3d4dc704</v>
      </c>
      <c r="S905" s="211" t="str">
        <f>IFERROR(__xludf.DUMMYFUNCTION("""COMPUTED_VALUE"""),"3fec37df")</f>
        <v>3fec37df</v>
      </c>
      <c r="T905" s="211" t="str">
        <f>IFERROR(__xludf.DUMMYFUNCTION("""COMPUTED_VALUE"""),"PT Jatim Abadi Perkasa Steel")</f>
        <v>PT Jatim Abadi Perkasa Steel</v>
      </c>
      <c r="U905" s="215">
        <f>IFERROR(__xludf.DUMMYFUNCTION("""COMPUTED_VALUE"""),45824.75069444445)</f>
        <v>45824.75069</v>
      </c>
      <c r="V905" s="211" t="str">
        <f>IFERROR(__xludf.DUMMYFUNCTION("""COMPUTED_VALUE"""),"Dsn. Bulak Sempuh, Jatirejo, Kab. Mojokerto, Jawa Timur")</f>
        <v>Dsn. Bulak Sempuh, Jatirejo, Kab. Mojokerto, Jawa Timur</v>
      </c>
      <c r="W905" s="211" t="str">
        <f>IFERROR(__xludf.DUMMYFUNCTION("""COMPUTED_VALUE"""),"IN")</f>
        <v>IN</v>
      </c>
      <c r="X905" s="211"/>
      <c r="Z905" s="211" t="str">
        <f>IFERROR(__xludf.DUMMYFUNCTION("""COMPUTED_VALUE"""),"0825151128")</f>
        <v>0825151128</v>
      </c>
      <c r="AC905" s="211"/>
      <c r="AD905" s="211"/>
      <c r="AE905" s="211"/>
      <c r="AF905" s="211"/>
      <c r="AG905" s="211"/>
      <c r="AH905" s="211"/>
      <c r="AI905" s="211"/>
      <c r="AJ905" s="211"/>
      <c r="AL905" s="211"/>
      <c r="AM905" s="211"/>
      <c r="AN905" s="211"/>
      <c r="AO905" s="211"/>
      <c r="AP905" s="215"/>
      <c r="AQ905" s="218"/>
      <c r="AR905" s="211"/>
      <c r="AS905" s="211"/>
      <c r="AT905" s="211"/>
      <c r="AU905" s="211"/>
      <c r="AV905" s="211"/>
      <c r="AW905" s="211"/>
      <c r="AX905" s="211"/>
      <c r="AY905" s="211"/>
      <c r="AZ905" s="211"/>
      <c r="BB905" s="211"/>
      <c r="BC905" s="211"/>
      <c r="BD905" s="211"/>
      <c r="BE905" s="211"/>
      <c r="BF905" s="211"/>
      <c r="BG905" s="211"/>
      <c r="BH905" s="211"/>
      <c r="BI905" s="211"/>
    </row>
    <row r="906">
      <c r="A906" s="210" t="str">
        <f>IFERROR(__xludf.DUMMYFUNCTION("""COMPUTED_VALUE"""),"e26f42c0")</f>
        <v>e26f42c0</v>
      </c>
      <c r="B906" s="210" t="str">
        <f>IFERROR(__xludf.DUMMYFUNCTION("""COMPUTED_VALUE"""),"e26f42c0")</f>
        <v>e26f42c0</v>
      </c>
      <c r="C906" s="213">
        <f>IFERROR(__xludf.DUMMYFUNCTION("""COMPUTED_VALUE"""),45762.60138888889)</f>
        <v>45762.60139</v>
      </c>
      <c r="D906" s="211" t="str">
        <f>IFERROR(__xludf.DUMMYFUNCTION("""COMPUTED_VALUE"""),"3fec37df")</f>
        <v>3fec37df</v>
      </c>
      <c r="E906" s="211" t="str">
        <f>IFERROR(__xludf.DUMMYFUNCTION("""COMPUTED_VALUE"""),"PT Jatim Abadi Perkasa Steel")</f>
        <v>PT Jatim Abadi Perkasa Steel</v>
      </c>
      <c r="F906" s="211" t="str">
        <f>IFERROR(__xludf.DUMMYFUNCTION("""COMPUTED_VALUE"""),"b7a8fff1")</f>
        <v>b7a8fff1</v>
      </c>
      <c r="G906" s="211" t="str">
        <f>IFERROR(__xludf.DUMMYFUNCTION("""COMPUTED_VALUE"""),"LPG 50kg")</f>
        <v>LPG 50kg</v>
      </c>
      <c r="H906" s="214" t="str">
        <f>IFERROR(__xludf.DUMMYFUNCTION("""COMPUTED_VALUE"""),"IN")</f>
        <v>IN</v>
      </c>
      <c r="I906" s="214" t="str">
        <f>IFERROR(__xludf.DUMMYFUNCTION("""COMPUTED_VALUE"""),"EMPTY")</f>
        <v>EMPTY</v>
      </c>
      <c r="J906" s="211">
        <f>IFERROR(__xludf.DUMMYFUNCTION("""COMPUTED_VALUE"""),6.0)</f>
        <v>6</v>
      </c>
      <c r="K906" s="211"/>
      <c r="L906" s="211">
        <f>IFERROR(__xludf.DUMMYFUNCTION("""COMPUTED_VALUE"""),0.0)</f>
        <v>0</v>
      </c>
      <c r="M906" s="211"/>
      <c r="N906" s="211"/>
      <c r="O906" s="211"/>
      <c r="Q906" s="210" t="str">
        <f>IFERROR(__xludf.DUMMYFUNCTION("""COMPUTED_VALUE"""),"28af2106")</f>
        <v>28af2106</v>
      </c>
      <c r="R906" s="210" t="str">
        <f>IFERROR(__xludf.DUMMYFUNCTION("""COMPUTED_VALUE"""),"28af2106")</f>
        <v>28af2106</v>
      </c>
      <c r="S906" s="211" t="str">
        <f>IFERROR(__xludf.DUMMYFUNCTION("""COMPUTED_VALUE"""),"4bef3bbf")</f>
        <v>4bef3bbf</v>
      </c>
      <c r="T906" s="211" t="str">
        <f>IFERROR(__xludf.DUMMYFUNCTION("""COMPUTED_VALUE"""),"PT Dingsheng Metal Indonesia (Ngoro)")</f>
        <v>PT Dingsheng Metal Indonesia (Ngoro)</v>
      </c>
      <c r="U906" s="215">
        <f>IFERROR(__xludf.DUMMYFUNCTION("""COMPUTED_VALUE"""),45824.75138888889)</f>
        <v>45824.75139</v>
      </c>
      <c r="V906" s="211" t="str">
        <f>IFERROR(__xludf.DUMMYFUNCTION("""COMPUTED_VALUE"""),"Kri Kilan, Watesnegoro, Kec. Ngoro, Kabupaten Mojokerto, Jawa Timur 61385")</f>
        <v>Kri Kilan, Watesnegoro, Kec. Ngoro, Kabupaten Mojokerto, Jawa Timur 61385</v>
      </c>
      <c r="W906" s="211" t="str">
        <f>IFERROR(__xludf.DUMMYFUNCTION("""COMPUTED_VALUE"""),"IN")</f>
        <v>IN</v>
      </c>
      <c r="X906" s="211"/>
      <c r="Z906" s="211" t="str">
        <f>IFERROR(__xludf.DUMMYFUNCTION("""COMPUTED_VALUE"""),"0825381122")</f>
        <v>0825381122</v>
      </c>
      <c r="AC906" s="211"/>
      <c r="AD906" s="211"/>
      <c r="AE906" s="211"/>
      <c r="AF906" s="211"/>
      <c r="AG906" s="211"/>
      <c r="AH906" s="211"/>
      <c r="AI906" s="211"/>
      <c r="AJ906" s="211"/>
      <c r="AL906" s="211"/>
      <c r="AM906" s="211"/>
      <c r="AN906" s="211"/>
      <c r="AO906" s="211"/>
      <c r="AP906" s="215"/>
      <c r="AQ906" s="218"/>
      <c r="AR906" s="211"/>
      <c r="AS906" s="211"/>
      <c r="AT906" s="211"/>
      <c r="AU906" s="211"/>
      <c r="AV906" s="211"/>
      <c r="AW906" s="211"/>
      <c r="AX906" s="211"/>
      <c r="AY906" s="211"/>
      <c r="AZ906" s="211"/>
      <c r="BB906" s="211"/>
      <c r="BC906" s="211"/>
      <c r="BD906" s="211"/>
      <c r="BE906" s="211"/>
      <c r="BF906" s="211"/>
      <c r="BG906" s="211"/>
      <c r="BH906" s="211"/>
      <c r="BI906" s="211"/>
    </row>
    <row r="907">
      <c r="A907" s="210" t="str">
        <f>IFERROR(__xludf.DUMMYFUNCTION("""COMPUTED_VALUE"""),"04250368")</f>
        <v>04250368</v>
      </c>
      <c r="B907" s="210" t="str">
        <f>IFERROR(__xludf.DUMMYFUNCTION("""COMPUTED_VALUE"""),"04250368")</f>
        <v>04250368</v>
      </c>
      <c r="C907" s="213">
        <f>IFERROR(__xludf.DUMMYFUNCTION("""COMPUTED_VALUE"""),45763.3625)</f>
        <v>45763.3625</v>
      </c>
      <c r="D907" s="211" t="str">
        <f>IFERROR(__xludf.DUMMYFUNCTION("""COMPUTED_VALUE"""),"b2b5f2c5")</f>
        <v>b2b5f2c5</v>
      </c>
      <c r="E907" s="211" t="str">
        <f>IFERROR(__xludf.DUMMYFUNCTION("""COMPUTED_VALUE"""),"Bengkel Las Bpk. Ari")</f>
        <v>Bengkel Las Bpk. Ari</v>
      </c>
      <c r="F907" s="211" t="str">
        <f>IFERROR(__xludf.DUMMYFUNCTION("""COMPUTED_VALUE"""),"ef306e54")</f>
        <v>ef306e54</v>
      </c>
      <c r="G907" s="211" t="str">
        <f>IFERROR(__xludf.DUMMYFUNCTION("""COMPUTED_VALUE"""),"Karbondioksida")</f>
        <v>Karbondioksida</v>
      </c>
      <c r="H907" s="214" t="str">
        <f>IFERROR(__xludf.DUMMYFUNCTION("""COMPUTED_VALUE"""),"OUT")</f>
        <v>OUT</v>
      </c>
      <c r="I907" s="214" t="str">
        <f>IFERROR(__xludf.DUMMYFUNCTION("""COMPUTED_VALUE"""),"NORMAL")</f>
        <v>NORMAL</v>
      </c>
      <c r="J907" s="211">
        <f>IFERROR(__xludf.DUMMYFUNCTION("""COMPUTED_VALUE"""),2.0)</f>
        <v>2</v>
      </c>
      <c r="K907" s="210" t="str">
        <f>IFERROR(__xludf.DUMMYFUNCTION("""COMPUTED_VALUE"""),"13020 13015")</f>
        <v>13020 13015</v>
      </c>
      <c r="L907" s="211">
        <f>IFERROR(__xludf.DUMMYFUNCTION("""COMPUTED_VALUE"""),170000.0)</f>
        <v>170000</v>
      </c>
      <c r="M907" s="211"/>
      <c r="N907" s="211"/>
      <c r="O907" s="211"/>
      <c r="Q907" s="210" t="str">
        <f>IFERROR(__xludf.DUMMYFUNCTION("""COMPUTED_VALUE"""),"06250519")</f>
        <v>06250519</v>
      </c>
      <c r="R907" s="210" t="str">
        <f>IFERROR(__xludf.DUMMYFUNCTION("""COMPUTED_VALUE"""),"06250519")</f>
        <v>06250519</v>
      </c>
      <c r="S907" s="211" t="str">
        <f>IFERROR(__xludf.DUMMYFUNCTION("""COMPUTED_VALUE"""),"1bf27092")</f>
        <v>1bf27092</v>
      </c>
      <c r="T907" s="211" t="str">
        <f>IFERROR(__xludf.DUMMYFUNCTION("""COMPUTED_VALUE"""),"Bpk. Ari Budiarto")</f>
        <v>Bpk. Ari Budiarto</v>
      </c>
      <c r="U907" s="215">
        <f>IFERROR(__xludf.DUMMYFUNCTION("""COMPUTED_VALUE"""),45825.504166666666)</f>
        <v>45825.50417</v>
      </c>
      <c r="V907" s="211" t="str">
        <f>IFERROR(__xludf.DUMMYFUNCTION("""COMPUTED_VALUE"""),"Jl. Raya Balongbendo 232, Bakalan, Bakalan Wringinpitu, Kec. BalongBendo, Kabupaten Sidoarjo, Jawa Timur 61263")</f>
        <v>Jl. Raya Balongbendo 232, Bakalan, Bakalan Wringinpitu, Kec. BalongBendo, Kabupaten Sidoarjo, Jawa Timur 61263</v>
      </c>
      <c r="W907" s="211" t="str">
        <f>IFERROR(__xludf.DUMMYFUNCTION("""COMPUTED_VALUE"""),"OUT")</f>
        <v>OUT</v>
      </c>
      <c r="X907" s="211"/>
      <c r="Z907" s="211" t="str">
        <f>IFERROR(__xludf.DUMMYFUNCTION("""COMPUTED_VALUE"""),"082541120")</f>
        <v>082541120</v>
      </c>
      <c r="AC907" s="211"/>
      <c r="AD907" s="211"/>
      <c r="AE907" s="211"/>
      <c r="AF907" s="211"/>
      <c r="AG907" s="211"/>
      <c r="AH907" s="211"/>
      <c r="AI907" s="211"/>
      <c r="AJ907" s="211"/>
      <c r="AL907" s="211"/>
      <c r="AM907" s="211"/>
      <c r="AN907" s="211"/>
      <c r="AO907" s="211"/>
      <c r="AP907" s="215"/>
      <c r="AQ907" s="218"/>
      <c r="AR907" s="211"/>
      <c r="AS907" s="211"/>
      <c r="AT907" s="211"/>
      <c r="AU907" s="211"/>
      <c r="AV907" s="211"/>
      <c r="AW907" s="211"/>
      <c r="AX907" s="211"/>
      <c r="AY907" s="211"/>
      <c r="AZ907" s="211"/>
      <c r="BB907" s="211"/>
      <c r="BC907" s="211"/>
      <c r="BD907" s="211"/>
      <c r="BE907" s="211"/>
      <c r="BF907" s="211"/>
      <c r="BG907" s="211"/>
      <c r="BH907" s="211"/>
      <c r="BI907" s="211"/>
    </row>
    <row r="908">
      <c r="A908" s="210" t="str">
        <f>IFERROR(__xludf.DUMMYFUNCTION("""COMPUTED_VALUE"""),"04250368")</f>
        <v>04250368</v>
      </c>
      <c r="B908" s="210" t="str">
        <f>IFERROR(__xludf.DUMMYFUNCTION("""COMPUTED_VALUE"""),"04250368")</f>
        <v>04250368</v>
      </c>
      <c r="C908" s="213">
        <f>IFERROR(__xludf.DUMMYFUNCTION("""COMPUTED_VALUE"""),45763.36319444444)</f>
        <v>45763.36319</v>
      </c>
      <c r="D908" s="211" t="str">
        <f>IFERROR(__xludf.DUMMYFUNCTION("""COMPUTED_VALUE"""),"b2b5f2c5")</f>
        <v>b2b5f2c5</v>
      </c>
      <c r="E908" s="211" t="str">
        <f>IFERROR(__xludf.DUMMYFUNCTION("""COMPUTED_VALUE"""),"Bengkel Las Bpk. Ari")</f>
        <v>Bengkel Las Bpk. Ari</v>
      </c>
      <c r="F908" s="211" t="str">
        <f>IFERROR(__xludf.DUMMYFUNCTION("""COMPUTED_VALUE"""),"8bdbe149")</f>
        <v>8bdbe149</v>
      </c>
      <c r="G908" s="211" t="str">
        <f>IFERROR(__xludf.DUMMYFUNCTION("""COMPUTED_VALUE"""),"Oksigen 6m3")</f>
        <v>Oksigen 6m3</v>
      </c>
      <c r="H908" s="214" t="str">
        <f>IFERROR(__xludf.DUMMYFUNCTION("""COMPUTED_VALUE"""),"OUT")</f>
        <v>OUT</v>
      </c>
      <c r="I908" s="214" t="str">
        <f>IFERROR(__xludf.DUMMYFUNCTION("""COMPUTED_VALUE"""),"NORMAL")</f>
        <v>NORMAL</v>
      </c>
      <c r="J908" s="211">
        <f>IFERROR(__xludf.DUMMYFUNCTION("""COMPUTED_VALUE"""),3.0)</f>
        <v>3</v>
      </c>
      <c r="K908" s="210" t="str">
        <f>IFERROR(__xludf.DUMMYFUNCTION("""COMPUTED_VALUE"""),"11231 11232 11254")</f>
        <v>11231 11232 11254</v>
      </c>
      <c r="L908" s="211">
        <f>IFERROR(__xludf.DUMMYFUNCTION("""COMPUTED_VALUE"""),60000.0)</f>
        <v>60000</v>
      </c>
      <c r="M908" s="211"/>
      <c r="N908" s="211"/>
      <c r="O908" s="211"/>
      <c r="Q908" s="210" t="str">
        <f>IFERROR(__xludf.DUMMYFUNCTION("""COMPUTED_VALUE"""),"f5232b43")</f>
        <v>f5232b43</v>
      </c>
      <c r="R908" s="210" t="str">
        <f>IFERROR(__xludf.DUMMYFUNCTION("""COMPUTED_VALUE"""),"f5232b43")</f>
        <v>f5232b43</v>
      </c>
      <c r="S908" s="211" t="str">
        <f>IFERROR(__xludf.DUMMYFUNCTION("""COMPUTED_VALUE"""),"1bf27092")</f>
        <v>1bf27092</v>
      </c>
      <c r="T908" s="211" t="str">
        <f>IFERROR(__xludf.DUMMYFUNCTION("""COMPUTED_VALUE"""),"Bpk. Ari Budiarto")</f>
        <v>Bpk. Ari Budiarto</v>
      </c>
      <c r="U908" s="215">
        <f>IFERROR(__xludf.DUMMYFUNCTION("""COMPUTED_VALUE"""),45825.56736111111)</f>
        <v>45825.56736</v>
      </c>
      <c r="V908" s="211" t="str">
        <f>IFERROR(__xludf.DUMMYFUNCTION("""COMPUTED_VALUE"""),"Jl. Raya Balongbendo 232, Bakalan, Bakalan Wringinpitu, Kec. BalongBendo, Kabupaten Sidoarjo, Jawa Timur 61263")</f>
        <v>Jl. Raya Balongbendo 232, Bakalan, Bakalan Wringinpitu, Kec. BalongBendo, Kabupaten Sidoarjo, Jawa Timur 61263</v>
      </c>
      <c r="W908" s="211" t="str">
        <f>IFERROR(__xludf.DUMMYFUNCTION("""COMPUTED_VALUE"""),"IN")</f>
        <v>IN</v>
      </c>
      <c r="X908" s="211"/>
      <c r="Z908" s="211" t="str">
        <f>IFERROR(__xludf.DUMMYFUNCTION("""COMPUTED_VALUE"""),"0825341111")</f>
        <v>0825341111</v>
      </c>
      <c r="AC908" s="211"/>
      <c r="AD908" s="211"/>
      <c r="AE908" s="211"/>
      <c r="AF908" s="211"/>
      <c r="AG908" s="211"/>
      <c r="AH908" s="211"/>
      <c r="AI908" s="211"/>
      <c r="AJ908" s="211"/>
      <c r="AL908" s="211"/>
      <c r="AM908" s="211"/>
      <c r="AN908" s="211"/>
      <c r="AO908" s="211"/>
      <c r="AP908" s="215"/>
      <c r="AQ908" s="218"/>
      <c r="AR908" s="211"/>
      <c r="AS908" s="211"/>
      <c r="AT908" s="211"/>
      <c r="AU908" s="211"/>
      <c r="AV908" s="211"/>
      <c r="AW908" s="211"/>
      <c r="AX908" s="211"/>
      <c r="AY908" s="211"/>
      <c r="AZ908" s="211"/>
      <c r="BB908" s="211"/>
      <c r="BC908" s="211"/>
      <c r="BD908" s="211"/>
      <c r="BE908" s="211"/>
      <c r="BF908" s="211"/>
      <c r="BG908" s="211"/>
      <c r="BH908" s="211"/>
      <c r="BI908" s="211"/>
    </row>
    <row r="909">
      <c r="A909" s="210" t="str">
        <f>IFERROR(__xludf.DUMMYFUNCTION("""COMPUTED_VALUE"""),"04250370")</f>
        <v>04250370</v>
      </c>
      <c r="B909" s="210" t="str">
        <f>IFERROR(__xludf.DUMMYFUNCTION("""COMPUTED_VALUE"""),"04250370")</f>
        <v>04250370</v>
      </c>
      <c r="C909" s="213">
        <f>IFERROR(__xludf.DUMMYFUNCTION("""COMPUTED_VALUE"""),45763.39861111111)</f>
        <v>45763.39861</v>
      </c>
      <c r="D909" s="211" t="str">
        <f>IFERROR(__xludf.DUMMYFUNCTION("""COMPUTED_VALUE"""),"2d88931c")</f>
        <v>2d88931c</v>
      </c>
      <c r="E909" s="211" t="str">
        <f>IFERROR(__xludf.DUMMYFUNCTION("""COMPUTED_VALUE"""),"PT Dunia Berkat Marga Mulya")</f>
        <v>PT Dunia Berkat Marga Mulya</v>
      </c>
      <c r="F909" s="211" t="str">
        <f>IFERROR(__xludf.DUMMYFUNCTION("""COMPUTED_VALUE"""),"8bdbe149")</f>
        <v>8bdbe149</v>
      </c>
      <c r="G909" s="211" t="str">
        <f>IFERROR(__xludf.DUMMYFUNCTION("""COMPUTED_VALUE"""),"Oksigen 6m3")</f>
        <v>Oksigen 6m3</v>
      </c>
      <c r="H909" s="214" t="str">
        <f>IFERROR(__xludf.DUMMYFUNCTION("""COMPUTED_VALUE"""),"OUT")</f>
        <v>OUT</v>
      </c>
      <c r="I909" s="214" t="str">
        <f>IFERROR(__xludf.DUMMYFUNCTION("""COMPUTED_VALUE"""),"NORMAL")</f>
        <v>NORMAL</v>
      </c>
      <c r="J909" s="211">
        <f>IFERROR(__xludf.DUMMYFUNCTION("""COMPUTED_VALUE"""),4.0)</f>
        <v>4</v>
      </c>
      <c r="K909" s="210" t="str">
        <f>IFERROR(__xludf.DUMMYFUNCTION("""COMPUTED_VALUE"""),"1141 1115 11256 11257")</f>
        <v>1141 1115 11256 11257</v>
      </c>
      <c r="L909" s="211">
        <f>IFERROR(__xludf.DUMMYFUNCTION("""COMPUTED_VALUE"""),60000.0)</f>
        <v>60000</v>
      </c>
      <c r="M909" s="211"/>
      <c r="N909" s="211"/>
      <c r="O909" s="211"/>
      <c r="Q909" s="210" t="str">
        <f>IFERROR(__xludf.DUMMYFUNCTION("""COMPUTED_VALUE"""),"06250520")</f>
        <v>06250520</v>
      </c>
      <c r="R909" s="210" t="str">
        <f>IFERROR(__xludf.DUMMYFUNCTION("""COMPUTED_VALUE"""),"06250520")</f>
        <v>06250520</v>
      </c>
      <c r="S909" s="211" t="str">
        <f>IFERROR(__xludf.DUMMYFUNCTION("""COMPUTED_VALUE"""),"b218b89b")</f>
        <v>b218b89b</v>
      </c>
      <c r="T909" s="211" t="str">
        <f>IFERROR(__xludf.DUMMYFUNCTION("""COMPUTED_VALUE"""),"PT Harapan Sentosa")</f>
        <v>PT Harapan Sentosa</v>
      </c>
      <c r="U909" s="215">
        <f>IFERROR(__xludf.DUMMYFUNCTION("""COMPUTED_VALUE"""),45826.55138888889)</f>
        <v>45826.55139</v>
      </c>
      <c r="V909" s="211" t="str">
        <f>IFERROR(__xludf.DUMMYFUNCTION("""COMPUTED_VALUE"""),"Seketi, Jl. Purboyo II Selatan, RT.02/RW.02, Seketi, Kec. BalongBendo, Kabupaten Sidoarjo, Jawa Timur 61263")</f>
        <v>Seketi, Jl. Purboyo II Selatan, RT.02/RW.02, Seketi, Kec. BalongBendo, Kabupaten Sidoarjo, Jawa Timur 61263</v>
      </c>
      <c r="W909" s="211" t="str">
        <f>IFERROR(__xludf.DUMMYFUNCTION("""COMPUTED_VALUE"""),"OUT")</f>
        <v>OUT</v>
      </c>
      <c r="X909" s="211"/>
      <c r="Z909" s="211" t="str">
        <f>IFERROR(__xludf.DUMMYFUNCTION("""COMPUTED_VALUE"""),"082571116")</f>
        <v>082571116</v>
      </c>
      <c r="AC909" s="211"/>
      <c r="AD909" s="211"/>
      <c r="AE909" s="211"/>
      <c r="AF909" s="211"/>
      <c r="AG909" s="211"/>
      <c r="AH909" s="211"/>
      <c r="AI909" s="211"/>
      <c r="AJ909" s="211"/>
      <c r="AL909" s="211"/>
      <c r="AM909" s="211"/>
      <c r="AN909" s="211"/>
      <c r="AO909" s="211"/>
      <c r="AP909" s="215"/>
      <c r="AQ909" s="218"/>
      <c r="AR909" s="211"/>
      <c r="AS909" s="211"/>
      <c r="AT909" s="211"/>
      <c r="AU909" s="211"/>
      <c r="AV909" s="211"/>
      <c r="AW909" s="211"/>
      <c r="AX909" s="211"/>
      <c r="AY909" s="211"/>
      <c r="AZ909" s="211"/>
      <c r="BB909" s="211"/>
      <c r="BC909" s="211"/>
      <c r="BD909" s="211"/>
      <c r="BE909" s="211"/>
      <c r="BF909" s="211"/>
      <c r="BG909" s="211"/>
      <c r="BH909" s="211"/>
      <c r="BI909" s="211"/>
    </row>
    <row r="910">
      <c r="A910" s="210" t="str">
        <f>IFERROR(__xludf.DUMMYFUNCTION("""COMPUTED_VALUE"""),"1e7e8b1c")</f>
        <v>1e7e8b1c</v>
      </c>
      <c r="B910" s="210" t="str">
        <f>IFERROR(__xludf.DUMMYFUNCTION("""COMPUTED_VALUE"""),"1e7e8b1c")</f>
        <v>1e7e8b1c</v>
      </c>
      <c r="C910" s="213">
        <f>IFERROR(__xludf.DUMMYFUNCTION("""COMPUTED_VALUE"""),45763.450694444444)</f>
        <v>45763.45069</v>
      </c>
      <c r="D910" s="211" t="str">
        <f>IFERROR(__xludf.DUMMYFUNCTION("""COMPUTED_VALUE"""),"2d88931c")</f>
        <v>2d88931c</v>
      </c>
      <c r="E910" s="211" t="str">
        <f>IFERROR(__xludf.DUMMYFUNCTION("""COMPUTED_VALUE"""),"PT Dunia Berkat Marga Mulya")</f>
        <v>PT Dunia Berkat Marga Mulya</v>
      </c>
      <c r="F910" s="211" t="str">
        <f>IFERROR(__xludf.DUMMYFUNCTION("""COMPUTED_VALUE"""),"8bdbe149")</f>
        <v>8bdbe149</v>
      </c>
      <c r="G910" s="211" t="str">
        <f>IFERROR(__xludf.DUMMYFUNCTION("""COMPUTED_VALUE"""),"Oksigen 6m3")</f>
        <v>Oksigen 6m3</v>
      </c>
      <c r="H910" s="214" t="str">
        <f>IFERROR(__xludf.DUMMYFUNCTION("""COMPUTED_VALUE"""),"IN")</f>
        <v>IN</v>
      </c>
      <c r="I910" s="214" t="str">
        <f>IFERROR(__xludf.DUMMYFUNCTION("""COMPUTED_VALUE"""),"EMPTY")</f>
        <v>EMPTY</v>
      </c>
      <c r="J910" s="211">
        <f>IFERROR(__xludf.DUMMYFUNCTION("""COMPUTED_VALUE"""),6.0)</f>
        <v>6</v>
      </c>
      <c r="K910" s="210" t="str">
        <f>IFERROR(__xludf.DUMMYFUNCTION("""COMPUTED_VALUE"""),"1163 1157 1193 1129 1168 11112")</f>
        <v>1163 1157 1193 1129 1168 11112</v>
      </c>
      <c r="L910" s="211">
        <f>IFERROR(__xludf.DUMMYFUNCTION("""COMPUTED_VALUE"""),0.0)</f>
        <v>0</v>
      </c>
      <c r="M910" s="211"/>
      <c r="N910" s="211"/>
      <c r="O910" s="211"/>
      <c r="Q910" s="210" t="str">
        <f>IFERROR(__xludf.DUMMYFUNCTION("""COMPUTED_VALUE"""),"06250521")</f>
        <v>06250521</v>
      </c>
      <c r="R910" s="210" t="str">
        <f>IFERROR(__xludf.DUMMYFUNCTION("""COMPUTED_VALUE"""),"06250521")</f>
        <v>06250521</v>
      </c>
      <c r="S910" s="211" t="str">
        <f>IFERROR(__xludf.DUMMYFUNCTION("""COMPUTED_VALUE"""),"4edfe755")</f>
        <v>4edfe755</v>
      </c>
      <c r="T910" s="211" t="str">
        <f>IFERROR(__xludf.DUMMYFUNCTION("""COMPUTED_VALUE"""),"Bpk. Ibnu")</f>
        <v>Bpk. Ibnu</v>
      </c>
      <c r="U910" s="215">
        <f>IFERROR(__xludf.DUMMYFUNCTION("""COMPUTED_VALUE"""),45827.35416666667)</f>
        <v>45827.35417</v>
      </c>
      <c r="V910" s="211" t="str">
        <f>IFERROR(__xludf.DUMMYFUNCTION("""COMPUTED_VALUE"""),"HGQF+482 Wonokupang, Sidoarjo, Jawa Timur")</f>
        <v>HGQF+482 Wonokupang, Sidoarjo, Jawa Timur</v>
      </c>
      <c r="W910" s="211" t="str">
        <f>IFERROR(__xludf.DUMMYFUNCTION("""COMPUTED_VALUE"""),"OUT")</f>
        <v>OUT</v>
      </c>
      <c r="X910" s="211"/>
      <c r="Z910" s="211" t="str">
        <f>IFERROR(__xludf.DUMMYFUNCTION("""COMPUTED_VALUE"""),"082511112")</f>
        <v>082511112</v>
      </c>
      <c r="AC910" s="211"/>
      <c r="AD910" s="211"/>
      <c r="AE910" s="211"/>
      <c r="AF910" s="211"/>
      <c r="AG910" s="211"/>
      <c r="AH910" s="211"/>
      <c r="AI910" s="211"/>
      <c r="AJ910" s="211"/>
      <c r="AL910" s="211"/>
      <c r="AM910" s="211"/>
      <c r="AN910" s="211"/>
      <c r="AO910" s="211"/>
      <c r="AP910" s="215"/>
      <c r="AQ910" s="218"/>
      <c r="AR910" s="211"/>
      <c r="AS910" s="211"/>
      <c r="AT910" s="211"/>
      <c r="AU910" s="211"/>
      <c r="AV910" s="211"/>
      <c r="AW910" s="211"/>
      <c r="AX910" s="211"/>
      <c r="AY910" s="211"/>
      <c r="AZ910" s="211"/>
      <c r="BB910" s="211"/>
      <c r="BC910" s="211"/>
      <c r="BD910" s="211"/>
      <c r="BE910" s="211"/>
      <c r="BF910" s="211"/>
      <c r="BG910" s="211"/>
      <c r="BH910" s="211"/>
      <c r="BI910" s="211"/>
    </row>
    <row r="911">
      <c r="A911" s="210" t="str">
        <f>IFERROR(__xludf.DUMMYFUNCTION("""COMPUTED_VALUE"""),"5a9f0cf7")</f>
        <v>5a9f0cf7</v>
      </c>
      <c r="B911" s="210" t="str">
        <f>IFERROR(__xludf.DUMMYFUNCTION("""COMPUTED_VALUE"""),"5a9f0cf7")</f>
        <v>5a9f0cf7</v>
      </c>
      <c r="C911" s="213">
        <f>IFERROR(__xludf.DUMMYFUNCTION("""COMPUTED_VALUE"""),45763.51875)</f>
        <v>45763.51875</v>
      </c>
      <c r="D911" s="211" t="str">
        <f>IFERROR(__xludf.DUMMYFUNCTION("""COMPUTED_VALUE"""),"ed4307f6")</f>
        <v>ed4307f6</v>
      </c>
      <c r="E911" s="211" t="str">
        <f>IFERROR(__xludf.DUMMYFUNCTION("""COMPUTED_VALUE"""),"Bpk. Andi (Jetis)")</f>
        <v>Bpk. Andi (Jetis)</v>
      </c>
      <c r="F911" s="211" t="str">
        <f>IFERROR(__xludf.DUMMYFUNCTION("""COMPUTED_VALUE"""),"f6aab7a9")</f>
        <v>f6aab7a9</v>
      </c>
      <c r="G911" s="211" t="str">
        <f>IFERROR(__xludf.DUMMYFUNCTION("""COMPUTED_VALUE"""),"Oksigen 6m3 MR")</f>
        <v>Oksigen 6m3 MR</v>
      </c>
      <c r="H911" s="214" t="str">
        <f>IFERROR(__xludf.DUMMYFUNCTION("""COMPUTED_VALUE"""),"IN")</f>
        <v>IN</v>
      </c>
      <c r="I911" s="214" t="str">
        <f>IFERROR(__xludf.DUMMYFUNCTION("""COMPUTED_VALUE"""),"EMPTY")</f>
        <v>EMPTY</v>
      </c>
      <c r="J911" s="211">
        <f>IFERROR(__xludf.DUMMYFUNCTION("""COMPUTED_VALUE"""),30.0)</f>
        <v>30</v>
      </c>
      <c r="K911" s="211"/>
      <c r="L911" s="211">
        <f>IFERROR(__xludf.DUMMYFUNCTION("""COMPUTED_VALUE"""),0.0)</f>
        <v>0</v>
      </c>
      <c r="M911" s="211"/>
      <c r="N911" s="211"/>
      <c r="O911" s="211"/>
      <c r="Q911" s="210" t="str">
        <f>IFERROR(__xludf.DUMMYFUNCTION("""COMPUTED_VALUE"""),"5d883971")</f>
        <v>5d883971</v>
      </c>
      <c r="R911" s="210" t="str">
        <f>IFERROR(__xludf.DUMMYFUNCTION("""COMPUTED_VALUE"""),"5d883971")</f>
        <v>5d883971</v>
      </c>
      <c r="S911" s="211" t="str">
        <f>IFERROR(__xludf.DUMMYFUNCTION("""COMPUTED_VALUE"""),"2d88931c")</f>
        <v>2d88931c</v>
      </c>
      <c r="T911" s="211" t="str">
        <f>IFERROR(__xludf.DUMMYFUNCTION("""COMPUTED_VALUE"""),"PT Dunia Berkat Marga Mulya")</f>
        <v>PT Dunia Berkat Marga Mulya</v>
      </c>
      <c r="U911" s="215">
        <f>IFERROR(__xludf.DUMMYFUNCTION("""COMPUTED_VALUE"""),45826.68888888889)</f>
        <v>45826.68889</v>
      </c>
      <c r="V911" s="211" t="str">
        <f>IFERROR(__xludf.DUMMYFUNCTION("""COMPUTED_VALUE"""),"JL JABARAN, WATESARI, BALONGBENDO, SIDOARJO, JAWA TIMUR")</f>
        <v>JL JABARAN, WATESARI, BALONGBENDO, SIDOARJO, JAWA TIMUR</v>
      </c>
      <c r="W911" s="211" t="str">
        <f>IFERROR(__xludf.DUMMYFUNCTION("""COMPUTED_VALUE"""),"IN")</f>
        <v>IN</v>
      </c>
      <c r="X911" s="211"/>
      <c r="Z911" s="211" t="str">
        <f>IFERROR(__xludf.DUMMYFUNCTION("""COMPUTED_VALUE"""),"0825121111")</f>
        <v>0825121111</v>
      </c>
      <c r="AC911" s="211"/>
      <c r="AD911" s="211"/>
      <c r="AE911" s="211"/>
      <c r="AF911" s="211"/>
      <c r="AG911" s="211"/>
      <c r="AH911" s="211"/>
      <c r="AI911" s="211"/>
      <c r="AJ911" s="211"/>
      <c r="AL911" s="211"/>
      <c r="AM911" s="211"/>
      <c r="AN911" s="211"/>
      <c r="AO911" s="211"/>
      <c r="AP911" s="215"/>
      <c r="AQ911" s="218"/>
      <c r="AR911" s="211"/>
      <c r="AS911" s="211"/>
      <c r="AT911" s="211"/>
      <c r="AU911" s="211"/>
      <c r="AV911" s="211"/>
      <c r="AW911" s="211"/>
      <c r="AX911" s="211"/>
      <c r="AY911" s="211"/>
      <c r="AZ911" s="211"/>
      <c r="BB911" s="211"/>
      <c r="BC911" s="211"/>
      <c r="BD911" s="211"/>
      <c r="BE911" s="211"/>
      <c r="BF911" s="211"/>
      <c r="BG911" s="211"/>
      <c r="BH911" s="211"/>
      <c r="BI911" s="211"/>
    </row>
    <row r="912">
      <c r="A912" s="210" t="str">
        <f>IFERROR(__xludf.DUMMYFUNCTION("""COMPUTED_VALUE"""),"04250371")</f>
        <v>04250371</v>
      </c>
      <c r="B912" s="210" t="str">
        <f>IFERROR(__xludf.DUMMYFUNCTION("""COMPUTED_VALUE"""),"04250371")</f>
        <v>04250371</v>
      </c>
      <c r="C912" s="213">
        <f>IFERROR(__xludf.DUMMYFUNCTION("""COMPUTED_VALUE"""),45763.64444444444)</f>
        <v>45763.64444</v>
      </c>
      <c r="D912" s="211" t="str">
        <f>IFERROR(__xludf.DUMMYFUNCTION("""COMPUTED_VALUE"""),"ed4307f6")</f>
        <v>ed4307f6</v>
      </c>
      <c r="E912" s="211" t="str">
        <f>IFERROR(__xludf.DUMMYFUNCTION("""COMPUTED_VALUE"""),"Bpk. Andi (Jetis)")</f>
        <v>Bpk. Andi (Jetis)</v>
      </c>
      <c r="F912" s="211" t="str">
        <f>IFERROR(__xludf.DUMMYFUNCTION("""COMPUTED_VALUE"""),"f6aab7a9")</f>
        <v>f6aab7a9</v>
      </c>
      <c r="G912" s="211" t="str">
        <f>IFERROR(__xludf.DUMMYFUNCTION("""COMPUTED_VALUE"""),"Oksigen 6m3 MR")</f>
        <v>Oksigen 6m3 MR</v>
      </c>
      <c r="H912" s="214" t="str">
        <f>IFERROR(__xludf.DUMMYFUNCTION("""COMPUTED_VALUE"""),"OUT")</f>
        <v>OUT</v>
      </c>
      <c r="I912" s="214" t="str">
        <f>IFERROR(__xludf.DUMMYFUNCTION("""COMPUTED_VALUE"""),"NORMAL")</f>
        <v>NORMAL</v>
      </c>
      <c r="J912" s="211">
        <f>IFERROR(__xludf.DUMMYFUNCTION("""COMPUTED_VALUE"""),30.0)</f>
        <v>30</v>
      </c>
      <c r="K912" s="211"/>
      <c r="L912" s="211">
        <f>IFERROR(__xludf.DUMMYFUNCTION("""COMPUTED_VALUE"""),50000.0)</f>
        <v>50000</v>
      </c>
      <c r="M912" s="211"/>
      <c r="N912" s="211"/>
      <c r="O912" s="211"/>
      <c r="Q912" s="210" t="str">
        <f>IFERROR(__xludf.DUMMYFUNCTION("""COMPUTED_VALUE"""),"06250522")</f>
        <v>06250522</v>
      </c>
      <c r="R912" s="210" t="str">
        <f>IFERROR(__xludf.DUMMYFUNCTION("""COMPUTED_VALUE"""),"06250522")</f>
        <v>06250522</v>
      </c>
      <c r="S912" s="211" t="str">
        <f>IFERROR(__xludf.DUMMYFUNCTION("""COMPUTED_VALUE"""),"182fb0fe")</f>
        <v>182fb0fe</v>
      </c>
      <c r="T912" s="211" t="str">
        <f>IFERROR(__xludf.DUMMYFUNCTION("""COMPUTED_VALUE"""),"PT Amtech")</f>
        <v>PT Amtech</v>
      </c>
      <c r="U912" s="215">
        <f>IFERROR(__xludf.DUMMYFUNCTION("""COMPUTED_VALUE"""),45827.495833333334)</f>
        <v>45827.49583</v>
      </c>
      <c r="V912"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912" s="211" t="str">
        <f>IFERROR(__xludf.DUMMYFUNCTION("""COMPUTED_VALUE"""),"OUT")</f>
        <v>OUT</v>
      </c>
      <c r="X912" s="211"/>
      <c r="Z912" s="211" t="str">
        <f>IFERROR(__xludf.DUMMYFUNCTION("""COMPUTED_VALUE"""),"082511110")</f>
        <v>082511110</v>
      </c>
      <c r="AC912" s="211"/>
      <c r="AD912" s="211"/>
      <c r="AE912" s="211"/>
      <c r="AF912" s="211"/>
      <c r="AG912" s="211"/>
      <c r="AH912" s="211"/>
      <c r="AI912" s="211"/>
      <c r="AJ912" s="211"/>
      <c r="AL912" s="211"/>
      <c r="AM912" s="211"/>
      <c r="AN912" s="211"/>
      <c r="AO912" s="211"/>
      <c r="AP912" s="215"/>
      <c r="AQ912" s="218"/>
      <c r="AR912" s="211"/>
      <c r="AS912" s="211"/>
      <c r="AT912" s="211"/>
      <c r="AU912" s="211"/>
      <c r="AV912" s="211"/>
      <c r="AW912" s="211"/>
      <c r="AX912" s="211"/>
      <c r="AY912" s="211"/>
      <c r="AZ912" s="211"/>
      <c r="BB912" s="211"/>
      <c r="BC912" s="211"/>
      <c r="BD912" s="211"/>
      <c r="BE912" s="211"/>
      <c r="BF912" s="211"/>
      <c r="BG912" s="211"/>
      <c r="BH912" s="211"/>
      <c r="BI912" s="211"/>
    </row>
    <row r="913">
      <c r="A913" s="210" t="str">
        <f>IFERROR(__xludf.DUMMYFUNCTION("""COMPUTED_VALUE"""),"51b442d9")</f>
        <v>51b442d9</v>
      </c>
      <c r="B913" s="210" t="str">
        <f>IFERROR(__xludf.DUMMYFUNCTION("""COMPUTED_VALUE"""),"51b442d9")</f>
        <v>51b442d9</v>
      </c>
      <c r="C913" s="213">
        <f>IFERROR(__xludf.DUMMYFUNCTION("""COMPUTED_VALUE"""),45763.52777777778)</f>
        <v>45763.52778</v>
      </c>
      <c r="D913" s="211" t="str">
        <f>IFERROR(__xludf.DUMMYFUNCTION("""COMPUTED_VALUE"""),"b2b5f2c5")</f>
        <v>b2b5f2c5</v>
      </c>
      <c r="E913" s="211" t="str">
        <f>IFERROR(__xludf.DUMMYFUNCTION("""COMPUTED_VALUE"""),"Bengkel Las Bpk. Ari")</f>
        <v>Bengkel Las Bpk. Ari</v>
      </c>
      <c r="F913" s="211" t="str">
        <f>IFERROR(__xludf.DUMMYFUNCTION("""COMPUTED_VALUE"""),"8bdbe149")</f>
        <v>8bdbe149</v>
      </c>
      <c r="G913" s="211" t="str">
        <f>IFERROR(__xludf.DUMMYFUNCTION("""COMPUTED_VALUE"""),"Oksigen 6m3")</f>
        <v>Oksigen 6m3</v>
      </c>
      <c r="H913" s="214" t="str">
        <f>IFERROR(__xludf.DUMMYFUNCTION("""COMPUTED_VALUE"""),"IN")</f>
        <v>IN</v>
      </c>
      <c r="I913" s="214" t="str">
        <f>IFERROR(__xludf.DUMMYFUNCTION("""COMPUTED_VALUE"""),"EMPTY")</f>
        <v>EMPTY</v>
      </c>
      <c r="J913" s="211">
        <f>IFERROR(__xludf.DUMMYFUNCTION("""COMPUTED_VALUE"""),3.0)</f>
        <v>3</v>
      </c>
      <c r="K913" s="210" t="str">
        <f>IFERROR(__xludf.DUMMYFUNCTION("""COMPUTED_VALUE"""),"11115 1142 1108")</f>
        <v>11115 1142 1108</v>
      </c>
      <c r="L913" s="211">
        <f>IFERROR(__xludf.DUMMYFUNCTION("""COMPUTED_VALUE"""),0.0)</f>
        <v>0</v>
      </c>
      <c r="M913" s="211"/>
      <c r="N913" s="211"/>
      <c r="O913" s="211"/>
      <c r="Q913" s="210" t="str">
        <f>IFERROR(__xludf.DUMMYFUNCTION("""COMPUTED_VALUE"""),"06250525")</f>
        <v>06250525</v>
      </c>
      <c r="R913" s="210" t="str">
        <f>IFERROR(__xludf.DUMMYFUNCTION("""COMPUTED_VALUE"""),"06250525")</f>
        <v>06250525</v>
      </c>
      <c r="S913" s="211" t="str">
        <f>IFERROR(__xludf.DUMMYFUNCTION("""COMPUTED_VALUE"""),"e86baf3b")</f>
        <v>e86baf3b</v>
      </c>
      <c r="T913" s="211" t="str">
        <f>IFERROR(__xludf.DUMMYFUNCTION("""COMPUTED_VALUE"""),"PT GEMILANG CIPTA WAWASAN")</f>
        <v>PT GEMILANG CIPTA WAWASAN</v>
      </c>
      <c r="U913" s="215">
        <f>IFERROR(__xludf.DUMMYFUNCTION("""COMPUTED_VALUE"""),45827.51736111111)</f>
        <v>45827.51736</v>
      </c>
      <c r="V913" s="211" t="str">
        <f>IFERROR(__xludf.DUMMYFUNCTION("""COMPUTED_VALUE"""),"JL TEBET RAYA, 2A, TEBET BARAT, TEBET, KOTA ADM, JAKARTA SELATAN, DKI JAKARTA")</f>
        <v>JL TEBET RAYA, 2A, TEBET BARAT, TEBET, KOTA ADM, JAKARTA SELATAN, DKI JAKARTA</v>
      </c>
      <c r="W913" s="211" t="str">
        <f>IFERROR(__xludf.DUMMYFUNCTION("""COMPUTED_VALUE"""),"OUT")</f>
        <v>OUT</v>
      </c>
      <c r="X913" s="211"/>
      <c r="Z913" s="211" t="str">
        <f>IFERROR(__xludf.DUMMYFUNCTION("""COMPUTED_VALUE"""),"0825141109")</f>
        <v>0825141109</v>
      </c>
      <c r="AC913" s="211"/>
      <c r="AD913" s="211"/>
      <c r="AE913" s="211"/>
      <c r="AF913" s="211"/>
      <c r="AG913" s="211"/>
      <c r="AH913" s="211"/>
      <c r="AI913" s="211"/>
      <c r="AJ913" s="211"/>
      <c r="AL913" s="211"/>
      <c r="AM913" s="211"/>
      <c r="AN913" s="211"/>
      <c r="AO913" s="211"/>
      <c r="AP913" s="215"/>
      <c r="AQ913" s="218"/>
      <c r="AR913" s="211"/>
      <c r="AS913" s="211"/>
      <c r="AT913" s="211"/>
      <c r="AU913" s="211"/>
      <c r="AV913" s="211"/>
      <c r="AW913" s="211"/>
      <c r="AX913" s="211"/>
      <c r="AY913" s="211"/>
      <c r="AZ913" s="211"/>
      <c r="BB913" s="211"/>
      <c r="BC913" s="211"/>
      <c r="BD913" s="211"/>
      <c r="BE913" s="211"/>
      <c r="BF913" s="211"/>
      <c r="BG913" s="211"/>
      <c r="BH913" s="211"/>
      <c r="BI913" s="211"/>
    </row>
    <row r="914">
      <c r="A914" s="210" t="str">
        <f>IFERROR(__xludf.DUMMYFUNCTION("""COMPUTED_VALUE"""),"04250372")</f>
        <v>04250372</v>
      </c>
      <c r="B914" s="210" t="str">
        <f>IFERROR(__xludf.DUMMYFUNCTION("""COMPUTED_VALUE"""),"04250372")</f>
        <v>04250372</v>
      </c>
      <c r="C914" s="213">
        <f>IFERROR(__xludf.DUMMYFUNCTION("""COMPUTED_VALUE"""),45763.569444444445)</f>
        <v>45763.56944</v>
      </c>
      <c r="D914" s="211" t="str">
        <f>IFERROR(__xludf.DUMMYFUNCTION("""COMPUTED_VALUE"""),"785e0e07")</f>
        <v>785e0e07</v>
      </c>
      <c r="E914" s="211" t="str">
        <f>IFERROR(__xludf.DUMMYFUNCTION("""COMPUTED_VALUE"""),"Bpk. Sukirno (Bejo)")</f>
        <v>Bpk. Sukirno (Bejo)</v>
      </c>
      <c r="F914" s="211" t="str">
        <f>IFERROR(__xludf.DUMMYFUNCTION("""COMPUTED_VALUE"""),"8bdbe149")</f>
        <v>8bdbe149</v>
      </c>
      <c r="G914" s="211" t="str">
        <f>IFERROR(__xludf.DUMMYFUNCTION("""COMPUTED_VALUE"""),"Oksigen 6m3")</f>
        <v>Oksigen 6m3</v>
      </c>
      <c r="H914" s="214" t="str">
        <f>IFERROR(__xludf.DUMMYFUNCTION("""COMPUTED_VALUE"""),"OUT")</f>
        <v>OUT</v>
      </c>
      <c r="I914" s="214" t="str">
        <f>IFERROR(__xludf.DUMMYFUNCTION("""COMPUTED_VALUE"""),"NORMAL")</f>
        <v>NORMAL</v>
      </c>
      <c r="J914" s="211">
        <f>IFERROR(__xludf.DUMMYFUNCTION("""COMPUTED_VALUE"""),10.0)</f>
        <v>10</v>
      </c>
      <c r="K914" s="210" t="str">
        <f>IFERROR(__xludf.DUMMYFUNCTION("""COMPUTED_VALUE"""),"11253 11260 11235 11255 11238 11258 11259 11252 11237 11236")</f>
        <v>11253 11260 11235 11255 11238 11258 11259 11252 11237 11236</v>
      </c>
      <c r="L914" s="211">
        <f>IFERROR(__xludf.DUMMYFUNCTION("""COMPUTED_VALUE"""),60000.0)</f>
        <v>60000</v>
      </c>
      <c r="M914" s="211"/>
      <c r="N914" s="211"/>
      <c r="O914" s="211"/>
      <c r="Q914" s="210" t="str">
        <f>IFERROR(__xludf.DUMMYFUNCTION("""COMPUTED_VALUE"""),"84ebf01d")</f>
        <v>84ebf01d</v>
      </c>
      <c r="R914" s="210" t="str">
        <f>IFERROR(__xludf.DUMMYFUNCTION("""COMPUTED_VALUE"""),"84ebf01d")</f>
        <v>84ebf01d</v>
      </c>
      <c r="S914" s="211" t="str">
        <f>IFERROR(__xludf.DUMMYFUNCTION("""COMPUTED_VALUE"""),"4edfe755")</f>
        <v>4edfe755</v>
      </c>
      <c r="T914" s="211" t="str">
        <f>IFERROR(__xludf.DUMMYFUNCTION("""COMPUTED_VALUE"""),"Bpk. Ibnu")</f>
        <v>Bpk. Ibnu</v>
      </c>
      <c r="U914" s="215">
        <f>IFERROR(__xludf.DUMMYFUNCTION("""COMPUTED_VALUE"""),45827.60763888889)</f>
        <v>45827.60764</v>
      </c>
      <c r="V914" s="211" t="str">
        <f>IFERROR(__xludf.DUMMYFUNCTION("""COMPUTED_VALUE"""),"HGQF+482 Wonokupang, Sidoarjo, Jawa Timur")</f>
        <v>HGQF+482 Wonokupang, Sidoarjo, Jawa Timur</v>
      </c>
      <c r="W914" s="211" t="str">
        <f>IFERROR(__xludf.DUMMYFUNCTION("""COMPUTED_VALUE"""),"IN")</f>
        <v>IN</v>
      </c>
      <c r="X914" s="211"/>
      <c r="Z914" s="211" t="str">
        <f>IFERROR(__xludf.DUMMYFUNCTION("""COMPUTED_VALUE"""),"082571105")</f>
        <v>082571105</v>
      </c>
      <c r="AC914" s="211"/>
      <c r="AD914" s="211"/>
      <c r="AE914" s="211"/>
      <c r="AF914" s="211"/>
      <c r="AG914" s="211"/>
      <c r="AH914" s="211"/>
      <c r="AI914" s="211"/>
      <c r="AJ914" s="211"/>
      <c r="AL914" s="211"/>
      <c r="AM914" s="211"/>
      <c r="AN914" s="211"/>
      <c r="AO914" s="211"/>
      <c r="AP914" s="215"/>
      <c r="AQ914" s="218"/>
      <c r="AR914" s="211"/>
      <c r="AS914" s="211"/>
      <c r="AT914" s="211"/>
      <c r="AU914" s="211"/>
      <c r="AV914" s="211"/>
      <c r="AW914" s="211"/>
      <c r="AX914" s="211"/>
      <c r="AY914" s="211"/>
      <c r="AZ914" s="211"/>
      <c r="BB914" s="211"/>
      <c r="BC914" s="211"/>
      <c r="BD914" s="211"/>
      <c r="BE914" s="211"/>
      <c r="BF914" s="211"/>
      <c r="BG914" s="211"/>
      <c r="BH914" s="211"/>
      <c r="BI914" s="211"/>
    </row>
    <row r="915">
      <c r="A915" s="210" t="str">
        <f>IFERROR(__xludf.DUMMYFUNCTION("""COMPUTED_VALUE"""),"04250373")</f>
        <v>04250373</v>
      </c>
      <c r="B915" s="210" t="str">
        <f>IFERROR(__xludf.DUMMYFUNCTION("""COMPUTED_VALUE"""),"04250373")</f>
        <v>04250373</v>
      </c>
      <c r="C915" s="213">
        <f>IFERROR(__xludf.DUMMYFUNCTION("""COMPUTED_VALUE"""),45764.34444444445)</f>
        <v>45764.34444</v>
      </c>
      <c r="D915" s="211" t="str">
        <f>IFERROR(__xludf.DUMMYFUNCTION("""COMPUTED_VALUE"""),"103f3ae7")</f>
        <v>103f3ae7</v>
      </c>
      <c r="E915" s="211" t="str">
        <f>IFERROR(__xludf.DUMMYFUNCTION("""COMPUTED_VALUE"""),"PT ARYANA CAKASANA")</f>
        <v>PT ARYANA CAKASANA</v>
      </c>
      <c r="F915" s="211" t="str">
        <f>IFERROR(__xludf.DUMMYFUNCTION("""COMPUTED_VALUE"""),"8bdbe149")</f>
        <v>8bdbe149</v>
      </c>
      <c r="G915" s="211" t="str">
        <f>IFERROR(__xludf.DUMMYFUNCTION("""COMPUTED_VALUE"""),"Oksigen 6m3")</f>
        <v>Oksigen 6m3</v>
      </c>
      <c r="H915" s="214" t="str">
        <f>IFERROR(__xludf.DUMMYFUNCTION("""COMPUTED_VALUE"""),"OUT")</f>
        <v>OUT</v>
      </c>
      <c r="I915" s="214" t="str">
        <f>IFERROR(__xludf.DUMMYFUNCTION("""COMPUTED_VALUE"""),"NORMAL")</f>
        <v>NORMAL</v>
      </c>
      <c r="J915" s="211">
        <f>IFERROR(__xludf.DUMMYFUNCTION("""COMPUTED_VALUE"""),5.0)</f>
        <v>5</v>
      </c>
      <c r="K915" s="210" t="str">
        <f>IFERROR(__xludf.DUMMYFUNCTION("""COMPUTED_VALUE"""),"11247 1136 1133 1138 1170")</f>
        <v>11247 1136 1133 1138 1170</v>
      </c>
      <c r="L915" s="211">
        <f>IFERROR(__xludf.DUMMYFUNCTION("""COMPUTED_VALUE"""),47297.2973)</f>
        <v>47297.2973</v>
      </c>
      <c r="M915" s="211"/>
      <c r="N915" s="211"/>
      <c r="O915" s="211"/>
      <c r="Q915" s="210" t="str">
        <f>IFERROR(__xludf.DUMMYFUNCTION("""COMPUTED_VALUE"""),"06250527")</f>
        <v>06250527</v>
      </c>
      <c r="R915" s="210" t="str">
        <f>IFERROR(__xludf.DUMMYFUNCTION("""COMPUTED_VALUE"""),"06250527")</f>
        <v>06250527</v>
      </c>
      <c r="S915" s="211" t="str">
        <f>IFERROR(__xludf.DUMMYFUNCTION("""COMPUTED_VALUE"""),"ec231cc9")</f>
        <v>ec231cc9</v>
      </c>
      <c r="T915" s="211" t="str">
        <f>IFERROR(__xludf.DUMMYFUNCTION("""COMPUTED_VALUE"""),"Bpk. Kohir (Maintenance Velg)")</f>
        <v>Bpk. Kohir (Maintenance Velg)</v>
      </c>
      <c r="U915" s="215">
        <f>IFERROR(__xludf.DUMMYFUNCTION("""COMPUTED_VALUE"""),45828.39513888889)</f>
        <v>45828.39514</v>
      </c>
      <c r="V915" s="211" t="str">
        <f>IFERROR(__xludf.DUMMYFUNCTION("""COMPUTED_VALUE"""),"Jl. Lkr. Bypass Krian Timur, Sidogolong, Watugolong, Kec. Krian, Kabupaten Sidoarjo, Jawa Timur 61262")</f>
        <v>Jl. Lkr. Bypass Krian Timur, Sidogolong, Watugolong, Kec. Krian, Kabupaten Sidoarjo, Jawa Timur 61262</v>
      </c>
      <c r="W915" s="211" t="str">
        <f>IFERROR(__xludf.DUMMYFUNCTION("""COMPUTED_VALUE"""),"OUT")</f>
        <v>OUT</v>
      </c>
      <c r="X915" s="211"/>
      <c r="Z915" s="211" t="str">
        <f>IFERROR(__xludf.DUMMYFUNCTION("""COMPUTED_VALUE"""),"0825251104")</f>
        <v>0825251104</v>
      </c>
      <c r="AC915" s="211"/>
      <c r="AD915" s="211"/>
      <c r="AE915" s="211"/>
      <c r="AF915" s="211"/>
      <c r="AG915" s="211"/>
      <c r="AH915" s="211"/>
      <c r="AI915" s="211"/>
      <c r="AJ915" s="211"/>
      <c r="AL915" s="211"/>
      <c r="AM915" s="211"/>
      <c r="AN915" s="211"/>
      <c r="AO915" s="211"/>
      <c r="AP915" s="215"/>
      <c r="AQ915" s="218"/>
      <c r="AR915" s="211"/>
      <c r="AS915" s="211"/>
      <c r="AT915" s="211"/>
      <c r="AU915" s="211"/>
      <c r="AV915" s="211"/>
      <c r="AW915" s="211"/>
      <c r="AX915" s="211"/>
      <c r="AY915" s="211"/>
      <c r="AZ915" s="211"/>
      <c r="BB915" s="211"/>
      <c r="BC915" s="211"/>
      <c r="BD915" s="211"/>
      <c r="BE915" s="211"/>
      <c r="BF915" s="211"/>
      <c r="BG915" s="211"/>
      <c r="BH915" s="211"/>
      <c r="BI915" s="211"/>
    </row>
    <row r="916">
      <c r="A916" s="210" t="str">
        <f>IFERROR(__xludf.DUMMYFUNCTION("""COMPUTED_VALUE"""),"04250374")</f>
        <v>04250374</v>
      </c>
      <c r="B916" s="210" t="str">
        <f>IFERROR(__xludf.DUMMYFUNCTION("""COMPUTED_VALUE"""),"04250374")</f>
        <v>04250374</v>
      </c>
      <c r="C916" s="213">
        <f>IFERROR(__xludf.DUMMYFUNCTION("""COMPUTED_VALUE"""),45764.39791666667)</f>
        <v>45764.39792</v>
      </c>
      <c r="D916" s="211" t="str">
        <f>IFERROR(__xludf.DUMMYFUNCTION("""COMPUTED_VALUE"""),"ed2cc96a")</f>
        <v>ed2cc96a</v>
      </c>
      <c r="E916" s="211" t="str">
        <f>IFERROR(__xludf.DUMMYFUNCTION("""COMPUTED_VALUE"""),"Bengkel Dian Jaya")</f>
        <v>Bengkel Dian Jaya</v>
      </c>
      <c r="F916" s="211" t="str">
        <f>IFERROR(__xludf.DUMMYFUNCTION("""COMPUTED_VALUE"""),"8bdbe149")</f>
        <v>8bdbe149</v>
      </c>
      <c r="G916" s="211" t="str">
        <f>IFERROR(__xludf.DUMMYFUNCTION("""COMPUTED_VALUE"""),"Oksigen 6m3")</f>
        <v>Oksigen 6m3</v>
      </c>
      <c r="H916" s="214" t="str">
        <f>IFERROR(__xludf.DUMMYFUNCTION("""COMPUTED_VALUE"""),"OUT")</f>
        <v>OUT</v>
      </c>
      <c r="I916" s="214" t="str">
        <f>IFERROR(__xludf.DUMMYFUNCTION("""COMPUTED_VALUE"""),"NORMAL")</f>
        <v>NORMAL</v>
      </c>
      <c r="J916" s="211">
        <f>IFERROR(__xludf.DUMMYFUNCTION("""COMPUTED_VALUE"""),5.0)</f>
        <v>5</v>
      </c>
      <c r="K916" s="210" t="str">
        <f>IFERROR(__xludf.DUMMYFUNCTION("""COMPUTED_VALUE"""),"11196 1139 11194 1118 1195")</f>
        <v>11196 1139 11194 1118 1195</v>
      </c>
      <c r="L916" s="211">
        <f>IFERROR(__xludf.DUMMYFUNCTION("""COMPUTED_VALUE"""),50000.0)</f>
        <v>50000</v>
      </c>
      <c r="M916" s="211"/>
      <c r="N916" s="211"/>
      <c r="O916" s="211"/>
      <c r="Q916" s="210" t="str">
        <f>IFERROR(__xludf.DUMMYFUNCTION("""COMPUTED_VALUE"""),"36a785b7")</f>
        <v>36a785b7</v>
      </c>
      <c r="R916" s="210" t="str">
        <f>IFERROR(__xludf.DUMMYFUNCTION("""COMPUTED_VALUE"""),"36a785b7")</f>
        <v>36a785b7</v>
      </c>
      <c r="S916" s="211" t="str">
        <f>IFERROR(__xludf.DUMMYFUNCTION("""COMPUTED_VALUE"""),"ec231cc9")</f>
        <v>ec231cc9</v>
      </c>
      <c r="T916" s="211" t="str">
        <f>IFERROR(__xludf.DUMMYFUNCTION("""COMPUTED_VALUE"""),"Bpk. Kohir (Maintenance Velg)")</f>
        <v>Bpk. Kohir (Maintenance Velg)</v>
      </c>
      <c r="U916" s="215">
        <f>IFERROR(__xludf.DUMMYFUNCTION("""COMPUTED_VALUE"""),45828.74375)</f>
        <v>45828.74375</v>
      </c>
      <c r="V916" s="211" t="str">
        <f>IFERROR(__xludf.DUMMYFUNCTION("""COMPUTED_VALUE"""),"Jl. Lkr. Bypass Krian Timur, Sidogolong, Watugolong, Kec. Krian, Kabupaten Sidoarjo, Jawa Timur 61262")</f>
        <v>Jl. Lkr. Bypass Krian Timur, Sidogolong, Watugolong, Kec. Krian, Kabupaten Sidoarjo, Jawa Timur 61262</v>
      </c>
      <c r="W916" s="211" t="str">
        <f>IFERROR(__xludf.DUMMYFUNCTION("""COMPUTED_VALUE"""),"IN")</f>
        <v>IN</v>
      </c>
      <c r="X916" s="211"/>
      <c r="Z916" s="211" t="str">
        <f>IFERROR(__xludf.DUMMYFUNCTION("""COMPUTED_VALUE"""),"0825231100")</f>
        <v>0825231100</v>
      </c>
      <c r="AC916" s="211"/>
      <c r="AD916" s="211"/>
      <c r="AE916" s="211"/>
      <c r="AF916" s="211"/>
      <c r="AG916" s="211"/>
      <c r="AH916" s="211"/>
      <c r="AI916" s="211"/>
      <c r="AJ916" s="211"/>
      <c r="AL916" s="211"/>
      <c r="AM916" s="211"/>
      <c r="AN916" s="211"/>
      <c r="AO916" s="211"/>
      <c r="AP916" s="215"/>
      <c r="AQ916" s="218"/>
      <c r="AR916" s="211"/>
      <c r="AS916" s="211"/>
      <c r="AT916" s="211"/>
      <c r="AU916" s="211"/>
      <c r="AV916" s="211"/>
      <c r="AW916" s="211"/>
      <c r="AX916" s="211"/>
      <c r="AY916" s="211"/>
      <c r="AZ916" s="211"/>
      <c r="BB916" s="211"/>
      <c r="BC916" s="211"/>
      <c r="BD916" s="211"/>
      <c r="BE916" s="211"/>
      <c r="BF916" s="211"/>
      <c r="BG916" s="211"/>
      <c r="BH916" s="211"/>
      <c r="BI916" s="211"/>
    </row>
    <row r="917">
      <c r="A917" s="210" t="str">
        <f>IFERROR(__xludf.DUMMYFUNCTION("""COMPUTED_VALUE"""),"04250374")</f>
        <v>04250374</v>
      </c>
      <c r="B917" s="210" t="str">
        <f>IFERROR(__xludf.DUMMYFUNCTION("""COMPUTED_VALUE"""),"04250374")</f>
        <v>04250374</v>
      </c>
      <c r="C917" s="213">
        <f>IFERROR(__xludf.DUMMYFUNCTION("""COMPUTED_VALUE"""),45764.39791666667)</f>
        <v>45764.39792</v>
      </c>
      <c r="D917" s="211" t="str">
        <f>IFERROR(__xludf.DUMMYFUNCTION("""COMPUTED_VALUE"""),"ed2cc96a")</f>
        <v>ed2cc96a</v>
      </c>
      <c r="E917" s="211" t="str">
        <f>IFERROR(__xludf.DUMMYFUNCTION("""COMPUTED_VALUE"""),"Bengkel Dian Jaya")</f>
        <v>Bengkel Dian Jaya</v>
      </c>
      <c r="F917" s="211" t="str">
        <f>IFERROR(__xludf.DUMMYFUNCTION("""COMPUTED_VALUE"""),"be525f3b")</f>
        <v>be525f3b</v>
      </c>
      <c r="G917" s="211" t="str">
        <f>IFERROR(__xludf.DUMMYFUNCTION("""COMPUTED_VALUE"""),"LPG 12kg")</f>
        <v>LPG 12kg</v>
      </c>
      <c r="H917" s="214" t="str">
        <f>IFERROR(__xludf.DUMMYFUNCTION("""COMPUTED_VALUE"""),"OUT")</f>
        <v>OUT</v>
      </c>
      <c r="I917" s="214" t="str">
        <f>IFERROR(__xludf.DUMMYFUNCTION("""COMPUTED_VALUE"""),"NORMAL")</f>
        <v>NORMAL</v>
      </c>
      <c r="J917" s="211">
        <f>IFERROR(__xludf.DUMMYFUNCTION("""COMPUTED_VALUE"""),2.0)</f>
        <v>2</v>
      </c>
      <c r="K917" s="211"/>
      <c r="L917" s="211">
        <f>IFERROR(__xludf.DUMMYFUNCTION("""COMPUTED_VALUE"""),215000.0)</f>
        <v>215000</v>
      </c>
      <c r="M917" s="211"/>
      <c r="N917" s="211"/>
      <c r="O917" s="211"/>
      <c r="Q917" s="210" t="str">
        <f>IFERROR(__xludf.DUMMYFUNCTION("""COMPUTED_VALUE"""),"75445ff8")</f>
        <v>75445ff8</v>
      </c>
      <c r="R917" s="210" t="str">
        <f>IFERROR(__xludf.DUMMYFUNCTION("""COMPUTED_VALUE"""),"75445ff8")</f>
        <v>75445ff8</v>
      </c>
      <c r="S917" s="211" t="str">
        <f>IFERROR(__xludf.DUMMYFUNCTION("""COMPUTED_VALUE"""),"e86baf3b")</f>
        <v>e86baf3b</v>
      </c>
      <c r="T917" s="211" t="str">
        <f>IFERROR(__xludf.DUMMYFUNCTION("""COMPUTED_VALUE"""),"PT GEMILANG CIPTA WAWASAN")</f>
        <v>PT GEMILANG CIPTA WAWASAN</v>
      </c>
      <c r="U917" s="215">
        <f>IFERROR(__xludf.DUMMYFUNCTION("""COMPUTED_VALUE"""),45828.74444444444)</f>
        <v>45828.74444</v>
      </c>
      <c r="V917" s="211" t="str">
        <f>IFERROR(__xludf.DUMMYFUNCTION("""COMPUTED_VALUE"""),"JL TEBET RAYA, 2A, TEBET BARAT, TEBET, KOTA ADM, JAKARTA SELATAN, DKI JAKARTA")</f>
        <v>JL TEBET RAYA, 2A, TEBET BARAT, TEBET, KOTA ADM, JAKARTA SELATAN, DKI JAKARTA</v>
      </c>
      <c r="W917" s="211" t="str">
        <f>IFERROR(__xludf.DUMMYFUNCTION("""COMPUTED_VALUE"""),"IN")</f>
        <v>IN</v>
      </c>
      <c r="X917" s="211"/>
      <c r="Z917" s="211" t="str">
        <f>IFERROR(__xludf.DUMMYFUNCTION("""COMPUTED_VALUE"""),"0825191099")</f>
        <v>0825191099</v>
      </c>
      <c r="AC917" s="211"/>
      <c r="AD917" s="211"/>
      <c r="AE917" s="211"/>
      <c r="AF917" s="211"/>
      <c r="AG917" s="211"/>
      <c r="AH917" s="211"/>
      <c r="AI917" s="211"/>
      <c r="AJ917" s="211"/>
      <c r="AL917" s="211"/>
      <c r="AM917" s="211"/>
      <c r="AN917" s="211"/>
      <c r="AO917" s="211"/>
      <c r="AP917" s="215"/>
      <c r="AQ917" s="218"/>
      <c r="AR917" s="211"/>
      <c r="AS917" s="211"/>
      <c r="AT917" s="211"/>
      <c r="AU917" s="211"/>
      <c r="AV917" s="211"/>
      <c r="AW917" s="211"/>
      <c r="AX917" s="211"/>
      <c r="AY917" s="211"/>
      <c r="AZ917" s="211"/>
      <c r="BB917" s="211"/>
      <c r="BC917" s="211"/>
      <c r="BD917" s="211"/>
      <c r="BE917" s="211"/>
      <c r="BF917" s="211"/>
      <c r="BG917" s="211"/>
      <c r="BH917" s="211"/>
      <c r="BI917" s="211"/>
    </row>
    <row r="918">
      <c r="A918" s="210" t="str">
        <f>IFERROR(__xludf.DUMMYFUNCTION("""COMPUTED_VALUE"""),"a7ced553")</f>
        <v>a7ced553</v>
      </c>
      <c r="B918" s="210" t="str">
        <f>IFERROR(__xludf.DUMMYFUNCTION("""COMPUTED_VALUE"""),"a7ced553")</f>
        <v>a7ced553</v>
      </c>
      <c r="C918" s="213">
        <f>IFERROR(__xludf.DUMMYFUNCTION("""COMPUTED_VALUE"""),45764.49930555555)</f>
        <v>45764.49931</v>
      </c>
      <c r="D918" s="211" t="str">
        <f>IFERROR(__xludf.DUMMYFUNCTION("""COMPUTED_VALUE"""),"5449a0b8")</f>
        <v>5449a0b8</v>
      </c>
      <c r="E918" s="211" t="str">
        <f>IFERROR(__xludf.DUMMYFUNCTION("""COMPUTED_VALUE"""),"Bpk. Supar")</f>
        <v>Bpk. Supar</v>
      </c>
      <c r="F918" s="211" t="str">
        <f>IFERROR(__xludf.DUMMYFUNCTION("""COMPUTED_VALUE"""),"8bdbe149")</f>
        <v>8bdbe149</v>
      </c>
      <c r="G918" s="211" t="str">
        <f>IFERROR(__xludf.DUMMYFUNCTION("""COMPUTED_VALUE"""),"Oksigen 6m3")</f>
        <v>Oksigen 6m3</v>
      </c>
      <c r="H918" s="214" t="str">
        <f>IFERROR(__xludf.DUMMYFUNCTION("""COMPUTED_VALUE"""),"IN")</f>
        <v>IN</v>
      </c>
      <c r="I918" s="214" t="str">
        <f>IFERROR(__xludf.DUMMYFUNCTION("""COMPUTED_VALUE"""),"EMPTY")</f>
        <v>EMPTY</v>
      </c>
      <c r="J918" s="211">
        <f>IFERROR(__xludf.DUMMYFUNCTION("""COMPUTED_VALUE"""),1.0)</f>
        <v>1</v>
      </c>
      <c r="K918" s="210" t="str">
        <f>IFERROR(__xludf.DUMMYFUNCTION("""COMPUTED_VALUE"""),"11150")</f>
        <v>11150</v>
      </c>
      <c r="L918" s="211">
        <f>IFERROR(__xludf.DUMMYFUNCTION("""COMPUTED_VALUE"""),0.0)</f>
        <v>0</v>
      </c>
      <c r="M918" s="211"/>
      <c r="N918" s="211"/>
      <c r="O918" s="211"/>
      <c r="Q918" s="210" t="str">
        <f>IFERROR(__xludf.DUMMYFUNCTION("""COMPUTED_VALUE"""),"2668c0e9")</f>
        <v>2668c0e9</v>
      </c>
      <c r="R918" s="210" t="str">
        <f>IFERROR(__xludf.DUMMYFUNCTION("""COMPUTED_VALUE"""),"2668c0e9")</f>
        <v>2668c0e9</v>
      </c>
      <c r="S918" s="211" t="str">
        <f>IFERROR(__xludf.DUMMYFUNCTION("""COMPUTED_VALUE"""),"103f3ae7")</f>
        <v>103f3ae7</v>
      </c>
      <c r="T918" s="211" t="str">
        <f>IFERROR(__xludf.DUMMYFUNCTION("""COMPUTED_VALUE"""),"PT ARYANA CAKASANA")</f>
        <v>PT ARYANA CAKASANA</v>
      </c>
      <c r="U918" s="215">
        <f>IFERROR(__xludf.DUMMYFUNCTION("""COMPUTED_VALUE"""),45828.74513888889)</f>
        <v>45828.74514</v>
      </c>
      <c r="V918" s="211" t="str">
        <f>IFERROR(__xludf.DUMMYFUNCTION("""COMPUTED_VALUE"""),"Jl Raya Tarik No. 45, Wonokupang, Bakalan, Balongbendo")</f>
        <v>Jl Raya Tarik No. 45, Wonokupang, Bakalan, Balongbendo</v>
      </c>
      <c r="W918" s="211" t="str">
        <f>IFERROR(__xludf.DUMMYFUNCTION("""COMPUTED_VALUE"""),"IN")</f>
        <v>IN</v>
      </c>
      <c r="X918" s="211"/>
      <c r="Z918" s="211" t="str">
        <f>IFERROR(__xludf.DUMMYFUNCTION("""COMPUTED_VALUE"""),"0825131098")</f>
        <v>0825131098</v>
      </c>
      <c r="AC918" s="211"/>
      <c r="AD918" s="211"/>
      <c r="AE918" s="211"/>
      <c r="AF918" s="211"/>
      <c r="AG918" s="211"/>
      <c r="AH918" s="211"/>
      <c r="AI918" s="211"/>
      <c r="AJ918" s="211"/>
      <c r="AL918" s="211"/>
      <c r="AM918" s="211"/>
      <c r="AN918" s="211"/>
      <c r="AO918" s="211"/>
      <c r="AP918" s="215"/>
      <c r="AQ918" s="218"/>
      <c r="AR918" s="211"/>
      <c r="AS918" s="211"/>
      <c r="AT918" s="211"/>
      <c r="AU918" s="211"/>
      <c r="AV918" s="211"/>
      <c r="AW918" s="211"/>
      <c r="AX918" s="211"/>
      <c r="AY918" s="211"/>
      <c r="AZ918" s="211"/>
      <c r="BB918" s="211"/>
      <c r="BC918" s="211"/>
      <c r="BD918" s="211"/>
      <c r="BE918" s="211"/>
      <c r="BF918" s="211"/>
      <c r="BG918" s="211"/>
      <c r="BH918" s="211"/>
      <c r="BI918" s="211"/>
    </row>
    <row r="919">
      <c r="A919" s="210" t="str">
        <f>IFERROR(__xludf.DUMMYFUNCTION("""COMPUTED_VALUE"""),"9134fe54")</f>
        <v>9134fe54</v>
      </c>
      <c r="B919" s="210" t="str">
        <f>IFERROR(__xludf.DUMMYFUNCTION("""COMPUTED_VALUE"""),"9134fe54")</f>
        <v>9134fe54</v>
      </c>
      <c r="C919" s="213">
        <f>IFERROR(__xludf.DUMMYFUNCTION("""COMPUTED_VALUE"""),45764.49930555555)</f>
        <v>45764.49931</v>
      </c>
      <c r="D919" s="211" t="str">
        <f>IFERROR(__xludf.DUMMYFUNCTION("""COMPUTED_VALUE"""),"01158be1")</f>
        <v>01158be1</v>
      </c>
      <c r="E919" s="211" t="str">
        <f>IFERROR(__xludf.DUMMYFUNCTION("""COMPUTED_VALUE"""),"GYF")</f>
        <v>GYF</v>
      </c>
      <c r="F919" s="211" t="str">
        <f>IFERROR(__xludf.DUMMYFUNCTION("""COMPUTED_VALUE"""),"8bdbe149")</f>
        <v>8bdbe149</v>
      </c>
      <c r="G919" s="211" t="str">
        <f>IFERROR(__xludf.DUMMYFUNCTION("""COMPUTED_VALUE"""),"Oksigen 6m3")</f>
        <v>Oksigen 6m3</v>
      </c>
      <c r="H919" s="214" t="str">
        <f>IFERROR(__xludf.DUMMYFUNCTION("""COMPUTED_VALUE"""),"IN")</f>
        <v>IN</v>
      </c>
      <c r="I919" s="214" t="str">
        <f>IFERROR(__xludf.DUMMYFUNCTION("""COMPUTED_VALUE"""),"EMPTY")</f>
        <v>EMPTY</v>
      </c>
      <c r="J919" s="211">
        <f>IFERROR(__xludf.DUMMYFUNCTION("""COMPUTED_VALUE"""),5.0)</f>
        <v>5</v>
      </c>
      <c r="K919" s="210" t="str">
        <f>IFERROR(__xludf.DUMMYFUNCTION("""COMPUTED_VALUE"""),"1111 11159 11152 1190 11166")</f>
        <v>1111 11159 11152 1190 11166</v>
      </c>
      <c r="L919" s="211">
        <f>IFERROR(__xludf.DUMMYFUNCTION("""COMPUTED_VALUE"""),0.0)</f>
        <v>0</v>
      </c>
      <c r="M919" s="211"/>
      <c r="N919" s="211"/>
      <c r="O919" s="211"/>
      <c r="Q919" s="210" t="str">
        <f>IFERROR(__xludf.DUMMYFUNCTION("""COMPUTED_VALUE"""),"06250528")</f>
        <v>06250528</v>
      </c>
      <c r="R919" s="210" t="str">
        <f>IFERROR(__xludf.DUMMYFUNCTION("""COMPUTED_VALUE"""),"06250528")</f>
        <v>06250528</v>
      </c>
      <c r="S919" s="211" t="str">
        <f>IFERROR(__xludf.DUMMYFUNCTION("""COMPUTED_VALUE"""),"b2b5f2c5")</f>
        <v>b2b5f2c5</v>
      </c>
      <c r="T919" s="211" t="str">
        <f>IFERROR(__xludf.DUMMYFUNCTION("""COMPUTED_VALUE"""),"Bengkel Las Bpk. Ari")</f>
        <v>Bengkel Las Bpk. Ari</v>
      </c>
      <c r="U919" s="215">
        <f>IFERROR(__xludf.DUMMYFUNCTION("""COMPUTED_VALUE"""),45831.38888888889)</f>
        <v>45831.38889</v>
      </c>
      <c r="V919" s="211" t="str">
        <f>IFERROR(__xludf.DUMMYFUNCTION("""COMPUTED_VALUE"""),"Sumber Kembar, Wonodadi, Kec. Kutorejo, Kabupaten Mojokerto, Jawa Timur")</f>
        <v>Sumber Kembar, Wonodadi, Kec. Kutorejo, Kabupaten Mojokerto, Jawa Timur</v>
      </c>
      <c r="W919" s="211" t="str">
        <f>IFERROR(__xludf.DUMMYFUNCTION("""COMPUTED_VALUE"""),"OUT")</f>
        <v>OUT</v>
      </c>
      <c r="X919" s="211"/>
      <c r="Z919" s="211" t="str">
        <f>IFERROR(__xludf.DUMMYFUNCTION("""COMPUTED_VALUE"""),"0825221097")</f>
        <v>0825221097</v>
      </c>
      <c r="AC919" s="211"/>
      <c r="AD919" s="211"/>
      <c r="AE919" s="211"/>
      <c r="AF919" s="211"/>
      <c r="AG919" s="211"/>
      <c r="AH919" s="211"/>
      <c r="AI919" s="211"/>
      <c r="AJ919" s="211"/>
      <c r="AL919" s="211"/>
      <c r="AM919" s="211"/>
      <c r="AN919" s="211"/>
      <c r="AO919" s="211"/>
      <c r="AP919" s="215"/>
      <c r="AQ919" s="218"/>
      <c r="AR919" s="211"/>
      <c r="AS919" s="211"/>
      <c r="AT919" s="211"/>
      <c r="AU919" s="211"/>
      <c r="AV919" s="211"/>
      <c r="AW919" s="211"/>
      <c r="AX919" s="211"/>
      <c r="AY919" s="211"/>
      <c r="AZ919" s="211"/>
      <c r="BB919" s="211"/>
      <c r="BC919" s="211"/>
      <c r="BD919" s="211"/>
      <c r="BE919" s="211"/>
      <c r="BF919" s="211"/>
      <c r="BG919" s="211"/>
      <c r="BH919" s="211"/>
      <c r="BI919" s="211"/>
    </row>
    <row r="920">
      <c r="A920" s="210" t="str">
        <f>IFERROR(__xludf.DUMMYFUNCTION("""COMPUTED_VALUE"""),"58b5250e")</f>
        <v>58b5250e</v>
      </c>
      <c r="B920" s="210" t="str">
        <f>IFERROR(__xludf.DUMMYFUNCTION("""COMPUTED_VALUE"""),"58b5250e")</f>
        <v>58b5250e</v>
      </c>
      <c r="C920" s="213">
        <f>IFERROR(__xludf.DUMMYFUNCTION("""COMPUTED_VALUE"""),45764.50069444445)</f>
        <v>45764.50069</v>
      </c>
      <c r="D920" s="211" t="str">
        <f>IFERROR(__xludf.DUMMYFUNCTION("""COMPUTED_VALUE"""),"103f3ae7")</f>
        <v>103f3ae7</v>
      </c>
      <c r="E920" s="211" t="str">
        <f>IFERROR(__xludf.DUMMYFUNCTION("""COMPUTED_VALUE"""),"PT ARYANA CAKASANA")</f>
        <v>PT ARYANA CAKASANA</v>
      </c>
      <c r="F920" s="211" t="str">
        <f>IFERROR(__xludf.DUMMYFUNCTION("""COMPUTED_VALUE"""),"8bdbe149")</f>
        <v>8bdbe149</v>
      </c>
      <c r="G920" s="211" t="str">
        <f>IFERROR(__xludf.DUMMYFUNCTION("""COMPUTED_VALUE"""),"Oksigen 6m3")</f>
        <v>Oksigen 6m3</v>
      </c>
      <c r="H920" s="214" t="str">
        <f>IFERROR(__xludf.DUMMYFUNCTION("""COMPUTED_VALUE"""),"IN")</f>
        <v>IN</v>
      </c>
      <c r="I920" s="214" t="str">
        <f>IFERROR(__xludf.DUMMYFUNCTION("""COMPUTED_VALUE"""),"EMPTY")</f>
        <v>EMPTY</v>
      </c>
      <c r="J920" s="211">
        <f>IFERROR(__xludf.DUMMYFUNCTION("""COMPUTED_VALUE"""),2.0)</f>
        <v>2</v>
      </c>
      <c r="K920" s="210" t="str">
        <f>IFERROR(__xludf.DUMMYFUNCTION("""COMPUTED_VALUE"""),"1121 11125")</f>
        <v>1121 11125</v>
      </c>
      <c r="L920" s="211">
        <f>IFERROR(__xludf.DUMMYFUNCTION("""COMPUTED_VALUE"""),0.0)</f>
        <v>0</v>
      </c>
      <c r="M920" s="211"/>
      <c r="N920" s="211"/>
      <c r="O920" s="211"/>
      <c r="Q920" s="210" t="str">
        <f>IFERROR(__xludf.DUMMYFUNCTION("""COMPUTED_VALUE"""),"06250529")</f>
        <v>06250529</v>
      </c>
      <c r="R920" s="210" t="str">
        <f>IFERROR(__xludf.DUMMYFUNCTION("""COMPUTED_VALUE"""),"06250529")</f>
        <v>06250529</v>
      </c>
      <c r="S920" s="211" t="str">
        <f>IFERROR(__xludf.DUMMYFUNCTION("""COMPUTED_VALUE"""),"e86baf3b")</f>
        <v>e86baf3b</v>
      </c>
      <c r="T920" s="211" t="str">
        <f>IFERROR(__xludf.DUMMYFUNCTION("""COMPUTED_VALUE"""),"PT GEMILANG CIPTA WAWASAN")</f>
        <v>PT GEMILANG CIPTA WAWASAN</v>
      </c>
      <c r="U920" s="215">
        <f>IFERROR(__xludf.DUMMYFUNCTION("""COMPUTED_VALUE"""),45831.40069444444)</f>
        <v>45831.40069</v>
      </c>
      <c r="V920" s="211" t="str">
        <f>IFERROR(__xludf.DUMMYFUNCTION("""COMPUTED_VALUE"""),"JL TEBET RAYA, 2A, TEBET BARAT, TEBET, KOTA ADM, JAKARTA SELATAN, DKI JAKARTA")</f>
        <v>JL TEBET RAYA, 2A, TEBET BARAT, TEBET, KOTA ADM, JAKARTA SELATAN, DKI JAKARTA</v>
      </c>
      <c r="W920" s="211" t="str">
        <f>IFERROR(__xludf.DUMMYFUNCTION("""COMPUTED_VALUE"""),"OUT")</f>
        <v>OUT</v>
      </c>
      <c r="X920" s="211"/>
      <c r="Z920" s="211" t="str">
        <f>IFERROR(__xludf.DUMMYFUNCTION("""COMPUTED_VALUE"""),"0825231094")</f>
        <v>0825231094</v>
      </c>
      <c r="AC920" s="211"/>
      <c r="AD920" s="211"/>
      <c r="AE920" s="211"/>
      <c r="AF920" s="211"/>
      <c r="AG920" s="211"/>
      <c r="AH920" s="211"/>
      <c r="AI920" s="211"/>
      <c r="AJ920" s="211"/>
      <c r="AL920" s="211"/>
      <c r="AM920" s="211"/>
      <c r="AN920" s="211"/>
      <c r="AO920" s="211"/>
      <c r="AP920" s="215"/>
      <c r="AQ920" s="218"/>
      <c r="AR920" s="211"/>
      <c r="AS920" s="211"/>
      <c r="AT920" s="211"/>
      <c r="AU920" s="211"/>
      <c r="AV920" s="211"/>
      <c r="AW920" s="211"/>
      <c r="AX920" s="211"/>
      <c r="AY920" s="211"/>
      <c r="AZ920" s="211"/>
      <c r="BB920" s="211"/>
      <c r="BC920" s="211"/>
      <c r="BD920" s="211"/>
      <c r="BE920" s="211"/>
      <c r="BF920" s="211"/>
      <c r="BG920" s="211"/>
      <c r="BH920" s="211"/>
      <c r="BI920" s="211"/>
    </row>
    <row r="921">
      <c r="A921" s="210" t="str">
        <f>IFERROR(__xludf.DUMMYFUNCTION("""COMPUTED_VALUE"""),"d017ae05")</f>
        <v>d017ae05</v>
      </c>
      <c r="B921" s="210" t="str">
        <f>IFERROR(__xludf.DUMMYFUNCTION("""COMPUTED_VALUE"""),"d017ae05")</f>
        <v>d017ae05</v>
      </c>
      <c r="C921" s="213">
        <f>IFERROR(__xludf.DUMMYFUNCTION("""COMPUTED_VALUE"""),45763.71041666667)</f>
        <v>45763.71042</v>
      </c>
      <c r="D921" s="211" t="str">
        <f>IFERROR(__xludf.DUMMYFUNCTION("""COMPUTED_VALUE"""),"785e0e07")</f>
        <v>785e0e07</v>
      </c>
      <c r="E921" s="211" t="str">
        <f>IFERROR(__xludf.DUMMYFUNCTION("""COMPUTED_VALUE"""),"Bpk. Sukirno (Bejo)")</f>
        <v>Bpk. Sukirno (Bejo)</v>
      </c>
      <c r="F921" s="211" t="str">
        <f>IFERROR(__xludf.DUMMYFUNCTION("""COMPUTED_VALUE"""),"8bdbe149")</f>
        <v>8bdbe149</v>
      </c>
      <c r="G921" s="211" t="str">
        <f>IFERROR(__xludf.DUMMYFUNCTION("""COMPUTED_VALUE"""),"Oksigen 6m3")</f>
        <v>Oksigen 6m3</v>
      </c>
      <c r="H921" s="214" t="str">
        <f>IFERROR(__xludf.DUMMYFUNCTION("""COMPUTED_VALUE"""),"IN")</f>
        <v>IN</v>
      </c>
      <c r="I921" s="214" t="str">
        <f>IFERROR(__xludf.DUMMYFUNCTION("""COMPUTED_VALUE"""),"EMPTY")</f>
        <v>EMPTY</v>
      </c>
      <c r="J921" s="211">
        <f>IFERROR(__xludf.DUMMYFUNCTION("""COMPUTED_VALUE"""),12.0)</f>
        <v>12</v>
      </c>
      <c r="K921" s="210" t="str">
        <f>IFERROR(__xludf.DUMMYFUNCTION("""COMPUTED_VALUE"""),"11228 11169 11151 11135 11157 11137 11143 11142 11173 11167 76 11154")</f>
        <v>11228 11169 11151 11135 11157 11137 11143 11142 11173 11167 76 11154</v>
      </c>
      <c r="L921" s="211">
        <f>IFERROR(__xludf.DUMMYFUNCTION("""COMPUTED_VALUE"""),0.0)</f>
        <v>0</v>
      </c>
      <c r="M921" s="211"/>
      <c r="N921" s="211"/>
      <c r="O921" s="211"/>
      <c r="Q921" s="210" t="str">
        <f>IFERROR(__xludf.DUMMYFUNCTION("""COMPUTED_VALUE"""),"06250531")</f>
        <v>06250531</v>
      </c>
      <c r="R921" s="210" t="str">
        <f>IFERROR(__xludf.DUMMYFUNCTION("""COMPUTED_VALUE"""),"06250531")</f>
        <v>06250531</v>
      </c>
      <c r="S921" s="211" t="str">
        <f>IFERROR(__xludf.DUMMYFUNCTION("""COMPUTED_VALUE"""),"3bcd7fe6")</f>
        <v>3bcd7fe6</v>
      </c>
      <c r="T921" s="211" t="str">
        <f>IFERROR(__xludf.DUMMYFUNCTION("""COMPUTED_VALUE"""),"Bpk. Alvin (LB Group)")</f>
        <v>Bpk. Alvin (LB Group)</v>
      </c>
      <c r="U921" s="215">
        <f>IFERROR(__xludf.DUMMYFUNCTION("""COMPUTED_VALUE"""),45831.52013888889)</f>
        <v>45831.52014</v>
      </c>
      <c r="V921" s="211" t="str">
        <f>IFERROR(__xludf.DUMMYFUNCTION("""COMPUTED_VALUE"""),"MFF9+XHC, Jalan, Tambakrejo, Temuireng, Kec. Dawar Blandong, Kabupaten Mojokerto, Jawa Timur 61354")</f>
        <v>MFF9+XHC, Jalan, Tambakrejo, Temuireng, Kec. Dawar Blandong, Kabupaten Mojokerto, Jawa Timur 61354</v>
      </c>
      <c r="W921" s="211" t="str">
        <f>IFERROR(__xludf.DUMMYFUNCTION("""COMPUTED_VALUE"""),"OUT")</f>
        <v>OUT</v>
      </c>
      <c r="X921" s="211"/>
      <c r="Z921" s="211" t="str">
        <f>IFERROR(__xludf.DUMMYFUNCTION("""COMPUTED_VALUE"""),"0825101094")</f>
        <v>0825101094</v>
      </c>
      <c r="AC921" s="211"/>
      <c r="AD921" s="211"/>
      <c r="AE921" s="211"/>
      <c r="AF921" s="211"/>
      <c r="AG921" s="211"/>
      <c r="AH921" s="211"/>
      <c r="AI921" s="211"/>
      <c r="AJ921" s="211"/>
      <c r="AL921" s="211"/>
      <c r="AM921" s="211"/>
      <c r="AN921" s="211"/>
      <c r="AO921" s="211"/>
      <c r="AP921" s="215"/>
      <c r="AQ921" s="218"/>
      <c r="AR921" s="211"/>
      <c r="AS921" s="211"/>
      <c r="AT921" s="211"/>
      <c r="AU921" s="211"/>
      <c r="AV921" s="211"/>
      <c r="AW921" s="211"/>
      <c r="AX921" s="211"/>
      <c r="AY921" s="211"/>
      <c r="AZ921" s="211"/>
      <c r="BB921" s="211"/>
      <c r="BC921" s="211"/>
      <c r="BD921" s="211"/>
      <c r="BE921" s="211"/>
      <c r="BF921" s="211"/>
      <c r="BG921" s="211"/>
      <c r="BH921" s="211"/>
      <c r="BI921" s="211"/>
    </row>
    <row r="922">
      <c r="A922" s="210" t="str">
        <f>IFERROR(__xludf.DUMMYFUNCTION("""COMPUTED_VALUE"""),"d017ae05")</f>
        <v>d017ae05</v>
      </c>
      <c r="B922" s="210" t="str">
        <f>IFERROR(__xludf.DUMMYFUNCTION("""COMPUTED_VALUE"""),"d017ae05")</f>
        <v>d017ae05</v>
      </c>
      <c r="C922" s="213">
        <f>IFERROR(__xludf.DUMMYFUNCTION("""COMPUTED_VALUE"""),45763.71111111111)</f>
        <v>45763.71111</v>
      </c>
      <c r="D922" s="211" t="str">
        <f>IFERROR(__xludf.DUMMYFUNCTION("""COMPUTED_VALUE"""),"785e0e07")</f>
        <v>785e0e07</v>
      </c>
      <c r="E922" s="211" t="str">
        <f>IFERROR(__xludf.DUMMYFUNCTION("""COMPUTED_VALUE"""),"Bpk. Sukirno (Bejo)")</f>
        <v>Bpk. Sukirno (Bejo)</v>
      </c>
      <c r="F922" s="211" t="str">
        <f>IFERROR(__xludf.DUMMYFUNCTION("""COMPUTED_VALUE"""),"be525f3b")</f>
        <v>be525f3b</v>
      </c>
      <c r="G922" s="211" t="str">
        <f>IFERROR(__xludf.DUMMYFUNCTION("""COMPUTED_VALUE"""),"LPG 12kg")</f>
        <v>LPG 12kg</v>
      </c>
      <c r="H922" s="214" t="str">
        <f>IFERROR(__xludf.DUMMYFUNCTION("""COMPUTED_VALUE"""),"IN")</f>
        <v>IN</v>
      </c>
      <c r="I922" s="214" t="str">
        <f>IFERROR(__xludf.DUMMYFUNCTION("""COMPUTED_VALUE"""),"EMPTY")</f>
        <v>EMPTY</v>
      </c>
      <c r="J922" s="211">
        <f>IFERROR(__xludf.DUMMYFUNCTION("""COMPUTED_VALUE"""),2.0)</f>
        <v>2</v>
      </c>
      <c r="K922" s="211"/>
      <c r="L922" s="211">
        <f>IFERROR(__xludf.DUMMYFUNCTION("""COMPUTED_VALUE"""),0.0)</f>
        <v>0</v>
      </c>
      <c r="M922" s="211"/>
      <c r="N922" s="211"/>
      <c r="O922" s="211"/>
      <c r="Q922" s="210" t="str">
        <f>IFERROR(__xludf.DUMMYFUNCTION("""COMPUTED_VALUE"""),"11594276")</f>
        <v>11594276</v>
      </c>
      <c r="R922" s="210" t="str">
        <f>IFERROR(__xludf.DUMMYFUNCTION("""COMPUTED_VALUE"""),"11594276")</f>
        <v>11594276</v>
      </c>
      <c r="S922" s="211" t="str">
        <f>IFERROR(__xludf.DUMMYFUNCTION("""COMPUTED_VALUE"""),"01158be1")</f>
        <v>01158be1</v>
      </c>
      <c r="T922" s="211" t="str">
        <f>IFERROR(__xludf.DUMMYFUNCTION("""COMPUTED_VALUE"""),"GYF")</f>
        <v>GYF</v>
      </c>
      <c r="U922" s="215">
        <f>IFERROR(__xludf.DUMMYFUNCTION("""COMPUTED_VALUE"""),45832.43611111111)</f>
        <v>45832.43611</v>
      </c>
      <c r="V922" s="211" t="str">
        <f>IFERROR(__xludf.DUMMYFUNCTION("""COMPUTED_VALUE"""),"Kangkungan, Lengkong, Kec. Mojoanyar, Kabupaten Mojokerto, Jawa Timur")</f>
        <v>Kangkungan, Lengkong, Kec. Mojoanyar, Kabupaten Mojokerto, Jawa Timur</v>
      </c>
      <c r="W922" s="211" t="str">
        <f>IFERROR(__xludf.DUMMYFUNCTION("""COMPUTED_VALUE"""),"IN")</f>
        <v>IN</v>
      </c>
      <c r="X922" s="211"/>
      <c r="Z922" s="211" t="str">
        <f>IFERROR(__xludf.DUMMYFUNCTION("""COMPUTED_VALUE"""),"0825211089")</f>
        <v>0825211089</v>
      </c>
      <c r="AC922" s="211"/>
      <c r="AD922" s="211"/>
      <c r="AE922" s="211"/>
      <c r="AF922" s="211"/>
      <c r="AG922" s="211"/>
      <c r="AH922" s="211"/>
      <c r="AI922" s="211"/>
      <c r="AJ922" s="211"/>
      <c r="AL922" s="211"/>
      <c r="AM922" s="211"/>
      <c r="AN922" s="211"/>
      <c r="AO922" s="211"/>
      <c r="AP922" s="215"/>
      <c r="AQ922" s="218"/>
      <c r="AR922" s="211"/>
      <c r="AS922" s="211"/>
      <c r="AT922" s="211"/>
      <c r="AU922" s="211"/>
      <c r="AV922" s="211"/>
      <c r="AW922" s="211"/>
      <c r="AX922" s="211"/>
      <c r="AY922" s="211"/>
      <c r="AZ922" s="211"/>
      <c r="BB922" s="211"/>
      <c r="BC922" s="211"/>
      <c r="BD922" s="211"/>
      <c r="BE922" s="211"/>
      <c r="BF922" s="211"/>
      <c r="BG922" s="211"/>
      <c r="BH922" s="211"/>
      <c r="BI922" s="211"/>
    </row>
    <row r="923">
      <c r="A923" s="210" t="str">
        <f>IFERROR(__xludf.DUMMYFUNCTION("""COMPUTED_VALUE"""),"04250376")</f>
        <v>04250376</v>
      </c>
      <c r="B923" s="210" t="str">
        <f>IFERROR(__xludf.DUMMYFUNCTION("""COMPUTED_VALUE"""),"04250376")</f>
        <v>04250376</v>
      </c>
      <c r="C923" s="213">
        <f>IFERROR(__xludf.DUMMYFUNCTION("""COMPUTED_VALUE"""),45766.410416666666)</f>
        <v>45766.41042</v>
      </c>
      <c r="D923" s="211" t="str">
        <f>IFERROR(__xludf.DUMMYFUNCTION("""COMPUTED_VALUE"""),"01158be1")</f>
        <v>01158be1</v>
      </c>
      <c r="E923" s="211" t="str">
        <f>IFERROR(__xludf.DUMMYFUNCTION("""COMPUTED_VALUE"""),"GYF")</f>
        <v>GYF</v>
      </c>
      <c r="F923" s="211" t="str">
        <f>IFERROR(__xludf.DUMMYFUNCTION("""COMPUTED_VALUE"""),"8bdbe149")</f>
        <v>8bdbe149</v>
      </c>
      <c r="G923" s="211" t="str">
        <f>IFERROR(__xludf.DUMMYFUNCTION("""COMPUTED_VALUE"""),"Oksigen 6m3")</f>
        <v>Oksigen 6m3</v>
      </c>
      <c r="H923" s="214" t="str">
        <f>IFERROR(__xludf.DUMMYFUNCTION("""COMPUTED_VALUE"""),"OUT")</f>
        <v>OUT</v>
      </c>
      <c r="I923" s="214" t="str">
        <f>IFERROR(__xludf.DUMMYFUNCTION("""COMPUTED_VALUE"""),"NORMAL")</f>
        <v>NORMAL</v>
      </c>
      <c r="J923" s="211">
        <f>IFERROR(__xludf.DUMMYFUNCTION("""COMPUTED_VALUE"""),15.0)</f>
        <v>15</v>
      </c>
      <c r="K923" s="210" t="str">
        <f>IFERROR(__xludf.DUMMYFUNCTION("""COMPUTED_VALUE"""),"11125 1190 1121 11112 1163 1129 1193 1157 1111 1168 11266 11267 11268 11269 11270")</f>
        <v>11125 1190 1121 11112 1163 1129 1193 1157 1111 1168 11266 11267 11268 11269 11270</v>
      </c>
      <c r="L923" s="211">
        <f>IFERROR(__xludf.DUMMYFUNCTION("""COMPUTED_VALUE"""),45000.0)</f>
        <v>45000</v>
      </c>
      <c r="M923" s="211"/>
      <c r="N923" s="211"/>
      <c r="O923" s="211"/>
      <c r="Q923" s="210" t="str">
        <f>IFERROR(__xludf.DUMMYFUNCTION("""COMPUTED_VALUE"""),"8b5d31be")</f>
        <v>8b5d31be</v>
      </c>
      <c r="R923" s="210" t="str">
        <f>IFERROR(__xludf.DUMMYFUNCTION("""COMPUTED_VALUE"""),"8b5d31be")</f>
        <v>8b5d31be</v>
      </c>
      <c r="S923" s="211" t="str">
        <f>IFERROR(__xludf.DUMMYFUNCTION("""COMPUTED_VALUE"""),"3bcd7fe6")</f>
        <v>3bcd7fe6</v>
      </c>
      <c r="T923" s="211" t="str">
        <f>IFERROR(__xludf.DUMMYFUNCTION("""COMPUTED_VALUE"""),"Bpk. Alvin (LB Group)")</f>
        <v>Bpk. Alvin (LB Group)</v>
      </c>
      <c r="U923" s="215">
        <f>IFERROR(__xludf.DUMMYFUNCTION("""COMPUTED_VALUE"""),45832.43888888889)</f>
        <v>45832.43889</v>
      </c>
      <c r="V923" s="211" t="str">
        <f>IFERROR(__xludf.DUMMYFUNCTION("""COMPUTED_VALUE"""),"MFF9+XHC, Jalan, Tambakrejo, Temuireng, Kec. Dawar Blandong, Kabupaten Mojokerto, Jawa Timur 61354")</f>
        <v>MFF9+XHC, Jalan, Tambakrejo, Temuireng, Kec. Dawar Blandong, Kabupaten Mojokerto, Jawa Timur 61354</v>
      </c>
      <c r="W923" s="211" t="str">
        <f>IFERROR(__xludf.DUMMYFUNCTION("""COMPUTED_VALUE"""),"IN")</f>
        <v>IN</v>
      </c>
      <c r="X923" s="211"/>
      <c r="Z923" s="211" t="str">
        <f>IFERROR(__xludf.DUMMYFUNCTION("""COMPUTED_VALUE"""),"0825131087")</f>
        <v>0825131087</v>
      </c>
      <c r="AC923" s="211"/>
      <c r="AD923" s="211"/>
      <c r="AE923" s="211"/>
      <c r="AF923" s="211"/>
      <c r="AG923" s="211"/>
      <c r="AH923" s="211"/>
      <c r="AI923" s="211"/>
      <c r="AJ923" s="211"/>
      <c r="AL923" s="211"/>
      <c r="AM923" s="211"/>
      <c r="AN923" s="211"/>
      <c r="AO923" s="211"/>
      <c r="AP923" s="215"/>
      <c r="AQ923" s="218"/>
      <c r="AR923" s="211"/>
      <c r="AS923" s="211"/>
      <c r="AT923" s="211"/>
      <c r="AU923" s="211"/>
      <c r="AV923" s="211"/>
      <c r="AW923" s="211"/>
      <c r="AX923" s="211"/>
      <c r="AY923" s="211"/>
      <c r="AZ923" s="211"/>
      <c r="BB923" s="211"/>
      <c r="BC923" s="211"/>
      <c r="BD923" s="211"/>
      <c r="BE923" s="211"/>
      <c r="BF923" s="211"/>
      <c r="BG923" s="211"/>
      <c r="BH923" s="211"/>
      <c r="BI923" s="211"/>
    </row>
    <row r="924">
      <c r="A924" s="210" t="str">
        <f>IFERROR(__xludf.DUMMYFUNCTION("""COMPUTED_VALUE"""),"04250376")</f>
        <v>04250376</v>
      </c>
      <c r="B924" s="210" t="str">
        <f>IFERROR(__xludf.DUMMYFUNCTION("""COMPUTED_VALUE"""),"04250376")</f>
        <v>04250376</v>
      </c>
      <c r="C924" s="213">
        <f>IFERROR(__xludf.DUMMYFUNCTION("""COMPUTED_VALUE"""),45766.4125)</f>
        <v>45766.4125</v>
      </c>
      <c r="D924" s="211" t="str">
        <f>IFERROR(__xludf.DUMMYFUNCTION("""COMPUTED_VALUE"""),"01158be1")</f>
        <v>01158be1</v>
      </c>
      <c r="E924" s="211" t="str">
        <f>IFERROR(__xludf.DUMMYFUNCTION("""COMPUTED_VALUE"""),"GYF")</f>
        <v>GYF</v>
      </c>
      <c r="F924" s="211" t="str">
        <f>IFERROR(__xludf.DUMMYFUNCTION("""COMPUTED_VALUE"""),"66af7c72")</f>
        <v>66af7c72</v>
      </c>
      <c r="G924" s="211" t="str">
        <f>IFERROR(__xludf.DUMMYFUNCTION("""COMPUTED_VALUE"""),"Argon 6m3")</f>
        <v>Argon 6m3</v>
      </c>
      <c r="H924" s="214" t="str">
        <f>IFERROR(__xludf.DUMMYFUNCTION("""COMPUTED_VALUE"""),"OUT")</f>
        <v>OUT</v>
      </c>
      <c r="I924" s="214" t="str">
        <f>IFERROR(__xludf.DUMMYFUNCTION("""COMPUTED_VALUE"""),"NORMAL")</f>
        <v>NORMAL</v>
      </c>
      <c r="J924" s="211">
        <f>IFERROR(__xludf.DUMMYFUNCTION("""COMPUTED_VALUE"""),3.0)</f>
        <v>3</v>
      </c>
      <c r="K924" s="210" t="str">
        <f>IFERROR(__xludf.DUMMYFUNCTION("""COMPUTED_VALUE"""),"12027 12025 12026")</f>
        <v>12027 12025 12026</v>
      </c>
      <c r="L924" s="211">
        <f>IFERROR(__xludf.DUMMYFUNCTION("""COMPUTED_VALUE"""),200000.0)</f>
        <v>200000</v>
      </c>
      <c r="M924" s="211"/>
      <c r="N924" s="211"/>
      <c r="O924" s="211"/>
      <c r="Q924" s="210" t="str">
        <f>IFERROR(__xludf.DUMMYFUNCTION("""COMPUTED_VALUE"""),"518e58cc")</f>
        <v>518e58cc</v>
      </c>
      <c r="R924" s="210" t="str">
        <f>IFERROR(__xludf.DUMMYFUNCTION("""COMPUTED_VALUE"""),"518e58cc")</f>
        <v>518e58cc</v>
      </c>
      <c r="S924" s="211" t="str">
        <f>IFERROR(__xludf.DUMMYFUNCTION("""COMPUTED_VALUE"""),"785e0e07")</f>
        <v>785e0e07</v>
      </c>
      <c r="T924" s="211" t="str">
        <f>IFERROR(__xludf.DUMMYFUNCTION("""COMPUTED_VALUE"""),"Bpk. Sukirno (Bejo)")</f>
        <v>Bpk. Sukirno (Bejo)</v>
      </c>
      <c r="U924" s="215">
        <f>IFERROR(__xludf.DUMMYFUNCTION("""COMPUTED_VALUE"""),45832.43958333333)</f>
        <v>45832.43958</v>
      </c>
      <c r="V924" s="211" t="str">
        <f>IFERROR(__xludf.DUMMYFUNCTION("""COMPUTED_VALUE"""),"Krajan I, Wringinanom, Kec. Wringinanom, Kabupaten Gresik, Jawa Timur 61176")</f>
        <v>Krajan I, Wringinanom, Kec. Wringinanom, Kabupaten Gresik, Jawa Timur 61176</v>
      </c>
      <c r="W924" s="211" t="str">
        <f>IFERROR(__xludf.DUMMYFUNCTION("""COMPUTED_VALUE"""),"IN")</f>
        <v>IN</v>
      </c>
      <c r="X924" s="211"/>
      <c r="Z924" s="211" t="str">
        <f>IFERROR(__xludf.DUMMYFUNCTION("""COMPUTED_VALUE"""),"082531086")</f>
        <v>082531086</v>
      </c>
      <c r="AC924" s="211"/>
      <c r="AD924" s="211"/>
      <c r="AE924" s="211"/>
      <c r="AF924" s="211"/>
      <c r="AG924" s="211"/>
      <c r="AH924" s="211"/>
      <c r="AI924" s="211"/>
      <c r="AJ924" s="211"/>
      <c r="AL924" s="211"/>
      <c r="AM924" s="211"/>
      <c r="AN924" s="211"/>
      <c r="AO924" s="211"/>
      <c r="AP924" s="215"/>
      <c r="AQ924" s="218"/>
      <c r="AR924" s="211"/>
      <c r="AS924" s="211"/>
      <c r="AT924" s="211"/>
      <c r="AU924" s="211"/>
      <c r="AV924" s="211"/>
      <c r="AW924" s="211"/>
      <c r="AX924" s="211"/>
      <c r="AY924" s="211"/>
      <c r="AZ924" s="211"/>
      <c r="BB924" s="211"/>
      <c r="BC924" s="211"/>
      <c r="BD924" s="211"/>
      <c r="BE924" s="211"/>
      <c r="BF924" s="211"/>
      <c r="BG924" s="211"/>
      <c r="BH924" s="211"/>
      <c r="BI924" s="211"/>
    </row>
    <row r="925">
      <c r="A925" s="210" t="str">
        <f>IFERROR(__xludf.DUMMYFUNCTION("""COMPUTED_VALUE"""),"04250378")</f>
        <v>04250378</v>
      </c>
      <c r="B925" s="210" t="str">
        <f>IFERROR(__xludf.DUMMYFUNCTION("""COMPUTED_VALUE"""),"04250378")</f>
        <v>04250378</v>
      </c>
      <c r="C925" s="213">
        <f>IFERROR(__xludf.DUMMYFUNCTION("""COMPUTED_VALUE"""),45766.41388888889)</f>
        <v>45766.41389</v>
      </c>
      <c r="D925" s="211" t="str">
        <f>IFERROR(__xludf.DUMMYFUNCTION("""COMPUTED_VALUE"""),"b2b5f2c5")</f>
        <v>b2b5f2c5</v>
      </c>
      <c r="E925" s="211" t="str">
        <f>IFERROR(__xludf.DUMMYFUNCTION("""COMPUTED_VALUE"""),"Bengkel Las Bpk. Ari")</f>
        <v>Bengkel Las Bpk. Ari</v>
      </c>
      <c r="F925" s="211" t="str">
        <f>IFERROR(__xludf.DUMMYFUNCTION("""COMPUTED_VALUE"""),"8bdbe149")</f>
        <v>8bdbe149</v>
      </c>
      <c r="G925" s="211" t="str">
        <f>IFERROR(__xludf.DUMMYFUNCTION("""COMPUTED_VALUE"""),"Oksigen 6m3")</f>
        <v>Oksigen 6m3</v>
      </c>
      <c r="H925" s="214" t="str">
        <f>IFERROR(__xludf.DUMMYFUNCTION("""COMPUTED_VALUE"""),"OUT")</f>
        <v>OUT</v>
      </c>
      <c r="I925" s="214" t="str">
        <f>IFERROR(__xludf.DUMMYFUNCTION("""COMPUTED_VALUE"""),"NORMAL")</f>
        <v>NORMAL</v>
      </c>
      <c r="J925" s="211">
        <f>IFERROR(__xludf.DUMMYFUNCTION("""COMPUTED_VALUE"""),5.0)</f>
        <v>5</v>
      </c>
      <c r="K925" s="210" t="str">
        <f>IFERROR(__xludf.DUMMYFUNCTION("""COMPUTED_VALUE"""),"11242 11203 11184 11249 11243")</f>
        <v>11242 11203 11184 11249 11243</v>
      </c>
      <c r="L925" s="211">
        <f>IFERROR(__xludf.DUMMYFUNCTION("""COMPUTED_VALUE"""),60000.0)</f>
        <v>60000</v>
      </c>
      <c r="M925" s="211"/>
      <c r="N925" s="211"/>
      <c r="O925" s="211"/>
      <c r="Q925" s="210" t="str">
        <f>IFERROR(__xludf.DUMMYFUNCTION("""COMPUTED_VALUE"""),"bf8e67f3")</f>
        <v>bf8e67f3</v>
      </c>
      <c r="R925" s="210" t="str">
        <f>IFERROR(__xludf.DUMMYFUNCTION("""COMPUTED_VALUE"""),"bf8e67f3")</f>
        <v>bf8e67f3</v>
      </c>
      <c r="S925" s="211" t="str">
        <f>IFERROR(__xludf.DUMMYFUNCTION("""COMPUTED_VALUE"""),"5f23ba17")</f>
        <v>5f23ba17</v>
      </c>
      <c r="T925" s="211" t="str">
        <f>IFERROR(__xludf.DUMMYFUNCTION("""COMPUTED_VALUE"""),"Bpk. Joko (Gresik)")</f>
        <v>Bpk. Joko (Gresik)</v>
      </c>
      <c r="U925" s="215">
        <f>IFERROR(__xludf.DUMMYFUNCTION("""COMPUTED_VALUE"""),45832.695138888885)</f>
        <v>45832.69514</v>
      </c>
      <c r="V925" s="211" t="str">
        <f>IFERROR(__xludf.DUMMYFUNCTION("""COMPUTED_VALUE"""),"Jl. Raya Wringinanom, Tanggungan, Lebaniwaras, Kec. Wringinanom, Kabupaten Gresik, Jawa Timur 61176")</f>
        <v>Jl. Raya Wringinanom, Tanggungan, Lebaniwaras, Kec. Wringinanom, Kabupaten Gresik, Jawa Timur 61176</v>
      </c>
      <c r="W925" s="211" t="str">
        <f>IFERROR(__xludf.DUMMYFUNCTION("""COMPUTED_VALUE"""),"IN")</f>
        <v>IN</v>
      </c>
      <c r="X925" s="211"/>
      <c r="Z925" s="211" t="str">
        <f>IFERROR(__xludf.DUMMYFUNCTION("""COMPUTED_VALUE"""),"0825221082")</f>
        <v>0825221082</v>
      </c>
      <c r="AC925" s="211"/>
      <c r="AD925" s="211"/>
      <c r="AE925" s="211"/>
      <c r="AF925" s="211"/>
      <c r="AG925" s="211"/>
      <c r="AH925" s="211"/>
      <c r="AI925" s="211"/>
      <c r="AJ925" s="211"/>
      <c r="AL925" s="211"/>
      <c r="AM925" s="211"/>
      <c r="AN925" s="211"/>
      <c r="AO925" s="211"/>
      <c r="AP925" s="215"/>
      <c r="AQ925" s="218"/>
      <c r="AR925" s="211"/>
      <c r="AS925" s="211"/>
      <c r="AT925" s="211"/>
      <c r="AU925" s="211"/>
      <c r="AV925" s="211"/>
      <c r="AW925" s="211"/>
      <c r="AX925" s="211"/>
      <c r="AY925" s="211"/>
      <c r="AZ925" s="211"/>
      <c r="BB925" s="211"/>
      <c r="BC925" s="211"/>
      <c r="BD925" s="211"/>
      <c r="BE925" s="211"/>
      <c r="BF925" s="211"/>
      <c r="BG925" s="211"/>
      <c r="BH925" s="211"/>
      <c r="BI925" s="211"/>
    </row>
    <row r="926">
      <c r="A926" s="210" t="str">
        <f>IFERROR(__xludf.DUMMYFUNCTION("""COMPUTED_VALUE"""),"3fa935b9")</f>
        <v>3fa935b9</v>
      </c>
      <c r="B926" s="210" t="str">
        <f>IFERROR(__xludf.DUMMYFUNCTION("""COMPUTED_VALUE"""),"3fa935b9")</f>
        <v>3fa935b9</v>
      </c>
      <c r="C926" s="213">
        <f>IFERROR(__xludf.DUMMYFUNCTION("""COMPUTED_VALUE"""),45766.4875)</f>
        <v>45766.4875</v>
      </c>
      <c r="D926" s="211" t="str">
        <f>IFERROR(__xludf.DUMMYFUNCTION("""COMPUTED_VALUE"""),"ed2cc96a")</f>
        <v>ed2cc96a</v>
      </c>
      <c r="E926" s="211" t="str">
        <f>IFERROR(__xludf.DUMMYFUNCTION("""COMPUTED_VALUE"""),"Bengkel Dian Jaya")</f>
        <v>Bengkel Dian Jaya</v>
      </c>
      <c r="F926" s="211" t="str">
        <f>IFERROR(__xludf.DUMMYFUNCTION("""COMPUTED_VALUE"""),"8bdbe149")</f>
        <v>8bdbe149</v>
      </c>
      <c r="G926" s="211" t="str">
        <f>IFERROR(__xludf.DUMMYFUNCTION("""COMPUTED_VALUE"""),"Oksigen 6m3")</f>
        <v>Oksigen 6m3</v>
      </c>
      <c r="H926" s="214" t="str">
        <f>IFERROR(__xludf.DUMMYFUNCTION("""COMPUTED_VALUE"""),"IN")</f>
        <v>IN</v>
      </c>
      <c r="I926" s="214" t="str">
        <f>IFERROR(__xludf.DUMMYFUNCTION("""COMPUTED_VALUE"""),"EMPTY")</f>
        <v>EMPTY</v>
      </c>
      <c r="J926" s="211">
        <f>IFERROR(__xludf.DUMMYFUNCTION("""COMPUTED_VALUE"""),11.0)</f>
        <v>11</v>
      </c>
      <c r="K926" s="210" t="str">
        <f>IFERROR(__xludf.DUMMYFUNCTION("""COMPUTED_VALUE"""),"1150 1153 1149 1148 1103 11134 11130 1157 1191 1101 1106")</f>
        <v>1150 1153 1149 1148 1103 11134 11130 1157 1191 1101 1106</v>
      </c>
      <c r="L926" s="211">
        <f>IFERROR(__xludf.DUMMYFUNCTION("""COMPUTED_VALUE"""),0.0)</f>
        <v>0</v>
      </c>
      <c r="M926" s="211"/>
      <c r="N926" s="211"/>
      <c r="O926" s="211"/>
      <c r="Q926" s="210" t="str">
        <f>IFERROR(__xludf.DUMMYFUNCTION("""COMPUTED_VALUE"""),"06250533")</f>
        <v>06250533</v>
      </c>
      <c r="R926" s="210" t="str">
        <f>IFERROR(__xludf.DUMMYFUNCTION("""COMPUTED_VALUE"""),"06250533")</f>
        <v>06250533</v>
      </c>
      <c r="S926" s="211" t="str">
        <f>IFERROR(__xludf.DUMMYFUNCTION("""COMPUTED_VALUE"""),"ec231cc9")</f>
        <v>ec231cc9</v>
      </c>
      <c r="T926" s="211" t="str">
        <f>IFERROR(__xludf.DUMMYFUNCTION("""COMPUTED_VALUE"""),"Bpk. Kohir (Maintenance Velg)")</f>
        <v>Bpk. Kohir (Maintenance Velg)</v>
      </c>
      <c r="U926" s="215">
        <f>IFERROR(__xludf.DUMMYFUNCTION("""COMPUTED_VALUE"""),45833.35972222222)</f>
        <v>45833.35972</v>
      </c>
      <c r="V926" s="211" t="str">
        <f>IFERROR(__xludf.DUMMYFUNCTION("""COMPUTED_VALUE"""),"Jl. Lkr. Bypass Krian Timur, Sidogolong, Watugolong, Kec. Krian, Kabupaten Sidoarjo, Jawa Timur 61262")</f>
        <v>Jl. Lkr. Bypass Krian Timur, Sidogolong, Watugolong, Kec. Krian, Kabupaten Sidoarjo, Jawa Timur 61262</v>
      </c>
      <c r="W926" s="211" t="str">
        <f>IFERROR(__xludf.DUMMYFUNCTION("""COMPUTED_VALUE"""),"OUT")</f>
        <v>OUT</v>
      </c>
      <c r="X926" s="211"/>
      <c r="Z926" s="211" t="str">
        <f>IFERROR(__xludf.DUMMYFUNCTION("""COMPUTED_VALUE"""),"082561080")</f>
        <v>082561080</v>
      </c>
      <c r="AC926" s="211"/>
      <c r="AD926" s="211"/>
      <c r="AE926" s="211"/>
      <c r="AF926" s="211"/>
      <c r="AG926" s="211"/>
      <c r="AH926" s="211"/>
      <c r="AI926" s="211"/>
      <c r="AJ926" s="211"/>
      <c r="AL926" s="211"/>
      <c r="AM926" s="211"/>
      <c r="AN926" s="211"/>
      <c r="AO926" s="211"/>
      <c r="AP926" s="215"/>
      <c r="AQ926" s="218"/>
      <c r="AR926" s="211"/>
      <c r="AS926" s="211"/>
      <c r="AT926" s="211"/>
      <c r="AU926" s="211"/>
      <c r="AV926" s="211"/>
      <c r="AW926" s="211"/>
      <c r="AX926" s="211"/>
      <c r="AY926" s="211"/>
      <c r="AZ926" s="211"/>
      <c r="BB926" s="211"/>
      <c r="BC926" s="211"/>
      <c r="BD926" s="211"/>
      <c r="BE926" s="211"/>
      <c r="BF926" s="211"/>
      <c r="BG926" s="211"/>
      <c r="BH926" s="211"/>
      <c r="BI926" s="211"/>
    </row>
    <row r="927">
      <c r="A927" s="210" t="str">
        <f>IFERROR(__xludf.DUMMYFUNCTION("""COMPUTED_VALUE"""),"ae7a02fb")</f>
        <v>ae7a02fb</v>
      </c>
      <c r="B927" s="210" t="str">
        <f>IFERROR(__xludf.DUMMYFUNCTION("""COMPUTED_VALUE"""),"ae7a02fb")</f>
        <v>ae7a02fb</v>
      </c>
      <c r="C927" s="213">
        <f>IFERROR(__xludf.DUMMYFUNCTION("""COMPUTED_VALUE"""),45766.57361111111)</f>
        <v>45766.57361</v>
      </c>
      <c r="D927" s="211" t="str">
        <f>IFERROR(__xludf.DUMMYFUNCTION("""COMPUTED_VALUE"""),"01158be1")</f>
        <v>01158be1</v>
      </c>
      <c r="E927" s="211" t="str">
        <f>IFERROR(__xludf.DUMMYFUNCTION("""COMPUTED_VALUE"""),"GYF")</f>
        <v>GYF</v>
      </c>
      <c r="F927" s="211" t="str">
        <f>IFERROR(__xludf.DUMMYFUNCTION("""COMPUTED_VALUE"""),"8bdbe149")</f>
        <v>8bdbe149</v>
      </c>
      <c r="G927" s="211" t="str">
        <f>IFERROR(__xludf.DUMMYFUNCTION("""COMPUTED_VALUE"""),"Oksigen 6m3")</f>
        <v>Oksigen 6m3</v>
      </c>
      <c r="H927" s="214" t="str">
        <f>IFERROR(__xludf.DUMMYFUNCTION("""COMPUTED_VALUE"""),"IN")</f>
        <v>IN</v>
      </c>
      <c r="I927" s="214" t="str">
        <f>IFERROR(__xludf.DUMMYFUNCTION("""COMPUTED_VALUE"""),"EMPTY")</f>
        <v>EMPTY</v>
      </c>
      <c r="J927" s="211">
        <f>IFERROR(__xludf.DUMMYFUNCTION("""COMPUTED_VALUE"""),2.0)</f>
        <v>2</v>
      </c>
      <c r="K927" s="210" t="str">
        <f>IFERROR(__xludf.DUMMYFUNCTION("""COMPUTED_VALUE"""),"1146 11183")</f>
        <v>1146 11183</v>
      </c>
      <c r="L927" s="211">
        <f>IFERROR(__xludf.DUMMYFUNCTION("""COMPUTED_VALUE"""),0.0)</f>
        <v>0</v>
      </c>
      <c r="M927" s="211"/>
      <c r="N927" s="211"/>
      <c r="O927" s="211"/>
      <c r="Q927" s="210" t="str">
        <f>IFERROR(__xludf.DUMMYFUNCTION("""COMPUTED_VALUE"""),"06250534")</f>
        <v>06250534</v>
      </c>
      <c r="R927" s="210" t="str">
        <f>IFERROR(__xludf.DUMMYFUNCTION("""COMPUTED_VALUE"""),"06250534")</f>
        <v>06250534</v>
      </c>
      <c r="S927" s="211" t="str">
        <f>IFERROR(__xludf.DUMMYFUNCTION("""COMPUTED_VALUE"""),"785e0e07")</f>
        <v>785e0e07</v>
      </c>
      <c r="T927" s="211" t="str">
        <f>IFERROR(__xludf.DUMMYFUNCTION("""COMPUTED_VALUE"""),"Bpk. Sukirno (Bejo)")</f>
        <v>Bpk. Sukirno (Bejo)</v>
      </c>
      <c r="U927" s="215">
        <f>IFERROR(__xludf.DUMMYFUNCTION("""COMPUTED_VALUE"""),45833.370833333334)</f>
        <v>45833.37083</v>
      </c>
      <c r="V927" s="211" t="str">
        <f>IFERROR(__xludf.DUMMYFUNCTION("""COMPUTED_VALUE"""),"Krajan I, Wringinanom, Kec. Wringinanom, Kabupaten Gresik, Jawa Timur 61176")</f>
        <v>Krajan I, Wringinanom, Kec. Wringinanom, Kabupaten Gresik, Jawa Timur 61176</v>
      </c>
      <c r="W927" s="211" t="str">
        <f>IFERROR(__xludf.DUMMYFUNCTION("""COMPUTED_VALUE"""),"OUT")</f>
        <v>OUT</v>
      </c>
      <c r="X927" s="211"/>
      <c r="Z927" s="211" t="str">
        <f>IFERROR(__xludf.DUMMYFUNCTION("""COMPUTED_VALUE"""),"082531079")</f>
        <v>082531079</v>
      </c>
      <c r="AC927" s="211"/>
      <c r="AD927" s="211"/>
      <c r="AE927" s="211"/>
      <c r="AF927" s="211"/>
      <c r="AG927" s="211"/>
      <c r="AH927" s="211"/>
      <c r="AI927" s="211"/>
      <c r="AJ927" s="211"/>
      <c r="AL927" s="211"/>
      <c r="AM927" s="211"/>
      <c r="AN927" s="211"/>
      <c r="AO927" s="211"/>
      <c r="AP927" s="215"/>
      <c r="AQ927" s="218"/>
      <c r="AR927" s="211"/>
      <c r="AS927" s="211"/>
      <c r="AT927" s="211"/>
      <c r="AU927" s="211"/>
      <c r="AV927" s="211"/>
      <c r="AW927" s="211"/>
      <c r="AX927" s="211"/>
      <c r="AY927" s="211"/>
      <c r="AZ927" s="211"/>
      <c r="BB927" s="211"/>
      <c r="BC927" s="211"/>
      <c r="BD927" s="211"/>
      <c r="BE927" s="211"/>
      <c r="BF927" s="211"/>
      <c r="BG927" s="211"/>
      <c r="BH927" s="211"/>
      <c r="BI927" s="211"/>
    </row>
    <row r="928">
      <c r="A928" s="210" t="str">
        <f>IFERROR(__xludf.DUMMYFUNCTION("""COMPUTED_VALUE"""),"c9922b2e")</f>
        <v>c9922b2e</v>
      </c>
      <c r="B928" s="210" t="str">
        <f>IFERROR(__xludf.DUMMYFUNCTION("""COMPUTED_VALUE"""),"c9922b2e")</f>
        <v>c9922b2e</v>
      </c>
      <c r="C928" s="213">
        <f>IFERROR(__xludf.DUMMYFUNCTION("""COMPUTED_VALUE"""),45766.57361111111)</f>
        <v>45766.57361</v>
      </c>
      <c r="D928" s="211" t="str">
        <f>IFERROR(__xludf.DUMMYFUNCTION("""COMPUTED_VALUE"""),"b2b5f2c5")</f>
        <v>b2b5f2c5</v>
      </c>
      <c r="E928" s="211" t="str">
        <f>IFERROR(__xludf.DUMMYFUNCTION("""COMPUTED_VALUE"""),"Bengkel Las Bpk. Ari")</f>
        <v>Bengkel Las Bpk. Ari</v>
      </c>
      <c r="F928" s="211" t="str">
        <f>IFERROR(__xludf.DUMMYFUNCTION("""COMPUTED_VALUE"""),"8bdbe149")</f>
        <v>8bdbe149</v>
      </c>
      <c r="G928" s="211" t="str">
        <f>IFERROR(__xludf.DUMMYFUNCTION("""COMPUTED_VALUE"""),"Oksigen 6m3")</f>
        <v>Oksigen 6m3</v>
      </c>
      <c r="H928" s="214" t="str">
        <f>IFERROR(__xludf.DUMMYFUNCTION("""COMPUTED_VALUE"""),"IN")</f>
        <v>IN</v>
      </c>
      <c r="I928" s="214" t="str">
        <f>IFERROR(__xludf.DUMMYFUNCTION("""COMPUTED_VALUE"""),"EMPTY")</f>
        <v>EMPTY</v>
      </c>
      <c r="J928" s="211">
        <f>IFERROR(__xludf.DUMMYFUNCTION("""COMPUTED_VALUE"""),3.0)</f>
        <v>3</v>
      </c>
      <c r="K928" s="210" t="str">
        <f>IFERROR(__xludf.DUMMYFUNCTION("""COMPUTED_VALUE"""),"11232 1130 11178")</f>
        <v>11232 1130 11178</v>
      </c>
      <c r="L928" s="211">
        <f>IFERROR(__xludf.DUMMYFUNCTION("""COMPUTED_VALUE"""),0.0)</f>
        <v>0</v>
      </c>
      <c r="M928" s="211"/>
      <c r="N928" s="211"/>
      <c r="O928" s="211"/>
      <c r="Q928" s="210" t="str">
        <f>IFERROR(__xludf.DUMMYFUNCTION("""COMPUTED_VALUE"""),"06250535")</f>
        <v>06250535</v>
      </c>
      <c r="R928" s="210" t="str">
        <f>IFERROR(__xludf.DUMMYFUNCTION("""COMPUTED_VALUE"""),"06250535")</f>
        <v>06250535</v>
      </c>
      <c r="S928" s="211" t="str">
        <f>IFERROR(__xludf.DUMMYFUNCTION("""COMPUTED_VALUE"""),"2d88931c")</f>
        <v>2d88931c</v>
      </c>
      <c r="T928" s="211" t="str">
        <f>IFERROR(__xludf.DUMMYFUNCTION("""COMPUTED_VALUE"""),"PT Dunia Berkat Marga Mulya")</f>
        <v>PT Dunia Berkat Marga Mulya</v>
      </c>
      <c r="U928" s="215">
        <f>IFERROR(__xludf.DUMMYFUNCTION("""COMPUTED_VALUE"""),45833.42222222222)</f>
        <v>45833.42222</v>
      </c>
      <c r="V928" s="211" t="str">
        <f>IFERROR(__xludf.DUMMYFUNCTION("""COMPUTED_VALUE"""),"JL JABARAN, WATESARI, BALONGBENDO, SIDOARJO, JAWA TIMUR")</f>
        <v>JL JABARAN, WATESARI, BALONGBENDO, SIDOARJO, JAWA TIMUR</v>
      </c>
      <c r="W928" s="211" t="str">
        <f>IFERROR(__xludf.DUMMYFUNCTION("""COMPUTED_VALUE"""),"OUT")</f>
        <v>OUT</v>
      </c>
      <c r="X928" s="211"/>
      <c r="Z928" s="211" t="str">
        <f>IFERROR(__xludf.DUMMYFUNCTION("""COMPUTED_VALUE"""),"0825371077")</f>
        <v>0825371077</v>
      </c>
      <c r="AC928" s="211"/>
      <c r="AD928" s="211"/>
      <c r="AE928" s="211"/>
      <c r="AF928" s="211"/>
      <c r="AG928" s="211"/>
      <c r="AH928" s="211"/>
      <c r="AI928" s="211"/>
      <c r="AJ928" s="211"/>
      <c r="AL928" s="211"/>
      <c r="AM928" s="211"/>
      <c r="AN928" s="211"/>
      <c r="AO928" s="211"/>
      <c r="AP928" s="215"/>
      <c r="AQ928" s="218"/>
      <c r="AR928" s="211"/>
      <c r="AS928" s="211"/>
      <c r="AT928" s="211"/>
      <c r="AU928" s="211"/>
      <c r="AV928" s="211"/>
      <c r="AW928" s="211"/>
      <c r="AX928" s="211"/>
      <c r="AY928" s="211"/>
      <c r="AZ928" s="211"/>
      <c r="BB928" s="211"/>
      <c r="BC928" s="211"/>
      <c r="BD928" s="211"/>
      <c r="BE928" s="211"/>
      <c r="BF928" s="211"/>
      <c r="BG928" s="211"/>
      <c r="BH928" s="211"/>
      <c r="BI928" s="211"/>
    </row>
    <row r="929">
      <c r="A929" s="210" t="str">
        <f>IFERROR(__xludf.DUMMYFUNCTION("""COMPUTED_VALUE"""),"04250379")</f>
        <v>04250379</v>
      </c>
      <c r="B929" s="210" t="str">
        <f>IFERROR(__xludf.DUMMYFUNCTION("""COMPUTED_VALUE"""),"04250379")</f>
        <v>04250379</v>
      </c>
      <c r="C929" s="213">
        <f>IFERROR(__xludf.DUMMYFUNCTION("""COMPUTED_VALUE"""),45768.33611111111)</f>
        <v>45768.33611</v>
      </c>
      <c r="D929" s="211" t="str">
        <f>IFERROR(__xludf.DUMMYFUNCTION("""COMPUTED_VALUE"""),"3fec37df")</f>
        <v>3fec37df</v>
      </c>
      <c r="E929" s="211" t="str">
        <f>IFERROR(__xludf.DUMMYFUNCTION("""COMPUTED_VALUE"""),"PT Jatim Abadi Perkasa Steel")</f>
        <v>PT Jatim Abadi Perkasa Steel</v>
      </c>
      <c r="F929" s="211" t="str">
        <f>IFERROR(__xludf.DUMMYFUNCTION("""COMPUTED_VALUE"""),"b7a8fff1")</f>
        <v>b7a8fff1</v>
      </c>
      <c r="G929" s="211" t="str">
        <f>IFERROR(__xludf.DUMMYFUNCTION("""COMPUTED_VALUE"""),"LPG 50kg")</f>
        <v>LPG 50kg</v>
      </c>
      <c r="H929" s="214" t="str">
        <f>IFERROR(__xludf.DUMMYFUNCTION("""COMPUTED_VALUE"""),"OUT")</f>
        <v>OUT</v>
      </c>
      <c r="I929" s="214" t="str">
        <f>IFERROR(__xludf.DUMMYFUNCTION("""COMPUTED_VALUE"""),"NORMAL")</f>
        <v>NORMAL</v>
      </c>
      <c r="J929" s="211">
        <f>IFERROR(__xludf.DUMMYFUNCTION("""COMPUTED_VALUE"""),5.0)</f>
        <v>5</v>
      </c>
      <c r="K929" s="211"/>
      <c r="L929" s="211">
        <f>IFERROR(__xludf.DUMMYFUNCTION("""COMPUTED_VALUE"""),909909.9099)</f>
        <v>909909.9099</v>
      </c>
      <c r="M929" s="211"/>
      <c r="N929" s="211"/>
      <c r="O929" s="211"/>
      <c r="Q929" s="210" t="str">
        <f>IFERROR(__xludf.DUMMYFUNCTION("""COMPUTED_VALUE"""),"06250536")</f>
        <v>06250536</v>
      </c>
      <c r="R929" s="210" t="str">
        <f>IFERROR(__xludf.DUMMYFUNCTION("""COMPUTED_VALUE"""),"06250536")</f>
        <v>06250536</v>
      </c>
      <c r="S929" s="211" t="str">
        <f>IFERROR(__xludf.DUMMYFUNCTION("""COMPUTED_VALUE"""),"d78b2eaf")</f>
        <v>d78b2eaf</v>
      </c>
      <c r="T929" s="211" t="str">
        <f>IFERROR(__xludf.DUMMYFUNCTION("""COMPUTED_VALUE"""),"PT Sinar Indogreen Kencana")</f>
        <v>PT Sinar Indogreen Kencana</v>
      </c>
      <c r="U929" s="215">
        <f>IFERROR(__xludf.DUMMYFUNCTION("""COMPUTED_VALUE"""),45833.42291666666)</f>
        <v>45833.42292</v>
      </c>
      <c r="V929" s="211" t="str">
        <f>IFERROR(__xludf.DUMMYFUNCTION("""COMPUTED_VALUE"""),"Jl. Raya Ponokawan 8b RT/001 RW/002, Ponokawan, Krian, Sidoarjo")</f>
        <v>Jl. Raya Ponokawan 8b RT/001 RW/002, Ponokawan, Krian, Sidoarjo</v>
      </c>
      <c r="W929" s="211" t="str">
        <f>IFERROR(__xludf.DUMMYFUNCTION("""COMPUTED_VALUE"""),"OUT")</f>
        <v>OUT</v>
      </c>
      <c r="X929" s="211"/>
      <c r="Z929" s="211" t="str">
        <f>IFERROR(__xludf.DUMMYFUNCTION("""COMPUTED_VALUE"""),"0825211076")</f>
        <v>0825211076</v>
      </c>
      <c r="AC929" s="211"/>
      <c r="AD929" s="211"/>
      <c r="AE929" s="211"/>
      <c r="AF929" s="211"/>
      <c r="AG929" s="211"/>
      <c r="AH929" s="211"/>
      <c r="AI929" s="211"/>
      <c r="AJ929" s="211"/>
      <c r="AL929" s="211"/>
      <c r="AM929" s="211"/>
      <c r="AN929" s="211"/>
      <c r="AO929" s="211"/>
      <c r="AP929" s="215"/>
      <c r="AQ929" s="218"/>
      <c r="AR929" s="211"/>
      <c r="AS929" s="211"/>
      <c r="AT929" s="211"/>
      <c r="AU929" s="211"/>
      <c r="AV929" s="211"/>
      <c r="AW929" s="211"/>
      <c r="AX929" s="211"/>
      <c r="AY929" s="211"/>
      <c r="AZ929" s="211"/>
      <c r="BB929" s="211"/>
      <c r="BC929" s="211"/>
      <c r="BD929" s="211"/>
      <c r="BE929" s="211"/>
      <c r="BF929" s="211"/>
      <c r="BG929" s="211"/>
      <c r="BH929" s="211"/>
      <c r="BI929" s="211"/>
    </row>
    <row r="930">
      <c r="A930" s="210" t="str">
        <f>IFERROR(__xludf.DUMMYFUNCTION("""COMPUTED_VALUE"""),"04250380")</f>
        <v>04250380</v>
      </c>
      <c r="B930" s="210" t="str">
        <f>IFERROR(__xludf.DUMMYFUNCTION("""COMPUTED_VALUE"""),"04250380")</f>
        <v>04250380</v>
      </c>
      <c r="C930" s="213">
        <f>IFERROR(__xludf.DUMMYFUNCTION("""COMPUTED_VALUE"""),45768.37708333333)</f>
        <v>45768.37708</v>
      </c>
      <c r="D930" s="211" t="str">
        <f>IFERROR(__xludf.DUMMYFUNCTION("""COMPUTED_VALUE"""),"ce83e171")</f>
        <v>ce83e171</v>
      </c>
      <c r="E930" s="211" t="str">
        <f>IFERROR(__xludf.DUMMYFUNCTION("""COMPUTED_VALUE"""),"Bpk. Sulaiman")</f>
        <v>Bpk. Sulaiman</v>
      </c>
      <c r="F930" s="211" t="str">
        <f>IFERROR(__xludf.DUMMYFUNCTION("""COMPUTED_VALUE"""),"8bdbe149")</f>
        <v>8bdbe149</v>
      </c>
      <c r="G930" s="211" t="str">
        <f>IFERROR(__xludf.DUMMYFUNCTION("""COMPUTED_VALUE"""),"Oksigen 6m3")</f>
        <v>Oksigen 6m3</v>
      </c>
      <c r="H930" s="214" t="str">
        <f>IFERROR(__xludf.DUMMYFUNCTION("""COMPUTED_VALUE"""),"OUT")</f>
        <v>OUT</v>
      </c>
      <c r="I930" s="214" t="str">
        <f>IFERROR(__xludf.DUMMYFUNCTION("""COMPUTED_VALUE"""),"NORMAL")</f>
        <v>NORMAL</v>
      </c>
      <c r="J930" s="211">
        <f>IFERROR(__xludf.DUMMYFUNCTION("""COMPUTED_VALUE"""),2.0)</f>
        <v>2</v>
      </c>
      <c r="K930" s="210" t="str">
        <f>IFERROR(__xludf.DUMMYFUNCTION("""COMPUTED_VALUE"""),"11275 11278")</f>
        <v>11275 11278</v>
      </c>
      <c r="L930" s="211">
        <f>IFERROR(__xludf.DUMMYFUNCTION("""COMPUTED_VALUE"""),55000.0)</f>
        <v>55000</v>
      </c>
      <c r="M930" s="211"/>
      <c r="N930" s="211"/>
      <c r="O930" s="211"/>
      <c r="Q930" s="210" t="str">
        <f>IFERROR(__xludf.DUMMYFUNCTION("""COMPUTED_VALUE"""),"596bb75d")</f>
        <v>596bb75d</v>
      </c>
      <c r="R930" s="210" t="str">
        <f>IFERROR(__xludf.DUMMYFUNCTION("""COMPUTED_VALUE"""),"596bb75d")</f>
        <v>596bb75d</v>
      </c>
      <c r="S930" s="211" t="str">
        <f>IFERROR(__xludf.DUMMYFUNCTION("""COMPUTED_VALUE"""),"d78b2eaf")</f>
        <v>d78b2eaf</v>
      </c>
      <c r="T930" s="211" t="str">
        <f>IFERROR(__xludf.DUMMYFUNCTION("""COMPUTED_VALUE"""),"PT Sinar Indogreen Kencana")</f>
        <v>PT Sinar Indogreen Kencana</v>
      </c>
      <c r="U930" s="215">
        <f>IFERROR(__xludf.DUMMYFUNCTION("""COMPUTED_VALUE"""),45833.552777777775)</f>
        <v>45833.55278</v>
      </c>
      <c r="V930" s="211" t="str">
        <f>IFERROR(__xludf.DUMMYFUNCTION("""COMPUTED_VALUE"""),"Jl. Raya Ponokawan 8b RT/001 RW/002, Ponokawan, Krian, Sidoarjo")</f>
        <v>Jl. Raya Ponokawan 8b RT/001 RW/002, Ponokawan, Krian, Sidoarjo</v>
      </c>
      <c r="W930" s="211" t="str">
        <f>IFERROR(__xludf.DUMMYFUNCTION("""COMPUTED_VALUE"""),"IN")</f>
        <v>IN</v>
      </c>
      <c r="X930" s="211"/>
      <c r="Z930" s="211" t="str">
        <f>IFERROR(__xludf.DUMMYFUNCTION("""COMPUTED_VALUE"""),"08250618")</f>
        <v>08250618</v>
      </c>
      <c r="AC930" s="211"/>
      <c r="AD930" s="211"/>
      <c r="AE930" s="211"/>
      <c r="AF930" s="211"/>
      <c r="AG930" s="211"/>
      <c r="AH930" s="211"/>
      <c r="AI930" s="211"/>
      <c r="AJ930" s="211"/>
      <c r="AL930" s="211"/>
      <c r="AM930" s="211"/>
      <c r="AN930" s="211"/>
      <c r="AO930" s="211"/>
      <c r="AP930" s="215"/>
      <c r="AQ930" s="218"/>
      <c r="AR930" s="211"/>
      <c r="AS930" s="211"/>
      <c r="AT930" s="211"/>
      <c r="AU930" s="211"/>
      <c r="AV930" s="211"/>
      <c r="AW930" s="211"/>
      <c r="AX930" s="211"/>
      <c r="AY930" s="211"/>
      <c r="AZ930" s="211"/>
      <c r="BB930" s="211"/>
      <c r="BC930" s="211"/>
      <c r="BD930" s="211"/>
      <c r="BE930" s="211"/>
      <c r="BF930" s="211"/>
      <c r="BG930" s="211"/>
      <c r="BH930" s="211"/>
      <c r="BI930" s="211"/>
    </row>
    <row r="931">
      <c r="A931" s="210" t="str">
        <f>IFERROR(__xludf.DUMMYFUNCTION("""COMPUTED_VALUE"""),"ce84ecbf")</f>
        <v>ce84ecbf</v>
      </c>
      <c r="B931" s="210" t="str">
        <f>IFERROR(__xludf.DUMMYFUNCTION("""COMPUTED_VALUE"""),"ce84ecbf")</f>
        <v>ce84ecbf</v>
      </c>
      <c r="C931" s="213">
        <f>IFERROR(__xludf.DUMMYFUNCTION("""COMPUTED_VALUE"""),45768.4375)</f>
        <v>45768.4375</v>
      </c>
      <c r="D931" s="211" t="str">
        <f>IFERROR(__xludf.DUMMYFUNCTION("""COMPUTED_VALUE"""),"3fec37df")</f>
        <v>3fec37df</v>
      </c>
      <c r="E931" s="211" t="str">
        <f>IFERROR(__xludf.DUMMYFUNCTION("""COMPUTED_VALUE"""),"PT Jatim Abadi Perkasa Steel")</f>
        <v>PT Jatim Abadi Perkasa Steel</v>
      </c>
      <c r="F931" s="211" t="str">
        <f>IFERROR(__xludf.DUMMYFUNCTION("""COMPUTED_VALUE"""),"b7a8fff1")</f>
        <v>b7a8fff1</v>
      </c>
      <c r="G931" s="211" t="str">
        <f>IFERROR(__xludf.DUMMYFUNCTION("""COMPUTED_VALUE"""),"LPG 50kg")</f>
        <v>LPG 50kg</v>
      </c>
      <c r="H931" s="214" t="str">
        <f>IFERROR(__xludf.DUMMYFUNCTION("""COMPUTED_VALUE"""),"IN")</f>
        <v>IN</v>
      </c>
      <c r="I931" s="214" t="str">
        <f>IFERROR(__xludf.DUMMYFUNCTION("""COMPUTED_VALUE"""),"EMPTY")</f>
        <v>EMPTY</v>
      </c>
      <c r="J931" s="211">
        <f>IFERROR(__xludf.DUMMYFUNCTION("""COMPUTED_VALUE"""),5.0)</f>
        <v>5</v>
      </c>
      <c r="K931" s="211"/>
      <c r="L931" s="211">
        <f>IFERROR(__xludf.DUMMYFUNCTION("""COMPUTED_VALUE"""),0.0)</f>
        <v>0</v>
      </c>
      <c r="M931" s="211"/>
      <c r="N931" s="211"/>
      <c r="O931" s="211"/>
      <c r="Q931" s="210" t="str">
        <f>IFERROR(__xludf.DUMMYFUNCTION("""COMPUTED_VALUE"""),"6d0dab5a")</f>
        <v>6d0dab5a</v>
      </c>
      <c r="R931" s="210" t="str">
        <f>IFERROR(__xludf.DUMMYFUNCTION("""COMPUTED_VALUE"""),"6d0dab5a")</f>
        <v>6d0dab5a</v>
      </c>
      <c r="S931" s="211" t="str">
        <f>IFERROR(__xludf.DUMMYFUNCTION("""COMPUTED_VALUE"""),"ec231cc9")</f>
        <v>ec231cc9</v>
      </c>
      <c r="T931" s="211" t="str">
        <f>IFERROR(__xludf.DUMMYFUNCTION("""COMPUTED_VALUE"""),"Bpk. Kohir (Maintenance Velg)")</f>
        <v>Bpk. Kohir (Maintenance Velg)</v>
      </c>
      <c r="U931" s="215">
        <f>IFERROR(__xludf.DUMMYFUNCTION("""COMPUTED_VALUE"""),45833.55347222222)</f>
        <v>45833.55347</v>
      </c>
      <c r="V931" s="211" t="str">
        <f>IFERROR(__xludf.DUMMYFUNCTION("""COMPUTED_VALUE"""),"Jl. Lkr. Bypass Krian Timur, Sidogolong, Watugolong, Kec. Krian, Kabupaten Sidoarjo, Jawa Timur 61262")</f>
        <v>Jl. Lkr. Bypass Krian Timur, Sidogolong, Watugolong, Kec. Krian, Kabupaten Sidoarjo, Jawa Timur 61262</v>
      </c>
      <c r="W931" s="211" t="str">
        <f>IFERROR(__xludf.DUMMYFUNCTION("""COMPUTED_VALUE"""),"IN")</f>
        <v>IN</v>
      </c>
      <c r="X931" s="211"/>
      <c r="Z931" s="211" t="str">
        <f>IFERROR(__xludf.DUMMYFUNCTION("""COMPUTED_VALUE"""),"07250618")</f>
        <v>07250618</v>
      </c>
      <c r="AC931" s="211"/>
      <c r="AD931" s="211"/>
      <c r="AE931" s="211"/>
      <c r="AF931" s="211"/>
      <c r="AG931" s="211"/>
      <c r="AH931" s="211"/>
      <c r="AI931" s="211"/>
      <c r="AJ931" s="211"/>
      <c r="AL931" s="211"/>
      <c r="AM931" s="211"/>
      <c r="AN931" s="211"/>
      <c r="AO931" s="211"/>
      <c r="AP931" s="215"/>
      <c r="AQ931" s="218"/>
      <c r="AR931" s="211"/>
      <c r="AS931" s="211"/>
      <c r="AT931" s="211"/>
      <c r="AU931" s="211"/>
      <c r="AV931" s="211"/>
      <c r="AW931" s="211"/>
      <c r="AX931" s="211"/>
      <c r="AY931" s="211"/>
      <c r="AZ931" s="211"/>
      <c r="BB931" s="211"/>
      <c r="BC931" s="211"/>
      <c r="BD931" s="211"/>
      <c r="BE931" s="211"/>
      <c r="BF931" s="211"/>
      <c r="BG931" s="211"/>
      <c r="BH931" s="211"/>
      <c r="BI931" s="211"/>
    </row>
    <row r="932">
      <c r="A932" s="210" t="str">
        <f>IFERROR(__xludf.DUMMYFUNCTION("""COMPUTED_VALUE"""),"76dfdf67")</f>
        <v>76dfdf67</v>
      </c>
      <c r="B932" s="210" t="str">
        <f>IFERROR(__xludf.DUMMYFUNCTION("""COMPUTED_VALUE"""),"76dfdf67")</f>
        <v>76dfdf67</v>
      </c>
      <c r="C932" s="213">
        <f>IFERROR(__xludf.DUMMYFUNCTION("""COMPUTED_VALUE"""),45768.509722222225)</f>
        <v>45768.50972</v>
      </c>
      <c r="D932" s="211" t="str">
        <f>IFERROR(__xludf.DUMMYFUNCTION("""COMPUTED_VALUE"""),"e86baf3b")</f>
        <v>e86baf3b</v>
      </c>
      <c r="E932" s="211" t="str">
        <f>IFERROR(__xludf.DUMMYFUNCTION("""COMPUTED_VALUE"""),"PT GEMILANG CIPTA WAWASAN")</f>
        <v>PT GEMILANG CIPTA WAWASAN</v>
      </c>
      <c r="F932" s="211" t="str">
        <f>IFERROR(__xludf.DUMMYFUNCTION("""COMPUTED_VALUE"""),"8bdbe149")</f>
        <v>8bdbe149</v>
      </c>
      <c r="G932" s="211" t="str">
        <f>IFERROR(__xludf.DUMMYFUNCTION("""COMPUTED_VALUE"""),"Oksigen 6m3")</f>
        <v>Oksigen 6m3</v>
      </c>
      <c r="H932" s="214" t="str">
        <f>IFERROR(__xludf.DUMMYFUNCTION("""COMPUTED_VALUE"""),"IN")</f>
        <v>IN</v>
      </c>
      <c r="I932" s="214" t="str">
        <f>IFERROR(__xludf.DUMMYFUNCTION("""COMPUTED_VALUE"""),"EMPTY")</f>
        <v>EMPTY</v>
      </c>
      <c r="J932" s="211">
        <f>IFERROR(__xludf.DUMMYFUNCTION("""COMPUTED_VALUE"""),15.0)</f>
        <v>15</v>
      </c>
      <c r="K932" s="210" t="str">
        <f>IFERROR(__xludf.DUMMYFUNCTION("""COMPUTED_VALUE"""),"1147 11126 1126 11109 1120 11204 11201 11185 11198 1132 11165 11111 1156 11175 11144")</f>
        <v>1147 11126 1126 11109 1120 11204 11201 11185 11198 1132 11165 11111 1156 11175 11144</v>
      </c>
      <c r="L932" s="211">
        <f>IFERROR(__xludf.DUMMYFUNCTION("""COMPUTED_VALUE"""),0.0)</f>
        <v>0</v>
      </c>
      <c r="M932" s="211"/>
      <c r="N932" s="211"/>
      <c r="O932" s="211"/>
      <c r="Q932" s="210" t="str">
        <f>IFERROR(__xludf.DUMMYFUNCTION("""COMPUTED_VALUE"""),"9a004795")</f>
        <v>9a004795</v>
      </c>
      <c r="R932" s="210" t="str">
        <f>IFERROR(__xludf.DUMMYFUNCTION("""COMPUTED_VALUE"""),"9a004795")</f>
        <v>9a004795</v>
      </c>
      <c r="S932" s="211" t="str">
        <f>IFERROR(__xludf.DUMMYFUNCTION("""COMPUTED_VALUE"""),"785e0e07")</f>
        <v>785e0e07</v>
      </c>
      <c r="T932" s="211" t="str">
        <f>IFERROR(__xludf.DUMMYFUNCTION("""COMPUTED_VALUE"""),"Bpk. Sukirno (Bejo)")</f>
        <v>Bpk. Sukirno (Bejo)</v>
      </c>
      <c r="U932" s="215">
        <f>IFERROR(__xludf.DUMMYFUNCTION("""COMPUTED_VALUE"""),45833.55416666667)</f>
        <v>45833.55417</v>
      </c>
      <c r="V932" s="211" t="str">
        <f>IFERROR(__xludf.DUMMYFUNCTION("""COMPUTED_VALUE"""),"Krajan I, Wringinanom, Kec. Wringinanom, Kabupaten Gresik, Jawa Timur 61176")</f>
        <v>Krajan I, Wringinanom, Kec. Wringinanom, Kabupaten Gresik, Jawa Timur 61176</v>
      </c>
      <c r="W932" s="211" t="str">
        <f>IFERROR(__xludf.DUMMYFUNCTION("""COMPUTED_VALUE"""),"IN")</f>
        <v>IN</v>
      </c>
      <c r="X932" s="211"/>
      <c r="Z932" s="211" t="str">
        <f>IFERROR(__xludf.DUMMYFUNCTION("""COMPUTED_VALUE"""),"07250616")</f>
        <v>07250616</v>
      </c>
      <c r="AC932" s="211"/>
      <c r="AD932" s="211"/>
      <c r="AE932" s="211"/>
      <c r="AF932" s="211"/>
      <c r="AG932" s="211"/>
      <c r="AH932" s="211"/>
      <c r="AI932" s="211"/>
      <c r="AJ932" s="211"/>
      <c r="AL932" s="211"/>
      <c r="AM932" s="211"/>
      <c r="AN932" s="211"/>
      <c r="AO932" s="211"/>
      <c r="AP932" s="215"/>
      <c r="AQ932" s="218"/>
      <c r="AR932" s="211"/>
      <c r="AS932" s="211"/>
      <c r="AT932" s="211"/>
      <c r="AU932" s="211"/>
      <c r="AV932" s="211"/>
      <c r="AW932" s="211"/>
      <c r="AX932" s="211"/>
      <c r="AY932" s="211"/>
      <c r="AZ932" s="211"/>
      <c r="BB932" s="211"/>
      <c r="BC932" s="211"/>
      <c r="BD932" s="211"/>
      <c r="BE932" s="211"/>
      <c r="BF932" s="211"/>
      <c r="BG932" s="211"/>
      <c r="BH932" s="211"/>
      <c r="BI932" s="211"/>
    </row>
    <row r="933">
      <c r="A933" s="210" t="str">
        <f>IFERROR(__xludf.DUMMYFUNCTION("""COMPUTED_VALUE"""),"76dfdf67")</f>
        <v>76dfdf67</v>
      </c>
      <c r="B933" s="210" t="str">
        <f>IFERROR(__xludf.DUMMYFUNCTION("""COMPUTED_VALUE"""),"76dfdf67")</f>
        <v>76dfdf67</v>
      </c>
      <c r="C933" s="213">
        <f>IFERROR(__xludf.DUMMYFUNCTION("""COMPUTED_VALUE"""),45768.51180555556)</f>
        <v>45768.51181</v>
      </c>
      <c r="D933" s="211" t="str">
        <f>IFERROR(__xludf.DUMMYFUNCTION("""COMPUTED_VALUE"""),"e86baf3b")</f>
        <v>e86baf3b</v>
      </c>
      <c r="E933" s="211" t="str">
        <f>IFERROR(__xludf.DUMMYFUNCTION("""COMPUTED_VALUE"""),"PT GEMILANG CIPTA WAWASAN")</f>
        <v>PT GEMILANG CIPTA WAWASAN</v>
      </c>
      <c r="F933" s="211" t="str">
        <f>IFERROR(__xludf.DUMMYFUNCTION("""COMPUTED_VALUE"""),"66af7c72")</f>
        <v>66af7c72</v>
      </c>
      <c r="G933" s="211" t="str">
        <f>IFERROR(__xludf.DUMMYFUNCTION("""COMPUTED_VALUE"""),"Argon 6m3")</f>
        <v>Argon 6m3</v>
      </c>
      <c r="H933" s="214" t="str">
        <f>IFERROR(__xludf.DUMMYFUNCTION("""COMPUTED_VALUE"""),"IN")</f>
        <v>IN</v>
      </c>
      <c r="I933" s="214" t="str">
        <f>IFERROR(__xludf.DUMMYFUNCTION("""COMPUTED_VALUE"""),"EMPTY")</f>
        <v>EMPTY</v>
      </c>
      <c r="J933" s="211">
        <f>IFERROR(__xludf.DUMMYFUNCTION("""COMPUTED_VALUE"""),1.0)</f>
        <v>1</v>
      </c>
      <c r="K933" s="210" t="str">
        <f>IFERROR(__xludf.DUMMYFUNCTION("""COMPUTED_VALUE"""),"11148")</f>
        <v>11148</v>
      </c>
      <c r="L933" s="211">
        <f>IFERROR(__xludf.DUMMYFUNCTION("""COMPUTED_VALUE"""),0.0)</f>
        <v>0</v>
      </c>
      <c r="M933" s="211"/>
      <c r="N933" s="211"/>
      <c r="O933" s="211"/>
      <c r="Q933" s="210" t="str">
        <f>IFERROR(__xludf.DUMMYFUNCTION("""COMPUTED_VALUE"""),"06250537")</f>
        <v>06250537</v>
      </c>
      <c r="R933" s="210" t="str">
        <f>IFERROR(__xludf.DUMMYFUNCTION("""COMPUTED_VALUE"""),"06250537")</f>
        <v>06250537</v>
      </c>
      <c r="S933" s="211" t="str">
        <f>IFERROR(__xludf.DUMMYFUNCTION("""COMPUTED_VALUE"""),"5f23ba17")</f>
        <v>5f23ba17</v>
      </c>
      <c r="T933" s="211" t="str">
        <f>IFERROR(__xludf.DUMMYFUNCTION("""COMPUTED_VALUE"""),"Bpk. Joko (Gresik)")</f>
        <v>Bpk. Joko (Gresik)</v>
      </c>
      <c r="U933" s="215">
        <f>IFERROR(__xludf.DUMMYFUNCTION("""COMPUTED_VALUE"""),45833.59930555556)</f>
        <v>45833.59931</v>
      </c>
      <c r="V933" s="211" t="str">
        <f>IFERROR(__xludf.DUMMYFUNCTION("""COMPUTED_VALUE"""),"Tanggungan, Lebaniwaras, Kec. Wringinanom, Kabupaten Gresik, Jawa Timur")</f>
        <v>Tanggungan, Lebaniwaras, Kec. Wringinanom, Kabupaten Gresik, Jawa Timur</v>
      </c>
      <c r="W933" s="211" t="str">
        <f>IFERROR(__xludf.DUMMYFUNCTION("""COMPUTED_VALUE"""),"OUT")</f>
        <v>OUT</v>
      </c>
      <c r="X933" s="211"/>
      <c r="Z933" s="211" t="str">
        <f>IFERROR(__xludf.DUMMYFUNCTION("""COMPUTED_VALUE"""),"07250617")</f>
        <v>07250617</v>
      </c>
      <c r="AC933" s="211"/>
      <c r="AD933" s="211"/>
      <c r="AE933" s="211"/>
      <c r="AF933" s="211"/>
      <c r="AG933" s="211"/>
      <c r="AH933" s="211"/>
      <c r="AI933" s="211"/>
      <c r="AJ933" s="211"/>
      <c r="AL933" s="211"/>
      <c r="AM933" s="211"/>
      <c r="AN933" s="211"/>
      <c r="AO933" s="211"/>
      <c r="AP933" s="215"/>
      <c r="AQ933" s="218"/>
      <c r="AR933" s="211"/>
      <c r="AS933" s="211"/>
      <c r="AT933" s="211"/>
      <c r="AU933" s="211"/>
      <c r="AV933" s="211"/>
      <c r="AW933" s="211"/>
      <c r="AX933" s="211"/>
      <c r="AY933" s="211"/>
      <c r="AZ933" s="211"/>
      <c r="BB933" s="211"/>
      <c r="BC933" s="211"/>
      <c r="BD933" s="211"/>
      <c r="BE933" s="211"/>
      <c r="BF933" s="211"/>
      <c r="BG933" s="211"/>
      <c r="BH933" s="211"/>
      <c r="BI933" s="211"/>
    </row>
    <row r="934">
      <c r="A934" s="210" t="str">
        <f>IFERROR(__xludf.DUMMYFUNCTION("""COMPUTED_VALUE"""),"76dfdf67")</f>
        <v>76dfdf67</v>
      </c>
      <c r="B934" s="210" t="str">
        <f>IFERROR(__xludf.DUMMYFUNCTION("""COMPUTED_VALUE"""),"76dfdf67")</f>
        <v>76dfdf67</v>
      </c>
      <c r="C934" s="213">
        <f>IFERROR(__xludf.DUMMYFUNCTION("""COMPUTED_VALUE"""),45768.51180555556)</f>
        <v>45768.51181</v>
      </c>
      <c r="D934" s="211" t="str">
        <f>IFERROR(__xludf.DUMMYFUNCTION("""COMPUTED_VALUE"""),"e86baf3b")</f>
        <v>e86baf3b</v>
      </c>
      <c r="E934" s="211" t="str">
        <f>IFERROR(__xludf.DUMMYFUNCTION("""COMPUTED_VALUE"""),"PT GEMILANG CIPTA WAWASAN")</f>
        <v>PT GEMILANG CIPTA WAWASAN</v>
      </c>
      <c r="F934" s="211" t="str">
        <f>IFERROR(__xludf.DUMMYFUNCTION("""COMPUTED_VALUE"""),"be525f3b")</f>
        <v>be525f3b</v>
      </c>
      <c r="G934" s="211" t="str">
        <f>IFERROR(__xludf.DUMMYFUNCTION("""COMPUTED_VALUE"""),"LPG 12kg")</f>
        <v>LPG 12kg</v>
      </c>
      <c r="H934" s="214" t="str">
        <f>IFERROR(__xludf.DUMMYFUNCTION("""COMPUTED_VALUE"""),"IN")</f>
        <v>IN</v>
      </c>
      <c r="I934" s="214" t="str">
        <f>IFERROR(__xludf.DUMMYFUNCTION("""COMPUTED_VALUE"""),"EMPTY")</f>
        <v>EMPTY</v>
      </c>
      <c r="J934" s="211">
        <f>IFERROR(__xludf.DUMMYFUNCTION("""COMPUTED_VALUE"""),3.0)</f>
        <v>3</v>
      </c>
      <c r="K934" s="211"/>
      <c r="L934" s="211">
        <f>IFERROR(__xludf.DUMMYFUNCTION("""COMPUTED_VALUE"""),0.0)</f>
        <v>0</v>
      </c>
      <c r="M934" s="211"/>
      <c r="N934" s="211"/>
      <c r="O934" s="211"/>
      <c r="Q934" s="210" t="str">
        <f>IFERROR(__xludf.DUMMYFUNCTION("""COMPUTED_VALUE"""),"d1e4a939")</f>
        <v>d1e4a939</v>
      </c>
      <c r="R934" s="210" t="str">
        <f>IFERROR(__xludf.DUMMYFUNCTION("""COMPUTED_VALUE"""),"d1e4a939")</f>
        <v>d1e4a939</v>
      </c>
      <c r="S934" s="211" t="str">
        <f>IFERROR(__xludf.DUMMYFUNCTION("""COMPUTED_VALUE"""),"2d88931c")</f>
        <v>2d88931c</v>
      </c>
      <c r="T934" s="211" t="str">
        <f>IFERROR(__xludf.DUMMYFUNCTION("""COMPUTED_VALUE"""),"PT Dunia Berkat Marga Mulya")</f>
        <v>PT Dunia Berkat Marga Mulya</v>
      </c>
      <c r="U934" s="215">
        <f>IFERROR(__xludf.DUMMYFUNCTION("""COMPUTED_VALUE"""),45833.6125)</f>
        <v>45833.6125</v>
      </c>
      <c r="V934" s="211" t="str">
        <f>IFERROR(__xludf.DUMMYFUNCTION("""COMPUTED_VALUE"""),"JL JABARAN, WATESARI, BALONGBENDO, SIDOARJO, JAWA TIMUR")</f>
        <v>JL JABARAN, WATESARI, BALONGBENDO, SIDOARJO, JAWA TIMUR</v>
      </c>
      <c r="W934" s="211" t="str">
        <f>IFERROR(__xludf.DUMMYFUNCTION("""COMPUTED_VALUE"""),"IN")</f>
        <v>IN</v>
      </c>
      <c r="X934" s="211"/>
      <c r="Z934" s="211" t="str">
        <f>IFERROR(__xludf.DUMMYFUNCTION("""COMPUTED_VALUE"""),"07250615")</f>
        <v>07250615</v>
      </c>
      <c r="AC934" s="211"/>
      <c r="AD934" s="211"/>
      <c r="AE934" s="211"/>
      <c r="AF934" s="211"/>
      <c r="AG934" s="211"/>
      <c r="AH934" s="211"/>
      <c r="AI934" s="211"/>
      <c r="AJ934" s="211"/>
      <c r="AL934" s="211"/>
      <c r="AM934" s="211"/>
      <c r="AN934" s="211"/>
      <c r="AO934" s="211"/>
      <c r="AP934" s="215"/>
      <c r="AQ934" s="218"/>
      <c r="AR934" s="211"/>
      <c r="AS934" s="211"/>
      <c r="AT934" s="211"/>
      <c r="AU934" s="211"/>
      <c r="AV934" s="211"/>
      <c r="AW934" s="211"/>
      <c r="AX934" s="211"/>
      <c r="AY934" s="211"/>
      <c r="AZ934" s="211"/>
      <c r="BB934" s="211"/>
      <c r="BC934" s="211"/>
      <c r="BD934" s="211"/>
      <c r="BE934" s="211"/>
      <c r="BF934" s="211"/>
      <c r="BG934" s="211"/>
      <c r="BH934" s="211"/>
      <c r="BI934" s="211"/>
    </row>
    <row r="935">
      <c r="A935" s="210" t="str">
        <f>IFERROR(__xludf.DUMMYFUNCTION("""COMPUTED_VALUE"""),"6ac4b837")</f>
        <v>6ac4b837</v>
      </c>
      <c r="B935" s="210" t="str">
        <f>IFERROR(__xludf.DUMMYFUNCTION("""COMPUTED_VALUE"""),"6ac4b837")</f>
        <v>6ac4b837</v>
      </c>
      <c r="C935" s="213">
        <f>IFERROR(__xludf.DUMMYFUNCTION("""COMPUTED_VALUE"""),45768.51180555556)</f>
        <v>45768.51181</v>
      </c>
      <c r="D935" s="211" t="str">
        <f>IFERROR(__xludf.DUMMYFUNCTION("""COMPUTED_VALUE"""),"ce83e171")</f>
        <v>ce83e171</v>
      </c>
      <c r="E935" s="211" t="str">
        <f>IFERROR(__xludf.DUMMYFUNCTION("""COMPUTED_VALUE"""),"Bpk. Sulaiman")</f>
        <v>Bpk. Sulaiman</v>
      </c>
      <c r="F935" s="211" t="str">
        <f>IFERROR(__xludf.DUMMYFUNCTION("""COMPUTED_VALUE"""),"8bdbe149")</f>
        <v>8bdbe149</v>
      </c>
      <c r="G935" s="211" t="str">
        <f>IFERROR(__xludf.DUMMYFUNCTION("""COMPUTED_VALUE"""),"Oksigen 6m3")</f>
        <v>Oksigen 6m3</v>
      </c>
      <c r="H935" s="214" t="str">
        <f>IFERROR(__xludf.DUMMYFUNCTION("""COMPUTED_VALUE"""),"IN")</f>
        <v>IN</v>
      </c>
      <c r="I935" s="214" t="str">
        <f>IFERROR(__xludf.DUMMYFUNCTION("""COMPUTED_VALUE"""),"EMPTY")</f>
        <v>EMPTY</v>
      </c>
      <c r="J935" s="211">
        <f>IFERROR(__xludf.DUMMYFUNCTION("""COMPUTED_VALUE"""),1.0)</f>
        <v>1</v>
      </c>
      <c r="K935" s="210" t="str">
        <f>IFERROR(__xludf.DUMMYFUNCTION("""COMPUTED_VALUE"""),"11212")</f>
        <v>11212</v>
      </c>
      <c r="L935" s="211">
        <f>IFERROR(__xludf.DUMMYFUNCTION("""COMPUTED_VALUE"""),0.0)</f>
        <v>0</v>
      </c>
      <c r="M935" s="211"/>
      <c r="N935" s="211"/>
      <c r="O935" s="211"/>
      <c r="Q935" s="210" t="str">
        <f>IFERROR(__xludf.DUMMYFUNCTION("""COMPUTED_VALUE"""),"06250539")</f>
        <v>06250539</v>
      </c>
      <c r="R935" s="210" t="str">
        <f>IFERROR(__xludf.DUMMYFUNCTION("""COMPUTED_VALUE"""),"06250539")</f>
        <v>06250539</v>
      </c>
      <c r="S935" s="211" t="str">
        <f>IFERROR(__xludf.DUMMYFUNCTION("""COMPUTED_VALUE"""),"e968afef")</f>
        <v>e968afef</v>
      </c>
      <c r="T935" s="211" t="str">
        <f>IFERROR(__xludf.DUMMYFUNCTION("""COMPUTED_VALUE"""),"Bpk. Agus")</f>
        <v>Bpk. Agus</v>
      </c>
      <c r="U935" s="215">
        <f>IFERROR(__xludf.DUMMYFUNCTION("""COMPUTED_VALUE"""),45834.35555555555)</f>
        <v>45834.35556</v>
      </c>
      <c r="V935" s="211" t="str">
        <f>IFERROR(__xludf.DUMMYFUNCTION("""COMPUTED_VALUE"""),"Jl. Parengan 13, Semawut, Balongbendo, Kec. BalongBendo, Kabupaten Sidoarjo, Jawa Timur 61263")</f>
        <v>Jl. Parengan 13, Semawut, Balongbendo, Kec. BalongBendo, Kabupaten Sidoarjo, Jawa Timur 61263</v>
      </c>
      <c r="W935" s="211" t="str">
        <f>IFERROR(__xludf.DUMMYFUNCTION("""COMPUTED_VALUE"""),"OUT")</f>
        <v>OUT</v>
      </c>
      <c r="X935" s="211"/>
      <c r="Z935" s="211" t="str">
        <f>IFERROR(__xludf.DUMMYFUNCTION("""COMPUTED_VALUE"""),"07250614")</f>
        <v>07250614</v>
      </c>
      <c r="AC935" s="211"/>
      <c r="AD935" s="211"/>
      <c r="AE935" s="211"/>
      <c r="AF935" s="211"/>
      <c r="AG935" s="211"/>
      <c r="AH935" s="211"/>
      <c r="AI935" s="211"/>
      <c r="AJ935" s="211"/>
      <c r="AL935" s="211"/>
      <c r="AM935" s="211"/>
      <c r="AN935" s="211"/>
      <c r="AO935" s="211"/>
      <c r="AP935" s="215"/>
      <c r="AQ935" s="218"/>
      <c r="AR935" s="211"/>
      <c r="AS935" s="211"/>
      <c r="AT935" s="211"/>
      <c r="AU935" s="211"/>
      <c r="AV935" s="211"/>
      <c r="AW935" s="211"/>
      <c r="AX935" s="211"/>
      <c r="AY935" s="211"/>
      <c r="AZ935" s="211"/>
      <c r="BB935" s="211"/>
      <c r="BC935" s="211"/>
      <c r="BD935" s="211"/>
      <c r="BE935" s="211"/>
      <c r="BF935" s="211"/>
      <c r="BG935" s="211"/>
      <c r="BH935" s="211"/>
      <c r="BI935" s="211"/>
    </row>
    <row r="936">
      <c r="A936" s="210" t="str">
        <f>IFERROR(__xludf.DUMMYFUNCTION("""COMPUTED_VALUE"""),"6ac4b837")</f>
        <v>6ac4b837</v>
      </c>
      <c r="B936" s="210" t="str">
        <f>IFERROR(__xludf.DUMMYFUNCTION("""COMPUTED_VALUE"""),"6ac4b837")</f>
        <v>6ac4b837</v>
      </c>
      <c r="C936" s="213">
        <f>IFERROR(__xludf.DUMMYFUNCTION("""COMPUTED_VALUE"""),45768.51180555556)</f>
        <v>45768.51181</v>
      </c>
      <c r="D936" s="211" t="str">
        <f>IFERROR(__xludf.DUMMYFUNCTION("""COMPUTED_VALUE"""),"ce83e171")</f>
        <v>ce83e171</v>
      </c>
      <c r="E936" s="211" t="str">
        <f>IFERROR(__xludf.DUMMYFUNCTION("""COMPUTED_VALUE"""),"Bpk. Sulaiman")</f>
        <v>Bpk. Sulaiman</v>
      </c>
      <c r="F936" s="211" t="str">
        <f>IFERROR(__xludf.DUMMYFUNCTION("""COMPUTED_VALUE"""),"f6aab7a9")</f>
        <v>f6aab7a9</v>
      </c>
      <c r="G936" s="211" t="str">
        <f>IFERROR(__xludf.DUMMYFUNCTION("""COMPUTED_VALUE"""),"Oksigen 6m3 MR")</f>
        <v>Oksigen 6m3 MR</v>
      </c>
      <c r="H936" s="214" t="str">
        <f>IFERROR(__xludf.DUMMYFUNCTION("""COMPUTED_VALUE"""),"IN")</f>
        <v>IN</v>
      </c>
      <c r="I936" s="214" t="str">
        <f>IFERROR(__xludf.DUMMYFUNCTION("""COMPUTED_VALUE"""),"EMPTY")</f>
        <v>EMPTY</v>
      </c>
      <c r="J936" s="211">
        <f>IFERROR(__xludf.DUMMYFUNCTION("""COMPUTED_VALUE"""),2.0)</f>
        <v>2</v>
      </c>
      <c r="K936" s="211"/>
      <c r="L936" s="211">
        <f>IFERROR(__xludf.DUMMYFUNCTION("""COMPUTED_VALUE"""),0.0)</f>
        <v>0</v>
      </c>
      <c r="M936" s="211"/>
      <c r="N936" s="211"/>
      <c r="O936" s="211"/>
      <c r="Q936" s="210" t="str">
        <f>IFERROR(__xludf.DUMMYFUNCTION("""COMPUTED_VALUE"""),"06250541")</f>
        <v>06250541</v>
      </c>
      <c r="R936" s="210" t="str">
        <f>IFERROR(__xludf.DUMMYFUNCTION("""COMPUTED_VALUE"""),"06250541")</f>
        <v>06250541</v>
      </c>
      <c r="S936" s="211" t="str">
        <f>IFERROR(__xludf.DUMMYFUNCTION("""COMPUTED_VALUE"""),"dcdf8b31")</f>
        <v>dcdf8b31</v>
      </c>
      <c r="T936" s="211" t="str">
        <f>IFERROR(__xludf.DUMMYFUNCTION("""COMPUTED_VALUE"""),"Bpk. Samsul (Jetis)")</f>
        <v>Bpk. Samsul (Jetis)</v>
      </c>
      <c r="U936" s="215">
        <f>IFERROR(__xludf.DUMMYFUNCTION("""COMPUTED_VALUE"""),45834.37291666667)</f>
        <v>45834.37292</v>
      </c>
      <c r="V936" s="211" t="str">
        <f>IFERROR(__xludf.DUMMYFUNCTION("""COMPUTED_VALUE"""),"HFWF+9FG, Sido Wangi, Paringan, Kec. Jetis, Kabupaten Mojokerto, Jawa Timur")</f>
        <v>HFWF+9FG, Sido Wangi, Paringan, Kec. Jetis, Kabupaten Mojokerto, Jawa Timur</v>
      </c>
      <c r="W936" s="211" t="str">
        <f>IFERROR(__xludf.DUMMYFUNCTION("""COMPUTED_VALUE"""),"OUT")</f>
        <v>OUT</v>
      </c>
      <c r="X936" s="211"/>
      <c r="Z936" s="211" t="str">
        <f>IFERROR(__xludf.DUMMYFUNCTION("""COMPUTED_VALUE"""),"07250613")</f>
        <v>07250613</v>
      </c>
      <c r="AC936" s="211"/>
      <c r="AD936" s="211"/>
      <c r="AE936" s="211"/>
      <c r="AF936" s="211"/>
      <c r="AG936" s="211"/>
      <c r="AH936" s="211"/>
      <c r="AI936" s="211"/>
      <c r="AJ936" s="211"/>
      <c r="AL936" s="211"/>
      <c r="AM936" s="211"/>
      <c r="AN936" s="211"/>
      <c r="AO936" s="211"/>
      <c r="AP936" s="215"/>
      <c r="AQ936" s="218"/>
      <c r="AR936" s="211"/>
      <c r="AS936" s="211"/>
      <c r="AT936" s="211"/>
      <c r="AU936" s="211"/>
      <c r="AV936" s="211"/>
      <c r="AW936" s="211"/>
      <c r="AX936" s="211"/>
      <c r="AY936" s="211"/>
      <c r="AZ936" s="211"/>
      <c r="BB936" s="211"/>
      <c r="BC936" s="211"/>
      <c r="BD936" s="211"/>
      <c r="BE936" s="211"/>
      <c r="BF936" s="211"/>
      <c r="BG936" s="211"/>
      <c r="BH936" s="211"/>
      <c r="BI936" s="211"/>
    </row>
    <row r="937">
      <c r="A937" s="210" t="str">
        <f>IFERROR(__xludf.DUMMYFUNCTION("""COMPUTED_VALUE"""),"6fd40df2")</f>
        <v>6fd40df2</v>
      </c>
      <c r="B937" s="210" t="str">
        <f>IFERROR(__xludf.DUMMYFUNCTION("""COMPUTED_VALUE"""),"6fd40df2")</f>
        <v>6fd40df2</v>
      </c>
      <c r="C937" s="213">
        <f>IFERROR(__xludf.DUMMYFUNCTION("""COMPUTED_VALUE"""),45768.5125)</f>
        <v>45768.5125</v>
      </c>
      <c r="D937" s="211" t="str">
        <f>IFERROR(__xludf.DUMMYFUNCTION("""COMPUTED_VALUE"""),"7e28b0bb")</f>
        <v>7e28b0bb</v>
      </c>
      <c r="E937" s="211" t="str">
        <f>IFERROR(__xludf.DUMMYFUNCTION("""COMPUTED_VALUE"""),"PT Surya Langit Biru")</f>
        <v>PT Surya Langit Biru</v>
      </c>
      <c r="F937" s="211" t="str">
        <f>IFERROR(__xludf.DUMMYFUNCTION("""COMPUTED_VALUE"""),"8bdbe149")</f>
        <v>8bdbe149</v>
      </c>
      <c r="G937" s="211" t="str">
        <f>IFERROR(__xludf.DUMMYFUNCTION("""COMPUTED_VALUE"""),"Oksigen 6m3")</f>
        <v>Oksigen 6m3</v>
      </c>
      <c r="H937" s="214" t="str">
        <f>IFERROR(__xludf.DUMMYFUNCTION("""COMPUTED_VALUE"""),"IN")</f>
        <v>IN</v>
      </c>
      <c r="I937" s="214" t="str">
        <f>IFERROR(__xludf.DUMMYFUNCTION("""COMPUTED_VALUE"""),"EMPTY")</f>
        <v>EMPTY</v>
      </c>
      <c r="J937" s="211">
        <f>IFERROR(__xludf.DUMMYFUNCTION("""COMPUTED_VALUE"""),2.0)</f>
        <v>2</v>
      </c>
      <c r="K937" s="210" t="str">
        <f>IFERROR(__xludf.DUMMYFUNCTION("""COMPUTED_VALUE"""),"11160 11170")</f>
        <v>11160 11170</v>
      </c>
      <c r="L937" s="211">
        <f>IFERROR(__xludf.DUMMYFUNCTION("""COMPUTED_VALUE"""),0.0)</f>
        <v>0</v>
      </c>
      <c r="M937" s="211"/>
      <c r="N937" s="211"/>
      <c r="O937" s="211"/>
      <c r="Q937" s="210" t="str">
        <f>IFERROR(__xludf.DUMMYFUNCTION("""COMPUTED_VALUE"""),"06250542")</f>
        <v>06250542</v>
      </c>
      <c r="R937" s="210" t="str">
        <f>IFERROR(__xludf.DUMMYFUNCTION("""COMPUTED_VALUE"""),"06250542")</f>
        <v>06250542</v>
      </c>
      <c r="S937" s="211" t="str">
        <f>IFERROR(__xludf.DUMMYFUNCTION("""COMPUTED_VALUE"""),"b2b5f2c5")</f>
        <v>b2b5f2c5</v>
      </c>
      <c r="T937" s="211" t="str">
        <f>IFERROR(__xludf.DUMMYFUNCTION("""COMPUTED_VALUE"""),"Bengkel Las Bpk. Ari")</f>
        <v>Bengkel Las Bpk. Ari</v>
      </c>
      <c r="U937" s="215">
        <f>IFERROR(__xludf.DUMMYFUNCTION("""COMPUTED_VALUE"""),45834.44861111111)</f>
        <v>45834.44861</v>
      </c>
      <c r="V937" s="211" t="str">
        <f>IFERROR(__xludf.DUMMYFUNCTION("""COMPUTED_VALUE"""),"Sumber Kembar, Wonodadi, Kec. Kutorejo, Kabupaten Mojokerto, Jawa Timur")</f>
        <v>Sumber Kembar, Wonodadi, Kec. Kutorejo, Kabupaten Mojokerto, Jawa Timur</v>
      </c>
      <c r="W937" s="211" t="str">
        <f>IFERROR(__xludf.DUMMYFUNCTION("""COMPUTED_VALUE"""),"OUT")</f>
        <v>OUT</v>
      </c>
      <c r="X937" s="211"/>
      <c r="Z937" s="211" t="str">
        <f>IFERROR(__xludf.DUMMYFUNCTION("""COMPUTED_VALUE"""),"07250612")</f>
        <v>07250612</v>
      </c>
      <c r="AC937" s="211"/>
      <c r="AD937" s="211"/>
      <c r="AE937" s="211"/>
      <c r="AF937" s="211"/>
      <c r="AG937" s="211"/>
      <c r="AH937" s="211"/>
      <c r="AI937" s="211"/>
      <c r="AJ937" s="211"/>
      <c r="AL937" s="211"/>
      <c r="AM937" s="211"/>
      <c r="AN937" s="211"/>
      <c r="AO937" s="211"/>
      <c r="AP937" s="215"/>
      <c r="AQ937" s="218"/>
      <c r="AR937" s="211"/>
      <c r="AS937" s="211"/>
      <c r="AT937" s="211"/>
      <c r="AU937" s="211"/>
      <c r="AV937" s="211"/>
      <c r="AW937" s="211"/>
      <c r="AX937" s="211"/>
      <c r="AY937" s="211"/>
      <c r="AZ937" s="211"/>
      <c r="BB937" s="211"/>
      <c r="BC937" s="211"/>
      <c r="BD937" s="211"/>
      <c r="BE937" s="211"/>
      <c r="BF937" s="211"/>
      <c r="BG937" s="211"/>
      <c r="BH937" s="211"/>
      <c r="BI937" s="211"/>
    </row>
    <row r="938">
      <c r="A938" s="210" t="str">
        <f>IFERROR(__xludf.DUMMYFUNCTION("""COMPUTED_VALUE"""),"04250381")</f>
        <v>04250381</v>
      </c>
      <c r="B938" s="210" t="str">
        <f>IFERROR(__xludf.DUMMYFUNCTION("""COMPUTED_VALUE"""),"04250381")</f>
        <v>04250381</v>
      </c>
      <c r="C938" s="213">
        <f>IFERROR(__xludf.DUMMYFUNCTION("""COMPUTED_VALUE"""),45768.618055555555)</f>
        <v>45768.61806</v>
      </c>
      <c r="D938" s="211" t="str">
        <f>IFERROR(__xludf.DUMMYFUNCTION("""COMPUTED_VALUE"""),"d78b2eaf")</f>
        <v>d78b2eaf</v>
      </c>
      <c r="E938" s="211" t="str">
        <f>IFERROR(__xludf.DUMMYFUNCTION("""COMPUTED_VALUE"""),"PT Sinar Indogreen Kencana")</f>
        <v>PT Sinar Indogreen Kencana</v>
      </c>
      <c r="F938" s="211" t="str">
        <f>IFERROR(__xludf.DUMMYFUNCTION("""COMPUTED_VALUE"""),"be525f3b")</f>
        <v>be525f3b</v>
      </c>
      <c r="G938" s="211" t="str">
        <f>IFERROR(__xludf.DUMMYFUNCTION("""COMPUTED_VALUE"""),"LPG 12kg")</f>
        <v>LPG 12kg</v>
      </c>
      <c r="H938" s="214" t="str">
        <f>IFERROR(__xludf.DUMMYFUNCTION("""COMPUTED_VALUE"""),"OUT")</f>
        <v>OUT</v>
      </c>
      <c r="I938" s="214" t="str">
        <f>IFERROR(__xludf.DUMMYFUNCTION("""COMPUTED_VALUE"""),"NORMAL")</f>
        <v>NORMAL</v>
      </c>
      <c r="J938" s="211">
        <f>IFERROR(__xludf.DUMMYFUNCTION("""COMPUTED_VALUE"""),1.0)</f>
        <v>1</v>
      </c>
      <c r="K938" s="211"/>
      <c r="L938" s="211">
        <f>IFERROR(__xludf.DUMMYFUNCTION("""COMPUTED_VALUE"""),189189.19)</f>
        <v>189189.19</v>
      </c>
      <c r="M938" s="211"/>
      <c r="N938" s="211"/>
      <c r="O938" s="211"/>
      <c r="Q938" s="210" t="str">
        <f>IFERROR(__xludf.DUMMYFUNCTION("""COMPUTED_VALUE"""),"c875aed0")</f>
        <v>c875aed0</v>
      </c>
      <c r="R938" s="210" t="str">
        <f>IFERROR(__xludf.DUMMYFUNCTION("""COMPUTED_VALUE"""),"c875aed0")</f>
        <v>c875aed0</v>
      </c>
      <c r="S938" s="211" t="str">
        <f>IFERROR(__xludf.DUMMYFUNCTION("""COMPUTED_VALUE"""),"dcdf8b31")</f>
        <v>dcdf8b31</v>
      </c>
      <c r="T938" s="211" t="str">
        <f>IFERROR(__xludf.DUMMYFUNCTION("""COMPUTED_VALUE"""),"Bpk. Samsul (Jetis)")</f>
        <v>Bpk. Samsul (Jetis)</v>
      </c>
      <c r="U938" s="215">
        <f>IFERROR(__xludf.DUMMYFUNCTION("""COMPUTED_VALUE"""),45834.55416666667)</f>
        <v>45834.55417</v>
      </c>
      <c r="V938" s="211" t="str">
        <f>IFERROR(__xludf.DUMMYFUNCTION("""COMPUTED_VALUE"""),"HFWF+9FG, Sido Wangi, Paringan, Kec. Jetis, Kabupaten Mojokerto, Jawa Timur")</f>
        <v>HFWF+9FG, Sido Wangi, Paringan, Kec. Jetis, Kabupaten Mojokerto, Jawa Timur</v>
      </c>
      <c r="W938" s="211" t="str">
        <f>IFERROR(__xludf.DUMMYFUNCTION("""COMPUTED_VALUE"""),"IN")</f>
        <v>IN</v>
      </c>
      <c r="X938" s="211"/>
      <c r="Z938" s="211" t="str">
        <f>IFERROR(__xludf.DUMMYFUNCTION("""COMPUTED_VALUE"""),"07250611")</f>
        <v>07250611</v>
      </c>
      <c r="AC938" s="211"/>
      <c r="AD938" s="211"/>
      <c r="AE938" s="211"/>
      <c r="AF938" s="211"/>
      <c r="AG938" s="211"/>
      <c r="AH938" s="211"/>
      <c r="AI938" s="211"/>
      <c r="AJ938" s="211"/>
      <c r="AL938" s="211"/>
      <c r="AM938" s="211"/>
      <c r="AN938" s="211"/>
      <c r="AO938" s="211"/>
      <c r="AP938" s="215"/>
      <c r="AQ938" s="218"/>
      <c r="AR938" s="211"/>
      <c r="AS938" s="211"/>
      <c r="AT938" s="211"/>
      <c r="AU938" s="211"/>
      <c r="AV938" s="211"/>
      <c r="AW938" s="211"/>
      <c r="AX938" s="211"/>
      <c r="AY938" s="211"/>
      <c r="AZ938" s="211"/>
      <c r="BB938" s="211"/>
      <c r="BC938" s="211"/>
      <c r="BD938" s="211"/>
      <c r="BE938" s="211"/>
      <c r="BF938" s="211"/>
      <c r="BG938" s="211"/>
      <c r="BH938" s="211"/>
      <c r="BI938" s="211"/>
    </row>
    <row r="939">
      <c r="A939" s="210" t="str">
        <f>IFERROR(__xludf.DUMMYFUNCTION("""COMPUTED_VALUE"""),"20a50830")</f>
        <v>20a50830</v>
      </c>
      <c r="B939" s="210" t="str">
        <f>IFERROR(__xludf.DUMMYFUNCTION("""COMPUTED_VALUE"""),"20a50830")</f>
        <v>20a50830</v>
      </c>
      <c r="C939" s="213">
        <f>IFERROR(__xludf.DUMMYFUNCTION("""COMPUTED_VALUE"""),45768.71319444444)</f>
        <v>45768.71319</v>
      </c>
      <c r="D939" s="211" t="str">
        <f>IFERROR(__xludf.DUMMYFUNCTION("""COMPUTED_VALUE"""),"d78b2eaf")</f>
        <v>d78b2eaf</v>
      </c>
      <c r="E939" s="211" t="str">
        <f>IFERROR(__xludf.DUMMYFUNCTION("""COMPUTED_VALUE"""),"PT Sinar Indogreen Kencana")</f>
        <v>PT Sinar Indogreen Kencana</v>
      </c>
      <c r="F939" s="211" t="str">
        <f>IFERROR(__xludf.DUMMYFUNCTION("""COMPUTED_VALUE"""),"be525f3b")</f>
        <v>be525f3b</v>
      </c>
      <c r="G939" s="211" t="str">
        <f>IFERROR(__xludf.DUMMYFUNCTION("""COMPUTED_VALUE"""),"LPG 12kg")</f>
        <v>LPG 12kg</v>
      </c>
      <c r="H939" s="214" t="str">
        <f>IFERROR(__xludf.DUMMYFUNCTION("""COMPUTED_VALUE"""),"IN")</f>
        <v>IN</v>
      </c>
      <c r="I939" s="214" t="str">
        <f>IFERROR(__xludf.DUMMYFUNCTION("""COMPUTED_VALUE"""),"EMPTY")</f>
        <v>EMPTY</v>
      </c>
      <c r="J939" s="211">
        <f>IFERROR(__xludf.DUMMYFUNCTION("""COMPUTED_VALUE"""),1.0)</f>
        <v>1</v>
      </c>
      <c r="K939" s="211"/>
      <c r="L939" s="211">
        <f>IFERROR(__xludf.DUMMYFUNCTION("""COMPUTED_VALUE"""),0.0)</f>
        <v>0</v>
      </c>
      <c r="M939" s="211"/>
      <c r="N939" s="211"/>
      <c r="O939" s="211"/>
      <c r="Q939" s="210" t="str">
        <f>IFERROR(__xludf.DUMMYFUNCTION("""COMPUTED_VALUE"""),"06250543")</f>
        <v>06250543</v>
      </c>
      <c r="R939" s="210" t="str">
        <f>IFERROR(__xludf.DUMMYFUNCTION("""COMPUTED_VALUE"""),"06250543")</f>
        <v>06250543</v>
      </c>
      <c r="S939" s="211" t="str">
        <f>IFERROR(__xludf.DUMMYFUNCTION("""COMPUTED_VALUE"""),"182fb0fe")</f>
        <v>182fb0fe</v>
      </c>
      <c r="T939" s="211" t="str">
        <f>IFERROR(__xludf.DUMMYFUNCTION("""COMPUTED_VALUE"""),"PT Amtech")</f>
        <v>PT Amtech</v>
      </c>
      <c r="U939" s="215">
        <f>IFERROR(__xludf.DUMMYFUNCTION("""COMPUTED_VALUE"""),45834.56041666667)</f>
        <v>45834.56042</v>
      </c>
      <c r="V939"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939" s="211" t="str">
        <f>IFERROR(__xludf.DUMMYFUNCTION("""COMPUTED_VALUE"""),"OUT")</f>
        <v>OUT</v>
      </c>
      <c r="X939" s="211"/>
      <c r="Z939" s="211" t="str">
        <f>IFERROR(__xludf.DUMMYFUNCTION("""COMPUTED_VALUE"""),"07250610")</f>
        <v>07250610</v>
      </c>
      <c r="AC939" s="211"/>
      <c r="AD939" s="211"/>
      <c r="AE939" s="211"/>
      <c r="AF939" s="211"/>
      <c r="AG939" s="211"/>
      <c r="AH939" s="211"/>
      <c r="AI939" s="211"/>
      <c r="AJ939" s="211"/>
      <c r="AL939" s="211"/>
      <c r="AM939" s="211"/>
      <c r="AN939" s="211"/>
      <c r="AO939" s="211"/>
      <c r="AP939" s="215"/>
      <c r="AQ939" s="218"/>
      <c r="AR939" s="211"/>
      <c r="AS939" s="211"/>
      <c r="AT939" s="211"/>
      <c r="AU939" s="211"/>
      <c r="AV939" s="211"/>
      <c r="AW939" s="211"/>
      <c r="AX939" s="211"/>
      <c r="AY939" s="211"/>
      <c r="AZ939" s="211"/>
      <c r="BB939" s="211"/>
      <c r="BC939" s="211"/>
      <c r="BD939" s="211"/>
      <c r="BE939" s="211"/>
      <c r="BF939" s="211"/>
      <c r="BG939" s="211"/>
      <c r="BH939" s="211"/>
      <c r="BI939" s="211"/>
    </row>
    <row r="940">
      <c r="A940" s="210" t="str">
        <f>IFERROR(__xludf.DUMMYFUNCTION("""COMPUTED_VALUE"""),"04250382")</f>
        <v>04250382</v>
      </c>
      <c r="B940" s="210" t="str">
        <f>IFERROR(__xludf.DUMMYFUNCTION("""COMPUTED_VALUE"""),"04250382")</f>
        <v>04250382</v>
      </c>
      <c r="C940" s="213">
        <f>IFERROR(__xludf.DUMMYFUNCTION("""COMPUTED_VALUE"""),45769.39722222222)</f>
        <v>45769.39722</v>
      </c>
      <c r="D940" s="211" t="str">
        <f>IFERROR(__xludf.DUMMYFUNCTION("""COMPUTED_VALUE"""),"ce83e171")</f>
        <v>ce83e171</v>
      </c>
      <c r="E940" s="211" t="str">
        <f>IFERROR(__xludf.DUMMYFUNCTION("""COMPUTED_VALUE"""),"Bpk. Sulaiman")</f>
        <v>Bpk. Sulaiman</v>
      </c>
      <c r="F940" s="211" t="str">
        <f>IFERROR(__xludf.DUMMYFUNCTION("""COMPUTED_VALUE"""),"f6aab7a9")</f>
        <v>f6aab7a9</v>
      </c>
      <c r="G940" s="211" t="str">
        <f>IFERROR(__xludf.DUMMYFUNCTION("""COMPUTED_VALUE"""),"Oksigen 6m3 MR")</f>
        <v>Oksigen 6m3 MR</v>
      </c>
      <c r="H940" s="214" t="str">
        <f>IFERROR(__xludf.DUMMYFUNCTION("""COMPUTED_VALUE"""),"OUT")</f>
        <v>OUT</v>
      </c>
      <c r="I940" s="214" t="str">
        <f>IFERROR(__xludf.DUMMYFUNCTION("""COMPUTED_VALUE"""),"NORMAL")</f>
        <v>NORMAL</v>
      </c>
      <c r="J940" s="211">
        <f>IFERROR(__xludf.DUMMYFUNCTION("""COMPUTED_VALUE"""),2.0)</f>
        <v>2</v>
      </c>
      <c r="K940" s="210" t="str">
        <f>IFERROR(__xludf.DUMMYFUNCTION("""COMPUTED_VALUE"""),"75 76")</f>
        <v>75 76</v>
      </c>
      <c r="L940" s="211">
        <f>IFERROR(__xludf.DUMMYFUNCTION("""COMPUTED_VALUE"""),55000.0)</f>
        <v>55000</v>
      </c>
      <c r="M940" s="211"/>
      <c r="N940" s="211"/>
      <c r="O940" s="211"/>
      <c r="Q940" s="210" t="str">
        <f>IFERROR(__xludf.DUMMYFUNCTION("""COMPUTED_VALUE"""),"06250546")</f>
        <v>06250546</v>
      </c>
      <c r="R940" s="210" t="str">
        <f>IFERROR(__xludf.DUMMYFUNCTION("""COMPUTED_VALUE"""),"06250546")</f>
        <v>06250546</v>
      </c>
      <c r="S940" s="211" t="str">
        <f>IFERROR(__xludf.DUMMYFUNCTION("""COMPUTED_VALUE"""),"ec231cc9")</f>
        <v>ec231cc9</v>
      </c>
      <c r="T940" s="211" t="str">
        <f>IFERROR(__xludf.DUMMYFUNCTION("""COMPUTED_VALUE"""),"Bpk. Kohir (Maintenance Velg)")</f>
        <v>Bpk. Kohir (Maintenance Velg)</v>
      </c>
      <c r="U940" s="215">
        <f>IFERROR(__xludf.DUMMYFUNCTION("""COMPUTED_VALUE"""),45836.32152777778)</f>
        <v>45836.32153</v>
      </c>
      <c r="V940" s="211" t="str">
        <f>IFERROR(__xludf.DUMMYFUNCTION("""COMPUTED_VALUE"""),"Jl. Lkr. Bypass Krian Timur, Sidogolong, Watugolong, Kec. Krian, Kabupaten Sidoarjo, Jawa Timur 61262")</f>
        <v>Jl. Lkr. Bypass Krian Timur, Sidogolong, Watugolong, Kec. Krian, Kabupaten Sidoarjo, Jawa Timur 61262</v>
      </c>
      <c r="W940" s="211" t="str">
        <f>IFERROR(__xludf.DUMMYFUNCTION("""COMPUTED_VALUE"""),"OUT")</f>
        <v>OUT</v>
      </c>
      <c r="X940" s="211"/>
      <c r="Z940" s="211" t="str">
        <f>IFERROR(__xludf.DUMMYFUNCTION("""COMPUTED_VALUE"""),"07250609")</f>
        <v>07250609</v>
      </c>
      <c r="AC940" s="211"/>
      <c r="AD940" s="211"/>
      <c r="AE940" s="211"/>
      <c r="AF940" s="211"/>
      <c r="AG940" s="211"/>
      <c r="AH940" s="211"/>
      <c r="AI940" s="211"/>
      <c r="AJ940" s="211"/>
      <c r="AL940" s="211"/>
      <c r="AM940" s="211"/>
      <c r="AN940" s="211"/>
      <c r="AO940" s="211"/>
      <c r="AP940" s="215"/>
      <c r="AQ940" s="218"/>
      <c r="AR940" s="211"/>
      <c r="AS940" s="211"/>
      <c r="AT940" s="211"/>
      <c r="AU940" s="211"/>
      <c r="AV940" s="211"/>
      <c r="AW940" s="211"/>
      <c r="AX940" s="211"/>
      <c r="AY940" s="211"/>
      <c r="AZ940" s="211"/>
      <c r="BB940" s="211"/>
      <c r="BC940" s="211"/>
      <c r="BD940" s="211"/>
      <c r="BE940" s="211"/>
      <c r="BF940" s="211"/>
      <c r="BG940" s="211"/>
      <c r="BH940" s="211"/>
      <c r="BI940" s="211"/>
    </row>
    <row r="941">
      <c r="A941" s="210" t="str">
        <f>IFERROR(__xludf.DUMMYFUNCTION("""COMPUTED_VALUE"""),"04250383")</f>
        <v>04250383</v>
      </c>
      <c r="B941" s="210" t="str">
        <f>IFERROR(__xludf.DUMMYFUNCTION("""COMPUTED_VALUE"""),"04250383")</f>
        <v>04250383</v>
      </c>
      <c r="C941" s="213">
        <f>IFERROR(__xludf.DUMMYFUNCTION("""COMPUTED_VALUE"""),45769.5125)</f>
        <v>45769.5125</v>
      </c>
      <c r="D941" s="211" t="str">
        <f>IFERROR(__xludf.DUMMYFUNCTION("""COMPUTED_VALUE"""),"7b9d8eba")</f>
        <v>7b9d8eba</v>
      </c>
      <c r="E941" s="211" t="str">
        <f>IFERROR(__xludf.DUMMYFUNCTION("""COMPUTED_VALUE"""),"PT PELANGI INDOKARYA")</f>
        <v>PT PELANGI INDOKARYA</v>
      </c>
      <c r="F941" s="211" t="str">
        <f>IFERROR(__xludf.DUMMYFUNCTION("""COMPUTED_VALUE"""),"8bdbe149")</f>
        <v>8bdbe149</v>
      </c>
      <c r="G941" s="211" t="str">
        <f>IFERROR(__xludf.DUMMYFUNCTION("""COMPUTED_VALUE"""),"Oksigen 6m3")</f>
        <v>Oksigen 6m3</v>
      </c>
      <c r="H941" s="214" t="str">
        <f>IFERROR(__xludf.DUMMYFUNCTION("""COMPUTED_VALUE"""),"OUT")</f>
        <v>OUT</v>
      </c>
      <c r="I941" s="214" t="str">
        <f>IFERROR(__xludf.DUMMYFUNCTION("""COMPUTED_VALUE"""),"NORMAL")</f>
        <v>NORMAL</v>
      </c>
      <c r="J941" s="211">
        <f>IFERROR(__xludf.DUMMYFUNCTION("""COMPUTED_VALUE"""),5.0)</f>
        <v>5</v>
      </c>
      <c r="K941" s="210" t="str">
        <f>IFERROR(__xludf.DUMMYFUNCTION("""COMPUTED_VALUE"""),"11130 11165 11126 11175 11198")</f>
        <v>11130 11165 11126 11175 11198</v>
      </c>
      <c r="L941" s="211">
        <f>IFERROR(__xludf.DUMMYFUNCTION("""COMPUTED_VALUE"""),60000.0)</f>
        <v>60000</v>
      </c>
      <c r="M941" s="211"/>
      <c r="N941" s="211"/>
      <c r="O941" s="211"/>
      <c r="Q941" s="210" t="str">
        <f>IFERROR(__xludf.DUMMYFUNCTION("""COMPUTED_VALUE"""),"06250548")</f>
        <v>06250548</v>
      </c>
      <c r="R941" s="210" t="str">
        <f>IFERROR(__xludf.DUMMYFUNCTION("""COMPUTED_VALUE"""),"06250548")</f>
        <v>06250548</v>
      </c>
      <c r="S941" s="211" t="str">
        <f>IFERROR(__xludf.DUMMYFUNCTION("""COMPUTED_VALUE"""),"e968afef")</f>
        <v>e968afef</v>
      </c>
      <c r="T941" s="211" t="str">
        <f>IFERROR(__xludf.DUMMYFUNCTION("""COMPUTED_VALUE"""),"Bpk. Agus")</f>
        <v>Bpk. Agus</v>
      </c>
      <c r="U941" s="215">
        <f>IFERROR(__xludf.DUMMYFUNCTION("""COMPUTED_VALUE"""),45836.33888888889)</f>
        <v>45836.33889</v>
      </c>
      <c r="V941" s="211" t="str">
        <f>IFERROR(__xludf.DUMMYFUNCTION("""COMPUTED_VALUE"""),"Jl. Parengan 13, Semawut, Balongbendo, Kec. BalongBendo, Kabupaten Sidoarjo, Jawa Timur 61263")</f>
        <v>Jl. Parengan 13, Semawut, Balongbendo, Kec. BalongBendo, Kabupaten Sidoarjo, Jawa Timur 61263</v>
      </c>
      <c r="W941" s="211" t="str">
        <f>IFERROR(__xludf.DUMMYFUNCTION("""COMPUTED_VALUE"""),"OUT")</f>
        <v>OUT</v>
      </c>
      <c r="X941" s="211"/>
      <c r="Z941" s="211" t="str">
        <f>IFERROR(__xludf.DUMMYFUNCTION("""COMPUTED_VALUE"""),"07250608")</f>
        <v>07250608</v>
      </c>
      <c r="AC941" s="211"/>
      <c r="AD941" s="211"/>
      <c r="AE941" s="211"/>
      <c r="AF941" s="211"/>
      <c r="AG941" s="211"/>
      <c r="AH941" s="211"/>
      <c r="AI941" s="211"/>
      <c r="AJ941" s="211"/>
      <c r="AL941" s="211"/>
      <c r="AM941" s="211"/>
      <c r="AN941" s="211"/>
      <c r="AO941" s="211"/>
      <c r="AP941" s="215"/>
      <c r="AQ941" s="218"/>
      <c r="AR941" s="211"/>
      <c r="AS941" s="211"/>
      <c r="AT941" s="211"/>
      <c r="AU941" s="211"/>
      <c r="AV941" s="211"/>
      <c r="AW941" s="211"/>
      <c r="AX941" s="211"/>
      <c r="AY941" s="211"/>
      <c r="AZ941" s="211"/>
      <c r="BB941" s="211"/>
      <c r="BC941" s="211"/>
      <c r="BD941" s="211"/>
      <c r="BE941" s="211"/>
      <c r="BF941" s="211"/>
      <c r="BG941" s="211"/>
      <c r="BH941" s="211"/>
      <c r="BI941" s="211"/>
    </row>
    <row r="942">
      <c r="A942" s="210" t="str">
        <f>IFERROR(__xludf.DUMMYFUNCTION("""COMPUTED_VALUE"""),"b8a9d8db")</f>
        <v>b8a9d8db</v>
      </c>
      <c r="B942" s="210" t="str">
        <f>IFERROR(__xludf.DUMMYFUNCTION("""COMPUTED_VALUE"""),"b8a9d8db")</f>
        <v>b8a9d8db</v>
      </c>
      <c r="C942" s="213">
        <f>IFERROR(__xludf.DUMMYFUNCTION("""COMPUTED_VALUE"""),45769.59722222222)</f>
        <v>45769.59722</v>
      </c>
      <c r="D942" s="211" t="str">
        <f>IFERROR(__xludf.DUMMYFUNCTION("""COMPUTED_VALUE"""),"7b9d8eba")</f>
        <v>7b9d8eba</v>
      </c>
      <c r="E942" s="211" t="str">
        <f>IFERROR(__xludf.DUMMYFUNCTION("""COMPUTED_VALUE"""),"PT PELANGI INDOKARYA")</f>
        <v>PT PELANGI INDOKARYA</v>
      </c>
      <c r="F942" s="211" t="str">
        <f>IFERROR(__xludf.DUMMYFUNCTION("""COMPUTED_VALUE"""),"8bdbe149")</f>
        <v>8bdbe149</v>
      </c>
      <c r="G942" s="211" t="str">
        <f>IFERROR(__xludf.DUMMYFUNCTION("""COMPUTED_VALUE"""),"Oksigen 6m3")</f>
        <v>Oksigen 6m3</v>
      </c>
      <c r="H942" s="214" t="str">
        <f>IFERROR(__xludf.DUMMYFUNCTION("""COMPUTED_VALUE"""),"IN")</f>
        <v>IN</v>
      </c>
      <c r="I942" s="214" t="str">
        <f>IFERROR(__xludf.DUMMYFUNCTION("""COMPUTED_VALUE"""),"EMPTY")</f>
        <v>EMPTY</v>
      </c>
      <c r="J942" s="211">
        <f>IFERROR(__xludf.DUMMYFUNCTION("""COMPUTED_VALUE"""),1.0)</f>
        <v>1</v>
      </c>
      <c r="K942" s="210" t="str">
        <f>IFERROR(__xludf.DUMMYFUNCTION("""COMPUTED_VALUE"""),"1197")</f>
        <v>1197</v>
      </c>
      <c r="L942" s="211">
        <f>IFERROR(__xludf.DUMMYFUNCTION("""COMPUTED_VALUE"""),0.0)</f>
        <v>0</v>
      </c>
      <c r="M942" s="211"/>
      <c r="N942" s="211"/>
      <c r="O942" s="211"/>
      <c r="Q942" s="210" t="str">
        <f>IFERROR(__xludf.DUMMYFUNCTION("""COMPUTED_VALUE"""),"06250549")</f>
        <v>06250549</v>
      </c>
      <c r="R942" s="210" t="str">
        <f>IFERROR(__xludf.DUMMYFUNCTION("""COMPUTED_VALUE"""),"06250549")</f>
        <v>06250549</v>
      </c>
      <c r="S942" s="211" t="str">
        <f>IFERROR(__xludf.DUMMYFUNCTION("""COMPUTED_VALUE"""),"b218b89b")</f>
        <v>b218b89b</v>
      </c>
      <c r="T942" s="211" t="str">
        <f>IFERROR(__xludf.DUMMYFUNCTION("""COMPUTED_VALUE"""),"PT Harapan Sentosa")</f>
        <v>PT Harapan Sentosa</v>
      </c>
      <c r="U942" s="215">
        <f>IFERROR(__xludf.DUMMYFUNCTION("""COMPUTED_VALUE"""),45838.351388888885)</f>
        <v>45838.35139</v>
      </c>
      <c r="V942" s="211" t="str">
        <f>IFERROR(__xludf.DUMMYFUNCTION("""COMPUTED_VALUE"""),"Seketi, Jl. Purboyo II Selatan, RT.02/RW.02, Seketi, Kec. BalongBendo, Kabupaten Sidoarjo, Jawa Timur 61263")</f>
        <v>Seketi, Jl. Purboyo II Selatan, RT.02/RW.02, Seketi, Kec. BalongBendo, Kabupaten Sidoarjo, Jawa Timur 61263</v>
      </c>
      <c r="W942" s="211" t="str">
        <f>IFERROR(__xludf.DUMMYFUNCTION("""COMPUTED_VALUE"""),"OUT")</f>
        <v>OUT</v>
      </c>
      <c r="X942" s="211"/>
      <c r="Z942" s="211" t="str">
        <f>IFERROR(__xludf.DUMMYFUNCTION("""COMPUTED_VALUE"""),"07250607")</f>
        <v>07250607</v>
      </c>
      <c r="AC942" s="211"/>
      <c r="AD942" s="211"/>
      <c r="AE942" s="211"/>
      <c r="AF942" s="211"/>
      <c r="AG942" s="211"/>
      <c r="AH942" s="211"/>
      <c r="AI942" s="211"/>
      <c r="AJ942" s="211"/>
      <c r="AL942" s="211"/>
      <c r="AM942" s="211"/>
      <c r="AN942" s="211"/>
      <c r="AO942" s="211"/>
      <c r="AP942" s="215"/>
      <c r="AQ942" s="218"/>
      <c r="AR942" s="211"/>
      <c r="AS942" s="211"/>
      <c r="AT942" s="211"/>
      <c r="AU942" s="211"/>
      <c r="AV942" s="211"/>
      <c r="AW942" s="211"/>
      <c r="AX942" s="211"/>
      <c r="AY942" s="211"/>
      <c r="AZ942" s="211"/>
      <c r="BB942" s="211"/>
      <c r="BC942" s="211"/>
      <c r="BD942" s="211"/>
      <c r="BE942" s="211"/>
      <c r="BF942" s="211"/>
      <c r="BG942" s="211"/>
      <c r="BH942" s="211"/>
      <c r="BI942" s="211"/>
    </row>
    <row r="943">
      <c r="A943" s="210" t="str">
        <f>IFERROR(__xludf.DUMMYFUNCTION("""COMPUTED_VALUE"""),"ff61c167")</f>
        <v>ff61c167</v>
      </c>
      <c r="B943" s="210" t="str">
        <f>IFERROR(__xludf.DUMMYFUNCTION("""COMPUTED_VALUE"""),"ff61c167")</f>
        <v>ff61c167</v>
      </c>
      <c r="C943" s="213">
        <f>IFERROR(__xludf.DUMMYFUNCTION("""COMPUTED_VALUE"""),45769.75902777778)</f>
        <v>45769.75903</v>
      </c>
      <c r="D943" s="211" t="str">
        <f>IFERROR(__xludf.DUMMYFUNCTION("""COMPUTED_VALUE"""),"5f23ba17")</f>
        <v>5f23ba17</v>
      </c>
      <c r="E943" s="211" t="str">
        <f>IFERROR(__xludf.DUMMYFUNCTION("""COMPUTED_VALUE"""),"Bpk. Joko (Gresik)")</f>
        <v>Bpk. Joko (Gresik)</v>
      </c>
      <c r="F943" s="211" t="str">
        <f>IFERROR(__xludf.DUMMYFUNCTION("""COMPUTED_VALUE"""),"f6aab7a9")</f>
        <v>f6aab7a9</v>
      </c>
      <c r="G943" s="211" t="str">
        <f>IFERROR(__xludf.DUMMYFUNCTION("""COMPUTED_VALUE"""),"Oksigen 6m3 MR")</f>
        <v>Oksigen 6m3 MR</v>
      </c>
      <c r="H943" s="214" t="str">
        <f>IFERROR(__xludf.DUMMYFUNCTION("""COMPUTED_VALUE"""),"IN")</f>
        <v>IN</v>
      </c>
      <c r="I943" s="214" t="str">
        <f>IFERROR(__xludf.DUMMYFUNCTION("""COMPUTED_VALUE"""),"EMPTY")</f>
        <v>EMPTY</v>
      </c>
      <c r="J943" s="211">
        <f>IFERROR(__xludf.DUMMYFUNCTION("""COMPUTED_VALUE"""),4.0)</f>
        <v>4</v>
      </c>
      <c r="K943" s="211"/>
      <c r="L943" s="211">
        <f>IFERROR(__xludf.DUMMYFUNCTION("""COMPUTED_VALUE"""),0.0)</f>
        <v>0</v>
      </c>
      <c r="M943" s="211"/>
      <c r="N943" s="211"/>
      <c r="O943" s="211"/>
      <c r="Q943" s="210" t="str">
        <f>IFERROR(__xludf.DUMMYFUNCTION("""COMPUTED_VALUE"""),"9483f2cb")</f>
        <v>9483f2cb</v>
      </c>
      <c r="R943" s="210" t="str">
        <f>IFERROR(__xludf.DUMMYFUNCTION("""COMPUTED_VALUE"""),"9483f2cb")</f>
        <v>9483f2cb</v>
      </c>
      <c r="S943" s="211" t="str">
        <f>IFERROR(__xludf.DUMMYFUNCTION("""COMPUTED_VALUE"""),"b218b89b")</f>
        <v>b218b89b</v>
      </c>
      <c r="T943" s="211" t="str">
        <f>IFERROR(__xludf.DUMMYFUNCTION("""COMPUTED_VALUE"""),"PT Harapan Sentosa")</f>
        <v>PT Harapan Sentosa</v>
      </c>
      <c r="U943" s="215">
        <f>IFERROR(__xludf.DUMMYFUNCTION("""COMPUTED_VALUE"""),45838.455555555556)</f>
        <v>45838.45556</v>
      </c>
      <c r="V943" s="211" t="str">
        <f>IFERROR(__xludf.DUMMYFUNCTION("""COMPUTED_VALUE"""),"Seketi, Jl. Purboyo II Selatan, RT.02/RW.02, Seketi, Kec. BalongBendo, Kabupaten Sidoarjo, Jawa Timur 61263")</f>
        <v>Seketi, Jl. Purboyo II Selatan, RT.02/RW.02, Seketi, Kec. BalongBendo, Kabupaten Sidoarjo, Jawa Timur 61263</v>
      </c>
      <c r="W943" s="211" t="str">
        <f>IFERROR(__xludf.DUMMYFUNCTION("""COMPUTED_VALUE"""),"IN")</f>
        <v>IN</v>
      </c>
      <c r="X943" s="211"/>
      <c r="Z943" s="211" t="str">
        <f>IFERROR(__xludf.DUMMYFUNCTION("""COMPUTED_VALUE"""),"07250606")</f>
        <v>07250606</v>
      </c>
      <c r="AC943" s="211"/>
      <c r="AD943" s="211"/>
      <c r="AE943" s="211"/>
      <c r="AF943" s="211"/>
      <c r="AG943" s="211"/>
      <c r="AH943" s="211"/>
      <c r="AI943" s="211"/>
      <c r="AJ943" s="211"/>
      <c r="AL943" s="211"/>
      <c r="AM943" s="211"/>
      <c r="AN943" s="211"/>
      <c r="AO943" s="211"/>
      <c r="AP943" s="215"/>
      <c r="AQ943" s="218"/>
      <c r="AR943" s="211"/>
      <c r="AS943" s="211"/>
      <c r="AT943" s="211"/>
      <c r="AU943" s="211"/>
      <c r="AV943" s="211"/>
      <c r="AW943" s="211"/>
      <c r="AX943" s="211"/>
      <c r="AY943" s="211"/>
      <c r="AZ943" s="211"/>
      <c r="BB943" s="211"/>
      <c r="BC943" s="211"/>
      <c r="BD943" s="211"/>
      <c r="BE943" s="211"/>
      <c r="BF943" s="211"/>
      <c r="BG943" s="211"/>
      <c r="BH943" s="211"/>
      <c r="BI943" s="211"/>
    </row>
    <row r="944">
      <c r="A944" s="210" t="str">
        <f>IFERROR(__xludf.DUMMYFUNCTION("""COMPUTED_VALUE"""),"a1de3cad")</f>
        <v>a1de3cad</v>
      </c>
      <c r="B944" s="210" t="str">
        <f>IFERROR(__xludf.DUMMYFUNCTION("""COMPUTED_VALUE"""),"a1de3cad")</f>
        <v>a1de3cad</v>
      </c>
      <c r="C944" s="213">
        <f>IFERROR(__xludf.DUMMYFUNCTION("""COMPUTED_VALUE"""),45769.75902777778)</f>
        <v>45769.75903</v>
      </c>
      <c r="D944" s="211" t="str">
        <f>IFERROR(__xludf.DUMMYFUNCTION("""COMPUTED_VALUE"""),"785e0e07")</f>
        <v>785e0e07</v>
      </c>
      <c r="E944" s="211" t="str">
        <f>IFERROR(__xludf.DUMMYFUNCTION("""COMPUTED_VALUE"""),"Bpk. Sukirno (Bejo)")</f>
        <v>Bpk. Sukirno (Bejo)</v>
      </c>
      <c r="F944" s="211" t="str">
        <f>IFERROR(__xludf.DUMMYFUNCTION("""COMPUTED_VALUE"""),"8bdbe149")</f>
        <v>8bdbe149</v>
      </c>
      <c r="G944" s="211" t="str">
        <f>IFERROR(__xludf.DUMMYFUNCTION("""COMPUTED_VALUE"""),"Oksigen 6m3")</f>
        <v>Oksigen 6m3</v>
      </c>
      <c r="H944" s="214" t="str">
        <f>IFERROR(__xludf.DUMMYFUNCTION("""COMPUTED_VALUE"""),"IN")</f>
        <v>IN</v>
      </c>
      <c r="I944" s="214" t="str">
        <f>IFERROR(__xludf.DUMMYFUNCTION("""COMPUTED_VALUE"""),"EMPTY")</f>
        <v>EMPTY</v>
      </c>
      <c r="J944" s="211">
        <f>IFERROR(__xludf.DUMMYFUNCTION("""COMPUTED_VALUE"""),7.0)</f>
        <v>7</v>
      </c>
      <c r="K944" s="210" t="str">
        <f>IFERROR(__xludf.DUMMYFUNCTION("""COMPUTED_VALUE"""),"11236 11260 11235 11237 11255 11259 11252")</f>
        <v>11236 11260 11235 11237 11255 11259 11252</v>
      </c>
      <c r="L944" s="211">
        <f>IFERROR(__xludf.DUMMYFUNCTION("""COMPUTED_VALUE"""),0.0)</f>
        <v>0</v>
      </c>
      <c r="M944" s="211"/>
      <c r="N944" s="211"/>
      <c r="O944" s="211"/>
      <c r="Q944" s="210" t="str">
        <f>IFERROR(__xludf.DUMMYFUNCTION("""COMPUTED_VALUE"""),"fd7a3f9f")</f>
        <v>fd7a3f9f</v>
      </c>
      <c r="R944" s="210" t="str">
        <f>IFERROR(__xludf.DUMMYFUNCTION("""COMPUTED_VALUE"""),"fd7a3f9f")</f>
        <v>fd7a3f9f</v>
      </c>
      <c r="S944" s="211" t="str">
        <f>IFERROR(__xludf.DUMMYFUNCTION("""COMPUTED_VALUE"""),"e968afef")</f>
        <v>e968afef</v>
      </c>
      <c r="T944" s="211" t="str">
        <f>IFERROR(__xludf.DUMMYFUNCTION("""COMPUTED_VALUE"""),"Bpk. Agus")</f>
        <v>Bpk. Agus</v>
      </c>
      <c r="U944" s="215">
        <f>IFERROR(__xludf.DUMMYFUNCTION("""COMPUTED_VALUE"""),45838.455555555556)</f>
        <v>45838.45556</v>
      </c>
      <c r="V944" s="211" t="str">
        <f>IFERROR(__xludf.DUMMYFUNCTION("""COMPUTED_VALUE"""),"Jl. Parengan 13, Semawut, Balongbendo, Kec. BalongBendo, Kabupaten Sidoarjo, Jawa Timur 61263")</f>
        <v>Jl. Parengan 13, Semawut, Balongbendo, Kec. BalongBendo, Kabupaten Sidoarjo, Jawa Timur 61263</v>
      </c>
      <c r="W944" s="211" t="str">
        <f>IFERROR(__xludf.DUMMYFUNCTION("""COMPUTED_VALUE"""),"IN")</f>
        <v>IN</v>
      </c>
      <c r="X944" s="211"/>
      <c r="Z944" s="211" t="str">
        <f>IFERROR(__xludf.DUMMYFUNCTION("""COMPUTED_VALUE"""),"07250602")</f>
        <v>07250602</v>
      </c>
      <c r="AC944" s="211"/>
      <c r="AD944" s="211"/>
      <c r="AE944" s="211"/>
      <c r="AF944" s="211"/>
      <c r="AG944" s="211"/>
      <c r="AH944" s="211"/>
      <c r="AI944" s="211"/>
      <c r="AJ944" s="211"/>
      <c r="AL944" s="211"/>
      <c r="AM944" s="211"/>
      <c r="AN944" s="211"/>
      <c r="AO944" s="211"/>
      <c r="AP944" s="215"/>
      <c r="AQ944" s="218"/>
      <c r="AR944" s="211"/>
      <c r="AS944" s="211"/>
      <c r="AT944" s="211"/>
      <c r="AU944" s="211"/>
      <c r="AV944" s="211"/>
      <c r="AW944" s="211"/>
      <c r="AX944" s="211"/>
      <c r="AY944" s="211"/>
      <c r="AZ944" s="211"/>
      <c r="BB944" s="211"/>
      <c r="BC944" s="211"/>
      <c r="BD944" s="211"/>
      <c r="BE944" s="211"/>
      <c r="BF944" s="211"/>
      <c r="BG944" s="211"/>
      <c r="BH944" s="211"/>
      <c r="BI944" s="211"/>
    </row>
    <row r="945">
      <c r="A945" s="210" t="str">
        <f>IFERROR(__xludf.DUMMYFUNCTION("""COMPUTED_VALUE"""),"04250384")</f>
        <v>04250384</v>
      </c>
      <c r="B945" s="210" t="str">
        <f>IFERROR(__xludf.DUMMYFUNCTION("""COMPUTED_VALUE"""),"04250384")</f>
        <v>04250384</v>
      </c>
      <c r="C945" s="213">
        <f>IFERROR(__xludf.DUMMYFUNCTION("""COMPUTED_VALUE"""),45770.35555555556)</f>
        <v>45770.35556</v>
      </c>
      <c r="D945" s="211" t="str">
        <f>IFERROR(__xludf.DUMMYFUNCTION("""COMPUTED_VALUE"""),"8f5ebaea")</f>
        <v>8f5ebaea</v>
      </c>
      <c r="E945" s="211" t="str">
        <f>IFERROR(__xludf.DUMMYFUNCTION("""COMPUTED_VALUE"""),"PT Hua Zong Mesindo")</f>
        <v>PT Hua Zong Mesindo</v>
      </c>
      <c r="F945" s="211" t="str">
        <f>IFERROR(__xludf.DUMMYFUNCTION("""COMPUTED_VALUE"""),"8bdbe149")</f>
        <v>8bdbe149</v>
      </c>
      <c r="G945" s="211" t="str">
        <f>IFERROR(__xludf.DUMMYFUNCTION("""COMPUTED_VALUE"""),"Oksigen 6m3")</f>
        <v>Oksigen 6m3</v>
      </c>
      <c r="H945" s="214" t="str">
        <f>IFERROR(__xludf.DUMMYFUNCTION("""COMPUTED_VALUE"""),"OUT")</f>
        <v>OUT</v>
      </c>
      <c r="I945" s="214" t="str">
        <f>IFERROR(__xludf.DUMMYFUNCTION("""COMPUTED_VALUE"""),"NORMAL")</f>
        <v>NORMAL</v>
      </c>
      <c r="J945" s="211">
        <f>IFERROR(__xludf.DUMMYFUNCTION("""COMPUTED_VALUE"""),3.0)</f>
        <v>3</v>
      </c>
      <c r="K945" s="210" t="str">
        <f>IFERROR(__xludf.DUMMYFUNCTION("""COMPUTED_VALUE"""),"1149 1130 1146")</f>
        <v>1149 1130 1146</v>
      </c>
      <c r="L945" s="211">
        <f>IFERROR(__xludf.DUMMYFUNCTION("""COMPUTED_VALUE"""),60000.0)</f>
        <v>60000</v>
      </c>
      <c r="M945" s="211"/>
      <c r="N945" s="211"/>
      <c r="O945" s="211"/>
      <c r="Q945" s="210" t="str">
        <f>IFERROR(__xludf.DUMMYFUNCTION("""COMPUTED_VALUE"""),"624023cb")</f>
        <v>624023cb</v>
      </c>
      <c r="R945" s="210" t="str">
        <f>IFERROR(__xludf.DUMMYFUNCTION("""COMPUTED_VALUE"""),"624023cb")</f>
        <v>624023cb</v>
      </c>
      <c r="S945" s="211" t="str">
        <f>IFERROR(__xludf.DUMMYFUNCTION("""COMPUTED_VALUE"""),"ec231cc9")</f>
        <v>ec231cc9</v>
      </c>
      <c r="T945" s="211" t="str">
        <f>IFERROR(__xludf.DUMMYFUNCTION("""COMPUTED_VALUE"""),"Bpk. Kohir (Maintenance Velg)")</f>
        <v>Bpk. Kohir (Maintenance Velg)</v>
      </c>
      <c r="U945" s="215">
        <f>IFERROR(__xludf.DUMMYFUNCTION("""COMPUTED_VALUE"""),45838.45625)</f>
        <v>45838.45625</v>
      </c>
      <c r="V945" s="211" t="str">
        <f>IFERROR(__xludf.DUMMYFUNCTION("""COMPUTED_VALUE"""),"Jl. Lkr. Bypass Krian Timur, Sidogolong, Watugolong, Kec. Krian, Kabupaten Sidoarjo, Jawa Timur 61262")</f>
        <v>Jl. Lkr. Bypass Krian Timur, Sidogolong, Watugolong, Kec. Krian, Kabupaten Sidoarjo, Jawa Timur 61262</v>
      </c>
      <c r="W945" s="211" t="str">
        <f>IFERROR(__xludf.DUMMYFUNCTION("""COMPUTED_VALUE"""),"IN")</f>
        <v>IN</v>
      </c>
      <c r="X945" s="211"/>
      <c r="Z945" s="211" t="str">
        <f>IFERROR(__xludf.DUMMYFUNCTION("""COMPUTED_VALUE"""),"07250604")</f>
        <v>07250604</v>
      </c>
      <c r="AC945" s="211"/>
      <c r="AD945" s="211"/>
      <c r="AE945" s="211"/>
      <c r="AF945" s="211"/>
      <c r="AG945" s="211"/>
      <c r="AH945" s="211"/>
      <c r="AI945" s="211"/>
      <c r="AJ945" s="211"/>
      <c r="AL945" s="211"/>
      <c r="AM945" s="211"/>
      <c r="AN945" s="211"/>
      <c r="AO945" s="211"/>
      <c r="AP945" s="215"/>
      <c r="AQ945" s="218"/>
      <c r="AR945" s="211"/>
      <c r="AS945" s="211"/>
      <c r="AT945" s="211"/>
      <c r="AU945" s="211"/>
      <c r="AV945" s="211"/>
      <c r="AW945" s="211"/>
      <c r="AX945" s="211"/>
      <c r="AY945" s="211"/>
      <c r="AZ945" s="211"/>
      <c r="BB945" s="211"/>
      <c r="BC945" s="211"/>
      <c r="BD945" s="211"/>
      <c r="BE945" s="211"/>
      <c r="BF945" s="211"/>
      <c r="BG945" s="211"/>
      <c r="BH945" s="211"/>
      <c r="BI945" s="211"/>
    </row>
    <row r="946">
      <c r="A946" s="210" t="str">
        <f>IFERROR(__xludf.DUMMYFUNCTION("""COMPUTED_VALUE"""),"404250015")</f>
        <v>404250015</v>
      </c>
      <c r="B946" s="210" t="str">
        <f>IFERROR(__xludf.DUMMYFUNCTION("""COMPUTED_VALUE"""),"404250015")</f>
        <v>404250015</v>
      </c>
      <c r="C946" s="213">
        <f>IFERROR(__xludf.DUMMYFUNCTION("""COMPUTED_VALUE"""),45770.3625)</f>
        <v>45770.3625</v>
      </c>
      <c r="D946" s="211" t="str">
        <f>IFERROR(__xludf.DUMMYFUNCTION("""COMPUTED_VALUE"""),"01158be1")</f>
        <v>01158be1</v>
      </c>
      <c r="E946" s="211" t="str">
        <f>IFERROR(__xludf.DUMMYFUNCTION("""COMPUTED_VALUE"""),"GYF")</f>
        <v>GYF</v>
      </c>
      <c r="F946" s="211" t="str">
        <f>IFERROR(__xludf.DUMMYFUNCTION("""COMPUTED_VALUE"""),"66af7c72")</f>
        <v>66af7c72</v>
      </c>
      <c r="G946" s="211" t="str">
        <f>IFERROR(__xludf.DUMMYFUNCTION("""COMPUTED_VALUE"""),"Argon 6m3")</f>
        <v>Argon 6m3</v>
      </c>
      <c r="H946" s="214" t="str">
        <f>IFERROR(__xludf.DUMMYFUNCTION("""COMPUTED_VALUE"""),"OTHER")</f>
        <v>OTHER</v>
      </c>
      <c r="I946" s="214" t="str">
        <f>IFERROR(__xludf.DUMMYFUNCTION("""COMPUTED_VALUE"""),"RETUR CLAIM")</f>
        <v>RETUR CLAIM</v>
      </c>
      <c r="J946" s="211">
        <f>IFERROR(__xludf.DUMMYFUNCTION("""COMPUTED_VALUE"""),1.0)</f>
        <v>1</v>
      </c>
      <c r="K946" s="210" t="str">
        <f>IFERROR(__xludf.DUMMYFUNCTION("""COMPUTED_VALUE"""),"12028")</f>
        <v>12028</v>
      </c>
      <c r="L946" s="211">
        <f>IFERROR(__xludf.DUMMYFUNCTION("""COMPUTED_VALUE"""),0.0)</f>
        <v>0</v>
      </c>
      <c r="M946" s="211"/>
      <c r="N946" s="211"/>
      <c r="O946" s="211"/>
      <c r="Q946" s="210" t="str">
        <f>IFERROR(__xludf.DUMMYFUNCTION("""COMPUTED_VALUE"""),"c70c93ad")</f>
        <v>c70c93ad</v>
      </c>
      <c r="R946" s="210" t="str">
        <f>IFERROR(__xludf.DUMMYFUNCTION("""COMPUTED_VALUE"""),"c70c93ad")</f>
        <v>c70c93ad</v>
      </c>
      <c r="S946" s="211" t="str">
        <f>IFERROR(__xludf.DUMMYFUNCTION("""COMPUTED_VALUE"""),"b2b5f2c5")</f>
        <v>b2b5f2c5</v>
      </c>
      <c r="T946" s="211" t="str">
        <f>IFERROR(__xludf.DUMMYFUNCTION("""COMPUTED_VALUE"""),"Bengkel Las Bpk. Ari")</f>
        <v>Bengkel Las Bpk. Ari</v>
      </c>
      <c r="U946" s="215">
        <f>IFERROR(__xludf.DUMMYFUNCTION("""COMPUTED_VALUE"""),45838.461805555555)</f>
        <v>45838.46181</v>
      </c>
      <c r="V946" s="211" t="str">
        <f>IFERROR(__xludf.DUMMYFUNCTION("""COMPUTED_VALUE"""),"Sumber Kembar, Wonodadi, Kec. Kutorejo, Kabupaten Mojokerto, Jawa Timur")</f>
        <v>Sumber Kembar, Wonodadi, Kec. Kutorejo, Kabupaten Mojokerto, Jawa Timur</v>
      </c>
      <c r="W946" s="211" t="str">
        <f>IFERROR(__xludf.DUMMYFUNCTION("""COMPUTED_VALUE"""),"IN")</f>
        <v>IN</v>
      </c>
      <c r="X946" s="211"/>
      <c r="Z946" s="211" t="str">
        <f>IFERROR(__xludf.DUMMYFUNCTION("""COMPUTED_VALUE"""),"07250599")</f>
        <v>07250599</v>
      </c>
      <c r="AC946" s="211"/>
      <c r="AD946" s="211"/>
      <c r="AE946" s="211"/>
      <c r="AF946" s="211"/>
      <c r="AG946" s="211"/>
      <c r="AH946" s="211"/>
      <c r="AI946" s="211"/>
      <c r="AJ946" s="211"/>
      <c r="AL946" s="211"/>
      <c r="AM946" s="211"/>
      <c r="AN946" s="211"/>
      <c r="AO946" s="211"/>
      <c r="AP946" s="215"/>
      <c r="AQ946" s="218"/>
      <c r="AR946" s="211"/>
      <c r="AS946" s="211"/>
      <c r="AT946" s="211"/>
      <c r="AU946" s="211"/>
      <c r="AV946" s="211"/>
      <c r="AW946" s="211"/>
      <c r="AX946" s="211"/>
      <c r="AY946" s="211"/>
      <c r="AZ946" s="211"/>
      <c r="BB946" s="211"/>
      <c r="BC946" s="211"/>
      <c r="BD946" s="211"/>
      <c r="BE946" s="211"/>
      <c r="BF946" s="211"/>
      <c r="BG946" s="211"/>
      <c r="BH946" s="211"/>
      <c r="BI946" s="211"/>
    </row>
    <row r="947">
      <c r="A947" s="210" t="str">
        <f>IFERROR(__xludf.DUMMYFUNCTION("""COMPUTED_VALUE"""),"04250385")</f>
        <v>04250385</v>
      </c>
      <c r="B947" s="210" t="str">
        <f>IFERROR(__xludf.DUMMYFUNCTION("""COMPUTED_VALUE"""),"04250385")</f>
        <v>04250385</v>
      </c>
      <c r="C947" s="213">
        <f>IFERROR(__xludf.DUMMYFUNCTION("""COMPUTED_VALUE"""),45770.37569444445)</f>
        <v>45770.37569</v>
      </c>
      <c r="D947" s="211" t="str">
        <f>IFERROR(__xludf.DUMMYFUNCTION("""COMPUTED_VALUE"""),"5f23ba17")</f>
        <v>5f23ba17</v>
      </c>
      <c r="E947" s="211" t="str">
        <f>IFERROR(__xludf.DUMMYFUNCTION("""COMPUTED_VALUE"""),"Bpk. Joko (Gresik)")</f>
        <v>Bpk. Joko (Gresik)</v>
      </c>
      <c r="F947" s="211" t="str">
        <f>IFERROR(__xludf.DUMMYFUNCTION("""COMPUTED_VALUE"""),"f6aab7a9")</f>
        <v>f6aab7a9</v>
      </c>
      <c r="G947" s="211" t="str">
        <f>IFERROR(__xludf.DUMMYFUNCTION("""COMPUTED_VALUE"""),"Oksigen 6m3 MR")</f>
        <v>Oksigen 6m3 MR</v>
      </c>
      <c r="H947" s="214" t="str">
        <f>IFERROR(__xludf.DUMMYFUNCTION("""COMPUTED_VALUE"""),"OUT")</f>
        <v>OUT</v>
      </c>
      <c r="I947" s="214" t="str">
        <f>IFERROR(__xludf.DUMMYFUNCTION("""COMPUTED_VALUE"""),"NORMAL")</f>
        <v>NORMAL</v>
      </c>
      <c r="J947" s="211">
        <f>IFERROR(__xludf.DUMMYFUNCTION("""COMPUTED_VALUE"""),4.0)</f>
        <v>4</v>
      </c>
      <c r="K947" s="211"/>
      <c r="L947" s="211">
        <f>IFERROR(__xludf.DUMMYFUNCTION("""COMPUTED_VALUE"""),55000.0)</f>
        <v>55000</v>
      </c>
      <c r="M947" s="211"/>
      <c r="N947" s="211"/>
      <c r="O947" s="211"/>
      <c r="Q947" s="210" t="str">
        <f>IFERROR(__xludf.DUMMYFUNCTION("""COMPUTED_VALUE"""),"f45a5cc7")</f>
        <v>f45a5cc7</v>
      </c>
      <c r="R947" s="210" t="str">
        <f>IFERROR(__xludf.DUMMYFUNCTION("""COMPUTED_VALUE"""),"f45a5cc7")</f>
        <v>f45a5cc7</v>
      </c>
      <c r="S947" s="211" t="str">
        <f>IFERROR(__xludf.DUMMYFUNCTION("""COMPUTED_VALUE"""),"103f3ae7")</f>
        <v>103f3ae7</v>
      </c>
      <c r="T947" s="211" t="str">
        <f>IFERROR(__xludf.DUMMYFUNCTION("""COMPUTED_VALUE"""),"PT ARYANA CAKASANA")</f>
        <v>PT ARYANA CAKASANA</v>
      </c>
      <c r="U947" s="215">
        <f>IFERROR(__xludf.DUMMYFUNCTION("""COMPUTED_VALUE"""),45838.70486111111)</f>
        <v>45838.70486</v>
      </c>
      <c r="V947" s="211" t="str">
        <f>IFERROR(__xludf.DUMMYFUNCTION("""COMPUTED_VALUE"""),"Jl Raya Tarik No. 45, Wonokupang, Bakalan, Balongbendo")</f>
        <v>Jl Raya Tarik No. 45, Wonokupang, Bakalan, Balongbendo</v>
      </c>
      <c r="W947" s="211" t="str">
        <f>IFERROR(__xludf.DUMMYFUNCTION("""COMPUTED_VALUE"""),"IN")</f>
        <v>IN</v>
      </c>
      <c r="X947" s="211"/>
      <c r="Z947" s="211" t="str">
        <f>IFERROR(__xludf.DUMMYFUNCTION("""COMPUTED_VALUE"""),"07250598")</f>
        <v>07250598</v>
      </c>
      <c r="AC947" s="211"/>
      <c r="AD947" s="211"/>
      <c r="AE947" s="211"/>
      <c r="AF947" s="211"/>
      <c r="AG947" s="211"/>
      <c r="AH947" s="211"/>
      <c r="AI947" s="211"/>
      <c r="AJ947" s="211"/>
      <c r="AL947" s="211"/>
      <c r="AM947" s="211"/>
      <c r="AN947" s="211"/>
      <c r="AO947" s="211"/>
      <c r="AP947" s="215"/>
      <c r="AQ947" s="218"/>
      <c r="AR947" s="211"/>
      <c r="AS947" s="211"/>
      <c r="AT947" s="211"/>
      <c r="AU947" s="211"/>
      <c r="AV947" s="211"/>
      <c r="AW947" s="211"/>
      <c r="AX947" s="211"/>
      <c r="AY947" s="211"/>
      <c r="AZ947" s="211"/>
      <c r="BB947" s="211"/>
      <c r="BC947" s="211"/>
      <c r="BD947" s="211"/>
      <c r="BE947" s="211"/>
      <c r="BF947" s="211"/>
      <c r="BG947" s="211"/>
      <c r="BH947" s="211"/>
      <c r="BI947" s="211"/>
    </row>
    <row r="948">
      <c r="A948" s="210" t="str">
        <f>IFERROR(__xludf.DUMMYFUNCTION("""COMPUTED_VALUE"""),"e66080ee")</f>
        <v>e66080ee</v>
      </c>
      <c r="B948" s="210" t="str">
        <f>IFERROR(__xludf.DUMMYFUNCTION("""COMPUTED_VALUE"""),"e66080ee")</f>
        <v>e66080ee</v>
      </c>
      <c r="C948" s="213">
        <f>IFERROR(__xludf.DUMMYFUNCTION("""COMPUTED_VALUE"""),45770.52777777778)</f>
        <v>45770.52778</v>
      </c>
      <c r="D948" s="211" t="str">
        <f>IFERROR(__xludf.DUMMYFUNCTION("""COMPUTED_VALUE"""),"8f5ebaea")</f>
        <v>8f5ebaea</v>
      </c>
      <c r="E948" s="211" t="str">
        <f>IFERROR(__xludf.DUMMYFUNCTION("""COMPUTED_VALUE"""),"PT Hua Zong Mesindo")</f>
        <v>PT Hua Zong Mesindo</v>
      </c>
      <c r="F948" s="211" t="str">
        <f>IFERROR(__xludf.DUMMYFUNCTION("""COMPUTED_VALUE"""),"8bdbe149")</f>
        <v>8bdbe149</v>
      </c>
      <c r="G948" s="211" t="str">
        <f>IFERROR(__xludf.DUMMYFUNCTION("""COMPUTED_VALUE"""),"Oksigen 6m3")</f>
        <v>Oksigen 6m3</v>
      </c>
      <c r="H948" s="214" t="str">
        <f>IFERROR(__xludf.DUMMYFUNCTION("""COMPUTED_VALUE"""),"IN")</f>
        <v>IN</v>
      </c>
      <c r="I948" s="214" t="str">
        <f>IFERROR(__xludf.DUMMYFUNCTION("""COMPUTED_VALUE"""),"EMPTY")</f>
        <v>EMPTY</v>
      </c>
      <c r="J948" s="211">
        <f>IFERROR(__xludf.DUMMYFUNCTION("""COMPUTED_VALUE"""),5.0)</f>
        <v>5</v>
      </c>
      <c r="K948" s="210" t="str">
        <f>IFERROR(__xludf.DUMMYFUNCTION("""COMPUTED_VALUE"""),"1186 1124 1158 1185 11117")</f>
        <v>1186 1124 1158 1185 11117</v>
      </c>
      <c r="L948" s="211">
        <f>IFERROR(__xludf.DUMMYFUNCTION("""COMPUTED_VALUE"""),0.0)</f>
        <v>0</v>
      </c>
      <c r="M948" s="211"/>
      <c r="N948" s="211"/>
      <c r="O948" s="211"/>
      <c r="Q948" s="210" t="str">
        <f>IFERROR(__xludf.DUMMYFUNCTION("""COMPUTED_VALUE"""),"07250550")</f>
        <v>07250550</v>
      </c>
      <c r="R948" s="210" t="str">
        <f>IFERROR(__xludf.DUMMYFUNCTION("""COMPUTED_VALUE"""),"07250550")</f>
        <v>07250550</v>
      </c>
      <c r="S948" s="211" t="str">
        <f>IFERROR(__xludf.DUMMYFUNCTION("""COMPUTED_VALUE"""),"e968afef")</f>
        <v>e968afef</v>
      </c>
      <c r="T948" s="211" t="str">
        <f>IFERROR(__xludf.DUMMYFUNCTION("""COMPUTED_VALUE"""),"Bpk. Agus")</f>
        <v>Bpk. Agus</v>
      </c>
      <c r="U948" s="215">
        <f>IFERROR(__xludf.DUMMYFUNCTION("""COMPUTED_VALUE"""),45839.368055555555)</f>
        <v>45839.36806</v>
      </c>
      <c r="V948" s="211" t="str">
        <f>IFERROR(__xludf.DUMMYFUNCTION("""COMPUTED_VALUE"""),"Jl. Parengan 13, Semawut, Balongbendo, Kec. BalongBendo, Kabupaten Sidoarjo, Jawa Timur 61263")</f>
        <v>Jl. Parengan 13, Semawut, Balongbendo, Kec. BalongBendo, Kabupaten Sidoarjo, Jawa Timur 61263</v>
      </c>
      <c r="W948" s="211" t="str">
        <f>IFERROR(__xludf.DUMMYFUNCTION("""COMPUTED_VALUE"""),"OUT")</f>
        <v>OUT</v>
      </c>
      <c r="X948" s="211"/>
      <c r="Z948" s="211" t="str">
        <f>IFERROR(__xludf.DUMMYFUNCTION("""COMPUTED_VALUE"""),"07250596")</f>
        <v>07250596</v>
      </c>
      <c r="AC948" s="211"/>
      <c r="AD948" s="211"/>
      <c r="AE948" s="211"/>
      <c r="AF948" s="211"/>
      <c r="AG948" s="211"/>
      <c r="AH948" s="211"/>
      <c r="AI948" s="211"/>
      <c r="AJ948" s="211"/>
      <c r="AL948" s="211"/>
      <c r="AM948" s="211"/>
      <c r="AN948" s="211"/>
      <c r="AO948" s="211"/>
      <c r="AP948" s="215"/>
      <c r="AQ948" s="218"/>
      <c r="AR948" s="211"/>
      <c r="AS948" s="211"/>
      <c r="AT948" s="211"/>
      <c r="AU948" s="211"/>
      <c r="AV948" s="211"/>
      <c r="AW948" s="211"/>
      <c r="AX948" s="211"/>
      <c r="AY948" s="211"/>
      <c r="AZ948" s="211"/>
      <c r="BB948" s="211"/>
      <c r="BC948" s="211"/>
      <c r="BD948" s="211"/>
      <c r="BE948" s="211"/>
      <c r="BF948" s="211"/>
      <c r="BG948" s="211"/>
      <c r="BH948" s="211"/>
      <c r="BI948" s="211"/>
    </row>
    <row r="949">
      <c r="A949" s="210" t="str">
        <f>IFERROR(__xludf.DUMMYFUNCTION("""COMPUTED_VALUE"""),"e66080ee")</f>
        <v>e66080ee</v>
      </c>
      <c r="B949" s="210" t="str">
        <f>IFERROR(__xludf.DUMMYFUNCTION("""COMPUTED_VALUE"""),"e66080ee")</f>
        <v>e66080ee</v>
      </c>
      <c r="C949" s="213">
        <f>IFERROR(__xludf.DUMMYFUNCTION("""COMPUTED_VALUE"""),45770.52847222222)</f>
        <v>45770.52847</v>
      </c>
      <c r="D949" s="211" t="str">
        <f>IFERROR(__xludf.DUMMYFUNCTION("""COMPUTED_VALUE"""),"8f5ebaea")</f>
        <v>8f5ebaea</v>
      </c>
      <c r="E949" s="211" t="str">
        <f>IFERROR(__xludf.DUMMYFUNCTION("""COMPUTED_VALUE"""),"PT Hua Zong Mesindo")</f>
        <v>PT Hua Zong Mesindo</v>
      </c>
      <c r="F949" s="211" t="str">
        <f>IFERROR(__xludf.DUMMYFUNCTION("""COMPUTED_VALUE"""),"ef306e54")</f>
        <v>ef306e54</v>
      </c>
      <c r="G949" s="211" t="str">
        <f>IFERROR(__xludf.DUMMYFUNCTION("""COMPUTED_VALUE"""),"Karbondioksida")</f>
        <v>Karbondioksida</v>
      </c>
      <c r="H949" s="214" t="str">
        <f>IFERROR(__xludf.DUMMYFUNCTION("""COMPUTED_VALUE"""),"IN")</f>
        <v>IN</v>
      </c>
      <c r="I949" s="214" t="str">
        <f>IFERROR(__xludf.DUMMYFUNCTION("""COMPUTED_VALUE"""),"EMPTY")</f>
        <v>EMPTY</v>
      </c>
      <c r="J949" s="211">
        <f>IFERROR(__xludf.DUMMYFUNCTION("""COMPUTED_VALUE"""),1.0)</f>
        <v>1</v>
      </c>
      <c r="K949" s="210" t="str">
        <f>IFERROR(__xludf.DUMMYFUNCTION("""COMPUTED_VALUE"""),"6612")</f>
        <v>6612</v>
      </c>
      <c r="L949" s="211">
        <f>IFERROR(__xludf.DUMMYFUNCTION("""COMPUTED_VALUE"""),0.0)</f>
        <v>0</v>
      </c>
      <c r="M949" s="211"/>
      <c r="N949" s="211"/>
      <c r="O949" s="211"/>
      <c r="Q949" s="210" t="str">
        <f>IFERROR(__xludf.DUMMYFUNCTION("""COMPUTED_VALUE"""),"07250551")</f>
        <v>07250551</v>
      </c>
      <c r="R949" s="210" t="str">
        <f>IFERROR(__xludf.DUMMYFUNCTION("""COMPUTED_VALUE"""),"07250551")</f>
        <v>07250551</v>
      </c>
      <c r="S949" s="211" t="str">
        <f>IFERROR(__xludf.DUMMYFUNCTION("""COMPUTED_VALUE"""),"e76bc39c")</f>
        <v>e76bc39c</v>
      </c>
      <c r="T949" s="211" t="str">
        <f>IFERROR(__xludf.DUMMYFUNCTION("""COMPUTED_VALUE"""),"Bpk. Irul")</f>
        <v>Bpk. Irul</v>
      </c>
      <c r="U949" s="215">
        <f>IFERROR(__xludf.DUMMYFUNCTION("""COMPUTED_VALUE"""),45839.36944444444)</f>
        <v>45839.36944</v>
      </c>
      <c r="V949" s="211" t="str">
        <f>IFERROR(__xludf.DUMMYFUNCTION("""COMPUTED_VALUE"""),"Jl. Mayjen Bambang Yuwono, Ciro Kulon, Bakungtemenggungan, Kec. BalongBendo, Kabupaten Sidoarjo, Jawa Timur 61263")</f>
        <v>Jl. Mayjen Bambang Yuwono, Ciro Kulon, Bakungtemenggungan, Kec. BalongBendo, Kabupaten Sidoarjo, Jawa Timur 61263</v>
      </c>
      <c r="W949" s="211" t="str">
        <f>IFERROR(__xludf.DUMMYFUNCTION("""COMPUTED_VALUE"""),"OUT")</f>
        <v>OUT</v>
      </c>
      <c r="X949" s="211"/>
      <c r="Z949" s="211" t="str">
        <f>IFERROR(__xludf.DUMMYFUNCTION("""COMPUTED_VALUE"""),"07250595")</f>
        <v>07250595</v>
      </c>
      <c r="AC949" s="211"/>
      <c r="AD949" s="211"/>
      <c r="AE949" s="211"/>
      <c r="AF949" s="211"/>
      <c r="AG949" s="211"/>
      <c r="AH949" s="211"/>
      <c r="AI949" s="211"/>
      <c r="AJ949" s="211"/>
      <c r="AL949" s="211"/>
      <c r="AM949" s="211"/>
      <c r="AN949" s="211"/>
      <c r="AO949" s="211"/>
      <c r="AP949" s="215"/>
      <c r="AQ949" s="218"/>
      <c r="AR949" s="211"/>
      <c r="AS949" s="211"/>
      <c r="AT949" s="211"/>
      <c r="AU949" s="211"/>
      <c r="AV949" s="211"/>
      <c r="AW949" s="211"/>
      <c r="AX949" s="211"/>
      <c r="AY949" s="211"/>
      <c r="AZ949" s="211"/>
      <c r="BB949" s="211"/>
      <c r="BC949" s="211"/>
      <c r="BD949" s="211"/>
      <c r="BE949" s="211"/>
      <c r="BF949" s="211"/>
      <c r="BG949" s="211"/>
      <c r="BH949" s="211"/>
      <c r="BI949" s="211"/>
    </row>
    <row r="950">
      <c r="A950" s="210" t="str">
        <f>IFERROR(__xludf.DUMMYFUNCTION("""COMPUTED_VALUE"""),"e66080ee")</f>
        <v>e66080ee</v>
      </c>
      <c r="B950" s="210" t="str">
        <f>IFERROR(__xludf.DUMMYFUNCTION("""COMPUTED_VALUE"""),"e66080ee")</f>
        <v>e66080ee</v>
      </c>
      <c r="C950" s="213">
        <f>IFERROR(__xludf.DUMMYFUNCTION("""COMPUTED_VALUE"""),45770.52847222222)</f>
        <v>45770.52847</v>
      </c>
      <c r="D950" s="211" t="str">
        <f>IFERROR(__xludf.DUMMYFUNCTION("""COMPUTED_VALUE"""),"8f5ebaea")</f>
        <v>8f5ebaea</v>
      </c>
      <c r="E950" s="211" t="str">
        <f>IFERROR(__xludf.DUMMYFUNCTION("""COMPUTED_VALUE"""),"PT Hua Zong Mesindo")</f>
        <v>PT Hua Zong Mesindo</v>
      </c>
      <c r="F950" s="211" t="str">
        <f>IFERROR(__xludf.DUMMYFUNCTION("""COMPUTED_VALUE"""),"66af7c72")</f>
        <v>66af7c72</v>
      </c>
      <c r="G950" s="211" t="str">
        <f>IFERROR(__xludf.DUMMYFUNCTION("""COMPUTED_VALUE"""),"Argon 6m3")</f>
        <v>Argon 6m3</v>
      </c>
      <c r="H950" s="214" t="str">
        <f>IFERROR(__xludf.DUMMYFUNCTION("""COMPUTED_VALUE"""),"IN")</f>
        <v>IN</v>
      </c>
      <c r="I950" s="214" t="str">
        <f>IFERROR(__xludf.DUMMYFUNCTION("""COMPUTED_VALUE"""),"EMPTY")</f>
        <v>EMPTY</v>
      </c>
      <c r="J950" s="211">
        <f>IFERROR(__xludf.DUMMYFUNCTION("""COMPUTED_VALUE"""),1.0)</f>
        <v>1</v>
      </c>
      <c r="K950" s="210" t="str">
        <f>IFERROR(__xludf.DUMMYFUNCTION("""COMPUTED_VALUE"""),"1131")</f>
        <v>1131</v>
      </c>
      <c r="L950" s="211">
        <f>IFERROR(__xludf.DUMMYFUNCTION("""COMPUTED_VALUE"""),0.0)</f>
        <v>0</v>
      </c>
      <c r="M950" s="211"/>
      <c r="N950" s="211"/>
      <c r="O950" s="211"/>
      <c r="Q950" s="210" t="str">
        <f>IFERROR(__xludf.DUMMYFUNCTION("""COMPUTED_VALUE"""),"07250552")</f>
        <v>07250552</v>
      </c>
      <c r="R950" s="210" t="str">
        <f>IFERROR(__xludf.DUMMYFUNCTION("""COMPUTED_VALUE"""),"07250552")</f>
        <v>07250552</v>
      </c>
      <c r="S950" s="211" t="str">
        <f>IFERROR(__xludf.DUMMYFUNCTION("""COMPUTED_VALUE"""),"01158be1")</f>
        <v>01158be1</v>
      </c>
      <c r="T950" s="211" t="str">
        <f>IFERROR(__xludf.DUMMYFUNCTION("""COMPUTED_VALUE"""),"GYF")</f>
        <v>GYF</v>
      </c>
      <c r="U950" s="215">
        <f>IFERROR(__xludf.DUMMYFUNCTION("""COMPUTED_VALUE"""),45839.40555555555)</f>
        <v>45839.40556</v>
      </c>
      <c r="V950" s="211" t="str">
        <f>IFERROR(__xludf.DUMMYFUNCTION("""COMPUTED_VALUE"""),"Kangkungan, Lengkong, Kec. Mojoanyar, Kabupaten Mojokerto, Jawa Timur")</f>
        <v>Kangkungan, Lengkong, Kec. Mojoanyar, Kabupaten Mojokerto, Jawa Timur</v>
      </c>
      <c r="W950" s="211" t="str">
        <f>IFERROR(__xludf.DUMMYFUNCTION("""COMPUTED_VALUE"""),"OUT")</f>
        <v>OUT</v>
      </c>
      <c r="X950" s="211"/>
      <c r="Z950" s="211" t="str">
        <f>IFERROR(__xludf.DUMMYFUNCTION("""COMPUTED_VALUE"""),"07250594")</f>
        <v>07250594</v>
      </c>
      <c r="AC950" s="211"/>
      <c r="AD950" s="211"/>
      <c r="AE950" s="211"/>
      <c r="AF950" s="211"/>
      <c r="AG950" s="211"/>
      <c r="AH950" s="211"/>
      <c r="AI950" s="211"/>
      <c r="AJ950" s="211"/>
      <c r="AL950" s="211"/>
      <c r="AM950" s="211"/>
      <c r="AN950" s="211"/>
      <c r="AO950" s="211"/>
      <c r="AP950" s="215"/>
      <c r="AQ950" s="218"/>
      <c r="AR950" s="211"/>
      <c r="AS950" s="211"/>
      <c r="AT950" s="211"/>
      <c r="AU950" s="211"/>
      <c r="AV950" s="211"/>
      <c r="AW950" s="211"/>
      <c r="AX950" s="211"/>
      <c r="AY950" s="211"/>
      <c r="AZ950" s="211"/>
      <c r="BB950" s="211"/>
      <c r="BC950" s="211"/>
      <c r="BD950" s="211"/>
      <c r="BE950" s="211"/>
      <c r="BF950" s="211"/>
      <c r="BG950" s="211"/>
      <c r="BH950" s="211"/>
      <c r="BI950" s="211"/>
    </row>
    <row r="951">
      <c r="A951" s="210" t="str">
        <f>IFERROR(__xludf.DUMMYFUNCTION("""COMPUTED_VALUE"""),"fab5f382")</f>
        <v>fab5f382</v>
      </c>
      <c r="B951" s="210" t="str">
        <f>IFERROR(__xludf.DUMMYFUNCTION("""COMPUTED_VALUE"""),"fab5f382")</f>
        <v>fab5f382</v>
      </c>
      <c r="C951" s="213">
        <f>IFERROR(__xludf.DUMMYFUNCTION("""COMPUTED_VALUE"""),45770.52847222222)</f>
        <v>45770.52847</v>
      </c>
      <c r="D951" s="211" t="str">
        <f>IFERROR(__xludf.DUMMYFUNCTION("""COMPUTED_VALUE"""),"01158be1")</f>
        <v>01158be1</v>
      </c>
      <c r="E951" s="211" t="str">
        <f>IFERROR(__xludf.DUMMYFUNCTION("""COMPUTED_VALUE"""),"GYF")</f>
        <v>GYF</v>
      </c>
      <c r="F951" s="211" t="str">
        <f>IFERROR(__xludf.DUMMYFUNCTION("""COMPUTED_VALUE"""),"8bdbe149")</f>
        <v>8bdbe149</v>
      </c>
      <c r="G951" s="211" t="str">
        <f>IFERROR(__xludf.DUMMYFUNCTION("""COMPUTED_VALUE"""),"Oksigen 6m3")</f>
        <v>Oksigen 6m3</v>
      </c>
      <c r="H951" s="214" t="str">
        <f>IFERROR(__xludf.DUMMYFUNCTION("""COMPUTED_VALUE"""),"IN")</f>
        <v>IN</v>
      </c>
      <c r="I951" s="214" t="str">
        <f>IFERROR(__xludf.DUMMYFUNCTION("""COMPUTED_VALUE"""),"EMPTY")</f>
        <v>EMPTY</v>
      </c>
      <c r="J951" s="211">
        <f>IFERROR(__xludf.DUMMYFUNCTION("""COMPUTED_VALUE"""),3.0)</f>
        <v>3</v>
      </c>
      <c r="K951" s="210" t="str">
        <f>IFERROR(__xludf.DUMMYFUNCTION("""COMPUTED_VALUE"""),"11167 11208 11138")</f>
        <v>11167 11208 11138</v>
      </c>
      <c r="L951" s="211">
        <f>IFERROR(__xludf.DUMMYFUNCTION("""COMPUTED_VALUE"""),0.0)</f>
        <v>0</v>
      </c>
      <c r="M951" s="211"/>
      <c r="N951" s="211"/>
      <c r="O951" s="211"/>
      <c r="Q951" s="210" t="str">
        <f>IFERROR(__xludf.DUMMYFUNCTION("""COMPUTED_VALUE"""),"68f0d65c")</f>
        <v>68f0d65c</v>
      </c>
      <c r="R951" s="210" t="str">
        <f>IFERROR(__xludf.DUMMYFUNCTION("""COMPUTED_VALUE"""),"68f0d65c")</f>
        <v>68f0d65c</v>
      </c>
      <c r="S951" s="211" t="str">
        <f>IFERROR(__xludf.DUMMYFUNCTION("""COMPUTED_VALUE"""),"e968afef")</f>
        <v>e968afef</v>
      </c>
      <c r="T951" s="211" t="str">
        <f>IFERROR(__xludf.DUMMYFUNCTION("""COMPUTED_VALUE"""),"Bpk. Agus")</f>
        <v>Bpk. Agus</v>
      </c>
      <c r="U951" s="215">
        <f>IFERROR(__xludf.DUMMYFUNCTION("""COMPUTED_VALUE"""),45839.48125)</f>
        <v>45839.48125</v>
      </c>
      <c r="V951" s="211" t="str">
        <f>IFERROR(__xludf.DUMMYFUNCTION("""COMPUTED_VALUE"""),"Jl. Parengan 13, Semawut, Balongbendo, Kec. BalongBendo, Kabupaten Sidoarjo, Jawa Timur 61263")</f>
        <v>Jl. Parengan 13, Semawut, Balongbendo, Kec. BalongBendo, Kabupaten Sidoarjo, Jawa Timur 61263</v>
      </c>
      <c r="W951" s="211" t="str">
        <f>IFERROR(__xludf.DUMMYFUNCTION("""COMPUTED_VALUE"""),"IN")</f>
        <v>IN</v>
      </c>
      <c r="X951" s="211"/>
      <c r="Z951" s="211" t="str">
        <f>IFERROR(__xludf.DUMMYFUNCTION("""COMPUTED_VALUE"""),"07250591")</f>
        <v>07250591</v>
      </c>
      <c r="AC951" s="211"/>
      <c r="AD951" s="211"/>
      <c r="AE951" s="211"/>
      <c r="AF951" s="211"/>
      <c r="AG951" s="211"/>
      <c r="AH951" s="211"/>
      <c r="AI951" s="211"/>
      <c r="AJ951" s="211"/>
      <c r="AL951" s="211"/>
      <c r="AM951" s="211"/>
      <c r="AN951" s="211"/>
      <c r="AO951" s="211"/>
      <c r="AP951" s="215"/>
      <c r="AQ951" s="218"/>
      <c r="AR951" s="211"/>
      <c r="AS951" s="211"/>
      <c r="AT951" s="211"/>
      <c r="AU951" s="211"/>
      <c r="AV951" s="211"/>
      <c r="AW951" s="211"/>
      <c r="AX951" s="211"/>
      <c r="AY951" s="211"/>
      <c r="AZ951" s="211"/>
      <c r="BB951" s="211"/>
      <c r="BC951" s="211"/>
      <c r="BD951" s="211"/>
      <c r="BE951" s="211"/>
      <c r="BF951" s="211"/>
      <c r="BG951" s="211"/>
      <c r="BH951" s="211"/>
      <c r="BI951" s="211"/>
    </row>
    <row r="952">
      <c r="A952" s="210" t="str">
        <f>IFERROR(__xludf.DUMMYFUNCTION("""COMPUTED_VALUE"""),"682bc8bf")</f>
        <v>682bc8bf</v>
      </c>
      <c r="B952" s="210" t="str">
        <f>IFERROR(__xludf.DUMMYFUNCTION("""COMPUTED_VALUE"""),"682bc8bf")</f>
        <v>682bc8bf</v>
      </c>
      <c r="C952" s="213">
        <f>IFERROR(__xludf.DUMMYFUNCTION("""COMPUTED_VALUE"""),45771.47083333333)</f>
        <v>45771.47083</v>
      </c>
      <c r="D952" s="211" t="str">
        <f>IFERROR(__xludf.DUMMYFUNCTION("""COMPUTED_VALUE"""),"4a01ccb6")</f>
        <v>4a01ccb6</v>
      </c>
      <c r="E952" s="211" t="str">
        <f>IFERROR(__xludf.DUMMYFUNCTION("""COMPUTED_VALUE"""),"CV ANUGERAH PERSADA TEKNIK")</f>
        <v>CV ANUGERAH PERSADA TEKNIK</v>
      </c>
      <c r="F952" s="211" t="str">
        <f>IFERROR(__xludf.DUMMYFUNCTION("""COMPUTED_VALUE"""),"8bdbe149")</f>
        <v>8bdbe149</v>
      </c>
      <c r="G952" s="211" t="str">
        <f>IFERROR(__xludf.DUMMYFUNCTION("""COMPUTED_VALUE"""),"Oksigen 6m3")</f>
        <v>Oksigen 6m3</v>
      </c>
      <c r="H952" s="214" t="str">
        <f>IFERROR(__xludf.DUMMYFUNCTION("""COMPUTED_VALUE"""),"IN")</f>
        <v>IN</v>
      </c>
      <c r="I952" s="214" t="str">
        <f>IFERROR(__xludf.DUMMYFUNCTION("""COMPUTED_VALUE"""),"EMPTY")</f>
        <v>EMPTY</v>
      </c>
      <c r="J952" s="211">
        <f>IFERROR(__xludf.DUMMYFUNCTION("""COMPUTED_VALUE"""),1.0)</f>
        <v>1</v>
      </c>
      <c r="K952" s="210" t="str">
        <f>IFERROR(__xludf.DUMMYFUNCTION("""COMPUTED_VALUE"""),"11118")</f>
        <v>11118</v>
      </c>
      <c r="L952" s="211">
        <f>IFERROR(__xludf.DUMMYFUNCTION("""COMPUTED_VALUE"""),0.0)</f>
        <v>0</v>
      </c>
      <c r="M952" s="211"/>
      <c r="N952" s="211"/>
      <c r="O952" s="211"/>
      <c r="Q952" s="210" t="str">
        <f>IFERROR(__xludf.DUMMYFUNCTION("""COMPUTED_VALUE"""),"f885618d")</f>
        <v>f885618d</v>
      </c>
      <c r="R952" s="210" t="str">
        <f>IFERROR(__xludf.DUMMYFUNCTION("""COMPUTED_VALUE"""),"f885618d")</f>
        <v>f885618d</v>
      </c>
      <c r="S952" s="211" t="str">
        <f>IFERROR(__xludf.DUMMYFUNCTION("""COMPUTED_VALUE"""),"4bef3bbf")</f>
        <v>4bef3bbf</v>
      </c>
      <c r="T952" s="211" t="str">
        <f>IFERROR(__xludf.DUMMYFUNCTION("""COMPUTED_VALUE"""),"PT Dingsheng Metal Indonesia (Ngoro)")</f>
        <v>PT Dingsheng Metal Indonesia (Ngoro)</v>
      </c>
      <c r="U952" s="215">
        <f>IFERROR(__xludf.DUMMYFUNCTION("""COMPUTED_VALUE"""),45839.61041666666)</f>
        <v>45839.61042</v>
      </c>
      <c r="V952" s="211" t="str">
        <f>IFERROR(__xludf.DUMMYFUNCTION("""COMPUTED_VALUE"""),"Kri Kilan, Watesnegoro, Kec. Ngoro, Kabupaten Mojokerto, Jawa Timur 61385")</f>
        <v>Kri Kilan, Watesnegoro, Kec. Ngoro, Kabupaten Mojokerto, Jawa Timur 61385</v>
      </c>
      <c r="W952" s="211" t="str">
        <f>IFERROR(__xludf.DUMMYFUNCTION("""COMPUTED_VALUE"""),"IN")</f>
        <v>IN</v>
      </c>
      <c r="X952" s="211"/>
      <c r="Z952" s="211" t="str">
        <f>IFERROR(__xludf.DUMMYFUNCTION("""COMPUTED_VALUE"""),"07250593")</f>
        <v>07250593</v>
      </c>
      <c r="AC952" s="211"/>
      <c r="AD952" s="211"/>
      <c r="AE952" s="211"/>
      <c r="AF952" s="211"/>
      <c r="AG952" s="211"/>
      <c r="AH952" s="211"/>
      <c r="AI952" s="211"/>
      <c r="AJ952" s="211"/>
      <c r="AL952" s="211"/>
      <c r="AM952" s="211"/>
      <c r="AN952" s="211"/>
      <c r="AO952" s="211"/>
      <c r="AP952" s="215"/>
      <c r="AQ952" s="218"/>
      <c r="AR952" s="211"/>
      <c r="AS952" s="211"/>
      <c r="AT952" s="211"/>
      <c r="AU952" s="211"/>
      <c r="AV952" s="211"/>
      <c r="AW952" s="211"/>
      <c r="AX952" s="211"/>
      <c r="AY952" s="211"/>
      <c r="AZ952" s="211"/>
      <c r="BB952" s="211"/>
      <c r="BC952" s="211"/>
      <c r="BD952" s="211"/>
      <c r="BE952" s="211"/>
      <c r="BF952" s="211"/>
      <c r="BG952" s="211"/>
      <c r="BH952" s="211"/>
      <c r="BI952" s="211"/>
    </row>
    <row r="953">
      <c r="A953" s="210" t="str">
        <f>IFERROR(__xludf.DUMMYFUNCTION("""COMPUTED_VALUE"""),"04250386")</f>
        <v>04250386</v>
      </c>
      <c r="B953" s="210" t="str">
        <f>IFERROR(__xludf.DUMMYFUNCTION("""COMPUTED_VALUE"""),"04250386")</f>
        <v>04250386</v>
      </c>
      <c r="C953" s="213">
        <f>IFERROR(__xludf.DUMMYFUNCTION("""COMPUTED_VALUE"""),45772.32638888889)</f>
        <v>45772.32639</v>
      </c>
      <c r="D953" s="211" t="str">
        <f>IFERROR(__xludf.DUMMYFUNCTION("""COMPUTED_VALUE"""),"3fec37df")</f>
        <v>3fec37df</v>
      </c>
      <c r="E953" s="211" t="str">
        <f>IFERROR(__xludf.DUMMYFUNCTION("""COMPUTED_VALUE"""),"PT Jatim Abadi Perkasa Steel")</f>
        <v>PT Jatim Abadi Perkasa Steel</v>
      </c>
      <c r="F953" s="211" t="str">
        <f>IFERROR(__xludf.DUMMYFUNCTION("""COMPUTED_VALUE"""),"b7a8fff1")</f>
        <v>b7a8fff1</v>
      </c>
      <c r="G953" s="211" t="str">
        <f>IFERROR(__xludf.DUMMYFUNCTION("""COMPUTED_VALUE"""),"LPG 50kg")</f>
        <v>LPG 50kg</v>
      </c>
      <c r="H953" s="214" t="str">
        <f>IFERROR(__xludf.DUMMYFUNCTION("""COMPUTED_VALUE"""),"OUT")</f>
        <v>OUT</v>
      </c>
      <c r="I953" s="214" t="str">
        <f>IFERROR(__xludf.DUMMYFUNCTION("""COMPUTED_VALUE"""),"NORMAL")</f>
        <v>NORMAL</v>
      </c>
      <c r="J953" s="211">
        <f>IFERROR(__xludf.DUMMYFUNCTION("""COMPUTED_VALUE"""),5.0)</f>
        <v>5</v>
      </c>
      <c r="K953" s="211"/>
      <c r="L953" s="211">
        <f>IFERROR(__xludf.DUMMYFUNCTION("""COMPUTED_VALUE"""),909909.9099)</f>
        <v>909909.9099</v>
      </c>
      <c r="M953" s="211"/>
      <c r="N953" s="211"/>
      <c r="O953" s="211"/>
      <c r="Q953" s="210" t="str">
        <f>IFERROR(__xludf.DUMMYFUNCTION("""COMPUTED_VALUE"""),"4f4cb182")</f>
        <v>4f4cb182</v>
      </c>
      <c r="R953" s="210" t="str">
        <f>IFERROR(__xludf.DUMMYFUNCTION("""COMPUTED_VALUE"""),"4f4cb182")</f>
        <v>4f4cb182</v>
      </c>
      <c r="S953" s="211" t="str">
        <f>IFERROR(__xludf.DUMMYFUNCTION("""COMPUTED_VALUE"""),"01158be1")</f>
        <v>01158be1</v>
      </c>
      <c r="T953" s="211" t="str">
        <f>IFERROR(__xludf.DUMMYFUNCTION("""COMPUTED_VALUE"""),"GYF")</f>
        <v>GYF</v>
      </c>
      <c r="U953" s="215">
        <f>IFERROR(__xludf.DUMMYFUNCTION("""COMPUTED_VALUE"""),45839.6125)</f>
        <v>45839.6125</v>
      </c>
      <c r="V953" s="211" t="str">
        <f>IFERROR(__xludf.DUMMYFUNCTION("""COMPUTED_VALUE"""),"Kangkungan, Lengkong, Kec. Mojoanyar, Kabupaten Mojokerto, Jawa Timur")</f>
        <v>Kangkungan, Lengkong, Kec. Mojoanyar, Kabupaten Mojokerto, Jawa Timur</v>
      </c>
      <c r="W953" s="211" t="str">
        <f>IFERROR(__xludf.DUMMYFUNCTION("""COMPUTED_VALUE"""),"IN")</f>
        <v>IN</v>
      </c>
      <c r="X953" s="211"/>
      <c r="Z953" s="211" t="str">
        <f>IFERROR(__xludf.DUMMYFUNCTION("""COMPUTED_VALUE"""),"07250589")</f>
        <v>07250589</v>
      </c>
      <c r="AC953" s="211"/>
      <c r="AD953" s="211"/>
      <c r="AE953" s="211"/>
      <c r="AF953" s="211"/>
      <c r="AG953" s="211"/>
      <c r="AH953" s="211"/>
      <c r="AI953" s="211"/>
      <c r="AJ953" s="211"/>
      <c r="AL953" s="211"/>
      <c r="AM953" s="211"/>
      <c r="AN953" s="211"/>
      <c r="AO953" s="211"/>
      <c r="AP953" s="215"/>
      <c r="AQ953" s="218"/>
      <c r="AR953" s="211"/>
      <c r="AS953" s="211"/>
      <c r="AT953" s="211"/>
      <c r="AU953" s="211"/>
      <c r="AV953" s="211"/>
      <c r="AW953" s="211"/>
      <c r="AX953" s="211"/>
      <c r="AY953" s="211"/>
      <c r="AZ953" s="211"/>
      <c r="BB953" s="211"/>
      <c r="BC953" s="211"/>
      <c r="BD953" s="211"/>
      <c r="BE953" s="211"/>
      <c r="BF953" s="211"/>
      <c r="BG953" s="211"/>
      <c r="BH953" s="211"/>
      <c r="BI953" s="211"/>
    </row>
    <row r="954">
      <c r="A954" s="210" t="str">
        <f>IFERROR(__xludf.DUMMYFUNCTION("""COMPUTED_VALUE"""),"04250387")</f>
        <v>04250387</v>
      </c>
      <c r="B954" s="210" t="str">
        <f>IFERROR(__xludf.DUMMYFUNCTION("""COMPUTED_VALUE"""),"04250387")</f>
        <v>04250387</v>
      </c>
      <c r="C954" s="213">
        <f>IFERROR(__xludf.DUMMYFUNCTION("""COMPUTED_VALUE"""),45772.35208333333)</f>
        <v>45772.35208</v>
      </c>
      <c r="D954" s="211" t="str">
        <f>IFERROR(__xludf.DUMMYFUNCTION("""COMPUTED_VALUE"""),"sugiantoro")</f>
        <v>sugiantoro</v>
      </c>
      <c r="E954" s="211" t="str">
        <f>IFERROR(__xludf.DUMMYFUNCTION("""COMPUTED_VALUE"""),"Bpk. Sugiantoro")</f>
        <v>Bpk. Sugiantoro</v>
      </c>
      <c r="F954" s="211" t="str">
        <f>IFERROR(__xludf.DUMMYFUNCTION("""COMPUTED_VALUE"""),"be525f3b")</f>
        <v>be525f3b</v>
      </c>
      <c r="G954" s="211" t="str">
        <f>IFERROR(__xludf.DUMMYFUNCTION("""COMPUTED_VALUE"""),"LPG 12kg")</f>
        <v>LPG 12kg</v>
      </c>
      <c r="H954" s="214" t="str">
        <f>IFERROR(__xludf.DUMMYFUNCTION("""COMPUTED_VALUE"""),"OUT")</f>
        <v>OUT</v>
      </c>
      <c r="I954" s="214" t="str">
        <f>IFERROR(__xludf.DUMMYFUNCTION("""COMPUTED_VALUE"""),"NORMAL")</f>
        <v>NORMAL</v>
      </c>
      <c r="J954" s="211">
        <f>IFERROR(__xludf.DUMMYFUNCTION("""COMPUTED_VALUE"""),1.0)</f>
        <v>1</v>
      </c>
      <c r="K954" s="211"/>
      <c r="L954" s="211">
        <f>IFERROR(__xludf.DUMMYFUNCTION("""COMPUTED_VALUE"""),210000.0)</f>
        <v>210000</v>
      </c>
      <c r="M954" s="211"/>
      <c r="N954" s="211"/>
      <c r="O954" s="211"/>
      <c r="Q954" s="210" t="str">
        <f>IFERROR(__xludf.DUMMYFUNCTION("""COMPUTED_VALUE"""),"f27f601a")</f>
        <v>f27f601a</v>
      </c>
      <c r="R954" s="210" t="str">
        <f>IFERROR(__xludf.DUMMYFUNCTION("""COMPUTED_VALUE"""),"f27f601a")</f>
        <v>f27f601a</v>
      </c>
      <c r="S954" s="211" t="str">
        <f>IFERROR(__xludf.DUMMYFUNCTION("""COMPUTED_VALUE"""),"06d600f6")</f>
        <v>06d600f6</v>
      </c>
      <c r="T954" s="211" t="str">
        <f>IFERROR(__xludf.DUMMYFUNCTION("""COMPUTED_VALUE"""),"Ibu Ida")</f>
        <v>Ibu Ida</v>
      </c>
      <c r="U954" s="215">
        <f>IFERROR(__xludf.DUMMYFUNCTION("""COMPUTED_VALUE"""),45839.84861111111)</f>
        <v>45839.84861</v>
      </c>
      <c r="V954" s="211" t="str">
        <f>IFERROR(__xludf.DUMMYFUNCTION("""COMPUTED_VALUE"""),"Wonoayu rt 1 rw 4, Kec wonoayu, Kab. Sidoarjo")</f>
        <v>Wonoayu rt 1 rw 4, Kec wonoayu, Kab. Sidoarjo</v>
      </c>
      <c r="W954" s="211" t="str">
        <f>IFERROR(__xludf.DUMMYFUNCTION("""COMPUTED_VALUE"""),"IN")</f>
        <v>IN</v>
      </c>
      <c r="X954" s="211"/>
      <c r="Z954" s="211" t="str">
        <f>IFERROR(__xludf.DUMMYFUNCTION("""COMPUTED_VALUE"""),"07250588")</f>
        <v>07250588</v>
      </c>
      <c r="AC954" s="211"/>
      <c r="AD954" s="211"/>
      <c r="AE954" s="211"/>
      <c r="AF954" s="211"/>
      <c r="AG954" s="211"/>
      <c r="AH954" s="211"/>
      <c r="AI954" s="211"/>
      <c r="AJ954" s="211"/>
      <c r="AL954" s="211"/>
      <c r="AM954" s="211"/>
      <c r="AN954" s="211"/>
      <c r="AO954" s="211"/>
      <c r="AP954" s="215"/>
      <c r="AQ954" s="218"/>
      <c r="AR954" s="211"/>
      <c r="AS954" s="211"/>
      <c r="AT954" s="211"/>
      <c r="AU954" s="211"/>
      <c r="AV954" s="211"/>
      <c r="AW954" s="211"/>
      <c r="AX954" s="211"/>
      <c r="AY954" s="211"/>
      <c r="AZ954" s="211"/>
      <c r="BB954" s="211"/>
      <c r="BC954" s="211"/>
      <c r="BD954" s="211"/>
      <c r="BE954" s="211"/>
      <c r="BF954" s="211"/>
      <c r="BG954" s="211"/>
      <c r="BH954" s="211"/>
      <c r="BI954" s="211"/>
    </row>
    <row r="955">
      <c r="A955" s="210" t="str">
        <f>IFERROR(__xludf.DUMMYFUNCTION("""COMPUTED_VALUE"""),"04250387")</f>
        <v>04250387</v>
      </c>
      <c r="B955" s="210" t="str">
        <f>IFERROR(__xludf.DUMMYFUNCTION("""COMPUTED_VALUE"""),"04250387")</f>
        <v>04250387</v>
      </c>
      <c r="C955" s="213">
        <f>IFERROR(__xludf.DUMMYFUNCTION("""COMPUTED_VALUE"""),45772.370833333334)</f>
        <v>45772.37083</v>
      </c>
      <c r="D955" s="211" t="str">
        <f>IFERROR(__xludf.DUMMYFUNCTION("""COMPUTED_VALUE"""),"sugiantoro")</f>
        <v>sugiantoro</v>
      </c>
      <c r="E955" s="211" t="str">
        <f>IFERROR(__xludf.DUMMYFUNCTION("""COMPUTED_VALUE"""),"Bpk. Sugiantoro")</f>
        <v>Bpk. Sugiantoro</v>
      </c>
      <c r="F955" s="211" t="str">
        <f>IFERROR(__xludf.DUMMYFUNCTION("""COMPUTED_VALUE"""),"be525f3b")</f>
        <v>be525f3b</v>
      </c>
      <c r="G955" s="211" t="str">
        <f>IFERROR(__xludf.DUMMYFUNCTION("""COMPUTED_VALUE"""),"LPG 12kg")</f>
        <v>LPG 12kg</v>
      </c>
      <c r="H955" s="214" t="str">
        <f>IFERROR(__xludf.DUMMYFUNCTION("""COMPUTED_VALUE"""),"OUT")</f>
        <v>OUT</v>
      </c>
      <c r="I955" s="214" t="str">
        <f>IFERROR(__xludf.DUMMYFUNCTION("""COMPUTED_VALUE"""),"NORMAL")</f>
        <v>NORMAL</v>
      </c>
      <c r="J955" s="211">
        <f>IFERROR(__xludf.DUMMYFUNCTION("""COMPUTED_VALUE"""),1.0)</f>
        <v>1</v>
      </c>
      <c r="K955" s="211"/>
      <c r="L955" s="211">
        <f>IFERROR(__xludf.DUMMYFUNCTION("""COMPUTED_VALUE"""),210000.0)</f>
        <v>210000</v>
      </c>
      <c r="M955" s="211"/>
      <c r="N955" s="211"/>
      <c r="O955" s="211"/>
      <c r="Q955" s="210" t="str">
        <f>IFERROR(__xludf.DUMMYFUNCTION("""COMPUTED_VALUE"""),"07250553")</f>
        <v>07250553</v>
      </c>
      <c r="R955" s="210" t="str">
        <f>IFERROR(__xludf.DUMMYFUNCTION("""COMPUTED_VALUE"""),"07250553")</f>
        <v>07250553</v>
      </c>
      <c r="S955" s="211" t="str">
        <f>IFERROR(__xludf.DUMMYFUNCTION("""COMPUTED_VALUE"""),"06d600f6")</f>
        <v>06d600f6</v>
      </c>
      <c r="T955" s="211" t="str">
        <f>IFERROR(__xludf.DUMMYFUNCTION("""COMPUTED_VALUE"""),"Ibu Ida")</f>
        <v>Ibu Ida</v>
      </c>
      <c r="U955" s="215">
        <f>IFERROR(__xludf.DUMMYFUNCTION("""COMPUTED_VALUE"""),45840.34861111111)</f>
        <v>45840.34861</v>
      </c>
      <c r="V955" s="211" t="str">
        <f>IFERROR(__xludf.DUMMYFUNCTION("""COMPUTED_VALUE"""),"Wonoayu rt 1 rw 4, Kec wonoayu, Kab. Sidoarjo")</f>
        <v>Wonoayu rt 1 rw 4, Kec wonoayu, Kab. Sidoarjo</v>
      </c>
      <c r="W955" s="211" t="str">
        <f>IFERROR(__xludf.DUMMYFUNCTION("""COMPUTED_VALUE"""),"OUT")</f>
        <v>OUT</v>
      </c>
      <c r="X955" s="211"/>
      <c r="Z955" s="211" t="str">
        <f>IFERROR(__xludf.DUMMYFUNCTION("""COMPUTED_VALUE"""),"07250586")</f>
        <v>07250586</v>
      </c>
      <c r="AC955" s="211"/>
      <c r="AD955" s="211"/>
      <c r="AE955" s="211"/>
      <c r="AF955" s="211"/>
      <c r="AG955" s="211"/>
      <c r="AH955" s="211"/>
      <c r="AI955" s="211"/>
      <c r="AJ955" s="211"/>
      <c r="AL955" s="211"/>
      <c r="AM955" s="211"/>
      <c r="AN955" s="211"/>
      <c r="AO955" s="211"/>
      <c r="AP955" s="215"/>
      <c r="AQ955" s="218"/>
      <c r="AR955" s="211"/>
      <c r="AS955" s="211"/>
      <c r="AT955" s="211"/>
      <c r="AU955" s="211"/>
      <c r="AV955" s="211"/>
      <c r="AW955" s="211"/>
      <c r="AX955" s="211"/>
      <c r="AY955" s="211"/>
      <c r="AZ955" s="211"/>
      <c r="BB955" s="211"/>
      <c r="BC955" s="211"/>
      <c r="BD955" s="211"/>
      <c r="BE955" s="211"/>
      <c r="BF955" s="211"/>
      <c r="BG955" s="211"/>
      <c r="BH955" s="211"/>
      <c r="BI955" s="211"/>
    </row>
    <row r="956">
      <c r="A956" s="210" t="str">
        <f>IFERROR(__xludf.DUMMYFUNCTION("""COMPUTED_VALUE"""),"04250389")</f>
        <v>04250389</v>
      </c>
      <c r="B956" s="210" t="str">
        <f>IFERROR(__xludf.DUMMYFUNCTION("""COMPUTED_VALUE"""),"04250389")</f>
        <v>04250389</v>
      </c>
      <c r="C956" s="213">
        <f>IFERROR(__xludf.DUMMYFUNCTION("""COMPUTED_VALUE"""),45772.43958333333)</f>
        <v>45772.43958</v>
      </c>
      <c r="D956" s="211" t="str">
        <f>IFERROR(__xludf.DUMMYFUNCTION("""COMPUTED_VALUE"""),"785e0e07")</f>
        <v>785e0e07</v>
      </c>
      <c r="E956" s="211" t="str">
        <f>IFERROR(__xludf.DUMMYFUNCTION("""COMPUTED_VALUE"""),"Bpk. Sukirno (Bejo)")</f>
        <v>Bpk. Sukirno (Bejo)</v>
      </c>
      <c r="F956" s="211" t="str">
        <f>IFERROR(__xludf.DUMMYFUNCTION("""COMPUTED_VALUE"""),"8bdbe149")</f>
        <v>8bdbe149</v>
      </c>
      <c r="G956" s="211" t="str">
        <f>IFERROR(__xludf.DUMMYFUNCTION("""COMPUTED_VALUE"""),"Oksigen 6m3")</f>
        <v>Oksigen 6m3</v>
      </c>
      <c r="H956" s="214" t="str">
        <f>IFERROR(__xludf.DUMMYFUNCTION("""COMPUTED_VALUE"""),"OUT")</f>
        <v>OUT</v>
      </c>
      <c r="I956" s="214" t="str">
        <f>IFERROR(__xludf.DUMMYFUNCTION("""COMPUTED_VALUE"""),"NORMAL")</f>
        <v>NORMAL</v>
      </c>
      <c r="J956" s="211">
        <f>IFERROR(__xludf.DUMMYFUNCTION("""COMPUTED_VALUE"""),10.0)</f>
        <v>10</v>
      </c>
      <c r="K956" s="210" t="str">
        <f>IFERROR(__xludf.DUMMYFUNCTION("""COMPUTED_VALUE"""),"11252 11237 11201 11235 11185 11232 11183 11204 11259 11255")</f>
        <v>11252 11237 11201 11235 11185 11232 11183 11204 11259 11255</v>
      </c>
      <c r="L956" s="211">
        <f>IFERROR(__xludf.DUMMYFUNCTION("""COMPUTED_VALUE"""),60000.0)</f>
        <v>60000</v>
      </c>
      <c r="M956" s="211"/>
      <c r="N956" s="211"/>
      <c r="O956" s="211"/>
      <c r="Q956" s="210" t="str">
        <f>IFERROR(__xludf.DUMMYFUNCTION("""COMPUTED_VALUE"""),"07250554")</f>
        <v>07250554</v>
      </c>
      <c r="R956" s="210" t="str">
        <f>IFERROR(__xludf.DUMMYFUNCTION("""COMPUTED_VALUE"""),"07250554")</f>
        <v>07250554</v>
      </c>
      <c r="S956" s="211" t="str">
        <f>IFERROR(__xludf.DUMMYFUNCTION("""COMPUTED_VALUE"""),"182fb0fe")</f>
        <v>182fb0fe</v>
      </c>
      <c r="T956" s="211" t="str">
        <f>IFERROR(__xludf.DUMMYFUNCTION("""COMPUTED_VALUE"""),"PT Amtech")</f>
        <v>PT Amtech</v>
      </c>
      <c r="U956" s="215">
        <f>IFERROR(__xludf.DUMMYFUNCTION("""COMPUTED_VALUE"""),45840.51180555555)</f>
        <v>45840.51181</v>
      </c>
      <c r="V956"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956" s="211" t="str">
        <f>IFERROR(__xludf.DUMMYFUNCTION("""COMPUTED_VALUE"""),"OUT")</f>
        <v>OUT</v>
      </c>
      <c r="X956" s="211"/>
      <c r="Z956" s="211" t="str">
        <f>IFERROR(__xludf.DUMMYFUNCTION("""COMPUTED_VALUE"""),"07250585")</f>
        <v>07250585</v>
      </c>
      <c r="AC956" s="211"/>
      <c r="AD956" s="211"/>
      <c r="AE956" s="211"/>
      <c r="AF956" s="211"/>
      <c r="AG956" s="211"/>
      <c r="AH956" s="211"/>
      <c r="AI956" s="211"/>
      <c r="AJ956" s="211"/>
      <c r="AL956" s="211"/>
      <c r="AM956" s="211"/>
      <c r="AN956" s="211"/>
      <c r="AO956" s="211"/>
      <c r="AP956" s="215"/>
      <c r="AQ956" s="218"/>
      <c r="AR956" s="211"/>
      <c r="AS956" s="211"/>
      <c r="AT956" s="211"/>
      <c r="AU956" s="211"/>
      <c r="AV956" s="211"/>
      <c r="AW956" s="211"/>
      <c r="AX956" s="211"/>
      <c r="AY956" s="211"/>
      <c r="AZ956" s="211"/>
      <c r="BB956" s="211"/>
      <c r="BC956" s="211"/>
      <c r="BD956" s="211"/>
      <c r="BE956" s="211"/>
      <c r="BF956" s="211"/>
      <c r="BG956" s="211"/>
      <c r="BH956" s="211"/>
      <c r="BI956" s="211"/>
    </row>
    <row r="957">
      <c r="A957" s="210" t="str">
        <f>IFERROR(__xludf.DUMMYFUNCTION("""COMPUTED_VALUE"""),"dec95fa7")</f>
        <v>dec95fa7</v>
      </c>
      <c r="B957" s="210" t="str">
        <f>IFERROR(__xludf.DUMMYFUNCTION("""COMPUTED_VALUE"""),"dec95fa7")</f>
        <v>dec95fa7</v>
      </c>
      <c r="C957" s="213">
        <f>IFERROR(__xludf.DUMMYFUNCTION("""COMPUTED_VALUE"""),45772.455555555556)</f>
        <v>45772.45556</v>
      </c>
      <c r="D957" s="211" t="str">
        <f>IFERROR(__xludf.DUMMYFUNCTION("""COMPUTED_VALUE"""),"sugiantoro")</f>
        <v>sugiantoro</v>
      </c>
      <c r="E957" s="211" t="str">
        <f>IFERROR(__xludf.DUMMYFUNCTION("""COMPUTED_VALUE"""),"Bpk. Sugiantoro")</f>
        <v>Bpk. Sugiantoro</v>
      </c>
      <c r="F957" s="211" t="str">
        <f>IFERROR(__xludf.DUMMYFUNCTION("""COMPUTED_VALUE"""),"be525f3b")</f>
        <v>be525f3b</v>
      </c>
      <c r="G957" s="211" t="str">
        <f>IFERROR(__xludf.DUMMYFUNCTION("""COMPUTED_VALUE"""),"LPG 12kg")</f>
        <v>LPG 12kg</v>
      </c>
      <c r="H957" s="214" t="str">
        <f>IFERROR(__xludf.DUMMYFUNCTION("""COMPUTED_VALUE"""),"IN")</f>
        <v>IN</v>
      </c>
      <c r="I957" s="214" t="str">
        <f>IFERROR(__xludf.DUMMYFUNCTION("""COMPUTED_VALUE"""),"EMPTY")</f>
        <v>EMPTY</v>
      </c>
      <c r="J957" s="211">
        <f>IFERROR(__xludf.DUMMYFUNCTION("""COMPUTED_VALUE"""),2.0)</f>
        <v>2</v>
      </c>
      <c r="K957" s="211"/>
      <c r="L957" s="211">
        <f>IFERROR(__xludf.DUMMYFUNCTION("""COMPUTED_VALUE"""),0.0)</f>
        <v>0</v>
      </c>
      <c r="M957" s="211"/>
      <c r="N957" s="211"/>
      <c r="O957" s="211"/>
      <c r="Q957" s="210" t="str">
        <f>IFERROR(__xludf.DUMMYFUNCTION("""COMPUTED_VALUE"""),"c5bcb5a3")</f>
        <v>c5bcb5a3</v>
      </c>
      <c r="R957" s="210" t="str">
        <f>IFERROR(__xludf.DUMMYFUNCTION("""COMPUTED_VALUE"""),"c5bcb5a3")</f>
        <v>c5bcb5a3</v>
      </c>
      <c r="S957" s="211" t="str">
        <f>IFERROR(__xludf.DUMMYFUNCTION("""COMPUTED_VALUE"""),"b218b89b")</f>
        <v>b218b89b</v>
      </c>
      <c r="T957" s="211" t="str">
        <f>IFERROR(__xludf.DUMMYFUNCTION("""COMPUTED_VALUE"""),"PT Harapan Sentosa")</f>
        <v>PT Harapan Sentosa</v>
      </c>
      <c r="U957" s="215">
        <f>IFERROR(__xludf.DUMMYFUNCTION("""COMPUTED_VALUE"""),45840.540972222225)</f>
        <v>45840.54097</v>
      </c>
      <c r="V957" s="211" t="str">
        <f>IFERROR(__xludf.DUMMYFUNCTION("""COMPUTED_VALUE"""),"Seketi, Jl. Purboyo II Selatan, RT.02/RW.02, Seketi, Kec. BalongBendo, Kabupaten Sidoarjo, Jawa Timur 61263")</f>
        <v>Seketi, Jl. Purboyo II Selatan, RT.02/RW.02, Seketi, Kec. BalongBendo, Kabupaten Sidoarjo, Jawa Timur 61263</v>
      </c>
      <c r="W957" s="211" t="str">
        <f>IFERROR(__xludf.DUMMYFUNCTION("""COMPUTED_VALUE"""),"IN")</f>
        <v>IN</v>
      </c>
      <c r="X957" s="211"/>
      <c r="Z957" s="211" t="str">
        <f>IFERROR(__xludf.DUMMYFUNCTION("""COMPUTED_VALUE"""),"07250584")</f>
        <v>07250584</v>
      </c>
      <c r="AC957" s="211"/>
      <c r="AD957" s="211"/>
      <c r="AE957" s="211"/>
      <c r="AF957" s="211"/>
      <c r="AG957" s="211"/>
      <c r="AH957" s="211"/>
      <c r="AI957" s="211"/>
      <c r="AJ957" s="211"/>
      <c r="AL957" s="211"/>
      <c r="AM957" s="211"/>
      <c r="AN957" s="211"/>
      <c r="AO957" s="211"/>
      <c r="AP957" s="215"/>
      <c r="AQ957" s="218"/>
      <c r="AR957" s="211"/>
      <c r="AS957" s="211"/>
      <c r="AT957" s="211"/>
      <c r="AU957" s="211"/>
      <c r="AV957" s="211"/>
      <c r="AW957" s="211"/>
      <c r="AX957" s="211"/>
      <c r="AY957" s="211"/>
      <c r="AZ957" s="211"/>
      <c r="BB957" s="211"/>
      <c r="BC957" s="211"/>
      <c r="BD957" s="211"/>
      <c r="BE957" s="211"/>
      <c r="BF957" s="211"/>
      <c r="BG957" s="211"/>
      <c r="BH957" s="211"/>
      <c r="BI957" s="211"/>
    </row>
    <row r="958">
      <c r="A958" s="210" t="str">
        <f>IFERROR(__xludf.DUMMYFUNCTION("""COMPUTED_VALUE"""),"3eb9638a")</f>
        <v>3eb9638a</v>
      </c>
      <c r="B958" s="210" t="str">
        <f>IFERROR(__xludf.DUMMYFUNCTION("""COMPUTED_VALUE"""),"3eb9638a")</f>
        <v>3eb9638a</v>
      </c>
      <c r="C958" s="213">
        <f>IFERROR(__xludf.DUMMYFUNCTION("""COMPUTED_VALUE"""),45772.455555555556)</f>
        <v>45772.45556</v>
      </c>
      <c r="D958" s="211" t="str">
        <f>IFERROR(__xludf.DUMMYFUNCTION("""COMPUTED_VALUE"""),"3fec37df")</f>
        <v>3fec37df</v>
      </c>
      <c r="E958" s="211" t="str">
        <f>IFERROR(__xludf.DUMMYFUNCTION("""COMPUTED_VALUE"""),"PT Jatim Abadi Perkasa Steel")</f>
        <v>PT Jatim Abadi Perkasa Steel</v>
      </c>
      <c r="F958" s="211" t="str">
        <f>IFERROR(__xludf.DUMMYFUNCTION("""COMPUTED_VALUE"""),"b7a8fff1")</f>
        <v>b7a8fff1</v>
      </c>
      <c r="G958" s="211" t="str">
        <f>IFERROR(__xludf.DUMMYFUNCTION("""COMPUTED_VALUE"""),"LPG 50kg")</f>
        <v>LPG 50kg</v>
      </c>
      <c r="H958" s="214" t="str">
        <f>IFERROR(__xludf.DUMMYFUNCTION("""COMPUTED_VALUE"""),"IN")</f>
        <v>IN</v>
      </c>
      <c r="I958" s="214" t="str">
        <f>IFERROR(__xludf.DUMMYFUNCTION("""COMPUTED_VALUE"""),"EMPTY")</f>
        <v>EMPTY</v>
      </c>
      <c r="J958" s="211">
        <f>IFERROR(__xludf.DUMMYFUNCTION("""COMPUTED_VALUE"""),5.0)</f>
        <v>5</v>
      </c>
      <c r="K958" s="211"/>
      <c r="L958" s="211">
        <f>IFERROR(__xludf.DUMMYFUNCTION("""COMPUTED_VALUE"""),0.0)</f>
        <v>0</v>
      </c>
      <c r="M958" s="211"/>
      <c r="N958" s="211"/>
      <c r="O958" s="211"/>
      <c r="Q958" s="210" t="str">
        <f>IFERROR(__xludf.DUMMYFUNCTION("""COMPUTED_VALUE"""),"07250555")</f>
        <v>07250555</v>
      </c>
      <c r="R958" s="210" t="str">
        <f>IFERROR(__xludf.DUMMYFUNCTION("""COMPUTED_VALUE"""),"07250555")</f>
        <v>07250555</v>
      </c>
      <c r="S958" s="211" t="str">
        <f>IFERROR(__xludf.DUMMYFUNCTION("""COMPUTED_VALUE"""),"8f5ebaea")</f>
        <v>8f5ebaea</v>
      </c>
      <c r="T958" s="211" t="str">
        <f>IFERROR(__xludf.DUMMYFUNCTION("""COMPUTED_VALUE"""),"PT Hua Zong Mesindo")</f>
        <v>PT Hua Zong Mesindo</v>
      </c>
      <c r="U958" s="215">
        <f>IFERROR(__xludf.DUMMYFUNCTION("""COMPUTED_VALUE"""),45841.34583333333)</f>
        <v>45841.34583</v>
      </c>
      <c r="V958" s="211" t="str">
        <f>IFERROR(__xludf.DUMMYFUNCTION("""COMPUTED_VALUE"""),"Jl. Bypass Krian, Sidotemo, Sidomulyo, Kec. Krian, Kabupaten Sidoarjo, Jawa Timur 61262")</f>
        <v>Jl. Bypass Krian, Sidotemo, Sidomulyo, Kec. Krian, Kabupaten Sidoarjo, Jawa Timur 61262</v>
      </c>
      <c r="W958" s="211" t="str">
        <f>IFERROR(__xludf.DUMMYFUNCTION("""COMPUTED_VALUE"""),"OUT")</f>
        <v>OUT</v>
      </c>
      <c r="X958" s="211"/>
      <c r="Z958" s="211" t="str">
        <f>IFERROR(__xludf.DUMMYFUNCTION("""COMPUTED_VALUE"""),"07250583")</f>
        <v>07250583</v>
      </c>
      <c r="AC958" s="211"/>
      <c r="AD958" s="211"/>
      <c r="AE958" s="211"/>
      <c r="AF958" s="211"/>
      <c r="AG958" s="211"/>
      <c r="AH958" s="211"/>
      <c r="AI958" s="211"/>
      <c r="AJ958" s="211"/>
      <c r="AL958" s="211"/>
      <c r="AM958" s="211"/>
      <c r="AN958" s="211"/>
      <c r="AO958" s="211"/>
      <c r="AP958" s="215"/>
      <c r="AQ958" s="218"/>
      <c r="AR958" s="211"/>
      <c r="AS958" s="211"/>
      <c r="AT958" s="211"/>
      <c r="AU958" s="211"/>
      <c r="AV958" s="211"/>
      <c r="AW958" s="211"/>
      <c r="AX958" s="211"/>
      <c r="AY958" s="211"/>
      <c r="AZ958" s="211"/>
      <c r="BB958" s="211"/>
      <c r="BC958" s="211"/>
      <c r="BD958" s="211"/>
      <c r="BE958" s="211"/>
      <c r="BF958" s="211"/>
      <c r="BG958" s="211"/>
      <c r="BH958" s="211"/>
      <c r="BI958" s="211"/>
    </row>
    <row r="959">
      <c r="A959" s="210" t="str">
        <f>IFERROR(__xludf.DUMMYFUNCTION("""COMPUTED_VALUE"""),"04250390")</f>
        <v>04250390</v>
      </c>
      <c r="B959" s="210" t="str">
        <f>IFERROR(__xludf.DUMMYFUNCTION("""COMPUTED_VALUE"""),"04250390")</f>
        <v>04250390</v>
      </c>
      <c r="C959" s="213">
        <f>IFERROR(__xludf.DUMMYFUNCTION("""COMPUTED_VALUE"""),45773.333333333336)</f>
        <v>45773.33333</v>
      </c>
      <c r="D959" s="211" t="str">
        <f>IFERROR(__xludf.DUMMYFUNCTION("""COMPUTED_VALUE"""),"d78b2eaf")</f>
        <v>d78b2eaf</v>
      </c>
      <c r="E959" s="211" t="str">
        <f>IFERROR(__xludf.DUMMYFUNCTION("""COMPUTED_VALUE"""),"PT Sinar Indogreen Kencana")</f>
        <v>PT Sinar Indogreen Kencana</v>
      </c>
      <c r="F959" s="211" t="str">
        <f>IFERROR(__xludf.DUMMYFUNCTION("""COMPUTED_VALUE"""),"be525f3b")</f>
        <v>be525f3b</v>
      </c>
      <c r="G959" s="211" t="str">
        <f>IFERROR(__xludf.DUMMYFUNCTION("""COMPUTED_VALUE"""),"LPG 12kg")</f>
        <v>LPG 12kg</v>
      </c>
      <c r="H959" s="214" t="str">
        <f>IFERROR(__xludf.DUMMYFUNCTION("""COMPUTED_VALUE"""),"OUT")</f>
        <v>OUT</v>
      </c>
      <c r="I959" s="214" t="str">
        <f>IFERROR(__xludf.DUMMYFUNCTION("""COMPUTED_VALUE"""),"NORMAL")</f>
        <v>NORMAL</v>
      </c>
      <c r="J959" s="211">
        <f>IFERROR(__xludf.DUMMYFUNCTION("""COMPUTED_VALUE"""),1.0)</f>
        <v>1</v>
      </c>
      <c r="K959" s="211"/>
      <c r="L959" s="211">
        <f>IFERROR(__xludf.DUMMYFUNCTION("""COMPUTED_VALUE"""),189189.19)</f>
        <v>189189.19</v>
      </c>
      <c r="M959" s="211"/>
      <c r="N959" s="211"/>
      <c r="O959" s="211"/>
      <c r="Q959" s="210" t="str">
        <f>IFERROR(__xludf.DUMMYFUNCTION("""COMPUTED_VALUE"""),"c2fcb791")</f>
        <v>c2fcb791</v>
      </c>
      <c r="R959" s="210" t="str">
        <f>IFERROR(__xludf.DUMMYFUNCTION("""COMPUTED_VALUE"""),"c2fcb791")</f>
        <v>c2fcb791</v>
      </c>
      <c r="S959" s="211" t="str">
        <f>IFERROR(__xludf.DUMMYFUNCTION("""COMPUTED_VALUE"""),"182fb0fe")</f>
        <v>182fb0fe</v>
      </c>
      <c r="T959" s="211" t="str">
        <f>IFERROR(__xludf.DUMMYFUNCTION("""COMPUTED_VALUE"""),"PT Amtech")</f>
        <v>PT Amtech</v>
      </c>
      <c r="U959" s="215">
        <f>IFERROR(__xludf.DUMMYFUNCTION("""COMPUTED_VALUE"""),45840.663888888885)</f>
        <v>45840.66389</v>
      </c>
      <c r="V959" s="211" t="str">
        <f>IFERROR(__xludf.DUMMYFUNCTION("""COMPUTED_VALUE"""),"Jl. Morowudi, Ikerikergeger, Kabupaten Gresik, Jawa Timur")</f>
        <v>Jl. Morowudi, Ikerikergeger, Kabupaten Gresik, Jawa Timur</v>
      </c>
      <c r="W959" s="211" t="str">
        <f>IFERROR(__xludf.DUMMYFUNCTION("""COMPUTED_VALUE"""),"IN")</f>
        <v>IN</v>
      </c>
      <c r="X959" s="211"/>
      <c r="Z959" s="211" t="str">
        <f>IFERROR(__xludf.DUMMYFUNCTION("""COMPUTED_VALUE"""),"07250581")</f>
        <v>07250581</v>
      </c>
      <c r="AC959" s="211"/>
      <c r="AD959" s="211"/>
      <c r="AE959" s="211"/>
      <c r="AF959" s="211"/>
      <c r="AG959" s="211"/>
      <c r="AH959" s="211"/>
      <c r="AI959" s="211"/>
      <c r="AJ959" s="211"/>
      <c r="AL959" s="211"/>
      <c r="AM959" s="211"/>
      <c r="AN959" s="211"/>
      <c r="AO959" s="211"/>
      <c r="AP959" s="215"/>
      <c r="AQ959" s="218"/>
      <c r="AR959" s="211"/>
      <c r="AS959" s="211"/>
      <c r="AT959" s="211"/>
      <c r="AU959" s="211"/>
      <c r="AV959" s="211"/>
      <c r="AW959" s="211"/>
      <c r="AX959" s="211"/>
      <c r="AY959" s="211"/>
      <c r="AZ959" s="211"/>
      <c r="BB959" s="211"/>
      <c r="BC959" s="211"/>
      <c r="BD959" s="211"/>
      <c r="BE959" s="211"/>
      <c r="BF959" s="211"/>
      <c r="BG959" s="211"/>
      <c r="BH959" s="211"/>
      <c r="BI959" s="211"/>
    </row>
    <row r="960">
      <c r="A960" s="210" t="str">
        <f>IFERROR(__xludf.DUMMYFUNCTION("""COMPUTED_VALUE"""),"04250391")</f>
        <v>04250391</v>
      </c>
      <c r="B960" s="210" t="str">
        <f>IFERROR(__xludf.DUMMYFUNCTION("""COMPUTED_VALUE"""),"04250391")</f>
        <v>04250391</v>
      </c>
      <c r="C960" s="213">
        <f>IFERROR(__xludf.DUMMYFUNCTION("""COMPUTED_VALUE"""),45773.438888888886)</f>
        <v>45773.43889</v>
      </c>
      <c r="D960" s="211" t="str">
        <f>IFERROR(__xludf.DUMMYFUNCTION("""COMPUTED_VALUE"""),"e86baf3b")</f>
        <v>e86baf3b</v>
      </c>
      <c r="E960" s="211" t="str">
        <f>IFERROR(__xludf.DUMMYFUNCTION("""COMPUTED_VALUE"""),"PT GEMILANG CIPTA WAWASAN")</f>
        <v>PT GEMILANG CIPTA WAWASAN</v>
      </c>
      <c r="F960" s="211" t="str">
        <f>IFERROR(__xludf.DUMMYFUNCTION("""COMPUTED_VALUE"""),"8bdbe149")</f>
        <v>8bdbe149</v>
      </c>
      <c r="G960" s="211" t="str">
        <f>IFERROR(__xludf.DUMMYFUNCTION("""COMPUTED_VALUE"""),"Oksigen 6m3")</f>
        <v>Oksigen 6m3</v>
      </c>
      <c r="H960" s="214" t="str">
        <f>IFERROR(__xludf.DUMMYFUNCTION("""COMPUTED_VALUE"""),"OUT")</f>
        <v>OUT</v>
      </c>
      <c r="I960" s="214" t="str">
        <f>IFERROR(__xludf.DUMMYFUNCTION("""COMPUTED_VALUE"""),"NORMAL")</f>
        <v>NORMAL</v>
      </c>
      <c r="J960" s="211">
        <f>IFERROR(__xludf.DUMMYFUNCTION("""COMPUTED_VALUE"""),15.0)</f>
        <v>15</v>
      </c>
      <c r="K960" s="210" t="str">
        <f>IFERROR(__xludf.DUMMYFUNCTION("""COMPUTED_VALUE"""),"11109 1142 1106 11277 11280 1148 1153 11260 11111 1103 1147 1120 1132 1191 1126")</f>
        <v>11109 1142 1106 11277 11280 1148 1153 11260 11111 1103 1147 1120 1132 1191 1126</v>
      </c>
      <c r="L960" s="211">
        <f>IFERROR(__xludf.DUMMYFUNCTION("""COMPUTED_VALUE"""),60000.0)</f>
        <v>60000</v>
      </c>
      <c r="M960" s="211"/>
      <c r="N960" s="211"/>
      <c r="O960" s="211"/>
      <c r="Q960" s="210" t="str">
        <f>IFERROR(__xludf.DUMMYFUNCTION("""COMPUTED_VALUE"""),"cc357c7a")</f>
        <v>cc357c7a</v>
      </c>
      <c r="R960" s="210" t="str">
        <f>IFERROR(__xludf.DUMMYFUNCTION("""COMPUTED_VALUE"""),"cc357c7a")</f>
        <v>cc357c7a</v>
      </c>
      <c r="S960" s="211" t="str">
        <f>IFERROR(__xludf.DUMMYFUNCTION("""COMPUTED_VALUE"""),"8f5ebaea")</f>
        <v>8f5ebaea</v>
      </c>
      <c r="T960" s="211" t="str">
        <f>IFERROR(__xludf.DUMMYFUNCTION("""COMPUTED_VALUE"""),"PT Hua Zong Mesindo")</f>
        <v>PT Hua Zong Mesindo</v>
      </c>
      <c r="U960" s="215">
        <f>IFERROR(__xludf.DUMMYFUNCTION("""COMPUTED_VALUE"""),45840.66458333333)</f>
        <v>45840.66458</v>
      </c>
      <c r="V960" s="211" t="str">
        <f>IFERROR(__xludf.DUMMYFUNCTION("""COMPUTED_VALUE"""),"Jl. Bypass Krian, Sidotemo, Sidomulyo, Kec. Krian, Kabupaten Sidoarjo, Jawa Timur 61262")</f>
        <v>Jl. Bypass Krian, Sidotemo, Sidomulyo, Kec. Krian, Kabupaten Sidoarjo, Jawa Timur 61262</v>
      </c>
      <c r="W960" s="211" t="str">
        <f>IFERROR(__xludf.DUMMYFUNCTION("""COMPUTED_VALUE"""),"IN")</f>
        <v>IN</v>
      </c>
      <c r="X960" s="211"/>
      <c r="Z960" s="211" t="str">
        <f>IFERROR(__xludf.DUMMYFUNCTION("""COMPUTED_VALUE"""),"07250582")</f>
        <v>07250582</v>
      </c>
      <c r="AC960" s="211"/>
      <c r="AD960" s="211"/>
      <c r="AE960" s="211"/>
      <c r="AF960" s="211"/>
      <c r="AG960" s="211"/>
      <c r="AH960" s="211"/>
      <c r="AI960" s="211"/>
      <c r="AJ960" s="211"/>
      <c r="AL960" s="211"/>
      <c r="AM960" s="211"/>
      <c r="AN960" s="211"/>
      <c r="AO960" s="211"/>
      <c r="AP960" s="215"/>
      <c r="AQ960" s="218"/>
      <c r="AR960" s="211"/>
      <c r="AS960" s="211"/>
      <c r="AT960" s="211"/>
      <c r="AU960" s="211"/>
      <c r="AV960" s="211"/>
      <c r="AW960" s="211"/>
      <c r="AX960" s="211"/>
      <c r="AY960" s="211"/>
      <c r="AZ960" s="211"/>
      <c r="BB960" s="211"/>
      <c r="BC960" s="211"/>
      <c r="BD960" s="211"/>
      <c r="BE960" s="211"/>
      <c r="BF960" s="211"/>
      <c r="BG960" s="211"/>
      <c r="BH960" s="211"/>
      <c r="BI960" s="211"/>
    </row>
    <row r="961">
      <c r="A961" s="210" t="str">
        <f>IFERROR(__xludf.DUMMYFUNCTION("""COMPUTED_VALUE"""),"04250391")</f>
        <v>04250391</v>
      </c>
      <c r="B961" s="210" t="str">
        <f>IFERROR(__xludf.DUMMYFUNCTION("""COMPUTED_VALUE"""),"04250391")</f>
        <v>04250391</v>
      </c>
      <c r="C961" s="213">
        <f>IFERROR(__xludf.DUMMYFUNCTION("""COMPUTED_VALUE"""),45773.438888888886)</f>
        <v>45773.43889</v>
      </c>
      <c r="D961" s="211" t="str">
        <f>IFERROR(__xludf.DUMMYFUNCTION("""COMPUTED_VALUE"""),"e86baf3b")</f>
        <v>e86baf3b</v>
      </c>
      <c r="E961" s="211" t="str">
        <f>IFERROR(__xludf.DUMMYFUNCTION("""COMPUTED_VALUE"""),"PT GEMILANG CIPTA WAWASAN")</f>
        <v>PT GEMILANG CIPTA WAWASAN</v>
      </c>
      <c r="F961" s="211" t="str">
        <f>IFERROR(__xludf.DUMMYFUNCTION("""COMPUTED_VALUE"""),"be525f3b")</f>
        <v>be525f3b</v>
      </c>
      <c r="G961" s="211" t="str">
        <f>IFERROR(__xludf.DUMMYFUNCTION("""COMPUTED_VALUE"""),"LPG 12kg")</f>
        <v>LPG 12kg</v>
      </c>
      <c r="H961" s="214" t="str">
        <f>IFERROR(__xludf.DUMMYFUNCTION("""COMPUTED_VALUE"""),"OUT")</f>
        <v>OUT</v>
      </c>
      <c r="I961" s="214" t="str">
        <f>IFERROR(__xludf.DUMMYFUNCTION("""COMPUTED_VALUE"""),"NORMAL")</f>
        <v>NORMAL</v>
      </c>
      <c r="J961" s="211">
        <f>IFERROR(__xludf.DUMMYFUNCTION("""COMPUTED_VALUE"""),3.0)</f>
        <v>3</v>
      </c>
      <c r="K961" s="211"/>
      <c r="L961" s="211">
        <f>IFERROR(__xludf.DUMMYFUNCTION("""COMPUTED_VALUE"""),210000.0)</f>
        <v>210000</v>
      </c>
      <c r="M961" s="211"/>
      <c r="N961" s="211"/>
      <c r="O961" s="211"/>
      <c r="Q961" s="210" t="str">
        <f>IFERROR(__xludf.DUMMYFUNCTION("""COMPUTED_VALUE"""),"07250558")</f>
        <v>07250558</v>
      </c>
      <c r="R961" s="210" t="str">
        <f>IFERROR(__xludf.DUMMYFUNCTION("""COMPUTED_VALUE"""),"07250558")</f>
        <v>07250558</v>
      </c>
      <c r="S961" s="211" t="str">
        <f>IFERROR(__xludf.DUMMYFUNCTION("""COMPUTED_VALUE"""),"d78b2eaf")</f>
        <v>d78b2eaf</v>
      </c>
      <c r="T961" s="211" t="str">
        <f>IFERROR(__xludf.DUMMYFUNCTION("""COMPUTED_VALUE"""),"PT Sinar Indogreen Kencana")</f>
        <v>PT Sinar Indogreen Kencana</v>
      </c>
      <c r="U961" s="215">
        <f>IFERROR(__xludf.DUMMYFUNCTION("""COMPUTED_VALUE"""),45841.34861111111)</f>
        <v>45841.34861</v>
      </c>
      <c r="V961" s="211" t="str">
        <f>IFERROR(__xludf.DUMMYFUNCTION("""COMPUTED_VALUE"""),"Jl. Raya Ponokawan 8b RT/001 RW/002, Ponokawan, Krian, Sidoarjo")</f>
        <v>Jl. Raya Ponokawan 8b RT/001 RW/002, Ponokawan, Krian, Sidoarjo</v>
      </c>
      <c r="W961" s="211" t="str">
        <f>IFERROR(__xludf.DUMMYFUNCTION("""COMPUTED_VALUE"""),"OUT")</f>
        <v>OUT</v>
      </c>
      <c r="X961" s="211"/>
      <c r="Z961" s="211" t="str">
        <f>IFERROR(__xludf.DUMMYFUNCTION("""COMPUTED_VALUE"""),"07250580")</f>
        <v>07250580</v>
      </c>
      <c r="AC961" s="211"/>
      <c r="AD961" s="211"/>
      <c r="AE961" s="211"/>
      <c r="AF961" s="211"/>
      <c r="AG961" s="211"/>
      <c r="AH961" s="211"/>
      <c r="AI961" s="211"/>
      <c r="AJ961" s="211"/>
      <c r="AL961" s="211"/>
      <c r="AM961" s="211"/>
      <c r="AN961" s="211"/>
      <c r="AO961" s="211"/>
      <c r="AP961" s="215"/>
      <c r="AQ961" s="218"/>
      <c r="AR961" s="211"/>
      <c r="AS961" s="211"/>
      <c r="AT961" s="211"/>
      <c r="AU961" s="211"/>
      <c r="AV961" s="211"/>
      <c r="AW961" s="211"/>
      <c r="AX961" s="211"/>
      <c r="AY961" s="211"/>
      <c r="AZ961" s="211"/>
      <c r="BB961" s="211"/>
      <c r="BC961" s="211"/>
      <c r="BD961" s="211"/>
      <c r="BE961" s="211"/>
      <c r="BF961" s="211"/>
      <c r="BG961" s="211"/>
      <c r="BH961" s="211"/>
      <c r="BI961" s="211"/>
    </row>
    <row r="962">
      <c r="A962" s="210" t="str">
        <f>IFERROR(__xludf.DUMMYFUNCTION("""COMPUTED_VALUE"""),"9fd49689")</f>
        <v>9fd49689</v>
      </c>
      <c r="B962" s="210" t="str">
        <f>IFERROR(__xludf.DUMMYFUNCTION("""COMPUTED_VALUE"""),"9fd49689")</f>
        <v>9fd49689</v>
      </c>
      <c r="C962" s="213">
        <f>IFERROR(__xludf.DUMMYFUNCTION("""COMPUTED_VALUE"""),45773.444444444445)</f>
        <v>45773.44444</v>
      </c>
      <c r="D962" s="211" t="str">
        <f>IFERROR(__xludf.DUMMYFUNCTION("""COMPUTED_VALUE"""),"d78b2eaf")</f>
        <v>d78b2eaf</v>
      </c>
      <c r="E962" s="211" t="str">
        <f>IFERROR(__xludf.DUMMYFUNCTION("""COMPUTED_VALUE"""),"PT Sinar Indogreen Kencana")</f>
        <v>PT Sinar Indogreen Kencana</v>
      </c>
      <c r="F962" s="211" t="str">
        <f>IFERROR(__xludf.DUMMYFUNCTION("""COMPUTED_VALUE"""),"be525f3b")</f>
        <v>be525f3b</v>
      </c>
      <c r="G962" s="211" t="str">
        <f>IFERROR(__xludf.DUMMYFUNCTION("""COMPUTED_VALUE"""),"LPG 12kg")</f>
        <v>LPG 12kg</v>
      </c>
      <c r="H962" s="214" t="str">
        <f>IFERROR(__xludf.DUMMYFUNCTION("""COMPUTED_VALUE"""),"IN")</f>
        <v>IN</v>
      </c>
      <c r="I962" s="214" t="str">
        <f>IFERROR(__xludf.DUMMYFUNCTION("""COMPUTED_VALUE"""),"EMPTY")</f>
        <v>EMPTY</v>
      </c>
      <c r="J962" s="211">
        <f>IFERROR(__xludf.DUMMYFUNCTION("""COMPUTED_VALUE"""),1.0)</f>
        <v>1</v>
      </c>
      <c r="K962" s="211"/>
      <c r="L962" s="211">
        <f>IFERROR(__xludf.DUMMYFUNCTION("""COMPUTED_VALUE"""),0.0)</f>
        <v>0</v>
      </c>
      <c r="M962" s="211"/>
      <c r="N962" s="211"/>
      <c r="O962" s="211"/>
      <c r="Q962" s="210" t="str">
        <f>IFERROR(__xludf.DUMMYFUNCTION("""COMPUTED_VALUE"""),"07250559")</f>
        <v>07250559</v>
      </c>
      <c r="R962" s="210" t="str">
        <f>IFERROR(__xludf.DUMMYFUNCTION("""COMPUTED_VALUE"""),"07250559")</f>
        <v>07250559</v>
      </c>
      <c r="S962" s="211" t="str">
        <f>IFERROR(__xludf.DUMMYFUNCTION("""COMPUTED_VALUE"""),"e86baf3b")</f>
        <v>e86baf3b</v>
      </c>
      <c r="T962" s="211" t="str">
        <f>IFERROR(__xludf.DUMMYFUNCTION("""COMPUTED_VALUE"""),"PT GEMILANG CIPTA WAWASAN")</f>
        <v>PT GEMILANG CIPTA WAWASAN</v>
      </c>
      <c r="U962" s="215">
        <f>IFERROR(__xludf.DUMMYFUNCTION("""COMPUTED_VALUE"""),45841.41111111111)</f>
        <v>45841.41111</v>
      </c>
      <c r="V962" s="211" t="str">
        <f>IFERROR(__xludf.DUMMYFUNCTION("""COMPUTED_VALUE"""),"JL TEBET RAYA, 2A, TEBET BARAT, TEBET, KOTA ADM, JAKARTA SELATAN, DKI JAKARTA")</f>
        <v>JL TEBET RAYA, 2A, TEBET BARAT, TEBET, KOTA ADM, JAKARTA SELATAN, DKI JAKARTA</v>
      </c>
      <c r="W962" s="211" t="str">
        <f>IFERROR(__xludf.DUMMYFUNCTION("""COMPUTED_VALUE"""),"OUT")</f>
        <v>OUT</v>
      </c>
      <c r="X962" s="211"/>
      <c r="Z962" s="211" t="str">
        <f>IFERROR(__xludf.DUMMYFUNCTION("""COMPUTED_VALUE"""),"07250579")</f>
        <v>07250579</v>
      </c>
      <c r="AC962" s="211"/>
      <c r="AD962" s="211"/>
      <c r="AE962" s="211"/>
      <c r="AF962" s="211"/>
      <c r="AG962" s="211"/>
      <c r="AH962" s="211"/>
      <c r="AI962" s="211"/>
      <c r="AJ962" s="211"/>
      <c r="AL962" s="211"/>
      <c r="AM962" s="211"/>
      <c r="AN962" s="211"/>
      <c r="AO962" s="211"/>
      <c r="AP962" s="215"/>
      <c r="AQ962" s="218"/>
      <c r="AR962" s="211"/>
      <c r="AS962" s="211"/>
      <c r="AT962" s="211"/>
      <c r="AU962" s="211"/>
      <c r="AV962" s="211"/>
      <c r="AW962" s="211"/>
      <c r="AX962" s="211"/>
      <c r="AY962" s="211"/>
      <c r="AZ962" s="211"/>
      <c r="BB962" s="211"/>
      <c r="BC962" s="211"/>
      <c r="BD962" s="211"/>
      <c r="BE962" s="211"/>
      <c r="BF962" s="211"/>
      <c r="BG962" s="211"/>
      <c r="BH962" s="211"/>
      <c r="BI962" s="211"/>
    </row>
    <row r="963">
      <c r="A963" s="210" t="str">
        <f>IFERROR(__xludf.DUMMYFUNCTION("""COMPUTED_VALUE"""),"759b007d")</f>
        <v>759b007d</v>
      </c>
      <c r="B963" s="210" t="str">
        <f>IFERROR(__xludf.DUMMYFUNCTION("""COMPUTED_VALUE"""),"759b007d")</f>
        <v>759b007d</v>
      </c>
      <c r="C963" s="213">
        <f>IFERROR(__xludf.DUMMYFUNCTION("""COMPUTED_VALUE"""),45773.51875)</f>
        <v>45773.51875</v>
      </c>
      <c r="D963" s="211" t="str">
        <f>IFERROR(__xludf.DUMMYFUNCTION("""COMPUTED_VALUE"""),"e86baf3b")</f>
        <v>e86baf3b</v>
      </c>
      <c r="E963" s="211" t="str">
        <f>IFERROR(__xludf.DUMMYFUNCTION("""COMPUTED_VALUE"""),"PT GEMILANG CIPTA WAWASAN")</f>
        <v>PT GEMILANG CIPTA WAWASAN</v>
      </c>
      <c r="F963" s="211" t="str">
        <f>IFERROR(__xludf.DUMMYFUNCTION("""COMPUTED_VALUE"""),"8bdbe149")</f>
        <v>8bdbe149</v>
      </c>
      <c r="G963" s="211" t="str">
        <f>IFERROR(__xludf.DUMMYFUNCTION("""COMPUTED_VALUE"""),"Oksigen 6m3")</f>
        <v>Oksigen 6m3</v>
      </c>
      <c r="H963" s="214" t="str">
        <f>IFERROR(__xludf.DUMMYFUNCTION("""COMPUTED_VALUE"""),"IN")</f>
        <v>IN</v>
      </c>
      <c r="I963" s="214" t="str">
        <f>IFERROR(__xludf.DUMMYFUNCTION("""COMPUTED_VALUE"""),"EMPTY")</f>
        <v>EMPTY</v>
      </c>
      <c r="J963" s="211">
        <f>IFERROR(__xludf.DUMMYFUNCTION("""COMPUTED_VALUE"""),3.0)</f>
        <v>3</v>
      </c>
      <c r="K963" s="210" t="str">
        <f>IFERROR(__xludf.DUMMYFUNCTION("""COMPUTED_VALUE"""),"1175 11205 1166")</f>
        <v>1175 11205 1166</v>
      </c>
      <c r="L963" s="211">
        <f>IFERROR(__xludf.DUMMYFUNCTION("""COMPUTED_VALUE"""),0.0)</f>
        <v>0</v>
      </c>
      <c r="M963" s="211"/>
      <c r="N963" s="211"/>
      <c r="O963" s="211"/>
      <c r="Q963" s="210" t="str">
        <f>IFERROR(__xludf.DUMMYFUNCTION("""COMPUTED_VALUE"""),"472e11d8")</f>
        <v>472e11d8</v>
      </c>
      <c r="R963" s="210" t="str">
        <f>IFERROR(__xludf.DUMMYFUNCTION("""COMPUTED_VALUE"""),"472e11d8")</f>
        <v>472e11d8</v>
      </c>
      <c r="S963" s="211" t="str">
        <f>IFERROR(__xludf.DUMMYFUNCTION("""COMPUTED_VALUE"""),"609d620d")</f>
        <v>609d620d</v>
      </c>
      <c r="T963" s="211" t="str">
        <f>IFERROR(__xludf.DUMMYFUNCTION("""COMPUTED_VALUE"""),"PT Pandu Mulia Bersama")</f>
        <v>PT Pandu Mulia Bersama</v>
      </c>
      <c r="U963" s="215">
        <f>IFERROR(__xludf.DUMMYFUNCTION("""COMPUTED_VALUE"""),45841.76111111111)</f>
        <v>45841.76111</v>
      </c>
      <c r="V963" s="211" t="str">
        <f>IFERROR(__xludf.DUMMYFUNCTION("""COMPUTED_VALUE"""),"Jl. Songgat RT 12 RW 05, Kec. Tarik, Sidoarjo, Jawa Timur")</f>
        <v>Jl. Songgat RT 12 RW 05, Kec. Tarik, Sidoarjo, Jawa Timur</v>
      </c>
      <c r="W963" s="211" t="str">
        <f>IFERROR(__xludf.DUMMYFUNCTION("""COMPUTED_VALUE"""),"IN")</f>
        <v>IN</v>
      </c>
      <c r="X963" s="211"/>
      <c r="Z963" s="211" t="str">
        <f>IFERROR(__xludf.DUMMYFUNCTION("""COMPUTED_VALUE"""),"07250577")</f>
        <v>07250577</v>
      </c>
      <c r="AC963" s="211"/>
      <c r="AD963" s="211"/>
      <c r="AE963" s="211"/>
      <c r="AF963" s="211"/>
      <c r="AG963" s="211"/>
      <c r="AH963" s="211"/>
      <c r="AI963" s="211"/>
      <c r="AJ963" s="211"/>
      <c r="AL963" s="211"/>
      <c r="AM963" s="211"/>
      <c r="AN963" s="211"/>
      <c r="AO963" s="211"/>
      <c r="AP963" s="215"/>
      <c r="AQ963" s="218"/>
      <c r="AR963" s="211"/>
      <c r="AS963" s="211"/>
      <c r="AT963" s="211"/>
      <c r="AU963" s="211"/>
      <c r="AV963" s="211"/>
      <c r="AW963" s="211"/>
      <c r="AX963" s="211"/>
      <c r="AY963" s="211"/>
      <c r="AZ963" s="211"/>
      <c r="BB963" s="211"/>
      <c r="BC963" s="211"/>
      <c r="BD963" s="211"/>
      <c r="BE963" s="211"/>
      <c r="BF963" s="211"/>
      <c r="BG963" s="211"/>
      <c r="BH963" s="211"/>
      <c r="BI963" s="211"/>
    </row>
    <row r="964">
      <c r="A964" s="210" t="str">
        <f>IFERROR(__xludf.DUMMYFUNCTION("""COMPUTED_VALUE"""),"759b007d")</f>
        <v>759b007d</v>
      </c>
      <c r="B964" s="210" t="str">
        <f>IFERROR(__xludf.DUMMYFUNCTION("""COMPUTED_VALUE"""),"759b007d")</f>
        <v>759b007d</v>
      </c>
      <c r="C964" s="213">
        <f>IFERROR(__xludf.DUMMYFUNCTION("""COMPUTED_VALUE"""),45773.51944444444)</f>
        <v>45773.51944</v>
      </c>
      <c r="D964" s="211" t="str">
        <f>IFERROR(__xludf.DUMMYFUNCTION("""COMPUTED_VALUE"""),"e86baf3b")</f>
        <v>e86baf3b</v>
      </c>
      <c r="E964" s="211" t="str">
        <f>IFERROR(__xludf.DUMMYFUNCTION("""COMPUTED_VALUE"""),"PT GEMILANG CIPTA WAWASAN")</f>
        <v>PT GEMILANG CIPTA WAWASAN</v>
      </c>
      <c r="F964" s="211" t="str">
        <f>IFERROR(__xludf.DUMMYFUNCTION("""COMPUTED_VALUE"""),"66af7c72")</f>
        <v>66af7c72</v>
      </c>
      <c r="G964" s="211" t="str">
        <f>IFERROR(__xludf.DUMMYFUNCTION("""COMPUTED_VALUE"""),"Argon 6m3")</f>
        <v>Argon 6m3</v>
      </c>
      <c r="H964" s="214" t="str">
        <f>IFERROR(__xludf.DUMMYFUNCTION("""COMPUTED_VALUE"""),"IN")</f>
        <v>IN</v>
      </c>
      <c r="I964" s="214" t="str">
        <f>IFERROR(__xludf.DUMMYFUNCTION("""COMPUTED_VALUE"""),"EMPTY")</f>
        <v>EMPTY</v>
      </c>
      <c r="J964" s="211">
        <f>IFERROR(__xludf.DUMMYFUNCTION("""COMPUTED_VALUE"""),2.0)</f>
        <v>2</v>
      </c>
      <c r="K964" s="210" t="str">
        <f>IFERROR(__xludf.DUMMYFUNCTION("""COMPUTED_VALUE"""),"11153 12006")</f>
        <v>11153 12006</v>
      </c>
      <c r="L964" s="211">
        <f>IFERROR(__xludf.DUMMYFUNCTION("""COMPUTED_VALUE"""),0.0)</f>
        <v>0</v>
      </c>
      <c r="M964" s="211"/>
      <c r="N964" s="211"/>
      <c r="O964" s="211"/>
      <c r="Q964" s="210" t="str">
        <f>IFERROR(__xludf.DUMMYFUNCTION("""COMPUTED_VALUE"""),"d3904f91")</f>
        <v>d3904f91</v>
      </c>
      <c r="R964" s="210" t="str">
        <f>IFERROR(__xludf.DUMMYFUNCTION("""COMPUTED_VALUE"""),"d3904f91")</f>
        <v>d3904f91</v>
      </c>
      <c r="S964" s="211" t="str">
        <f>IFERROR(__xludf.DUMMYFUNCTION("""COMPUTED_VALUE"""),"ed4307f6")</f>
        <v>ed4307f6</v>
      </c>
      <c r="T964" s="211" t="str">
        <f>IFERROR(__xludf.DUMMYFUNCTION("""COMPUTED_VALUE"""),"Bpk. Andi (Jetis)")</f>
        <v>Bpk. Andi (Jetis)</v>
      </c>
      <c r="U964" s="215">
        <f>IFERROR(__xludf.DUMMYFUNCTION("""COMPUTED_VALUE"""),45842.55625)</f>
        <v>45842.55625</v>
      </c>
      <c r="V964" s="211" t="str">
        <f>IFERROR(__xludf.DUMMYFUNCTION("""COMPUTED_VALUE"""),"HFH9+P7 Pelabuhan Kidul, Jetis, Kec. Jetis, Kabupaten Mojokerto, Jawa Timur, Indonesia")</f>
        <v>HFH9+P7 Pelabuhan Kidul, Jetis, Kec. Jetis, Kabupaten Mojokerto, Jawa Timur, Indonesia</v>
      </c>
      <c r="W964" s="211" t="str">
        <f>IFERROR(__xludf.DUMMYFUNCTION("""COMPUTED_VALUE"""),"IN")</f>
        <v>IN</v>
      </c>
      <c r="X964" s="211"/>
      <c r="Z964" s="211" t="str">
        <f>IFERROR(__xludf.DUMMYFUNCTION("""COMPUTED_VALUE"""),"07250576")</f>
        <v>07250576</v>
      </c>
      <c r="AC964" s="211"/>
      <c r="AD964" s="211"/>
      <c r="AE964" s="211"/>
      <c r="AF964" s="211"/>
      <c r="AG964" s="211"/>
      <c r="AH964" s="211"/>
      <c r="AI964" s="211"/>
      <c r="AJ964" s="211"/>
      <c r="AL964" s="211"/>
      <c r="AM964" s="211"/>
      <c r="AN964" s="211"/>
      <c r="AO964" s="211"/>
      <c r="AP964" s="215"/>
      <c r="AQ964" s="218"/>
      <c r="AR964" s="211"/>
      <c r="AS964" s="211"/>
      <c r="AT964" s="211"/>
      <c r="AU964" s="211"/>
      <c r="AV964" s="211"/>
      <c r="AW964" s="211"/>
      <c r="AX964" s="211"/>
      <c r="AY964" s="211"/>
      <c r="AZ964" s="211"/>
      <c r="BB964" s="211"/>
      <c r="BC964" s="211"/>
      <c r="BD964" s="211"/>
      <c r="BE964" s="211"/>
      <c r="BF964" s="211"/>
      <c r="BG964" s="211"/>
      <c r="BH964" s="211"/>
      <c r="BI964" s="211"/>
    </row>
    <row r="965">
      <c r="A965" s="210" t="str">
        <f>IFERROR(__xludf.DUMMYFUNCTION("""COMPUTED_VALUE"""),"759b007d")</f>
        <v>759b007d</v>
      </c>
      <c r="B965" s="210" t="str">
        <f>IFERROR(__xludf.DUMMYFUNCTION("""COMPUTED_VALUE"""),"759b007d")</f>
        <v>759b007d</v>
      </c>
      <c r="C965" s="213">
        <f>IFERROR(__xludf.DUMMYFUNCTION("""COMPUTED_VALUE"""),45773.51944444444)</f>
        <v>45773.51944</v>
      </c>
      <c r="D965" s="211" t="str">
        <f>IFERROR(__xludf.DUMMYFUNCTION("""COMPUTED_VALUE"""),"e86baf3b")</f>
        <v>e86baf3b</v>
      </c>
      <c r="E965" s="211" t="str">
        <f>IFERROR(__xludf.DUMMYFUNCTION("""COMPUTED_VALUE"""),"PT GEMILANG CIPTA WAWASAN")</f>
        <v>PT GEMILANG CIPTA WAWASAN</v>
      </c>
      <c r="F965" s="211" t="str">
        <f>IFERROR(__xludf.DUMMYFUNCTION("""COMPUTED_VALUE"""),"be525f3b")</f>
        <v>be525f3b</v>
      </c>
      <c r="G965" s="211" t="str">
        <f>IFERROR(__xludf.DUMMYFUNCTION("""COMPUTED_VALUE"""),"LPG 12kg")</f>
        <v>LPG 12kg</v>
      </c>
      <c r="H965" s="214" t="str">
        <f>IFERROR(__xludf.DUMMYFUNCTION("""COMPUTED_VALUE"""),"IN")</f>
        <v>IN</v>
      </c>
      <c r="I965" s="214" t="str">
        <f>IFERROR(__xludf.DUMMYFUNCTION("""COMPUTED_VALUE"""),"EMPTY")</f>
        <v>EMPTY</v>
      </c>
      <c r="J965" s="211">
        <f>IFERROR(__xludf.DUMMYFUNCTION("""COMPUTED_VALUE"""),3.0)</f>
        <v>3</v>
      </c>
      <c r="K965" s="211"/>
      <c r="L965" s="211">
        <f>IFERROR(__xludf.DUMMYFUNCTION("""COMPUTED_VALUE"""),0.0)</f>
        <v>0</v>
      </c>
      <c r="M965" s="211"/>
      <c r="N965" s="211"/>
      <c r="O965" s="211"/>
      <c r="Q965" s="210" t="str">
        <f>IFERROR(__xludf.DUMMYFUNCTION("""COMPUTED_VALUE"""),"07250561")</f>
        <v>07250561</v>
      </c>
      <c r="R965" s="210" t="str">
        <f>IFERROR(__xludf.DUMMYFUNCTION("""COMPUTED_VALUE"""),"07250561")</f>
        <v>07250561</v>
      </c>
      <c r="S965" s="211" t="str">
        <f>IFERROR(__xludf.DUMMYFUNCTION("""COMPUTED_VALUE"""),"dfas2312")</f>
        <v>dfas2312</v>
      </c>
      <c r="T965" s="211" t="str">
        <f>IFERROR(__xludf.DUMMYFUNCTION("""COMPUTED_VALUE"""),"Bpk. Fuad (Parengan)")</f>
        <v>Bpk. Fuad (Parengan)</v>
      </c>
      <c r="U965" s="215">
        <f>IFERROR(__xludf.DUMMYFUNCTION("""COMPUTED_VALUE"""),45843.39097222222)</f>
        <v>45843.39097</v>
      </c>
      <c r="V965" s="211" t="str">
        <f>IFERROR(__xludf.DUMMYFUNCTION("""COMPUTED_VALUE"""),"#N/A")</f>
        <v>#N/A</v>
      </c>
      <c r="W965" s="211" t="str">
        <f>IFERROR(__xludf.DUMMYFUNCTION("""COMPUTED_VALUE"""),"OUT")</f>
        <v>OUT</v>
      </c>
      <c r="X965" s="211"/>
      <c r="Z965" s="211" t="str">
        <f>IFERROR(__xludf.DUMMYFUNCTION("""COMPUTED_VALUE"""),"07250575")</f>
        <v>07250575</v>
      </c>
      <c r="AC965" s="211"/>
      <c r="AD965" s="211"/>
      <c r="AE965" s="211"/>
      <c r="AF965" s="211"/>
      <c r="AG965" s="211"/>
      <c r="AH965" s="211"/>
      <c r="AI965" s="211"/>
      <c r="AJ965" s="211"/>
      <c r="AL965" s="211"/>
      <c r="AM965" s="211"/>
      <c r="AN965" s="211"/>
      <c r="AO965" s="211"/>
      <c r="AP965" s="215"/>
      <c r="AQ965" s="218"/>
      <c r="AR965" s="211"/>
      <c r="AS965" s="211"/>
      <c r="AT965" s="211"/>
      <c r="AU965" s="211"/>
      <c r="AV965" s="211"/>
      <c r="AW965" s="211"/>
      <c r="AX965" s="211"/>
      <c r="AY965" s="211"/>
      <c r="AZ965" s="211"/>
      <c r="BB965" s="211"/>
      <c r="BC965" s="211"/>
      <c r="BD965" s="211"/>
      <c r="BE965" s="211"/>
      <c r="BF965" s="211"/>
      <c r="BG965" s="211"/>
      <c r="BH965" s="211"/>
      <c r="BI965" s="211"/>
    </row>
    <row r="966">
      <c r="A966" s="210" t="str">
        <f>IFERROR(__xludf.DUMMYFUNCTION("""COMPUTED_VALUE"""),"04250393")</f>
        <v>04250393</v>
      </c>
      <c r="B966" s="210" t="str">
        <f>IFERROR(__xludf.DUMMYFUNCTION("""COMPUTED_VALUE"""),"04250393")</f>
        <v>04250393</v>
      </c>
      <c r="C966" s="213">
        <f>IFERROR(__xludf.DUMMYFUNCTION("""COMPUTED_VALUE"""),45773.59583333333)</f>
        <v>45773.59583</v>
      </c>
      <c r="D966" s="211" t="str">
        <f>IFERROR(__xludf.DUMMYFUNCTION("""COMPUTED_VALUE"""),"ce83e171")</f>
        <v>ce83e171</v>
      </c>
      <c r="E966" s="211" t="str">
        <f>IFERROR(__xludf.DUMMYFUNCTION("""COMPUTED_VALUE"""),"Bpk. Sulaiman")</f>
        <v>Bpk. Sulaiman</v>
      </c>
      <c r="F966" s="211" t="str">
        <f>IFERROR(__xludf.DUMMYFUNCTION("""COMPUTED_VALUE"""),"8bdbe149")</f>
        <v>8bdbe149</v>
      </c>
      <c r="G966" s="211" t="str">
        <f>IFERROR(__xludf.DUMMYFUNCTION("""COMPUTED_VALUE"""),"Oksigen 6m3")</f>
        <v>Oksigen 6m3</v>
      </c>
      <c r="H966" s="214" t="str">
        <f>IFERROR(__xludf.DUMMYFUNCTION("""COMPUTED_VALUE"""),"OUT")</f>
        <v>OUT</v>
      </c>
      <c r="I966" s="214" t="str">
        <f>IFERROR(__xludf.DUMMYFUNCTION("""COMPUTED_VALUE"""),"NORMAL")</f>
        <v>NORMAL</v>
      </c>
      <c r="J966" s="211">
        <f>IFERROR(__xludf.DUMMYFUNCTION("""COMPUTED_VALUE"""),5.0)</f>
        <v>5</v>
      </c>
      <c r="K966" s="210" t="str">
        <f>IFERROR(__xludf.DUMMYFUNCTION("""COMPUTED_VALUE"""),"11236 1127 1108 1101 11279")</f>
        <v>11236 1127 1108 1101 11279</v>
      </c>
      <c r="L966" s="211">
        <f>IFERROR(__xludf.DUMMYFUNCTION("""COMPUTED_VALUE"""),55000.0)</f>
        <v>55000</v>
      </c>
      <c r="M966" s="211"/>
      <c r="N966" s="211"/>
      <c r="O966" s="211"/>
      <c r="Q966" s="210" t="str">
        <f>IFERROR(__xludf.DUMMYFUNCTION("""COMPUTED_VALUE"""),"4ecbf179")</f>
        <v>4ecbf179</v>
      </c>
      <c r="R966" s="210" t="str">
        <f>IFERROR(__xludf.DUMMYFUNCTION("""COMPUTED_VALUE"""),"4ecbf179")</f>
        <v>4ecbf179</v>
      </c>
      <c r="S966" s="211" t="str">
        <f>IFERROR(__xludf.DUMMYFUNCTION("""COMPUTED_VALUE"""),"dfas2312")</f>
        <v>dfas2312</v>
      </c>
      <c r="T966" s="211" t="str">
        <f>IFERROR(__xludf.DUMMYFUNCTION("""COMPUTED_VALUE"""),"Bpk. Fuad (Parengan)")</f>
        <v>Bpk. Fuad (Parengan)</v>
      </c>
      <c r="U966" s="215">
        <f>IFERROR(__xludf.DUMMYFUNCTION("""COMPUTED_VALUE"""),45843.47430555556)</f>
        <v>45843.47431</v>
      </c>
      <c r="V966" s="211" t="str">
        <f>IFERROR(__xludf.DUMMYFUNCTION("""COMPUTED_VALUE"""),"#N/A")</f>
        <v>#N/A</v>
      </c>
      <c r="W966" s="211" t="str">
        <f>IFERROR(__xludf.DUMMYFUNCTION("""COMPUTED_VALUE"""),"IN")</f>
        <v>IN</v>
      </c>
      <c r="X966" s="211"/>
      <c r="Z966" s="211" t="str">
        <f>IFERROR(__xludf.DUMMYFUNCTION("""COMPUTED_VALUE"""),"07250573")</f>
        <v>07250573</v>
      </c>
      <c r="AC966" s="211"/>
      <c r="AD966" s="211"/>
      <c r="AE966" s="211"/>
      <c r="AF966" s="211"/>
      <c r="AG966" s="211"/>
      <c r="AH966" s="211"/>
      <c r="AI966" s="211"/>
      <c r="AJ966" s="211"/>
      <c r="AL966" s="211"/>
      <c r="AM966" s="211"/>
      <c r="AN966" s="211"/>
      <c r="AO966" s="211"/>
      <c r="AP966" s="215"/>
      <c r="AQ966" s="218"/>
      <c r="AR966" s="211"/>
      <c r="AS966" s="211"/>
      <c r="AT966" s="211"/>
      <c r="AU966" s="211"/>
      <c r="AV966" s="211"/>
      <c r="AW966" s="211"/>
      <c r="AX966" s="211"/>
      <c r="AY966" s="211"/>
      <c r="AZ966" s="211"/>
      <c r="BB966" s="211"/>
      <c r="BC966" s="211"/>
      <c r="BD966" s="211"/>
      <c r="BE966" s="211"/>
      <c r="BF966" s="211"/>
      <c r="BG966" s="211"/>
      <c r="BH966" s="211"/>
      <c r="BI966" s="211"/>
    </row>
    <row r="967">
      <c r="A967" s="210" t="str">
        <f>IFERROR(__xludf.DUMMYFUNCTION("""COMPUTED_VALUE"""),"eeeac84b")</f>
        <v>eeeac84b</v>
      </c>
      <c r="B967" s="210" t="str">
        <f>IFERROR(__xludf.DUMMYFUNCTION("""COMPUTED_VALUE"""),"eeeac84b")</f>
        <v>eeeac84b</v>
      </c>
      <c r="C967" s="213">
        <f>IFERROR(__xludf.DUMMYFUNCTION("""COMPUTED_VALUE"""),45773.63333333333)</f>
        <v>45773.63333</v>
      </c>
      <c r="D967" s="211" t="str">
        <f>IFERROR(__xludf.DUMMYFUNCTION("""COMPUTED_VALUE"""),"ce83e171")</f>
        <v>ce83e171</v>
      </c>
      <c r="E967" s="211" t="str">
        <f>IFERROR(__xludf.DUMMYFUNCTION("""COMPUTED_VALUE"""),"Bpk. Sulaiman")</f>
        <v>Bpk. Sulaiman</v>
      </c>
      <c r="F967" s="211" t="str">
        <f>IFERROR(__xludf.DUMMYFUNCTION("""COMPUTED_VALUE"""),"8bdbe149")</f>
        <v>8bdbe149</v>
      </c>
      <c r="G967" s="211" t="str">
        <f>IFERROR(__xludf.DUMMYFUNCTION("""COMPUTED_VALUE"""),"Oksigen 6m3")</f>
        <v>Oksigen 6m3</v>
      </c>
      <c r="H967" s="214" t="str">
        <f>IFERROR(__xludf.DUMMYFUNCTION("""COMPUTED_VALUE"""),"IN")</f>
        <v>IN</v>
      </c>
      <c r="I967" s="214" t="str">
        <f>IFERROR(__xludf.DUMMYFUNCTION("""COMPUTED_VALUE"""),"EMPTY")</f>
        <v>EMPTY</v>
      </c>
      <c r="J967" s="211">
        <f>IFERROR(__xludf.DUMMYFUNCTION("""COMPUTED_VALUE"""),2.0)</f>
        <v>2</v>
      </c>
      <c r="K967" s="210" t="str">
        <f>IFERROR(__xludf.DUMMYFUNCTION("""COMPUTED_VALUE"""),"11206 11275")</f>
        <v>11206 11275</v>
      </c>
      <c r="L967" s="211">
        <f>IFERROR(__xludf.DUMMYFUNCTION("""COMPUTED_VALUE"""),0.0)</f>
        <v>0</v>
      </c>
      <c r="M967" s="211"/>
      <c r="N967" s="211"/>
      <c r="O967" s="211"/>
      <c r="Q967" s="210" t="str">
        <f>IFERROR(__xludf.DUMMYFUNCTION("""COMPUTED_VALUE"""),"554ea978")</f>
        <v>554ea978</v>
      </c>
      <c r="R967" s="210" t="str">
        <f>IFERROR(__xludf.DUMMYFUNCTION("""COMPUTED_VALUE"""),"554ea978")</f>
        <v>554ea978</v>
      </c>
      <c r="S967" s="211" t="str">
        <f>IFERROR(__xludf.DUMMYFUNCTION("""COMPUTED_VALUE"""),"785e0e07")</f>
        <v>785e0e07</v>
      </c>
      <c r="T967" s="211" t="str">
        <f>IFERROR(__xludf.DUMMYFUNCTION("""COMPUTED_VALUE"""),"Bpk. Sukirno (Bejo)")</f>
        <v>Bpk. Sukirno (Bejo)</v>
      </c>
      <c r="U967" s="215">
        <f>IFERROR(__xludf.DUMMYFUNCTION("""COMPUTED_VALUE"""),45843.475)</f>
        <v>45843.475</v>
      </c>
      <c r="V967" s="211" t="str">
        <f>IFERROR(__xludf.DUMMYFUNCTION("""COMPUTED_VALUE"""),"Krajan I, Wringinanom, Kec. Wringinanom, Kabupaten Gresik, Jawa Timur 61176")</f>
        <v>Krajan I, Wringinanom, Kec. Wringinanom, Kabupaten Gresik, Jawa Timur 61176</v>
      </c>
      <c r="W967" s="211" t="str">
        <f>IFERROR(__xludf.DUMMYFUNCTION("""COMPUTED_VALUE"""),"IN")</f>
        <v>IN</v>
      </c>
      <c r="X967" s="211"/>
      <c r="Z967" s="211" t="str">
        <f>IFERROR(__xludf.DUMMYFUNCTION("""COMPUTED_VALUE"""),"07250571")</f>
        <v>07250571</v>
      </c>
      <c r="AC967" s="211"/>
      <c r="AD967" s="211"/>
      <c r="AE967" s="211"/>
      <c r="AF967" s="211"/>
      <c r="AG967" s="211"/>
      <c r="AH967" s="211"/>
      <c r="AI967" s="211"/>
      <c r="AJ967" s="211"/>
      <c r="AL967" s="211"/>
      <c r="AM967" s="211"/>
      <c r="AN967" s="211"/>
      <c r="AO967" s="211"/>
      <c r="AP967" s="215"/>
      <c r="AQ967" s="218"/>
      <c r="AR967" s="211"/>
      <c r="AS967" s="211"/>
      <c r="AT967" s="211"/>
      <c r="AU967" s="211"/>
      <c r="AV967" s="211"/>
      <c r="AW967" s="211"/>
      <c r="AX967" s="211"/>
      <c r="AY967" s="211"/>
      <c r="AZ967" s="211"/>
      <c r="BB967" s="211"/>
      <c r="BC967" s="211"/>
      <c r="BD967" s="211"/>
      <c r="BE967" s="211"/>
      <c r="BF967" s="211"/>
      <c r="BG967" s="211"/>
      <c r="BH967" s="211"/>
      <c r="BI967" s="211"/>
    </row>
    <row r="968">
      <c r="A968" s="210" t="str">
        <f>IFERROR(__xludf.DUMMYFUNCTION("""COMPUTED_VALUE"""),"04250394")</f>
        <v>04250394</v>
      </c>
      <c r="B968" s="210" t="str">
        <f>IFERROR(__xludf.DUMMYFUNCTION("""COMPUTED_VALUE"""),"04250394")</f>
        <v>04250394</v>
      </c>
      <c r="C968" s="213">
        <f>IFERROR(__xludf.DUMMYFUNCTION("""COMPUTED_VALUE"""),45774.34930555556)</f>
        <v>45774.34931</v>
      </c>
      <c r="D968" s="211" t="str">
        <f>IFERROR(__xludf.DUMMYFUNCTION("""COMPUTED_VALUE"""),"f01dab70")</f>
        <v>f01dab70</v>
      </c>
      <c r="E968" s="211" t="str">
        <f>IFERROR(__xludf.DUMMYFUNCTION("""COMPUTED_VALUE"""),"Bpk. Yudi")</f>
        <v>Bpk. Yudi</v>
      </c>
      <c r="F968" s="211" t="str">
        <f>IFERROR(__xludf.DUMMYFUNCTION("""COMPUTED_VALUE"""),"66af7c72")</f>
        <v>66af7c72</v>
      </c>
      <c r="G968" s="211" t="str">
        <f>IFERROR(__xludf.DUMMYFUNCTION("""COMPUTED_VALUE"""),"Argon 6m3")</f>
        <v>Argon 6m3</v>
      </c>
      <c r="H968" s="214" t="str">
        <f>IFERROR(__xludf.DUMMYFUNCTION("""COMPUTED_VALUE"""),"OUT")</f>
        <v>OUT</v>
      </c>
      <c r="I968" s="214" t="str">
        <f>IFERROR(__xludf.DUMMYFUNCTION("""COMPUTED_VALUE"""),"NORMAL")</f>
        <v>NORMAL</v>
      </c>
      <c r="J968" s="211">
        <f>IFERROR(__xludf.DUMMYFUNCTION("""COMPUTED_VALUE"""),1.0)</f>
        <v>1</v>
      </c>
      <c r="K968" s="210" t="str">
        <f>IFERROR(__xludf.DUMMYFUNCTION("""COMPUTED_VALUE"""),"12001")</f>
        <v>12001</v>
      </c>
      <c r="L968" s="211">
        <f>IFERROR(__xludf.DUMMYFUNCTION("""COMPUTED_VALUE"""),270000.0)</f>
        <v>270000</v>
      </c>
      <c r="M968" s="211"/>
      <c r="N968" s="211"/>
      <c r="O968" s="211"/>
      <c r="Q968" s="210" t="str">
        <f>IFERROR(__xludf.DUMMYFUNCTION("""COMPUTED_VALUE"""),"3a734ab4")</f>
        <v>3a734ab4</v>
      </c>
      <c r="R968" s="210" t="str">
        <f>IFERROR(__xludf.DUMMYFUNCTION("""COMPUTED_VALUE"""),"3a734ab4")</f>
        <v>3a734ab4</v>
      </c>
      <c r="S968" s="211" t="str">
        <f>IFERROR(__xludf.DUMMYFUNCTION("""COMPUTED_VALUE"""),"1bf27092")</f>
        <v>1bf27092</v>
      </c>
      <c r="T968" s="211" t="str">
        <f>IFERROR(__xludf.DUMMYFUNCTION("""COMPUTED_VALUE"""),"Bpk. Ari Budiarto")</f>
        <v>Bpk. Ari Budiarto</v>
      </c>
      <c r="U968" s="215">
        <f>IFERROR(__xludf.DUMMYFUNCTION("""COMPUTED_VALUE"""),45843.475694444445)</f>
        <v>45843.47569</v>
      </c>
      <c r="V968" s="211" t="str">
        <f>IFERROR(__xludf.DUMMYFUNCTION("""COMPUTED_VALUE"""),"Jl. Raya Balongbendo 232, Bakalan, Bakalan Wringinpitu, Kec. BalongBendo, Kabupaten Sidoarjo, Jawa Timur 61263")</f>
        <v>Jl. Raya Balongbendo 232, Bakalan, Bakalan Wringinpitu, Kec. BalongBendo, Kabupaten Sidoarjo, Jawa Timur 61263</v>
      </c>
      <c r="W968" s="211" t="str">
        <f>IFERROR(__xludf.DUMMYFUNCTION("""COMPUTED_VALUE"""),"IN")</f>
        <v>IN</v>
      </c>
      <c r="X968" s="211"/>
      <c r="Z968" s="211" t="str">
        <f>IFERROR(__xludf.DUMMYFUNCTION("""COMPUTED_VALUE"""),"07250570")</f>
        <v>07250570</v>
      </c>
      <c r="AC968" s="211"/>
      <c r="AD968" s="211"/>
      <c r="AE968" s="211"/>
      <c r="AF968" s="211"/>
      <c r="AG968" s="211"/>
      <c r="AH968" s="211"/>
      <c r="AI968" s="211"/>
      <c r="AJ968" s="211"/>
      <c r="AL968" s="211"/>
      <c r="AM968" s="211"/>
      <c r="AN968" s="211"/>
      <c r="AO968" s="211"/>
      <c r="AP968" s="215"/>
      <c r="AQ968" s="218"/>
      <c r="AR968" s="211"/>
      <c r="AS968" s="211"/>
      <c r="AT968" s="211"/>
      <c r="AU968" s="211"/>
      <c r="AV968" s="211"/>
      <c r="AW968" s="211"/>
      <c r="AX968" s="211"/>
      <c r="AY968" s="211"/>
      <c r="AZ968" s="211"/>
      <c r="BB968" s="211"/>
      <c r="BC968" s="211"/>
      <c r="BD968" s="211"/>
      <c r="BE968" s="211"/>
      <c r="BF968" s="211"/>
      <c r="BG968" s="211"/>
      <c r="BH968" s="211"/>
      <c r="BI968" s="211"/>
    </row>
    <row r="969">
      <c r="A969" s="210" t="str">
        <f>IFERROR(__xludf.DUMMYFUNCTION("""COMPUTED_VALUE"""),"34cf8da6")</f>
        <v>34cf8da6</v>
      </c>
      <c r="B969" s="210" t="str">
        <f>IFERROR(__xludf.DUMMYFUNCTION("""COMPUTED_VALUE"""),"34cf8da6")</f>
        <v>34cf8da6</v>
      </c>
      <c r="C969" s="213">
        <f>IFERROR(__xludf.DUMMYFUNCTION("""COMPUTED_VALUE"""),45775.475)</f>
        <v>45775.475</v>
      </c>
      <c r="D969" s="211" t="str">
        <f>IFERROR(__xludf.DUMMYFUNCTION("""COMPUTED_VALUE"""),"f01dab70")</f>
        <v>f01dab70</v>
      </c>
      <c r="E969" s="211" t="str">
        <f>IFERROR(__xludf.DUMMYFUNCTION("""COMPUTED_VALUE"""),"Bpk. Yudi")</f>
        <v>Bpk. Yudi</v>
      </c>
      <c r="F969" s="211" t="str">
        <f>IFERROR(__xludf.DUMMYFUNCTION("""COMPUTED_VALUE"""),"66af7c72")</f>
        <v>66af7c72</v>
      </c>
      <c r="G969" s="211" t="str">
        <f>IFERROR(__xludf.DUMMYFUNCTION("""COMPUTED_VALUE"""),"Argon 6m3")</f>
        <v>Argon 6m3</v>
      </c>
      <c r="H969" s="214" t="str">
        <f>IFERROR(__xludf.DUMMYFUNCTION("""COMPUTED_VALUE"""),"IN")</f>
        <v>IN</v>
      </c>
      <c r="I969" s="214" t="str">
        <f>IFERROR(__xludf.DUMMYFUNCTION("""COMPUTED_VALUE"""),"EMPTY")</f>
        <v>EMPTY</v>
      </c>
      <c r="J969" s="211">
        <f>IFERROR(__xludf.DUMMYFUNCTION("""COMPUTED_VALUE"""),1.0)</f>
        <v>1</v>
      </c>
      <c r="K969" s="210" t="str">
        <f>IFERROR(__xludf.DUMMYFUNCTION("""COMPUTED_VALUE"""),"12010")</f>
        <v>12010</v>
      </c>
      <c r="L969" s="211">
        <f>IFERROR(__xludf.DUMMYFUNCTION("""COMPUTED_VALUE"""),0.0)</f>
        <v>0</v>
      </c>
      <c r="M969" s="211"/>
      <c r="N969" s="211"/>
      <c r="O969" s="211"/>
      <c r="Q969" s="210" t="str">
        <f>IFERROR(__xludf.DUMMYFUNCTION("""COMPUTED_VALUE"""),"dce33602")</f>
        <v>dce33602</v>
      </c>
      <c r="R969" s="210" t="str">
        <f>IFERROR(__xludf.DUMMYFUNCTION("""COMPUTED_VALUE"""),"dce33602")</f>
        <v>dce33602</v>
      </c>
      <c r="S969" s="211" t="str">
        <f>IFERROR(__xludf.DUMMYFUNCTION("""COMPUTED_VALUE"""),"7e28b0bb")</f>
        <v>7e28b0bb</v>
      </c>
      <c r="T969" s="211" t="str">
        <f>IFERROR(__xludf.DUMMYFUNCTION("""COMPUTED_VALUE"""),"PT Surya Langit Biru")</f>
        <v>PT Surya Langit Biru</v>
      </c>
      <c r="U969" s="215">
        <f>IFERROR(__xludf.DUMMYFUNCTION("""COMPUTED_VALUE"""),45843.475694444445)</f>
        <v>45843.47569</v>
      </c>
      <c r="V969" s="211" t="str">
        <f>IFERROR(__xludf.DUMMYFUNCTION("""COMPUTED_VALUE"""),"Mlirip  Krian, Singkalan, Kec. BalongBendo, Kabupaten Sidoarjo, Jawa Timur 61263")</f>
        <v>Mlirip  Krian, Singkalan, Kec. BalongBendo, Kabupaten Sidoarjo, Jawa Timur 61263</v>
      </c>
      <c r="W969" s="211" t="str">
        <f>IFERROR(__xludf.DUMMYFUNCTION("""COMPUTED_VALUE"""),"IN")</f>
        <v>IN</v>
      </c>
      <c r="X969" s="211"/>
      <c r="Z969" s="211" t="str">
        <f>IFERROR(__xludf.DUMMYFUNCTION("""COMPUTED_VALUE"""),"07250569")</f>
        <v>07250569</v>
      </c>
      <c r="AC969" s="211"/>
      <c r="AD969" s="211"/>
      <c r="AE969" s="211"/>
      <c r="AF969" s="211"/>
      <c r="AG969" s="211"/>
      <c r="AH969" s="211"/>
      <c r="AI969" s="211"/>
      <c r="AJ969" s="211"/>
      <c r="AL969" s="211"/>
      <c r="AM969" s="211"/>
      <c r="AN969" s="211"/>
      <c r="AO969" s="211"/>
      <c r="AP969" s="215"/>
      <c r="AQ969" s="218"/>
      <c r="AR969" s="211"/>
      <c r="AS969" s="211"/>
      <c r="AT969" s="211"/>
      <c r="AU969" s="211"/>
      <c r="AV969" s="211"/>
      <c r="AW969" s="211"/>
      <c r="AX969" s="211"/>
      <c r="AY969" s="211"/>
      <c r="AZ969" s="211"/>
      <c r="BB969" s="211"/>
      <c r="BC969" s="211"/>
      <c r="BD969" s="211"/>
      <c r="BE969" s="211"/>
      <c r="BF969" s="211"/>
      <c r="BG969" s="211"/>
      <c r="BH969" s="211"/>
      <c r="BI969" s="211"/>
    </row>
    <row r="970">
      <c r="A970" s="210" t="str">
        <f>IFERROR(__xludf.DUMMYFUNCTION("""COMPUTED_VALUE"""),"04250395")</f>
        <v>04250395</v>
      </c>
      <c r="B970" s="210" t="str">
        <f>IFERROR(__xludf.DUMMYFUNCTION("""COMPUTED_VALUE"""),"04250395")</f>
        <v>04250395</v>
      </c>
      <c r="C970" s="213">
        <f>IFERROR(__xludf.DUMMYFUNCTION("""COMPUTED_VALUE"""),45775.55972222222)</f>
        <v>45775.55972</v>
      </c>
      <c r="D970" s="211" t="str">
        <f>IFERROR(__xludf.DUMMYFUNCTION("""COMPUTED_VALUE"""),"4bef3bbf")</f>
        <v>4bef3bbf</v>
      </c>
      <c r="E970" s="211" t="str">
        <f>IFERROR(__xludf.DUMMYFUNCTION("""COMPUTED_VALUE"""),"PT Dingsheng Metal Indonesia (Ngoro)")</f>
        <v>PT Dingsheng Metal Indonesia (Ngoro)</v>
      </c>
      <c r="F970" s="211" t="str">
        <f>IFERROR(__xludf.DUMMYFUNCTION("""COMPUTED_VALUE"""),"8bdbe149")</f>
        <v>8bdbe149</v>
      </c>
      <c r="G970" s="211" t="str">
        <f>IFERROR(__xludf.DUMMYFUNCTION("""COMPUTED_VALUE"""),"Oksigen 6m3")</f>
        <v>Oksigen 6m3</v>
      </c>
      <c r="H970" s="214" t="str">
        <f>IFERROR(__xludf.DUMMYFUNCTION("""COMPUTED_VALUE"""),"OUT")</f>
        <v>OUT</v>
      </c>
      <c r="I970" s="214" t="str">
        <f>IFERROR(__xludf.DUMMYFUNCTION("""COMPUTED_VALUE"""),"NORMAL")</f>
        <v>NORMAL</v>
      </c>
      <c r="J970" s="211">
        <f>IFERROR(__xludf.DUMMYFUNCTION("""COMPUTED_VALUE"""),10.0)</f>
        <v>10</v>
      </c>
      <c r="K970" s="210" t="str">
        <f>IFERROR(__xludf.DUMMYFUNCTION("""COMPUTED_VALUE"""),"11115 11134 1156 11281 11246 11250 11248 11251 11274 11272")</f>
        <v>11115 11134 1156 11281 11246 11250 11248 11251 11274 11272</v>
      </c>
      <c r="L970" s="211">
        <f>IFERROR(__xludf.DUMMYFUNCTION("""COMPUTED_VALUE"""),45045.045)</f>
        <v>45045.045</v>
      </c>
      <c r="M970" s="211"/>
      <c r="N970" s="211"/>
      <c r="O970" s="211"/>
      <c r="Q970" s="210" t="str">
        <f>IFERROR(__xludf.DUMMYFUNCTION("""COMPUTED_VALUE"""),"e542b575")</f>
        <v>e542b575</v>
      </c>
      <c r="R970" s="210" t="str">
        <f>IFERROR(__xludf.DUMMYFUNCTION("""COMPUTED_VALUE"""),"e542b575")</f>
        <v>e542b575</v>
      </c>
      <c r="S970" s="211" t="str">
        <f>IFERROR(__xludf.DUMMYFUNCTION("""COMPUTED_VALUE"""),"f01dab70")</f>
        <v>f01dab70</v>
      </c>
      <c r="T970" s="211" t="str">
        <f>IFERROR(__xludf.DUMMYFUNCTION("""COMPUTED_VALUE"""),"Bpk. Yudi")</f>
        <v>Bpk. Yudi</v>
      </c>
      <c r="U970" s="215">
        <f>IFERROR(__xludf.DUMMYFUNCTION("""COMPUTED_VALUE"""),45843.51597222222)</f>
        <v>45843.51597</v>
      </c>
      <c r="V970" s="211" t="str">
        <f>IFERROR(__xludf.DUMMYFUNCTION("""COMPUTED_VALUE"""),"Bandilan, Simogirang, Kec. Prambon, Kabupaten Sidoarjo, Jawa Timur 61264")</f>
        <v>Bandilan, Simogirang, Kec. Prambon, Kabupaten Sidoarjo, Jawa Timur 61264</v>
      </c>
      <c r="W970" s="211" t="str">
        <f>IFERROR(__xludf.DUMMYFUNCTION("""COMPUTED_VALUE"""),"IN")</f>
        <v>IN</v>
      </c>
      <c r="X970" s="211"/>
      <c r="Z970" s="211" t="str">
        <f>IFERROR(__xludf.DUMMYFUNCTION("""COMPUTED_VALUE"""),"07250567")</f>
        <v>07250567</v>
      </c>
      <c r="AC970" s="211"/>
      <c r="AD970" s="211"/>
      <c r="AE970" s="211"/>
      <c r="AF970" s="211"/>
      <c r="AG970" s="211"/>
      <c r="AH970" s="211"/>
      <c r="AI970" s="211"/>
      <c r="AJ970" s="211"/>
      <c r="AL970" s="211"/>
      <c r="AM970" s="211"/>
      <c r="AN970" s="211"/>
      <c r="AO970" s="211"/>
      <c r="AP970" s="215"/>
      <c r="AQ970" s="218"/>
      <c r="AR970" s="211"/>
      <c r="AS970" s="211"/>
      <c r="AT970" s="211"/>
      <c r="AU970" s="211"/>
      <c r="AV970" s="211"/>
      <c r="AW970" s="211"/>
      <c r="AX970" s="211"/>
      <c r="AY970" s="211"/>
      <c r="AZ970" s="211"/>
      <c r="BB970" s="211"/>
      <c r="BC970" s="211"/>
      <c r="BD970" s="211"/>
      <c r="BE970" s="211"/>
      <c r="BF970" s="211"/>
      <c r="BG970" s="211"/>
      <c r="BH970" s="211"/>
      <c r="BI970" s="211"/>
    </row>
    <row r="971">
      <c r="A971" s="210" t="str">
        <f>IFERROR(__xludf.DUMMYFUNCTION("""COMPUTED_VALUE"""),"04250396")</f>
        <v>04250396</v>
      </c>
      <c r="B971" s="210" t="str">
        <f>IFERROR(__xludf.DUMMYFUNCTION("""COMPUTED_VALUE"""),"04250396")</f>
        <v>04250396</v>
      </c>
      <c r="C971" s="213">
        <f>IFERROR(__xludf.DUMMYFUNCTION("""COMPUTED_VALUE"""),45776.35902777778)</f>
        <v>45776.35903</v>
      </c>
      <c r="D971" s="211" t="str">
        <f>IFERROR(__xludf.DUMMYFUNCTION("""COMPUTED_VALUE"""),"e86baf3b")</f>
        <v>e86baf3b</v>
      </c>
      <c r="E971" s="211" t="str">
        <f>IFERROR(__xludf.DUMMYFUNCTION("""COMPUTED_VALUE"""),"PT GEMILANG CIPTA WAWASAN")</f>
        <v>PT GEMILANG CIPTA WAWASAN</v>
      </c>
      <c r="F971" s="211" t="str">
        <f>IFERROR(__xludf.DUMMYFUNCTION("""COMPUTED_VALUE"""),"8bdbe149")</f>
        <v>8bdbe149</v>
      </c>
      <c r="G971" s="211" t="str">
        <f>IFERROR(__xludf.DUMMYFUNCTION("""COMPUTED_VALUE"""),"Oksigen 6m3")</f>
        <v>Oksigen 6m3</v>
      </c>
      <c r="H971" s="214" t="str">
        <f>IFERROR(__xludf.DUMMYFUNCTION("""COMPUTED_VALUE"""),"OUT")</f>
        <v>OUT</v>
      </c>
      <c r="I971" s="214" t="str">
        <f>IFERROR(__xludf.DUMMYFUNCTION("""COMPUTED_VALUE"""),"NORMAL")</f>
        <v>NORMAL</v>
      </c>
      <c r="J971" s="211">
        <f>IFERROR(__xludf.DUMMYFUNCTION("""COMPUTED_VALUE"""),15.0)</f>
        <v>15</v>
      </c>
      <c r="K971" s="210" t="str">
        <f>IFERROR(__xludf.DUMMYFUNCTION("""COMPUTED_VALUE"""),"11151 11163 11144 11142 11161 11152 11160 11159 11157 11174 11170 11171 11149 11148 11146")</f>
        <v>11151 11163 11144 11142 11161 11152 11160 11159 11157 11174 11170 11171 11149 11148 11146</v>
      </c>
      <c r="L971" s="211">
        <f>IFERROR(__xludf.DUMMYFUNCTION("""COMPUTED_VALUE"""),60000.0)</f>
        <v>60000</v>
      </c>
      <c r="M971" s="211"/>
      <c r="N971" s="211"/>
      <c r="O971" s="211"/>
      <c r="Q971" s="210" t="str">
        <f>IFERROR(__xludf.DUMMYFUNCTION("""COMPUTED_VALUE"""),"f24f4587")</f>
        <v>f24f4587</v>
      </c>
      <c r="R971" s="210" t="str">
        <f>IFERROR(__xludf.DUMMYFUNCTION("""COMPUTED_VALUE"""),"f24f4587")</f>
        <v>f24f4587</v>
      </c>
      <c r="S971" s="211" t="str">
        <f>IFERROR(__xludf.DUMMYFUNCTION("""COMPUTED_VALUE"""),"01158be1")</f>
        <v>01158be1</v>
      </c>
      <c r="T971" s="211" t="str">
        <f>IFERROR(__xludf.DUMMYFUNCTION("""COMPUTED_VALUE"""),"GYF")</f>
        <v>GYF</v>
      </c>
      <c r="U971" s="215">
        <f>IFERROR(__xludf.DUMMYFUNCTION("""COMPUTED_VALUE"""),45843.51666666666)</f>
        <v>45843.51667</v>
      </c>
      <c r="V971" s="211" t="str">
        <f>IFERROR(__xludf.DUMMYFUNCTION("""COMPUTED_VALUE"""),"Kangkungan, Lengkong, Kec. Mojoanyar, Kabupaten Mojokerto, Jawa Timur")</f>
        <v>Kangkungan, Lengkong, Kec. Mojoanyar, Kabupaten Mojokerto, Jawa Timur</v>
      </c>
      <c r="W971" s="211" t="str">
        <f>IFERROR(__xludf.DUMMYFUNCTION("""COMPUTED_VALUE"""),"IN")</f>
        <v>IN</v>
      </c>
      <c r="X971" s="211"/>
      <c r="Z971" s="211" t="str">
        <f>IFERROR(__xludf.DUMMYFUNCTION("""COMPUTED_VALUE"""),"07250566")</f>
        <v>07250566</v>
      </c>
      <c r="AC971" s="211"/>
      <c r="AD971" s="211"/>
      <c r="AE971" s="211"/>
      <c r="AF971" s="211"/>
      <c r="AG971" s="211"/>
      <c r="AH971" s="211"/>
      <c r="AI971" s="211"/>
      <c r="AJ971" s="211"/>
      <c r="AL971" s="211"/>
      <c r="AM971" s="211"/>
      <c r="AN971" s="211"/>
      <c r="AO971" s="211"/>
      <c r="AP971" s="215"/>
      <c r="AQ971" s="218"/>
      <c r="AR971" s="211"/>
      <c r="AS971" s="211"/>
      <c r="AT971" s="211"/>
      <c r="AU971" s="211"/>
      <c r="AV971" s="211"/>
      <c r="AW971" s="211"/>
      <c r="AX971" s="211"/>
      <c r="AY971" s="211"/>
      <c r="AZ971" s="211"/>
      <c r="BB971" s="211"/>
      <c r="BC971" s="211"/>
      <c r="BD971" s="211"/>
      <c r="BE971" s="211"/>
      <c r="BF971" s="211"/>
      <c r="BG971" s="211"/>
      <c r="BH971" s="211"/>
      <c r="BI971" s="211"/>
    </row>
    <row r="972">
      <c r="A972" s="210" t="str">
        <f>IFERROR(__xludf.DUMMYFUNCTION("""COMPUTED_VALUE"""),"7dc880f2")</f>
        <v>7dc880f2</v>
      </c>
      <c r="B972" s="210" t="str">
        <f>IFERROR(__xludf.DUMMYFUNCTION("""COMPUTED_VALUE"""),"7dc880f2")</f>
        <v>7dc880f2</v>
      </c>
      <c r="C972" s="213">
        <f>IFERROR(__xludf.DUMMYFUNCTION("""COMPUTED_VALUE"""),45775.73055555556)</f>
        <v>45775.73056</v>
      </c>
      <c r="D972" s="211" t="str">
        <f>IFERROR(__xludf.DUMMYFUNCTION("""COMPUTED_VALUE"""),"4bef3bbf")</f>
        <v>4bef3bbf</v>
      </c>
      <c r="E972" s="211" t="str">
        <f>IFERROR(__xludf.DUMMYFUNCTION("""COMPUTED_VALUE"""),"PT Dingsheng Metal Indonesia (Ngoro)")</f>
        <v>PT Dingsheng Metal Indonesia (Ngoro)</v>
      </c>
      <c r="F972" s="211" t="str">
        <f>IFERROR(__xludf.DUMMYFUNCTION("""COMPUTED_VALUE"""),"8bdbe149")</f>
        <v>8bdbe149</v>
      </c>
      <c r="G972" s="211" t="str">
        <f>IFERROR(__xludf.DUMMYFUNCTION("""COMPUTED_VALUE"""),"Oksigen 6m3")</f>
        <v>Oksigen 6m3</v>
      </c>
      <c r="H972" s="214" t="str">
        <f>IFERROR(__xludf.DUMMYFUNCTION("""COMPUTED_VALUE"""),"IN")</f>
        <v>IN</v>
      </c>
      <c r="I972" s="214" t="str">
        <f>IFERROR(__xludf.DUMMYFUNCTION("""COMPUTED_VALUE"""),"EMPTY")</f>
        <v>EMPTY</v>
      </c>
      <c r="J972" s="211">
        <f>IFERROR(__xludf.DUMMYFUNCTION("""COMPUTED_VALUE"""),6.0)</f>
        <v>6</v>
      </c>
      <c r="K972" s="210" t="str">
        <f>IFERROR(__xludf.DUMMYFUNCTION("""COMPUTED_VALUE"""),"11127 1164 11177 11188 11176 11191")</f>
        <v>11127 1164 11177 11188 11176 11191</v>
      </c>
      <c r="L972" s="211">
        <f>IFERROR(__xludf.DUMMYFUNCTION("""COMPUTED_VALUE"""),0.0)</f>
        <v>0</v>
      </c>
      <c r="M972" s="211"/>
      <c r="N972" s="211"/>
      <c r="O972" s="211"/>
      <c r="Q972" s="210" t="str">
        <f>IFERROR(__xludf.DUMMYFUNCTION("""COMPUTED_VALUE"""),"07250563")</f>
        <v>07250563</v>
      </c>
      <c r="R972" s="210" t="str">
        <f>IFERROR(__xludf.DUMMYFUNCTION("""COMPUTED_VALUE"""),"07250563")</f>
        <v>07250563</v>
      </c>
      <c r="S972" s="211" t="str">
        <f>IFERROR(__xludf.DUMMYFUNCTION("""COMPUTED_VALUE"""),"e76bc39c")</f>
        <v>e76bc39c</v>
      </c>
      <c r="T972" s="211" t="str">
        <f>IFERROR(__xludf.DUMMYFUNCTION("""COMPUTED_VALUE"""),"Bpk. Irul")</f>
        <v>Bpk. Irul</v>
      </c>
      <c r="U972" s="215">
        <f>IFERROR(__xludf.DUMMYFUNCTION("""COMPUTED_VALUE"""),45843.52847222222)</f>
        <v>45843.52847</v>
      </c>
      <c r="V972" s="211" t="str">
        <f>IFERROR(__xludf.DUMMYFUNCTION("""COMPUTED_VALUE"""),"Jl. Mayjen Bambang Yuwono, Ciro Kulon, Bakungtemenggungan, Kec. BalongBendo, Kabupaten Sidoarjo, Jawa Timur 61263")</f>
        <v>Jl. Mayjen Bambang Yuwono, Ciro Kulon, Bakungtemenggungan, Kec. BalongBendo, Kabupaten Sidoarjo, Jawa Timur 61263</v>
      </c>
      <c r="W972" s="211" t="str">
        <f>IFERROR(__xludf.DUMMYFUNCTION("""COMPUTED_VALUE"""),"OUT")</f>
        <v>OUT</v>
      </c>
      <c r="X972" s="211"/>
      <c r="Z972" s="211" t="str">
        <f>IFERROR(__xludf.DUMMYFUNCTION("""COMPUTED_VALUE"""),"07250565")</f>
        <v>07250565</v>
      </c>
      <c r="AC972" s="211"/>
      <c r="AD972" s="211"/>
      <c r="AE972" s="211"/>
      <c r="AF972" s="211"/>
      <c r="AG972" s="211"/>
      <c r="AH972" s="211"/>
      <c r="AI972" s="211"/>
      <c r="AJ972" s="211"/>
      <c r="AL972" s="211"/>
      <c r="AM972" s="211"/>
      <c r="AN972" s="211"/>
      <c r="AO972" s="211"/>
      <c r="AP972" s="215"/>
      <c r="AQ972" s="218"/>
      <c r="AR972" s="211"/>
      <c r="AS972" s="211"/>
      <c r="AT972" s="211"/>
      <c r="AU972" s="211"/>
      <c r="AV972" s="211"/>
      <c r="AW972" s="211"/>
      <c r="AX972" s="211"/>
      <c r="AY972" s="211"/>
      <c r="AZ972" s="211"/>
      <c r="BB972" s="211"/>
      <c r="BC972" s="211"/>
      <c r="BD972" s="211"/>
      <c r="BE972" s="211"/>
      <c r="BF972" s="211"/>
      <c r="BG972" s="211"/>
      <c r="BH972" s="211"/>
      <c r="BI972" s="211"/>
    </row>
    <row r="973">
      <c r="A973" s="210" t="str">
        <f>IFERROR(__xludf.DUMMYFUNCTION("""COMPUTED_VALUE"""),"05250397")</f>
        <v>05250397</v>
      </c>
      <c r="B973" s="210" t="str">
        <f>IFERROR(__xludf.DUMMYFUNCTION("""COMPUTED_VALUE"""),"05250397")</f>
        <v>05250397</v>
      </c>
      <c r="C973" s="213">
        <f>IFERROR(__xludf.DUMMYFUNCTION("""COMPUTED_VALUE"""),45779.40694444445)</f>
        <v>45779.40694</v>
      </c>
      <c r="D973" s="211" t="str">
        <f>IFERROR(__xludf.DUMMYFUNCTION("""COMPUTED_VALUE"""),"01158be1")</f>
        <v>01158be1</v>
      </c>
      <c r="E973" s="211" t="str">
        <f>IFERROR(__xludf.DUMMYFUNCTION("""COMPUTED_VALUE"""),"GYF")</f>
        <v>GYF</v>
      </c>
      <c r="F973" s="211" t="str">
        <f>IFERROR(__xludf.DUMMYFUNCTION("""COMPUTED_VALUE"""),"8bdbe149")</f>
        <v>8bdbe149</v>
      </c>
      <c r="G973" s="211" t="str">
        <f>IFERROR(__xludf.DUMMYFUNCTION("""COMPUTED_VALUE"""),"Oksigen 6m3")</f>
        <v>Oksigen 6m3</v>
      </c>
      <c r="H973" s="214" t="str">
        <f>IFERROR(__xludf.DUMMYFUNCTION("""COMPUTED_VALUE"""),"OUT")</f>
        <v>OUT</v>
      </c>
      <c r="I973" s="214" t="str">
        <f>IFERROR(__xludf.DUMMYFUNCTION("""COMPUTED_VALUE"""),"NORMAL")</f>
        <v>NORMAL</v>
      </c>
      <c r="J973" s="211">
        <f>IFERROR(__xludf.DUMMYFUNCTION("""COMPUTED_VALUE"""),15.0)</f>
        <v>15</v>
      </c>
      <c r="K973" s="210" t="str">
        <f>IFERROR(__xludf.DUMMYFUNCTION("""COMPUTED_VALUE"""),"11288 11290 11273 11271 11287 11108 11106 1104 1150 11253 11105 1116 1104 1141 1185")</f>
        <v>11288 11290 11273 11271 11287 11108 11106 1104 1150 11253 11105 1116 1104 1141 1185</v>
      </c>
      <c r="L973" s="211">
        <f>IFERROR(__xludf.DUMMYFUNCTION("""COMPUTED_VALUE"""),45000.0)</f>
        <v>45000</v>
      </c>
      <c r="M973" s="211"/>
      <c r="N973" s="211"/>
      <c r="O973" s="211"/>
      <c r="Q973" s="210" t="str">
        <f>IFERROR(__xludf.DUMMYFUNCTION("""COMPUTED_VALUE"""),"58fd0494")</f>
        <v>58fd0494</v>
      </c>
      <c r="R973" s="210" t="str">
        <f>IFERROR(__xludf.DUMMYFUNCTION("""COMPUTED_VALUE"""),"58fd0494")</f>
        <v>58fd0494</v>
      </c>
      <c r="S973" s="211" t="str">
        <f>IFERROR(__xludf.DUMMYFUNCTION("""COMPUTED_VALUE"""),"e76bc39c")</f>
        <v>e76bc39c</v>
      </c>
      <c r="T973" s="211" t="str">
        <f>IFERROR(__xludf.DUMMYFUNCTION("""COMPUTED_VALUE"""),"Bpk. Irul")</f>
        <v>Bpk. Irul</v>
      </c>
      <c r="U973" s="215">
        <f>IFERROR(__xludf.DUMMYFUNCTION("""COMPUTED_VALUE"""),45843.586111111115)</f>
        <v>45843.58611</v>
      </c>
      <c r="V973" s="211" t="str">
        <f>IFERROR(__xludf.DUMMYFUNCTION("""COMPUTED_VALUE"""),"Jl. Mayjen Bambang Yuwono, Ciro Kulon, Bakungtemenggungan, Kec. BalongBendo, Kabupaten Sidoarjo, Jawa Timur 61263")</f>
        <v>Jl. Mayjen Bambang Yuwono, Ciro Kulon, Bakungtemenggungan, Kec. BalongBendo, Kabupaten Sidoarjo, Jawa Timur 61263</v>
      </c>
      <c r="W973" s="211" t="str">
        <f>IFERROR(__xludf.DUMMYFUNCTION("""COMPUTED_VALUE"""),"IN")</f>
        <v>IN</v>
      </c>
      <c r="X973" s="211"/>
      <c r="Z973" s="211" t="str">
        <f>IFERROR(__xludf.DUMMYFUNCTION("""COMPUTED_VALUE"""),"07250563")</f>
        <v>07250563</v>
      </c>
      <c r="AC973" s="211"/>
      <c r="AD973" s="211"/>
      <c r="AE973" s="211"/>
      <c r="AF973" s="211"/>
      <c r="AG973" s="211"/>
      <c r="AH973" s="211"/>
      <c r="AI973" s="211"/>
      <c r="AJ973" s="211"/>
      <c r="AL973" s="211"/>
      <c r="AM973" s="211"/>
      <c r="AN973" s="211"/>
      <c r="AO973" s="211"/>
      <c r="AP973" s="215"/>
      <c r="AQ973" s="218"/>
      <c r="AR973" s="211"/>
      <c r="AS973" s="211"/>
      <c r="AT973" s="211"/>
      <c r="AU973" s="211"/>
      <c r="AV973" s="211"/>
      <c r="AW973" s="211"/>
      <c r="AX973" s="211"/>
      <c r="AY973" s="211"/>
      <c r="AZ973" s="211"/>
      <c r="BB973" s="211"/>
      <c r="BC973" s="211"/>
      <c r="BD973" s="211"/>
      <c r="BE973" s="211"/>
      <c r="BF973" s="211"/>
      <c r="BG973" s="211"/>
      <c r="BH973" s="211"/>
      <c r="BI973" s="211"/>
    </row>
    <row r="974">
      <c r="A974" s="210" t="str">
        <f>IFERROR(__xludf.DUMMYFUNCTION("""COMPUTED_VALUE"""),"df7e79dd")</f>
        <v>df7e79dd</v>
      </c>
      <c r="B974" s="210" t="str">
        <f>IFERROR(__xludf.DUMMYFUNCTION("""COMPUTED_VALUE"""),"df7e79dd")</f>
        <v>df7e79dd</v>
      </c>
      <c r="C974" s="213">
        <f>IFERROR(__xludf.DUMMYFUNCTION("""COMPUTED_VALUE"""),45776.458333333336)</f>
        <v>45776.45833</v>
      </c>
      <c r="D974" s="211" t="str">
        <f>IFERROR(__xludf.DUMMYFUNCTION("""COMPUTED_VALUE"""),"e86baf3b")</f>
        <v>e86baf3b</v>
      </c>
      <c r="E974" s="211" t="str">
        <f>IFERROR(__xludf.DUMMYFUNCTION("""COMPUTED_VALUE"""),"PT GEMILANG CIPTA WAWASAN")</f>
        <v>PT GEMILANG CIPTA WAWASAN</v>
      </c>
      <c r="F974" s="211" t="str">
        <f>IFERROR(__xludf.DUMMYFUNCTION("""COMPUTED_VALUE"""),"8bdbe149")</f>
        <v>8bdbe149</v>
      </c>
      <c r="G974" s="211" t="str">
        <f>IFERROR(__xludf.DUMMYFUNCTION("""COMPUTED_VALUE"""),"Oksigen 6m3")</f>
        <v>Oksigen 6m3</v>
      </c>
      <c r="H974" s="214" t="str">
        <f>IFERROR(__xludf.DUMMYFUNCTION("""COMPUTED_VALUE"""),"IN")</f>
        <v>IN</v>
      </c>
      <c r="I974" s="214" t="str">
        <f>IFERROR(__xludf.DUMMYFUNCTION("""COMPUTED_VALUE"""),"EMPTY")</f>
        <v>EMPTY</v>
      </c>
      <c r="J974" s="211">
        <f>IFERROR(__xludf.DUMMYFUNCTION("""COMPUTED_VALUE"""),2.0)</f>
        <v>2</v>
      </c>
      <c r="K974" s="210" t="str">
        <f>IFERROR(__xludf.DUMMYFUNCTION("""COMPUTED_VALUE"""),"1147 1106")</f>
        <v>1147 1106</v>
      </c>
      <c r="L974" s="211">
        <f>IFERROR(__xludf.DUMMYFUNCTION("""COMPUTED_VALUE"""),0.0)</f>
        <v>0</v>
      </c>
      <c r="M974" s="211"/>
      <c r="N974" s="211"/>
      <c r="O974" s="211"/>
      <c r="Q974" s="210" t="str">
        <f>IFERROR(__xludf.DUMMYFUNCTION("""COMPUTED_VALUE"""),"07250565")</f>
        <v>07250565</v>
      </c>
      <c r="R974" s="210" t="str">
        <f>IFERROR(__xludf.DUMMYFUNCTION("""COMPUTED_VALUE"""),"07250565")</f>
        <v>07250565</v>
      </c>
      <c r="S974" s="211" t="str">
        <f>IFERROR(__xludf.DUMMYFUNCTION("""COMPUTED_VALUE"""),"01158be1")</f>
        <v>01158be1</v>
      </c>
      <c r="T974" s="211" t="str">
        <f>IFERROR(__xludf.DUMMYFUNCTION("""COMPUTED_VALUE"""),"GYF")</f>
        <v>GYF</v>
      </c>
      <c r="U974" s="215">
        <f>IFERROR(__xludf.DUMMYFUNCTION("""COMPUTED_VALUE"""),45845.35902777778)</f>
        <v>45845.35903</v>
      </c>
      <c r="V974" s="211" t="str">
        <f>IFERROR(__xludf.DUMMYFUNCTION("""COMPUTED_VALUE"""),"Kangkungan, Lengkong, Kec. Mojoanyar, Kabupaten Mojokerto, Jawa Timur")</f>
        <v>Kangkungan, Lengkong, Kec. Mojoanyar, Kabupaten Mojokerto, Jawa Timur</v>
      </c>
      <c r="W974" s="211" t="str">
        <f>IFERROR(__xludf.DUMMYFUNCTION("""COMPUTED_VALUE"""),"OUT")</f>
        <v>OUT</v>
      </c>
      <c r="X974" s="211"/>
      <c r="Z974" s="211" t="str">
        <f>IFERROR(__xludf.DUMMYFUNCTION("""COMPUTED_VALUE"""),"07250561")</f>
        <v>07250561</v>
      </c>
      <c r="AC974" s="211"/>
      <c r="AD974" s="211"/>
      <c r="AE974" s="211"/>
      <c r="AF974" s="211"/>
      <c r="AG974" s="211"/>
      <c r="AH974" s="211"/>
      <c r="AI974" s="211"/>
      <c r="AJ974" s="211"/>
      <c r="AL974" s="211"/>
      <c r="AM974" s="211"/>
      <c r="AN974" s="211"/>
      <c r="AO974" s="211"/>
      <c r="AP974" s="215"/>
      <c r="AQ974" s="218"/>
      <c r="AR974" s="211"/>
      <c r="AS974" s="211"/>
      <c r="AT974" s="211"/>
      <c r="AU974" s="211"/>
      <c r="AV974" s="211"/>
      <c r="AW974" s="211"/>
      <c r="AX974" s="211"/>
      <c r="AY974" s="211"/>
      <c r="AZ974" s="211"/>
      <c r="BB974" s="211"/>
      <c r="BC974" s="211"/>
      <c r="BD974" s="211"/>
      <c r="BE974" s="211"/>
      <c r="BF974" s="211"/>
      <c r="BG974" s="211"/>
      <c r="BH974" s="211"/>
      <c r="BI974" s="211"/>
    </row>
    <row r="975">
      <c r="A975" s="210" t="str">
        <f>IFERROR(__xludf.DUMMYFUNCTION("""COMPUTED_VALUE"""),"0362ba09")</f>
        <v>0362ba09</v>
      </c>
      <c r="B975" s="210" t="str">
        <f>IFERROR(__xludf.DUMMYFUNCTION("""COMPUTED_VALUE"""),"0362ba09")</f>
        <v>0362ba09</v>
      </c>
      <c r="C975" s="213">
        <f>IFERROR(__xludf.DUMMYFUNCTION("""COMPUTED_VALUE"""),45776.45972222222)</f>
        <v>45776.45972</v>
      </c>
      <c r="D975" s="211" t="str">
        <f>IFERROR(__xludf.DUMMYFUNCTION("""COMPUTED_VALUE"""),"103f3ae7")</f>
        <v>103f3ae7</v>
      </c>
      <c r="E975" s="211" t="str">
        <f>IFERROR(__xludf.DUMMYFUNCTION("""COMPUTED_VALUE"""),"PT ARYANA CAKASANA")</f>
        <v>PT ARYANA CAKASANA</v>
      </c>
      <c r="F975" s="211" t="str">
        <f>IFERROR(__xludf.DUMMYFUNCTION("""COMPUTED_VALUE"""),"8bdbe149")</f>
        <v>8bdbe149</v>
      </c>
      <c r="G975" s="211" t="str">
        <f>IFERROR(__xludf.DUMMYFUNCTION("""COMPUTED_VALUE"""),"Oksigen 6m3")</f>
        <v>Oksigen 6m3</v>
      </c>
      <c r="H975" s="214" t="str">
        <f>IFERROR(__xludf.DUMMYFUNCTION("""COMPUTED_VALUE"""),"IN")</f>
        <v>IN</v>
      </c>
      <c r="I975" s="214" t="str">
        <f>IFERROR(__xludf.DUMMYFUNCTION("""COMPUTED_VALUE"""),"EMPTY")</f>
        <v>EMPTY</v>
      </c>
      <c r="J975" s="211">
        <f>IFERROR(__xludf.DUMMYFUNCTION("""COMPUTED_VALUE"""),9.0)</f>
        <v>9</v>
      </c>
      <c r="K975" s="210" t="str">
        <f>IFERROR(__xludf.DUMMYFUNCTION("""COMPUTED_VALUE"""),"1199 1112 1116 11116 1181 11105 11100 1125 1140")</f>
        <v>1199 1112 1116 11116 1181 11105 11100 1125 1140</v>
      </c>
      <c r="L975" s="211">
        <f>IFERROR(__xludf.DUMMYFUNCTION("""COMPUTED_VALUE"""),0.0)</f>
        <v>0</v>
      </c>
      <c r="M975" s="211"/>
      <c r="N975" s="211"/>
      <c r="O975" s="211"/>
      <c r="Q975" s="210" t="str">
        <f>IFERROR(__xludf.DUMMYFUNCTION("""COMPUTED_VALUE"""),"07250566")</f>
        <v>07250566</v>
      </c>
      <c r="R975" s="210" t="str">
        <f>IFERROR(__xludf.DUMMYFUNCTION("""COMPUTED_VALUE"""),"07250566")</f>
        <v>07250566</v>
      </c>
      <c r="S975" s="211" t="str">
        <f>IFERROR(__xludf.DUMMYFUNCTION("""COMPUTED_VALUE"""),"7b9d8eba")</f>
        <v>7b9d8eba</v>
      </c>
      <c r="T975" s="211" t="str">
        <f>IFERROR(__xludf.DUMMYFUNCTION("""COMPUTED_VALUE"""),"PT PELANGI INDOKARYA")</f>
        <v>PT PELANGI INDOKARYA</v>
      </c>
      <c r="U975" s="215">
        <f>IFERROR(__xludf.DUMMYFUNCTION("""COMPUTED_VALUE"""),45845.37638888889)</f>
        <v>45845.37639</v>
      </c>
      <c r="V975"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975" s="211" t="str">
        <f>IFERROR(__xludf.DUMMYFUNCTION("""COMPUTED_VALUE"""),"OUT")</f>
        <v>OUT</v>
      </c>
      <c r="X975" s="211"/>
      <c r="Z975" s="211" t="str">
        <f>IFERROR(__xludf.DUMMYFUNCTION("""COMPUTED_VALUE"""),"07250559")</f>
        <v>07250559</v>
      </c>
      <c r="AC975" s="211"/>
      <c r="AD975" s="211"/>
      <c r="AE975" s="211"/>
      <c r="AF975" s="211"/>
      <c r="AG975" s="211"/>
      <c r="AH975" s="211"/>
      <c r="AI975" s="211"/>
      <c r="AJ975" s="211"/>
      <c r="AL975" s="211"/>
      <c r="AM975" s="211"/>
      <c r="AN975" s="211"/>
      <c r="AO975" s="211"/>
      <c r="AP975" s="215"/>
      <c r="AQ975" s="218"/>
      <c r="AR975" s="211"/>
      <c r="AS975" s="211"/>
      <c r="AT975" s="211"/>
      <c r="AU975" s="211"/>
      <c r="AV975" s="211"/>
      <c r="AW975" s="211"/>
      <c r="AX975" s="211"/>
      <c r="AY975" s="211"/>
      <c r="AZ975" s="211"/>
      <c r="BB975" s="211"/>
      <c r="BC975" s="211"/>
      <c r="BD975" s="211"/>
      <c r="BE975" s="211"/>
      <c r="BF975" s="211"/>
      <c r="BG975" s="211"/>
      <c r="BH975" s="211"/>
      <c r="BI975" s="211"/>
    </row>
    <row r="976">
      <c r="A976" s="210" t="str">
        <f>IFERROR(__xludf.DUMMYFUNCTION("""COMPUTED_VALUE"""),"6acc359c")</f>
        <v>6acc359c</v>
      </c>
      <c r="B976" s="210" t="str">
        <f>IFERROR(__xludf.DUMMYFUNCTION("""COMPUTED_VALUE"""),"6acc359c")</f>
        <v>6acc359c</v>
      </c>
      <c r="C976" s="213">
        <f>IFERROR(__xludf.DUMMYFUNCTION("""COMPUTED_VALUE"""),45776.46041666667)</f>
        <v>45776.46042</v>
      </c>
      <c r="D976" s="211" t="str">
        <f>IFERROR(__xludf.DUMMYFUNCTION("""COMPUTED_VALUE"""),"785e0e07")</f>
        <v>785e0e07</v>
      </c>
      <c r="E976" s="211" t="str">
        <f>IFERROR(__xludf.DUMMYFUNCTION("""COMPUTED_VALUE"""),"Bpk. Sukirno (Bejo)")</f>
        <v>Bpk. Sukirno (Bejo)</v>
      </c>
      <c r="F976" s="211" t="str">
        <f>IFERROR(__xludf.DUMMYFUNCTION("""COMPUTED_VALUE"""),"8bdbe149")</f>
        <v>8bdbe149</v>
      </c>
      <c r="G976" s="211" t="str">
        <f>IFERROR(__xludf.DUMMYFUNCTION("""COMPUTED_VALUE"""),"Oksigen 6m3")</f>
        <v>Oksigen 6m3</v>
      </c>
      <c r="H976" s="214" t="str">
        <f>IFERROR(__xludf.DUMMYFUNCTION("""COMPUTED_VALUE"""),"IN")</f>
        <v>IN</v>
      </c>
      <c r="I976" s="214" t="str">
        <f>IFERROR(__xludf.DUMMYFUNCTION("""COMPUTED_VALUE"""),"EMPTY")</f>
        <v>EMPTY</v>
      </c>
      <c r="J976" s="211">
        <f>IFERROR(__xludf.DUMMYFUNCTION("""COMPUTED_VALUE"""),5.0)</f>
        <v>5</v>
      </c>
      <c r="K976" s="210" t="str">
        <f>IFERROR(__xludf.DUMMYFUNCTION("""COMPUTED_VALUE"""),"11258 11255 11237 11253 11238")</f>
        <v>11258 11255 11237 11253 11238</v>
      </c>
      <c r="L976" s="211">
        <f>IFERROR(__xludf.DUMMYFUNCTION("""COMPUTED_VALUE"""),0.0)</f>
        <v>0</v>
      </c>
      <c r="M976" s="211"/>
      <c r="N976" s="211"/>
      <c r="O976" s="211"/>
      <c r="Q976" s="210" t="str">
        <f>IFERROR(__xludf.DUMMYFUNCTION("""COMPUTED_VALUE"""),"07250567")</f>
        <v>07250567</v>
      </c>
      <c r="R976" s="210" t="str">
        <f>IFERROR(__xludf.DUMMYFUNCTION("""COMPUTED_VALUE"""),"07250567")</f>
        <v>07250567</v>
      </c>
      <c r="S976" s="211" t="str">
        <f>IFERROR(__xludf.DUMMYFUNCTION("""COMPUTED_VALUE"""),"182fb0fe")</f>
        <v>182fb0fe</v>
      </c>
      <c r="T976" s="211" t="str">
        <f>IFERROR(__xludf.DUMMYFUNCTION("""COMPUTED_VALUE"""),"PT Amtech")</f>
        <v>PT Amtech</v>
      </c>
      <c r="U976" s="215">
        <f>IFERROR(__xludf.DUMMYFUNCTION("""COMPUTED_VALUE"""),45845.37708333333)</f>
        <v>45845.37708</v>
      </c>
      <c r="V976"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976" s="211" t="str">
        <f>IFERROR(__xludf.DUMMYFUNCTION("""COMPUTED_VALUE"""),"OUT")</f>
        <v>OUT</v>
      </c>
      <c r="X976" s="211"/>
      <c r="Z976" s="211" t="str">
        <f>IFERROR(__xludf.DUMMYFUNCTION("""COMPUTED_VALUE"""),"07250558")</f>
        <v>07250558</v>
      </c>
      <c r="AC976" s="211"/>
      <c r="AD976" s="211"/>
      <c r="AE976" s="211"/>
      <c r="AF976" s="211"/>
      <c r="AG976" s="211"/>
      <c r="AH976" s="211"/>
      <c r="AI976" s="211"/>
      <c r="AJ976" s="211"/>
      <c r="AL976" s="211"/>
      <c r="AM976" s="211"/>
      <c r="AN976" s="211"/>
      <c r="AO976" s="211"/>
      <c r="AP976" s="215"/>
      <c r="AQ976" s="218"/>
      <c r="AR976" s="211"/>
      <c r="AS976" s="211"/>
      <c r="AT976" s="211"/>
      <c r="AU976" s="211"/>
      <c r="AV976" s="211"/>
      <c r="AW976" s="211"/>
      <c r="AX976" s="211"/>
      <c r="AY976" s="211"/>
      <c r="AZ976" s="211"/>
      <c r="BB976" s="211"/>
      <c r="BC976" s="211"/>
      <c r="BD976" s="211"/>
      <c r="BE976" s="211"/>
      <c r="BF976" s="211"/>
      <c r="BG976" s="211"/>
      <c r="BH976" s="211"/>
      <c r="BI976" s="211"/>
    </row>
    <row r="977">
      <c r="A977" s="210" t="str">
        <f>IFERROR(__xludf.DUMMYFUNCTION("""COMPUTED_VALUE"""),"dea63127")</f>
        <v>dea63127</v>
      </c>
      <c r="B977" s="210" t="str">
        <f>IFERROR(__xludf.DUMMYFUNCTION("""COMPUTED_VALUE"""),"dea63127")</f>
        <v>dea63127</v>
      </c>
      <c r="C977" s="213">
        <f>IFERROR(__xludf.DUMMYFUNCTION("""COMPUTED_VALUE"""),45776.46111111111)</f>
        <v>45776.46111</v>
      </c>
      <c r="D977" s="211" t="str">
        <f>IFERROR(__xludf.DUMMYFUNCTION("""COMPUTED_VALUE"""),"2d88931c")</f>
        <v>2d88931c</v>
      </c>
      <c r="E977" s="211" t="str">
        <f>IFERROR(__xludf.DUMMYFUNCTION("""COMPUTED_VALUE"""),"PT Dunia Berkat Marga Mulya")</f>
        <v>PT Dunia Berkat Marga Mulya</v>
      </c>
      <c r="F977" s="211" t="str">
        <f>IFERROR(__xludf.DUMMYFUNCTION("""COMPUTED_VALUE"""),"8bdbe149")</f>
        <v>8bdbe149</v>
      </c>
      <c r="G977" s="211" t="str">
        <f>IFERROR(__xludf.DUMMYFUNCTION("""COMPUTED_VALUE"""),"Oksigen 6m3")</f>
        <v>Oksigen 6m3</v>
      </c>
      <c r="H977" s="214" t="str">
        <f>IFERROR(__xludf.DUMMYFUNCTION("""COMPUTED_VALUE"""),"IN")</f>
        <v>IN</v>
      </c>
      <c r="I977" s="214" t="str">
        <f>IFERROR(__xludf.DUMMYFUNCTION("""COMPUTED_VALUE"""),"EMPTY")</f>
        <v>EMPTY</v>
      </c>
      <c r="J977" s="211">
        <f>IFERROR(__xludf.DUMMYFUNCTION("""COMPUTED_VALUE"""),3.0)</f>
        <v>3</v>
      </c>
      <c r="K977" s="210" t="str">
        <f>IFERROR(__xludf.DUMMYFUNCTION("""COMPUTED_VALUE"""),"11132 11104 1141")</f>
        <v>11132 11104 1141</v>
      </c>
      <c r="L977" s="211">
        <f>IFERROR(__xludf.DUMMYFUNCTION("""COMPUTED_VALUE"""),0.0)</f>
        <v>0</v>
      </c>
      <c r="M977" s="211"/>
      <c r="N977" s="211"/>
      <c r="O977" s="211"/>
      <c r="Q977" s="210" t="str">
        <f>IFERROR(__xludf.DUMMYFUNCTION("""COMPUTED_VALUE"""),"60049fb5")</f>
        <v>60049fb5</v>
      </c>
      <c r="R977" s="210" t="str">
        <f>IFERROR(__xludf.DUMMYFUNCTION("""COMPUTED_VALUE"""),"60049fb5")</f>
        <v>60049fb5</v>
      </c>
      <c r="S977" s="211" t="str">
        <f>IFERROR(__xludf.DUMMYFUNCTION("""COMPUTED_VALUE"""),"7b9d8eba")</f>
        <v>7b9d8eba</v>
      </c>
      <c r="T977" s="211" t="str">
        <f>IFERROR(__xludf.DUMMYFUNCTION("""COMPUTED_VALUE"""),"PT PELANGI INDOKARYA")</f>
        <v>PT PELANGI INDOKARYA</v>
      </c>
      <c r="U977" s="215">
        <f>IFERROR(__xludf.DUMMYFUNCTION("""COMPUTED_VALUE"""),45845.566666666666)</f>
        <v>45845.56667</v>
      </c>
      <c r="V97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977" s="211" t="str">
        <f>IFERROR(__xludf.DUMMYFUNCTION("""COMPUTED_VALUE"""),"IN")</f>
        <v>IN</v>
      </c>
      <c r="X977" s="211"/>
      <c r="Z977" s="211" t="str">
        <f>IFERROR(__xludf.DUMMYFUNCTION("""COMPUTED_VALUE"""),"07250555")</f>
        <v>07250555</v>
      </c>
      <c r="AC977" s="211"/>
      <c r="AD977" s="211"/>
      <c r="AE977" s="211"/>
      <c r="AF977" s="211"/>
      <c r="AG977" s="211"/>
      <c r="AH977" s="211"/>
      <c r="AI977" s="211"/>
      <c r="AJ977" s="211"/>
      <c r="AL977" s="211"/>
      <c r="AM977" s="211"/>
      <c r="AN977" s="211"/>
      <c r="AO977" s="211"/>
      <c r="AP977" s="215"/>
      <c r="AQ977" s="218"/>
      <c r="AR977" s="211"/>
      <c r="AS977" s="211"/>
      <c r="AT977" s="211"/>
      <c r="AU977" s="211"/>
      <c r="AV977" s="211"/>
      <c r="AW977" s="211"/>
      <c r="AX977" s="211"/>
      <c r="AY977" s="211"/>
      <c r="AZ977" s="211"/>
      <c r="BB977" s="211"/>
      <c r="BC977" s="211"/>
      <c r="BD977" s="211"/>
      <c r="BE977" s="211"/>
      <c r="BF977" s="211"/>
      <c r="BG977" s="211"/>
      <c r="BH977" s="211"/>
      <c r="BI977" s="211"/>
    </row>
    <row r="978">
      <c r="A978" s="210" t="str">
        <f>IFERROR(__xludf.DUMMYFUNCTION("""COMPUTED_VALUE"""),"b487261e")</f>
        <v>b487261e</v>
      </c>
      <c r="B978" s="210" t="str">
        <f>IFERROR(__xludf.DUMMYFUNCTION("""COMPUTED_VALUE"""),"b487261e")</f>
        <v>b487261e</v>
      </c>
      <c r="C978" s="213">
        <f>IFERROR(__xludf.DUMMYFUNCTION("""COMPUTED_VALUE"""),45776.461805555555)</f>
        <v>45776.46181</v>
      </c>
      <c r="D978" s="211" t="str">
        <f>IFERROR(__xludf.DUMMYFUNCTION("""COMPUTED_VALUE"""),"e968afef")</f>
        <v>e968afef</v>
      </c>
      <c r="E978" s="211" t="str">
        <f>IFERROR(__xludf.DUMMYFUNCTION("""COMPUTED_VALUE"""),"Bpk. Agus")</f>
        <v>Bpk. Agus</v>
      </c>
      <c r="F978" s="211" t="str">
        <f>IFERROR(__xludf.DUMMYFUNCTION("""COMPUTED_VALUE"""),"8bdbe149")</f>
        <v>8bdbe149</v>
      </c>
      <c r="G978" s="211" t="str">
        <f>IFERROR(__xludf.DUMMYFUNCTION("""COMPUTED_VALUE"""),"Oksigen 6m3")</f>
        <v>Oksigen 6m3</v>
      </c>
      <c r="H978" s="214" t="str">
        <f>IFERROR(__xludf.DUMMYFUNCTION("""COMPUTED_VALUE"""),"IN")</f>
        <v>IN</v>
      </c>
      <c r="I978" s="214" t="str">
        <f>IFERROR(__xludf.DUMMYFUNCTION("""COMPUTED_VALUE"""),"EMPTY")</f>
        <v>EMPTY</v>
      </c>
      <c r="J978" s="211">
        <f>IFERROR(__xludf.DUMMYFUNCTION("""COMPUTED_VALUE"""),1.0)</f>
        <v>1</v>
      </c>
      <c r="K978" s="211"/>
      <c r="L978" s="211">
        <f>IFERROR(__xludf.DUMMYFUNCTION("""COMPUTED_VALUE"""),0.0)</f>
        <v>0</v>
      </c>
      <c r="M978" s="211"/>
      <c r="N978" s="211"/>
      <c r="O978" s="211"/>
      <c r="Q978" s="210" t="str">
        <f>IFERROR(__xludf.DUMMYFUNCTION("""COMPUTED_VALUE"""),"6898ff4b")</f>
        <v>6898ff4b</v>
      </c>
      <c r="R978" s="210" t="str">
        <f>IFERROR(__xludf.DUMMYFUNCTION("""COMPUTED_VALUE"""),"6898ff4b")</f>
        <v>6898ff4b</v>
      </c>
      <c r="S978" s="211" t="str">
        <f>IFERROR(__xludf.DUMMYFUNCTION("""COMPUTED_VALUE"""),"182fb0fe")</f>
        <v>182fb0fe</v>
      </c>
      <c r="T978" s="211" t="str">
        <f>IFERROR(__xludf.DUMMYFUNCTION("""COMPUTED_VALUE"""),"PT Amtech")</f>
        <v>PT Amtech</v>
      </c>
      <c r="U978" s="215">
        <f>IFERROR(__xludf.DUMMYFUNCTION("""COMPUTED_VALUE"""),45845.56736111111)</f>
        <v>45845.56736</v>
      </c>
      <c r="V978" s="211" t="str">
        <f>IFERROR(__xludf.DUMMYFUNCTION("""COMPUTED_VALUE"""),"Jl. Morowudi, Ikerikergeger, Kabupaten Gresik, Jawa Timur")</f>
        <v>Jl. Morowudi, Ikerikergeger, Kabupaten Gresik, Jawa Timur</v>
      </c>
      <c r="W978" s="211" t="str">
        <f>IFERROR(__xludf.DUMMYFUNCTION("""COMPUTED_VALUE"""),"IN")</f>
        <v>IN</v>
      </c>
      <c r="X978" s="211"/>
      <c r="Z978" s="211" t="str">
        <f>IFERROR(__xludf.DUMMYFUNCTION("""COMPUTED_VALUE"""),"07250554")</f>
        <v>07250554</v>
      </c>
      <c r="AC978" s="211"/>
      <c r="AD978" s="211"/>
      <c r="AE978" s="211"/>
      <c r="AF978" s="211"/>
      <c r="AG978" s="211"/>
      <c r="AH978" s="211"/>
      <c r="AI978" s="211"/>
      <c r="AJ978" s="211"/>
      <c r="AL978" s="211"/>
      <c r="AM978" s="211"/>
      <c r="AN978" s="211"/>
      <c r="AO978" s="211"/>
      <c r="AP978" s="215"/>
      <c r="AQ978" s="218"/>
      <c r="AR978" s="211"/>
      <c r="AS978" s="211"/>
      <c r="AT978" s="211"/>
      <c r="AU978" s="211"/>
      <c r="AV978" s="211"/>
      <c r="AW978" s="211"/>
      <c r="AX978" s="211"/>
      <c r="AY978" s="211"/>
      <c r="AZ978" s="211"/>
      <c r="BB978" s="211"/>
      <c r="BC978" s="211"/>
      <c r="BD978" s="211"/>
      <c r="BE978" s="211"/>
      <c r="BF978" s="211"/>
      <c r="BG978" s="211"/>
      <c r="BH978" s="211"/>
      <c r="BI978" s="211"/>
    </row>
    <row r="979">
      <c r="A979" s="210" t="str">
        <f>IFERROR(__xludf.DUMMYFUNCTION("""COMPUTED_VALUE"""),"affbcebd")</f>
        <v>affbcebd</v>
      </c>
      <c r="B979" s="210" t="str">
        <f>IFERROR(__xludf.DUMMYFUNCTION("""COMPUTED_VALUE"""),"affbcebd")</f>
        <v>affbcebd</v>
      </c>
      <c r="C979" s="213">
        <f>IFERROR(__xludf.DUMMYFUNCTION("""COMPUTED_VALUE"""),45777.4625)</f>
        <v>45777.4625</v>
      </c>
      <c r="D979" s="211" t="str">
        <f>IFERROR(__xludf.DUMMYFUNCTION("""COMPUTED_VALUE"""),"556931a6")</f>
        <v>556931a6</v>
      </c>
      <c r="E979" s="211" t="str">
        <f>IFERROR(__xludf.DUMMYFUNCTION("""COMPUTED_VALUE"""),"Bpk. Agus (Trowulan)")</f>
        <v>Bpk. Agus (Trowulan)</v>
      </c>
      <c r="F979" s="211" t="str">
        <f>IFERROR(__xludf.DUMMYFUNCTION("""COMPUTED_VALUE"""),"8bdbe149")</f>
        <v>8bdbe149</v>
      </c>
      <c r="G979" s="211" t="str">
        <f>IFERROR(__xludf.DUMMYFUNCTION("""COMPUTED_VALUE"""),"Oksigen 6m3")</f>
        <v>Oksigen 6m3</v>
      </c>
      <c r="H979" s="214" t="str">
        <f>IFERROR(__xludf.DUMMYFUNCTION("""COMPUTED_VALUE"""),"IN")</f>
        <v>IN</v>
      </c>
      <c r="I979" s="214" t="str">
        <f>IFERROR(__xludf.DUMMYFUNCTION("""COMPUTED_VALUE"""),"EMPTY")</f>
        <v>EMPTY</v>
      </c>
      <c r="J979" s="211">
        <f>IFERROR(__xludf.DUMMYFUNCTION("""COMPUTED_VALUE"""),5.0)</f>
        <v>5</v>
      </c>
      <c r="K979" s="211"/>
      <c r="L979" s="211">
        <f>IFERROR(__xludf.DUMMYFUNCTION("""COMPUTED_VALUE"""),0.0)</f>
        <v>0</v>
      </c>
      <c r="M979" s="211"/>
      <c r="N979" s="211"/>
      <c r="O979" s="211"/>
      <c r="Q979" s="210" t="str">
        <f>IFERROR(__xludf.DUMMYFUNCTION("""COMPUTED_VALUE"""),"2af5fd0d")</f>
        <v>2af5fd0d</v>
      </c>
      <c r="R979" s="210" t="str">
        <f>IFERROR(__xludf.DUMMYFUNCTION("""COMPUTED_VALUE"""),"2af5fd0d")</f>
        <v>2af5fd0d</v>
      </c>
      <c r="S979" s="211" t="str">
        <f>IFERROR(__xludf.DUMMYFUNCTION("""COMPUTED_VALUE"""),"01158be1")</f>
        <v>01158be1</v>
      </c>
      <c r="T979" s="211" t="str">
        <f>IFERROR(__xludf.DUMMYFUNCTION("""COMPUTED_VALUE"""),"GYF")</f>
        <v>GYF</v>
      </c>
      <c r="U979" s="215">
        <f>IFERROR(__xludf.DUMMYFUNCTION("""COMPUTED_VALUE"""),45845.56805555556)</f>
        <v>45845.56806</v>
      </c>
      <c r="V979" s="211" t="str">
        <f>IFERROR(__xludf.DUMMYFUNCTION("""COMPUTED_VALUE"""),"Kangkungan, Lengkong, Kec. Mojoanyar, Kabupaten Mojokerto, Jawa Timur")</f>
        <v>Kangkungan, Lengkong, Kec. Mojoanyar, Kabupaten Mojokerto, Jawa Timur</v>
      </c>
      <c r="W979" s="211" t="str">
        <f>IFERROR(__xludf.DUMMYFUNCTION("""COMPUTED_VALUE"""),"IN")</f>
        <v>IN</v>
      </c>
      <c r="X979" s="211"/>
      <c r="Z979" s="211" t="str">
        <f>IFERROR(__xludf.DUMMYFUNCTION("""COMPUTED_VALUE"""),"07250553")</f>
        <v>07250553</v>
      </c>
      <c r="AC979" s="211"/>
      <c r="AD979" s="211"/>
      <c r="AE979" s="211"/>
      <c r="AF979" s="211"/>
      <c r="AG979" s="211"/>
      <c r="AH979" s="211"/>
      <c r="AI979" s="211"/>
      <c r="AJ979" s="211"/>
      <c r="AL979" s="211"/>
      <c r="AM979" s="211"/>
      <c r="AN979" s="211"/>
      <c r="AO979" s="211"/>
      <c r="AP979" s="215"/>
      <c r="AQ979" s="218"/>
      <c r="AR979" s="211"/>
      <c r="AS979" s="211"/>
      <c r="AT979" s="211"/>
      <c r="AU979" s="211"/>
      <c r="AV979" s="211"/>
      <c r="AW979" s="211"/>
      <c r="AX979" s="211"/>
      <c r="AY979" s="211"/>
      <c r="AZ979" s="211"/>
      <c r="BB979" s="211"/>
      <c r="BC979" s="211"/>
      <c r="BD979" s="211"/>
      <c r="BE979" s="211"/>
      <c r="BF979" s="211"/>
      <c r="BG979" s="211"/>
      <c r="BH979" s="211"/>
      <c r="BI979" s="211"/>
    </row>
    <row r="980">
      <c r="A980" s="210" t="str">
        <f>IFERROR(__xludf.DUMMYFUNCTION("""COMPUTED_VALUE"""),"bd56ab99")</f>
        <v>bd56ab99</v>
      </c>
      <c r="B980" s="210" t="str">
        <f>IFERROR(__xludf.DUMMYFUNCTION("""COMPUTED_VALUE"""),"bd56ab99")</f>
        <v>bd56ab99</v>
      </c>
      <c r="C980" s="213">
        <f>IFERROR(__xludf.DUMMYFUNCTION("""COMPUTED_VALUE"""),45776.46527777778)</f>
        <v>45776.46528</v>
      </c>
      <c r="D980" s="211" t="str">
        <f>IFERROR(__xludf.DUMMYFUNCTION("""COMPUTED_VALUE"""),"#N/A")</f>
        <v>#N/A</v>
      </c>
      <c r="E980" s="211" t="str">
        <f>IFERROR(__xludf.DUMMYFUNCTION("""COMPUTED_VALUE"""),"Bpk. Anwar")</f>
        <v>Bpk. Anwar</v>
      </c>
      <c r="F980" s="211" t="str">
        <f>IFERROR(__xludf.DUMMYFUNCTION("""COMPUTED_VALUE"""),"8bdbe149")</f>
        <v>8bdbe149</v>
      </c>
      <c r="G980" s="211" t="str">
        <f>IFERROR(__xludf.DUMMYFUNCTION("""COMPUTED_VALUE"""),"Oksigen 6m3")</f>
        <v>Oksigen 6m3</v>
      </c>
      <c r="H980" s="214" t="str">
        <f>IFERROR(__xludf.DUMMYFUNCTION("""COMPUTED_VALUE"""),"IN")</f>
        <v>IN</v>
      </c>
      <c r="I980" s="214" t="str">
        <f>IFERROR(__xludf.DUMMYFUNCTION("""COMPUTED_VALUE"""),"EMPTY")</f>
        <v>EMPTY</v>
      </c>
      <c r="J980" s="211">
        <f>IFERROR(__xludf.DUMMYFUNCTION("""COMPUTED_VALUE"""),1.0)</f>
        <v>1</v>
      </c>
      <c r="K980" s="210" t="str">
        <f>IFERROR(__xludf.DUMMYFUNCTION("""COMPUTED_VALUE"""),"1154")</f>
        <v>1154</v>
      </c>
      <c r="L980" s="211">
        <f>IFERROR(__xludf.DUMMYFUNCTION("""COMPUTED_VALUE"""),0.0)</f>
        <v>0</v>
      </c>
      <c r="M980" s="211"/>
      <c r="N980" s="211"/>
      <c r="O980" s="211"/>
      <c r="Q980" s="210" t="str">
        <f>IFERROR(__xludf.DUMMYFUNCTION("""COMPUTED_VALUE"""),"07250569")</f>
        <v>07250569</v>
      </c>
      <c r="R980" s="210" t="str">
        <f>IFERROR(__xludf.DUMMYFUNCTION("""COMPUTED_VALUE"""),"07250569")</f>
        <v>07250569</v>
      </c>
      <c r="S980" s="211" t="str">
        <f>IFERROR(__xludf.DUMMYFUNCTION("""COMPUTED_VALUE"""),"b218b89b")</f>
        <v>b218b89b</v>
      </c>
      <c r="T980" s="211" t="str">
        <f>IFERROR(__xludf.DUMMYFUNCTION("""COMPUTED_VALUE"""),"PT Harapan Sentosa")</f>
        <v>PT Harapan Sentosa</v>
      </c>
      <c r="U980" s="215">
        <f>IFERROR(__xludf.DUMMYFUNCTION("""COMPUTED_VALUE"""),45846.393055555556)</f>
        <v>45846.39306</v>
      </c>
      <c r="V980" s="211" t="str">
        <f>IFERROR(__xludf.DUMMYFUNCTION("""COMPUTED_VALUE"""),"Seketi, Jl. Purboyo II Selatan, RT.02/RW.02, Seketi, Kec. BalongBendo, Kabupaten Sidoarjo, Jawa Timur 61263")</f>
        <v>Seketi, Jl. Purboyo II Selatan, RT.02/RW.02, Seketi, Kec. BalongBendo, Kabupaten Sidoarjo, Jawa Timur 61263</v>
      </c>
      <c r="W980" s="211" t="str">
        <f>IFERROR(__xludf.DUMMYFUNCTION("""COMPUTED_VALUE"""),"OUT")</f>
        <v>OUT</v>
      </c>
      <c r="X980" s="211"/>
      <c r="Z980" s="211" t="str">
        <f>IFERROR(__xludf.DUMMYFUNCTION("""COMPUTED_VALUE"""),"07250552")</f>
        <v>07250552</v>
      </c>
      <c r="AC980" s="211"/>
      <c r="AD980" s="211"/>
      <c r="AE980" s="211"/>
      <c r="AF980" s="211"/>
      <c r="AG980" s="211"/>
      <c r="AH980" s="211"/>
      <c r="AI980" s="211"/>
      <c r="AJ980" s="211"/>
      <c r="AL980" s="211"/>
      <c r="AM980" s="211"/>
      <c r="AN980" s="211"/>
      <c r="AO980" s="211"/>
      <c r="AP980" s="215"/>
      <c r="AQ980" s="218"/>
      <c r="AR980" s="211"/>
      <c r="AS980" s="211"/>
      <c r="AT980" s="211"/>
      <c r="AU980" s="211"/>
      <c r="AV980" s="211"/>
      <c r="AW980" s="211"/>
      <c r="AX980" s="211"/>
      <c r="AY980" s="211"/>
      <c r="AZ980" s="211"/>
      <c r="BB980" s="211"/>
      <c r="BC980" s="211"/>
      <c r="BD980" s="211"/>
      <c r="BE980" s="211"/>
      <c r="BF980" s="211"/>
      <c r="BG980" s="211"/>
      <c r="BH980" s="211"/>
      <c r="BI980" s="211"/>
    </row>
    <row r="981">
      <c r="A981" s="210" t="str">
        <f>IFERROR(__xludf.DUMMYFUNCTION("""COMPUTED_VALUE"""),"affbcebd")</f>
        <v>affbcebd</v>
      </c>
      <c r="B981" s="210" t="str">
        <f>IFERROR(__xludf.DUMMYFUNCTION("""COMPUTED_VALUE"""),"affbcebd")</f>
        <v>affbcebd</v>
      </c>
      <c r="C981" s="213">
        <f>IFERROR(__xludf.DUMMYFUNCTION("""COMPUTED_VALUE"""),45777.47152777778)</f>
        <v>45777.47153</v>
      </c>
      <c r="D981" s="211" t="str">
        <f>IFERROR(__xludf.DUMMYFUNCTION("""COMPUTED_VALUE"""),"556931a6")</f>
        <v>556931a6</v>
      </c>
      <c r="E981" s="211" t="str">
        <f>IFERROR(__xludf.DUMMYFUNCTION("""COMPUTED_VALUE"""),"Bpk. Agus (Trowulan)")</f>
        <v>Bpk. Agus (Trowulan)</v>
      </c>
      <c r="F981" s="211" t="str">
        <f>IFERROR(__xludf.DUMMYFUNCTION("""COMPUTED_VALUE"""),"be525f3b")</f>
        <v>be525f3b</v>
      </c>
      <c r="G981" s="211" t="str">
        <f>IFERROR(__xludf.DUMMYFUNCTION("""COMPUTED_VALUE"""),"LPG 12kg")</f>
        <v>LPG 12kg</v>
      </c>
      <c r="H981" s="214" t="str">
        <f>IFERROR(__xludf.DUMMYFUNCTION("""COMPUTED_VALUE"""),"IN")</f>
        <v>IN</v>
      </c>
      <c r="I981" s="214" t="str">
        <f>IFERROR(__xludf.DUMMYFUNCTION("""COMPUTED_VALUE"""),"EMPTY")</f>
        <v>EMPTY</v>
      </c>
      <c r="J981" s="211">
        <f>IFERROR(__xludf.DUMMYFUNCTION("""COMPUTED_VALUE"""),1.0)</f>
        <v>1</v>
      </c>
      <c r="K981" s="211"/>
      <c r="L981" s="211">
        <f>IFERROR(__xludf.DUMMYFUNCTION("""COMPUTED_VALUE"""),0.0)</f>
        <v>0</v>
      </c>
      <c r="M981" s="211"/>
      <c r="N981" s="211"/>
      <c r="O981" s="211"/>
      <c r="Q981" s="210" t="str">
        <f>IFERROR(__xludf.DUMMYFUNCTION("""COMPUTED_VALUE"""),"07250570")</f>
        <v>07250570</v>
      </c>
      <c r="R981" s="210" t="str">
        <f>IFERROR(__xludf.DUMMYFUNCTION("""COMPUTED_VALUE"""),"07250570")</f>
        <v>07250570</v>
      </c>
      <c r="S981" s="211" t="str">
        <f>IFERROR(__xludf.DUMMYFUNCTION("""COMPUTED_VALUE"""),"dfas2312")</f>
        <v>dfas2312</v>
      </c>
      <c r="T981" s="211" t="str">
        <f>IFERROR(__xludf.DUMMYFUNCTION("""COMPUTED_VALUE"""),"Bpk. Fuad (Parengan)")</f>
        <v>Bpk. Fuad (Parengan)</v>
      </c>
      <c r="U981" s="215">
        <f>IFERROR(__xludf.DUMMYFUNCTION("""COMPUTED_VALUE"""),45846.39375)</f>
        <v>45846.39375</v>
      </c>
      <c r="V981" s="211" t="str">
        <f>IFERROR(__xludf.DUMMYFUNCTION("""COMPUTED_VALUE"""),"#N/A")</f>
        <v>#N/A</v>
      </c>
      <c r="W981" s="211" t="str">
        <f>IFERROR(__xludf.DUMMYFUNCTION("""COMPUTED_VALUE"""),"OUT")</f>
        <v>OUT</v>
      </c>
      <c r="X981" s="211"/>
      <c r="Z981" s="211" t="str">
        <f>IFERROR(__xludf.DUMMYFUNCTION("""COMPUTED_VALUE"""),"07250551")</f>
        <v>07250551</v>
      </c>
      <c r="AC981" s="211"/>
      <c r="AD981" s="211"/>
      <c r="AE981" s="211"/>
      <c r="AF981" s="211"/>
      <c r="AG981" s="211"/>
      <c r="AH981" s="211"/>
      <c r="AI981" s="211"/>
      <c r="AJ981" s="211"/>
      <c r="AL981" s="211"/>
      <c r="AM981" s="211"/>
      <c r="AN981" s="211"/>
      <c r="AO981" s="211"/>
      <c r="AP981" s="215"/>
      <c r="AQ981" s="218"/>
      <c r="AR981" s="211"/>
      <c r="AS981" s="211"/>
      <c r="AT981" s="211"/>
      <c r="AU981" s="211"/>
      <c r="AV981" s="211"/>
      <c r="AW981" s="211"/>
      <c r="AX981" s="211"/>
      <c r="AY981" s="211"/>
      <c r="AZ981" s="211"/>
      <c r="BB981" s="211"/>
      <c r="BC981" s="211"/>
      <c r="BD981" s="211"/>
      <c r="BE981" s="211"/>
      <c r="BF981" s="211"/>
      <c r="BG981" s="211"/>
      <c r="BH981" s="211"/>
      <c r="BI981" s="211"/>
    </row>
    <row r="982">
      <c r="A982" s="210" t="str">
        <f>IFERROR(__xludf.DUMMYFUNCTION("""COMPUTED_VALUE"""),"05250398")</f>
        <v>05250398</v>
      </c>
      <c r="B982" s="210" t="str">
        <f>IFERROR(__xludf.DUMMYFUNCTION("""COMPUTED_VALUE"""),"05250398")</f>
        <v>05250398</v>
      </c>
      <c r="C982" s="213">
        <f>IFERROR(__xludf.DUMMYFUNCTION("""COMPUTED_VALUE"""),45782.354166666664)</f>
        <v>45782.35417</v>
      </c>
      <c r="D982" s="211" t="str">
        <f>IFERROR(__xludf.DUMMYFUNCTION("""COMPUTED_VALUE"""),"e86baf3b")</f>
        <v>e86baf3b</v>
      </c>
      <c r="E982" s="211" t="str">
        <f>IFERROR(__xludf.DUMMYFUNCTION("""COMPUTED_VALUE"""),"PT GEMILANG CIPTA WAWASAN")</f>
        <v>PT GEMILANG CIPTA WAWASAN</v>
      </c>
      <c r="F982" s="211" t="str">
        <f>IFERROR(__xludf.DUMMYFUNCTION("""COMPUTED_VALUE"""),"8bdbe149")</f>
        <v>8bdbe149</v>
      </c>
      <c r="G982" s="211" t="str">
        <f>IFERROR(__xludf.DUMMYFUNCTION("""COMPUTED_VALUE"""),"Oksigen 6m3")</f>
        <v>Oksigen 6m3</v>
      </c>
      <c r="H982" s="214" t="str">
        <f>IFERROR(__xludf.DUMMYFUNCTION("""COMPUTED_VALUE"""),"OUT")</f>
        <v>OUT</v>
      </c>
      <c r="I982" s="214" t="str">
        <f>IFERROR(__xludf.DUMMYFUNCTION("""COMPUTED_VALUE"""),"NORMAL")</f>
        <v>NORMAL</v>
      </c>
      <c r="J982" s="211">
        <f>IFERROR(__xludf.DUMMYFUNCTION("""COMPUTED_VALUE"""),15.0)</f>
        <v>15</v>
      </c>
      <c r="K982" s="210" t="str">
        <f>IFERROR(__xludf.DUMMYFUNCTION("""COMPUTED_VALUE"""),"1125 1199 1112 1197 1124 1154 11100 11104 11258 11237 11206 11132 11255 11238 1158")</f>
        <v>1125 1199 1112 1197 1124 1154 11100 11104 11258 11237 11206 11132 11255 11238 1158</v>
      </c>
      <c r="L982" s="211">
        <f>IFERROR(__xludf.DUMMYFUNCTION("""COMPUTED_VALUE"""),60000.0)</f>
        <v>60000</v>
      </c>
      <c r="M982" s="211"/>
      <c r="N982" s="211"/>
      <c r="O982" s="211"/>
      <c r="Q982" s="210" t="str">
        <f>IFERROR(__xludf.DUMMYFUNCTION("""COMPUTED_VALUE"""),"2187d7c1")</f>
        <v>2187d7c1</v>
      </c>
      <c r="R982" s="210" t="str">
        <f>IFERROR(__xludf.DUMMYFUNCTION("""COMPUTED_VALUE"""),"2187d7c1")</f>
        <v>2187d7c1</v>
      </c>
      <c r="S982" s="211" t="str">
        <f>IFERROR(__xludf.DUMMYFUNCTION("""COMPUTED_VALUE"""),"b218b89b")</f>
        <v>b218b89b</v>
      </c>
      <c r="T982" s="211" t="str">
        <f>IFERROR(__xludf.DUMMYFUNCTION("""COMPUTED_VALUE"""),"PT Harapan Sentosa")</f>
        <v>PT Harapan Sentosa</v>
      </c>
      <c r="U982" s="215">
        <f>IFERROR(__xludf.DUMMYFUNCTION("""COMPUTED_VALUE"""),45846.455555555556)</f>
        <v>45846.45556</v>
      </c>
      <c r="V982" s="211" t="str">
        <f>IFERROR(__xludf.DUMMYFUNCTION("""COMPUTED_VALUE"""),"Seketi, Jl. Purboyo II Selatan, RT.02/RW.02, Seketi, Kec. BalongBendo, Kabupaten Sidoarjo, Jawa Timur 61263")</f>
        <v>Seketi, Jl. Purboyo II Selatan, RT.02/RW.02, Seketi, Kec. BalongBendo, Kabupaten Sidoarjo, Jawa Timur 61263</v>
      </c>
      <c r="W982" s="211" t="str">
        <f>IFERROR(__xludf.DUMMYFUNCTION("""COMPUTED_VALUE"""),"IN")</f>
        <v>IN</v>
      </c>
      <c r="X982" s="211"/>
      <c r="Z982" s="211" t="str">
        <f>IFERROR(__xludf.DUMMYFUNCTION("""COMPUTED_VALUE"""),"07250550")</f>
        <v>07250550</v>
      </c>
      <c r="AC982" s="211"/>
      <c r="AD982" s="211"/>
      <c r="AE982" s="211"/>
      <c r="AF982" s="211"/>
      <c r="AG982" s="211"/>
      <c r="AH982" s="211"/>
      <c r="AI982" s="211"/>
      <c r="AJ982" s="211"/>
      <c r="AL982" s="211"/>
      <c r="AM982" s="211"/>
      <c r="AN982" s="211"/>
      <c r="AO982" s="211"/>
      <c r="AP982" s="215"/>
      <c r="AQ982" s="218"/>
      <c r="AR982" s="211"/>
      <c r="AS982" s="211"/>
      <c r="AT982" s="211"/>
      <c r="AU982" s="211"/>
      <c r="AV982" s="211"/>
      <c r="AW982" s="211"/>
      <c r="AX982" s="211"/>
      <c r="AY982" s="211"/>
      <c r="AZ982" s="211"/>
      <c r="BB982" s="211"/>
      <c r="BC982" s="211"/>
      <c r="BD982" s="211"/>
      <c r="BE982" s="211"/>
      <c r="BF982" s="211"/>
      <c r="BG982" s="211"/>
      <c r="BH982" s="211"/>
      <c r="BI982" s="211"/>
    </row>
    <row r="983">
      <c r="A983" s="210" t="str">
        <f>IFERROR(__xludf.DUMMYFUNCTION("""COMPUTED_VALUE"""),"05250399")</f>
        <v>05250399</v>
      </c>
      <c r="B983" s="210" t="str">
        <f>IFERROR(__xludf.DUMMYFUNCTION("""COMPUTED_VALUE"""),"05250399")</f>
        <v>05250399</v>
      </c>
      <c r="C983" s="213">
        <f>IFERROR(__xludf.DUMMYFUNCTION("""COMPUTED_VALUE"""),45782.388194444444)</f>
        <v>45782.38819</v>
      </c>
      <c r="D983" s="211" t="str">
        <f>IFERROR(__xludf.DUMMYFUNCTION("""COMPUTED_VALUE"""),"#N/A")</f>
        <v>#N/A</v>
      </c>
      <c r="E983" s="211" t="str">
        <f>IFERROR(__xludf.DUMMYFUNCTION("""COMPUTED_VALUE"""),"Bpk. Rokhim (Kraton)")</f>
        <v>Bpk. Rokhim (Kraton)</v>
      </c>
      <c r="F983" s="211" t="str">
        <f>IFERROR(__xludf.DUMMYFUNCTION("""COMPUTED_VALUE"""),"8bdbe149")</f>
        <v>8bdbe149</v>
      </c>
      <c r="G983" s="211" t="str">
        <f>IFERROR(__xludf.DUMMYFUNCTION("""COMPUTED_VALUE"""),"Oksigen 6m3")</f>
        <v>Oksigen 6m3</v>
      </c>
      <c r="H983" s="214" t="str">
        <f>IFERROR(__xludf.DUMMYFUNCTION("""COMPUTED_VALUE"""),"OUT")</f>
        <v>OUT</v>
      </c>
      <c r="I983" s="214" t="str">
        <f>IFERROR(__xludf.DUMMYFUNCTION("""COMPUTED_VALUE"""),"NORMAL")</f>
        <v>NORMAL</v>
      </c>
      <c r="J983" s="211">
        <f>IFERROR(__xludf.DUMMYFUNCTION("""COMPUTED_VALUE"""),4.0)</f>
        <v>4</v>
      </c>
      <c r="K983" s="210" t="str">
        <f>IFERROR(__xludf.DUMMYFUNCTION("""COMPUTED_VALUE"""),"11116 1181 1106 1147")</f>
        <v>11116 1181 1106 1147</v>
      </c>
      <c r="L983" s="211">
        <f>IFERROR(__xludf.DUMMYFUNCTION("""COMPUTED_VALUE"""),70000.0)</f>
        <v>70000</v>
      </c>
      <c r="M983" s="211"/>
      <c r="N983" s="211"/>
      <c r="O983" s="211"/>
      <c r="Q983" s="210" t="str">
        <f>IFERROR(__xludf.DUMMYFUNCTION("""COMPUTED_VALUE"""),"9a9f51ae")</f>
        <v>9a9f51ae</v>
      </c>
      <c r="R983" s="210" t="str">
        <f>IFERROR(__xludf.DUMMYFUNCTION("""COMPUTED_VALUE"""),"9a9f51ae")</f>
        <v>9a9f51ae</v>
      </c>
      <c r="S983" s="211" t="str">
        <f>IFERROR(__xludf.DUMMYFUNCTION("""COMPUTED_VALUE"""),"2d88931c")</f>
        <v>2d88931c</v>
      </c>
      <c r="T983" s="211" t="str">
        <f>IFERROR(__xludf.DUMMYFUNCTION("""COMPUTED_VALUE"""),"PT Dunia Berkat Marga Mulya")</f>
        <v>PT Dunia Berkat Marga Mulya</v>
      </c>
      <c r="U983" s="215">
        <f>IFERROR(__xludf.DUMMYFUNCTION("""COMPUTED_VALUE"""),45846.45625)</f>
        <v>45846.45625</v>
      </c>
      <c r="V983" s="211" t="str">
        <f>IFERROR(__xludf.DUMMYFUNCTION("""COMPUTED_VALUE"""),"JL JABARAN, WATESARI, BALONGBENDO, SIDOARJO, JAWA TIMUR")</f>
        <v>JL JABARAN, WATESARI, BALONGBENDO, SIDOARJO, JAWA TIMUR</v>
      </c>
      <c r="W983" s="211" t="str">
        <f>IFERROR(__xludf.DUMMYFUNCTION("""COMPUTED_VALUE"""),"IN")</f>
        <v>IN</v>
      </c>
      <c r="X983" s="211"/>
      <c r="Z983" s="211" t="str">
        <f>IFERROR(__xludf.DUMMYFUNCTION("""COMPUTED_VALUE"""),"06250549")</f>
        <v>06250549</v>
      </c>
      <c r="AC983" s="211"/>
      <c r="AD983" s="211"/>
      <c r="AE983" s="211"/>
      <c r="AF983" s="211"/>
      <c r="AG983" s="211"/>
      <c r="AH983" s="211"/>
      <c r="AI983" s="211"/>
      <c r="AJ983" s="211"/>
      <c r="AL983" s="211"/>
      <c r="AM983" s="211"/>
      <c r="AN983" s="211"/>
      <c r="AO983" s="211"/>
      <c r="AP983" s="215"/>
      <c r="AQ983" s="218"/>
      <c r="AR983" s="211"/>
      <c r="AS983" s="211"/>
      <c r="AT983" s="211"/>
      <c r="AU983" s="211"/>
      <c r="AV983" s="211"/>
      <c r="AW983" s="211"/>
      <c r="AX983" s="211"/>
      <c r="AY983" s="211"/>
      <c r="AZ983" s="211"/>
      <c r="BB983" s="211"/>
      <c r="BC983" s="211"/>
      <c r="BD983" s="211"/>
      <c r="BE983" s="211"/>
      <c r="BF983" s="211"/>
      <c r="BG983" s="211"/>
      <c r="BH983" s="211"/>
      <c r="BI983" s="211"/>
    </row>
    <row r="984">
      <c r="A984" s="210" t="str">
        <f>IFERROR(__xludf.DUMMYFUNCTION("""COMPUTED_VALUE"""),"0525211090")</f>
        <v>0525211090</v>
      </c>
      <c r="B984" s="210" t="str">
        <f>IFERROR(__xludf.DUMMYFUNCTION("""COMPUTED_VALUE"""),"0525211090")</f>
        <v>0525211090</v>
      </c>
      <c r="C984" s="213">
        <f>IFERROR(__xludf.DUMMYFUNCTION("""COMPUTED_VALUE"""),45782.407638888886)</f>
        <v>45782.40764</v>
      </c>
      <c r="D984" s="211" t="str">
        <f>IFERROR(__xludf.DUMMYFUNCTION("""COMPUTED_VALUE"""),"5f23ba17")</f>
        <v>5f23ba17</v>
      </c>
      <c r="E984" s="211" t="str">
        <f>IFERROR(__xludf.DUMMYFUNCTION("""COMPUTED_VALUE"""),"Bpk. Joko (Gresik)")</f>
        <v>Bpk. Joko (Gresik)</v>
      </c>
      <c r="F984" s="211" t="str">
        <f>IFERROR(__xludf.DUMMYFUNCTION("""COMPUTED_VALUE"""),"be525f3b")</f>
        <v>be525f3b</v>
      </c>
      <c r="G984" s="211" t="str">
        <f>IFERROR(__xludf.DUMMYFUNCTION("""COMPUTED_VALUE"""),"LPG 12kg")</f>
        <v>LPG 12kg</v>
      </c>
      <c r="H984" s="214" t="str">
        <f>IFERROR(__xludf.DUMMYFUNCTION("""COMPUTED_VALUE"""),"OUT")</f>
        <v>OUT</v>
      </c>
      <c r="I984" s="214" t="str">
        <f>IFERROR(__xludf.DUMMYFUNCTION("""COMPUTED_VALUE"""),"NORMAL")</f>
        <v>NORMAL</v>
      </c>
      <c r="J984" s="211">
        <f>IFERROR(__xludf.DUMMYFUNCTION("""COMPUTED_VALUE"""),6.0)</f>
        <v>6</v>
      </c>
      <c r="K984" s="211"/>
      <c r="L984" s="211">
        <f>IFERROR(__xludf.DUMMYFUNCTION("""COMPUTED_VALUE"""),200000.0)</f>
        <v>200000</v>
      </c>
      <c r="M984" s="211"/>
      <c r="N984" s="211"/>
      <c r="O984" s="211"/>
      <c r="Q984" s="210" t="str">
        <f>IFERROR(__xludf.DUMMYFUNCTION("""COMPUTED_VALUE"""),"07250571")</f>
        <v>07250571</v>
      </c>
      <c r="R984" s="210" t="str">
        <f>IFERROR(__xludf.DUMMYFUNCTION("""COMPUTED_VALUE"""),"07250571")</f>
        <v>07250571</v>
      </c>
      <c r="S984" s="211" t="str">
        <f>IFERROR(__xludf.DUMMYFUNCTION("""COMPUTED_VALUE"""),"e86baf3b")</f>
        <v>e86baf3b</v>
      </c>
      <c r="T984" s="211" t="str">
        <f>IFERROR(__xludf.DUMMYFUNCTION("""COMPUTED_VALUE"""),"PT GEMILANG CIPTA WAWASAN")</f>
        <v>PT GEMILANG CIPTA WAWASAN</v>
      </c>
      <c r="U984" s="215">
        <f>IFERROR(__xludf.DUMMYFUNCTION("""COMPUTED_VALUE"""),45846.527083333334)</f>
        <v>45846.52708</v>
      </c>
      <c r="V984" s="211" t="str">
        <f>IFERROR(__xludf.DUMMYFUNCTION("""COMPUTED_VALUE"""),"JL TEBET RAYA, 2A, TEBET BARAT, TEBET, KOTA ADM, JAKARTA SELATAN, DKI JAKARTA")</f>
        <v>JL TEBET RAYA, 2A, TEBET BARAT, TEBET, KOTA ADM, JAKARTA SELATAN, DKI JAKARTA</v>
      </c>
      <c r="W984" s="211" t="str">
        <f>IFERROR(__xludf.DUMMYFUNCTION("""COMPUTED_VALUE"""),"OUT")</f>
        <v>OUT</v>
      </c>
      <c r="X984" s="211"/>
      <c r="Z984" s="211" t="str">
        <f>IFERROR(__xludf.DUMMYFUNCTION("""COMPUTED_VALUE"""),"06250548")</f>
        <v>06250548</v>
      </c>
      <c r="AC984" s="211"/>
      <c r="AD984" s="211"/>
      <c r="AE984" s="211"/>
      <c r="AF984" s="211"/>
      <c r="AG984" s="211"/>
      <c r="AH984" s="211"/>
      <c r="AI984" s="211"/>
      <c r="AJ984" s="211"/>
      <c r="AL984" s="211"/>
      <c r="AM984" s="211"/>
      <c r="AN984" s="211"/>
      <c r="AO984" s="211"/>
      <c r="AP984" s="215"/>
      <c r="AQ984" s="218"/>
      <c r="AR984" s="211"/>
      <c r="AS984" s="211"/>
      <c r="AT984" s="211"/>
      <c r="AU984" s="211"/>
      <c r="AV984" s="211"/>
      <c r="AW984" s="211"/>
      <c r="AX984" s="211"/>
      <c r="AY984" s="211"/>
      <c r="AZ984" s="211"/>
      <c r="BB984" s="211"/>
      <c r="BC984" s="211"/>
      <c r="BD984" s="211"/>
      <c r="BE984" s="211"/>
      <c r="BF984" s="211"/>
      <c r="BG984" s="211"/>
      <c r="BH984" s="211"/>
      <c r="BI984" s="211"/>
    </row>
    <row r="985">
      <c r="A985" s="210" t="str">
        <f>IFERROR(__xludf.DUMMYFUNCTION("""COMPUTED_VALUE"""),"05250401")</f>
        <v>05250401</v>
      </c>
      <c r="B985" s="210" t="str">
        <f>IFERROR(__xludf.DUMMYFUNCTION("""COMPUTED_VALUE"""),"05250401")</f>
        <v>05250401</v>
      </c>
      <c r="C985" s="213">
        <f>IFERROR(__xludf.DUMMYFUNCTION("""COMPUTED_VALUE"""),45782.48819444444)</f>
        <v>45782.48819</v>
      </c>
      <c r="D985" s="211" t="str">
        <f>IFERROR(__xludf.DUMMYFUNCTION("""COMPUTED_VALUE"""),"2d88931c")</f>
        <v>2d88931c</v>
      </c>
      <c r="E985" s="211" t="str">
        <f>IFERROR(__xludf.DUMMYFUNCTION("""COMPUTED_VALUE"""),"PT Dunia Berkat Marga Mulya")</f>
        <v>PT Dunia Berkat Marga Mulya</v>
      </c>
      <c r="F985" s="211" t="str">
        <f>IFERROR(__xludf.DUMMYFUNCTION("""COMPUTED_VALUE"""),"8bdbe149")</f>
        <v>8bdbe149</v>
      </c>
      <c r="G985" s="211" t="str">
        <f>IFERROR(__xludf.DUMMYFUNCTION("""COMPUTED_VALUE"""),"Oksigen 6m3")</f>
        <v>Oksigen 6m3</v>
      </c>
      <c r="H985" s="214" t="str">
        <f>IFERROR(__xludf.DUMMYFUNCTION("""COMPUTED_VALUE"""),"OUT")</f>
        <v>OUT</v>
      </c>
      <c r="I985" s="214" t="str">
        <f>IFERROR(__xludf.DUMMYFUNCTION("""COMPUTED_VALUE"""),"NORMAL")</f>
        <v>NORMAL</v>
      </c>
      <c r="J985" s="211">
        <f>IFERROR(__xludf.DUMMYFUNCTION("""COMPUTED_VALUE"""),5.0)</f>
        <v>5</v>
      </c>
      <c r="K985" s="210" t="str">
        <f>IFERROR(__xludf.DUMMYFUNCTION("""COMPUTED_VALUE"""),"11208 11275 11137 11138 11291")</f>
        <v>11208 11275 11137 11138 11291</v>
      </c>
      <c r="L985" s="211">
        <f>IFERROR(__xludf.DUMMYFUNCTION("""COMPUTED_VALUE"""),60000.0)</f>
        <v>60000</v>
      </c>
      <c r="M985" s="211"/>
      <c r="N985" s="211"/>
      <c r="O985" s="211"/>
      <c r="Q985" s="210" t="str">
        <f>IFERROR(__xludf.DUMMYFUNCTION("""COMPUTED_VALUE"""),"7d632951")</f>
        <v>7d632951</v>
      </c>
      <c r="R985" s="210" t="str">
        <f>IFERROR(__xludf.DUMMYFUNCTION("""COMPUTED_VALUE"""),"7d632951")</f>
        <v>7d632951</v>
      </c>
      <c r="S985" s="211" t="str">
        <f>IFERROR(__xludf.DUMMYFUNCTION("""COMPUTED_VALUE"""),"e86baf3b")</f>
        <v>e86baf3b</v>
      </c>
      <c r="T985" s="211" t="str">
        <f>IFERROR(__xludf.DUMMYFUNCTION("""COMPUTED_VALUE"""),"PT GEMILANG CIPTA WAWASAN")</f>
        <v>PT GEMILANG CIPTA WAWASAN</v>
      </c>
      <c r="U985" s="215">
        <f>IFERROR(__xludf.DUMMYFUNCTION("""COMPUTED_VALUE"""),45846.586805555555)</f>
        <v>45846.58681</v>
      </c>
      <c r="V985" s="211" t="str">
        <f>IFERROR(__xludf.DUMMYFUNCTION("""COMPUTED_VALUE"""),"JL TEBET RAYA, 2A, TEBET BARAT, TEBET, KOTA ADM, JAKARTA SELATAN, DKI JAKARTA")</f>
        <v>JL TEBET RAYA, 2A, TEBET BARAT, TEBET, KOTA ADM, JAKARTA SELATAN, DKI JAKARTA</v>
      </c>
      <c r="W985" s="211" t="str">
        <f>IFERROR(__xludf.DUMMYFUNCTION("""COMPUTED_VALUE"""),"IN")</f>
        <v>IN</v>
      </c>
      <c r="X985" s="211"/>
      <c r="Z985" s="211" t="str">
        <f>IFERROR(__xludf.DUMMYFUNCTION("""COMPUTED_VALUE"""),"06250546")</f>
        <v>06250546</v>
      </c>
      <c r="AC985" s="211"/>
      <c r="AD985" s="211"/>
      <c r="AE985" s="211"/>
      <c r="AF985" s="211"/>
      <c r="AG985" s="211"/>
      <c r="AH985" s="211"/>
      <c r="AI985" s="211"/>
      <c r="AJ985" s="211"/>
      <c r="AL985" s="211"/>
      <c r="AM985" s="211"/>
      <c r="AN985" s="211"/>
      <c r="AO985" s="211"/>
      <c r="AP985" s="215"/>
      <c r="AQ985" s="218"/>
      <c r="AR985" s="211"/>
      <c r="AS985" s="211"/>
      <c r="AT985" s="211"/>
      <c r="AU985" s="211"/>
      <c r="AV985" s="211"/>
      <c r="AW985" s="211"/>
      <c r="AX985" s="211"/>
      <c r="AY985" s="211"/>
      <c r="AZ985" s="211"/>
      <c r="BB985" s="211"/>
      <c r="BC985" s="211"/>
      <c r="BD985" s="211"/>
      <c r="BE985" s="211"/>
      <c r="BF985" s="211"/>
      <c r="BG985" s="211"/>
      <c r="BH985" s="211"/>
      <c r="BI985" s="211"/>
    </row>
    <row r="986">
      <c r="A986" s="210" t="str">
        <f>IFERROR(__xludf.DUMMYFUNCTION("""COMPUTED_VALUE"""),"f36f7ece")</f>
        <v>f36f7ece</v>
      </c>
      <c r="B986" s="210" t="str">
        <f>IFERROR(__xludf.DUMMYFUNCTION("""COMPUTED_VALUE"""),"f36f7ece")</f>
        <v>f36f7ece</v>
      </c>
      <c r="C986" s="213">
        <f>IFERROR(__xludf.DUMMYFUNCTION("""COMPUTED_VALUE"""),45782.490277777775)</f>
        <v>45782.49028</v>
      </c>
      <c r="D986" s="211" t="str">
        <f>IFERROR(__xludf.DUMMYFUNCTION("""COMPUTED_VALUE"""),"5f23ba17")</f>
        <v>5f23ba17</v>
      </c>
      <c r="E986" s="211" t="str">
        <f>IFERROR(__xludf.DUMMYFUNCTION("""COMPUTED_VALUE"""),"Bpk. Joko (Gresik)")</f>
        <v>Bpk. Joko (Gresik)</v>
      </c>
      <c r="F986" s="211" t="str">
        <f>IFERROR(__xludf.DUMMYFUNCTION("""COMPUTED_VALUE"""),"ef306e54")</f>
        <v>ef306e54</v>
      </c>
      <c r="G986" s="211" t="str">
        <f>IFERROR(__xludf.DUMMYFUNCTION("""COMPUTED_VALUE"""),"Karbondioksida")</f>
        <v>Karbondioksida</v>
      </c>
      <c r="H986" s="214" t="str">
        <f>IFERROR(__xludf.DUMMYFUNCTION("""COMPUTED_VALUE"""),"IN")</f>
        <v>IN</v>
      </c>
      <c r="I986" s="214" t="str">
        <f>IFERROR(__xludf.DUMMYFUNCTION("""COMPUTED_VALUE"""),"EMPTY")</f>
        <v>EMPTY</v>
      </c>
      <c r="J986" s="211">
        <f>IFERROR(__xludf.DUMMYFUNCTION("""COMPUTED_VALUE"""),1.0)</f>
        <v>1</v>
      </c>
      <c r="K986" s="210" t="str">
        <f>IFERROR(__xludf.DUMMYFUNCTION("""COMPUTED_VALUE"""),"13009")</f>
        <v>13009</v>
      </c>
      <c r="L986" s="211">
        <f>IFERROR(__xludf.DUMMYFUNCTION("""COMPUTED_VALUE"""),0.0)</f>
        <v>0</v>
      </c>
      <c r="M986" s="211"/>
      <c r="N986" s="211"/>
      <c r="O986" s="211"/>
      <c r="Q986" s="210" t="str">
        <f>IFERROR(__xludf.DUMMYFUNCTION("""COMPUTED_VALUE"""),"07250573")</f>
        <v>07250573</v>
      </c>
      <c r="R986" s="210" t="str">
        <f>IFERROR(__xludf.DUMMYFUNCTION("""COMPUTED_VALUE"""),"07250573")</f>
        <v>07250573</v>
      </c>
      <c r="S986" s="211" t="str">
        <f>IFERROR(__xludf.DUMMYFUNCTION("""COMPUTED_VALUE"""),"ec231cc9")</f>
        <v>ec231cc9</v>
      </c>
      <c r="T986" s="211" t="str">
        <f>IFERROR(__xludf.DUMMYFUNCTION("""COMPUTED_VALUE"""),"Bpk. Kohir (Maintenance Velg)")</f>
        <v>Bpk. Kohir (Maintenance Velg)</v>
      </c>
      <c r="U986" s="215">
        <f>IFERROR(__xludf.DUMMYFUNCTION("""COMPUTED_VALUE"""),45847.37430555555)</f>
        <v>45847.37431</v>
      </c>
      <c r="V986" s="211" t="str">
        <f>IFERROR(__xludf.DUMMYFUNCTION("""COMPUTED_VALUE"""),"Jl. Lkr. Bypass Krian Timur, Sidogolong, Watugolong, Kec. Krian, Kabupaten Sidoarjo, Jawa Timur 61262")</f>
        <v>Jl. Lkr. Bypass Krian Timur, Sidogolong, Watugolong, Kec. Krian, Kabupaten Sidoarjo, Jawa Timur 61262</v>
      </c>
      <c r="W986" s="211" t="str">
        <f>IFERROR(__xludf.DUMMYFUNCTION("""COMPUTED_VALUE"""),"OUT")</f>
        <v>OUT</v>
      </c>
      <c r="X986" s="211"/>
      <c r="Z986" s="211" t="str">
        <f>IFERROR(__xludf.DUMMYFUNCTION("""COMPUTED_VALUE"""),"06250543")</f>
        <v>06250543</v>
      </c>
      <c r="AC986" s="211"/>
      <c r="AD986" s="211"/>
      <c r="AE986" s="211"/>
      <c r="AF986" s="211"/>
      <c r="AG986" s="211"/>
      <c r="AH986" s="211"/>
      <c r="AI986" s="211"/>
      <c r="AJ986" s="211"/>
      <c r="AL986" s="211"/>
      <c r="AM986" s="211"/>
      <c r="AN986" s="211"/>
      <c r="AO986" s="211"/>
      <c r="AP986" s="215"/>
      <c r="AQ986" s="218"/>
      <c r="AR986" s="211"/>
      <c r="AS986" s="211"/>
      <c r="AT986" s="211"/>
      <c r="AU986" s="211"/>
      <c r="AV986" s="211"/>
      <c r="AW986" s="211"/>
      <c r="AX986" s="211"/>
      <c r="AY986" s="211"/>
      <c r="AZ986" s="211"/>
      <c r="BB986" s="211"/>
      <c r="BC986" s="211"/>
      <c r="BD986" s="211"/>
      <c r="BE986" s="211"/>
      <c r="BF986" s="211"/>
      <c r="BG986" s="211"/>
      <c r="BH986" s="211"/>
      <c r="BI986" s="211"/>
    </row>
    <row r="987">
      <c r="A987" s="210" t="str">
        <f>IFERROR(__xludf.DUMMYFUNCTION("""COMPUTED_VALUE"""),"a2504cb8")</f>
        <v>a2504cb8</v>
      </c>
      <c r="B987" s="210" t="str">
        <f>IFERROR(__xludf.DUMMYFUNCTION("""COMPUTED_VALUE"""),"a2504cb8")</f>
        <v>a2504cb8</v>
      </c>
      <c r="C987" s="213">
        <f>IFERROR(__xludf.DUMMYFUNCTION("""COMPUTED_VALUE"""),45782.490277777775)</f>
        <v>45782.49028</v>
      </c>
      <c r="D987" s="211" t="str">
        <f>IFERROR(__xludf.DUMMYFUNCTION("""COMPUTED_VALUE"""),"5f23ba17")</f>
        <v>5f23ba17</v>
      </c>
      <c r="E987" s="211" t="str">
        <f>IFERROR(__xludf.DUMMYFUNCTION("""COMPUTED_VALUE"""),"Bpk. Joko (Gresik)")</f>
        <v>Bpk. Joko (Gresik)</v>
      </c>
      <c r="F987" s="211" t="str">
        <f>IFERROR(__xludf.DUMMYFUNCTION("""COMPUTED_VALUE"""),"439cf836")</f>
        <v>439cf836</v>
      </c>
      <c r="G987" s="211" t="str">
        <f>IFERROR(__xludf.DUMMYFUNCTION("""COMPUTED_VALUE"""),"Karbondioksida MR")</f>
        <v>Karbondioksida MR</v>
      </c>
      <c r="H987" s="214" t="str">
        <f>IFERROR(__xludf.DUMMYFUNCTION("""COMPUTED_VALUE"""),"IN")</f>
        <v>IN</v>
      </c>
      <c r="I987" s="214" t="str">
        <f>IFERROR(__xludf.DUMMYFUNCTION("""COMPUTED_VALUE"""),"EMPTY")</f>
        <v>EMPTY</v>
      </c>
      <c r="J987" s="211">
        <f>IFERROR(__xludf.DUMMYFUNCTION("""COMPUTED_VALUE"""),1.0)</f>
        <v>1</v>
      </c>
      <c r="K987" s="211"/>
      <c r="L987" s="211">
        <f>IFERROR(__xludf.DUMMYFUNCTION("""COMPUTED_VALUE"""),0.0)</f>
        <v>0</v>
      </c>
      <c r="M987" s="211"/>
      <c r="N987" s="211"/>
      <c r="O987" s="211"/>
      <c r="Q987" s="210" t="str">
        <f>IFERROR(__xludf.DUMMYFUNCTION("""COMPUTED_VALUE"""),"917b55ae")</f>
        <v>917b55ae</v>
      </c>
      <c r="R987" s="210" t="str">
        <f>IFERROR(__xludf.DUMMYFUNCTION("""COMPUTED_VALUE"""),"917b55ae")</f>
        <v>917b55ae</v>
      </c>
      <c r="S987" s="211" t="str">
        <f>IFERROR(__xludf.DUMMYFUNCTION("""COMPUTED_VALUE"""),"ce83e171")</f>
        <v>ce83e171</v>
      </c>
      <c r="T987" s="211" t="str">
        <f>IFERROR(__xludf.DUMMYFUNCTION("""COMPUTED_VALUE"""),"Bpk. Sulaiman")</f>
        <v>Bpk. Sulaiman</v>
      </c>
      <c r="U987" s="215">
        <f>IFERROR(__xludf.DUMMYFUNCTION("""COMPUTED_VALUE"""),45847.72916666667)</f>
        <v>45847.72917</v>
      </c>
      <c r="V987" s="211" t="str">
        <f>IFERROR(__xludf.DUMMYFUNCTION("""COMPUTED_VALUE"""),"Jl. Raya Kramat Temenggung No.43, Kramat, Kramat Temenggung, Kec. Tarik, Kabupaten Sidoarjo, Jawa Timur 61265")</f>
        <v>Jl. Raya Kramat Temenggung No.43, Kramat, Kramat Temenggung, Kec. Tarik, Kabupaten Sidoarjo, Jawa Timur 61265</v>
      </c>
      <c r="W987" s="211" t="str">
        <f>IFERROR(__xludf.DUMMYFUNCTION("""COMPUTED_VALUE"""),"IN")</f>
        <v>IN</v>
      </c>
      <c r="X987" s="211"/>
      <c r="Z987" s="211" t="str">
        <f>IFERROR(__xludf.DUMMYFUNCTION("""COMPUTED_VALUE"""),"06250542")</f>
        <v>06250542</v>
      </c>
      <c r="AC987" s="211"/>
      <c r="AD987" s="211"/>
      <c r="AE987" s="211"/>
      <c r="AF987" s="211"/>
      <c r="AG987" s="211"/>
      <c r="AH987" s="211"/>
      <c r="AI987" s="211"/>
      <c r="AJ987" s="211"/>
      <c r="AL987" s="211"/>
      <c r="AM987" s="211"/>
      <c r="AN987" s="211"/>
      <c r="AO987" s="211"/>
      <c r="AP987" s="215"/>
      <c r="AQ987" s="218"/>
      <c r="AR987" s="211"/>
      <c r="AS987" s="211"/>
      <c r="AT987" s="211"/>
      <c r="AU987" s="211"/>
      <c r="AV987" s="211"/>
      <c r="AW987" s="211"/>
      <c r="AX987" s="211"/>
      <c r="AY987" s="211"/>
      <c r="AZ987" s="211"/>
      <c r="BB987" s="211"/>
      <c r="BC987" s="211"/>
      <c r="BD987" s="211"/>
      <c r="BE987" s="211"/>
      <c r="BF987" s="211"/>
      <c r="BG987" s="211"/>
      <c r="BH987" s="211"/>
      <c r="BI987" s="211"/>
    </row>
    <row r="988">
      <c r="A988" s="210" t="str">
        <f>IFERROR(__xludf.DUMMYFUNCTION("""COMPUTED_VALUE"""),"f36f7ece")</f>
        <v>f36f7ece</v>
      </c>
      <c r="B988" s="210" t="str">
        <f>IFERROR(__xludf.DUMMYFUNCTION("""COMPUTED_VALUE"""),"f36f7ece")</f>
        <v>f36f7ece</v>
      </c>
      <c r="C988" s="213">
        <f>IFERROR(__xludf.DUMMYFUNCTION("""COMPUTED_VALUE"""),45782.49097222222)</f>
        <v>45782.49097</v>
      </c>
      <c r="D988" s="211" t="str">
        <f>IFERROR(__xludf.DUMMYFUNCTION("""COMPUTED_VALUE"""),"5f23ba17")</f>
        <v>5f23ba17</v>
      </c>
      <c r="E988" s="211" t="str">
        <f>IFERROR(__xludf.DUMMYFUNCTION("""COMPUTED_VALUE"""),"Bpk. Joko (Gresik)")</f>
        <v>Bpk. Joko (Gresik)</v>
      </c>
      <c r="F988" s="211" t="str">
        <f>IFERROR(__xludf.DUMMYFUNCTION("""COMPUTED_VALUE"""),"be525f3b")</f>
        <v>be525f3b</v>
      </c>
      <c r="G988" s="211" t="str">
        <f>IFERROR(__xludf.DUMMYFUNCTION("""COMPUTED_VALUE"""),"LPG 12kg")</f>
        <v>LPG 12kg</v>
      </c>
      <c r="H988" s="214" t="str">
        <f>IFERROR(__xludf.DUMMYFUNCTION("""COMPUTED_VALUE"""),"IN")</f>
        <v>IN</v>
      </c>
      <c r="I988" s="214" t="str">
        <f>IFERROR(__xludf.DUMMYFUNCTION("""COMPUTED_VALUE"""),"EMPTY")</f>
        <v>EMPTY</v>
      </c>
      <c r="J988" s="211">
        <f>IFERROR(__xludf.DUMMYFUNCTION("""COMPUTED_VALUE"""),6.0)</f>
        <v>6</v>
      </c>
      <c r="K988" s="211"/>
      <c r="L988" s="211">
        <f>IFERROR(__xludf.DUMMYFUNCTION("""COMPUTED_VALUE"""),0.0)</f>
        <v>0</v>
      </c>
      <c r="M988" s="211"/>
      <c r="N988" s="211"/>
      <c r="O988" s="211"/>
      <c r="Q988" s="210" t="str">
        <f>IFERROR(__xludf.DUMMYFUNCTION("""COMPUTED_VALUE"""),"c3ecc274")</f>
        <v>c3ecc274</v>
      </c>
      <c r="R988" s="210" t="str">
        <f>IFERROR(__xludf.DUMMYFUNCTION("""COMPUTED_VALUE"""),"c3ecc274")</f>
        <v>c3ecc274</v>
      </c>
      <c r="S988" s="211" t="str">
        <f>IFERROR(__xludf.DUMMYFUNCTION("""COMPUTED_VALUE"""),"4edfe755")</f>
        <v>4edfe755</v>
      </c>
      <c r="T988" s="211" t="str">
        <f>IFERROR(__xludf.DUMMYFUNCTION("""COMPUTED_VALUE"""),"Bpk. Ibnu")</f>
        <v>Bpk. Ibnu</v>
      </c>
      <c r="U988" s="215">
        <f>IFERROR(__xludf.DUMMYFUNCTION("""COMPUTED_VALUE"""),45847.72986111111)</f>
        <v>45847.72986</v>
      </c>
      <c r="V988" s="211" t="str">
        <f>IFERROR(__xludf.DUMMYFUNCTION("""COMPUTED_VALUE"""),"HGQF+482 Wonokupang, Sidoarjo, Jawa Timur")</f>
        <v>HGQF+482 Wonokupang, Sidoarjo, Jawa Timur</v>
      </c>
      <c r="W988" s="211" t="str">
        <f>IFERROR(__xludf.DUMMYFUNCTION("""COMPUTED_VALUE"""),"IN")</f>
        <v>IN</v>
      </c>
      <c r="X988" s="211"/>
      <c r="Z988" s="211" t="str">
        <f>IFERROR(__xludf.DUMMYFUNCTION("""COMPUTED_VALUE"""),"06250541")</f>
        <v>06250541</v>
      </c>
      <c r="AC988" s="211"/>
      <c r="AD988" s="211"/>
      <c r="AE988" s="211"/>
      <c r="AF988" s="211"/>
      <c r="AG988" s="211"/>
      <c r="AH988" s="211"/>
      <c r="AI988" s="211"/>
      <c r="AJ988" s="211"/>
      <c r="AL988" s="211"/>
      <c r="AM988" s="211"/>
      <c r="AN988" s="211"/>
      <c r="AO988" s="211"/>
      <c r="AP988" s="215"/>
      <c r="AQ988" s="218"/>
      <c r="AR988" s="211"/>
      <c r="AS988" s="211"/>
      <c r="AT988" s="211"/>
      <c r="AU988" s="211"/>
      <c r="AV988" s="211"/>
      <c r="AW988" s="211"/>
      <c r="AX988" s="211"/>
      <c r="AY988" s="211"/>
      <c r="AZ988" s="211"/>
      <c r="BB988" s="211"/>
      <c r="BC988" s="211"/>
      <c r="BD988" s="211"/>
      <c r="BE988" s="211"/>
      <c r="BF988" s="211"/>
      <c r="BG988" s="211"/>
      <c r="BH988" s="211"/>
      <c r="BI988" s="211"/>
    </row>
    <row r="989">
      <c r="A989" s="210" t="str">
        <f>IFERROR(__xludf.DUMMYFUNCTION("""COMPUTED_VALUE"""),"05250402")</f>
        <v>05250402</v>
      </c>
      <c r="B989" s="210" t="str">
        <f>IFERROR(__xludf.DUMMYFUNCTION("""COMPUTED_VALUE"""),"05250402")</f>
        <v>05250402</v>
      </c>
      <c r="C989" s="213">
        <f>IFERROR(__xludf.DUMMYFUNCTION("""COMPUTED_VALUE"""),45782.5)</f>
        <v>45782.5</v>
      </c>
      <c r="D989" s="211" t="str">
        <f>IFERROR(__xludf.DUMMYFUNCTION("""COMPUTED_VALUE"""),"ce83e171")</f>
        <v>ce83e171</v>
      </c>
      <c r="E989" s="211" t="str">
        <f>IFERROR(__xludf.DUMMYFUNCTION("""COMPUTED_VALUE"""),"Bpk. Sulaiman")</f>
        <v>Bpk. Sulaiman</v>
      </c>
      <c r="F989" s="211" t="str">
        <f>IFERROR(__xludf.DUMMYFUNCTION("""COMPUTED_VALUE"""),"8bdbe149")</f>
        <v>8bdbe149</v>
      </c>
      <c r="G989" s="211" t="str">
        <f>IFERROR(__xludf.DUMMYFUNCTION("""COMPUTED_VALUE"""),"Oksigen 6m3")</f>
        <v>Oksigen 6m3</v>
      </c>
      <c r="H989" s="214" t="str">
        <f>IFERROR(__xludf.DUMMYFUNCTION("""COMPUTED_VALUE"""),"OUT")</f>
        <v>OUT</v>
      </c>
      <c r="I989" s="214" t="str">
        <f>IFERROR(__xludf.DUMMYFUNCTION("""COMPUTED_VALUE"""),"NORMAL")</f>
        <v>NORMAL</v>
      </c>
      <c r="J989" s="211">
        <f>IFERROR(__xludf.DUMMYFUNCTION("""COMPUTED_VALUE"""),3.0)</f>
        <v>3</v>
      </c>
      <c r="K989" s="210" t="str">
        <f>IFERROR(__xludf.DUMMYFUNCTION("""COMPUTED_VALUE"""),"11154 11150 11147")</f>
        <v>11154 11150 11147</v>
      </c>
      <c r="L989" s="211">
        <f>IFERROR(__xludf.DUMMYFUNCTION("""COMPUTED_VALUE"""),55000.0)</f>
        <v>55000</v>
      </c>
      <c r="M989" s="211"/>
      <c r="N989" s="211"/>
      <c r="O989" s="211"/>
      <c r="Q989" s="210" t="str">
        <f>IFERROR(__xludf.DUMMYFUNCTION("""COMPUTED_VALUE"""),"06ff4f9d")</f>
        <v>06ff4f9d</v>
      </c>
      <c r="R989" s="210" t="str">
        <f>IFERROR(__xludf.DUMMYFUNCTION("""COMPUTED_VALUE"""),"06ff4f9d")</f>
        <v>06ff4f9d</v>
      </c>
      <c r="S989" s="211" t="str">
        <f>IFERROR(__xludf.DUMMYFUNCTION("""COMPUTED_VALUE"""),"ec231cc9")</f>
        <v>ec231cc9</v>
      </c>
      <c r="T989" s="211" t="str">
        <f>IFERROR(__xludf.DUMMYFUNCTION("""COMPUTED_VALUE"""),"Bpk. Kohir (Maintenance Velg)")</f>
        <v>Bpk. Kohir (Maintenance Velg)</v>
      </c>
      <c r="U989" s="215">
        <f>IFERROR(__xludf.DUMMYFUNCTION("""COMPUTED_VALUE"""),45847.72986111111)</f>
        <v>45847.72986</v>
      </c>
      <c r="V989" s="211" t="str">
        <f>IFERROR(__xludf.DUMMYFUNCTION("""COMPUTED_VALUE"""),"Jl. Lkr. Bypass Krian Timur, Sidogolong, Watugolong, Kec. Krian, Kabupaten Sidoarjo, Jawa Timur 61262")</f>
        <v>Jl. Lkr. Bypass Krian Timur, Sidogolong, Watugolong, Kec. Krian, Kabupaten Sidoarjo, Jawa Timur 61262</v>
      </c>
      <c r="W989" s="211" t="str">
        <f>IFERROR(__xludf.DUMMYFUNCTION("""COMPUTED_VALUE"""),"IN")</f>
        <v>IN</v>
      </c>
      <c r="X989" s="211"/>
      <c r="Z989" s="211" t="str">
        <f>IFERROR(__xludf.DUMMYFUNCTION("""COMPUTED_VALUE"""),"06250539")</f>
        <v>06250539</v>
      </c>
      <c r="AC989" s="211"/>
      <c r="AD989" s="211"/>
      <c r="AE989" s="211"/>
      <c r="AF989" s="211"/>
      <c r="AG989" s="211"/>
      <c r="AH989" s="211"/>
      <c r="AI989" s="211"/>
      <c r="AJ989" s="211"/>
      <c r="AL989" s="211"/>
      <c r="AM989" s="211"/>
      <c r="AN989" s="211"/>
      <c r="AO989" s="211"/>
      <c r="AP989" s="215"/>
      <c r="AQ989" s="218"/>
      <c r="AR989" s="211"/>
      <c r="AS989" s="211"/>
      <c r="AT989" s="211"/>
      <c r="AU989" s="211"/>
      <c r="AV989" s="211"/>
      <c r="AW989" s="211"/>
      <c r="AX989" s="211"/>
      <c r="AY989" s="211"/>
      <c r="AZ989" s="211"/>
      <c r="BB989" s="211"/>
      <c r="BC989" s="211"/>
      <c r="BD989" s="211"/>
      <c r="BE989" s="211"/>
      <c r="BF989" s="211"/>
      <c r="BG989" s="211"/>
      <c r="BH989" s="211"/>
      <c r="BI989" s="211"/>
    </row>
    <row r="990">
      <c r="A990" s="210" t="str">
        <f>IFERROR(__xludf.DUMMYFUNCTION("""COMPUTED_VALUE"""),"05250403")</f>
        <v>05250403</v>
      </c>
      <c r="B990" s="210" t="str">
        <f>IFERROR(__xludf.DUMMYFUNCTION("""COMPUTED_VALUE"""),"05250403")</f>
        <v>05250403</v>
      </c>
      <c r="C990" s="213">
        <f>IFERROR(__xludf.DUMMYFUNCTION("""COMPUTED_VALUE"""),45782.5)</f>
        <v>45782.5</v>
      </c>
      <c r="D990" s="211" t="str">
        <f>IFERROR(__xludf.DUMMYFUNCTION("""COMPUTED_VALUE"""),"3fec37df")</f>
        <v>3fec37df</v>
      </c>
      <c r="E990" s="211" t="str">
        <f>IFERROR(__xludf.DUMMYFUNCTION("""COMPUTED_VALUE"""),"PT Jatim Abadi Perkasa Steel")</f>
        <v>PT Jatim Abadi Perkasa Steel</v>
      </c>
      <c r="F990" s="211" t="str">
        <f>IFERROR(__xludf.DUMMYFUNCTION("""COMPUTED_VALUE"""),"b7a8fff1")</f>
        <v>b7a8fff1</v>
      </c>
      <c r="G990" s="211" t="str">
        <f>IFERROR(__xludf.DUMMYFUNCTION("""COMPUTED_VALUE"""),"LPG 50kg")</f>
        <v>LPG 50kg</v>
      </c>
      <c r="H990" s="214" t="str">
        <f>IFERROR(__xludf.DUMMYFUNCTION("""COMPUTED_VALUE"""),"OUT")</f>
        <v>OUT</v>
      </c>
      <c r="I990" s="214" t="str">
        <f>IFERROR(__xludf.DUMMYFUNCTION("""COMPUTED_VALUE"""),"NORMAL")</f>
        <v>NORMAL</v>
      </c>
      <c r="J990" s="211">
        <f>IFERROR(__xludf.DUMMYFUNCTION("""COMPUTED_VALUE"""),5.0)</f>
        <v>5</v>
      </c>
      <c r="K990" s="211"/>
      <c r="L990" s="211">
        <f>IFERROR(__xludf.DUMMYFUNCTION("""COMPUTED_VALUE"""),909909.9099)</f>
        <v>909909.9099</v>
      </c>
      <c r="M990" s="211"/>
      <c r="N990" s="211"/>
      <c r="O990" s="211"/>
      <c r="Q990" s="210" t="str">
        <f>IFERROR(__xludf.DUMMYFUNCTION("""COMPUTED_VALUE"""),"2bfe062c")</f>
        <v>2bfe062c</v>
      </c>
      <c r="R990" s="210" t="str">
        <f>IFERROR(__xludf.DUMMYFUNCTION("""COMPUTED_VALUE"""),"2bfe062c")</f>
        <v>2bfe062c</v>
      </c>
      <c r="S990" s="211" t="str">
        <f>IFERROR(__xludf.DUMMYFUNCTION("""COMPUTED_VALUE"""),"#N/A")</f>
        <v>#N/A</v>
      </c>
      <c r="T990" s="211" t="str">
        <f>IFERROR(__xludf.DUMMYFUNCTION("""COMPUTED_VALUE"""),"Bpk. Rokhim (Kraton)")</f>
        <v>Bpk. Rokhim (Kraton)</v>
      </c>
      <c r="U990" s="215">
        <f>IFERROR(__xludf.DUMMYFUNCTION("""COMPUTED_VALUE"""),45847.73055555555)</f>
        <v>45847.73056</v>
      </c>
      <c r="V990" s="211" t="str">
        <f>IFERROR(__xludf.DUMMYFUNCTION("""COMPUTED_VALUE"""),"#N/A")</f>
        <v>#N/A</v>
      </c>
      <c r="W990" s="211" t="str">
        <f>IFERROR(__xludf.DUMMYFUNCTION("""COMPUTED_VALUE"""),"IN")</f>
        <v>IN</v>
      </c>
      <c r="X990" s="211"/>
      <c r="Z990" s="211" t="str">
        <f>IFERROR(__xludf.DUMMYFUNCTION("""COMPUTED_VALUE"""),"06250537")</f>
        <v>06250537</v>
      </c>
      <c r="AC990" s="211"/>
      <c r="AD990" s="211"/>
      <c r="AE990" s="211"/>
      <c r="AF990" s="211"/>
      <c r="AG990" s="211"/>
      <c r="AH990" s="211"/>
      <c r="AI990" s="211"/>
      <c r="AJ990" s="211"/>
      <c r="AL990" s="211"/>
      <c r="AM990" s="211"/>
      <c r="AN990" s="211"/>
      <c r="AO990" s="211"/>
      <c r="AP990" s="215"/>
      <c r="AQ990" s="218"/>
      <c r="AR990" s="211"/>
      <c r="AS990" s="211"/>
      <c r="AT990" s="211"/>
      <c r="AU990" s="211"/>
      <c r="AV990" s="211"/>
      <c r="AW990" s="211"/>
      <c r="AX990" s="211"/>
      <c r="AY990" s="211"/>
      <c r="AZ990" s="211"/>
      <c r="BB990" s="211"/>
      <c r="BC990" s="211"/>
      <c r="BD990" s="211"/>
      <c r="BE990" s="211"/>
      <c r="BF990" s="211"/>
      <c r="BG990" s="211"/>
      <c r="BH990" s="211"/>
      <c r="BI990" s="211"/>
    </row>
    <row r="991">
      <c r="A991" s="210" t="str">
        <f>IFERROR(__xludf.DUMMYFUNCTION("""COMPUTED_VALUE"""),"cb6dcffa")</f>
        <v>cb6dcffa</v>
      </c>
      <c r="B991" s="210" t="str">
        <f>IFERROR(__xludf.DUMMYFUNCTION("""COMPUTED_VALUE"""),"cb6dcffa")</f>
        <v>cb6dcffa</v>
      </c>
      <c r="C991" s="213">
        <f>IFERROR(__xludf.DUMMYFUNCTION("""COMPUTED_VALUE"""),45782.50069444445)</f>
        <v>45782.50069</v>
      </c>
      <c r="D991" s="211" t="str">
        <f>IFERROR(__xludf.DUMMYFUNCTION("""COMPUTED_VALUE"""),"e86baf3b")</f>
        <v>e86baf3b</v>
      </c>
      <c r="E991" s="211" t="str">
        <f>IFERROR(__xludf.DUMMYFUNCTION("""COMPUTED_VALUE"""),"PT GEMILANG CIPTA WAWASAN")</f>
        <v>PT GEMILANG CIPTA WAWASAN</v>
      </c>
      <c r="F991" s="211" t="str">
        <f>IFERROR(__xludf.DUMMYFUNCTION("""COMPUTED_VALUE"""),"8bdbe149")</f>
        <v>8bdbe149</v>
      </c>
      <c r="G991" s="211" t="str">
        <f>IFERROR(__xludf.DUMMYFUNCTION("""COMPUTED_VALUE"""),"Oksigen 6m3")</f>
        <v>Oksigen 6m3</v>
      </c>
      <c r="H991" s="214" t="str">
        <f>IFERROR(__xludf.DUMMYFUNCTION("""COMPUTED_VALUE"""),"IN")</f>
        <v>IN</v>
      </c>
      <c r="I991" s="214" t="str">
        <f>IFERROR(__xludf.DUMMYFUNCTION("""COMPUTED_VALUE"""),"EMPTY")</f>
        <v>EMPTY</v>
      </c>
      <c r="J991" s="211">
        <f>IFERROR(__xludf.DUMMYFUNCTION("""COMPUTED_VALUE"""),9.0)</f>
        <v>9</v>
      </c>
      <c r="K991" s="210" t="str">
        <f>IFERROR(__xludf.DUMMYFUNCTION("""COMPUTED_VALUE"""),"11160 11170 1191 11171 11206 11111 1153 1148 1142")</f>
        <v>11160 11170 1191 11171 11206 11111 1153 1148 1142</v>
      </c>
      <c r="L991" s="211">
        <f>IFERROR(__xludf.DUMMYFUNCTION("""COMPUTED_VALUE"""),0.0)</f>
        <v>0</v>
      </c>
      <c r="M991" s="211"/>
      <c r="N991" s="211"/>
      <c r="O991" s="211"/>
      <c r="Q991" s="210" t="str">
        <f>IFERROR(__xludf.DUMMYFUNCTION("""COMPUTED_VALUE"""),"07250575")</f>
        <v>07250575</v>
      </c>
      <c r="R991" s="210" t="str">
        <f>IFERROR(__xludf.DUMMYFUNCTION("""COMPUTED_VALUE"""),"07250575")</f>
        <v>07250575</v>
      </c>
      <c r="S991" s="211" t="str">
        <f>IFERROR(__xludf.DUMMYFUNCTION("""COMPUTED_VALUE"""),"45d814b4")</f>
        <v>45d814b4</v>
      </c>
      <c r="T991" s="211" t="str">
        <f>IFERROR(__xludf.DUMMYFUNCTION("""COMPUTED_VALUE"""),"Bpk. Joko (Ponokawan)")</f>
        <v>Bpk. Joko (Ponokawan)</v>
      </c>
      <c r="U991" s="215">
        <f>IFERROR(__xludf.DUMMYFUNCTION("""COMPUTED_VALUE"""),45849.419444444444)</f>
        <v>45849.41944</v>
      </c>
      <c r="V991" s="211" t="str">
        <f>IFERROR(__xludf.DUMMYFUNCTION("""COMPUTED_VALUE"""),"Ponokawan, Krian")</f>
        <v>Ponokawan, Krian</v>
      </c>
      <c r="W991" s="211" t="str">
        <f>IFERROR(__xludf.DUMMYFUNCTION("""COMPUTED_VALUE"""),"OUT")</f>
        <v>OUT</v>
      </c>
      <c r="X991" s="211"/>
      <c r="Z991" s="211" t="str">
        <f>IFERROR(__xludf.DUMMYFUNCTION("""COMPUTED_VALUE"""),"06250536")</f>
        <v>06250536</v>
      </c>
      <c r="AC991" s="211"/>
      <c r="AD991" s="211"/>
      <c r="AE991" s="211"/>
      <c r="AF991" s="211"/>
      <c r="AG991" s="211"/>
      <c r="AH991" s="211"/>
      <c r="AI991" s="211"/>
      <c r="AJ991" s="211"/>
      <c r="AL991" s="211"/>
      <c r="AM991" s="211"/>
      <c r="AN991" s="211"/>
      <c r="AO991" s="211"/>
      <c r="AP991" s="215"/>
      <c r="AQ991" s="218"/>
      <c r="AR991" s="211"/>
      <c r="AS991" s="211"/>
      <c r="AT991" s="211"/>
      <c r="AU991" s="211"/>
      <c r="AV991" s="211"/>
      <c r="AW991" s="211"/>
      <c r="AX991" s="211"/>
      <c r="AY991" s="211"/>
      <c r="AZ991" s="211"/>
      <c r="BB991" s="211"/>
      <c r="BC991" s="211"/>
      <c r="BD991" s="211"/>
      <c r="BE991" s="211"/>
      <c r="BF991" s="211"/>
      <c r="BG991" s="211"/>
      <c r="BH991" s="211"/>
      <c r="BI991" s="211"/>
    </row>
    <row r="992">
      <c r="A992" s="210" t="str">
        <f>IFERROR(__xludf.DUMMYFUNCTION("""COMPUTED_VALUE"""),"af793585")</f>
        <v>af793585</v>
      </c>
      <c r="B992" s="210" t="str">
        <f>IFERROR(__xludf.DUMMYFUNCTION("""COMPUTED_VALUE"""),"af793585")</f>
        <v>af793585</v>
      </c>
      <c r="C992" s="213">
        <f>IFERROR(__xludf.DUMMYFUNCTION("""COMPUTED_VALUE"""),45782.501388888886)</f>
        <v>45782.50139</v>
      </c>
      <c r="D992" s="211" t="str">
        <f>IFERROR(__xludf.DUMMYFUNCTION("""COMPUTED_VALUE"""),"01158be1")</f>
        <v>01158be1</v>
      </c>
      <c r="E992" s="211" t="str">
        <f>IFERROR(__xludf.DUMMYFUNCTION("""COMPUTED_VALUE"""),"GYF")</f>
        <v>GYF</v>
      </c>
      <c r="F992" s="211" t="str">
        <f>IFERROR(__xludf.DUMMYFUNCTION("""COMPUTED_VALUE"""),"8bdbe149")</f>
        <v>8bdbe149</v>
      </c>
      <c r="G992" s="211" t="str">
        <f>IFERROR(__xludf.DUMMYFUNCTION("""COMPUTED_VALUE"""),"Oksigen 6m3")</f>
        <v>Oksigen 6m3</v>
      </c>
      <c r="H992" s="214" t="str">
        <f>IFERROR(__xludf.DUMMYFUNCTION("""COMPUTED_VALUE"""),"IN")</f>
        <v>IN</v>
      </c>
      <c r="I992" s="214" t="str">
        <f>IFERROR(__xludf.DUMMYFUNCTION("""COMPUTED_VALUE"""),"EMPTY")</f>
        <v>EMPTY</v>
      </c>
      <c r="J992" s="211">
        <f>IFERROR(__xludf.DUMMYFUNCTION("""COMPUTED_VALUE"""),17.0)</f>
        <v>17</v>
      </c>
      <c r="K992" s="210" t="str">
        <f>IFERROR(__xludf.DUMMYFUNCTION("""COMPUTED_VALUE"""),"11129 1157 11172 11269 1190 1168 1116 1129 11112 11266 1111 11268 11270 11267 11221 1121 11141")</f>
        <v>11129 1157 11172 11269 1190 1168 1116 1129 11112 11266 1111 11268 11270 11267 11221 1121 11141</v>
      </c>
      <c r="L992" s="211">
        <f>IFERROR(__xludf.DUMMYFUNCTION("""COMPUTED_VALUE"""),0.0)</f>
        <v>0</v>
      </c>
      <c r="M992" s="211"/>
      <c r="N992" s="211"/>
      <c r="O992" s="211"/>
      <c r="Q992" s="210" t="str">
        <f>IFERROR(__xludf.DUMMYFUNCTION("""COMPUTED_VALUE"""),"8cb52383")</f>
        <v>8cb52383</v>
      </c>
      <c r="R992" s="210" t="str">
        <f>IFERROR(__xludf.DUMMYFUNCTION("""COMPUTED_VALUE"""),"8cb52383")</f>
        <v>8cb52383</v>
      </c>
      <c r="S992" s="211" t="str">
        <f>IFERROR(__xludf.DUMMYFUNCTION("""COMPUTED_VALUE"""),"45d814b4")</f>
        <v>45d814b4</v>
      </c>
      <c r="T992" s="211" t="str">
        <f>IFERROR(__xludf.DUMMYFUNCTION("""COMPUTED_VALUE"""),"Bpk. Joko (Ponokawan)")</f>
        <v>Bpk. Joko (Ponokawan)</v>
      </c>
      <c r="U992" s="215">
        <f>IFERROR(__xludf.DUMMYFUNCTION("""COMPUTED_VALUE"""),45849.48888888889)</f>
        <v>45849.48889</v>
      </c>
      <c r="V992" s="211" t="str">
        <f>IFERROR(__xludf.DUMMYFUNCTION("""COMPUTED_VALUE"""),"Ponokawan, Krian")</f>
        <v>Ponokawan, Krian</v>
      </c>
      <c r="W992" s="211" t="str">
        <f>IFERROR(__xludf.DUMMYFUNCTION("""COMPUTED_VALUE"""),"IN")</f>
        <v>IN</v>
      </c>
      <c r="X992" s="211"/>
      <c r="Z992" s="211" t="str">
        <f>IFERROR(__xludf.DUMMYFUNCTION("""COMPUTED_VALUE"""),"06250535")</f>
        <v>06250535</v>
      </c>
      <c r="AC992" s="211"/>
      <c r="AD992" s="211"/>
      <c r="AE992" s="211"/>
      <c r="AF992" s="211"/>
      <c r="AG992" s="211"/>
      <c r="AH992" s="211"/>
      <c r="AI992" s="211"/>
      <c r="AJ992" s="211"/>
      <c r="AL992" s="211"/>
      <c r="AM992" s="211"/>
      <c r="AN992" s="211"/>
      <c r="AO992" s="211"/>
      <c r="AP992" s="215"/>
      <c r="AQ992" s="218"/>
      <c r="AR992" s="211"/>
      <c r="AS992" s="211"/>
      <c r="AT992" s="211"/>
      <c r="AU992" s="211"/>
      <c r="AV992" s="211"/>
      <c r="AW992" s="211"/>
      <c r="AX992" s="211"/>
      <c r="AY992" s="211"/>
      <c r="AZ992" s="211"/>
      <c r="BB992" s="211"/>
      <c r="BC992" s="211"/>
      <c r="BD992" s="211"/>
      <c r="BE992" s="211"/>
      <c r="BF992" s="211"/>
      <c r="BG992" s="211"/>
      <c r="BH992" s="211"/>
      <c r="BI992" s="211"/>
    </row>
    <row r="993">
      <c r="A993" s="210" t="str">
        <f>IFERROR(__xludf.DUMMYFUNCTION("""COMPUTED_VALUE"""),"05250404")</f>
        <v>05250404</v>
      </c>
      <c r="B993" s="210" t="str">
        <f>IFERROR(__xludf.DUMMYFUNCTION("""COMPUTED_VALUE"""),"05250404")</f>
        <v>05250404</v>
      </c>
      <c r="C993" s="213">
        <f>IFERROR(__xludf.DUMMYFUNCTION("""COMPUTED_VALUE"""),45782.652083333334)</f>
        <v>45782.65208</v>
      </c>
      <c r="D993" s="211" t="str">
        <f>IFERROR(__xludf.DUMMYFUNCTION("""COMPUTED_VALUE"""),"17a8e612")</f>
        <v>17a8e612</v>
      </c>
      <c r="E993" s="211" t="str">
        <f>IFERROR(__xludf.DUMMYFUNCTION("""COMPUTED_VALUE"""),"Flashtech Machinery")</f>
        <v>Flashtech Machinery</v>
      </c>
      <c r="F993" s="211" t="str">
        <f>IFERROR(__xludf.DUMMYFUNCTION("""COMPUTED_VALUE"""),"7d2764f1")</f>
        <v>7d2764f1</v>
      </c>
      <c r="G993" s="211" t="str">
        <f>IFERROR(__xludf.DUMMYFUNCTION("""COMPUTED_VALUE"""),"Oksigen 7m3")</f>
        <v>Oksigen 7m3</v>
      </c>
      <c r="H993" s="214" t="str">
        <f>IFERROR(__xludf.DUMMYFUNCTION("""COMPUTED_VALUE"""),"OUT")</f>
        <v>OUT</v>
      </c>
      <c r="I993" s="214" t="str">
        <f>IFERROR(__xludf.DUMMYFUNCTION("""COMPUTED_VALUE"""),"NORMAL")</f>
        <v>NORMAL</v>
      </c>
      <c r="J993" s="211">
        <f>IFERROR(__xludf.DUMMYFUNCTION("""COMPUTED_VALUE"""),2.0)</f>
        <v>2</v>
      </c>
      <c r="K993" s="210" t="str">
        <f>IFERROR(__xludf.DUMMYFUNCTION("""COMPUTED_VALUE"""),"11216 11228")</f>
        <v>11216 11228</v>
      </c>
      <c r="L993" s="211">
        <f>IFERROR(__xludf.DUMMYFUNCTION("""COMPUTED_VALUE"""),60000.0)</f>
        <v>60000</v>
      </c>
      <c r="M993" s="211"/>
      <c r="N993" s="211"/>
      <c r="O993" s="211"/>
      <c r="Q993" s="210" t="str">
        <f>IFERROR(__xludf.DUMMYFUNCTION("""COMPUTED_VALUE"""),"4a9633a4")</f>
        <v>4a9633a4</v>
      </c>
      <c r="R993" s="210" t="str">
        <f>IFERROR(__xludf.DUMMYFUNCTION("""COMPUTED_VALUE"""),"4a9633a4")</f>
        <v>4a9633a4</v>
      </c>
      <c r="S993" s="211" t="str">
        <f>IFERROR(__xludf.DUMMYFUNCTION("""COMPUTED_VALUE"""),"103f3ae7")</f>
        <v>103f3ae7</v>
      </c>
      <c r="T993" s="211" t="str">
        <f>IFERROR(__xludf.DUMMYFUNCTION("""COMPUTED_VALUE"""),"PT ARYANA CAKASANA")</f>
        <v>PT ARYANA CAKASANA</v>
      </c>
      <c r="U993" s="215">
        <f>IFERROR(__xludf.DUMMYFUNCTION("""COMPUTED_VALUE"""),45849.57361111111)</f>
        <v>45849.57361</v>
      </c>
      <c r="V993" s="211" t="str">
        <f>IFERROR(__xludf.DUMMYFUNCTION("""COMPUTED_VALUE"""),"Jl Raya Tarik No. 45, Wonokupang, Bakalan, Balongbendo")</f>
        <v>Jl Raya Tarik No. 45, Wonokupang, Bakalan, Balongbendo</v>
      </c>
      <c r="W993" s="211" t="str">
        <f>IFERROR(__xludf.DUMMYFUNCTION("""COMPUTED_VALUE"""),"IN")</f>
        <v>IN</v>
      </c>
      <c r="X993" s="211"/>
      <c r="Z993" s="211" t="str">
        <f>IFERROR(__xludf.DUMMYFUNCTION("""COMPUTED_VALUE"""),"06250534")</f>
        <v>06250534</v>
      </c>
      <c r="AC993" s="211"/>
      <c r="AD993" s="211"/>
      <c r="AE993" s="211"/>
      <c r="AF993" s="211"/>
      <c r="AG993" s="211"/>
      <c r="AH993" s="211"/>
      <c r="AI993" s="211"/>
      <c r="AJ993" s="211"/>
      <c r="AL993" s="211"/>
      <c r="AM993" s="211"/>
      <c r="AN993" s="211"/>
      <c r="AO993" s="211"/>
      <c r="AP993" s="215"/>
      <c r="AQ993" s="218"/>
      <c r="AR993" s="211"/>
      <c r="AS993" s="211"/>
      <c r="AT993" s="211"/>
      <c r="AU993" s="211"/>
      <c r="AV993" s="211"/>
      <c r="AW993" s="211"/>
      <c r="AX993" s="211"/>
      <c r="AY993" s="211"/>
      <c r="AZ993" s="211"/>
      <c r="BB993" s="211"/>
      <c r="BC993" s="211"/>
      <c r="BD993" s="211"/>
      <c r="BE993" s="211"/>
      <c r="BF993" s="211"/>
      <c r="BG993" s="211"/>
      <c r="BH993" s="211"/>
      <c r="BI993" s="211"/>
    </row>
    <row r="994">
      <c r="A994" s="210" t="str">
        <f>IFERROR(__xludf.DUMMYFUNCTION("""COMPUTED_VALUE"""),"05250404")</f>
        <v>05250404</v>
      </c>
      <c r="B994" s="210" t="str">
        <f>IFERROR(__xludf.DUMMYFUNCTION("""COMPUTED_VALUE"""),"05250404")</f>
        <v>05250404</v>
      </c>
      <c r="C994" s="213">
        <f>IFERROR(__xludf.DUMMYFUNCTION("""COMPUTED_VALUE"""),45782.65277777778)</f>
        <v>45782.65278</v>
      </c>
      <c r="D994" s="211" t="str">
        <f>IFERROR(__xludf.DUMMYFUNCTION("""COMPUTED_VALUE"""),"17a8e612")</f>
        <v>17a8e612</v>
      </c>
      <c r="E994" s="211" t="str">
        <f>IFERROR(__xludf.DUMMYFUNCTION("""COMPUTED_VALUE"""),"Flashtech Machinery")</f>
        <v>Flashtech Machinery</v>
      </c>
      <c r="F994" s="211" t="str">
        <f>IFERROR(__xludf.DUMMYFUNCTION("""COMPUTED_VALUE"""),"66af7c72")</f>
        <v>66af7c72</v>
      </c>
      <c r="G994" s="211" t="str">
        <f>IFERROR(__xludf.DUMMYFUNCTION("""COMPUTED_VALUE"""),"Argon 6m3")</f>
        <v>Argon 6m3</v>
      </c>
      <c r="H994" s="214" t="str">
        <f>IFERROR(__xludf.DUMMYFUNCTION("""COMPUTED_VALUE"""),"OUT")</f>
        <v>OUT</v>
      </c>
      <c r="I994" s="214" t="str">
        <f>IFERROR(__xludf.DUMMYFUNCTION("""COMPUTED_VALUE"""),"NORMAL")</f>
        <v>NORMAL</v>
      </c>
      <c r="J994" s="211">
        <f>IFERROR(__xludf.DUMMYFUNCTION("""COMPUTED_VALUE"""),1.0)</f>
        <v>1</v>
      </c>
      <c r="K994" s="210" t="str">
        <f>IFERROR(__xludf.DUMMYFUNCTION("""COMPUTED_VALUE"""),"12006")</f>
        <v>12006</v>
      </c>
      <c r="L994" s="211">
        <f>IFERROR(__xludf.DUMMYFUNCTION("""COMPUTED_VALUE"""),195000.0)</f>
        <v>195000</v>
      </c>
      <c r="M994" s="211"/>
      <c r="N994" s="211"/>
      <c r="O994" s="211"/>
      <c r="Q994" s="210" t="str">
        <f>IFERROR(__xludf.DUMMYFUNCTION("""COMPUTED_VALUE"""),"6eebccb0")</f>
        <v>6eebccb0</v>
      </c>
      <c r="R994" s="210" t="str">
        <f>IFERROR(__xludf.DUMMYFUNCTION("""COMPUTED_VALUE"""),"6eebccb0")</f>
        <v>6eebccb0</v>
      </c>
      <c r="S994" s="211" t="str">
        <f>IFERROR(__xludf.DUMMYFUNCTION("""COMPUTED_VALUE"""),"01158be1")</f>
        <v>01158be1</v>
      </c>
      <c r="T994" s="211" t="str">
        <f>IFERROR(__xludf.DUMMYFUNCTION("""COMPUTED_VALUE"""),"GYF")</f>
        <v>GYF</v>
      </c>
      <c r="U994" s="215">
        <f>IFERROR(__xludf.DUMMYFUNCTION("""COMPUTED_VALUE"""),45849.57361111111)</f>
        <v>45849.57361</v>
      </c>
      <c r="V994" s="211" t="str">
        <f>IFERROR(__xludf.DUMMYFUNCTION("""COMPUTED_VALUE"""),"Kangkungan, Lengkong, Kec. Mojoanyar, Kabupaten Mojokerto, Jawa Timur")</f>
        <v>Kangkungan, Lengkong, Kec. Mojoanyar, Kabupaten Mojokerto, Jawa Timur</v>
      </c>
      <c r="W994" s="211" t="str">
        <f>IFERROR(__xludf.DUMMYFUNCTION("""COMPUTED_VALUE"""),"IN")</f>
        <v>IN</v>
      </c>
      <c r="X994" s="211"/>
      <c r="Z994" s="211" t="str">
        <f>IFERROR(__xludf.DUMMYFUNCTION("""COMPUTED_VALUE"""),"06250533")</f>
        <v>06250533</v>
      </c>
      <c r="AC994" s="211"/>
      <c r="AD994" s="211"/>
      <c r="AE994" s="211"/>
      <c r="AF994" s="211"/>
      <c r="AG994" s="211"/>
      <c r="AH994" s="211"/>
      <c r="AI994" s="211"/>
      <c r="AJ994" s="211"/>
      <c r="AL994" s="211"/>
      <c r="AM994" s="211"/>
      <c r="AN994" s="211"/>
      <c r="AO994" s="211"/>
      <c r="AP994" s="215"/>
      <c r="AQ994" s="218"/>
      <c r="AR994" s="211"/>
      <c r="AS994" s="211"/>
      <c r="AT994" s="211"/>
      <c r="AU994" s="211"/>
      <c r="AV994" s="211"/>
      <c r="AW994" s="211"/>
      <c r="AX994" s="211"/>
      <c r="AY994" s="211"/>
      <c r="AZ994" s="211"/>
      <c r="BB994" s="211"/>
      <c r="BC994" s="211"/>
      <c r="BD994" s="211"/>
      <c r="BE994" s="211"/>
      <c r="BF994" s="211"/>
      <c r="BG994" s="211"/>
      <c r="BH994" s="211"/>
      <c r="BI994" s="211"/>
    </row>
    <row r="995">
      <c r="A995" s="210" t="str">
        <f>IFERROR(__xludf.DUMMYFUNCTION("""COMPUTED_VALUE"""),"7cba302b")</f>
        <v>7cba302b</v>
      </c>
      <c r="B995" s="210" t="str">
        <f>IFERROR(__xludf.DUMMYFUNCTION("""COMPUTED_VALUE"""),"7cba302b")</f>
        <v>7cba302b</v>
      </c>
      <c r="C995" s="213">
        <f>IFERROR(__xludf.DUMMYFUNCTION("""COMPUTED_VALUE"""),45782.654861111114)</f>
        <v>45782.65486</v>
      </c>
      <c r="D995" s="211" t="str">
        <f>IFERROR(__xludf.DUMMYFUNCTION("""COMPUTED_VALUE"""),"ce83e171")</f>
        <v>ce83e171</v>
      </c>
      <c r="E995" s="211" t="str">
        <f>IFERROR(__xludf.DUMMYFUNCTION("""COMPUTED_VALUE"""),"Bpk. Sulaiman")</f>
        <v>Bpk. Sulaiman</v>
      </c>
      <c r="F995" s="211" t="str">
        <f>IFERROR(__xludf.DUMMYFUNCTION("""COMPUTED_VALUE"""),"8bdbe149")</f>
        <v>8bdbe149</v>
      </c>
      <c r="G995" s="211" t="str">
        <f>IFERROR(__xludf.DUMMYFUNCTION("""COMPUTED_VALUE"""),"Oksigen 6m3")</f>
        <v>Oksigen 6m3</v>
      </c>
      <c r="H995" s="214" t="str">
        <f>IFERROR(__xludf.DUMMYFUNCTION("""COMPUTED_VALUE"""),"IN")</f>
        <v>IN</v>
      </c>
      <c r="I995" s="214" t="str">
        <f>IFERROR(__xludf.DUMMYFUNCTION("""COMPUTED_VALUE"""),"EMPTY")</f>
        <v>EMPTY</v>
      </c>
      <c r="J995" s="211">
        <f>IFERROR(__xludf.DUMMYFUNCTION("""COMPUTED_VALUE"""),4.0)</f>
        <v>4</v>
      </c>
      <c r="K995" s="210" t="str">
        <f>IFERROR(__xludf.DUMMYFUNCTION("""COMPUTED_VALUE"""),"1101 11278 11236 1108")</f>
        <v>1101 11278 11236 1108</v>
      </c>
      <c r="L995" s="211">
        <f>IFERROR(__xludf.DUMMYFUNCTION("""COMPUTED_VALUE"""),0.0)</f>
        <v>0</v>
      </c>
      <c r="M995" s="211"/>
      <c r="N995" s="211"/>
      <c r="O995" s="211"/>
      <c r="Q995" s="210" t="str">
        <f>IFERROR(__xludf.DUMMYFUNCTION("""COMPUTED_VALUE"""),"cb904bf7")</f>
        <v>cb904bf7</v>
      </c>
      <c r="R995" s="210" t="str">
        <f>IFERROR(__xludf.DUMMYFUNCTION("""COMPUTED_VALUE"""),"cb904bf7")</f>
        <v>cb904bf7</v>
      </c>
      <c r="S995" s="211" t="str">
        <f>IFERROR(__xludf.DUMMYFUNCTION("""COMPUTED_VALUE"""),"785e0e07")</f>
        <v>785e0e07</v>
      </c>
      <c r="T995" s="211" t="str">
        <f>IFERROR(__xludf.DUMMYFUNCTION("""COMPUTED_VALUE"""),"Bpk. Sukirno (Bejo)")</f>
        <v>Bpk. Sukirno (Bejo)</v>
      </c>
      <c r="U995" s="215">
        <f>IFERROR(__xludf.DUMMYFUNCTION("""COMPUTED_VALUE"""),45849.57430555555)</f>
        <v>45849.57431</v>
      </c>
      <c r="V995" s="211" t="str">
        <f>IFERROR(__xludf.DUMMYFUNCTION("""COMPUTED_VALUE"""),"Krajan I, Wringinanom, Kec. Wringinanom, Kabupaten Gresik, Jawa Timur 61176")</f>
        <v>Krajan I, Wringinanom, Kec. Wringinanom, Kabupaten Gresik, Jawa Timur 61176</v>
      </c>
      <c r="W995" s="211" t="str">
        <f>IFERROR(__xludf.DUMMYFUNCTION("""COMPUTED_VALUE"""),"IN")</f>
        <v>IN</v>
      </c>
      <c r="X995" s="211"/>
      <c r="Z995" s="211" t="str">
        <f>IFERROR(__xludf.DUMMYFUNCTION("""COMPUTED_VALUE"""),"06250531")</f>
        <v>06250531</v>
      </c>
      <c r="AC995" s="211"/>
      <c r="AD995" s="211"/>
      <c r="AE995" s="211"/>
      <c r="AF995" s="211"/>
      <c r="AG995" s="211"/>
      <c r="AH995" s="211"/>
      <c r="AI995" s="211"/>
      <c r="AJ995" s="211"/>
      <c r="AL995" s="211"/>
      <c r="AM995" s="211"/>
      <c r="AN995" s="211"/>
      <c r="AO995" s="211"/>
      <c r="AP995" s="215"/>
      <c r="AQ995" s="218"/>
      <c r="AR995" s="211"/>
      <c r="AS995" s="211"/>
      <c r="AT995" s="211"/>
      <c r="AU995" s="211"/>
      <c r="AV995" s="211"/>
      <c r="AW995" s="211"/>
      <c r="AX995" s="211"/>
      <c r="AY995" s="211"/>
      <c r="AZ995" s="211"/>
      <c r="BB995" s="211"/>
      <c r="BC995" s="211"/>
      <c r="BD995" s="211"/>
      <c r="BE995" s="211"/>
      <c r="BF995" s="211"/>
      <c r="BG995" s="211"/>
      <c r="BH995" s="211"/>
      <c r="BI995" s="211"/>
    </row>
    <row r="996">
      <c r="A996" s="210" t="str">
        <f>IFERROR(__xludf.DUMMYFUNCTION("""COMPUTED_VALUE"""),"7cba302b")</f>
        <v>7cba302b</v>
      </c>
      <c r="B996" s="210" t="str">
        <f>IFERROR(__xludf.DUMMYFUNCTION("""COMPUTED_VALUE"""),"7cba302b")</f>
        <v>7cba302b</v>
      </c>
      <c r="C996" s="213">
        <f>IFERROR(__xludf.DUMMYFUNCTION("""COMPUTED_VALUE"""),45782.65555555555)</f>
        <v>45782.65556</v>
      </c>
      <c r="D996" s="211" t="str">
        <f>IFERROR(__xludf.DUMMYFUNCTION("""COMPUTED_VALUE"""),"ce83e171")</f>
        <v>ce83e171</v>
      </c>
      <c r="E996" s="211" t="str">
        <f>IFERROR(__xludf.DUMMYFUNCTION("""COMPUTED_VALUE"""),"Bpk. Sulaiman")</f>
        <v>Bpk. Sulaiman</v>
      </c>
      <c r="F996" s="211" t="str">
        <f>IFERROR(__xludf.DUMMYFUNCTION("""COMPUTED_VALUE"""),"f6aab7a9")</f>
        <v>f6aab7a9</v>
      </c>
      <c r="G996" s="211" t="str">
        <f>IFERROR(__xludf.DUMMYFUNCTION("""COMPUTED_VALUE"""),"Oksigen 6m3 MR")</f>
        <v>Oksigen 6m3 MR</v>
      </c>
      <c r="H996" s="214" t="str">
        <f>IFERROR(__xludf.DUMMYFUNCTION("""COMPUTED_VALUE"""),"IN")</f>
        <v>IN</v>
      </c>
      <c r="I996" s="214" t="str">
        <f>IFERROR(__xludf.DUMMYFUNCTION("""COMPUTED_VALUE"""),"EMPTY")</f>
        <v>EMPTY</v>
      </c>
      <c r="J996" s="211">
        <f>IFERROR(__xludf.DUMMYFUNCTION("""COMPUTED_VALUE"""),1.0)</f>
        <v>1</v>
      </c>
      <c r="K996" s="211"/>
      <c r="L996" s="211">
        <f>IFERROR(__xludf.DUMMYFUNCTION("""COMPUTED_VALUE"""),0.0)</f>
        <v>0</v>
      </c>
      <c r="M996" s="211"/>
      <c r="N996" s="211"/>
      <c r="O996" s="211"/>
      <c r="Q996" s="210" t="str">
        <f>IFERROR(__xludf.DUMMYFUNCTION("""COMPUTED_VALUE"""),"07250576")</f>
        <v>07250576</v>
      </c>
      <c r="R996" s="210" t="str">
        <f>IFERROR(__xludf.DUMMYFUNCTION("""COMPUTED_VALUE"""),"07250576")</f>
        <v>07250576</v>
      </c>
      <c r="S996" s="211" t="str">
        <f>IFERROR(__xludf.DUMMYFUNCTION("""COMPUTED_VALUE"""),"bdb5baf1")</f>
        <v>bdb5baf1</v>
      </c>
      <c r="T996" s="211" t="str">
        <f>IFERROR(__xludf.DUMMYFUNCTION("""COMPUTED_VALUE"""),"Bpk. Abdul")</f>
        <v>Bpk. Abdul</v>
      </c>
      <c r="U996" s="215">
        <f>IFERROR(__xludf.DUMMYFUNCTION("""COMPUTED_VALUE"""),45850.45833333333)</f>
        <v>45850.45833</v>
      </c>
      <c r="V996" s="211" t="str">
        <f>IFERROR(__xludf.DUMMYFUNCTION("""COMPUTED_VALUE"""),"#N/A")</f>
        <v>#N/A</v>
      </c>
      <c r="W996" s="211" t="str">
        <f>IFERROR(__xludf.DUMMYFUNCTION("""COMPUTED_VALUE"""),"OUT")</f>
        <v>OUT</v>
      </c>
      <c r="X996" s="211"/>
      <c r="Z996" s="211" t="str">
        <f>IFERROR(__xludf.DUMMYFUNCTION("""COMPUTED_VALUE"""),"06250529")</f>
        <v>06250529</v>
      </c>
      <c r="AC996" s="211"/>
      <c r="AD996" s="211"/>
      <c r="AE996" s="211"/>
      <c r="AF996" s="211"/>
      <c r="AG996" s="211"/>
      <c r="AH996" s="211"/>
      <c r="AI996" s="211"/>
      <c r="AJ996" s="211"/>
      <c r="AL996" s="211"/>
      <c r="AM996" s="211"/>
      <c r="AN996" s="211"/>
      <c r="AO996" s="211"/>
      <c r="AP996" s="215"/>
      <c r="AQ996" s="218"/>
      <c r="AR996" s="211"/>
      <c r="AS996" s="211"/>
      <c r="AT996" s="211"/>
      <c r="AU996" s="211"/>
      <c r="AV996" s="211"/>
      <c r="AW996" s="211"/>
      <c r="AX996" s="211"/>
      <c r="AY996" s="211"/>
      <c r="AZ996" s="211"/>
      <c r="BB996" s="211"/>
      <c r="BC996" s="211"/>
      <c r="BD996" s="211"/>
      <c r="BE996" s="211"/>
      <c r="BF996" s="211"/>
      <c r="BG996" s="211"/>
      <c r="BH996" s="211"/>
      <c r="BI996" s="211"/>
    </row>
    <row r="997">
      <c r="A997" s="210" t="str">
        <f>IFERROR(__xludf.DUMMYFUNCTION("""COMPUTED_VALUE"""),"63c9393a")</f>
        <v>63c9393a</v>
      </c>
      <c r="B997" s="210" t="str">
        <f>IFERROR(__xludf.DUMMYFUNCTION("""COMPUTED_VALUE"""),"63c9393a")</f>
        <v>63c9393a</v>
      </c>
      <c r="C997" s="213">
        <f>IFERROR(__xludf.DUMMYFUNCTION("""COMPUTED_VALUE"""),45782.65555555555)</f>
        <v>45782.65556</v>
      </c>
      <c r="D997" s="211" t="str">
        <f>IFERROR(__xludf.DUMMYFUNCTION("""COMPUTED_VALUE"""),"3fec37df")</f>
        <v>3fec37df</v>
      </c>
      <c r="E997" s="211" t="str">
        <f>IFERROR(__xludf.DUMMYFUNCTION("""COMPUTED_VALUE"""),"PT Jatim Abadi Perkasa Steel")</f>
        <v>PT Jatim Abadi Perkasa Steel</v>
      </c>
      <c r="F997" s="211" t="str">
        <f>IFERROR(__xludf.DUMMYFUNCTION("""COMPUTED_VALUE"""),"b7a8fff1")</f>
        <v>b7a8fff1</v>
      </c>
      <c r="G997" s="211" t="str">
        <f>IFERROR(__xludf.DUMMYFUNCTION("""COMPUTED_VALUE"""),"LPG 50kg")</f>
        <v>LPG 50kg</v>
      </c>
      <c r="H997" s="214" t="str">
        <f>IFERROR(__xludf.DUMMYFUNCTION("""COMPUTED_VALUE"""),"IN")</f>
        <v>IN</v>
      </c>
      <c r="I997" s="214" t="str">
        <f>IFERROR(__xludf.DUMMYFUNCTION("""COMPUTED_VALUE"""),"EMPTY")</f>
        <v>EMPTY</v>
      </c>
      <c r="J997" s="211">
        <f>IFERROR(__xludf.DUMMYFUNCTION("""COMPUTED_VALUE"""),5.0)</f>
        <v>5</v>
      </c>
      <c r="K997" s="211"/>
      <c r="L997" s="211">
        <f>IFERROR(__xludf.DUMMYFUNCTION("""COMPUTED_VALUE"""),0.0)</f>
        <v>0</v>
      </c>
      <c r="M997" s="211"/>
      <c r="N997" s="211"/>
      <c r="O997" s="211"/>
      <c r="Q997" s="210" t="str">
        <f>IFERROR(__xludf.DUMMYFUNCTION("""COMPUTED_VALUE"""),"f7cc9e81")</f>
        <v>f7cc9e81</v>
      </c>
      <c r="R997" s="210" t="str">
        <f>IFERROR(__xludf.DUMMYFUNCTION("""COMPUTED_VALUE"""),"f7cc9e81")</f>
        <v>f7cc9e81</v>
      </c>
      <c r="S997" s="211" t="str">
        <f>IFERROR(__xludf.DUMMYFUNCTION("""COMPUTED_VALUE"""),"bdb5baf2")</f>
        <v>bdb5baf2</v>
      </c>
      <c r="T997" s="211" t="str">
        <f>IFERROR(__xludf.DUMMYFUNCTION("""COMPUTED_VALUE"""),"Bpk. Abdul")</f>
        <v>Bpk. Abdul</v>
      </c>
      <c r="U997" s="215">
        <f>IFERROR(__xludf.DUMMYFUNCTION("""COMPUTED_VALUE"""),45850.461805555555)</f>
        <v>45850.46181</v>
      </c>
      <c r="V997" s="211" t="str">
        <f>IFERROR(__xludf.DUMMYFUNCTION("""COMPUTED_VALUE"""),"#N/A")</f>
        <v>#N/A</v>
      </c>
      <c r="W997" s="211" t="str">
        <f>IFERROR(__xludf.DUMMYFUNCTION("""COMPUTED_VALUE"""),"IN")</f>
        <v>IN</v>
      </c>
      <c r="X997" s="211"/>
      <c r="Z997" s="211" t="str">
        <f>IFERROR(__xludf.DUMMYFUNCTION("""COMPUTED_VALUE"""),"06250528")</f>
        <v>06250528</v>
      </c>
      <c r="AC997" s="211"/>
      <c r="AD997" s="211"/>
      <c r="AE997" s="211"/>
      <c r="AF997" s="211"/>
      <c r="AG997" s="211"/>
      <c r="AH997" s="211"/>
      <c r="AI997" s="211"/>
      <c r="AJ997" s="211"/>
      <c r="AL997" s="211"/>
      <c r="AM997" s="211"/>
      <c r="AN997" s="211"/>
      <c r="AO997" s="211"/>
      <c r="AP997" s="215"/>
      <c r="AQ997" s="218"/>
      <c r="AR997" s="211"/>
      <c r="AS997" s="211"/>
      <c r="AT997" s="211"/>
      <c r="AU997" s="211"/>
      <c r="AV997" s="211"/>
      <c r="AW997" s="211"/>
      <c r="AX997" s="211"/>
      <c r="AY997" s="211"/>
      <c r="AZ997" s="211"/>
      <c r="BB997" s="211"/>
      <c r="BC997" s="211"/>
      <c r="BD997" s="211"/>
      <c r="BE997" s="211"/>
      <c r="BF997" s="211"/>
      <c r="BG997" s="211"/>
      <c r="BH997" s="211"/>
      <c r="BI997" s="211"/>
    </row>
    <row r="998">
      <c r="A998" s="210" t="str">
        <f>IFERROR(__xludf.DUMMYFUNCTION("""COMPUTED_VALUE"""),"b20ce46a")</f>
        <v>b20ce46a</v>
      </c>
      <c r="B998" s="210" t="str">
        <f>IFERROR(__xludf.DUMMYFUNCTION("""COMPUTED_VALUE"""),"b20ce46a")</f>
        <v>b20ce46a</v>
      </c>
      <c r="C998" s="213">
        <f>IFERROR(__xludf.DUMMYFUNCTION("""COMPUTED_VALUE"""),45782.70763888889)</f>
        <v>45782.70764</v>
      </c>
      <c r="D998" s="211" t="str">
        <f>IFERROR(__xludf.DUMMYFUNCTION("""COMPUTED_VALUE"""),"2d88931c")</f>
        <v>2d88931c</v>
      </c>
      <c r="E998" s="211" t="str">
        <f>IFERROR(__xludf.DUMMYFUNCTION("""COMPUTED_VALUE"""),"PT Dunia Berkat Marga Mulya")</f>
        <v>PT Dunia Berkat Marga Mulya</v>
      </c>
      <c r="F998" s="211" t="str">
        <f>IFERROR(__xludf.DUMMYFUNCTION("""COMPUTED_VALUE"""),"8bdbe149")</f>
        <v>8bdbe149</v>
      </c>
      <c r="G998" s="211" t="str">
        <f>IFERROR(__xludf.DUMMYFUNCTION("""COMPUTED_VALUE"""),"Oksigen 6m3")</f>
        <v>Oksigen 6m3</v>
      </c>
      <c r="H998" s="214" t="str">
        <f>IFERROR(__xludf.DUMMYFUNCTION("""COMPUTED_VALUE"""),"IN")</f>
        <v>IN</v>
      </c>
      <c r="I998" s="214" t="str">
        <f>IFERROR(__xludf.DUMMYFUNCTION("""COMPUTED_VALUE"""),"EMPTY")</f>
        <v>EMPTY</v>
      </c>
      <c r="J998" s="211">
        <f>IFERROR(__xludf.DUMMYFUNCTION("""COMPUTED_VALUE"""),3.0)</f>
        <v>3</v>
      </c>
      <c r="K998" s="210" t="str">
        <f>IFERROR(__xludf.DUMMYFUNCTION("""COMPUTED_VALUE"""),"11257 1109 1196")</f>
        <v>11257 1109 1196</v>
      </c>
      <c r="L998" s="211">
        <f>IFERROR(__xludf.DUMMYFUNCTION("""COMPUTED_VALUE"""),0.0)</f>
        <v>0</v>
      </c>
      <c r="M998" s="211"/>
      <c r="N998" s="211"/>
      <c r="O998" s="211"/>
      <c r="Q998" s="210" t="str">
        <f>IFERROR(__xludf.DUMMYFUNCTION("""COMPUTED_VALUE"""),"07250577")</f>
        <v>07250577</v>
      </c>
      <c r="R998" s="210" t="str">
        <f>IFERROR(__xludf.DUMMYFUNCTION("""COMPUTED_VALUE"""),"07250577")</f>
        <v>07250577</v>
      </c>
      <c r="S998" s="211" t="str">
        <f>IFERROR(__xludf.DUMMYFUNCTION("""COMPUTED_VALUE"""),"ec231cc9")</f>
        <v>ec231cc9</v>
      </c>
      <c r="T998" s="211" t="str">
        <f>IFERROR(__xludf.DUMMYFUNCTION("""COMPUTED_VALUE"""),"Bpk. Kohir (Maintenance Velg)")</f>
        <v>Bpk. Kohir (Maintenance Velg)</v>
      </c>
      <c r="U998" s="215">
        <f>IFERROR(__xludf.DUMMYFUNCTION("""COMPUTED_VALUE"""),45852.39444444445)</f>
        <v>45852.39444</v>
      </c>
      <c r="V998" s="211" t="str">
        <f>IFERROR(__xludf.DUMMYFUNCTION("""COMPUTED_VALUE"""),"Jl. Lkr. Bypass Krian Timur, Sidogolong, Watugolong, Kec. Krian, Kabupaten Sidoarjo, Jawa Timur 61262")</f>
        <v>Jl. Lkr. Bypass Krian Timur, Sidogolong, Watugolong, Kec. Krian, Kabupaten Sidoarjo, Jawa Timur 61262</v>
      </c>
      <c r="W998" s="211" t="str">
        <f>IFERROR(__xludf.DUMMYFUNCTION("""COMPUTED_VALUE"""),"OUT")</f>
        <v>OUT</v>
      </c>
      <c r="X998" s="211"/>
      <c r="Z998" s="211" t="str">
        <f>IFERROR(__xludf.DUMMYFUNCTION("""COMPUTED_VALUE"""),"06250527")</f>
        <v>06250527</v>
      </c>
      <c r="AC998" s="211"/>
      <c r="AD998" s="211"/>
      <c r="AE998" s="211"/>
      <c r="AF998" s="211"/>
      <c r="AG998" s="211"/>
      <c r="AH998" s="211"/>
      <c r="AI998" s="211"/>
      <c r="AJ998" s="211"/>
      <c r="AL998" s="211"/>
      <c r="AM998" s="211"/>
      <c r="AN998" s="211"/>
      <c r="AO998" s="211"/>
      <c r="AP998" s="215"/>
      <c r="AQ998" s="218"/>
      <c r="AR998" s="211"/>
      <c r="AS998" s="211"/>
      <c r="AT998" s="211"/>
      <c r="AU998" s="211"/>
      <c r="AV998" s="211"/>
      <c r="AW998" s="211"/>
      <c r="AX998" s="211"/>
      <c r="AY998" s="211"/>
      <c r="AZ998" s="211"/>
      <c r="BB998" s="211"/>
      <c r="BC998" s="211"/>
      <c r="BD998" s="211"/>
      <c r="BE998" s="211"/>
      <c r="BF998" s="211"/>
      <c r="BG998" s="211"/>
      <c r="BH998" s="211"/>
      <c r="BI998" s="211"/>
    </row>
    <row r="999">
      <c r="A999" s="210" t="str">
        <f>IFERROR(__xludf.DUMMYFUNCTION("""COMPUTED_VALUE"""),"05250406")</f>
        <v>05250406</v>
      </c>
      <c r="B999" s="210" t="str">
        <f>IFERROR(__xludf.DUMMYFUNCTION("""COMPUTED_VALUE"""),"05250406")</f>
        <v>05250406</v>
      </c>
      <c r="C999" s="213">
        <f>IFERROR(__xludf.DUMMYFUNCTION("""COMPUTED_VALUE"""),45783.3375)</f>
        <v>45783.3375</v>
      </c>
      <c r="D999" s="211" t="str">
        <f>IFERROR(__xludf.DUMMYFUNCTION("""COMPUTED_VALUE"""),"e86baf3b")</f>
        <v>e86baf3b</v>
      </c>
      <c r="E999" s="211" t="str">
        <f>IFERROR(__xludf.DUMMYFUNCTION("""COMPUTED_VALUE"""),"PT GEMILANG CIPTA WAWASAN")</f>
        <v>PT GEMILANG CIPTA WAWASAN</v>
      </c>
      <c r="F999" s="211" t="str">
        <f>IFERROR(__xludf.DUMMYFUNCTION("""COMPUTED_VALUE"""),"66af7c72")</f>
        <v>66af7c72</v>
      </c>
      <c r="G999" s="211" t="str">
        <f>IFERROR(__xludf.DUMMYFUNCTION("""COMPUTED_VALUE"""),"Argon 6m3")</f>
        <v>Argon 6m3</v>
      </c>
      <c r="H999" s="214" t="str">
        <f>IFERROR(__xludf.DUMMYFUNCTION("""COMPUTED_VALUE"""),"OUT")</f>
        <v>OUT</v>
      </c>
      <c r="I999" s="214" t="str">
        <f>IFERROR(__xludf.DUMMYFUNCTION("""COMPUTED_VALUE"""),"NORMAL")</f>
        <v>NORMAL</v>
      </c>
      <c r="J999" s="211">
        <f>IFERROR(__xludf.DUMMYFUNCTION("""COMPUTED_VALUE"""),2.0)</f>
        <v>2</v>
      </c>
      <c r="K999" s="210" t="str">
        <f>IFERROR(__xludf.DUMMYFUNCTION("""COMPUTED_VALUE"""),"12030 12029")</f>
        <v>12030 12029</v>
      </c>
      <c r="L999" s="211">
        <f>IFERROR(__xludf.DUMMYFUNCTION("""COMPUTED_VALUE"""),185000.0)</f>
        <v>185000</v>
      </c>
      <c r="M999" s="211"/>
      <c r="N999" s="211"/>
      <c r="O999" s="211"/>
      <c r="Q999" s="210" t="str">
        <f>IFERROR(__xludf.DUMMYFUNCTION("""COMPUTED_VALUE"""),"07250579")</f>
        <v>07250579</v>
      </c>
      <c r="R999" s="210" t="str">
        <f>IFERROR(__xludf.DUMMYFUNCTION("""COMPUTED_VALUE"""),"07250579")</f>
        <v>07250579</v>
      </c>
      <c r="S999" s="211" t="str">
        <f>IFERROR(__xludf.DUMMYFUNCTION("""COMPUTED_VALUE"""),"1bf27092")</f>
        <v>1bf27092</v>
      </c>
      <c r="T999" s="211" t="str">
        <f>IFERROR(__xludf.DUMMYFUNCTION("""COMPUTED_VALUE"""),"Bpk. Ari Budiarto")</f>
        <v>Bpk. Ari Budiarto</v>
      </c>
      <c r="U999" s="215">
        <f>IFERROR(__xludf.DUMMYFUNCTION("""COMPUTED_VALUE"""),45852.49166666667)</f>
        <v>45852.49167</v>
      </c>
      <c r="V999" s="211" t="str">
        <f>IFERROR(__xludf.DUMMYFUNCTION("""COMPUTED_VALUE"""),"Jl. Raya Balongbendo 232, Bakalan, Bakalan Wringinpitu, Kec. BalongBendo, Kabupaten Sidoarjo, Jawa Timur 61263")</f>
        <v>Jl. Raya Balongbendo 232, Bakalan, Bakalan Wringinpitu, Kec. BalongBendo, Kabupaten Sidoarjo, Jawa Timur 61263</v>
      </c>
      <c r="W999" s="211" t="str">
        <f>IFERROR(__xludf.DUMMYFUNCTION("""COMPUTED_VALUE"""),"OUT")</f>
        <v>OUT</v>
      </c>
      <c r="X999" s="211"/>
      <c r="Z999" s="211" t="str">
        <f>IFERROR(__xludf.DUMMYFUNCTION("""COMPUTED_VALUE"""),"06250525")</f>
        <v>06250525</v>
      </c>
      <c r="AC999" s="211"/>
      <c r="AD999" s="211"/>
      <c r="AE999" s="211"/>
      <c r="AF999" s="211"/>
      <c r="AG999" s="211"/>
      <c r="AH999" s="211"/>
      <c r="AI999" s="211"/>
      <c r="AJ999" s="211"/>
      <c r="AL999" s="211"/>
      <c r="AM999" s="211"/>
      <c r="AN999" s="211"/>
      <c r="AO999" s="211"/>
      <c r="AP999" s="215"/>
      <c r="AQ999" s="218"/>
      <c r="AR999" s="211"/>
      <c r="AS999" s="211"/>
      <c r="AT999" s="211"/>
      <c r="AU999" s="211"/>
      <c r="AV999" s="211"/>
      <c r="AW999" s="211"/>
      <c r="AX999" s="211"/>
      <c r="AY999" s="211"/>
      <c r="AZ999" s="211"/>
      <c r="BB999" s="211"/>
      <c r="BC999" s="211"/>
      <c r="BD999" s="211"/>
      <c r="BE999" s="211"/>
      <c r="BF999" s="211"/>
      <c r="BG999" s="211"/>
      <c r="BH999" s="211"/>
      <c r="BI999" s="211"/>
    </row>
    <row r="1000">
      <c r="A1000" s="210" t="str">
        <f>IFERROR(__xludf.DUMMYFUNCTION("""COMPUTED_VALUE"""),"05250406")</f>
        <v>05250406</v>
      </c>
      <c r="B1000" s="210" t="str">
        <f>IFERROR(__xludf.DUMMYFUNCTION("""COMPUTED_VALUE"""),"05250406")</f>
        <v>05250406</v>
      </c>
      <c r="C1000" s="213">
        <f>IFERROR(__xludf.DUMMYFUNCTION("""COMPUTED_VALUE"""),45783.33888888889)</f>
        <v>45783.33889</v>
      </c>
      <c r="D1000" s="211" t="str">
        <f>IFERROR(__xludf.DUMMYFUNCTION("""COMPUTED_VALUE"""),"e86baf3b")</f>
        <v>e86baf3b</v>
      </c>
      <c r="E1000" s="211" t="str">
        <f>IFERROR(__xludf.DUMMYFUNCTION("""COMPUTED_VALUE"""),"PT GEMILANG CIPTA WAWASAN")</f>
        <v>PT GEMILANG CIPTA WAWASAN</v>
      </c>
      <c r="F1000" s="211" t="str">
        <f>IFERROR(__xludf.DUMMYFUNCTION("""COMPUTED_VALUE"""),"ef306e54")</f>
        <v>ef306e54</v>
      </c>
      <c r="G1000" s="211" t="str">
        <f>IFERROR(__xludf.DUMMYFUNCTION("""COMPUTED_VALUE"""),"Karbondioksida")</f>
        <v>Karbondioksida</v>
      </c>
      <c r="H1000" s="214" t="str">
        <f>IFERROR(__xludf.DUMMYFUNCTION("""COMPUTED_VALUE"""),"OUT")</f>
        <v>OUT</v>
      </c>
      <c r="I1000" s="214" t="str">
        <f>IFERROR(__xludf.DUMMYFUNCTION("""COMPUTED_VALUE"""),"NORMAL")</f>
        <v>NORMAL</v>
      </c>
      <c r="J1000" s="211">
        <f>IFERROR(__xludf.DUMMYFUNCTION("""COMPUTED_VALUE"""),5.0)</f>
        <v>5</v>
      </c>
      <c r="K1000" s="210" t="str">
        <f>IFERROR(__xludf.DUMMYFUNCTION("""COMPUTED_VALUE"""),"13016 13017 13019 13009 13021")</f>
        <v>13016 13017 13019 13009 13021</v>
      </c>
      <c r="L1000" s="211">
        <f>IFERROR(__xludf.DUMMYFUNCTION("""COMPUTED_VALUE"""),167000.0)</f>
        <v>167000</v>
      </c>
      <c r="M1000" s="211"/>
      <c r="N1000" s="211"/>
      <c r="O1000" s="211"/>
      <c r="Q1000" s="210" t="str">
        <f>IFERROR(__xludf.DUMMYFUNCTION("""COMPUTED_VALUE"""),"07250580")</f>
        <v>07250580</v>
      </c>
      <c r="R1000" s="210" t="str">
        <f>IFERROR(__xludf.DUMMYFUNCTION("""COMPUTED_VALUE"""),"07250580")</f>
        <v>07250580</v>
      </c>
      <c r="S1000" s="211" t="str">
        <f>IFERROR(__xludf.DUMMYFUNCTION("""COMPUTED_VALUE"""),"182fb0fe")</f>
        <v>182fb0fe</v>
      </c>
      <c r="T1000" s="211" t="str">
        <f>IFERROR(__xludf.DUMMYFUNCTION("""COMPUTED_VALUE"""),"PT Amtech")</f>
        <v>PT Amtech</v>
      </c>
      <c r="U1000" s="215">
        <f>IFERROR(__xludf.DUMMYFUNCTION("""COMPUTED_VALUE"""),45852.643055555556)</f>
        <v>45852.64306</v>
      </c>
      <c r="V1000"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000" s="211" t="str">
        <f>IFERROR(__xludf.DUMMYFUNCTION("""COMPUTED_VALUE"""),"OUT")</f>
        <v>OUT</v>
      </c>
      <c r="X1000" s="211"/>
      <c r="Z1000" s="211" t="str">
        <f>IFERROR(__xludf.DUMMYFUNCTION("""COMPUTED_VALUE"""),"06250522")</f>
        <v>06250522</v>
      </c>
      <c r="AC1000" s="211"/>
      <c r="AD1000" s="211"/>
      <c r="AE1000" s="211"/>
      <c r="AF1000" s="211"/>
      <c r="AG1000" s="211"/>
      <c r="AH1000" s="211"/>
      <c r="AI1000" s="211"/>
      <c r="AJ1000" s="211"/>
      <c r="AL1000" s="211"/>
      <c r="AM1000" s="211"/>
      <c r="AN1000" s="211"/>
      <c r="AO1000" s="211"/>
      <c r="AP1000" s="215"/>
      <c r="AQ1000" s="218"/>
      <c r="AR1000" s="211"/>
      <c r="AS1000" s="211"/>
      <c r="AT1000" s="211"/>
      <c r="AU1000" s="211"/>
      <c r="AV1000" s="211"/>
      <c r="AW1000" s="211"/>
      <c r="AX1000" s="211"/>
      <c r="AY1000" s="211"/>
      <c r="AZ1000" s="211"/>
      <c r="BB1000" s="211"/>
      <c r="BC1000" s="211"/>
      <c r="BD1000" s="211"/>
      <c r="BE1000" s="211"/>
      <c r="BF1000" s="211"/>
      <c r="BG1000" s="211"/>
      <c r="BH1000" s="211"/>
      <c r="BI1000" s="211"/>
    </row>
    <row r="1001">
      <c r="A1001" s="210" t="str">
        <f>IFERROR(__xludf.DUMMYFUNCTION("""COMPUTED_VALUE"""),"05250408")</f>
        <v>05250408</v>
      </c>
      <c r="B1001" s="210" t="str">
        <f>IFERROR(__xludf.DUMMYFUNCTION("""COMPUTED_VALUE"""),"05250408")</f>
        <v>05250408</v>
      </c>
      <c r="C1001" s="213">
        <f>IFERROR(__xludf.DUMMYFUNCTION("""COMPUTED_VALUE"""),45783.33888888889)</f>
        <v>45783.33889</v>
      </c>
      <c r="D1001" s="211" t="str">
        <f>IFERROR(__xludf.DUMMYFUNCTION("""COMPUTED_VALUE"""),"01158be1")</f>
        <v>01158be1</v>
      </c>
      <c r="E1001" s="211" t="str">
        <f>IFERROR(__xludf.DUMMYFUNCTION("""COMPUTED_VALUE"""),"GYF")</f>
        <v>GYF</v>
      </c>
      <c r="F1001" s="211" t="str">
        <f>IFERROR(__xludf.DUMMYFUNCTION("""COMPUTED_VALUE"""),"66af7c72")</f>
        <v>66af7c72</v>
      </c>
      <c r="G1001" s="211" t="str">
        <f>IFERROR(__xludf.DUMMYFUNCTION("""COMPUTED_VALUE"""),"Argon 6m3")</f>
        <v>Argon 6m3</v>
      </c>
      <c r="H1001" s="214" t="str">
        <f>IFERROR(__xludf.DUMMYFUNCTION("""COMPUTED_VALUE"""),"OUT")</f>
        <v>OUT</v>
      </c>
      <c r="I1001" s="214" t="str">
        <f>IFERROR(__xludf.DUMMYFUNCTION("""COMPUTED_VALUE"""),"NORMAL")</f>
        <v>NORMAL</v>
      </c>
      <c r="J1001" s="211">
        <f>IFERROR(__xludf.DUMMYFUNCTION("""COMPUTED_VALUE"""),2.0)</f>
        <v>2</v>
      </c>
      <c r="K1001" s="210" t="str">
        <f>IFERROR(__xludf.DUMMYFUNCTION("""COMPUTED_VALUE"""),"12010 12022")</f>
        <v>12010 12022</v>
      </c>
      <c r="L1001" s="211">
        <f>IFERROR(__xludf.DUMMYFUNCTION("""COMPUTED_VALUE"""),200000.0)</f>
        <v>200000</v>
      </c>
      <c r="M1001" s="211"/>
      <c r="N1001" s="211"/>
      <c r="O1001" s="211"/>
      <c r="Q1001" s="210" t="str">
        <f>IFERROR(__xludf.DUMMYFUNCTION("""COMPUTED_VALUE"""),"07250581")</f>
        <v>07250581</v>
      </c>
      <c r="R1001" s="210" t="str">
        <f>IFERROR(__xludf.DUMMYFUNCTION("""COMPUTED_VALUE"""),"07250581")</f>
        <v>07250581</v>
      </c>
      <c r="S1001" s="211" t="str">
        <f>IFERROR(__xludf.DUMMYFUNCTION("""COMPUTED_VALUE"""),"9e31e9f4")</f>
        <v>9e31e9f4</v>
      </c>
      <c r="T1001" s="211" t="str">
        <f>IFERROR(__xludf.DUMMYFUNCTION("""COMPUTED_VALUE"""),"Bpk. Eko Iswantoro")</f>
        <v>Bpk. Eko Iswantoro</v>
      </c>
      <c r="U1001" s="215">
        <f>IFERROR(__xludf.DUMMYFUNCTION("""COMPUTED_VALUE"""),45853.50208333333)</f>
        <v>45853.50208</v>
      </c>
      <c r="V1001" s="211" t="str">
        <f>IFERROR(__xludf.DUMMYFUNCTION("""COMPUTED_VALUE"""),"HHWW+8J Kemasan, Kec. Krian, Kabupaten Sidoarjo, Jawa Timur, Indonesia")</f>
        <v>HHWW+8J Kemasan, Kec. Krian, Kabupaten Sidoarjo, Jawa Timur, Indonesia</v>
      </c>
      <c r="W1001" s="211" t="str">
        <f>IFERROR(__xludf.DUMMYFUNCTION("""COMPUTED_VALUE"""),"OUT")</f>
        <v>OUT</v>
      </c>
      <c r="X1001" s="211"/>
      <c r="Z1001" s="211" t="str">
        <f>IFERROR(__xludf.DUMMYFUNCTION("""COMPUTED_VALUE"""),"06250521")</f>
        <v>06250521</v>
      </c>
      <c r="AL1001" s="211"/>
      <c r="AM1001" s="211"/>
      <c r="AN1001" s="211"/>
      <c r="AO1001" s="211"/>
      <c r="AP1001" s="215"/>
      <c r="AQ1001" s="218"/>
      <c r="AR1001" s="211"/>
    </row>
    <row r="1002">
      <c r="A1002" s="210" t="str">
        <f>IFERROR(__xludf.DUMMYFUNCTION("""COMPUTED_VALUE"""),"05250409")</f>
        <v>05250409</v>
      </c>
      <c r="B1002" s="210" t="str">
        <f>IFERROR(__xludf.DUMMYFUNCTION("""COMPUTED_VALUE"""),"05250409")</f>
        <v>05250409</v>
      </c>
      <c r="C1002" s="213">
        <f>IFERROR(__xludf.DUMMYFUNCTION("""COMPUTED_VALUE"""),45783.22777777778)</f>
        <v>45783.22778</v>
      </c>
      <c r="D1002" s="211" t="str">
        <f>IFERROR(__xludf.DUMMYFUNCTION("""COMPUTED_VALUE"""),"3a48b432")</f>
        <v>3a48b432</v>
      </c>
      <c r="E1002" s="211" t="str">
        <f>IFERROR(__xludf.DUMMYFUNCTION("""COMPUTED_VALUE"""),"Dio")</f>
        <v>Dio</v>
      </c>
      <c r="F1002" s="211" t="str">
        <f>IFERROR(__xludf.DUMMYFUNCTION("""COMPUTED_VALUE"""),"8bdbe149")</f>
        <v>8bdbe149</v>
      </c>
      <c r="G1002" s="211" t="str">
        <f>IFERROR(__xludf.DUMMYFUNCTION("""COMPUTED_VALUE"""),"Oksigen 6m3")</f>
        <v>Oksigen 6m3</v>
      </c>
      <c r="H1002" s="214" t="str">
        <f>IFERROR(__xludf.DUMMYFUNCTION("""COMPUTED_VALUE"""),"OUT")</f>
        <v>OUT</v>
      </c>
      <c r="I1002" s="214" t="str">
        <f>IFERROR(__xludf.DUMMYFUNCTION("""COMPUTED_VALUE"""),"NORMAL")</f>
        <v>NORMAL</v>
      </c>
      <c r="J1002" s="211">
        <f>IFERROR(__xludf.DUMMYFUNCTION("""COMPUTED_VALUE"""),1.0)</f>
        <v>1</v>
      </c>
      <c r="K1002" s="210" t="str">
        <f>IFERROR(__xludf.DUMMYFUNCTION("""COMPUTED_VALUE"""),"1157")</f>
        <v>1157</v>
      </c>
      <c r="L1002" s="211">
        <f>IFERROR(__xludf.DUMMYFUNCTION("""COMPUTED_VALUE"""),80000.0)</f>
        <v>80000</v>
      </c>
      <c r="M1002" s="211"/>
      <c r="N1002" s="211"/>
      <c r="O1002" s="211"/>
      <c r="Q1002" s="210" t="str">
        <f>IFERROR(__xludf.DUMMYFUNCTION("""COMPUTED_VALUE"""),"07250582")</f>
        <v>07250582</v>
      </c>
      <c r="R1002" s="210" t="str">
        <f>IFERROR(__xludf.DUMMYFUNCTION("""COMPUTED_VALUE"""),"07250582")</f>
        <v>07250582</v>
      </c>
      <c r="S1002" s="211" t="str">
        <f>IFERROR(__xludf.DUMMYFUNCTION("""COMPUTED_VALUE"""),"2d88931c")</f>
        <v>2d88931c</v>
      </c>
      <c r="T1002" s="211" t="str">
        <f>IFERROR(__xludf.DUMMYFUNCTION("""COMPUTED_VALUE"""),"PT Dunia Berkat Marga Mulya")</f>
        <v>PT Dunia Berkat Marga Mulya</v>
      </c>
      <c r="U1002" s="215">
        <f>IFERROR(__xludf.DUMMYFUNCTION("""COMPUTED_VALUE"""),45853.50208333333)</f>
        <v>45853.50208</v>
      </c>
      <c r="V1002" s="211" t="str">
        <f>IFERROR(__xludf.DUMMYFUNCTION("""COMPUTED_VALUE"""),"JL JABARAN, WATESARI, BALONGBENDO, SIDOARJO, JAWA TIMUR")</f>
        <v>JL JABARAN, WATESARI, BALONGBENDO, SIDOARJO, JAWA TIMUR</v>
      </c>
      <c r="W1002" s="211" t="str">
        <f>IFERROR(__xludf.DUMMYFUNCTION("""COMPUTED_VALUE"""),"OUT")</f>
        <v>OUT</v>
      </c>
      <c r="X1002" s="211"/>
      <c r="Z1002" s="211" t="str">
        <f>IFERROR(__xludf.DUMMYFUNCTION("""COMPUTED_VALUE"""),"06250520")</f>
        <v>06250520</v>
      </c>
      <c r="AL1002" s="211"/>
      <c r="AM1002" s="211"/>
      <c r="AN1002" s="211"/>
      <c r="AO1002" s="211"/>
      <c r="AP1002" s="215"/>
      <c r="AQ1002" s="218"/>
      <c r="AR1002" s="211"/>
    </row>
    <row r="1003">
      <c r="A1003" s="210" t="str">
        <f>IFERROR(__xludf.DUMMYFUNCTION("""COMPUTED_VALUE"""),"05250410")</f>
        <v>05250410</v>
      </c>
      <c r="B1003" s="210" t="str">
        <f>IFERROR(__xludf.DUMMYFUNCTION("""COMPUTED_VALUE"""),"05250410")</f>
        <v>05250410</v>
      </c>
      <c r="C1003" s="213">
        <f>IFERROR(__xludf.DUMMYFUNCTION("""COMPUTED_VALUE"""),45783.40902777778)</f>
        <v>45783.40903</v>
      </c>
      <c r="D1003" s="211" t="str">
        <f>IFERROR(__xludf.DUMMYFUNCTION("""COMPUTED_VALUE"""),"785e0e07")</f>
        <v>785e0e07</v>
      </c>
      <c r="E1003" s="211" t="str">
        <f>IFERROR(__xludf.DUMMYFUNCTION("""COMPUTED_VALUE"""),"Bpk. Sukirno (Bejo)")</f>
        <v>Bpk. Sukirno (Bejo)</v>
      </c>
      <c r="F1003" s="211" t="str">
        <f>IFERROR(__xludf.DUMMYFUNCTION("""COMPUTED_VALUE"""),"8bdbe149")</f>
        <v>8bdbe149</v>
      </c>
      <c r="G1003" s="211" t="str">
        <f>IFERROR(__xludf.DUMMYFUNCTION("""COMPUTED_VALUE"""),"Oksigen 6m3")</f>
        <v>Oksigen 6m3</v>
      </c>
      <c r="H1003" s="214" t="str">
        <f>IFERROR(__xludf.DUMMYFUNCTION("""COMPUTED_VALUE"""),"OUT")</f>
        <v>OUT</v>
      </c>
      <c r="I1003" s="214" t="str">
        <f>IFERROR(__xludf.DUMMYFUNCTION("""COMPUTED_VALUE"""),"NORMAL")</f>
        <v>NORMAL</v>
      </c>
      <c r="J1003" s="211">
        <f>IFERROR(__xludf.DUMMYFUNCTION("""COMPUTED_VALUE"""),5.0)</f>
        <v>5</v>
      </c>
      <c r="K1003" s="210" t="str">
        <f>IFERROR(__xludf.DUMMYFUNCTION("""COMPUTED_VALUE"""),"11212 11292 11178 11152 76")</f>
        <v>11212 11292 11178 11152 76</v>
      </c>
      <c r="L1003" s="211">
        <f>IFERROR(__xludf.DUMMYFUNCTION("""COMPUTED_VALUE"""),60000.0)</f>
        <v>60000</v>
      </c>
      <c r="M1003" s="211"/>
      <c r="N1003" s="211"/>
      <c r="O1003" s="211"/>
      <c r="Q1003" s="210" t="str">
        <f>IFERROR(__xludf.DUMMYFUNCTION("""COMPUTED_VALUE"""),"07250583")</f>
        <v>07250583</v>
      </c>
      <c r="R1003" s="210" t="str">
        <f>IFERROR(__xludf.DUMMYFUNCTION("""COMPUTED_VALUE"""),"07250583")</f>
        <v>07250583</v>
      </c>
      <c r="S1003" s="211" t="str">
        <f>IFERROR(__xludf.DUMMYFUNCTION("""COMPUTED_VALUE"""),"01158be1")</f>
        <v>01158be1</v>
      </c>
      <c r="T1003" s="211" t="str">
        <f>IFERROR(__xludf.DUMMYFUNCTION("""COMPUTED_VALUE"""),"GYF")</f>
        <v>GYF</v>
      </c>
      <c r="U1003" s="215">
        <f>IFERROR(__xludf.DUMMYFUNCTION("""COMPUTED_VALUE"""),45853.52013888889)</f>
        <v>45853.52014</v>
      </c>
      <c r="V1003" s="211" t="str">
        <f>IFERROR(__xludf.DUMMYFUNCTION("""COMPUTED_VALUE"""),"Kangkungan, Lengkong, Kec. Mojoanyar, Kabupaten Mojokerto, Jawa Timur")</f>
        <v>Kangkungan, Lengkong, Kec. Mojoanyar, Kabupaten Mojokerto, Jawa Timur</v>
      </c>
      <c r="W1003" s="211" t="str">
        <f>IFERROR(__xludf.DUMMYFUNCTION("""COMPUTED_VALUE"""),"OUT")</f>
        <v>OUT</v>
      </c>
      <c r="X1003" s="211"/>
      <c r="Z1003" s="211" t="str">
        <f>IFERROR(__xludf.DUMMYFUNCTION("""COMPUTED_VALUE"""),"06250519")</f>
        <v>06250519</v>
      </c>
      <c r="AL1003" s="211"/>
      <c r="AM1003" s="211"/>
      <c r="AN1003" s="211"/>
      <c r="AO1003" s="211"/>
      <c r="AP1003" s="215"/>
      <c r="AQ1003" s="218"/>
      <c r="AR1003" s="211"/>
    </row>
    <row r="1004">
      <c r="A1004" s="210" t="str">
        <f>IFERROR(__xludf.DUMMYFUNCTION("""COMPUTED_VALUE"""),"7528e2c3")</f>
        <v>7528e2c3</v>
      </c>
      <c r="B1004" s="210" t="str">
        <f>IFERROR(__xludf.DUMMYFUNCTION("""COMPUTED_VALUE"""),"7528e2c3")</f>
        <v>7528e2c3</v>
      </c>
      <c r="C1004" s="213">
        <f>IFERROR(__xludf.DUMMYFUNCTION("""COMPUTED_VALUE"""),45783.48125)</f>
        <v>45783.48125</v>
      </c>
      <c r="D1004" s="211" t="str">
        <f>IFERROR(__xludf.DUMMYFUNCTION("""COMPUTED_VALUE"""),"103f3ae7")</f>
        <v>103f3ae7</v>
      </c>
      <c r="E1004" s="211" t="str">
        <f>IFERROR(__xludf.DUMMYFUNCTION("""COMPUTED_VALUE"""),"PT ARYANA CAKASANA")</f>
        <v>PT ARYANA CAKASANA</v>
      </c>
      <c r="F1004" s="211" t="str">
        <f>IFERROR(__xludf.DUMMYFUNCTION("""COMPUTED_VALUE"""),"8bdbe149")</f>
        <v>8bdbe149</v>
      </c>
      <c r="G1004" s="211" t="str">
        <f>IFERROR(__xludf.DUMMYFUNCTION("""COMPUTED_VALUE"""),"Oksigen 6m3")</f>
        <v>Oksigen 6m3</v>
      </c>
      <c r="H1004" s="214" t="str">
        <f>IFERROR(__xludf.DUMMYFUNCTION("""COMPUTED_VALUE"""),"IN")</f>
        <v>IN</v>
      </c>
      <c r="I1004" s="214" t="str">
        <f>IFERROR(__xludf.DUMMYFUNCTION("""COMPUTED_VALUE"""),"EMPTY")</f>
        <v>EMPTY</v>
      </c>
      <c r="J1004" s="211">
        <f>IFERROR(__xludf.DUMMYFUNCTION("""COMPUTED_VALUE"""),4.0)</f>
        <v>4</v>
      </c>
      <c r="K1004" s="210" t="str">
        <f>IFERROR(__xludf.DUMMYFUNCTION("""COMPUTED_VALUE"""),"1122 1192 1189 1134")</f>
        <v>1122 1192 1189 1134</v>
      </c>
      <c r="L1004" s="211">
        <f>IFERROR(__xludf.DUMMYFUNCTION("""COMPUTED_VALUE"""),0.0)</f>
        <v>0</v>
      </c>
      <c r="M1004" s="211"/>
      <c r="N1004" s="211"/>
      <c r="O1004" s="211"/>
      <c r="Q1004" s="210" t="str">
        <f>IFERROR(__xludf.DUMMYFUNCTION("""COMPUTED_VALUE"""),"de105572")</f>
        <v>de105572</v>
      </c>
      <c r="R1004" s="210" t="str">
        <f>IFERROR(__xludf.DUMMYFUNCTION("""COMPUTED_VALUE"""),"de105572")</f>
        <v>de105572</v>
      </c>
      <c r="S1004" s="211" t="str">
        <f>IFERROR(__xludf.DUMMYFUNCTION("""COMPUTED_VALUE"""),"01158be1")</f>
        <v>01158be1</v>
      </c>
      <c r="T1004" s="211" t="str">
        <f>IFERROR(__xludf.DUMMYFUNCTION("""COMPUTED_VALUE"""),"GYF")</f>
        <v>GYF</v>
      </c>
      <c r="U1004" s="215">
        <f>IFERROR(__xludf.DUMMYFUNCTION("""COMPUTED_VALUE"""),45854.45138888889)</f>
        <v>45854.45139</v>
      </c>
      <c r="V1004" s="211" t="str">
        <f>IFERROR(__xludf.DUMMYFUNCTION("""COMPUTED_VALUE"""),"Kangkungan, Lengkong, Kec. Mojoanyar, Kabupaten Mojokerto, Jawa Timur")</f>
        <v>Kangkungan, Lengkong, Kec. Mojoanyar, Kabupaten Mojokerto, Jawa Timur</v>
      </c>
      <c r="W1004" s="211" t="str">
        <f>IFERROR(__xludf.DUMMYFUNCTION("""COMPUTED_VALUE"""),"IN")</f>
        <v>IN</v>
      </c>
      <c r="X1004" s="211"/>
      <c r="Z1004" s="211" t="str">
        <f>IFERROR(__xludf.DUMMYFUNCTION("""COMPUTED_VALUE"""),"06250518")</f>
        <v>06250518</v>
      </c>
      <c r="AL1004" s="211"/>
      <c r="AM1004" s="211"/>
      <c r="AN1004" s="211"/>
      <c r="AO1004" s="211"/>
      <c r="AP1004" s="215"/>
      <c r="AQ1004" s="218"/>
      <c r="AR1004" s="211"/>
    </row>
    <row r="1005">
      <c r="A1005" s="210" t="str">
        <f>IFERROR(__xludf.DUMMYFUNCTION("""COMPUTED_VALUE"""),"c8e2df28")</f>
        <v>c8e2df28</v>
      </c>
      <c r="B1005" s="210" t="str">
        <f>IFERROR(__xludf.DUMMYFUNCTION("""COMPUTED_VALUE"""),"c8e2df28")</f>
        <v>c8e2df28</v>
      </c>
      <c r="C1005" s="213">
        <f>IFERROR(__xludf.DUMMYFUNCTION("""COMPUTED_VALUE"""),45783.643055555556)</f>
        <v>45783.64306</v>
      </c>
      <c r="D1005" s="211" t="str">
        <f>IFERROR(__xludf.DUMMYFUNCTION("""COMPUTED_VALUE"""),"8f5ebaea")</f>
        <v>8f5ebaea</v>
      </c>
      <c r="E1005" s="211" t="str">
        <f>IFERROR(__xludf.DUMMYFUNCTION("""COMPUTED_VALUE"""),"PT Hua Zong Mesindo")</f>
        <v>PT Hua Zong Mesindo</v>
      </c>
      <c r="F1005" s="211" t="str">
        <f>IFERROR(__xludf.DUMMYFUNCTION("""COMPUTED_VALUE"""),"8bdbe149")</f>
        <v>8bdbe149</v>
      </c>
      <c r="G1005" s="211" t="str">
        <f>IFERROR(__xludf.DUMMYFUNCTION("""COMPUTED_VALUE"""),"Oksigen 6m3")</f>
        <v>Oksigen 6m3</v>
      </c>
      <c r="H1005" s="214" t="str">
        <f>IFERROR(__xludf.DUMMYFUNCTION("""COMPUTED_VALUE"""),"IN")</f>
        <v>IN</v>
      </c>
      <c r="I1005" s="214" t="str">
        <f>IFERROR(__xludf.DUMMYFUNCTION("""COMPUTED_VALUE"""),"EMPTY")</f>
        <v>EMPTY</v>
      </c>
      <c r="J1005" s="211">
        <f>IFERROR(__xludf.DUMMYFUNCTION("""COMPUTED_VALUE"""),3.0)</f>
        <v>3</v>
      </c>
      <c r="K1005" s="210" t="str">
        <f>IFERROR(__xludf.DUMMYFUNCTION("""COMPUTED_VALUE"""),"11101 11122 11187")</f>
        <v>11101 11122 11187</v>
      </c>
      <c r="L1005" s="211">
        <f>IFERROR(__xludf.DUMMYFUNCTION("""COMPUTED_VALUE"""),0.0)</f>
        <v>0</v>
      </c>
      <c r="M1005" s="211"/>
      <c r="N1005" s="211"/>
      <c r="O1005" s="211"/>
      <c r="Q1005" s="210" t="str">
        <f>IFERROR(__xludf.DUMMYFUNCTION("""COMPUTED_VALUE"""),"1ff60dd1")</f>
        <v>1ff60dd1</v>
      </c>
      <c r="R1005" s="210" t="str">
        <f>IFERROR(__xludf.DUMMYFUNCTION("""COMPUTED_VALUE"""),"1ff60dd1")</f>
        <v>1ff60dd1</v>
      </c>
      <c r="S1005" s="211" t="str">
        <f>IFERROR(__xludf.DUMMYFUNCTION("""COMPUTED_VALUE"""),"2d88931c")</f>
        <v>2d88931c</v>
      </c>
      <c r="T1005" s="211" t="str">
        <f>IFERROR(__xludf.DUMMYFUNCTION("""COMPUTED_VALUE"""),"PT Dunia Berkat Marga Mulya")</f>
        <v>PT Dunia Berkat Marga Mulya</v>
      </c>
      <c r="U1005" s="215">
        <f>IFERROR(__xludf.DUMMYFUNCTION("""COMPUTED_VALUE"""),45854.45208333334)</f>
        <v>45854.45208</v>
      </c>
      <c r="V1005" s="211" t="str">
        <f>IFERROR(__xludf.DUMMYFUNCTION("""COMPUTED_VALUE"""),"JL JABARAN, WATESARI, BALONGBENDO, SIDOARJO, JAWA TIMUR")</f>
        <v>JL JABARAN, WATESARI, BALONGBENDO, SIDOARJO, JAWA TIMUR</v>
      </c>
      <c r="W1005" s="211" t="str">
        <f>IFERROR(__xludf.DUMMYFUNCTION("""COMPUTED_VALUE"""),"IN")</f>
        <v>IN</v>
      </c>
      <c r="X1005" s="211"/>
      <c r="Z1005" s="211" t="str">
        <f>IFERROR(__xludf.DUMMYFUNCTION("""COMPUTED_VALUE"""),"06250517")</f>
        <v>06250517</v>
      </c>
      <c r="AL1005" s="211"/>
      <c r="AM1005" s="211"/>
      <c r="AN1005" s="211"/>
      <c r="AO1005" s="211"/>
      <c r="AP1005" s="215"/>
      <c r="AQ1005" s="218"/>
      <c r="AR1005" s="211"/>
    </row>
    <row r="1006">
      <c r="A1006" s="210" t="str">
        <f>IFERROR(__xludf.DUMMYFUNCTION("""COMPUTED_VALUE"""),"38e5deb1")</f>
        <v>38e5deb1</v>
      </c>
      <c r="B1006" s="210" t="str">
        <f>IFERROR(__xludf.DUMMYFUNCTION("""COMPUTED_VALUE"""),"38e5deb1")</f>
        <v>38e5deb1</v>
      </c>
      <c r="C1006" s="213">
        <f>IFERROR(__xludf.DUMMYFUNCTION("""COMPUTED_VALUE"""),45783.64375)</f>
        <v>45783.64375</v>
      </c>
      <c r="D1006" s="211" t="str">
        <f>IFERROR(__xludf.DUMMYFUNCTION("""COMPUTED_VALUE"""),"785e0e07")</f>
        <v>785e0e07</v>
      </c>
      <c r="E1006" s="211" t="str">
        <f>IFERROR(__xludf.DUMMYFUNCTION("""COMPUTED_VALUE"""),"Bpk. Sukirno (Bejo)")</f>
        <v>Bpk. Sukirno (Bejo)</v>
      </c>
      <c r="F1006" s="211" t="str">
        <f>IFERROR(__xludf.DUMMYFUNCTION("""COMPUTED_VALUE"""),"8bdbe149")</f>
        <v>8bdbe149</v>
      </c>
      <c r="G1006" s="211" t="str">
        <f>IFERROR(__xludf.DUMMYFUNCTION("""COMPUTED_VALUE"""),"Oksigen 6m3")</f>
        <v>Oksigen 6m3</v>
      </c>
      <c r="H1006" s="214" t="str">
        <f>IFERROR(__xludf.DUMMYFUNCTION("""COMPUTED_VALUE"""),"IN")</f>
        <v>IN</v>
      </c>
      <c r="I1006" s="214" t="str">
        <f>IFERROR(__xludf.DUMMYFUNCTION("""COMPUTED_VALUE"""),"EMPTY")</f>
        <v>EMPTY</v>
      </c>
      <c r="J1006" s="211">
        <f>IFERROR(__xludf.DUMMYFUNCTION("""COMPUTED_VALUE"""),3.0)</f>
        <v>3</v>
      </c>
      <c r="K1006" s="210" t="str">
        <f>IFERROR(__xludf.DUMMYFUNCTION("""COMPUTED_VALUE"""),"11259 11232 11201")</f>
        <v>11259 11232 11201</v>
      </c>
      <c r="L1006" s="211">
        <f>IFERROR(__xludf.DUMMYFUNCTION("""COMPUTED_VALUE"""),0.0)</f>
        <v>0</v>
      </c>
      <c r="M1006" s="211"/>
      <c r="N1006" s="211"/>
      <c r="O1006" s="211"/>
      <c r="Q1006" s="210" t="str">
        <f>IFERROR(__xludf.DUMMYFUNCTION("""COMPUTED_VALUE"""),"9ffb08ba")</f>
        <v>9ffb08ba</v>
      </c>
      <c r="R1006" s="210" t="str">
        <f>IFERROR(__xludf.DUMMYFUNCTION("""COMPUTED_VALUE"""),"9ffb08ba")</f>
        <v>9ffb08ba</v>
      </c>
      <c r="S1006" s="211" t="str">
        <f>IFERROR(__xludf.DUMMYFUNCTION("""COMPUTED_VALUE"""),"182fb0fe")</f>
        <v>182fb0fe</v>
      </c>
      <c r="T1006" s="211" t="str">
        <f>IFERROR(__xludf.DUMMYFUNCTION("""COMPUTED_VALUE"""),"PT Amtech")</f>
        <v>PT Amtech</v>
      </c>
      <c r="U1006" s="215">
        <f>IFERROR(__xludf.DUMMYFUNCTION("""COMPUTED_VALUE"""),45854.45277777778)</f>
        <v>45854.45278</v>
      </c>
      <c r="V1006" s="211" t="str">
        <f>IFERROR(__xludf.DUMMYFUNCTION("""COMPUTED_VALUE"""),"Jl. Morowudi, Ikerikergeger, Kabupaten Gresik, Jawa Timur")</f>
        <v>Jl. Morowudi, Ikerikergeger, Kabupaten Gresik, Jawa Timur</v>
      </c>
      <c r="W1006" s="211" t="str">
        <f>IFERROR(__xludf.DUMMYFUNCTION("""COMPUTED_VALUE"""),"IN")</f>
        <v>IN</v>
      </c>
      <c r="X1006" s="211"/>
      <c r="Z1006" s="211" t="str">
        <f>IFERROR(__xludf.DUMMYFUNCTION("""COMPUTED_VALUE"""),"06250516")</f>
        <v>06250516</v>
      </c>
      <c r="AL1006" s="211"/>
      <c r="AM1006" s="211"/>
      <c r="AN1006" s="211"/>
      <c r="AO1006" s="211"/>
      <c r="AP1006" s="215"/>
      <c r="AQ1006" s="218"/>
      <c r="AR1006" s="211"/>
    </row>
    <row r="1007">
      <c r="A1007" s="210" t="str">
        <f>IFERROR(__xludf.DUMMYFUNCTION("""COMPUTED_VALUE"""),"e96e112e")</f>
        <v>e96e112e</v>
      </c>
      <c r="B1007" s="210" t="str">
        <f>IFERROR(__xludf.DUMMYFUNCTION("""COMPUTED_VALUE"""),"e96e112e")</f>
        <v>e96e112e</v>
      </c>
      <c r="C1007" s="213">
        <f>IFERROR(__xludf.DUMMYFUNCTION("""COMPUTED_VALUE"""),45783.75277777778)</f>
        <v>45783.75278</v>
      </c>
      <c r="D1007" s="211" t="str">
        <f>IFERROR(__xludf.DUMMYFUNCTION("""COMPUTED_VALUE"""),"b2b5f2c5")</f>
        <v>b2b5f2c5</v>
      </c>
      <c r="E1007" s="211" t="str">
        <f>IFERROR(__xludf.DUMMYFUNCTION("""COMPUTED_VALUE"""),"Bengkel Las Bpk. Ari")</f>
        <v>Bengkel Las Bpk. Ari</v>
      </c>
      <c r="F1007" s="211" t="str">
        <f>IFERROR(__xludf.DUMMYFUNCTION("""COMPUTED_VALUE"""),"8bdbe149")</f>
        <v>8bdbe149</v>
      </c>
      <c r="G1007" s="211" t="str">
        <f>IFERROR(__xludf.DUMMYFUNCTION("""COMPUTED_VALUE"""),"Oksigen 6m3")</f>
        <v>Oksigen 6m3</v>
      </c>
      <c r="H1007" s="214" t="str">
        <f>IFERROR(__xludf.DUMMYFUNCTION("""COMPUTED_VALUE"""),"IN")</f>
        <v>IN</v>
      </c>
      <c r="I1007" s="214" t="str">
        <f>IFERROR(__xludf.DUMMYFUNCTION("""COMPUTED_VALUE"""),"EMPTY")</f>
        <v>EMPTY</v>
      </c>
      <c r="J1007" s="211">
        <f>IFERROR(__xludf.DUMMYFUNCTION("""COMPUTED_VALUE"""),5.0)</f>
        <v>5</v>
      </c>
      <c r="K1007" s="210" t="str">
        <f>IFERROR(__xludf.DUMMYFUNCTION("""COMPUTED_VALUE"""),"11242 11231 11254 11243 11203")</f>
        <v>11242 11231 11254 11243 11203</v>
      </c>
      <c r="L1007" s="211">
        <f>IFERROR(__xludf.DUMMYFUNCTION("""COMPUTED_VALUE"""),0.0)</f>
        <v>0</v>
      </c>
      <c r="M1007" s="211"/>
      <c r="N1007" s="211"/>
      <c r="O1007" s="211"/>
      <c r="Q1007" s="210" t="str">
        <f>IFERROR(__xludf.DUMMYFUNCTION("""COMPUTED_VALUE"""),"a68dcd3f")</f>
        <v>a68dcd3f</v>
      </c>
      <c r="R1007" s="210" t="str">
        <f>IFERROR(__xludf.DUMMYFUNCTION("""COMPUTED_VALUE"""),"a68dcd3f")</f>
        <v>a68dcd3f</v>
      </c>
      <c r="S1007" s="211" t="str">
        <f>IFERROR(__xludf.DUMMYFUNCTION("""COMPUTED_VALUE"""),"ec231cc9")</f>
        <v>ec231cc9</v>
      </c>
      <c r="T1007" s="211" t="str">
        <f>IFERROR(__xludf.DUMMYFUNCTION("""COMPUTED_VALUE"""),"Bpk. Kohir (Maintenance Velg)")</f>
        <v>Bpk. Kohir (Maintenance Velg)</v>
      </c>
      <c r="U1007" s="215">
        <f>IFERROR(__xludf.DUMMYFUNCTION("""COMPUTED_VALUE"""),45854.45972222222)</f>
        <v>45854.45972</v>
      </c>
      <c r="V1007" s="211" t="str">
        <f>IFERROR(__xludf.DUMMYFUNCTION("""COMPUTED_VALUE"""),"Jl. Lkr. Bypass Krian Timur, Sidogolong, Watugolong, Kec. Krian, Kabupaten Sidoarjo, Jawa Timur 61262")</f>
        <v>Jl. Lkr. Bypass Krian Timur, Sidogolong, Watugolong, Kec. Krian, Kabupaten Sidoarjo, Jawa Timur 61262</v>
      </c>
      <c r="W1007" s="211" t="str">
        <f>IFERROR(__xludf.DUMMYFUNCTION("""COMPUTED_VALUE"""),"IN")</f>
        <v>IN</v>
      </c>
      <c r="X1007" s="211"/>
      <c r="Z1007" s="211" t="str">
        <f>IFERROR(__xludf.DUMMYFUNCTION("""COMPUTED_VALUE"""),"06250514")</f>
        <v>06250514</v>
      </c>
      <c r="AL1007" s="211"/>
      <c r="AM1007" s="211"/>
      <c r="AN1007" s="211"/>
      <c r="AO1007" s="211"/>
      <c r="AP1007" s="215"/>
      <c r="AQ1007" s="218"/>
      <c r="AR1007" s="211"/>
    </row>
    <row r="1008">
      <c r="A1008" s="210" t="str">
        <f>IFERROR(__xludf.DUMMYFUNCTION("""COMPUTED_VALUE"""),"e96e112e")</f>
        <v>e96e112e</v>
      </c>
      <c r="B1008" s="210" t="str">
        <f>IFERROR(__xludf.DUMMYFUNCTION("""COMPUTED_VALUE"""),"e96e112e")</f>
        <v>e96e112e</v>
      </c>
      <c r="C1008" s="213">
        <f>IFERROR(__xludf.DUMMYFUNCTION("""COMPUTED_VALUE"""),45783.75486111111)</f>
        <v>45783.75486</v>
      </c>
      <c r="D1008" s="211" t="str">
        <f>IFERROR(__xludf.DUMMYFUNCTION("""COMPUTED_VALUE"""),"b2b5f2c5")</f>
        <v>b2b5f2c5</v>
      </c>
      <c r="E1008" s="211" t="str">
        <f>IFERROR(__xludf.DUMMYFUNCTION("""COMPUTED_VALUE"""),"Bengkel Las Bpk. Ari")</f>
        <v>Bengkel Las Bpk. Ari</v>
      </c>
      <c r="F1008" s="211" t="str">
        <f>IFERROR(__xludf.DUMMYFUNCTION("""COMPUTED_VALUE"""),"ef306e54")</f>
        <v>ef306e54</v>
      </c>
      <c r="G1008" s="211" t="str">
        <f>IFERROR(__xludf.DUMMYFUNCTION("""COMPUTED_VALUE"""),"Karbondioksida")</f>
        <v>Karbondioksida</v>
      </c>
      <c r="H1008" s="214" t="str">
        <f>IFERROR(__xludf.DUMMYFUNCTION("""COMPUTED_VALUE"""),"IN")</f>
        <v>IN</v>
      </c>
      <c r="I1008" s="214" t="str">
        <f>IFERROR(__xludf.DUMMYFUNCTION("""COMPUTED_VALUE"""),"EMPTY")</f>
        <v>EMPTY</v>
      </c>
      <c r="J1008" s="211">
        <f>IFERROR(__xludf.DUMMYFUNCTION("""COMPUTED_VALUE"""),1.0)</f>
        <v>1</v>
      </c>
      <c r="K1008" s="210" t="str">
        <f>IFERROR(__xludf.DUMMYFUNCTION("""COMPUTED_VALUE"""),"13015")</f>
        <v>13015</v>
      </c>
      <c r="L1008" s="211">
        <f>IFERROR(__xludf.DUMMYFUNCTION("""COMPUTED_VALUE"""),0.0)</f>
        <v>0</v>
      </c>
      <c r="M1008" s="211"/>
      <c r="N1008" s="211"/>
      <c r="O1008" s="211"/>
      <c r="Q1008" s="210" t="str">
        <f>IFERROR(__xludf.DUMMYFUNCTION("""COMPUTED_VALUE"""),"bc35577f")</f>
        <v>bc35577f</v>
      </c>
      <c r="R1008" s="210" t="str">
        <f>IFERROR(__xludf.DUMMYFUNCTION("""COMPUTED_VALUE"""),"bc35577f")</f>
        <v>bc35577f</v>
      </c>
      <c r="S1008" s="211" t="str">
        <f>IFERROR(__xludf.DUMMYFUNCTION("""COMPUTED_VALUE"""),"103f3ae7")</f>
        <v>103f3ae7</v>
      </c>
      <c r="T1008" s="211" t="str">
        <f>IFERROR(__xludf.DUMMYFUNCTION("""COMPUTED_VALUE"""),"PT ARYANA CAKASANA")</f>
        <v>PT ARYANA CAKASANA</v>
      </c>
      <c r="U1008" s="215">
        <f>IFERROR(__xludf.DUMMYFUNCTION("""COMPUTED_VALUE"""),45854.49513888889)</f>
        <v>45854.49514</v>
      </c>
      <c r="V1008" s="211" t="str">
        <f>IFERROR(__xludf.DUMMYFUNCTION("""COMPUTED_VALUE"""),"Jl Raya Tarik No. 45, Wonokupang, Bakalan, Balongbendo")</f>
        <v>Jl Raya Tarik No. 45, Wonokupang, Bakalan, Balongbendo</v>
      </c>
      <c r="W1008" s="211" t="str">
        <f>IFERROR(__xludf.DUMMYFUNCTION("""COMPUTED_VALUE"""),"IN")</f>
        <v>IN</v>
      </c>
      <c r="X1008" s="211"/>
      <c r="Z1008" s="211" t="str">
        <f>IFERROR(__xludf.DUMMYFUNCTION("""COMPUTED_VALUE"""),"06250511")</f>
        <v>06250511</v>
      </c>
      <c r="AL1008" s="211"/>
      <c r="AM1008" s="211"/>
      <c r="AN1008" s="211"/>
      <c r="AO1008" s="211"/>
      <c r="AP1008" s="215"/>
      <c r="AQ1008" s="218"/>
      <c r="AR1008" s="211"/>
    </row>
    <row r="1009">
      <c r="A1009" s="210" t="str">
        <f>IFERROR(__xludf.DUMMYFUNCTION("""COMPUTED_VALUE"""),"05250411")</f>
        <v>05250411</v>
      </c>
      <c r="B1009" s="210" t="str">
        <f>IFERROR(__xludf.DUMMYFUNCTION("""COMPUTED_VALUE"""),"05250411")</f>
        <v>05250411</v>
      </c>
      <c r="C1009" s="213">
        <f>IFERROR(__xludf.DUMMYFUNCTION("""COMPUTED_VALUE"""),45784.38055555556)</f>
        <v>45784.38056</v>
      </c>
      <c r="D1009" s="211" t="str">
        <f>IFERROR(__xludf.DUMMYFUNCTION("""COMPUTED_VALUE"""),"8f5ebaea")</f>
        <v>8f5ebaea</v>
      </c>
      <c r="E1009" s="211" t="str">
        <f>IFERROR(__xludf.DUMMYFUNCTION("""COMPUTED_VALUE"""),"PT Hua Zong Mesindo")</f>
        <v>PT Hua Zong Mesindo</v>
      </c>
      <c r="F1009" s="211" t="str">
        <f>IFERROR(__xludf.DUMMYFUNCTION("""COMPUTED_VALUE"""),"66af7c72")</f>
        <v>66af7c72</v>
      </c>
      <c r="G1009" s="211" t="str">
        <f>IFERROR(__xludf.DUMMYFUNCTION("""COMPUTED_VALUE"""),"Argon 6m3")</f>
        <v>Argon 6m3</v>
      </c>
      <c r="H1009" s="214" t="str">
        <f>IFERROR(__xludf.DUMMYFUNCTION("""COMPUTED_VALUE"""),"OUT")</f>
        <v>OUT</v>
      </c>
      <c r="I1009" s="214" t="str">
        <f>IFERROR(__xludf.DUMMYFUNCTION("""COMPUTED_VALUE"""),"NORMAL")</f>
        <v>NORMAL</v>
      </c>
      <c r="J1009" s="211">
        <f>IFERROR(__xludf.DUMMYFUNCTION("""COMPUTED_VALUE"""),2.0)</f>
        <v>2</v>
      </c>
      <c r="K1009" s="210" t="str">
        <f>IFERROR(__xludf.DUMMYFUNCTION("""COMPUTED_VALUE"""),"12032 12031")</f>
        <v>12032 12031</v>
      </c>
      <c r="L1009" s="211">
        <f>IFERROR(__xludf.DUMMYFUNCTION("""COMPUTED_VALUE"""),190000.0)</f>
        <v>190000</v>
      </c>
      <c r="M1009" s="211"/>
      <c r="N1009" s="211"/>
      <c r="O1009" s="211"/>
      <c r="Q1009" s="210" t="str">
        <f>IFERROR(__xludf.DUMMYFUNCTION("""COMPUTED_VALUE"""),"a1ad4f02")</f>
        <v>a1ad4f02</v>
      </c>
      <c r="R1009" s="210" t="str">
        <f>IFERROR(__xludf.DUMMYFUNCTION("""COMPUTED_VALUE"""),"a1ad4f02")</f>
        <v>a1ad4f02</v>
      </c>
      <c r="S1009" s="211" t="str">
        <f>IFERROR(__xludf.DUMMYFUNCTION("""COMPUTED_VALUE"""),"dfas2312")</f>
        <v>dfas2312</v>
      </c>
      <c r="T1009" s="211" t="str">
        <f>IFERROR(__xludf.DUMMYFUNCTION("""COMPUTED_VALUE"""),"Bpk. Fuad (Parengan)")</f>
        <v>Bpk. Fuad (Parengan)</v>
      </c>
      <c r="U1009" s="215">
        <f>IFERROR(__xludf.DUMMYFUNCTION("""COMPUTED_VALUE"""),45854.49513888889)</f>
        <v>45854.49514</v>
      </c>
      <c r="V1009" s="211" t="str">
        <f>IFERROR(__xludf.DUMMYFUNCTION("""COMPUTED_VALUE"""),"#N/A")</f>
        <v>#N/A</v>
      </c>
      <c r="W1009" s="211" t="str">
        <f>IFERROR(__xludf.DUMMYFUNCTION("""COMPUTED_VALUE"""),"IN")</f>
        <v>IN</v>
      </c>
      <c r="X1009" s="211"/>
      <c r="Z1009" s="211" t="str">
        <f>IFERROR(__xludf.DUMMYFUNCTION("""COMPUTED_VALUE"""),"06250510")</f>
        <v>06250510</v>
      </c>
      <c r="AL1009" s="211"/>
      <c r="AM1009" s="211"/>
      <c r="AN1009" s="211"/>
      <c r="AO1009" s="211"/>
      <c r="AP1009" s="215"/>
      <c r="AQ1009" s="218"/>
      <c r="AR1009" s="211"/>
    </row>
    <row r="1010">
      <c r="A1010" s="210" t="str">
        <f>IFERROR(__xludf.DUMMYFUNCTION("""COMPUTED_VALUE"""),"05250411")</f>
        <v>05250411</v>
      </c>
      <c r="B1010" s="210" t="str">
        <f>IFERROR(__xludf.DUMMYFUNCTION("""COMPUTED_VALUE"""),"05250411")</f>
        <v>05250411</v>
      </c>
      <c r="C1010" s="213">
        <f>IFERROR(__xludf.DUMMYFUNCTION("""COMPUTED_VALUE"""),45784.38125)</f>
        <v>45784.38125</v>
      </c>
      <c r="D1010" s="211" t="str">
        <f>IFERROR(__xludf.DUMMYFUNCTION("""COMPUTED_VALUE"""),"8f5ebaea")</f>
        <v>8f5ebaea</v>
      </c>
      <c r="E1010" s="211" t="str">
        <f>IFERROR(__xludf.DUMMYFUNCTION("""COMPUTED_VALUE"""),"PT Hua Zong Mesindo")</f>
        <v>PT Hua Zong Mesindo</v>
      </c>
      <c r="F1010" s="211" t="str">
        <f>IFERROR(__xludf.DUMMYFUNCTION("""COMPUTED_VALUE"""),"8bdbe149")</f>
        <v>8bdbe149</v>
      </c>
      <c r="G1010" s="211" t="str">
        <f>IFERROR(__xludf.DUMMYFUNCTION("""COMPUTED_VALUE"""),"Oksigen 6m3")</f>
        <v>Oksigen 6m3</v>
      </c>
      <c r="H1010" s="214" t="str">
        <f>IFERROR(__xludf.DUMMYFUNCTION("""COMPUTED_VALUE"""),"OUT")</f>
        <v>OUT</v>
      </c>
      <c r="I1010" s="214" t="str">
        <f>IFERROR(__xludf.DUMMYFUNCTION("""COMPUTED_VALUE"""),"NORMAL")</f>
        <v>NORMAL</v>
      </c>
      <c r="J1010" s="211">
        <f>IFERROR(__xludf.DUMMYFUNCTION("""COMPUTED_VALUE"""),4.0)</f>
        <v>4</v>
      </c>
      <c r="K1010" s="210" t="str">
        <f>IFERROR(__xludf.DUMMYFUNCTION("""COMPUTED_VALUE"""),"11236 11242 11243 11254")</f>
        <v>11236 11242 11243 11254</v>
      </c>
      <c r="L1010" s="211">
        <f>IFERROR(__xludf.DUMMYFUNCTION("""COMPUTED_VALUE"""),60000.0)</f>
        <v>60000</v>
      </c>
      <c r="M1010" s="211"/>
      <c r="N1010" s="211"/>
      <c r="O1010" s="211"/>
      <c r="Q1010" s="210" t="str">
        <f>IFERROR(__xludf.DUMMYFUNCTION("""COMPUTED_VALUE"""),"328ccf2a")</f>
        <v>328ccf2a</v>
      </c>
      <c r="R1010" s="210" t="str">
        <f>IFERROR(__xludf.DUMMYFUNCTION("""COMPUTED_VALUE"""),"328ccf2a")</f>
        <v>328ccf2a</v>
      </c>
      <c r="S1010" s="211" t="str">
        <f>IFERROR(__xludf.DUMMYFUNCTION("""COMPUTED_VALUE"""),"e86baf3b")</f>
        <v>e86baf3b</v>
      </c>
      <c r="T1010" s="211" t="str">
        <f>IFERROR(__xludf.DUMMYFUNCTION("""COMPUTED_VALUE"""),"PT GEMILANG CIPTA WAWASAN")</f>
        <v>PT GEMILANG CIPTA WAWASAN</v>
      </c>
      <c r="U1010" s="215">
        <f>IFERROR(__xludf.DUMMYFUNCTION("""COMPUTED_VALUE"""),45855.43611111111)</f>
        <v>45855.43611</v>
      </c>
      <c r="V1010" s="211" t="str">
        <f>IFERROR(__xludf.DUMMYFUNCTION("""COMPUTED_VALUE"""),"JL TEBET RAYA, 2A, TEBET BARAT, TEBET, KOTA ADM, JAKARTA SELATAN, DKI JAKARTA")</f>
        <v>JL TEBET RAYA, 2A, TEBET BARAT, TEBET, KOTA ADM, JAKARTA SELATAN, DKI JAKARTA</v>
      </c>
      <c r="W1010" s="211" t="str">
        <f>IFERROR(__xludf.DUMMYFUNCTION("""COMPUTED_VALUE"""),"IN")</f>
        <v>IN</v>
      </c>
      <c r="X1010" s="211"/>
      <c r="Z1010" s="211" t="str">
        <f>IFERROR(__xludf.DUMMYFUNCTION("""COMPUTED_VALUE"""),"06250509")</f>
        <v>06250509</v>
      </c>
      <c r="AL1010" s="211"/>
      <c r="AM1010" s="211"/>
      <c r="AN1010" s="211"/>
      <c r="AO1010" s="211"/>
      <c r="AP1010" s="215"/>
      <c r="AQ1010" s="218"/>
      <c r="AR1010" s="211"/>
    </row>
    <row r="1011">
      <c r="A1011" s="210" t="str">
        <f>IFERROR(__xludf.DUMMYFUNCTION("""COMPUTED_VALUE"""),"05250413")</f>
        <v>05250413</v>
      </c>
      <c r="B1011" s="210" t="str">
        <f>IFERROR(__xludf.DUMMYFUNCTION("""COMPUTED_VALUE"""),"05250413")</f>
        <v>05250413</v>
      </c>
      <c r="C1011" s="213">
        <f>IFERROR(__xludf.DUMMYFUNCTION("""COMPUTED_VALUE"""),45785.35625)</f>
        <v>45785.35625</v>
      </c>
      <c r="D1011" s="211" t="str">
        <f>IFERROR(__xludf.DUMMYFUNCTION("""COMPUTED_VALUE"""),"5f23ba17")</f>
        <v>5f23ba17</v>
      </c>
      <c r="E1011" s="211" t="str">
        <f>IFERROR(__xludf.DUMMYFUNCTION("""COMPUTED_VALUE"""),"Bpk. Joko (Gresik)")</f>
        <v>Bpk. Joko (Gresik)</v>
      </c>
      <c r="F1011" s="211" t="str">
        <f>IFERROR(__xludf.DUMMYFUNCTION("""COMPUTED_VALUE"""),"439cf836")</f>
        <v>439cf836</v>
      </c>
      <c r="G1011" s="211" t="str">
        <f>IFERROR(__xludf.DUMMYFUNCTION("""COMPUTED_VALUE"""),"Karbondioksida MR")</f>
        <v>Karbondioksida MR</v>
      </c>
      <c r="H1011" s="214" t="str">
        <f>IFERROR(__xludf.DUMMYFUNCTION("""COMPUTED_VALUE"""),"OUT")</f>
        <v>OUT</v>
      </c>
      <c r="I1011" s="214" t="str">
        <f>IFERROR(__xludf.DUMMYFUNCTION("""COMPUTED_VALUE"""),"NORMAL")</f>
        <v>NORMAL</v>
      </c>
      <c r="J1011" s="211">
        <f>IFERROR(__xludf.DUMMYFUNCTION("""COMPUTED_VALUE"""),1.0)</f>
        <v>1</v>
      </c>
      <c r="K1011" s="211"/>
      <c r="L1011" s="211">
        <f>IFERROR(__xludf.DUMMYFUNCTION("""COMPUTED_VALUE"""),160000.0)</f>
        <v>160000</v>
      </c>
      <c r="M1011" s="211"/>
      <c r="N1011" s="211"/>
      <c r="O1011" s="211"/>
      <c r="Q1011" s="210" t="str">
        <f>IFERROR(__xludf.DUMMYFUNCTION("""COMPUTED_VALUE"""),"e8a44877")</f>
        <v>e8a44877</v>
      </c>
      <c r="R1011" s="210" t="str">
        <f>IFERROR(__xludf.DUMMYFUNCTION("""COMPUTED_VALUE"""),"e8a44877")</f>
        <v>e8a44877</v>
      </c>
      <c r="S1011" s="211" t="str">
        <f>IFERROR(__xludf.DUMMYFUNCTION("""COMPUTED_VALUE"""),"b218b89b")</f>
        <v>b218b89b</v>
      </c>
      <c r="T1011" s="211" t="str">
        <f>IFERROR(__xludf.DUMMYFUNCTION("""COMPUTED_VALUE"""),"PT Harapan Sentosa")</f>
        <v>PT Harapan Sentosa</v>
      </c>
      <c r="U1011" s="215">
        <f>IFERROR(__xludf.DUMMYFUNCTION("""COMPUTED_VALUE"""),45855.46666666667)</f>
        <v>45855.46667</v>
      </c>
      <c r="V1011" s="211" t="str">
        <f>IFERROR(__xludf.DUMMYFUNCTION("""COMPUTED_VALUE"""),"Seketi, Jl. Purboyo II Selatan, RT.02/RW.02, Seketi, Kec. BalongBendo, Kabupaten Sidoarjo, Jawa Timur 61263")</f>
        <v>Seketi, Jl. Purboyo II Selatan, RT.02/RW.02, Seketi, Kec. BalongBendo, Kabupaten Sidoarjo, Jawa Timur 61263</v>
      </c>
      <c r="W1011" s="211" t="str">
        <f>IFERROR(__xludf.DUMMYFUNCTION("""COMPUTED_VALUE"""),"IN")</f>
        <v>IN</v>
      </c>
      <c r="X1011" s="211"/>
      <c r="Z1011" s="211" t="str">
        <f>IFERROR(__xludf.DUMMYFUNCTION("""COMPUTED_VALUE"""),"06250507")</f>
        <v>06250507</v>
      </c>
      <c r="AL1011" s="211"/>
      <c r="AM1011" s="211"/>
      <c r="AN1011" s="211"/>
      <c r="AO1011" s="211"/>
      <c r="AP1011" s="215"/>
      <c r="AQ1011" s="218"/>
      <c r="AR1011" s="211"/>
    </row>
    <row r="1012">
      <c r="A1012" s="210" t="str">
        <f>IFERROR(__xludf.DUMMYFUNCTION("""COMPUTED_VALUE"""),"05250414")</f>
        <v>05250414</v>
      </c>
      <c r="B1012" s="210" t="str">
        <f>IFERROR(__xludf.DUMMYFUNCTION("""COMPUTED_VALUE"""),"05250414")</f>
        <v>05250414</v>
      </c>
      <c r="C1012" s="213">
        <f>IFERROR(__xludf.DUMMYFUNCTION("""COMPUTED_VALUE"""),45784.407638888886)</f>
        <v>45784.40764</v>
      </c>
      <c r="D1012" s="211" t="str">
        <f>IFERROR(__xludf.DUMMYFUNCTION("""COMPUTED_VALUE"""),"e86baf3b")</f>
        <v>e86baf3b</v>
      </c>
      <c r="E1012" s="211" t="str">
        <f>IFERROR(__xludf.DUMMYFUNCTION("""COMPUTED_VALUE"""),"PT GEMILANG CIPTA WAWASAN")</f>
        <v>PT GEMILANG CIPTA WAWASAN</v>
      </c>
      <c r="F1012" s="211" t="str">
        <f>IFERROR(__xludf.DUMMYFUNCTION("""COMPUTED_VALUE"""),"66af7c72")</f>
        <v>66af7c72</v>
      </c>
      <c r="G1012" s="211" t="str">
        <f>IFERROR(__xludf.DUMMYFUNCTION("""COMPUTED_VALUE"""),"Argon 6m3")</f>
        <v>Argon 6m3</v>
      </c>
      <c r="H1012" s="214" t="str">
        <f>IFERROR(__xludf.DUMMYFUNCTION("""COMPUTED_VALUE"""),"OUT")</f>
        <v>OUT</v>
      </c>
      <c r="I1012" s="214" t="str">
        <f>IFERROR(__xludf.DUMMYFUNCTION("""COMPUTED_VALUE"""),"NORMAL")</f>
        <v>NORMAL</v>
      </c>
      <c r="J1012" s="211">
        <f>IFERROR(__xludf.DUMMYFUNCTION("""COMPUTED_VALUE"""),3.0)</f>
        <v>3</v>
      </c>
      <c r="K1012" s="210" t="str">
        <f>IFERROR(__xludf.DUMMYFUNCTION("""COMPUTED_VALUE"""),"12033 12034 12035")</f>
        <v>12033 12034 12035</v>
      </c>
      <c r="L1012" s="211">
        <f>IFERROR(__xludf.DUMMYFUNCTION("""COMPUTED_VALUE"""),185000.0)</f>
        <v>185000</v>
      </c>
      <c r="M1012" s="211"/>
      <c r="N1012" s="211"/>
      <c r="O1012" s="211"/>
      <c r="Q1012" s="210" t="str">
        <f>IFERROR(__xludf.DUMMYFUNCTION("""COMPUTED_VALUE"""),"07250584")</f>
        <v>07250584</v>
      </c>
      <c r="R1012" s="210" t="str">
        <f>IFERROR(__xludf.DUMMYFUNCTION("""COMPUTED_VALUE"""),"07250584")</f>
        <v>07250584</v>
      </c>
      <c r="S1012" s="211" t="str">
        <f>IFERROR(__xludf.DUMMYFUNCTION("""COMPUTED_VALUE"""),"785e0e07")</f>
        <v>785e0e07</v>
      </c>
      <c r="T1012" s="211" t="str">
        <f>IFERROR(__xludf.DUMMYFUNCTION("""COMPUTED_VALUE"""),"Bpk. Sukirno (Bejo)")</f>
        <v>Bpk. Sukirno (Bejo)</v>
      </c>
      <c r="U1012" s="215">
        <f>IFERROR(__xludf.DUMMYFUNCTION("""COMPUTED_VALUE"""),45856.45833333333)</f>
        <v>45856.45833</v>
      </c>
      <c r="V1012" s="211" t="str">
        <f>IFERROR(__xludf.DUMMYFUNCTION("""COMPUTED_VALUE"""),"Krajan I, Wringinanom, Kec. Wringinanom, Kabupaten Gresik, Jawa Timur 61176")</f>
        <v>Krajan I, Wringinanom, Kec. Wringinanom, Kabupaten Gresik, Jawa Timur 61176</v>
      </c>
      <c r="W1012" s="211" t="str">
        <f>IFERROR(__xludf.DUMMYFUNCTION("""COMPUTED_VALUE"""),"OUT")</f>
        <v>OUT</v>
      </c>
      <c r="X1012" s="211"/>
      <c r="Z1012" s="211" t="str">
        <f>IFERROR(__xludf.DUMMYFUNCTION("""COMPUTED_VALUE"""),"06250506")</f>
        <v>06250506</v>
      </c>
      <c r="AL1012" s="211"/>
      <c r="AM1012" s="211"/>
      <c r="AN1012" s="211"/>
      <c r="AO1012" s="211"/>
      <c r="AP1012" s="215"/>
      <c r="AQ1012" s="218"/>
      <c r="AR1012" s="211"/>
    </row>
    <row r="1013">
      <c r="A1013" s="210" t="str">
        <f>IFERROR(__xludf.DUMMYFUNCTION("""COMPUTED_VALUE"""),"05250415")</f>
        <v>05250415</v>
      </c>
      <c r="B1013" s="210" t="str">
        <f>IFERROR(__xludf.DUMMYFUNCTION("""COMPUTED_VALUE"""),"05250415")</f>
        <v>05250415</v>
      </c>
      <c r="C1013" s="213">
        <f>IFERROR(__xludf.DUMMYFUNCTION("""COMPUTED_VALUE"""),45784.40833333333)</f>
        <v>45784.40833</v>
      </c>
      <c r="D1013" s="211" t="str">
        <f>IFERROR(__xludf.DUMMYFUNCTION("""COMPUTED_VALUE"""),"ce83e171")</f>
        <v>ce83e171</v>
      </c>
      <c r="E1013" s="211" t="str">
        <f>IFERROR(__xludf.DUMMYFUNCTION("""COMPUTED_VALUE"""),"Bpk. Sulaiman")</f>
        <v>Bpk. Sulaiman</v>
      </c>
      <c r="F1013" s="211" t="str">
        <f>IFERROR(__xludf.DUMMYFUNCTION("""COMPUTED_VALUE"""),"f6aab7a9")</f>
        <v>f6aab7a9</v>
      </c>
      <c r="G1013" s="211" t="str">
        <f>IFERROR(__xludf.DUMMYFUNCTION("""COMPUTED_VALUE"""),"Oksigen 6m3 MR")</f>
        <v>Oksigen 6m3 MR</v>
      </c>
      <c r="H1013" s="214" t="str">
        <f>IFERROR(__xludf.DUMMYFUNCTION("""COMPUTED_VALUE"""),"OUT")</f>
        <v>OUT</v>
      </c>
      <c r="I1013" s="214" t="str">
        <f>IFERROR(__xludf.DUMMYFUNCTION("""COMPUTED_VALUE"""),"NORMAL")</f>
        <v>NORMAL</v>
      </c>
      <c r="J1013" s="211">
        <f>IFERROR(__xludf.DUMMYFUNCTION("""COMPUTED_VALUE"""),1.0)</f>
        <v>1</v>
      </c>
      <c r="K1013" s="211"/>
      <c r="L1013" s="211">
        <f>IFERROR(__xludf.DUMMYFUNCTION("""COMPUTED_VALUE"""),55000.0)</f>
        <v>55000</v>
      </c>
      <c r="M1013" s="211"/>
      <c r="N1013" s="211"/>
      <c r="O1013" s="211"/>
      <c r="Q1013" s="210" t="str">
        <f>IFERROR(__xludf.DUMMYFUNCTION("""COMPUTED_VALUE"""),"db3a787e")</f>
        <v>db3a787e</v>
      </c>
      <c r="R1013" s="210" t="str">
        <f>IFERROR(__xludf.DUMMYFUNCTION("""COMPUTED_VALUE"""),"db3a787e")</f>
        <v>db3a787e</v>
      </c>
      <c r="S1013" s="211" t="str">
        <f>IFERROR(__xludf.DUMMYFUNCTION("""COMPUTED_VALUE"""),"8f5ebaea")</f>
        <v>8f5ebaea</v>
      </c>
      <c r="T1013" s="211" t="str">
        <f>IFERROR(__xludf.DUMMYFUNCTION("""COMPUTED_VALUE"""),"PT Hua Zong Mesindo")</f>
        <v>PT Hua Zong Mesindo</v>
      </c>
      <c r="U1013" s="215">
        <f>IFERROR(__xludf.DUMMYFUNCTION("""COMPUTED_VALUE"""),45856.4625)</f>
        <v>45856.4625</v>
      </c>
      <c r="V1013" s="211" t="str">
        <f>IFERROR(__xludf.DUMMYFUNCTION("""COMPUTED_VALUE"""),"Jl. Bypass Krian, Sidotemo, Sidomulyo, Kec. Krian, Kabupaten Sidoarjo, Jawa Timur 61262")</f>
        <v>Jl. Bypass Krian, Sidotemo, Sidomulyo, Kec. Krian, Kabupaten Sidoarjo, Jawa Timur 61262</v>
      </c>
      <c r="W1013" s="211" t="str">
        <f>IFERROR(__xludf.DUMMYFUNCTION("""COMPUTED_VALUE"""),"IN")</f>
        <v>IN</v>
      </c>
      <c r="X1013" s="211"/>
      <c r="Z1013" s="211" t="str">
        <f>IFERROR(__xludf.DUMMYFUNCTION("""COMPUTED_VALUE"""),"06250505")</f>
        <v>06250505</v>
      </c>
      <c r="AL1013" s="211"/>
      <c r="AM1013" s="211"/>
      <c r="AN1013" s="211"/>
      <c r="AO1013" s="211"/>
      <c r="AP1013" s="215"/>
      <c r="AQ1013" s="218"/>
      <c r="AR1013" s="211"/>
    </row>
    <row r="1014">
      <c r="A1014" s="210" t="str">
        <f>IFERROR(__xludf.DUMMYFUNCTION("""COMPUTED_VALUE"""),"05250416")</f>
        <v>05250416</v>
      </c>
      <c r="B1014" s="210" t="str">
        <f>IFERROR(__xludf.DUMMYFUNCTION("""COMPUTED_VALUE"""),"05250416")</f>
        <v>05250416</v>
      </c>
      <c r="C1014" s="213">
        <f>IFERROR(__xludf.DUMMYFUNCTION("""COMPUTED_VALUE"""),45784.45972222222)</f>
        <v>45784.45972</v>
      </c>
      <c r="D1014" s="211" t="str">
        <f>IFERROR(__xludf.DUMMYFUNCTION("""COMPUTED_VALUE"""),"dcdf8b31")</f>
        <v>dcdf8b31</v>
      </c>
      <c r="E1014" s="211" t="str">
        <f>IFERROR(__xludf.DUMMYFUNCTION("""COMPUTED_VALUE"""),"Bpk. Samsul (Jetis)")</f>
        <v>Bpk. Samsul (Jetis)</v>
      </c>
      <c r="F1014" s="211" t="str">
        <f>IFERROR(__xludf.DUMMYFUNCTION("""COMPUTED_VALUE"""),"7d2764f1")</f>
        <v>7d2764f1</v>
      </c>
      <c r="G1014" s="211" t="str">
        <f>IFERROR(__xludf.DUMMYFUNCTION("""COMPUTED_VALUE"""),"Oksigen 7m3")</f>
        <v>Oksigen 7m3</v>
      </c>
      <c r="H1014" s="214" t="str">
        <f>IFERROR(__xludf.DUMMYFUNCTION("""COMPUTED_VALUE"""),"OUT")</f>
        <v>OUT</v>
      </c>
      <c r="I1014" s="214" t="str">
        <f>IFERROR(__xludf.DUMMYFUNCTION("""COMPUTED_VALUE"""),"NORMAL")</f>
        <v>NORMAL</v>
      </c>
      <c r="J1014" s="211">
        <f>IFERROR(__xludf.DUMMYFUNCTION("""COMPUTED_VALUE"""),2.0)</f>
        <v>2</v>
      </c>
      <c r="K1014" s="210" t="str">
        <f>IFERROR(__xludf.DUMMYFUNCTION("""COMPUTED_VALUE"""),"11223 11227")</f>
        <v>11223 11227</v>
      </c>
      <c r="L1014" s="211">
        <f>IFERROR(__xludf.DUMMYFUNCTION("""COMPUTED_VALUE"""),75000.0)</f>
        <v>75000</v>
      </c>
      <c r="M1014" s="211"/>
      <c r="N1014" s="211"/>
      <c r="O1014" s="211"/>
      <c r="Q1014" s="210" t="str">
        <f>IFERROR(__xludf.DUMMYFUNCTION("""COMPUTED_VALUE"""),"8f3c6b83")</f>
        <v>8f3c6b83</v>
      </c>
      <c r="R1014" s="210" t="str">
        <f>IFERROR(__xludf.DUMMYFUNCTION("""COMPUTED_VALUE"""),"8f3c6b83")</f>
        <v>8f3c6b83</v>
      </c>
      <c r="S1014" s="211" t="str">
        <f>IFERROR(__xludf.DUMMYFUNCTION("""COMPUTED_VALUE"""),"1bf27092")</f>
        <v>1bf27092</v>
      </c>
      <c r="T1014" s="211" t="str">
        <f>IFERROR(__xludf.DUMMYFUNCTION("""COMPUTED_VALUE"""),"Bpk. Ari Budiarto")</f>
        <v>Bpk. Ari Budiarto</v>
      </c>
      <c r="U1014" s="215">
        <f>IFERROR(__xludf.DUMMYFUNCTION("""COMPUTED_VALUE"""),45856.46319444444)</f>
        <v>45856.46319</v>
      </c>
      <c r="V1014" s="211" t="str">
        <f>IFERROR(__xludf.DUMMYFUNCTION("""COMPUTED_VALUE"""),"Jl. Raya Balongbendo 232, Bakalan, Bakalan Wringinpitu, Kec. BalongBendo, Kabupaten Sidoarjo, Jawa Timur 61263")</f>
        <v>Jl. Raya Balongbendo 232, Bakalan, Bakalan Wringinpitu, Kec. BalongBendo, Kabupaten Sidoarjo, Jawa Timur 61263</v>
      </c>
      <c r="W1014" s="211" t="str">
        <f>IFERROR(__xludf.DUMMYFUNCTION("""COMPUTED_VALUE"""),"IN")</f>
        <v>IN</v>
      </c>
      <c r="X1014" s="211"/>
      <c r="Z1014" s="211" t="str">
        <f>IFERROR(__xludf.DUMMYFUNCTION("""COMPUTED_VALUE"""),"06250504")</f>
        <v>06250504</v>
      </c>
      <c r="AL1014" s="211"/>
      <c r="AM1014" s="211"/>
      <c r="AN1014" s="211"/>
      <c r="AO1014" s="211"/>
      <c r="AP1014" s="215"/>
      <c r="AQ1014" s="218"/>
      <c r="AR1014" s="211"/>
    </row>
    <row r="1015">
      <c r="A1015" s="210" t="str">
        <f>IFERROR(__xludf.DUMMYFUNCTION("""COMPUTED_VALUE"""),"ac9d01fc")</f>
        <v>ac9d01fc</v>
      </c>
      <c r="B1015" s="210" t="str">
        <f>IFERROR(__xludf.DUMMYFUNCTION("""COMPUTED_VALUE"""),"ac9d01fc")</f>
        <v>ac9d01fc</v>
      </c>
      <c r="C1015" s="213">
        <f>IFERROR(__xludf.DUMMYFUNCTION("""COMPUTED_VALUE"""),45784.464583333334)</f>
        <v>45784.46458</v>
      </c>
      <c r="D1015" s="211" t="str">
        <f>IFERROR(__xludf.DUMMYFUNCTION("""COMPUTED_VALUE"""),"d78b2eaf")</f>
        <v>d78b2eaf</v>
      </c>
      <c r="E1015" s="211" t="str">
        <f>IFERROR(__xludf.DUMMYFUNCTION("""COMPUTED_VALUE"""),"PT Sinar Indogreen Kencana")</f>
        <v>PT Sinar Indogreen Kencana</v>
      </c>
      <c r="F1015" s="211" t="str">
        <f>IFERROR(__xludf.DUMMYFUNCTION("""COMPUTED_VALUE"""),"be525f3b")</f>
        <v>be525f3b</v>
      </c>
      <c r="G1015" s="211" t="str">
        <f>IFERROR(__xludf.DUMMYFUNCTION("""COMPUTED_VALUE"""),"LPG 12kg")</f>
        <v>LPG 12kg</v>
      </c>
      <c r="H1015" s="214" t="str">
        <f>IFERROR(__xludf.DUMMYFUNCTION("""COMPUTED_VALUE"""),"IN")</f>
        <v>IN</v>
      </c>
      <c r="I1015" s="214" t="str">
        <f>IFERROR(__xludf.DUMMYFUNCTION("""COMPUTED_VALUE"""),"EMPTY")</f>
        <v>EMPTY</v>
      </c>
      <c r="J1015" s="211">
        <f>IFERROR(__xludf.DUMMYFUNCTION("""COMPUTED_VALUE"""),1.0)</f>
        <v>1</v>
      </c>
      <c r="K1015" s="211"/>
      <c r="L1015" s="211">
        <f>IFERROR(__xludf.DUMMYFUNCTION("""COMPUTED_VALUE"""),0.0)</f>
        <v>0</v>
      </c>
      <c r="M1015" s="211"/>
      <c r="N1015" s="211"/>
      <c r="O1015" s="211"/>
      <c r="Q1015" s="210" t="str">
        <f>IFERROR(__xludf.DUMMYFUNCTION("""COMPUTED_VALUE"""),"2703945b")</f>
        <v>2703945b</v>
      </c>
      <c r="R1015" s="210" t="str">
        <f>IFERROR(__xludf.DUMMYFUNCTION("""COMPUTED_VALUE"""),"2703945b")</f>
        <v>2703945b</v>
      </c>
      <c r="S1015" s="211" t="str">
        <f>IFERROR(__xludf.DUMMYFUNCTION("""COMPUTED_VALUE"""),"785e0e07")</f>
        <v>785e0e07</v>
      </c>
      <c r="T1015" s="211" t="str">
        <f>IFERROR(__xludf.DUMMYFUNCTION("""COMPUTED_VALUE"""),"Bpk. Sukirno (Bejo)")</f>
        <v>Bpk. Sukirno (Bejo)</v>
      </c>
      <c r="U1015" s="215">
        <f>IFERROR(__xludf.DUMMYFUNCTION("""COMPUTED_VALUE"""),45856.669444444444)</f>
        <v>45856.66944</v>
      </c>
      <c r="V1015" s="211" t="str">
        <f>IFERROR(__xludf.DUMMYFUNCTION("""COMPUTED_VALUE"""),"Krajan I, Wringinanom, Kec. Wringinanom, Kabupaten Gresik, Jawa Timur 61176")</f>
        <v>Krajan I, Wringinanom, Kec. Wringinanom, Kabupaten Gresik, Jawa Timur 61176</v>
      </c>
      <c r="W1015" s="211" t="str">
        <f>IFERROR(__xludf.DUMMYFUNCTION("""COMPUTED_VALUE"""),"IN")</f>
        <v>IN</v>
      </c>
      <c r="X1015" s="211"/>
      <c r="Z1015" s="211" t="str">
        <f>IFERROR(__xludf.DUMMYFUNCTION("""COMPUTED_VALUE"""),"06250503")</f>
        <v>06250503</v>
      </c>
      <c r="AL1015" s="211"/>
      <c r="AM1015" s="211"/>
      <c r="AN1015" s="211"/>
      <c r="AO1015" s="211"/>
      <c r="AP1015" s="215"/>
      <c r="AQ1015" s="218"/>
      <c r="AR1015" s="211"/>
    </row>
    <row r="1016">
      <c r="A1016" s="210" t="str">
        <f>IFERROR(__xludf.DUMMYFUNCTION("""COMPUTED_VALUE"""),"94de42ac")</f>
        <v>94de42ac</v>
      </c>
      <c r="B1016" s="210" t="str">
        <f>IFERROR(__xludf.DUMMYFUNCTION("""COMPUTED_VALUE"""),"94de42ac")</f>
        <v>94de42ac</v>
      </c>
      <c r="C1016" s="213">
        <f>IFERROR(__xludf.DUMMYFUNCTION("""COMPUTED_VALUE"""),45784.464583333334)</f>
        <v>45784.46458</v>
      </c>
      <c r="D1016" s="211" t="str">
        <f>IFERROR(__xludf.DUMMYFUNCTION("""COMPUTED_VALUE"""),"8ea74d81")</f>
        <v>8ea74d81</v>
      </c>
      <c r="E1016" s="211" t="str">
        <f>IFERROR(__xludf.DUMMYFUNCTION("""COMPUTED_VALUE"""),"Bengkel Adi Putra")</f>
        <v>Bengkel Adi Putra</v>
      </c>
      <c r="F1016" s="211" t="str">
        <f>IFERROR(__xludf.DUMMYFUNCTION("""COMPUTED_VALUE"""),"8bdbe149")</f>
        <v>8bdbe149</v>
      </c>
      <c r="G1016" s="211" t="str">
        <f>IFERROR(__xludf.DUMMYFUNCTION("""COMPUTED_VALUE"""),"Oksigen 6m3")</f>
        <v>Oksigen 6m3</v>
      </c>
      <c r="H1016" s="214" t="str">
        <f>IFERROR(__xludf.DUMMYFUNCTION("""COMPUTED_VALUE"""),"IN")</f>
        <v>IN</v>
      </c>
      <c r="I1016" s="214" t="str">
        <f>IFERROR(__xludf.DUMMYFUNCTION("""COMPUTED_VALUE"""),"EMPTY")</f>
        <v>EMPTY</v>
      </c>
      <c r="J1016" s="211">
        <f>IFERROR(__xludf.DUMMYFUNCTION("""COMPUTED_VALUE"""),1.0)</f>
        <v>1</v>
      </c>
      <c r="K1016" s="210" t="str">
        <f>IFERROR(__xludf.DUMMYFUNCTION("""COMPUTED_VALUE"""),"11190")</f>
        <v>11190</v>
      </c>
      <c r="L1016" s="211">
        <f>IFERROR(__xludf.DUMMYFUNCTION("""COMPUTED_VALUE"""),0.0)</f>
        <v>0</v>
      </c>
      <c r="M1016" s="211"/>
      <c r="N1016" s="211"/>
      <c r="O1016" s="211"/>
      <c r="Q1016" s="210" t="str">
        <f>IFERROR(__xludf.DUMMYFUNCTION("""COMPUTED_VALUE"""),"07250585")</f>
        <v>07250585</v>
      </c>
      <c r="R1016" s="210" t="str">
        <f>IFERROR(__xludf.DUMMYFUNCTION("""COMPUTED_VALUE"""),"07250585")</f>
        <v>07250585</v>
      </c>
      <c r="S1016" s="211" t="str">
        <f>IFERROR(__xludf.DUMMYFUNCTION("""COMPUTED_VALUE"""),"b2b5f2c5")</f>
        <v>b2b5f2c5</v>
      </c>
      <c r="T1016" s="211" t="str">
        <f>IFERROR(__xludf.DUMMYFUNCTION("""COMPUTED_VALUE"""),"Bengkel Las Bpk. Ari")</f>
        <v>Bengkel Las Bpk. Ari</v>
      </c>
      <c r="U1016" s="215">
        <f>IFERROR(__xludf.DUMMYFUNCTION("""COMPUTED_VALUE"""),45859.39375)</f>
        <v>45859.39375</v>
      </c>
      <c r="V1016" s="211" t="str">
        <f>IFERROR(__xludf.DUMMYFUNCTION("""COMPUTED_VALUE"""),"Sumber Kembar, Wonodadi, Kec. Kutorejo, Kabupaten Mojokerto, Jawa Timur")</f>
        <v>Sumber Kembar, Wonodadi, Kec. Kutorejo, Kabupaten Mojokerto, Jawa Timur</v>
      </c>
      <c r="W1016" s="211" t="str">
        <f>IFERROR(__xludf.DUMMYFUNCTION("""COMPUTED_VALUE"""),"OUT")</f>
        <v>OUT</v>
      </c>
      <c r="X1016" s="211"/>
      <c r="Z1016" s="211" t="str">
        <f>IFERROR(__xludf.DUMMYFUNCTION("""COMPUTED_VALUE"""),"06250502")</f>
        <v>06250502</v>
      </c>
      <c r="AL1016" s="211"/>
      <c r="AM1016" s="211"/>
      <c r="AN1016" s="211"/>
      <c r="AO1016" s="211"/>
      <c r="AP1016" s="215"/>
      <c r="AQ1016" s="218"/>
      <c r="AR1016" s="211"/>
    </row>
    <row r="1017">
      <c r="A1017" s="210" t="str">
        <f>IFERROR(__xludf.DUMMYFUNCTION("""COMPUTED_VALUE"""),"b66b6981")</f>
        <v>b66b6981</v>
      </c>
      <c r="B1017" s="210" t="str">
        <f>IFERROR(__xludf.DUMMYFUNCTION("""COMPUTED_VALUE"""),"b66b6981")</f>
        <v>b66b6981</v>
      </c>
      <c r="C1017" s="213">
        <f>IFERROR(__xludf.DUMMYFUNCTION("""COMPUTED_VALUE"""),45784.58472222222)</f>
        <v>45784.58472</v>
      </c>
      <c r="D1017" s="211" t="str">
        <f>IFERROR(__xludf.DUMMYFUNCTION("""COMPUTED_VALUE"""),"e86baf3b")</f>
        <v>e86baf3b</v>
      </c>
      <c r="E1017" s="211" t="str">
        <f>IFERROR(__xludf.DUMMYFUNCTION("""COMPUTED_VALUE"""),"PT GEMILANG CIPTA WAWASAN")</f>
        <v>PT GEMILANG CIPTA WAWASAN</v>
      </c>
      <c r="F1017" s="211" t="str">
        <f>IFERROR(__xludf.DUMMYFUNCTION("""COMPUTED_VALUE"""),"ef306e54")</f>
        <v>ef306e54</v>
      </c>
      <c r="G1017" s="211" t="str">
        <f>IFERROR(__xludf.DUMMYFUNCTION("""COMPUTED_VALUE"""),"Karbondioksida")</f>
        <v>Karbondioksida</v>
      </c>
      <c r="H1017" s="214" t="str">
        <f>IFERROR(__xludf.DUMMYFUNCTION("""COMPUTED_VALUE"""),"IN")</f>
        <v>IN</v>
      </c>
      <c r="I1017" s="214" t="str">
        <f>IFERROR(__xludf.DUMMYFUNCTION("""COMPUTED_VALUE"""),"EMPTY")</f>
        <v>EMPTY</v>
      </c>
      <c r="J1017" s="211">
        <f>IFERROR(__xludf.DUMMYFUNCTION("""COMPUTED_VALUE"""),1.0)</f>
        <v>1</v>
      </c>
      <c r="K1017" s="210" t="str">
        <f>IFERROR(__xludf.DUMMYFUNCTION("""COMPUTED_VALUE"""),"6759")</f>
        <v>6759</v>
      </c>
      <c r="L1017" s="211">
        <f>IFERROR(__xludf.DUMMYFUNCTION("""COMPUTED_VALUE"""),0.0)</f>
        <v>0</v>
      </c>
      <c r="M1017" s="211"/>
      <c r="N1017" s="211"/>
      <c r="O1017" s="211"/>
      <c r="Q1017" s="210" t="str">
        <f>IFERROR(__xludf.DUMMYFUNCTION("""COMPUTED_VALUE"""),"07250586")</f>
        <v>07250586</v>
      </c>
      <c r="R1017" s="210" t="str">
        <f>IFERROR(__xludf.DUMMYFUNCTION("""COMPUTED_VALUE"""),"07250586")</f>
        <v>07250586</v>
      </c>
      <c r="S1017" s="211" t="str">
        <f>IFERROR(__xludf.DUMMYFUNCTION("""COMPUTED_VALUE"""),"182fb0fe")</f>
        <v>182fb0fe</v>
      </c>
      <c r="T1017" s="211" t="str">
        <f>IFERROR(__xludf.DUMMYFUNCTION("""COMPUTED_VALUE"""),"PT Amtech")</f>
        <v>PT Amtech</v>
      </c>
      <c r="U1017" s="215">
        <f>IFERROR(__xludf.DUMMYFUNCTION("""COMPUTED_VALUE"""),45859.39444444445)</f>
        <v>45859.39444</v>
      </c>
      <c r="V1017"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017" s="211" t="str">
        <f>IFERROR(__xludf.DUMMYFUNCTION("""COMPUTED_VALUE"""),"OUT")</f>
        <v>OUT</v>
      </c>
      <c r="X1017" s="211"/>
      <c r="Z1017" s="211" t="str">
        <f>IFERROR(__xludf.DUMMYFUNCTION("""COMPUTED_VALUE"""),"06250501")</f>
        <v>06250501</v>
      </c>
      <c r="AL1017" s="211"/>
      <c r="AM1017" s="211"/>
      <c r="AN1017" s="211"/>
      <c r="AO1017" s="211"/>
      <c r="AP1017" s="215"/>
      <c r="AQ1017" s="218"/>
      <c r="AR1017" s="211"/>
    </row>
    <row r="1018">
      <c r="A1018" s="210" t="str">
        <f>IFERROR(__xludf.DUMMYFUNCTION("""COMPUTED_VALUE"""),"05250413")</f>
        <v>05250413</v>
      </c>
      <c r="B1018" s="210" t="str">
        <f>IFERROR(__xludf.DUMMYFUNCTION("""COMPUTED_VALUE"""),"05250413")</f>
        <v>05250413</v>
      </c>
      <c r="C1018" s="213">
        <f>IFERROR(__xludf.DUMMYFUNCTION("""COMPUTED_VALUE"""),45785.35555555556)</f>
        <v>45785.35556</v>
      </c>
      <c r="D1018" s="211" t="str">
        <f>IFERROR(__xludf.DUMMYFUNCTION("""COMPUTED_VALUE"""),"5f23ba17")</f>
        <v>5f23ba17</v>
      </c>
      <c r="E1018" s="211" t="str">
        <f>IFERROR(__xludf.DUMMYFUNCTION("""COMPUTED_VALUE"""),"Bpk. Joko (Gresik)")</f>
        <v>Bpk. Joko (Gresik)</v>
      </c>
      <c r="F1018" s="211" t="str">
        <f>IFERROR(__xludf.DUMMYFUNCTION("""COMPUTED_VALUE"""),"93c00077")</f>
        <v>93c00077</v>
      </c>
      <c r="G1018" s="211" t="str">
        <f>IFERROR(__xludf.DUMMYFUNCTION("""COMPUTED_VALUE"""),"Valve CO2")</f>
        <v>Valve CO2</v>
      </c>
      <c r="H1018" s="214" t="str">
        <f>IFERROR(__xludf.DUMMYFUNCTION("""COMPUTED_VALUE"""),"OUT")</f>
        <v>OUT</v>
      </c>
      <c r="I1018" s="214" t="str">
        <f>IFERROR(__xludf.DUMMYFUNCTION("""COMPUTED_VALUE"""),"NORMAL")</f>
        <v>NORMAL</v>
      </c>
      <c r="J1018" s="211">
        <f>IFERROR(__xludf.DUMMYFUNCTION("""COMPUTED_VALUE"""),1.0)</f>
        <v>1</v>
      </c>
      <c r="K1018" s="211"/>
      <c r="L1018" s="211">
        <f>IFERROR(__xludf.DUMMYFUNCTION("""COMPUTED_VALUE"""),200000.0)</f>
        <v>200000</v>
      </c>
      <c r="M1018" s="211"/>
      <c r="N1018" s="211"/>
      <c r="O1018" s="211"/>
      <c r="Q1018" s="210" t="str">
        <f>IFERROR(__xludf.DUMMYFUNCTION("""COMPUTED_VALUE"""),"07250588")</f>
        <v>07250588</v>
      </c>
      <c r="R1018" s="210" t="str">
        <f>IFERROR(__xludf.DUMMYFUNCTION("""COMPUTED_VALUE"""),"07250588")</f>
        <v>07250588</v>
      </c>
      <c r="S1018" s="211" t="str">
        <f>IFERROR(__xludf.DUMMYFUNCTION("""COMPUTED_VALUE"""),"196b24da")</f>
        <v>196b24da</v>
      </c>
      <c r="T1018" s="211" t="str">
        <f>IFERROR(__xludf.DUMMYFUNCTION("""COMPUTED_VALUE"""),"PT Samudra Cipta Enjineering")</f>
        <v>PT Samudra Cipta Enjineering</v>
      </c>
      <c r="U1018" s="215">
        <f>IFERROR(__xludf.DUMMYFUNCTION("""COMPUTED_VALUE"""),45859.39722222222)</f>
        <v>45859.39722</v>
      </c>
      <c r="V1018" s="211" t="str">
        <f>IFERROR(__xludf.DUMMYFUNCTION("""COMPUTED_VALUE"""),"Pergudangan Center Point Blok C4   Ds. Kemangsen  Balongbendo")</f>
        <v>Pergudangan Center Point Blok C4   Ds. Kemangsen  Balongbendo</v>
      </c>
      <c r="W1018" s="211" t="str">
        <f>IFERROR(__xludf.DUMMYFUNCTION("""COMPUTED_VALUE"""),"OUT")</f>
        <v>OUT</v>
      </c>
      <c r="X1018" s="211"/>
      <c r="Z1018" s="211" t="str">
        <f>IFERROR(__xludf.DUMMYFUNCTION("""COMPUTED_VALUE"""),"06250499")</f>
        <v>06250499</v>
      </c>
      <c r="AL1018" s="211"/>
      <c r="AM1018" s="211"/>
      <c r="AN1018" s="211"/>
      <c r="AO1018" s="211"/>
      <c r="AP1018" s="215"/>
      <c r="AQ1018" s="218"/>
      <c r="AR1018" s="211"/>
    </row>
    <row r="1019">
      <c r="A1019" s="210" t="str">
        <f>IFERROR(__xludf.DUMMYFUNCTION("""COMPUTED_VALUE"""),"5bc29106")</f>
        <v>5bc29106</v>
      </c>
      <c r="B1019" s="210" t="str">
        <f>IFERROR(__xludf.DUMMYFUNCTION("""COMPUTED_VALUE"""),"5bc29106")</f>
        <v>5bc29106</v>
      </c>
      <c r="C1019" s="213">
        <f>IFERROR(__xludf.DUMMYFUNCTION("""COMPUTED_VALUE"""),45785.46944444445)</f>
        <v>45785.46944</v>
      </c>
      <c r="D1019" s="211" t="str">
        <f>IFERROR(__xludf.DUMMYFUNCTION("""COMPUTED_VALUE"""),"785e0e07")</f>
        <v>785e0e07</v>
      </c>
      <c r="E1019" s="211" t="str">
        <f>IFERROR(__xludf.DUMMYFUNCTION("""COMPUTED_VALUE"""),"Bpk. Sukirno (Bejo)")</f>
        <v>Bpk. Sukirno (Bejo)</v>
      </c>
      <c r="F1019" s="211" t="str">
        <f>IFERROR(__xludf.DUMMYFUNCTION("""COMPUTED_VALUE"""),"8bdbe149")</f>
        <v>8bdbe149</v>
      </c>
      <c r="G1019" s="211" t="str">
        <f>IFERROR(__xludf.DUMMYFUNCTION("""COMPUTED_VALUE"""),"Oksigen 6m3")</f>
        <v>Oksigen 6m3</v>
      </c>
      <c r="H1019" s="214" t="str">
        <f>IFERROR(__xludf.DUMMYFUNCTION("""COMPUTED_VALUE"""),"IN")</f>
        <v>IN</v>
      </c>
      <c r="I1019" s="214" t="str">
        <f>IFERROR(__xludf.DUMMYFUNCTION("""COMPUTED_VALUE"""),"EMPTY")</f>
        <v>EMPTY</v>
      </c>
      <c r="J1019" s="211">
        <f>IFERROR(__xludf.DUMMYFUNCTION("""COMPUTED_VALUE"""),6.0)</f>
        <v>6</v>
      </c>
      <c r="K1019" s="210" t="str">
        <f>IFERROR(__xludf.DUMMYFUNCTION("""COMPUTED_VALUE"""),"11178 11185 11183 11212 11292 11153")</f>
        <v>11178 11185 11183 11212 11292 11153</v>
      </c>
      <c r="L1019" s="211">
        <f>IFERROR(__xludf.DUMMYFUNCTION("""COMPUTED_VALUE"""),0.0)</f>
        <v>0</v>
      </c>
      <c r="M1019" s="211"/>
      <c r="N1019" s="211"/>
      <c r="O1019" s="211"/>
      <c r="Q1019" s="210" t="str">
        <f>IFERROR(__xludf.DUMMYFUNCTION("""COMPUTED_VALUE"""),"07250589")</f>
        <v>07250589</v>
      </c>
      <c r="R1019" s="210" t="str">
        <f>IFERROR(__xludf.DUMMYFUNCTION("""COMPUTED_VALUE"""),"07250589")</f>
        <v>07250589</v>
      </c>
      <c r="S1019" s="211" t="str">
        <f>IFERROR(__xludf.DUMMYFUNCTION("""COMPUTED_VALUE"""),"17a8e612")</f>
        <v>17a8e612</v>
      </c>
      <c r="T1019" s="211" t="str">
        <f>IFERROR(__xludf.DUMMYFUNCTION("""COMPUTED_VALUE"""),"Flashtech Machinery")</f>
        <v>Flashtech Machinery</v>
      </c>
      <c r="U1019" s="215">
        <f>IFERROR(__xludf.DUMMYFUNCTION("""COMPUTED_VALUE"""),45859.47361111111)</f>
        <v>45859.47361</v>
      </c>
      <c r="V1019" s="211" t="str">
        <f>IFERROR(__xludf.DUMMYFUNCTION("""COMPUTED_VALUE"""),"Pergudangan Point Center blok A no.4, Kemangsen")</f>
        <v>Pergudangan Point Center blok A no.4, Kemangsen</v>
      </c>
      <c r="W1019" s="211" t="str">
        <f>IFERROR(__xludf.DUMMYFUNCTION("""COMPUTED_VALUE"""),"OUT")</f>
        <v>OUT</v>
      </c>
      <c r="X1019" s="211"/>
      <c r="Z1019" s="211" t="str">
        <f>IFERROR(__xludf.DUMMYFUNCTION("""COMPUTED_VALUE"""),"06250498")</f>
        <v>06250498</v>
      </c>
      <c r="AL1019" s="211"/>
      <c r="AM1019" s="211"/>
      <c r="AN1019" s="211"/>
      <c r="AO1019" s="211"/>
      <c r="AP1019" s="215"/>
      <c r="AQ1019" s="218"/>
      <c r="AR1019" s="211"/>
    </row>
    <row r="1020">
      <c r="A1020" s="210" t="str">
        <f>IFERROR(__xludf.DUMMYFUNCTION("""COMPUTED_VALUE"""),"66ee3459")</f>
        <v>66ee3459</v>
      </c>
      <c r="B1020" s="210" t="str">
        <f>IFERROR(__xludf.DUMMYFUNCTION("""COMPUTED_VALUE"""),"66ee3459")</f>
        <v>66ee3459</v>
      </c>
      <c r="C1020" s="213">
        <f>IFERROR(__xludf.DUMMYFUNCTION("""COMPUTED_VALUE"""),45785.657638888886)</f>
        <v>45785.65764</v>
      </c>
      <c r="D1020" s="211" t="str">
        <f>IFERROR(__xludf.DUMMYFUNCTION("""COMPUTED_VALUE"""),"ed2cc96a")</f>
        <v>ed2cc96a</v>
      </c>
      <c r="E1020" s="211" t="str">
        <f>IFERROR(__xludf.DUMMYFUNCTION("""COMPUTED_VALUE"""),"Bengkel Dian Jaya")</f>
        <v>Bengkel Dian Jaya</v>
      </c>
      <c r="F1020" s="211" t="str">
        <f>IFERROR(__xludf.DUMMYFUNCTION("""COMPUTED_VALUE"""),"8bdbe149")</f>
        <v>8bdbe149</v>
      </c>
      <c r="G1020" s="211" t="str">
        <f>IFERROR(__xludf.DUMMYFUNCTION("""COMPUTED_VALUE"""),"Oksigen 6m3")</f>
        <v>Oksigen 6m3</v>
      </c>
      <c r="H1020" s="214" t="str">
        <f>IFERROR(__xludf.DUMMYFUNCTION("""COMPUTED_VALUE"""),"IN")</f>
        <v>IN</v>
      </c>
      <c r="I1020" s="214" t="str">
        <f>IFERROR(__xludf.DUMMYFUNCTION("""COMPUTED_VALUE"""),"EMPTY")</f>
        <v>EMPTY</v>
      </c>
      <c r="J1020" s="211">
        <f>IFERROR(__xludf.DUMMYFUNCTION("""COMPUTED_VALUE"""),5.0)</f>
        <v>5</v>
      </c>
      <c r="K1020" s="210" t="str">
        <f>IFERROR(__xludf.DUMMYFUNCTION("""COMPUTED_VALUE"""),"11114 11121 1173 11194 11128")</f>
        <v>11114 11121 1173 11194 11128</v>
      </c>
      <c r="L1020" s="211">
        <f>IFERROR(__xludf.DUMMYFUNCTION("""COMPUTED_VALUE"""),0.0)</f>
        <v>0</v>
      </c>
      <c r="M1020" s="211"/>
      <c r="N1020" s="211"/>
      <c r="O1020" s="211"/>
      <c r="Q1020" s="210" t="str">
        <f>IFERROR(__xludf.DUMMYFUNCTION("""COMPUTED_VALUE"""),"3a2456c3")</f>
        <v>3a2456c3</v>
      </c>
      <c r="R1020" s="210" t="str">
        <f>IFERROR(__xludf.DUMMYFUNCTION("""COMPUTED_VALUE"""),"3a2456c3")</f>
        <v>3a2456c3</v>
      </c>
      <c r="S1020" s="211" t="str">
        <f>IFERROR(__xludf.DUMMYFUNCTION("""COMPUTED_VALUE"""),"5f23ba17")</f>
        <v>5f23ba17</v>
      </c>
      <c r="T1020" s="211" t="str">
        <f>IFERROR(__xludf.DUMMYFUNCTION("""COMPUTED_VALUE"""),"Bpk. Joko (Gresik)")</f>
        <v>Bpk. Joko (Gresik)</v>
      </c>
      <c r="U1020" s="215">
        <f>IFERROR(__xludf.DUMMYFUNCTION("""COMPUTED_VALUE"""),45859.47777777778)</f>
        <v>45859.47778</v>
      </c>
      <c r="V1020" s="211" t="str">
        <f>IFERROR(__xludf.DUMMYFUNCTION("""COMPUTED_VALUE"""),"Tanggungan, Lebaniwaras, Kec. Wringinanom, Kabupaten Gresik, Jawa Timur")</f>
        <v>Tanggungan, Lebaniwaras, Kec. Wringinanom, Kabupaten Gresik, Jawa Timur</v>
      </c>
      <c r="W1020" s="211" t="str">
        <f>IFERROR(__xludf.DUMMYFUNCTION("""COMPUTED_VALUE"""),"IN")</f>
        <v>IN</v>
      </c>
      <c r="X1020" s="211"/>
      <c r="Z1020" s="211" t="str">
        <f>IFERROR(__xludf.DUMMYFUNCTION("""COMPUTED_VALUE"""),"06250496")</f>
        <v>06250496</v>
      </c>
      <c r="AL1020" s="211"/>
      <c r="AM1020" s="211"/>
      <c r="AN1020" s="211"/>
      <c r="AO1020" s="211"/>
      <c r="AP1020" s="215"/>
      <c r="AQ1020" s="218"/>
      <c r="AR1020" s="211"/>
    </row>
    <row r="1021">
      <c r="A1021" s="210" t="str">
        <f>IFERROR(__xludf.DUMMYFUNCTION("""COMPUTED_VALUE"""),"66ee3459")</f>
        <v>66ee3459</v>
      </c>
      <c r="B1021" s="210" t="str">
        <f>IFERROR(__xludf.DUMMYFUNCTION("""COMPUTED_VALUE"""),"66ee3459")</f>
        <v>66ee3459</v>
      </c>
      <c r="C1021" s="213">
        <f>IFERROR(__xludf.DUMMYFUNCTION("""COMPUTED_VALUE"""),45785.65833333333)</f>
        <v>45785.65833</v>
      </c>
      <c r="D1021" s="211" t="str">
        <f>IFERROR(__xludf.DUMMYFUNCTION("""COMPUTED_VALUE"""),"ed2cc96a")</f>
        <v>ed2cc96a</v>
      </c>
      <c r="E1021" s="211" t="str">
        <f>IFERROR(__xludf.DUMMYFUNCTION("""COMPUTED_VALUE"""),"Bengkel Dian Jaya")</f>
        <v>Bengkel Dian Jaya</v>
      </c>
      <c r="F1021" s="211" t="str">
        <f>IFERROR(__xludf.DUMMYFUNCTION("""COMPUTED_VALUE"""),"be525f3b")</f>
        <v>be525f3b</v>
      </c>
      <c r="G1021" s="211" t="str">
        <f>IFERROR(__xludf.DUMMYFUNCTION("""COMPUTED_VALUE"""),"LPG 12kg")</f>
        <v>LPG 12kg</v>
      </c>
      <c r="H1021" s="214" t="str">
        <f>IFERROR(__xludf.DUMMYFUNCTION("""COMPUTED_VALUE"""),"IN")</f>
        <v>IN</v>
      </c>
      <c r="I1021" s="214" t="str">
        <f>IFERROR(__xludf.DUMMYFUNCTION("""COMPUTED_VALUE"""),"EMPTY")</f>
        <v>EMPTY</v>
      </c>
      <c r="J1021" s="211">
        <f>IFERROR(__xludf.DUMMYFUNCTION("""COMPUTED_VALUE"""),2.0)</f>
        <v>2</v>
      </c>
      <c r="K1021" s="211"/>
      <c r="L1021" s="211">
        <f>IFERROR(__xludf.DUMMYFUNCTION("""COMPUTED_VALUE"""),0.0)</f>
        <v>0</v>
      </c>
      <c r="M1021" s="211"/>
      <c r="N1021" s="211"/>
      <c r="O1021" s="211"/>
      <c r="Q1021" s="210" t="str">
        <f>IFERROR(__xludf.DUMMYFUNCTION("""COMPUTED_VALUE"""),"a98ec2eb")</f>
        <v>a98ec2eb</v>
      </c>
      <c r="R1021" s="210" t="str">
        <f>IFERROR(__xludf.DUMMYFUNCTION("""COMPUTED_VALUE"""),"a98ec2eb")</f>
        <v>a98ec2eb</v>
      </c>
      <c r="S1021" s="211" t="str">
        <f>IFERROR(__xludf.DUMMYFUNCTION("""COMPUTED_VALUE"""),"b2b5f2c5")</f>
        <v>b2b5f2c5</v>
      </c>
      <c r="T1021" s="211" t="str">
        <f>IFERROR(__xludf.DUMMYFUNCTION("""COMPUTED_VALUE"""),"Bengkel Las Bpk. Ari")</f>
        <v>Bengkel Las Bpk. Ari</v>
      </c>
      <c r="U1021" s="215">
        <f>IFERROR(__xludf.DUMMYFUNCTION("""COMPUTED_VALUE"""),45859.478472222225)</f>
        <v>45859.47847</v>
      </c>
      <c r="V1021" s="211" t="str">
        <f>IFERROR(__xludf.DUMMYFUNCTION("""COMPUTED_VALUE"""),"Sumber Kembar, Wonodadi, Kec. Kutorejo, Kabupaten Mojokerto, Jawa Timur")</f>
        <v>Sumber Kembar, Wonodadi, Kec. Kutorejo, Kabupaten Mojokerto, Jawa Timur</v>
      </c>
      <c r="W1021" s="211" t="str">
        <f>IFERROR(__xludf.DUMMYFUNCTION("""COMPUTED_VALUE"""),"IN")</f>
        <v>IN</v>
      </c>
      <c r="X1021" s="211"/>
      <c r="Z1021" s="211" t="str">
        <f>IFERROR(__xludf.DUMMYFUNCTION("""COMPUTED_VALUE"""),"06250494")</f>
        <v>06250494</v>
      </c>
      <c r="AL1021" s="211"/>
      <c r="AM1021" s="211"/>
      <c r="AN1021" s="211"/>
      <c r="AO1021" s="211"/>
      <c r="AP1021" s="215"/>
      <c r="AQ1021" s="218"/>
      <c r="AR1021" s="211"/>
    </row>
    <row r="1022">
      <c r="A1022" s="210" t="str">
        <f>IFERROR(__xludf.DUMMYFUNCTION("""COMPUTED_VALUE"""),"05250418")</f>
        <v>05250418</v>
      </c>
      <c r="B1022" s="210" t="str">
        <f>IFERROR(__xludf.DUMMYFUNCTION("""COMPUTED_VALUE"""),"05250418")</f>
        <v>05250418</v>
      </c>
      <c r="C1022" s="213">
        <f>IFERROR(__xludf.DUMMYFUNCTION("""COMPUTED_VALUE"""),45786.33819444444)</f>
        <v>45786.33819</v>
      </c>
      <c r="D1022" s="211" t="str">
        <f>IFERROR(__xludf.DUMMYFUNCTION("""COMPUTED_VALUE"""),"ed2cc96a")</f>
        <v>ed2cc96a</v>
      </c>
      <c r="E1022" s="211" t="str">
        <f>IFERROR(__xludf.DUMMYFUNCTION("""COMPUTED_VALUE"""),"Bengkel Dian Jaya")</f>
        <v>Bengkel Dian Jaya</v>
      </c>
      <c r="F1022" s="211" t="str">
        <f>IFERROR(__xludf.DUMMYFUNCTION("""COMPUTED_VALUE"""),"8bdbe149")</f>
        <v>8bdbe149</v>
      </c>
      <c r="G1022" s="211" t="str">
        <f>IFERROR(__xludf.DUMMYFUNCTION("""COMPUTED_VALUE"""),"Oksigen 6m3")</f>
        <v>Oksigen 6m3</v>
      </c>
      <c r="H1022" s="214" t="str">
        <f>IFERROR(__xludf.DUMMYFUNCTION("""COMPUTED_VALUE"""),"OUT")</f>
        <v>OUT</v>
      </c>
      <c r="I1022" s="214" t="str">
        <f>IFERROR(__xludf.DUMMYFUNCTION("""COMPUTED_VALUE"""),"NORMAL")</f>
        <v>NORMAL</v>
      </c>
      <c r="J1022" s="211">
        <f>IFERROR(__xludf.DUMMYFUNCTION("""COMPUTED_VALUE"""),5.0)</f>
        <v>5</v>
      </c>
      <c r="K1022" s="210" t="str">
        <f>IFERROR(__xludf.DUMMYFUNCTION("""COMPUTED_VALUE"""),"11101 11203 11189 11122 1192")</f>
        <v>11101 11203 11189 11122 1192</v>
      </c>
      <c r="L1022" s="211">
        <f>IFERROR(__xludf.DUMMYFUNCTION("""COMPUTED_VALUE"""),50000.0)</f>
        <v>50000</v>
      </c>
      <c r="M1022" s="211"/>
      <c r="N1022" s="211"/>
      <c r="O1022" s="211"/>
      <c r="Q1022" s="210" t="str">
        <f>IFERROR(__xludf.DUMMYFUNCTION("""COMPUTED_VALUE"""),"849d7a3f")</f>
        <v>849d7a3f</v>
      </c>
      <c r="R1022" s="210" t="str">
        <f>IFERROR(__xludf.DUMMYFUNCTION("""COMPUTED_VALUE"""),"849d7a3f")</f>
        <v>849d7a3f</v>
      </c>
      <c r="S1022" s="211" t="str">
        <f>IFERROR(__xludf.DUMMYFUNCTION("""COMPUTED_VALUE"""),"17a8e612")</f>
        <v>17a8e612</v>
      </c>
      <c r="T1022" s="211" t="str">
        <f>IFERROR(__xludf.DUMMYFUNCTION("""COMPUTED_VALUE"""),"Flashtech Machinery")</f>
        <v>Flashtech Machinery</v>
      </c>
      <c r="U1022" s="215">
        <f>IFERROR(__xludf.DUMMYFUNCTION("""COMPUTED_VALUE"""),45859.492361111115)</f>
        <v>45859.49236</v>
      </c>
      <c r="V1022" s="211" t="str">
        <f>IFERROR(__xludf.DUMMYFUNCTION("""COMPUTED_VALUE"""),"Pergudangan Point Center blok A no.4, Kemangsen")</f>
        <v>Pergudangan Point Center blok A no.4, Kemangsen</v>
      </c>
      <c r="W1022" s="211" t="str">
        <f>IFERROR(__xludf.DUMMYFUNCTION("""COMPUTED_VALUE"""),"IN")</f>
        <v>IN</v>
      </c>
      <c r="X1022" s="211"/>
      <c r="Z1022" s="211" t="str">
        <f>IFERROR(__xludf.DUMMYFUNCTION("""COMPUTED_VALUE"""),"06250492")</f>
        <v>06250492</v>
      </c>
      <c r="AL1022" s="211"/>
      <c r="AM1022" s="211"/>
      <c r="AN1022" s="211"/>
      <c r="AO1022" s="211"/>
      <c r="AP1022" s="215"/>
      <c r="AQ1022" s="218"/>
      <c r="AR1022" s="211"/>
    </row>
    <row r="1023">
      <c r="A1023" s="210" t="str">
        <f>IFERROR(__xludf.DUMMYFUNCTION("""COMPUTED_VALUE"""),"05250418")</f>
        <v>05250418</v>
      </c>
      <c r="B1023" s="210" t="str">
        <f>IFERROR(__xludf.DUMMYFUNCTION("""COMPUTED_VALUE"""),"05250418")</f>
        <v>05250418</v>
      </c>
      <c r="C1023" s="213">
        <f>IFERROR(__xludf.DUMMYFUNCTION("""COMPUTED_VALUE"""),45786.33819444444)</f>
        <v>45786.33819</v>
      </c>
      <c r="D1023" s="211" t="str">
        <f>IFERROR(__xludf.DUMMYFUNCTION("""COMPUTED_VALUE"""),"ed2cc96a")</f>
        <v>ed2cc96a</v>
      </c>
      <c r="E1023" s="211" t="str">
        <f>IFERROR(__xludf.DUMMYFUNCTION("""COMPUTED_VALUE"""),"Bengkel Dian Jaya")</f>
        <v>Bengkel Dian Jaya</v>
      </c>
      <c r="F1023" s="211" t="str">
        <f>IFERROR(__xludf.DUMMYFUNCTION("""COMPUTED_VALUE"""),"be525f3b")</f>
        <v>be525f3b</v>
      </c>
      <c r="G1023" s="211" t="str">
        <f>IFERROR(__xludf.DUMMYFUNCTION("""COMPUTED_VALUE"""),"LPG 12kg")</f>
        <v>LPG 12kg</v>
      </c>
      <c r="H1023" s="214" t="str">
        <f>IFERROR(__xludf.DUMMYFUNCTION("""COMPUTED_VALUE"""),"OUT")</f>
        <v>OUT</v>
      </c>
      <c r="I1023" s="214" t="str">
        <f>IFERROR(__xludf.DUMMYFUNCTION("""COMPUTED_VALUE"""),"NORMAL")</f>
        <v>NORMAL</v>
      </c>
      <c r="J1023" s="211">
        <f>IFERROR(__xludf.DUMMYFUNCTION("""COMPUTED_VALUE"""),2.0)</f>
        <v>2</v>
      </c>
      <c r="K1023" s="211"/>
      <c r="L1023" s="211">
        <f>IFERROR(__xludf.DUMMYFUNCTION("""COMPUTED_VALUE"""),215000.0)</f>
        <v>215000</v>
      </c>
      <c r="M1023" s="211"/>
      <c r="N1023" s="211"/>
      <c r="O1023" s="211"/>
      <c r="Q1023" s="210" t="str">
        <f>IFERROR(__xludf.DUMMYFUNCTION("""COMPUTED_VALUE"""),"a4f29488")</f>
        <v>a4f29488</v>
      </c>
      <c r="R1023" s="210" t="str">
        <f>IFERROR(__xludf.DUMMYFUNCTION("""COMPUTED_VALUE"""),"a4f29488")</f>
        <v>a4f29488</v>
      </c>
      <c r="S1023" s="211" t="str">
        <f>IFERROR(__xludf.DUMMYFUNCTION("""COMPUTED_VALUE"""),"182fb0fe")</f>
        <v>182fb0fe</v>
      </c>
      <c r="T1023" s="211" t="str">
        <f>IFERROR(__xludf.DUMMYFUNCTION("""COMPUTED_VALUE"""),"PT Amtech")</f>
        <v>PT Amtech</v>
      </c>
      <c r="U1023" s="215">
        <f>IFERROR(__xludf.DUMMYFUNCTION("""COMPUTED_VALUE"""),45859.535416666666)</f>
        <v>45859.53542</v>
      </c>
      <c r="V1023" s="211" t="str">
        <f>IFERROR(__xludf.DUMMYFUNCTION("""COMPUTED_VALUE"""),"Jl. Morowudi, Ikerikergeger, Kabupaten Gresik, Jawa Timur")</f>
        <v>Jl. Morowudi, Ikerikergeger, Kabupaten Gresik, Jawa Timur</v>
      </c>
      <c r="W1023" s="211" t="str">
        <f>IFERROR(__xludf.DUMMYFUNCTION("""COMPUTED_VALUE"""),"IN")</f>
        <v>IN</v>
      </c>
      <c r="X1023" s="211"/>
      <c r="Z1023" s="211" t="str">
        <f>IFERROR(__xludf.DUMMYFUNCTION("""COMPUTED_VALUE"""),"06250493")</f>
        <v>06250493</v>
      </c>
      <c r="AL1023" s="211"/>
      <c r="AM1023" s="211"/>
      <c r="AN1023" s="211"/>
      <c r="AO1023" s="211"/>
      <c r="AP1023" s="215"/>
      <c r="AQ1023" s="218"/>
      <c r="AR1023" s="211"/>
    </row>
    <row r="1024">
      <c r="A1024" s="210" t="str">
        <f>IFERROR(__xludf.DUMMYFUNCTION("""COMPUTED_VALUE"""),"05250420")</f>
        <v>05250420</v>
      </c>
      <c r="B1024" s="210" t="str">
        <f>IFERROR(__xludf.DUMMYFUNCTION("""COMPUTED_VALUE"""),"05250420")</f>
        <v>05250420</v>
      </c>
      <c r="C1024" s="213">
        <f>IFERROR(__xludf.DUMMYFUNCTION("""COMPUTED_VALUE"""),45786.45763888889)</f>
        <v>45786.45764</v>
      </c>
      <c r="D1024" s="211" t="str">
        <f>IFERROR(__xludf.DUMMYFUNCTION("""COMPUTED_VALUE"""),"785e0e07")</f>
        <v>785e0e07</v>
      </c>
      <c r="E1024" s="211" t="str">
        <f>IFERROR(__xludf.DUMMYFUNCTION("""COMPUTED_VALUE"""),"Bpk. Sukirno (Bejo)")</f>
        <v>Bpk. Sukirno (Bejo)</v>
      </c>
      <c r="F1024" s="211" t="str">
        <f>IFERROR(__xludf.DUMMYFUNCTION("""COMPUTED_VALUE"""),"8bdbe149")</f>
        <v>8bdbe149</v>
      </c>
      <c r="G1024" s="211" t="str">
        <f>IFERROR(__xludf.DUMMYFUNCTION("""COMPUTED_VALUE"""),"Oksigen 6m3")</f>
        <v>Oksigen 6m3</v>
      </c>
      <c r="H1024" s="214" t="str">
        <f>IFERROR(__xludf.DUMMYFUNCTION("""COMPUTED_VALUE"""),"OUT")</f>
        <v>OUT</v>
      </c>
      <c r="I1024" s="214" t="str">
        <f>IFERROR(__xludf.DUMMYFUNCTION("""COMPUTED_VALUE"""),"NORMAL")</f>
        <v>NORMAL</v>
      </c>
      <c r="J1024" s="211">
        <f>IFERROR(__xludf.DUMMYFUNCTION("""COMPUTED_VALUE"""),10.0)</f>
        <v>10</v>
      </c>
      <c r="K1024" s="210" t="str">
        <f>IFERROR(__xludf.DUMMYFUNCTION("""COMPUTED_VALUE"""),"11205 11127 11176 11177 11191 11188 1164 11232 11231 11278")</f>
        <v>11205 11127 11176 11177 11191 11188 1164 11232 11231 11278</v>
      </c>
      <c r="L1024" s="211">
        <f>IFERROR(__xludf.DUMMYFUNCTION("""COMPUTED_VALUE"""),60000.0)</f>
        <v>60000</v>
      </c>
      <c r="M1024" s="211"/>
      <c r="N1024" s="211"/>
      <c r="O1024" s="211"/>
      <c r="Q1024" s="210" t="str">
        <f>IFERROR(__xludf.DUMMYFUNCTION("""COMPUTED_VALUE"""),"c1511cfa")</f>
        <v>c1511cfa</v>
      </c>
      <c r="R1024" s="210" t="str">
        <f>IFERROR(__xludf.DUMMYFUNCTION("""COMPUTED_VALUE"""),"c1511cfa")</f>
        <v>c1511cfa</v>
      </c>
      <c r="S1024" s="211" t="str">
        <f>IFERROR(__xludf.DUMMYFUNCTION("""COMPUTED_VALUE"""),"196b24da")</f>
        <v>196b24da</v>
      </c>
      <c r="T1024" s="211" t="str">
        <f>IFERROR(__xludf.DUMMYFUNCTION("""COMPUTED_VALUE"""),"PT Samudra Cipta Enjineering")</f>
        <v>PT Samudra Cipta Enjineering</v>
      </c>
      <c r="U1024" s="215">
        <f>IFERROR(__xludf.DUMMYFUNCTION("""COMPUTED_VALUE"""),45859.54027777778)</f>
        <v>45859.54028</v>
      </c>
      <c r="V1024" s="211" t="str">
        <f>IFERROR(__xludf.DUMMYFUNCTION("""COMPUTED_VALUE"""),"Pergudangan Center Point Blok C4   Ds. Kemangsen  Balongbendo")</f>
        <v>Pergudangan Center Point Blok C4   Ds. Kemangsen  Balongbendo</v>
      </c>
      <c r="W1024" s="211" t="str">
        <f>IFERROR(__xludf.DUMMYFUNCTION("""COMPUTED_VALUE"""),"IN")</f>
        <v>IN</v>
      </c>
      <c r="X1024" s="211"/>
      <c r="Z1024" s="211" t="str">
        <f>IFERROR(__xludf.DUMMYFUNCTION("""COMPUTED_VALUE"""),"06250491")</f>
        <v>06250491</v>
      </c>
      <c r="AL1024" s="211"/>
      <c r="AM1024" s="211"/>
      <c r="AN1024" s="211"/>
      <c r="AO1024" s="211"/>
      <c r="AP1024" s="215"/>
      <c r="AQ1024" s="218"/>
      <c r="AR1024" s="211"/>
    </row>
    <row r="1025">
      <c r="A1025" s="210" t="str">
        <f>IFERROR(__xludf.DUMMYFUNCTION("""COMPUTED_VALUE"""),"05250420")</f>
        <v>05250420</v>
      </c>
      <c r="B1025" s="210" t="str">
        <f>IFERROR(__xludf.DUMMYFUNCTION("""COMPUTED_VALUE"""),"05250420")</f>
        <v>05250420</v>
      </c>
      <c r="C1025" s="213">
        <f>IFERROR(__xludf.DUMMYFUNCTION("""COMPUTED_VALUE"""),45786.458333333336)</f>
        <v>45786.45833</v>
      </c>
      <c r="D1025" s="211" t="str">
        <f>IFERROR(__xludf.DUMMYFUNCTION("""COMPUTED_VALUE"""),"785e0e07")</f>
        <v>785e0e07</v>
      </c>
      <c r="E1025" s="211" t="str">
        <f>IFERROR(__xludf.DUMMYFUNCTION("""COMPUTED_VALUE"""),"Bpk. Sukirno (Bejo)")</f>
        <v>Bpk. Sukirno (Bejo)</v>
      </c>
      <c r="F1025" s="211" t="str">
        <f>IFERROR(__xludf.DUMMYFUNCTION("""COMPUTED_VALUE"""),"b7a8fff1")</f>
        <v>b7a8fff1</v>
      </c>
      <c r="G1025" s="211" t="str">
        <f>IFERROR(__xludf.DUMMYFUNCTION("""COMPUTED_VALUE"""),"LPG 50kg")</f>
        <v>LPG 50kg</v>
      </c>
      <c r="H1025" s="214" t="str">
        <f>IFERROR(__xludf.DUMMYFUNCTION("""COMPUTED_VALUE"""),"OUT")</f>
        <v>OUT</v>
      </c>
      <c r="I1025" s="214" t="str">
        <f>IFERROR(__xludf.DUMMYFUNCTION("""COMPUTED_VALUE"""),"NORMAL")</f>
        <v>NORMAL</v>
      </c>
      <c r="J1025" s="211">
        <f>IFERROR(__xludf.DUMMYFUNCTION("""COMPUTED_VALUE"""),1.0)</f>
        <v>1</v>
      </c>
      <c r="K1025" s="211"/>
      <c r="L1025" s="211">
        <f>IFERROR(__xludf.DUMMYFUNCTION("""COMPUTED_VALUE"""),950000.0)</f>
        <v>950000</v>
      </c>
      <c r="M1025" s="211"/>
      <c r="N1025" s="211"/>
      <c r="O1025" s="211"/>
      <c r="Q1025" s="210" t="str">
        <f>IFERROR(__xludf.DUMMYFUNCTION("""COMPUTED_VALUE"""),"07250591")</f>
        <v>07250591</v>
      </c>
      <c r="R1025" s="210" t="str">
        <f>IFERROR(__xludf.DUMMYFUNCTION("""COMPUTED_VALUE"""),"07250591")</f>
        <v>07250591</v>
      </c>
      <c r="S1025" s="211" t="str">
        <f>IFERROR(__xludf.DUMMYFUNCTION("""COMPUTED_VALUE"""),"5f23ba17")</f>
        <v>5f23ba17</v>
      </c>
      <c r="T1025" s="211" t="str">
        <f>IFERROR(__xludf.DUMMYFUNCTION("""COMPUTED_VALUE"""),"Bpk. Joko (Gresik)")</f>
        <v>Bpk. Joko (Gresik)</v>
      </c>
      <c r="U1025" s="215">
        <f>IFERROR(__xludf.DUMMYFUNCTION("""COMPUTED_VALUE"""),45860.339583333334)</f>
        <v>45860.33958</v>
      </c>
      <c r="V1025" s="211" t="str">
        <f>IFERROR(__xludf.DUMMYFUNCTION("""COMPUTED_VALUE"""),"Tanggungan, Lebaniwaras, Kec. Wringinanom, Kabupaten Gresik, Jawa Timur")</f>
        <v>Tanggungan, Lebaniwaras, Kec. Wringinanom, Kabupaten Gresik, Jawa Timur</v>
      </c>
      <c r="W1025" s="211" t="str">
        <f>IFERROR(__xludf.DUMMYFUNCTION("""COMPUTED_VALUE"""),"OUT")</f>
        <v>OUT</v>
      </c>
      <c r="X1025" s="211"/>
      <c r="Z1025" s="211" t="str">
        <f>IFERROR(__xludf.DUMMYFUNCTION("""COMPUTED_VALUE"""),"06250490")</f>
        <v>06250490</v>
      </c>
      <c r="AL1025" s="211"/>
      <c r="AM1025" s="211"/>
      <c r="AN1025" s="211"/>
      <c r="AO1025" s="211"/>
      <c r="AP1025" s="215"/>
      <c r="AQ1025" s="218"/>
      <c r="AR1025" s="211"/>
    </row>
    <row r="1026">
      <c r="A1026" s="210" t="str">
        <f>IFERROR(__xludf.DUMMYFUNCTION("""COMPUTED_VALUE"""),"c032bf7f")</f>
        <v>c032bf7f</v>
      </c>
      <c r="B1026" s="210" t="str">
        <f>IFERROR(__xludf.DUMMYFUNCTION("""COMPUTED_VALUE"""),"c032bf7f")</f>
        <v>c032bf7f</v>
      </c>
      <c r="C1026" s="213">
        <f>IFERROR(__xludf.DUMMYFUNCTION("""COMPUTED_VALUE"""),45786.614583333336)</f>
        <v>45786.61458</v>
      </c>
      <c r="D1026" s="211" t="str">
        <f>IFERROR(__xludf.DUMMYFUNCTION("""COMPUTED_VALUE"""),"785e0e07")</f>
        <v>785e0e07</v>
      </c>
      <c r="E1026" s="211" t="str">
        <f>IFERROR(__xludf.DUMMYFUNCTION("""COMPUTED_VALUE"""),"Bpk. Sukirno (Bejo)")</f>
        <v>Bpk. Sukirno (Bejo)</v>
      </c>
      <c r="F1026" s="211" t="str">
        <f>IFERROR(__xludf.DUMMYFUNCTION("""COMPUTED_VALUE"""),"8bdbe149")</f>
        <v>8bdbe149</v>
      </c>
      <c r="G1026" s="211" t="str">
        <f>IFERROR(__xludf.DUMMYFUNCTION("""COMPUTED_VALUE"""),"Oksigen 6m3")</f>
        <v>Oksigen 6m3</v>
      </c>
      <c r="H1026" s="214" t="str">
        <f>IFERROR(__xludf.DUMMYFUNCTION("""COMPUTED_VALUE"""),"IN")</f>
        <v>IN</v>
      </c>
      <c r="I1026" s="214" t="str">
        <f>IFERROR(__xludf.DUMMYFUNCTION("""COMPUTED_VALUE"""),"EMPTY")</f>
        <v>EMPTY</v>
      </c>
      <c r="J1026" s="211">
        <f>IFERROR(__xludf.DUMMYFUNCTION("""COMPUTED_VALUE"""),2.0)</f>
        <v>2</v>
      </c>
      <c r="K1026" s="210" t="str">
        <f>IFERROR(__xludf.DUMMYFUNCTION("""COMPUTED_VALUE"""),"11204 11252")</f>
        <v>11204 11252</v>
      </c>
      <c r="L1026" s="211">
        <f>IFERROR(__xludf.DUMMYFUNCTION("""COMPUTED_VALUE"""),0.0)</f>
        <v>0</v>
      </c>
      <c r="M1026" s="211"/>
      <c r="N1026" s="211"/>
      <c r="O1026" s="211"/>
      <c r="Q1026" s="210" t="str">
        <f>IFERROR(__xludf.DUMMYFUNCTION("""COMPUTED_VALUE"""),"07250593")</f>
        <v>07250593</v>
      </c>
      <c r="R1026" s="210" t="str">
        <f>IFERROR(__xludf.DUMMYFUNCTION("""COMPUTED_VALUE"""),"07250593")</f>
        <v>07250593</v>
      </c>
      <c r="S1026" s="211" t="str">
        <f>IFERROR(__xludf.DUMMYFUNCTION("""COMPUTED_VALUE"""),"d78b2eaf")</f>
        <v>d78b2eaf</v>
      </c>
      <c r="T1026" s="211" t="str">
        <f>IFERROR(__xludf.DUMMYFUNCTION("""COMPUTED_VALUE"""),"PT Sinar Indogreen Kencana")</f>
        <v>PT Sinar Indogreen Kencana</v>
      </c>
      <c r="U1026" s="215">
        <f>IFERROR(__xludf.DUMMYFUNCTION("""COMPUTED_VALUE"""),45859.691666666666)</f>
        <v>45859.69167</v>
      </c>
      <c r="V1026" s="211" t="str">
        <f>IFERROR(__xludf.DUMMYFUNCTION("""COMPUTED_VALUE"""),"Jl. Raya Ponokawan 8b RT/001 RW/002, Ponokawan, Krian, Sidoarjo")</f>
        <v>Jl. Raya Ponokawan 8b RT/001 RW/002, Ponokawan, Krian, Sidoarjo</v>
      </c>
      <c r="W1026" s="211" t="str">
        <f>IFERROR(__xludf.DUMMYFUNCTION("""COMPUTED_VALUE"""),"OUT")</f>
        <v>OUT</v>
      </c>
      <c r="X1026" s="211"/>
      <c r="Z1026" s="211" t="str">
        <f>IFERROR(__xludf.DUMMYFUNCTION("""COMPUTED_VALUE"""),"06250488")</f>
        <v>06250488</v>
      </c>
      <c r="AL1026" s="211"/>
      <c r="AM1026" s="211"/>
      <c r="AN1026" s="211"/>
      <c r="AO1026" s="211"/>
      <c r="AP1026" s="215"/>
      <c r="AQ1026" s="218"/>
      <c r="AR1026" s="211"/>
    </row>
    <row r="1027">
      <c r="A1027" s="210" t="str">
        <f>IFERROR(__xludf.DUMMYFUNCTION("""COMPUTED_VALUE"""),"c032bf7f")</f>
        <v>c032bf7f</v>
      </c>
      <c r="B1027" s="210" t="str">
        <f>IFERROR(__xludf.DUMMYFUNCTION("""COMPUTED_VALUE"""),"c032bf7f")</f>
        <v>c032bf7f</v>
      </c>
      <c r="C1027" s="213">
        <f>IFERROR(__xludf.DUMMYFUNCTION("""COMPUTED_VALUE"""),45786.614583333336)</f>
        <v>45786.61458</v>
      </c>
      <c r="D1027" s="211" t="str">
        <f>IFERROR(__xludf.DUMMYFUNCTION("""COMPUTED_VALUE"""),"785e0e07")</f>
        <v>785e0e07</v>
      </c>
      <c r="E1027" s="211" t="str">
        <f>IFERROR(__xludf.DUMMYFUNCTION("""COMPUTED_VALUE"""),"Bpk. Sukirno (Bejo)")</f>
        <v>Bpk. Sukirno (Bejo)</v>
      </c>
      <c r="F1027" s="211" t="str">
        <f>IFERROR(__xludf.DUMMYFUNCTION("""COMPUTED_VALUE"""),"b7a8fff1")</f>
        <v>b7a8fff1</v>
      </c>
      <c r="G1027" s="211" t="str">
        <f>IFERROR(__xludf.DUMMYFUNCTION("""COMPUTED_VALUE"""),"LPG 50kg")</f>
        <v>LPG 50kg</v>
      </c>
      <c r="H1027" s="214" t="str">
        <f>IFERROR(__xludf.DUMMYFUNCTION("""COMPUTED_VALUE"""),"IN")</f>
        <v>IN</v>
      </c>
      <c r="I1027" s="214" t="str">
        <f>IFERROR(__xludf.DUMMYFUNCTION("""COMPUTED_VALUE"""),"EMPTY")</f>
        <v>EMPTY</v>
      </c>
      <c r="J1027" s="211">
        <f>IFERROR(__xludf.DUMMYFUNCTION("""COMPUTED_VALUE"""),1.0)</f>
        <v>1</v>
      </c>
      <c r="K1027" s="211"/>
      <c r="L1027" s="211">
        <f>IFERROR(__xludf.DUMMYFUNCTION("""COMPUTED_VALUE"""),0.0)</f>
        <v>0</v>
      </c>
      <c r="M1027" s="211"/>
      <c r="N1027" s="211"/>
      <c r="O1027" s="211"/>
      <c r="Q1027" s="210" t="str">
        <f>IFERROR(__xludf.DUMMYFUNCTION("""COMPUTED_VALUE"""),"07250594")</f>
        <v>07250594</v>
      </c>
      <c r="R1027" s="210" t="str">
        <f>IFERROR(__xludf.DUMMYFUNCTION("""COMPUTED_VALUE"""),"07250594")</f>
        <v>07250594</v>
      </c>
      <c r="S1027" s="211" t="str">
        <f>IFERROR(__xludf.DUMMYFUNCTION("""COMPUTED_VALUE"""),"3bcd7fe6")</f>
        <v>3bcd7fe6</v>
      </c>
      <c r="T1027" s="211" t="str">
        <f>IFERROR(__xludf.DUMMYFUNCTION("""COMPUTED_VALUE"""),"Bpk. Alvin (LB Group)")</f>
        <v>Bpk. Alvin (LB Group)</v>
      </c>
      <c r="U1027" s="215">
        <f>IFERROR(__xludf.DUMMYFUNCTION("""COMPUTED_VALUE"""),45860.351388888885)</f>
        <v>45860.35139</v>
      </c>
      <c r="V1027" s="211" t="str">
        <f>IFERROR(__xludf.DUMMYFUNCTION("""COMPUTED_VALUE"""),"MFF9+XHC, Jalan, Tambakrejo, Temuireng, Kec. Dawar Blandong, Kabupaten Mojokerto, Jawa Timur 61354")</f>
        <v>MFF9+XHC, Jalan, Tambakrejo, Temuireng, Kec. Dawar Blandong, Kabupaten Mojokerto, Jawa Timur 61354</v>
      </c>
      <c r="W1027" s="211" t="str">
        <f>IFERROR(__xludf.DUMMYFUNCTION("""COMPUTED_VALUE"""),"OUT")</f>
        <v>OUT</v>
      </c>
      <c r="X1027" s="211"/>
      <c r="Z1027" s="211" t="str">
        <f>IFERROR(__xludf.DUMMYFUNCTION("""COMPUTED_VALUE"""),"06250486")</f>
        <v>06250486</v>
      </c>
      <c r="AL1027" s="211"/>
      <c r="AM1027" s="211"/>
      <c r="AN1027" s="211"/>
      <c r="AO1027" s="211"/>
      <c r="AP1027" s="215"/>
      <c r="AQ1027" s="218"/>
      <c r="AR1027" s="211"/>
    </row>
    <row r="1028">
      <c r="A1028" s="210" t="str">
        <f>IFERROR(__xludf.DUMMYFUNCTION("""COMPUTED_VALUE"""),"09fc01fe")</f>
        <v>09fc01fe</v>
      </c>
      <c r="B1028" s="210" t="str">
        <f>IFERROR(__xludf.DUMMYFUNCTION("""COMPUTED_VALUE"""),"09fc01fe")</f>
        <v>09fc01fe</v>
      </c>
      <c r="C1028" s="213">
        <f>IFERROR(__xludf.DUMMYFUNCTION("""COMPUTED_VALUE"""),45787.478472222225)</f>
        <v>45787.47847</v>
      </c>
      <c r="D1028" s="211" t="str">
        <f>IFERROR(__xludf.DUMMYFUNCTION("""COMPUTED_VALUE"""),"609d620d")</f>
        <v>609d620d</v>
      </c>
      <c r="E1028" s="211" t="str">
        <f>IFERROR(__xludf.DUMMYFUNCTION("""COMPUTED_VALUE"""),"PT Pandu Mulia Bersama")</f>
        <v>PT Pandu Mulia Bersama</v>
      </c>
      <c r="F1028" s="211" t="str">
        <f>IFERROR(__xludf.DUMMYFUNCTION("""COMPUTED_VALUE"""),"7d2764f1")</f>
        <v>7d2764f1</v>
      </c>
      <c r="G1028" s="211" t="str">
        <f>IFERROR(__xludf.DUMMYFUNCTION("""COMPUTED_VALUE"""),"Oksigen 7m3")</f>
        <v>Oksigen 7m3</v>
      </c>
      <c r="H1028" s="214" t="str">
        <f>IFERROR(__xludf.DUMMYFUNCTION("""COMPUTED_VALUE"""),"IN")</f>
        <v>IN</v>
      </c>
      <c r="I1028" s="214" t="str">
        <f>IFERROR(__xludf.DUMMYFUNCTION("""COMPUTED_VALUE"""),"EMPTY")</f>
        <v>EMPTY</v>
      </c>
      <c r="J1028" s="211">
        <f>IFERROR(__xludf.DUMMYFUNCTION("""COMPUTED_VALUE"""),6.0)</f>
        <v>6</v>
      </c>
      <c r="K1028" s="210" t="str">
        <f>IFERROR(__xludf.DUMMYFUNCTION("""COMPUTED_VALUE"""),"11240 11228 11244 11261 11234 11241")</f>
        <v>11240 11228 11244 11261 11234 11241</v>
      </c>
      <c r="L1028" s="211">
        <f>IFERROR(__xludf.DUMMYFUNCTION("""COMPUTED_VALUE"""),0.0)</f>
        <v>0</v>
      </c>
      <c r="M1028" s="211"/>
      <c r="N1028" s="211"/>
      <c r="O1028" s="211"/>
      <c r="Q1028" s="210" t="str">
        <f>IFERROR(__xludf.DUMMYFUNCTION("""COMPUTED_VALUE"""),"07250595")</f>
        <v>07250595</v>
      </c>
      <c r="R1028" s="210" t="str">
        <f>IFERROR(__xludf.DUMMYFUNCTION("""COMPUTED_VALUE"""),"07250595")</f>
        <v>07250595</v>
      </c>
      <c r="S1028" s="211" t="str">
        <f>IFERROR(__xludf.DUMMYFUNCTION("""COMPUTED_VALUE"""),"b218b89b")</f>
        <v>b218b89b</v>
      </c>
      <c r="T1028" s="211" t="str">
        <f>IFERROR(__xludf.DUMMYFUNCTION("""COMPUTED_VALUE"""),"PT Harapan Sentosa")</f>
        <v>PT Harapan Sentosa</v>
      </c>
      <c r="U1028" s="215">
        <f>IFERROR(__xludf.DUMMYFUNCTION("""COMPUTED_VALUE"""),45860.35416666667)</f>
        <v>45860.35417</v>
      </c>
      <c r="V1028" s="211" t="str">
        <f>IFERROR(__xludf.DUMMYFUNCTION("""COMPUTED_VALUE"""),"Seketi, Jl. Purboyo II Selatan, RT.02/RW.02, Seketi, Kec. BalongBendo, Kabupaten Sidoarjo, Jawa Timur 61263")</f>
        <v>Seketi, Jl. Purboyo II Selatan, RT.02/RW.02, Seketi, Kec. BalongBendo, Kabupaten Sidoarjo, Jawa Timur 61263</v>
      </c>
      <c r="W1028" s="211" t="str">
        <f>IFERROR(__xludf.DUMMYFUNCTION("""COMPUTED_VALUE"""),"OUT")</f>
        <v>OUT</v>
      </c>
      <c r="X1028" s="211"/>
      <c r="Z1028" s="211" t="str">
        <f>IFERROR(__xludf.DUMMYFUNCTION("""COMPUTED_VALUE"""),"06250485")</f>
        <v>06250485</v>
      </c>
      <c r="AL1028" s="211"/>
      <c r="AM1028" s="211"/>
      <c r="AN1028" s="211"/>
      <c r="AO1028" s="211"/>
      <c r="AP1028" s="215"/>
      <c r="AQ1028" s="218"/>
      <c r="AR1028" s="211"/>
    </row>
    <row r="1029">
      <c r="A1029" s="210" t="str">
        <f>IFERROR(__xludf.DUMMYFUNCTION("""COMPUTED_VALUE"""),"09fc01fe")</f>
        <v>09fc01fe</v>
      </c>
      <c r="B1029" s="210" t="str">
        <f>IFERROR(__xludf.DUMMYFUNCTION("""COMPUTED_VALUE"""),"09fc01fe")</f>
        <v>09fc01fe</v>
      </c>
      <c r="C1029" s="213">
        <f>IFERROR(__xludf.DUMMYFUNCTION("""COMPUTED_VALUE"""),45787.478472222225)</f>
        <v>45787.47847</v>
      </c>
      <c r="D1029" s="211" t="str">
        <f>IFERROR(__xludf.DUMMYFUNCTION("""COMPUTED_VALUE"""),"609d620d")</f>
        <v>609d620d</v>
      </c>
      <c r="E1029" s="211" t="str">
        <f>IFERROR(__xludf.DUMMYFUNCTION("""COMPUTED_VALUE"""),"PT Pandu Mulia Bersama")</f>
        <v>PT Pandu Mulia Bersama</v>
      </c>
      <c r="F1029" s="211" t="str">
        <f>IFERROR(__xludf.DUMMYFUNCTION("""COMPUTED_VALUE"""),"7d2764f1")</f>
        <v>7d2764f1</v>
      </c>
      <c r="G1029" s="211" t="str">
        <f>IFERROR(__xludf.DUMMYFUNCTION("""COMPUTED_VALUE"""),"Oksigen 7m3")</f>
        <v>Oksigen 7m3</v>
      </c>
      <c r="H1029" s="214" t="str">
        <f>IFERROR(__xludf.DUMMYFUNCTION("""COMPUTED_VALUE"""),"IN")</f>
        <v>IN</v>
      </c>
      <c r="I1029" s="214" t="str">
        <f>IFERROR(__xludf.DUMMYFUNCTION("""COMPUTED_VALUE"""),"CLAIM")</f>
        <v>CLAIM</v>
      </c>
      <c r="J1029" s="211">
        <f>IFERROR(__xludf.DUMMYFUNCTION("""COMPUTED_VALUE"""),1.0)</f>
        <v>1</v>
      </c>
      <c r="K1029" s="210" t="str">
        <f>IFERROR(__xludf.DUMMYFUNCTION("""COMPUTED_VALUE"""),"11239")</f>
        <v>11239</v>
      </c>
      <c r="L1029" s="211">
        <f>IFERROR(__xludf.DUMMYFUNCTION("""COMPUTED_VALUE"""),0.0)</f>
        <v>0</v>
      </c>
      <c r="M1029" s="211"/>
      <c r="N1029" s="211"/>
      <c r="O1029" s="211"/>
      <c r="Q1029" s="210" t="str">
        <f>IFERROR(__xludf.DUMMYFUNCTION("""COMPUTED_VALUE"""),"07250596")</f>
        <v>07250596</v>
      </c>
      <c r="R1029" s="210" t="str">
        <f>IFERROR(__xludf.DUMMYFUNCTION("""COMPUTED_VALUE"""),"07250596")</f>
        <v>07250596</v>
      </c>
      <c r="S1029" s="211" t="str">
        <f>IFERROR(__xludf.DUMMYFUNCTION("""COMPUTED_VALUE"""),"ec231cc9")</f>
        <v>ec231cc9</v>
      </c>
      <c r="T1029" s="211" t="str">
        <f>IFERROR(__xludf.DUMMYFUNCTION("""COMPUTED_VALUE"""),"Bpk. Kohir (Maintenance Velg)")</f>
        <v>Bpk. Kohir (Maintenance Velg)</v>
      </c>
      <c r="U1029" s="215">
        <f>IFERROR(__xludf.DUMMYFUNCTION("""COMPUTED_VALUE"""),45860.413194444445)</f>
        <v>45860.41319</v>
      </c>
      <c r="V1029" s="211" t="str">
        <f>IFERROR(__xludf.DUMMYFUNCTION("""COMPUTED_VALUE"""),"Jl. Lkr. Bypass Krian Timur, Sidogolong, Watugolong, Kec. Krian, Kabupaten Sidoarjo, Jawa Timur 61262")</f>
        <v>Jl. Lkr. Bypass Krian Timur, Sidogolong, Watugolong, Kec. Krian, Kabupaten Sidoarjo, Jawa Timur 61262</v>
      </c>
      <c r="W1029" s="211" t="str">
        <f>IFERROR(__xludf.DUMMYFUNCTION("""COMPUTED_VALUE"""),"OUT")</f>
        <v>OUT</v>
      </c>
      <c r="X1029" s="211"/>
      <c r="Z1029" s="211" t="str">
        <f>IFERROR(__xludf.DUMMYFUNCTION("""COMPUTED_VALUE"""),"06250484")</f>
        <v>06250484</v>
      </c>
      <c r="AL1029" s="211"/>
      <c r="AM1029" s="211"/>
      <c r="AN1029" s="211"/>
      <c r="AO1029" s="211"/>
      <c r="AP1029" s="215"/>
      <c r="AQ1029" s="218"/>
      <c r="AR1029" s="211"/>
    </row>
    <row r="1030">
      <c r="A1030" s="210" t="str">
        <f>IFERROR(__xludf.DUMMYFUNCTION("""COMPUTED_VALUE"""),"405250016")</f>
        <v>405250016</v>
      </c>
      <c r="B1030" s="210" t="str">
        <f>IFERROR(__xludf.DUMMYFUNCTION("""COMPUTED_VALUE"""),"405250016")</f>
        <v>405250016</v>
      </c>
      <c r="C1030" s="213">
        <f>IFERROR(__xludf.DUMMYFUNCTION("""COMPUTED_VALUE"""),45787.479166666664)</f>
        <v>45787.47917</v>
      </c>
      <c r="D1030" s="211" t="str">
        <f>IFERROR(__xludf.DUMMYFUNCTION("""COMPUTED_VALUE"""),"609d620d")</f>
        <v>609d620d</v>
      </c>
      <c r="E1030" s="211" t="str">
        <f>IFERROR(__xludf.DUMMYFUNCTION("""COMPUTED_VALUE"""),"PT Pandu Mulia Bersama")</f>
        <v>PT Pandu Mulia Bersama</v>
      </c>
      <c r="F1030" s="211" t="str">
        <f>IFERROR(__xludf.DUMMYFUNCTION("""COMPUTED_VALUE"""),"7d2764f1")</f>
        <v>7d2764f1</v>
      </c>
      <c r="G1030" s="211" t="str">
        <f>IFERROR(__xludf.DUMMYFUNCTION("""COMPUTED_VALUE"""),"Oksigen 7m3")</f>
        <v>Oksigen 7m3</v>
      </c>
      <c r="H1030" s="214" t="str">
        <f>IFERROR(__xludf.DUMMYFUNCTION("""COMPUTED_VALUE"""),"OTHER")</f>
        <v>OTHER</v>
      </c>
      <c r="I1030" s="214" t="str">
        <f>IFERROR(__xludf.DUMMYFUNCTION("""COMPUTED_VALUE"""),"RETUR CLAIM")</f>
        <v>RETUR CLAIM</v>
      </c>
      <c r="J1030" s="211">
        <f>IFERROR(__xludf.DUMMYFUNCTION("""COMPUTED_VALUE"""),1.0)</f>
        <v>1</v>
      </c>
      <c r="K1030" s="211"/>
      <c r="L1030" s="211">
        <f>IFERROR(__xludf.DUMMYFUNCTION("""COMPUTED_VALUE"""),0.0)</f>
        <v>0</v>
      </c>
      <c r="M1030" s="211"/>
      <c r="N1030" s="211"/>
      <c r="O1030" s="211"/>
      <c r="Q1030" s="210" t="str">
        <f>IFERROR(__xludf.DUMMYFUNCTION("""COMPUTED_VALUE"""),"07250598")</f>
        <v>07250598</v>
      </c>
      <c r="R1030" s="210" t="str">
        <f>IFERROR(__xludf.DUMMYFUNCTION("""COMPUTED_VALUE"""),"07250598")</f>
        <v>07250598</v>
      </c>
      <c r="S1030" s="211" t="str">
        <f>IFERROR(__xludf.DUMMYFUNCTION("""COMPUTED_VALUE"""),"e76bc39c")</f>
        <v>e76bc39c</v>
      </c>
      <c r="T1030" s="211" t="str">
        <f>IFERROR(__xludf.DUMMYFUNCTION("""COMPUTED_VALUE"""),"Bpk. Irul")</f>
        <v>Bpk. Irul</v>
      </c>
      <c r="U1030" s="215">
        <f>IFERROR(__xludf.DUMMYFUNCTION("""COMPUTED_VALUE"""),45860.53958333333)</f>
        <v>45860.53958</v>
      </c>
      <c r="V1030" s="211" t="str">
        <f>IFERROR(__xludf.DUMMYFUNCTION("""COMPUTED_VALUE"""),"Jl. Mayjen Bambang Yuwono, Ciro Kulon, Bakungtemenggungan, Kec. BalongBendo, Kabupaten Sidoarjo, Jawa Timur 61263")</f>
        <v>Jl. Mayjen Bambang Yuwono, Ciro Kulon, Bakungtemenggungan, Kec. BalongBendo, Kabupaten Sidoarjo, Jawa Timur 61263</v>
      </c>
      <c r="W1030" s="211" t="str">
        <f>IFERROR(__xludf.DUMMYFUNCTION("""COMPUTED_VALUE"""),"OUT")</f>
        <v>OUT</v>
      </c>
      <c r="X1030" s="211"/>
      <c r="Z1030" s="211" t="str">
        <f>IFERROR(__xludf.DUMMYFUNCTION("""COMPUTED_VALUE"""),"06250482")</f>
        <v>06250482</v>
      </c>
      <c r="AL1030" s="211"/>
      <c r="AM1030" s="211"/>
      <c r="AN1030" s="211"/>
      <c r="AO1030" s="211"/>
      <c r="AP1030" s="215"/>
      <c r="AQ1030" s="218"/>
      <c r="AR1030" s="211"/>
    </row>
    <row r="1031">
      <c r="A1031" s="210" t="str">
        <f>IFERROR(__xludf.DUMMYFUNCTION("""COMPUTED_VALUE"""),"05250422")</f>
        <v>05250422</v>
      </c>
      <c r="B1031" s="210" t="str">
        <f>IFERROR(__xludf.DUMMYFUNCTION("""COMPUTED_VALUE"""),"05250422")</f>
        <v>05250422</v>
      </c>
      <c r="C1031" s="213">
        <f>IFERROR(__xludf.DUMMYFUNCTION("""COMPUTED_VALUE"""),45790.35902777778)</f>
        <v>45790.35903</v>
      </c>
      <c r="D1031" s="211" t="str">
        <f>IFERROR(__xludf.DUMMYFUNCTION("""COMPUTED_VALUE"""),"ce83e171")</f>
        <v>ce83e171</v>
      </c>
      <c r="E1031" s="211" t="str">
        <f>IFERROR(__xludf.DUMMYFUNCTION("""COMPUTED_VALUE"""),"Bpk. Sulaiman")</f>
        <v>Bpk. Sulaiman</v>
      </c>
      <c r="F1031" s="211" t="str">
        <f>IFERROR(__xludf.DUMMYFUNCTION("""COMPUTED_VALUE"""),"8bdbe149")</f>
        <v>8bdbe149</v>
      </c>
      <c r="G1031" s="211" t="str">
        <f>IFERROR(__xludf.DUMMYFUNCTION("""COMPUTED_VALUE"""),"Oksigen 6m3")</f>
        <v>Oksigen 6m3</v>
      </c>
      <c r="H1031" s="214" t="str">
        <f>IFERROR(__xludf.DUMMYFUNCTION("""COMPUTED_VALUE"""),"OUT")</f>
        <v>OUT</v>
      </c>
      <c r="I1031" s="214" t="str">
        <f>IFERROR(__xludf.DUMMYFUNCTION("""COMPUTED_VALUE"""),"NORMAL")</f>
        <v>NORMAL</v>
      </c>
      <c r="J1031" s="211">
        <f>IFERROR(__xludf.DUMMYFUNCTION("""COMPUTED_VALUE"""),5.0)</f>
        <v>5</v>
      </c>
      <c r="K1031" s="210" t="str">
        <f>IFERROR(__xludf.DUMMYFUNCTION("""COMPUTED_VALUE"""),"11128 11240 11252 11261 11239")</f>
        <v>11128 11240 11252 11261 11239</v>
      </c>
      <c r="L1031" s="211">
        <f>IFERROR(__xludf.DUMMYFUNCTION("""COMPUTED_VALUE"""),55000.0)</f>
        <v>55000</v>
      </c>
      <c r="M1031" s="211"/>
      <c r="N1031" s="211"/>
      <c r="O1031" s="211"/>
      <c r="Q1031" s="210" t="str">
        <f>IFERROR(__xludf.DUMMYFUNCTION("""COMPUTED_VALUE"""),"07250599")</f>
        <v>07250599</v>
      </c>
      <c r="R1031" s="210" t="str">
        <f>IFERROR(__xludf.DUMMYFUNCTION("""COMPUTED_VALUE"""),"07250599")</f>
        <v>07250599</v>
      </c>
      <c r="S1031" s="211" t="str">
        <f>IFERROR(__xludf.DUMMYFUNCTION("""COMPUTED_VALUE"""),"e86baf3b")</f>
        <v>e86baf3b</v>
      </c>
      <c r="T1031" s="211" t="str">
        <f>IFERROR(__xludf.DUMMYFUNCTION("""COMPUTED_VALUE"""),"PT GEMILANG CIPTA WAWASAN")</f>
        <v>PT GEMILANG CIPTA WAWASAN</v>
      </c>
      <c r="U1031" s="215">
        <f>IFERROR(__xludf.DUMMYFUNCTION("""COMPUTED_VALUE"""),45861.33263888889)</f>
        <v>45861.33264</v>
      </c>
      <c r="V1031" s="211" t="str">
        <f>IFERROR(__xludf.DUMMYFUNCTION("""COMPUTED_VALUE"""),"JL TEBET RAYA, 2A, TEBET BARAT, TEBET, KOTA ADM, JAKARTA SELATAN, DKI JAKARTA")</f>
        <v>JL TEBET RAYA, 2A, TEBET BARAT, TEBET, KOTA ADM, JAKARTA SELATAN, DKI JAKARTA</v>
      </c>
      <c r="W1031" s="211" t="str">
        <f>IFERROR(__xludf.DUMMYFUNCTION("""COMPUTED_VALUE"""),"OUT")</f>
        <v>OUT</v>
      </c>
      <c r="X1031" s="211"/>
      <c r="Z1031" s="211" t="str">
        <f>IFERROR(__xludf.DUMMYFUNCTION("""COMPUTED_VALUE"""),"06250481")</f>
        <v>06250481</v>
      </c>
      <c r="AL1031" s="211"/>
      <c r="AM1031" s="211"/>
      <c r="AN1031" s="211"/>
      <c r="AO1031" s="211"/>
      <c r="AP1031" s="215"/>
      <c r="AQ1031" s="218"/>
      <c r="AR1031" s="211"/>
    </row>
    <row r="1032">
      <c r="A1032" s="210" t="str">
        <f>IFERROR(__xludf.DUMMYFUNCTION("""COMPUTED_VALUE"""),"05250423")</f>
        <v>05250423</v>
      </c>
      <c r="B1032" s="210" t="str">
        <f>IFERROR(__xludf.DUMMYFUNCTION("""COMPUTED_VALUE"""),"05250423")</f>
        <v>05250423</v>
      </c>
      <c r="C1032" s="213">
        <f>IFERROR(__xludf.DUMMYFUNCTION("""COMPUTED_VALUE"""),45790.35972222222)</f>
        <v>45790.35972</v>
      </c>
      <c r="D1032" s="211" t="str">
        <f>IFERROR(__xludf.DUMMYFUNCTION("""COMPUTED_VALUE"""),"3fec37df")</f>
        <v>3fec37df</v>
      </c>
      <c r="E1032" s="211" t="str">
        <f>IFERROR(__xludf.DUMMYFUNCTION("""COMPUTED_VALUE"""),"PT Jatim Abadi Perkasa Steel")</f>
        <v>PT Jatim Abadi Perkasa Steel</v>
      </c>
      <c r="F1032" s="211" t="str">
        <f>IFERROR(__xludf.DUMMYFUNCTION("""COMPUTED_VALUE"""),"b7a8fff1")</f>
        <v>b7a8fff1</v>
      </c>
      <c r="G1032" s="211" t="str">
        <f>IFERROR(__xludf.DUMMYFUNCTION("""COMPUTED_VALUE"""),"LPG 50kg")</f>
        <v>LPG 50kg</v>
      </c>
      <c r="H1032" s="214" t="str">
        <f>IFERROR(__xludf.DUMMYFUNCTION("""COMPUTED_VALUE"""),"OUT")</f>
        <v>OUT</v>
      </c>
      <c r="I1032" s="214" t="str">
        <f>IFERROR(__xludf.DUMMYFUNCTION("""COMPUTED_VALUE"""),"NORMAL")</f>
        <v>NORMAL</v>
      </c>
      <c r="J1032" s="211">
        <f>IFERROR(__xludf.DUMMYFUNCTION("""COMPUTED_VALUE"""),5.0)</f>
        <v>5</v>
      </c>
      <c r="K1032" s="211"/>
      <c r="L1032" s="211">
        <f>IFERROR(__xludf.DUMMYFUNCTION("""COMPUTED_VALUE"""),909909.9099)</f>
        <v>909909.9099</v>
      </c>
      <c r="M1032" s="211"/>
      <c r="N1032" s="211"/>
      <c r="O1032" s="211"/>
      <c r="Q1032" s="210" t="str">
        <f>IFERROR(__xludf.DUMMYFUNCTION("""COMPUTED_VALUE"""),"44d21c3c")</f>
        <v>44d21c3c</v>
      </c>
      <c r="R1032" s="210" t="str">
        <f>IFERROR(__xludf.DUMMYFUNCTION("""COMPUTED_VALUE"""),"44d21c3c")</f>
        <v>44d21c3c</v>
      </c>
      <c r="S1032" s="211" t="str">
        <f>IFERROR(__xludf.DUMMYFUNCTION("""COMPUTED_VALUE"""),"b218b89b")</f>
        <v>b218b89b</v>
      </c>
      <c r="T1032" s="211" t="str">
        <f>IFERROR(__xludf.DUMMYFUNCTION("""COMPUTED_VALUE"""),"PT Harapan Sentosa")</f>
        <v>PT Harapan Sentosa</v>
      </c>
      <c r="U1032" s="215">
        <f>IFERROR(__xludf.DUMMYFUNCTION("""COMPUTED_VALUE"""),45860.71666666667)</f>
        <v>45860.71667</v>
      </c>
      <c r="V1032" s="211" t="str">
        <f>IFERROR(__xludf.DUMMYFUNCTION("""COMPUTED_VALUE"""),"Seketi, Jl. Purboyo II Selatan, RT.02/RW.02, Seketi, Kec. BalongBendo, Kabupaten Sidoarjo, Jawa Timur 61263")</f>
        <v>Seketi, Jl. Purboyo II Selatan, RT.02/RW.02, Seketi, Kec. BalongBendo, Kabupaten Sidoarjo, Jawa Timur 61263</v>
      </c>
      <c r="W1032" s="211" t="str">
        <f>IFERROR(__xludf.DUMMYFUNCTION("""COMPUTED_VALUE"""),"IN")</f>
        <v>IN</v>
      </c>
      <c r="X1032" s="211"/>
      <c r="Z1032" s="211" t="str">
        <f>IFERROR(__xludf.DUMMYFUNCTION("""COMPUTED_VALUE"""),"06250480")</f>
        <v>06250480</v>
      </c>
      <c r="AL1032" s="211"/>
      <c r="AM1032" s="211"/>
      <c r="AN1032" s="211"/>
      <c r="AO1032" s="211"/>
      <c r="AP1032" s="215"/>
      <c r="AQ1032" s="218"/>
      <c r="AR1032" s="211"/>
    </row>
    <row r="1033">
      <c r="A1033" s="210" t="str">
        <f>IFERROR(__xludf.DUMMYFUNCTION("""COMPUTED_VALUE"""),"05250424")</f>
        <v>05250424</v>
      </c>
      <c r="B1033" s="210" t="str">
        <f>IFERROR(__xludf.DUMMYFUNCTION("""COMPUTED_VALUE"""),"05250424")</f>
        <v>05250424</v>
      </c>
      <c r="C1033" s="213">
        <f>IFERROR(__xludf.DUMMYFUNCTION("""COMPUTED_VALUE"""),45790.35972222222)</f>
        <v>45790.35972</v>
      </c>
      <c r="D1033" s="211" t="str">
        <f>IFERROR(__xludf.DUMMYFUNCTION("""COMPUTED_VALUE"""),"b2b5f2c5")</f>
        <v>b2b5f2c5</v>
      </c>
      <c r="E1033" s="211" t="str">
        <f>IFERROR(__xludf.DUMMYFUNCTION("""COMPUTED_VALUE"""),"Bengkel Las Bpk. Ari")</f>
        <v>Bengkel Las Bpk. Ari</v>
      </c>
      <c r="F1033" s="211" t="str">
        <f>IFERROR(__xludf.DUMMYFUNCTION("""COMPUTED_VALUE"""),"8bdbe149")</f>
        <v>8bdbe149</v>
      </c>
      <c r="G1033" s="211" t="str">
        <f>IFERROR(__xludf.DUMMYFUNCTION("""COMPUTED_VALUE"""),"Oksigen 6m3")</f>
        <v>Oksigen 6m3</v>
      </c>
      <c r="H1033" s="214" t="str">
        <f>IFERROR(__xludf.DUMMYFUNCTION("""COMPUTED_VALUE"""),"OUT")</f>
        <v>OUT</v>
      </c>
      <c r="I1033" s="214" t="str">
        <f>IFERROR(__xludf.DUMMYFUNCTION("""COMPUTED_VALUE"""),"NORMAL")</f>
        <v>NORMAL</v>
      </c>
      <c r="J1033" s="211">
        <f>IFERROR(__xludf.DUMMYFUNCTION("""COMPUTED_VALUE"""),3.0)</f>
        <v>3</v>
      </c>
      <c r="K1033" s="210" t="str">
        <f>IFERROR(__xludf.DUMMYFUNCTION("""COMPUTED_VALUE"""),"1121 1168 1173")</f>
        <v>1121 1168 1173</v>
      </c>
      <c r="L1033" s="211">
        <f>IFERROR(__xludf.DUMMYFUNCTION("""COMPUTED_VALUE"""),60000.0)</f>
        <v>60000</v>
      </c>
      <c r="M1033" s="211"/>
      <c r="N1033" s="211"/>
      <c r="O1033" s="211"/>
      <c r="Q1033" s="210" t="str">
        <f>IFERROR(__xludf.DUMMYFUNCTION("""COMPUTED_VALUE"""),"0cfebda0")</f>
        <v>0cfebda0</v>
      </c>
      <c r="R1033" s="210" t="str">
        <f>IFERROR(__xludf.DUMMYFUNCTION("""COMPUTED_VALUE"""),"0cfebda0")</f>
        <v>0cfebda0</v>
      </c>
      <c r="S1033" s="211" t="str">
        <f>IFERROR(__xludf.DUMMYFUNCTION("""COMPUTED_VALUE"""),"785e0e07")</f>
        <v>785e0e07</v>
      </c>
      <c r="T1033" s="211" t="str">
        <f>IFERROR(__xludf.DUMMYFUNCTION("""COMPUTED_VALUE"""),"Bpk. Sukirno (Bejo)")</f>
        <v>Bpk. Sukirno (Bejo)</v>
      </c>
      <c r="U1033" s="215">
        <f>IFERROR(__xludf.DUMMYFUNCTION("""COMPUTED_VALUE"""),45860.71666666667)</f>
        <v>45860.71667</v>
      </c>
      <c r="V1033" s="211" t="str">
        <f>IFERROR(__xludf.DUMMYFUNCTION("""COMPUTED_VALUE"""),"Krajan I, Wringinanom, Kec. Wringinanom, Kabupaten Gresik, Jawa Timur 61176")</f>
        <v>Krajan I, Wringinanom, Kec. Wringinanom, Kabupaten Gresik, Jawa Timur 61176</v>
      </c>
      <c r="W1033" s="211" t="str">
        <f>IFERROR(__xludf.DUMMYFUNCTION("""COMPUTED_VALUE"""),"IN")</f>
        <v>IN</v>
      </c>
      <c r="X1033" s="211"/>
      <c r="Z1033" s="211" t="str">
        <f>IFERROR(__xludf.DUMMYFUNCTION("""COMPUTED_VALUE"""),"06250479")</f>
        <v>06250479</v>
      </c>
      <c r="AL1033" s="211"/>
      <c r="AM1033" s="211"/>
      <c r="AN1033" s="211"/>
      <c r="AO1033" s="211"/>
      <c r="AP1033" s="215"/>
      <c r="AQ1033" s="218"/>
      <c r="AR1033" s="211"/>
    </row>
    <row r="1034">
      <c r="A1034" s="210" t="str">
        <f>IFERROR(__xludf.DUMMYFUNCTION("""COMPUTED_VALUE"""),"05250425")</f>
        <v>05250425</v>
      </c>
      <c r="B1034" s="210" t="str">
        <f>IFERROR(__xludf.DUMMYFUNCTION("""COMPUTED_VALUE"""),"05250425")</f>
        <v>05250425</v>
      </c>
      <c r="C1034" s="213">
        <f>IFERROR(__xludf.DUMMYFUNCTION("""COMPUTED_VALUE"""),45790.40625)</f>
        <v>45790.40625</v>
      </c>
      <c r="D1034" s="211" t="str">
        <f>IFERROR(__xludf.DUMMYFUNCTION("""COMPUTED_VALUE"""),"01158be1")</f>
        <v>01158be1</v>
      </c>
      <c r="E1034" s="211" t="str">
        <f>IFERROR(__xludf.DUMMYFUNCTION("""COMPUTED_VALUE"""),"GYF")</f>
        <v>GYF</v>
      </c>
      <c r="F1034" s="211" t="str">
        <f>IFERROR(__xludf.DUMMYFUNCTION("""COMPUTED_VALUE"""),"8bdbe149")</f>
        <v>8bdbe149</v>
      </c>
      <c r="G1034" s="211" t="str">
        <f>IFERROR(__xludf.DUMMYFUNCTION("""COMPUTED_VALUE"""),"Oksigen 6m3")</f>
        <v>Oksigen 6m3</v>
      </c>
      <c r="H1034" s="214" t="str">
        <f>IFERROR(__xludf.DUMMYFUNCTION("""COMPUTED_VALUE"""),"OUT")</f>
        <v>OUT</v>
      </c>
      <c r="I1034" s="214" t="str">
        <f>IFERROR(__xludf.DUMMYFUNCTION("""COMPUTED_VALUE"""),"NORMAL")</f>
        <v>NORMAL</v>
      </c>
      <c r="J1034" s="211">
        <f>IFERROR(__xludf.DUMMYFUNCTION("""COMPUTED_VALUE"""),15.0)</f>
        <v>15</v>
      </c>
      <c r="K1034" s="210" t="str">
        <f>IFERROR(__xludf.DUMMYFUNCTION("""COMPUTED_VALUE"""),"11241 11228 11244 11269 1157 11114 11234 11260 1190 1129 11194 11111 1191 11268 11121")</f>
        <v>11241 11228 11244 11269 1157 11114 11234 11260 1190 1129 11194 11111 1191 11268 11121</v>
      </c>
      <c r="L1034" s="211">
        <f>IFERROR(__xludf.DUMMYFUNCTION("""COMPUTED_VALUE"""),45000.0)</f>
        <v>45000</v>
      </c>
      <c r="M1034" s="211"/>
      <c r="N1034" s="211"/>
      <c r="O1034" s="211"/>
      <c r="Q1034" s="210" t="str">
        <f>IFERROR(__xludf.DUMMYFUNCTION("""COMPUTED_VALUE"""),"31059158")</f>
        <v>31059158</v>
      </c>
      <c r="R1034" s="210" t="str">
        <f>IFERROR(__xludf.DUMMYFUNCTION("""COMPUTED_VALUE"""),"31059158")</f>
        <v>31059158</v>
      </c>
      <c r="S1034" s="211" t="str">
        <f>IFERROR(__xludf.DUMMYFUNCTION("""COMPUTED_VALUE"""),"ec231cc9")</f>
        <v>ec231cc9</v>
      </c>
      <c r="T1034" s="211" t="str">
        <f>IFERROR(__xludf.DUMMYFUNCTION("""COMPUTED_VALUE"""),"Bpk. Kohir (Maintenance Velg)")</f>
        <v>Bpk. Kohir (Maintenance Velg)</v>
      </c>
      <c r="U1034" s="215">
        <f>IFERROR(__xludf.DUMMYFUNCTION("""COMPUTED_VALUE"""),45860.71736111111)</f>
        <v>45860.71736</v>
      </c>
      <c r="V1034" s="211" t="str">
        <f>IFERROR(__xludf.DUMMYFUNCTION("""COMPUTED_VALUE"""),"Jl. Lkr. Bypass Krian Timur, Sidogolong, Watugolong, Kec. Krian, Kabupaten Sidoarjo, Jawa Timur 61262")</f>
        <v>Jl. Lkr. Bypass Krian Timur, Sidogolong, Watugolong, Kec. Krian, Kabupaten Sidoarjo, Jawa Timur 61262</v>
      </c>
      <c r="W1034" s="211" t="str">
        <f>IFERROR(__xludf.DUMMYFUNCTION("""COMPUTED_VALUE"""),"IN")</f>
        <v>IN</v>
      </c>
      <c r="X1034" s="211"/>
      <c r="Z1034" s="211" t="str">
        <f>IFERROR(__xludf.DUMMYFUNCTION("""COMPUTED_VALUE"""),"05250478")</f>
        <v>05250478</v>
      </c>
      <c r="AL1034" s="211"/>
      <c r="AM1034" s="211"/>
      <c r="AN1034" s="211"/>
      <c r="AO1034" s="211"/>
      <c r="AP1034" s="215"/>
      <c r="AQ1034" s="218"/>
      <c r="AR1034" s="211"/>
    </row>
    <row r="1035">
      <c r="A1035" s="210" t="str">
        <f>IFERROR(__xludf.DUMMYFUNCTION("""COMPUTED_VALUE"""),"05250426")</f>
        <v>05250426</v>
      </c>
      <c r="B1035" s="210" t="str">
        <f>IFERROR(__xludf.DUMMYFUNCTION("""COMPUTED_VALUE"""),"05250426")</f>
        <v>05250426</v>
      </c>
      <c r="C1035" s="213">
        <f>IFERROR(__xludf.DUMMYFUNCTION("""COMPUTED_VALUE"""),45791.388194444444)</f>
        <v>45791.38819</v>
      </c>
      <c r="D1035" s="211" t="str">
        <f>IFERROR(__xludf.DUMMYFUNCTION("""COMPUTED_VALUE"""),"d78b2eaf")</f>
        <v>d78b2eaf</v>
      </c>
      <c r="E1035" s="211" t="str">
        <f>IFERROR(__xludf.DUMMYFUNCTION("""COMPUTED_VALUE"""),"PT Sinar Indogreen Kencana")</f>
        <v>PT Sinar Indogreen Kencana</v>
      </c>
      <c r="F1035" s="211" t="str">
        <f>IFERROR(__xludf.DUMMYFUNCTION("""COMPUTED_VALUE"""),"be525f3b")</f>
        <v>be525f3b</v>
      </c>
      <c r="G1035" s="211" t="str">
        <f>IFERROR(__xludf.DUMMYFUNCTION("""COMPUTED_VALUE"""),"LPG 12kg")</f>
        <v>LPG 12kg</v>
      </c>
      <c r="H1035" s="214" t="str">
        <f>IFERROR(__xludf.DUMMYFUNCTION("""COMPUTED_VALUE"""),"OUT")</f>
        <v>OUT</v>
      </c>
      <c r="I1035" s="214" t="str">
        <f>IFERROR(__xludf.DUMMYFUNCTION("""COMPUTED_VALUE"""),"NORMAL")</f>
        <v>NORMAL</v>
      </c>
      <c r="J1035" s="211">
        <f>IFERROR(__xludf.DUMMYFUNCTION("""COMPUTED_VALUE"""),1.0)</f>
        <v>1</v>
      </c>
      <c r="K1035" s="211"/>
      <c r="L1035" s="211">
        <f>IFERROR(__xludf.DUMMYFUNCTION("""COMPUTED_VALUE"""),189189.19)</f>
        <v>189189.19</v>
      </c>
      <c r="M1035" s="211"/>
      <c r="N1035" s="211"/>
      <c r="O1035" s="211"/>
      <c r="Q1035" s="210" t="str">
        <f>IFERROR(__xludf.DUMMYFUNCTION("""COMPUTED_VALUE"""),"64627324")</f>
        <v>64627324</v>
      </c>
      <c r="R1035" s="210" t="str">
        <f>IFERROR(__xludf.DUMMYFUNCTION("""COMPUTED_VALUE"""),"64627324")</f>
        <v>64627324</v>
      </c>
      <c r="S1035" s="211" t="str">
        <f>IFERROR(__xludf.DUMMYFUNCTION("""COMPUTED_VALUE"""),"3bcd7fe6")</f>
        <v>3bcd7fe6</v>
      </c>
      <c r="T1035" s="211" t="str">
        <f>IFERROR(__xludf.DUMMYFUNCTION("""COMPUTED_VALUE"""),"Bpk. Alvin (LB Group)")</f>
        <v>Bpk. Alvin (LB Group)</v>
      </c>
      <c r="U1035" s="215">
        <f>IFERROR(__xludf.DUMMYFUNCTION("""COMPUTED_VALUE"""),45860.71805555555)</f>
        <v>45860.71806</v>
      </c>
      <c r="V1035" s="211" t="str">
        <f>IFERROR(__xludf.DUMMYFUNCTION("""COMPUTED_VALUE"""),"MFF9+XHC, Jalan, Tambakrejo, Temuireng, Kec. Dawar Blandong, Kabupaten Mojokerto, Jawa Timur 61354")</f>
        <v>MFF9+XHC, Jalan, Tambakrejo, Temuireng, Kec. Dawar Blandong, Kabupaten Mojokerto, Jawa Timur 61354</v>
      </c>
      <c r="W1035" s="211" t="str">
        <f>IFERROR(__xludf.DUMMYFUNCTION("""COMPUTED_VALUE"""),"IN")</f>
        <v>IN</v>
      </c>
      <c r="X1035" s="211"/>
      <c r="Z1035" s="211" t="str">
        <f>IFERROR(__xludf.DUMMYFUNCTION("""COMPUTED_VALUE"""),"05250477")</f>
        <v>05250477</v>
      </c>
      <c r="AL1035" s="211"/>
      <c r="AM1035" s="211"/>
      <c r="AN1035" s="211"/>
      <c r="AO1035" s="211"/>
      <c r="AP1035" s="215"/>
      <c r="AQ1035" s="218"/>
      <c r="AR1035" s="211"/>
    </row>
    <row r="1036">
      <c r="A1036" s="210" t="str">
        <f>IFERROR(__xludf.DUMMYFUNCTION("""COMPUTED_VALUE"""),"96967266")</f>
        <v>96967266</v>
      </c>
      <c r="B1036" s="210" t="str">
        <f>IFERROR(__xludf.DUMMYFUNCTION("""COMPUTED_VALUE"""),"96967266")</f>
        <v>96967266</v>
      </c>
      <c r="C1036" s="213">
        <f>IFERROR(__xludf.DUMMYFUNCTION("""COMPUTED_VALUE"""),45791.459027777775)</f>
        <v>45791.45903</v>
      </c>
      <c r="D1036" s="211" t="str">
        <f>IFERROR(__xludf.DUMMYFUNCTION("""COMPUTED_VALUE"""),"d78b2eaf")</f>
        <v>d78b2eaf</v>
      </c>
      <c r="E1036" s="211" t="str">
        <f>IFERROR(__xludf.DUMMYFUNCTION("""COMPUTED_VALUE"""),"PT Sinar Indogreen Kencana")</f>
        <v>PT Sinar Indogreen Kencana</v>
      </c>
      <c r="F1036" s="211" t="str">
        <f>IFERROR(__xludf.DUMMYFUNCTION("""COMPUTED_VALUE"""),"be525f3b")</f>
        <v>be525f3b</v>
      </c>
      <c r="G1036" s="211" t="str">
        <f>IFERROR(__xludf.DUMMYFUNCTION("""COMPUTED_VALUE"""),"LPG 12kg")</f>
        <v>LPG 12kg</v>
      </c>
      <c r="H1036" s="214" t="str">
        <f>IFERROR(__xludf.DUMMYFUNCTION("""COMPUTED_VALUE"""),"IN")</f>
        <v>IN</v>
      </c>
      <c r="I1036" s="214" t="str">
        <f>IFERROR(__xludf.DUMMYFUNCTION("""COMPUTED_VALUE"""),"EMPTY")</f>
        <v>EMPTY</v>
      </c>
      <c r="J1036" s="211">
        <f>IFERROR(__xludf.DUMMYFUNCTION("""COMPUTED_VALUE"""),1.0)</f>
        <v>1</v>
      </c>
      <c r="K1036" s="211"/>
      <c r="L1036" s="211">
        <f>IFERROR(__xludf.DUMMYFUNCTION("""COMPUTED_VALUE"""),0.0)</f>
        <v>0</v>
      </c>
      <c r="M1036" s="211"/>
      <c r="N1036" s="211"/>
      <c r="O1036" s="211"/>
      <c r="Q1036" s="210" t="str">
        <f>IFERROR(__xludf.DUMMYFUNCTION("""COMPUTED_VALUE"""),"407250018")</f>
        <v>407250018</v>
      </c>
      <c r="R1036" s="210" t="str">
        <f>IFERROR(__xludf.DUMMYFUNCTION("""COMPUTED_VALUE"""),"407250018")</f>
        <v>407250018</v>
      </c>
      <c r="S1036" s="211" t="str">
        <f>IFERROR(__xludf.DUMMYFUNCTION("""COMPUTED_VALUE"""),"3bcd7fe6")</f>
        <v>3bcd7fe6</v>
      </c>
      <c r="T1036" s="211" t="str">
        <f>IFERROR(__xludf.DUMMYFUNCTION("""COMPUTED_VALUE"""),"Bpk. Alvin (LB Group)")</f>
        <v>Bpk. Alvin (LB Group)</v>
      </c>
      <c r="U1036" s="215">
        <f>IFERROR(__xludf.DUMMYFUNCTION("""COMPUTED_VALUE"""),45861.50833333333)</f>
        <v>45861.50833</v>
      </c>
      <c r="V1036" s="211" t="str">
        <f>IFERROR(__xludf.DUMMYFUNCTION("""COMPUTED_VALUE"""),"MFF9+XHC, Jalan, Tambakrejo, Temuireng, Kec. Dawar Blandong, Kabupaten Mojokerto, Jawa Timur 61354")</f>
        <v>MFF9+XHC, Jalan, Tambakrejo, Temuireng, Kec. Dawar Blandong, Kabupaten Mojokerto, Jawa Timur 61354</v>
      </c>
      <c r="W1036" s="211" t="str">
        <f>IFERROR(__xludf.DUMMYFUNCTION("""COMPUTED_VALUE"""),"OTHER")</f>
        <v>OTHER</v>
      </c>
      <c r="X1036" s="211"/>
      <c r="Z1036" s="211" t="str">
        <f>IFERROR(__xludf.DUMMYFUNCTION("""COMPUTED_VALUE"""),"05250473")</f>
        <v>05250473</v>
      </c>
      <c r="AL1036" s="211"/>
      <c r="AM1036" s="211"/>
      <c r="AN1036" s="211"/>
      <c r="AO1036" s="211"/>
      <c r="AP1036" s="215"/>
      <c r="AQ1036" s="218"/>
      <c r="AR1036" s="211"/>
    </row>
    <row r="1037">
      <c r="A1037" s="210" t="str">
        <f>IFERROR(__xludf.DUMMYFUNCTION("""COMPUTED_VALUE"""),"45fa361f")</f>
        <v>45fa361f</v>
      </c>
      <c r="B1037" s="210" t="str">
        <f>IFERROR(__xludf.DUMMYFUNCTION("""COMPUTED_VALUE"""),"45fa361f")</f>
        <v>45fa361f</v>
      </c>
      <c r="C1037" s="213">
        <f>IFERROR(__xludf.DUMMYFUNCTION("""COMPUTED_VALUE"""),45791.46319444444)</f>
        <v>45791.46319</v>
      </c>
      <c r="D1037" s="211" t="str">
        <f>IFERROR(__xludf.DUMMYFUNCTION("""COMPUTED_VALUE"""),"4a01ccb6")</f>
        <v>4a01ccb6</v>
      </c>
      <c r="E1037" s="211" t="str">
        <f>IFERROR(__xludf.DUMMYFUNCTION("""COMPUTED_VALUE"""),"CV ANUGERAH PERSADA TEKNIK")</f>
        <v>CV ANUGERAH PERSADA TEKNIK</v>
      </c>
      <c r="F1037" s="211" t="str">
        <f>IFERROR(__xludf.DUMMYFUNCTION("""COMPUTED_VALUE"""),"ef306e54")</f>
        <v>ef306e54</v>
      </c>
      <c r="G1037" s="211" t="str">
        <f>IFERROR(__xludf.DUMMYFUNCTION("""COMPUTED_VALUE"""),"Karbondioksida")</f>
        <v>Karbondioksida</v>
      </c>
      <c r="H1037" s="214" t="str">
        <f>IFERROR(__xludf.DUMMYFUNCTION("""COMPUTED_VALUE"""),"IN")</f>
        <v>IN</v>
      </c>
      <c r="I1037" s="214" t="str">
        <f>IFERROR(__xludf.DUMMYFUNCTION("""COMPUTED_VALUE"""),"EMPTY")</f>
        <v>EMPTY</v>
      </c>
      <c r="J1037" s="211">
        <f>IFERROR(__xludf.DUMMYFUNCTION("""COMPUTED_VALUE"""),1.0)</f>
        <v>1</v>
      </c>
      <c r="K1037" s="210" t="str">
        <f>IFERROR(__xludf.DUMMYFUNCTION("""COMPUTED_VALUE"""),"6627")</f>
        <v>6627</v>
      </c>
      <c r="L1037" s="211">
        <f>IFERROR(__xludf.DUMMYFUNCTION("""COMPUTED_VALUE"""),0.0)</f>
        <v>0</v>
      </c>
      <c r="M1037" s="211"/>
      <c r="N1037" s="211"/>
      <c r="O1037" s="211"/>
      <c r="Q1037" s="210" t="str">
        <f>IFERROR(__xludf.DUMMYFUNCTION("""COMPUTED_VALUE"""),"6e5f3182")</f>
        <v>6e5f3182</v>
      </c>
      <c r="R1037" s="210" t="str">
        <f>IFERROR(__xludf.DUMMYFUNCTION("""COMPUTED_VALUE"""),"6e5f3182")</f>
        <v>6e5f3182</v>
      </c>
      <c r="S1037" s="211" t="str">
        <f>IFERROR(__xludf.DUMMYFUNCTION("""COMPUTED_VALUE"""),"3bcd7fe6")</f>
        <v>3bcd7fe6</v>
      </c>
      <c r="T1037" s="211" t="str">
        <f>IFERROR(__xludf.DUMMYFUNCTION("""COMPUTED_VALUE"""),"Bpk. Alvin (LB Group)")</f>
        <v>Bpk. Alvin (LB Group)</v>
      </c>
      <c r="U1037" s="215">
        <f>IFERROR(__xludf.DUMMYFUNCTION("""COMPUTED_VALUE"""),45861.51041666667)</f>
        <v>45861.51042</v>
      </c>
      <c r="V1037" s="211" t="str">
        <f>IFERROR(__xludf.DUMMYFUNCTION("""COMPUTED_VALUE"""),"MFF9+XHC, Jalan, Tambakrejo, Temuireng, Kec. Dawar Blandong, Kabupaten Mojokerto, Jawa Timur 61354")</f>
        <v>MFF9+XHC, Jalan, Tambakrejo, Temuireng, Kec. Dawar Blandong, Kabupaten Mojokerto, Jawa Timur 61354</v>
      </c>
      <c r="W1037" s="211" t="str">
        <f>IFERROR(__xludf.DUMMYFUNCTION("""COMPUTED_VALUE"""),"IN")</f>
        <v>IN</v>
      </c>
      <c r="X1037" s="211"/>
      <c r="Z1037" s="211" t="str">
        <f>IFERROR(__xludf.DUMMYFUNCTION("""COMPUTED_VALUE"""),"05250471")</f>
        <v>05250471</v>
      </c>
      <c r="AL1037" s="211"/>
      <c r="AM1037" s="211"/>
      <c r="AN1037" s="211"/>
      <c r="AO1037" s="211"/>
      <c r="AP1037" s="215"/>
      <c r="AQ1037" s="218"/>
      <c r="AR1037" s="211"/>
    </row>
    <row r="1038">
      <c r="A1038" s="210" t="str">
        <f>IFERROR(__xludf.DUMMYFUNCTION("""COMPUTED_VALUE"""),"0938b567")</f>
        <v>0938b567</v>
      </c>
      <c r="B1038" s="210" t="str">
        <f>IFERROR(__xludf.DUMMYFUNCTION("""COMPUTED_VALUE"""),"0938b567")</f>
        <v>0938b567</v>
      </c>
      <c r="C1038" s="213">
        <f>IFERROR(__xludf.DUMMYFUNCTION("""COMPUTED_VALUE"""),45790.46319444444)</f>
        <v>45790.46319</v>
      </c>
      <c r="D1038" s="211" t="str">
        <f>IFERROR(__xludf.DUMMYFUNCTION("""COMPUTED_VALUE"""),"b2b5f2c5")</f>
        <v>b2b5f2c5</v>
      </c>
      <c r="E1038" s="211" t="str">
        <f>IFERROR(__xludf.DUMMYFUNCTION("""COMPUTED_VALUE"""),"Bengkel Las Bpk. Ari")</f>
        <v>Bengkel Las Bpk. Ari</v>
      </c>
      <c r="F1038" s="211" t="str">
        <f>IFERROR(__xludf.DUMMYFUNCTION("""COMPUTED_VALUE"""),"8bdbe149")</f>
        <v>8bdbe149</v>
      </c>
      <c r="G1038" s="211" t="str">
        <f>IFERROR(__xludf.DUMMYFUNCTION("""COMPUTED_VALUE"""),"Oksigen 6m3")</f>
        <v>Oksigen 6m3</v>
      </c>
      <c r="H1038" s="214" t="str">
        <f>IFERROR(__xludf.DUMMYFUNCTION("""COMPUTED_VALUE"""),"IN")</f>
        <v>IN</v>
      </c>
      <c r="I1038" s="214" t="str">
        <f>IFERROR(__xludf.DUMMYFUNCTION("""COMPUTED_VALUE"""),"EMPTY")</f>
        <v>EMPTY</v>
      </c>
      <c r="J1038" s="211">
        <f>IFERROR(__xludf.DUMMYFUNCTION("""COMPUTED_VALUE"""),1.0)</f>
        <v>1</v>
      </c>
      <c r="K1038" s="210" t="str">
        <f>IFERROR(__xludf.DUMMYFUNCTION("""COMPUTED_VALUE"""),"11184")</f>
        <v>11184</v>
      </c>
      <c r="L1038" s="211">
        <f>IFERROR(__xludf.DUMMYFUNCTION("""COMPUTED_VALUE"""),0.0)</f>
        <v>0</v>
      </c>
      <c r="M1038" s="211"/>
      <c r="N1038" s="211"/>
      <c r="O1038" s="211"/>
      <c r="Q1038" s="210" t="str">
        <f>IFERROR(__xludf.DUMMYFUNCTION("""COMPUTED_VALUE"""),"63af65d8")</f>
        <v>63af65d8</v>
      </c>
      <c r="R1038" s="210" t="str">
        <f>IFERROR(__xludf.DUMMYFUNCTION("""COMPUTED_VALUE"""),"63af65d8")</f>
        <v>63af65d8</v>
      </c>
      <c r="S1038" s="211" t="str">
        <f>IFERROR(__xludf.DUMMYFUNCTION("""COMPUTED_VALUE"""),"e76bc39c")</f>
        <v>e76bc39c</v>
      </c>
      <c r="T1038" s="211" t="str">
        <f>IFERROR(__xludf.DUMMYFUNCTION("""COMPUTED_VALUE"""),"Bpk. Irul")</f>
        <v>Bpk. Irul</v>
      </c>
      <c r="U1038" s="215">
        <f>IFERROR(__xludf.DUMMYFUNCTION("""COMPUTED_VALUE"""),45861.53472222222)</f>
        <v>45861.53472</v>
      </c>
      <c r="V1038" s="211" t="str">
        <f>IFERROR(__xludf.DUMMYFUNCTION("""COMPUTED_VALUE"""),"Jl. Mayjen Bambang Yuwono, Ciro Kulon, Bakungtemenggungan, Kec. BalongBendo, Kabupaten Sidoarjo, Jawa Timur 61263")</f>
        <v>Jl. Mayjen Bambang Yuwono, Ciro Kulon, Bakungtemenggungan, Kec. BalongBendo, Kabupaten Sidoarjo, Jawa Timur 61263</v>
      </c>
      <c r="W1038" s="211" t="str">
        <f>IFERROR(__xludf.DUMMYFUNCTION("""COMPUTED_VALUE"""),"IN")</f>
        <v>IN</v>
      </c>
      <c r="X1038" s="211"/>
      <c r="Z1038" s="211" t="str">
        <f>IFERROR(__xludf.DUMMYFUNCTION("""COMPUTED_VALUE"""),"05250470")</f>
        <v>05250470</v>
      </c>
      <c r="AL1038" s="211"/>
      <c r="AM1038" s="211"/>
      <c r="AN1038" s="211"/>
      <c r="AO1038" s="211"/>
      <c r="AP1038" s="215"/>
      <c r="AQ1038" s="218"/>
      <c r="AR1038" s="211"/>
    </row>
    <row r="1039">
      <c r="A1039" s="210" t="str">
        <f>IFERROR(__xludf.DUMMYFUNCTION("""COMPUTED_VALUE"""),"bed5a83a")</f>
        <v>bed5a83a</v>
      </c>
      <c r="B1039" s="210" t="str">
        <f>IFERROR(__xludf.DUMMYFUNCTION("""COMPUTED_VALUE"""),"bed5a83a")</f>
        <v>bed5a83a</v>
      </c>
      <c r="C1039" s="213">
        <f>IFERROR(__xludf.DUMMYFUNCTION("""COMPUTED_VALUE"""),45790.46388888889)</f>
        <v>45790.46389</v>
      </c>
      <c r="D1039" s="211" t="str">
        <f>IFERROR(__xludf.DUMMYFUNCTION("""COMPUTED_VALUE"""),"01158be1")</f>
        <v>01158be1</v>
      </c>
      <c r="E1039" s="211" t="str">
        <f>IFERROR(__xludf.DUMMYFUNCTION("""COMPUTED_VALUE"""),"GYF")</f>
        <v>GYF</v>
      </c>
      <c r="F1039" s="211" t="str">
        <f>IFERROR(__xludf.DUMMYFUNCTION("""COMPUTED_VALUE"""),"8bdbe149")</f>
        <v>8bdbe149</v>
      </c>
      <c r="G1039" s="211" t="str">
        <f>IFERROR(__xludf.DUMMYFUNCTION("""COMPUTED_VALUE"""),"Oksigen 6m3")</f>
        <v>Oksigen 6m3</v>
      </c>
      <c r="H1039" s="214" t="str">
        <f>IFERROR(__xludf.DUMMYFUNCTION("""COMPUTED_VALUE"""),"IN")</f>
        <v>IN</v>
      </c>
      <c r="I1039" s="214" t="str">
        <f>IFERROR(__xludf.DUMMYFUNCTION("""COMPUTED_VALUE"""),"EMPTY")</f>
        <v>EMPTY</v>
      </c>
      <c r="J1039" s="211">
        <f>IFERROR(__xludf.DUMMYFUNCTION("""COMPUTED_VALUE"""),10.0)</f>
        <v>10</v>
      </c>
      <c r="K1039" s="210" t="str">
        <f>IFERROR(__xludf.DUMMYFUNCTION("""COMPUTED_VALUE"""),"11271 1141 11106 11290 11288 11158 11162 1193 1116 11108")</f>
        <v>11271 1141 11106 11290 11288 11158 11162 1193 1116 11108</v>
      </c>
      <c r="L1039" s="211">
        <f>IFERROR(__xludf.DUMMYFUNCTION("""COMPUTED_VALUE"""),0.0)</f>
        <v>0</v>
      </c>
      <c r="M1039" s="211"/>
      <c r="N1039" s="211"/>
      <c r="O1039" s="211"/>
      <c r="Q1039" s="210" t="str">
        <f>IFERROR(__xludf.DUMMYFUNCTION("""COMPUTED_VALUE"""),"331f20a4")</f>
        <v>331f20a4</v>
      </c>
      <c r="R1039" s="210" t="str">
        <f>IFERROR(__xludf.DUMMYFUNCTION("""COMPUTED_VALUE"""),"331f20a4")</f>
        <v>331f20a4</v>
      </c>
      <c r="S1039" s="211" t="str">
        <f>IFERROR(__xludf.DUMMYFUNCTION("""COMPUTED_VALUE"""),"d78b2eaf")</f>
        <v>d78b2eaf</v>
      </c>
      <c r="T1039" s="211" t="str">
        <f>IFERROR(__xludf.DUMMYFUNCTION("""COMPUTED_VALUE"""),"PT Sinar Indogreen Kencana")</f>
        <v>PT Sinar Indogreen Kencana</v>
      </c>
      <c r="U1039" s="215">
        <f>IFERROR(__xludf.DUMMYFUNCTION("""COMPUTED_VALUE"""),45861.56458333333)</f>
        <v>45861.56458</v>
      </c>
      <c r="V1039" s="211" t="str">
        <f>IFERROR(__xludf.DUMMYFUNCTION("""COMPUTED_VALUE"""),"Jl. Raya Ponokawan 8b RT/001 RW/002, Ponokawan, Krian, Sidoarjo")</f>
        <v>Jl. Raya Ponokawan 8b RT/001 RW/002, Ponokawan, Krian, Sidoarjo</v>
      </c>
      <c r="W1039" s="211" t="str">
        <f>IFERROR(__xludf.DUMMYFUNCTION("""COMPUTED_VALUE"""),"IN")</f>
        <v>IN</v>
      </c>
      <c r="X1039" s="211"/>
      <c r="Z1039" s="211" t="str">
        <f>IFERROR(__xludf.DUMMYFUNCTION("""COMPUTED_VALUE"""),"05250469")</f>
        <v>05250469</v>
      </c>
      <c r="AL1039" s="211"/>
      <c r="AM1039" s="211"/>
      <c r="AN1039" s="211"/>
      <c r="AO1039" s="211"/>
      <c r="AP1039" s="215"/>
      <c r="AQ1039" s="218"/>
      <c r="AR1039" s="211"/>
    </row>
    <row r="1040">
      <c r="A1040" s="210" t="str">
        <f>IFERROR(__xludf.DUMMYFUNCTION("""COMPUTED_VALUE"""),"27c8ded2")</f>
        <v>27c8ded2</v>
      </c>
      <c r="B1040" s="210" t="str">
        <f>IFERROR(__xludf.DUMMYFUNCTION("""COMPUTED_VALUE"""),"27c8ded2")</f>
        <v>27c8ded2</v>
      </c>
      <c r="C1040" s="213">
        <f>IFERROR(__xludf.DUMMYFUNCTION("""COMPUTED_VALUE"""),45790.46666666667)</f>
        <v>45790.46667</v>
      </c>
      <c r="D1040" s="211" t="str">
        <f>IFERROR(__xludf.DUMMYFUNCTION("""COMPUTED_VALUE"""),"ce83e171")</f>
        <v>ce83e171</v>
      </c>
      <c r="E1040" s="211" t="str">
        <f>IFERROR(__xludf.DUMMYFUNCTION("""COMPUTED_VALUE"""),"Bpk. Sulaiman")</f>
        <v>Bpk. Sulaiman</v>
      </c>
      <c r="F1040" s="211" t="str">
        <f>IFERROR(__xludf.DUMMYFUNCTION("""COMPUTED_VALUE"""),"8bdbe149")</f>
        <v>8bdbe149</v>
      </c>
      <c r="G1040" s="211" t="str">
        <f>IFERROR(__xludf.DUMMYFUNCTION("""COMPUTED_VALUE"""),"Oksigen 6m3")</f>
        <v>Oksigen 6m3</v>
      </c>
      <c r="H1040" s="214" t="str">
        <f>IFERROR(__xludf.DUMMYFUNCTION("""COMPUTED_VALUE"""),"IN")</f>
        <v>IN</v>
      </c>
      <c r="I1040" s="214" t="str">
        <f>IFERROR(__xludf.DUMMYFUNCTION("""COMPUTED_VALUE"""),"EMPTY")</f>
        <v>EMPTY</v>
      </c>
      <c r="J1040" s="211">
        <f>IFERROR(__xludf.DUMMYFUNCTION("""COMPUTED_VALUE"""),4.0)</f>
        <v>4</v>
      </c>
      <c r="K1040" s="210" t="str">
        <f>IFERROR(__xludf.DUMMYFUNCTION("""COMPUTED_VALUE"""),"11150 11147 11279 11276")</f>
        <v>11150 11147 11279 11276</v>
      </c>
      <c r="L1040" s="211">
        <f>IFERROR(__xludf.DUMMYFUNCTION("""COMPUTED_VALUE"""),0.0)</f>
        <v>0</v>
      </c>
      <c r="M1040" s="211"/>
      <c r="N1040" s="211"/>
      <c r="O1040" s="211"/>
      <c r="Q1040" s="210" t="str">
        <f>IFERROR(__xludf.DUMMYFUNCTION("""COMPUTED_VALUE"""),"07250602")</f>
        <v>07250602</v>
      </c>
      <c r="R1040" s="210" t="str">
        <f>IFERROR(__xludf.DUMMYFUNCTION("""COMPUTED_VALUE"""),"07250602")</f>
        <v>07250602</v>
      </c>
      <c r="S1040" s="211" t="str">
        <f>IFERROR(__xludf.DUMMYFUNCTION("""COMPUTED_VALUE"""),"eec2e801")</f>
        <v>eec2e801</v>
      </c>
      <c r="T1040" s="211" t="str">
        <f>IFERROR(__xludf.DUMMYFUNCTION("""COMPUTED_VALUE"""),"Mitra Wood Sejahtera")</f>
        <v>Mitra Wood Sejahtera</v>
      </c>
      <c r="U1040" s="215">
        <f>IFERROR(__xludf.DUMMYFUNCTION("""COMPUTED_VALUE"""),45861.58472222222)</f>
        <v>45861.58472</v>
      </c>
      <c r="V1040" s="211" t="str">
        <f>IFERROR(__xludf.DUMMYFUNCTION("""COMPUTED_VALUE"""),"Jl.cungkling, Jl. Tanggungan, Nanom Kidul, Lebaniwaras, Kec. Wringinanom, Kabupaten Gresik, Jawa Timur 61176")</f>
        <v>Jl.cungkling, Jl. Tanggungan, Nanom Kidul, Lebaniwaras, Kec. Wringinanom, Kabupaten Gresik, Jawa Timur 61176</v>
      </c>
      <c r="W1040" s="211" t="str">
        <f>IFERROR(__xludf.DUMMYFUNCTION("""COMPUTED_VALUE"""),"OUT")</f>
        <v>OUT</v>
      </c>
      <c r="X1040" s="211"/>
      <c r="Z1040" s="211" t="str">
        <f>IFERROR(__xludf.DUMMYFUNCTION("""COMPUTED_VALUE"""),"05250468")</f>
        <v>05250468</v>
      </c>
      <c r="AL1040" s="211"/>
      <c r="AM1040" s="211"/>
      <c r="AN1040" s="211"/>
      <c r="AO1040" s="211"/>
      <c r="AP1040" s="215"/>
      <c r="AQ1040" s="218"/>
      <c r="AR1040" s="211"/>
    </row>
    <row r="1041">
      <c r="A1041" s="210" t="str">
        <f>IFERROR(__xludf.DUMMYFUNCTION("""COMPUTED_VALUE"""),"27c8ded2")</f>
        <v>27c8ded2</v>
      </c>
      <c r="B1041" s="210" t="str">
        <f>IFERROR(__xludf.DUMMYFUNCTION("""COMPUTED_VALUE"""),"27c8ded2")</f>
        <v>27c8ded2</v>
      </c>
      <c r="C1041" s="213">
        <f>IFERROR(__xludf.DUMMYFUNCTION("""COMPUTED_VALUE"""),45790.467361111114)</f>
        <v>45790.46736</v>
      </c>
      <c r="D1041" s="211" t="str">
        <f>IFERROR(__xludf.DUMMYFUNCTION("""COMPUTED_VALUE"""),"ce83e171")</f>
        <v>ce83e171</v>
      </c>
      <c r="E1041" s="211" t="str">
        <f>IFERROR(__xludf.DUMMYFUNCTION("""COMPUTED_VALUE"""),"Bpk. Sulaiman")</f>
        <v>Bpk. Sulaiman</v>
      </c>
      <c r="F1041" s="211" t="str">
        <f>IFERROR(__xludf.DUMMYFUNCTION("""COMPUTED_VALUE"""),"f6aab7a9")</f>
        <v>f6aab7a9</v>
      </c>
      <c r="G1041" s="211" t="str">
        <f>IFERROR(__xludf.DUMMYFUNCTION("""COMPUTED_VALUE"""),"Oksigen 6m3 MR")</f>
        <v>Oksigen 6m3 MR</v>
      </c>
      <c r="H1041" s="214" t="str">
        <f>IFERROR(__xludf.DUMMYFUNCTION("""COMPUTED_VALUE"""),"IN")</f>
        <v>IN</v>
      </c>
      <c r="I1041" s="214" t="str">
        <f>IFERROR(__xludf.DUMMYFUNCTION("""COMPUTED_VALUE"""),"EMPTY")</f>
        <v>EMPTY</v>
      </c>
      <c r="J1041" s="211">
        <f>IFERROR(__xludf.DUMMYFUNCTION("""COMPUTED_VALUE"""),1.0)</f>
        <v>1</v>
      </c>
      <c r="K1041" s="210" t="str">
        <f>IFERROR(__xludf.DUMMYFUNCTION("""COMPUTED_VALUE"""),"75")</f>
        <v>75</v>
      </c>
      <c r="L1041" s="211">
        <f>IFERROR(__xludf.DUMMYFUNCTION("""COMPUTED_VALUE"""),0.0)</f>
        <v>0</v>
      </c>
      <c r="M1041" s="211"/>
      <c r="N1041" s="211"/>
      <c r="O1041" s="211"/>
      <c r="Q1041" s="210" t="str">
        <f>IFERROR(__xludf.DUMMYFUNCTION("""COMPUTED_VALUE"""),"d907a601")</f>
        <v>d907a601</v>
      </c>
      <c r="R1041" s="210" t="str">
        <f>IFERROR(__xludf.DUMMYFUNCTION("""COMPUTED_VALUE"""),"d907a601")</f>
        <v>d907a601</v>
      </c>
      <c r="S1041" s="211" t="str">
        <f>IFERROR(__xludf.DUMMYFUNCTION("""COMPUTED_VALUE"""),"e86baf3b")</f>
        <v>e86baf3b</v>
      </c>
      <c r="T1041" s="211" t="str">
        <f>IFERROR(__xludf.DUMMYFUNCTION("""COMPUTED_VALUE"""),"PT GEMILANG CIPTA WAWASAN")</f>
        <v>PT GEMILANG CIPTA WAWASAN</v>
      </c>
      <c r="U1041" s="215">
        <f>IFERROR(__xludf.DUMMYFUNCTION("""COMPUTED_VALUE"""),45861.77986111111)</f>
        <v>45861.77986</v>
      </c>
      <c r="V1041" s="211" t="str">
        <f>IFERROR(__xludf.DUMMYFUNCTION("""COMPUTED_VALUE"""),"JL TEBET RAYA, 2A, TEBET BARAT, TEBET, KOTA ADM, JAKARTA SELATAN, DKI JAKARTA")</f>
        <v>JL TEBET RAYA, 2A, TEBET BARAT, TEBET, KOTA ADM, JAKARTA SELATAN, DKI JAKARTA</v>
      </c>
      <c r="W1041" s="211" t="str">
        <f>IFERROR(__xludf.DUMMYFUNCTION("""COMPUTED_VALUE"""),"IN")</f>
        <v>IN</v>
      </c>
      <c r="X1041" s="211"/>
      <c r="Z1041" s="211" t="str">
        <f>IFERROR(__xludf.DUMMYFUNCTION("""COMPUTED_VALUE"""),"05250465")</f>
        <v>05250465</v>
      </c>
      <c r="AL1041" s="211"/>
      <c r="AM1041" s="211"/>
      <c r="AN1041" s="211"/>
      <c r="AO1041" s="211"/>
      <c r="AP1041" s="215"/>
      <c r="AQ1041" s="218"/>
      <c r="AR1041" s="211"/>
    </row>
    <row r="1042">
      <c r="A1042" s="210" t="str">
        <f>IFERROR(__xludf.DUMMYFUNCTION("""COMPUTED_VALUE"""),"c33ac43a")</f>
        <v>c33ac43a</v>
      </c>
      <c r="B1042" s="210" t="str">
        <f>IFERROR(__xludf.DUMMYFUNCTION("""COMPUTED_VALUE"""),"c33ac43a")</f>
        <v>c33ac43a</v>
      </c>
      <c r="C1042" s="213">
        <f>IFERROR(__xludf.DUMMYFUNCTION("""COMPUTED_VALUE"""),45790.46805555555)</f>
        <v>45790.46806</v>
      </c>
      <c r="D1042" s="211" t="str">
        <f>IFERROR(__xludf.DUMMYFUNCTION("""COMPUTED_VALUE"""),"3fec37df")</f>
        <v>3fec37df</v>
      </c>
      <c r="E1042" s="211" t="str">
        <f>IFERROR(__xludf.DUMMYFUNCTION("""COMPUTED_VALUE"""),"PT Jatim Abadi Perkasa Steel")</f>
        <v>PT Jatim Abadi Perkasa Steel</v>
      </c>
      <c r="F1042" s="211" t="str">
        <f>IFERROR(__xludf.DUMMYFUNCTION("""COMPUTED_VALUE"""),"b7a8fff1")</f>
        <v>b7a8fff1</v>
      </c>
      <c r="G1042" s="211" t="str">
        <f>IFERROR(__xludf.DUMMYFUNCTION("""COMPUTED_VALUE"""),"LPG 50kg")</f>
        <v>LPG 50kg</v>
      </c>
      <c r="H1042" s="214" t="str">
        <f>IFERROR(__xludf.DUMMYFUNCTION("""COMPUTED_VALUE"""),"IN")</f>
        <v>IN</v>
      </c>
      <c r="I1042" s="214" t="str">
        <f>IFERROR(__xludf.DUMMYFUNCTION("""COMPUTED_VALUE"""),"EMPTY")</f>
        <v>EMPTY</v>
      </c>
      <c r="J1042" s="211">
        <f>IFERROR(__xludf.DUMMYFUNCTION("""COMPUTED_VALUE"""),5.0)</f>
        <v>5</v>
      </c>
      <c r="K1042" s="211"/>
      <c r="L1042" s="211">
        <f>IFERROR(__xludf.DUMMYFUNCTION("""COMPUTED_VALUE"""),0.0)</f>
        <v>0</v>
      </c>
      <c r="M1042" s="211"/>
      <c r="N1042" s="211"/>
      <c r="O1042" s="211"/>
      <c r="Q1042" s="210" t="str">
        <f>IFERROR(__xludf.DUMMYFUNCTION("""COMPUTED_VALUE"""),"49f35469")</f>
        <v>49f35469</v>
      </c>
      <c r="R1042" s="210" t="str">
        <f>IFERROR(__xludf.DUMMYFUNCTION("""COMPUTED_VALUE"""),"49f35469")</f>
        <v>49f35469</v>
      </c>
      <c r="S1042" s="211" t="str">
        <f>IFERROR(__xludf.DUMMYFUNCTION("""COMPUTED_VALUE"""),"eec2e801")</f>
        <v>eec2e801</v>
      </c>
      <c r="T1042" s="211" t="str">
        <f>IFERROR(__xludf.DUMMYFUNCTION("""COMPUTED_VALUE"""),"Mitra Wood Sejahtera")</f>
        <v>Mitra Wood Sejahtera</v>
      </c>
      <c r="U1042" s="215">
        <f>IFERROR(__xludf.DUMMYFUNCTION("""COMPUTED_VALUE"""),45861.78055555555)</f>
        <v>45861.78056</v>
      </c>
      <c r="V1042" s="211" t="str">
        <f>IFERROR(__xludf.DUMMYFUNCTION("""COMPUTED_VALUE"""),"Jl.cungkling, Jl. Tanggungan, Nanom Kidul, Lebaniwaras, Kec. Wringinanom, Kabupaten Gresik, Jawa Timur 61176")</f>
        <v>Jl.cungkling, Jl. Tanggungan, Nanom Kidul, Lebaniwaras, Kec. Wringinanom, Kabupaten Gresik, Jawa Timur 61176</v>
      </c>
      <c r="W1042" s="211" t="str">
        <f>IFERROR(__xludf.DUMMYFUNCTION("""COMPUTED_VALUE"""),"IN")</f>
        <v>IN</v>
      </c>
      <c r="X1042" s="211"/>
      <c r="Z1042" s="211" t="str">
        <f>IFERROR(__xludf.DUMMYFUNCTION("""COMPUTED_VALUE"""),"05250463")</f>
        <v>05250463</v>
      </c>
      <c r="AL1042" s="211"/>
      <c r="AM1042" s="211"/>
      <c r="AN1042" s="211"/>
      <c r="AO1042" s="211"/>
      <c r="AP1042" s="215"/>
      <c r="AQ1042" s="218"/>
      <c r="AR1042" s="211"/>
    </row>
    <row r="1043">
      <c r="A1043" s="210" t="str">
        <f>IFERROR(__xludf.DUMMYFUNCTION("""COMPUTED_VALUE"""),"05250427")</f>
        <v>05250427</v>
      </c>
      <c r="B1043" s="210" t="str">
        <f>IFERROR(__xludf.DUMMYFUNCTION("""COMPUTED_VALUE"""),"05250427")</f>
        <v>05250427</v>
      </c>
      <c r="C1043" s="213">
        <f>IFERROR(__xludf.DUMMYFUNCTION("""COMPUTED_VALUE"""),45791.649305555555)</f>
        <v>45791.64931</v>
      </c>
      <c r="D1043" s="211" t="str">
        <f>IFERROR(__xludf.DUMMYFUNCTION("""COMPUTED_VALUE"""),"8ea74d81")</f>
        <v>8ea74d81</v>
      </c>
      <c r="E1043" s="211" t="str">
        <f>IFERROR(__xludf.DUMMYFUNCTION("""COMPUTED_VALUE"""),"Bengkel Adi Putra")</f>
        <v>Bengkel Adi Putra</v>
      </c>
      <c r="F1043" s="211" t="str">
        <f>IFERROR(__xludf.DUMMYFUNCTION("""COMPUTED_VALUE"""),"3b9d6a30")</f>
        <v>3b9d6a30</v>
      </c>
      <c r="G1043" s="211" t="str">
        <f>IFERROR(__xludf.DUMMYFUNCTION("""COMPUTED_VALUE"""),"Acetyline")</f>
        <v>Acetyline</v>
      </c>
      <c r="H1043" s="214" t="str">
        <f>IFERROR(__xludf.DUMMYFUNCTION("""COMPUTED_VALUE"""),"OUT")</f>
        <v>OUT</v>
      </c>
      <c r="I1043" s="214" t="str">
        <f>IFERROR(__xludf.DUMMYFUNCTION("""COMPUTED_VALUE"""),"NORMAL")</f>
        <v>NORMAL</v>
      </c>
      <c r="J1043" s="211">
        <f>IFERROR(__xludf.DUMMYFUNCTION("""COMPUTED_VALUE"""),1.0)</f>
        <v>1</v>
      </c>
      <c r="K1043" s="210" t="str">
        <f>IFERROR(__xludf.DUMMYFUNCTION("""COMPUTED_VALUE"""),"7836")</f>
        <v>7836</v>
      </c>
      <c r="L1043" s="211">
        <f>IFERROR(__xludf.DUMMYFUNCTION("""COMPUTED_VALUE"""),400000.0)</f>
        <v>400000</v>
      </c>
      <c r="M1043" s="211"/>
      <c r="N1043" s="211"/>
      <c r="O1043" s="211"/>
      <c r="Q1043" s="210" t="str">
        <f>IFERROR(__xludf.DUMMYFUNCTION("""COMPUTED_VALUE"""),"07250606")</f>
        <v>07250606</v>
      </c>
      <c r="R1043" s="210" t="str">
        <f>IFERROR(__xludf.DUMMYFUNCTION("""COMPUTED_VALUE"""),"07250606")</f>
        <v>07250606</v>
      </c>
      <c r="S1043" s="211" t="str">
        <f>IFERROR(__xludf.DUMMYFUNCTION("""COMPUTED_VALUE"""),"b218b89b")</f>
        <v>b218b89b</v>
      </c>
      <c r="T1043" s="211" t="str">
        <f>IFERROR(__xludf.DUMMYFUNCTION("""COMPUTED_VALUE"""),"PT Harapan Sentosa")</f>
        <v>PT Harapan Sentosa</v>
      </c>
      <c r="U1043" s="215">
        <f>IFERROR(__xludf.DUMMYFUNCTION("""COMPUTED_VALUE"""),45862.43194444444)</f>
        <v>45862.43194</v>
      </c>
      <c r="V1043" s="211" t="str">
        <f>IFERROR(__xludf.DUMMYFUNCTION("""COMPUTED_VALUE"""),"Seketi, Jl. Purboyo II Selatan, RT.02/RW.02, Seketi, Kec. BalongBendo, Kabupaten Sidoarjo, Jawa Timur 61263")</f>
        <v>Seketi, Jl. Purboyo II Selatan, RT.02/RW.02, Seketi, Kec. BalongBendo, Kabupaten Sidoarjo, Jawa Timur 61263</v>
      </c>
      <c r="W1043" s="211" t="str">
        <f>IFERROR(__xludf.DUMMYFUNCTION("""COMPUTED_VALUE"""),"OUT")</f>
        <v>OUT</v>
      </c>
      <c r="X1043" s="211"/>
      <c r="Z1043" s="211" t="str">
        <f>IFERROR(__xludf.DUMMYFUNCTION("""COMPUTED_VALUE"""),"05250462")</f>
        <v>05250462</v>
      </c>
      <c r="AL1043" s="211"/>
      <c r="AM1043" s="211"/>
      <c r="AN1043" s="211"/>
      <c r="AO1043" s="211"/>
      <c r="AP1043" s="215"/>
      <c r="AQ1043" s="218"/>
      <c r="AR1043" s="211"/>
    </row>
    <row r="1044">
      <c r="A1044" s="210" t="str">
        <f>IFERROR(__xludf.DUMMYFUNCTION("""COMPUTED_VALUE"""),"058bfed4")</f>
        <v>058bfed4</v>
      </c>
      <c r="B1044" s="210" t="str">
        <f>IFERROR(__xludf.DUMMYFUNCTION("""COMPUTED_VALUE"""),"058bfed4")</f>
        <v>058bfed4</v>
      </c>
      <c r="C1044" s="213">
        <f>IFERROR(__xludf.DUMMYFUNCTION("""COMPUTED_VALUE"""),45791.675)</f>
        <v>45791.675</v>
      </c>
      <c r="D1044" s="211" t="str">
        <f>IFERROR(__xludf.DUMMYFUNCTION("""COMPUTED_VALUE"""),"8ea74d81")</f>
        <v>8ea74d81</v>
      </c>
      <c r="E1044" s="211" t="str">
        <f>IFERROR(__xludf.DUMMYFUNCTION("""COMPUTED_VALUE"""),"Bengkel Adi Putra")</f>
        <v>Bengkel Adi Putra</v>
      </c>
      <c r="F1044" s="211" t="str">
        <f>IFERROR(__xludf.DUMMYFUNCTION("""COMPUTED_VALUE"""),"3b9d6a30")</f>
        <v>3b9d6a30</v>
      </c>
      <c r="G1044" s="211" t="str">
        <f>IFERROR(__xludf.DUMMYFUNCTION("""COMPUTED_VALUE"""),"Acetyline")</f>
        <v>Acetyline</v>
      </c>
      <c r="H1044" s="214" t="str">
        <f>IFERROR(__xludf.DUMMYFUNCTION("""COMPUTED_VALUE"""),"IN")</f>
        <v>IN</v>
      </c>
      <c r="I1044" s="214" t="str">
        <f>IFERROR(__xludf.DUMMYFUNCTION("""COMPUTED_VALUE"""),"EMPTY")</f>
        <v>EMPTY</v>
      </c>
      <c r="J1044" s="211">
        <f>IFERROR(__xludf.DUMMYFUNCTION("""COMPUTED_VALUE"""),1.0)</f>
        <v>1</v>
      </c>
      <c r="K1044" s="210" t="str">
        <f>IFERROR(__xludf.DUMMYFUNCTION("""COMPUTED_VALUE"""),"7806")</f>
        <v>7806</v>
      </c>
      <c r="L1044" s="211">
        <f>IFERROR(__xludf.DUMMYFUNCTION("""COMPUTED_VALUE"""),0.0)</f>
        <v>0</v>
      </c>
      <c r="M1044" s="211"/>
      <c r="N1044" s="211"/>
      <c r="O1044" s="211"/>
      <c r="Q1044" s="210" t="str">
        <f>IFERROR(__xludf.DUMMYFUNCTION("""COMPUTED_VALUE"""),"6eeee09c")</f>
        <v>6eeee09c</v>
      </c>
      <c r="R1044" s="210" t="str">
        <f>IFERROR(__xludf.DUMMYFUNCTION("""COMPUTED_VALUE"""),"6eeee09c")</f>
        <v>6eeee09c</v>
      </c>
      <c r="S1044" s="211" t="str">
        <f>IFERROR(__xludf.DUMMYFUNCTION("""COMPUTED_VALUE"""),"b218b89b")</f>
        <v>b218b89b</v>
      </c>
      <c r="T1044" s="211" t="str">
        <f>IFERROR(__xludf.DUMMYFUNCTION("""COMPUTED_VALUE"""),"PT Harapan Sentosa")</f>
        <v>PT Harapan Sentosa</v>
      </c>
      <c r="U1044" s="215">
        <f>IFERROR(__xludf.DUMMYFUNCTION("""COMPUTED_VALUE"""),45862.509722222225)</f>
        <v>45862.50972</v>
      </c>
      <c r="V1044" s="211" t="str">
        <f>IFERROR(__xludf.DUMMYFUNCTION("""COMPUTED_VALUE"""),"Seketi, Jl. Purboyo II Selatan, RT.02/RW.02, Seketi, Kec. BalongBendo, Kabupaten Sidoarjo, Jawa Timur 61263")</f>
        <v>Seketi, Jl. Purboyo II Selatan, RT.02/RW.02, Seketi, Kec. BalongBendo, Kabupaten Sidoarjo, Jawa Timur 61263</v>
      </c>
      <c r="W1044" s="211" t="str">
        <f>IFERROR(__xludf.DUMMYFUNCTION("""COMPUTED_VALUE"""),"IN")</f>
        <v>IN</v>
      </c>
      <c r="X1044" s="211"/>
      <c r="Z1044" s="211" t="str">
        <f>IFERROR(__xludf.DUMMYFUNCTION("""COMPUTED_VALUE"""),"05250459")</f>
        <v>05250459</v>
      </c>
      <c r="AL1044" s="211"/>
      <c r="AM1044" s="211"/>
      <c r="AN1044" s="211"/>
      <c r="AO1044" s="211"/>
      <c r="AP1044" s="215"/>
      <c r="AQ1044" s="218"/>
      <c r="AR1044" s="211"/>
    </row>
    <row r="1045">
      <c r="A1045" s="210" t="str">
        <f>IFERROR(__xludf.DUMMYFUNCTION("""COMPUTED_VALUE"""),"05250428")</f>
        <v>05250428</v>
      </c>
      <c r="B1045" s="210" t="str">
        <f>IFERROR(__xludf.DUMMYFUNCTION("""COMPUTED_VALUE"""),"05250428")</f>
        <v>05250428</v>
      </c>
      <c r="C1045" s="213">
        <f>IFERROR(__xludf.DUMMYFUNCTION("""COMPUTED_VALUE"""),45792.381944444445)</f>
        <v>45792.38194</v>
      </c>
      <c r="D1045" s="211" t="str">
        <f>IFERROR(__xludf.DUMMYFUNCTION("""COMPUTED_VALUE"""),"103f3ae7")</f>
        <v>103f3ae7</v>
      </c>
      <c r="E1045" s="211" t="str">
        <f>IFERROR(__xludf.DUMMYFUNCTION("""COMPUTED_VALUE"""),"PT ARYANA CAKASANA")</f>
        <v>PT ARYANA CAKASANA</v>
      </c>
      <c r="F1045" s="211" t="str">
        <f>IFERROR(__xludf.DUMMYFUNCTION("""COMPUTED_VALUE"""),"8bdbe149")</f>
        <v>8bdbe149</v>
      </c>
      <c r="G1045" s="211" t="str">
        <f>IFERROR(__xludf.DUMMYFUNCTION("""COMPUTED_VALUE"""),"Oksigen 6m3")</f>
        <v>Oksigen 6m3</v>
      </c>
      <c r="H1045" s="214" t="str">
        <f>IFERROR(__xludf.DUMMYFUNCTION("""COMPUTED_VALUE"""),"OUT")</f>
        <v>OUT</v>
      </c>
      <c r="I1045" s="214" t="str">
        <f>IFERROR(__xludf.DUMMYFUNCTION("""COMPUTED_VALUE"""),"NORMAL")</f>
        <v>NORMAL</v>
      </c>
      <c r="J1045" s="211">
        <f>IFERROR(__xludf.DUMMYFUNCTION("""COMPUTED_VALUE"""),10.0)</f>
        <v>10</v>
      </c>
      <c r="K1045" s="210" t="str">
        <f>IFERROR(__xludf.DUMMYFUNCTION("""COMPUTED_VALUE"""),"1148 1108 1101 1111 1134 1122 1142 1153 1186 11112")</f>
        <v>1148 1108 1101 1111 1134 1122 1142 1153 1186 11112</v>
      </c>
      <c r="L1045" s="211">
        <f>IFERROR(__xludf.DUMMYFUNCTION("""COMPUTED_VALUE"""),47297.2973)</f>
        <v>47297.2973</v>
      </c>
      <c r="M1045" s="211"/>
      <c r="N1045" s="211"/>
      <c r="O1045" s="211"/>
      <c r="Q1045" s="210" t="str">
        <f>IFERROR(__xludf.DUMMYFUNCTION("""COMPUTED_VALUE"""),"3c543d79")</f>
        <v>3c543d79</v>
      </c>
      <c r="R1045" s="210" t="str">
        <f>IFERROR(__xludf.DUMMYFUNCTION("""COMPUTED_VALUE"""),"3c543d79")</f>
        <v>3c543d79</v>
      </c>
      <c r="S1045" s="211" t="str">
        <f>IFERROR(__xludf.DUMMYFUNCTION("""COMPUTED_VALUE"""),"01158be1")</f>
        <v>01158be1</v>
      </c>
      <c r="T1045" s="211" t="str">
        <f>IFERROR(__xludf.DUMMYFUNCTION("""COMPUTED_VALUE"""),"GYF")</f>
        <v>GYF</v>
      </c>
      <c r="U1045" s="215">
        <f>IFERROR(__xludf.DUMMYFUNCTION("""COMPUTED_VALUE"""),45862.51111111111)</f>
        <v>45862.51111</v>
      </c>
      <c r="V1045" s="211" t="str">
        <f>IFERROR(__xludf.DUMMYFUNCTION("""COMPUTED_VALUE"""),"Kangkungan, Lengkong, Kec. Mojoanyar, Kabupaten Mojokerto, Jawa Timur")</f>
        <v>Kangkungan, Lengkong, Kec. Mojoanyar, Kabupaten Mojokerto, Jawa Timur</v>
      </c>
      <c r="W1045" s="211" t="str">
        <f>IFERROR(__xludf.DUMMYFUNCTION("""COMPUTED_VALUE"""),"IN")</f>
        <v>IN</v>
      </c>
      <c r="X1045" s="211"/>
      <c r="Z1045" s="211" t="str">
        <f>IFERROR(__xludf.DUMMYFUNCTION("""COMPUTED_VALUE"""),"05250458")</f>
        <v>05250458</v>
      </c>
      <c r="AL1045" s="211"/>
      <c r="AM1045" s="211"/>
      <c r="AN1045" s="211"/>
      <c r="AO1045" s="211"/>
      <c r="AP1045" s="215"/>
      <c r="AQ1045" s="218"/>
      <c r="AR1045" s="211"/>
    </row>
    <row r="1046">
      <c r="A1046" s="210" t="str">
        <f>IFERROR(__xludf.DUMMYFUNCTION("""COMPUTED_VALUE"""),"dff43447")</f>
        <v>dff43447</v>
      </c>
      <c r="B1046" s="210" t="str">
        <f>IFERROR(__xludf.DUMMYFUNCTION("""COMPUTED_VALUE"""),"dff43447")</f>
        <v>dff43447</v>
      </c>
      <c r="C1046" s="213">
        <f>IFERROR(__xludf.DUMMYFUNCTION("""COMPUTED_VALUE"""),45792.464583333334)</f>
        <v>45792.46458</v>
      </c>
      <c r="D1046" s="211" t="str">
        <f>IFERROR(__xludf.DUMMYFUNCTION("""COMPUTED_VALUE"""),"8f5ebaea")</f>
        <v>8f5ebaea</v>
      </c>
      <c r="E1046" s="211" t="str">
        <f>IFERROR(__xludf.DUMMYFUNCTION("""COMPUTED_VALUE"""),"PT Hua Zong Mesindo")</f>
        <v>PT Hua Zong Mesindo</v>
      </c>
      <c r="F1046" s="211" t="str">
        <f>IFERROR(__xludf.DUMMYFUNCTION("""COMPUTED_VALUE"""),"66af7c72")</f>
        <v>66af7c72</v>
      </c>
      <c r="G1046" s="211" t="str">
        <f>IFERROR(__xludf.DUMMYFUNCTION("""COMPUTED_VALUE"""),"Argon 6m3")</f>
        <v>Argon 6m3</v>
      </c>
      <c r="H1046" s="214" t="str">
        <f>IFERROR(__xludf.DUMMYFUNCTION("""COMPUTED_VALUE"""),"IN")</f>
        <v>IN</v>
      </c>
      <c r="I1046" s="214" t="str">
        <f>IFERROR(__xludf.DUMMYFUNCTION("""COMPUTED_VALUE"""),"EMPTY")</f>
        <v>EMPTY</v>
      </c>
      <c r="J1046" s="211">
        <f>IFERROR(__xludf.DUMMYFUNCTION("""COMPUTED_VALUE"""),1.0)</f>
        <v>1</v>
      </c>
      <c r="K1046" s="210" t="str">
        <f>IFERROR(__xludf.DUMMYFUNCTION("""COMPUTED_VALUE"""),"12003")</f>
        <v>12003</v>
      </c>
      <c r="L1046" s="211">
        <f>IFERROR(__xludf.DUMMYFUNCTION("""COMPUTED_VALUE"""),0.0)</f>
        <v>0</v>
      </c>
      <c r="M1046" s="211"/>
      <c r="N1046" s="211"/>
      <c r="O1046" s="211"/>
      <c r="Q1046" s="210" t="str">
        <f>IFERROR(__xludf.DUMMYFUNCTION("""COMPUTED_VALUE"""),"07250607")</f>
        <v>07250607</v>
      </c>
      <c r="R1046" s="210" t="str">
        <f>IFERROR(__xludf.DUMMYFUNCTION("""COMPUTED_VALUE"""),"07250607")</f>
        <v>07250607</v>
      </c>
      <c r="S1046" s="211" t="str">
        <f>IFERROR(__xludf.DUMMYFUNCTION("""COMPUTED_VALUE"""),"a343b84d")</f>
        <v>a343b84d</v>
      </c>
      <c r="T1046" s="211" t="str">
        <f>IFERROR(__xludf.DUMMYFUNCTION("""COMPUTED_VALUE"""),"PT Utama Alim Sejahtera")</f>
        <v>PT Utama Alim Sejahtera</v>
      </c>
      <c r="U1046" s="215">
        <f>IFERROR(__xludf.DUMMYFUNCTION("""COMPUTED_VALUE"""),45863.399305555555)</f>
        <v>45863.39931</v>
      </c>
      <c r="V1046" s="211" t="str">
        <f>IFERROR(__xludf.DUMMYFUNCTION("""COMPUTED_VALUE"""),"JL. PURBOYO, SEKETI, BALONGBENDO, KAB.SIDOARJO, JAWA TIMUR, 61263")</f>
        <v>JL. PURBOYO, SEKETI, BALONGBENDO, KAB.SIDOARJO, JAWA TIMUR, 61263</v>
      </c>
      <c r="W1046" s="211" t="str">
        <f>IFERROR(__xludf.DUMMYFUNCTION("""COMPUTED_VALUE"""),"OUT")</f>
        <v>OUT</v>
      </c>
      <c r="X1046" s="211"/>
      <c r="Z1046" s="211" t="str">
        <f>IFERROR(__xludf.DUMMYFUNCTION("""COMPUTED_VALUE"""),"05250453")</f>
        <v>05250453</v>
      </c>
      <c r="AL1046" s="211"/>
      <c r="AM1046" s="211"/>
      <c r="AN1046" s="211"/>
      <c r="AO1046" s="211"/>
      <c r="AP1046" s="215"/>
      <c r="AQ1046" s="218"/>
      <c r="AR1046" s="211"/>
    </row>
    <row r="1047">
      <c r="A1047" s="210" t="str">
        <f>IFERROR(__xludf.DUMMYFUNCTION("""COMPUTED_VALUE"""),"c94298ba")</f>
        <v>c94298ba</v>
      </c>
      <c r="B1047" s="210" t="str">
        <f>IFERROR(__xludf.DUMMYFUNCTION("""COMPUTED_VALUE"""),"c94298ba")</f>
        <v>c94298ba</v>
      </c>
      <c r="C1047" s="213">
        <f>IFERROR(__xludf.DUMMYFUNCTION("""COMPUTED_VALUE"""),45792.47777777778)</f>
        <v>45792.47778</v>
      </c>
      <c r="D1047" s="211" t="str">
        <f>IFERROR(__xludf.DUMMYFUNCTION("""COMPUTED_VALUE"""),"103f3ae7")</f>
        <v>103f3ae7</v>
      </c>
      <c r="E1047" s="211" t="str">
        <f>IFERROR(__xludf.DUMMYFUNCTION("""COMPUTED_VALUE"""),"PT ARYANA CAKASANA")</f>
        <v>PT ARYANA CAKASANA</v>
      </c>
      <c r="F1047" s="211" t="str">
        <f>IFERROR(__xludf.DUMMYFUNCTION("""COMPUTED_VALUE"""),"8bdbe149")</f>
        <v>8bdbe149</v>
      </c>
      <c r="G1047" s="211" t="str">
        <f>IFERROR(__xludf.DUMMYFUNCTION("""COMPUTED_VALUE"""),"Oksigen 6m3")</f>
        <v>Oksigen 6m3</v>
      </c>
      <c r="H1047" s="214" t="str">
        <f>IFERROR(__xludf.DUMMYFUNCTION("""COMPUTED_VALUE"""),"IN")</f>
        <v>IN</v>
      </c>
      <c r="I1047" s="214" t="str">
        <f>IFERROR(__xludf.DUMMYFUNCTION("""COMPUTED_VALUE"""),"EMPTY")</f>
        <v>EMPTY</v>
      </c>
      <c r="J1047" s="211">
        <f>IFERROR(__xludf.DUMMYFUNCTION("""COMPUTED_VALUE"""),9.0)</f>
        <v>9</v>
      </c>
      <c r="K1047" s="210" t="str">
        <f>IFERROR(__xludf.DUMMYFUNCTION("""COMPUTED_VALUE"""),"1151 11124 1114 1107 11110 1137 1187 1113 1152")</f>
        <v>1151 11124 1114 1107 11110 1137 1187 1113 1152</v>
      </c>
      <c r="L1047" s="211">
        <f>IFERROR(__xludf.DUMMYFUNCTION("""COMPUTED_VALUE"""),0.0)</f>
        <v>0</v>
      </c>
      <c r="M1047" s="211"/>
      <c r="N1047" s="211"/>
      <c r="O1047" s="211"/>
      <c r="Q1047" s="210" t="str">
        <f>IFERROR(__xludf.DUMMYFUNCTION("""COMPUTED_VALUE"""),"07250608")</f>
        <v>07250608</v>
      </c>
      <c r="R1047" s="210" t="str">
        <f>IFERROR(__xludf.DUMMYFUNCTION("""COMPUTED_VALUE"""),"07250608")</f>
        <v>07250608</v>
      </c>
      <c r="S1047" s="211" t="str">
        <f>IFERROR(__xludf.DUMMYFUNCTION("""COMPUTED_VALUE"""),"01158be1")</f>
        <v>01158be1</v>
      </c>
      <c r="T1047" s="211" t="str">
        <f>IFERROR(__xludf.DUMMYFUNCTION("""COMPUTED_VALUE"""),"GYF")</f>
        <v>GYF</v>
      </c>
      <c r="U1047" s="215">
        <f>IFERROR(__xludf.DUMMYFUNCTION("""COMPUTED_VALUE"""),45863.433333333334)</f>
        <v>45863.43333</v>
      </c>
      <c r="V1047" s="211" t="str">
        <f>IFERROR(__xludf.DUMMYFUNCTION("""COMPUTED_VALUE"""),"Kangkungan, Lengkong, Kec. Mojoanyar, Kabupaten Mojokerto, Jawa Timur")</f>
        <v>Kangkungan, Lengkong, Kec. Mojoanyar, Kabupaten Mojokerto, Jawa Timur</v>
      </c>
      <c r="W1047" s="211" t="str">
        <f>IFERROR(__xludf.DUMMYFUNCTION("""COMPUTED_VALUE"""),"OUT")</f>
        <v>OUT</v>
      </c>
      <c r="X1047" s="211"/>
      <c r="Z1047" s="211" t="str">
        <f>IFERROR(__xludf.DUMMYFUNCTION("""COMPUTED_VALUE"""),"05250452")</f>
        <v>05250452</v>
      </c>
      <c r="AL1047" s="211"/>
      <c r="AM1047" s="211"/>
      <c r="AN1047" s="211"/>
      <c r="AO1047" s="211"/>
      <c r="AP1047" s="215"/>
      <c r="AQ1047" s="218"/>
      <c r="AR1047" s="211"/>
    </row>
    <row r="1048">
      <c r="A1048" s="210" t="str">
        <f>IFERROR(__xludf.DUMMYFUNCTION("""COMPUTED_VALUE"""),"05250429")</f>
        <v>05250429</v>
      </c>
      <c r="B1048" s="210" t="str">
        <f>IFERROR(__xludf.DUMMYFUNCTION("""COMPUTED_VALUE"""),"05250429")</f>
        <v>05250429</v>
      </c>
      <c r="C1048" s="213">
        <f>IFERROR(__xludf.DUMMYFUNCTION("""COMPUTED_VALUE"""),45792.586805555555)</f>
        <v>45792.58681</v>
      </c>
      <c r="D1048" s="211" t="str">
        <f>IFERROR(__xludf.DUMMYFUNCTION("""COMPUTED_VALUE"""),"1bf27092")</f>
        <v>1bf27092</v>
      </c>
      <c r="E1048" s="211" t="str">
        <f>IFERROR(__xludf.DUMMYFUNCTION("""COMPUTED_VALUE"""),"Bpk. Ari Budiarto")</f>
        <v>Bpk. Ari Budiarto</v>
      </c>
      <c r="F1048" s="211" t="str">
        <f>IFERROR(__xludf.DUMMYFUNCTION("""COMPUTED_VALUE"""),"66af7c72")</f>
        <v>66af7c72</v>
      </c>
      <c r="G1048" s="211" t="str">
        <f>IFERROR(__xludf.DUMMYFUNCTION("""COMPUTED_VALUE"""),"Argon 6m3")</f>
        <v>Argon 6m3</v>
      </c>
      <c r="H1048" s="214" t="str">
        <f>IFERROR(__xludf.DUMMYFUNCTION("""COMPUTED_VALUE"""),"OUT")</f>
        <v>OUT</v>
      </c>
      <c r="I1048" s="214" t="str">
        <f>IFERROR(__xludf.DUMMYFUNCTION("""COMPUTED_VALUE"""),"NORMAL")</f>
        <v>NORMAL</v>
      </c>
      <c r="J1048" s="211">
        <f>IFERROR(__xludf.DUMMYFUNCTION("""COMPUTED_VALUE"""),1.0)</f>
        <v>1</v>
      </c>
      <c r="K1048" s="210" t="str">
        <f>IFERROR(__xludf.DUMMYFUNCTION("""COMPUTED_VALUE"""),"12038")</f>
        <v>12038</v>
      </c>
      <c r="L1048" s="211">
        <f>IFERROR(__xludf.DUMMYFUNCTION("""COMPUTED_VALUE"""),200000.0)</f>
        <v>200000</v>
      </c>
      <c r="M1048" s="211"/>
      <c r="N1048" s="211"/>
      <c r="O1048" s="211"/>
      <c r="Q1048" s="210" t="str">
        <f>IFERROR(__xludf.DUMMYFUNCTION("""COMPUTED_VALUE"""),"a012b117")</f>
        <v>a012b117</v>
      </c>
      <c r="R1048" s="210" t="str">
        <f>IFERROR(__xludf.DUMMYFUNCTION("""COMPUTED_VALUE"""),"a012b117")</f>
        <v>a012b117</v>
      </c>
      <c r="S1048" s="211" t="str">
        <f>IFERROR(__xludf.DUMMYFUNCTION("""COMPUTED_VALUE"""),"b218b89b")</f>
        <v>b218b89b</v>
      </c>
      <c r="T1048" s="211" t="str">
        <f>IFERROR(__xludf.DUMMYFUNCTION("""COMPUTED_VALUE"""),"PT Harapan Sentosa")</f>
        <v>PT Harapan Sentosa</v>
      </c>
      <c r="U1048" s="215">
        <f>IFERROR(__xludf.DUMMYFUNCTION("""COMPUTED_VALUE"""),45863.46041666667)</f>
        <v>45863.46042</v>
      </c>
      <c r="V1048" s="211" t="str">
        <f>IFERROR(__xludf.DUMMYFUNCTION("""COMPUTED_VALUE"""),"Seketi, Jl. Purboyo II Selatan, RT.02/RW.02, Seketi, Kec. BalongBendo, Kabupaten Sidoarjo, Jawa Timur 61263")</f>
        <v>Seketi, Jl. Purboyo II Selatan, RT.02/RW.02, Seketi, Kec. BalongBendo, Kabupaten Sidoarjo, Jawa Timur 61263</v>
      </c>
      <c r="W1048" s="211" t="str">
        <f>IFERROR(__xludf.DUMMYFUNCTION("""COMPUTED_VALUE"""),"IN")</f>
        <v>IN</v>
      </c>
      <c r="X1048" s="211"/>
      <c r="Z1048" s="211" t="str">
        <f>IFERROR(__xludf.DUMMYFUNCTION("""COMPUTED_VALUE"""),"05250456")</f>
        <v>05250456</v>
      </c>
      <c r="AL1048" s="211"/>
      <c r="AM1048" s="211"/>
      <c r="AN1048" s="211"/>
      <c r="AO1048" s="211"/>
      <c r="AP1048" s="215"/>
      <c r="AQ1048" s="218"/>
      <c r="AR1048" s="211"/>
    </row>
    <row r="1049">
      <c r="A1049" s="210" t="str">
        <f>IFERROR(__xludf.DUMMYFUNCTION("""COMPUTED_VALUE"""),"05250430")</f>
        <v>05250430</v>
      </c>
      <c r="B1049" s="210" t="str">
        <f>IFERROR(__xludf.DUMMYFUNCTION("""COMPUTED_VALUE"""),"05250430")</f>
        <v>05250430</v>
      </c>
      <c r="C1049" s="213">
        <f>IFERROR(__xludf.DUMMYFUNCTION("""COMPUTED_VALUE"""),45793.356944444444)</f>
        <v>45793.35694</v>
      </c>
      <c r="D1049" s="211" t="str">
        <f>IFERROR(__xludf.DUMMYFUNCTION("""COMPUTED_VALUE"""),"b2b5f2c5")</f>
        <v>b2b5f2c5</v>
      </c>
      <c r="E1049" s="211" t="str">
        <f>IFERROR(__xludf.DUMMYFUNCTION("""COMPUTED_VALUE"""),"Bengkel Las Bpk. Ari")</f>
        <v>Bengkel Las Bpk. Ari</v>
      </c>
      <c r="F1049" s="211" t="str">
        <f>IFERROR(__xludf.DUMMYFUNCTION("""COMPUTED_VALUE"""),"8bdbe149")</f>
        <v>8bdbe149</v>
      </c>
      <c r="G1049" s="211" t="str">
        <f>IFERROR(__xludf.DUMMYFUNCTION("""COMPUTED_VALUE"""),"Oksigen 6m3")</f>
        <v>Oksigen 6m3</v>
      </c>
      <c r="H1049" s="214" t="str">
        <f>IFERROR(__xludf.DUMMYFUNCTION("""COMPUTED_VALUE"""),"OUT")</f>
        <v>OUT</v>
      </c>
      <c r="I1049" s="214" t="str">
        <f>IFERROR(__xludf.DUMMYFUNCTION("""COMPUTED_VALUE"""),"NORMAL")</f>
        <v>NORMAL</v>
      </c>
      <c r="J1049" s="211">
        <f>IFERROR(__xludf.DUMMYFUNCTION("""COMPUTED_VALUE"""),3.0)</f>
        <v>3</v>
      </c>
      <c r="K1049" s="210" t="str">
        <f>IFERROR(__xludf.DUMMYFUNCTION("""COMPUTED_VALUE"""),"1163 11117 11270")</f>
        <v>1163 11117 11270</v>
      </c>
      <c r="L1049" s="211">
        <f>IFERROR(__xludf.DUMMYFUNCTION("""COMPUTED_VALUE"""),60000.0)</f>
        <v>60000</v>
      </c>
      <c r="M1049" s="211"/>
      <c r="N1049" s="211"/>
      <c r="O1049" s="211"/>
      <c r="Q1049" s="210" t="str">
        <f>IFERROR(__xludf.DUMMYFUNCTION("""COMPUTED_VALUE"""),"07250609")</f>
        <v>07250609</v>
      </c>
      <c r="R1049" s="210" t="str">
        <f>IFERROR(__xludf.DUMMYFUNCTION("""COMPUTED_VALUE"""),"07250609")</f>
        <v>07250609</v>
      </c>
      <c r="S1049" s="211" t="str">
        <f>IFERROR(__xludf.DUMMYFUNCTION("""COMPUTED_VALUE"""),"3bcd7fe6")</f>
        <v>3bcd7fe6</v>
      </c>
      <c r="T1049" s="211" t="str">
        <f>IFERROR(__xludf.DUMMYFUNCTION("""COMPUTED_VALUE"""),"Bpk. Alvin (LB Group)")</f>
        <v>Bpk. Alvin (LB Group)</v>
      </c>
      <c r="U1049" s="215">
        <f>IFERROR(__xludf.DUMMYFUNCTION("""COMPUTED_VALUE"""),45866.4625)</f>
        <v>45866.4625</v>
      </c>
      <c r="V1049" s="211" t="str">
        <f>IFERROR(__xludf.DUMMYFUNCTION("""COMPUTED_VALUE"""),"MFF9+XHC, Jalan, Tambakrejo, Temuireng, Kec. Dawar Blandong, Kabupaten Mojokerto, Jawa Timur 61354")</f>
        <v>MFF9+XHC, Jalan, Tambakrejo, Temuireng, Kec. Dawar Blandong, Kabupaten Mojokerto, Jawa Timur 61354</v>
      </c>
      <c r="W1049" s="211" t="str">
        <f>IFERROR(__xludf.DUMMYFUNCTION("""COMPUTED_VALUE"""),"OUT")</f>
        <v>OUT</v>
      </c>
      <c r="X1049" s="211"/>
      <c r="Z1049" s="211" t="str">
        <f>IFERROR(__xludf.DUMMYFUNCTION("""COMPUTED_VALUE"""),"05250454")</f>
        <v>05250454</v>
      </c>
      <c r="AL1049" s="211"/>
      <c r="AM1049" s="211"/>
      <c r="AN1049" s="211"/>
      <c r="AO1049" s="211"/>
      <c r="AP1049" s="215"/>
      <c r="AQ1049" s="218"/>
      <c r="AR1049" s="211"/>
    </row>
    <row r="1050">
      <c r="A1050" s="210" t="str">
        <f>IFERROR(__xludf.DUMMYFUNCTION("""COMPUTED_VALUE"""),"05250431")</f>
        <v>05250431</v>
      </c>
      <c r="B1050" s="210" t="str">
        <f>IFERROR(__xludf.DUMMYFUNCTION("""COMPUTED_VALUE"""),"05250431")</f>
        <v>05250431</v>
      </c>
      <c r="C1050" s="213">
        <f>IFERROR(__xludf.DUMMYFUNCTION("""COMPUTED_VALUE"""),45793.35972222222)</f>
        <v>45793.35972</v>
      </c>
      <c r="D1050" s="211" t="str">
        <f>IFERROR(__xludf.DUMMYFUNCTION("""COMPUTED_VALUE"""),"3fec37df")</f>
        <v>3fec37df</v>
      </c>
      <c r="E1050" s="211" t="str">
        <f>IFERROR(__xludf.DUMMYFUNCTION("""COMPUTED_VALUE"""),"PT Jatim Abadi Perkasa Steel")</f>
        <v>PT Jatim Abadi Perkasa Steel</v>
      </c>
      <c r="F1050" s="211" t="str">
        <f>IFERROR(__xludf.DUMMYFUNCTION("""COMPUTED_VALUE"""),"b7a8fff1")</f>
        <v>b7a8fff1</v>
      </c>
      <c r="G1050" s="211" t="str">
        <f>IFERROR(__xludf.DUMMYFUNCTION("""COMPUTED_VALUE"""),"LPG 50kg")</f>
        <v>LPG 50kg</v>
      </c>
      <c r="H1050" s="214" t="str">
        <f>IFERROR(__xludf.DUMMYFUNCTION("""COMPUTED_VALUE"""),"OUT")</f>
        <v>OUT</v>
      </c>
      <c r="I1050" s="214" t="str">
        <f>IFERROR(__xludf.DUMMYFUNCTION("""COMPUTED_VALUE"""),"NORMAL")</f>
        <v>NORMAL</v>
      </c>
      <c r="J1050" s="211">
        <f>IFERROR(__xludf.DUMMYFUNCTION("""COMPUTED_VALUE"""),6.0)</f>
        <v>6</v>
      </c>
      <c r="K1050" s="211"/>
      <c r="L1050" s="211">
        <f>IFERROR(__xludf.DUMMYFUNCTION("""COMPUTED_VALUE"""),909909.9099)</f>
        <v>909909.9099</v>
      </c>
      <c r="M1050" s="211"/>
      <c r="N1050" s="211"/>
      <c r="O1050" s="211"/>
      <c r="Q1050" s="210" t="str">
        <f>IFERROR(__xludf.DUMMYFUNCTION("""COMPUTED_VALUE"""),"70d872ca")</f>
        <v>70d872ca</v>
      </c>
      <c r="R1050" s="210" t="str">
        <f>IFERROR(__xludf.DUMMYFUNCTION("""COMPUTED_VALUE"""),"70d872ca")</f>
        <v>70d872ca</v>
      </c>
      <c r="S1050" s="211" t="str">
        <f>IFERROR(__xludf.DUMMYFUNCTION("""COMPUTED_VALUE"""),"8f5ebaea")</f>
        <v>8f5ebaea</v>
      </c>
      <c r="T1050" s="211" t="str">
        <f>IFERROR(__xludf.DUMMYFUNCTION("""COMPUTED_VALUE"""),"PT Hua Zong Mesindo")</f>
        <v>PT Hua Zong Mesindo</v>
      </c>
      <c r="U1050" s="215">
        <f>IFERROR(__xludf.DUMMYFUNCTION("""COMPUTED_VALUE"""),45863.67708333333)</f>
        <v>45863.67708</v>
      </c>
      <c r="V1050" s="211" t="str">
        <f>IFERROR(__xludf.DUMMYFUNCTION("""COMPUTED_VALUE"""),"Jl. Bypass Krian, Sidotemo, Sidomulyo, Kec. Krian, Kabupaten Sidoarjo, Jawa Timur 61262")</f>
        <v>Jl. Bypass Krian, Sidotemo, Sidomulyo, Kec. Krian, Kabupaten Sidoarjo, Jawa Timur 61262</v>
      </c>
      <c r="W1050" s="211" t="str">
        <f>IFERROR(__xludf.DUMMYFUNCTION("""COMPUTED_VALUE"""),"IN")</f>
        <v>IN</v>
      </c>
      <c r="X1050" s="211"/>
      <c r="Z1050" s="211" t="str">
        <f>IFERROR(__xludf.DUMMYFUNCTION("""COMPUTED_VALUE"""),"05250455")</f>
        <v>05250455</v>
      </c>
      <c r="AL1050" s="211"/>
      <c r="AM1050" s="211"/>
      <c r="AN1050" s="211"/>
      <c r="AO1050" s="211"/>
      <c r="AP1050" s="215"/>
      <c r="AQ1050" s="218"/>
      <c r="AR1050" s="211"/>
    </row>
    <row r="1051" ht="17.25" customHeight="1">
      <c r="A1051" s="210" t="str">
        <f>IFERROR(__xludf.DUMMYFUNCTION("""COMPUTED_VALUE"""),"e811a1c3")</f>
        <v>e811a1c3</v>
      </c>
      <c r="B1051" s="210" t="str">
        <f>IFERROR(__xludf.DUMMYFUNCTION("""COMPUTED_VALUE"""),"e811a1c3")</f>
        <v>e811a1c3</v>
      </c>
      <c r="C1051" s="213">
        <f>IFERROR(__xludf.DUMMYFUNCTION("""COMPUTED_VALUE"""),45793.49166666667)</f>
        <v>45793.49167</v>
      </c>
      <c r="D1051" s="211" t="str">
        <f>IFERROR(__xludf.DUMMYFUNCTION("""COMPUTED_VALUE"""),"b2b5f2c5")</f>
        <v>b2b5f2c5</v>
      </c>
      <c r="E1051" s="211" t="str">
        <f>IFERROR(__xludf.DUMMYFUNCTION("""COMPUTED_VALUE"""),"Bengkel Las Bpk. Ari")</f>
        <v>Bengkel Las Bpk. Ari</v>
      </c>
      <c r="F1051" s="211" t="str">
        <f>IFERROR(__xludf.DUMMYFUNCTION("""COMPUTED_VALUE"""),"8bdbe149")</f>
        <v>8bdbe149</v>
      </c>
      <c r="G1051" s="211" t="str">
        <f>IFERROR(__xludf.DUMMYFUNCTION("""COMPUTED_VALUE"""),"Oksigen 6m3")</f>
        <v>Oksigen 6m3</v>
      </c>
      <c r="H1051" s="214" t="str">
        <f>IFERROR(__xludf.DUMMYFUNCTION("""COMPUTED_VALUE"""),"IN")</f>
        <v>IN</v>
      </c>
      <c r="I1051" s="214" t="str">
        <f>IFERROR(__xludf.DUMMYFUNCTION("""COMPUTED_VALUE"""),"EMPTY")</f>
        <v>EMPTY</v>
      </c>
      <c r="J1051" s="211">
        <f>IFERROR(__xludf.DUMMYFUNCTION("""COMPUTED_VALUE"""),1.0)</f>
        <v>1</v>
      </c>
      <c r="K1051" s="210" t="str">
        <f>IFERROR(__xludf.DUMMYFUNCTION("""COMPUTED_VALUE"""),"1168")</f>
        <v>1168</v>
      </c>
      <c r="L1051" s="211">
        <f>IFERROR(__xludf.DUMMYFUNCTION("""COMPUTED_VALUE"""),0.0)</f>
        <v>0</v>
      </c>
      <c r="M1051" s="211"/>
      <c r="N1051" s="211"/>
      <c r="O1051" s="211"/>
      <c r="Q1051" s="210" t="str">
        <f>IFERROR(__xludf.DUMMYFUNCTION("""COMPUTED_VALUE"""),"567d9367")</f>
        <v>567d9367</v>
      </c>
      <c r="R1051" s="210" t="str">
        <f>IFERROR(__xludf.DUMMYFUNCTION("""COMPUTED_VALUE"""),"567d9367")</f>
        <v>567d9367</v>
      </c>
      <c r="S1051" s="211" t="str">
        <f>IFERROR(__xludf.DUMMYFUNCTION("""COMPUTED_VALUE"""),"2d88931c")</f>
        <v>2d88931c</v>
      </c>
      <c r="T1051" s="211" t="str">
        <f>IFERROR(__xludf.DUMMYFUNCTION("""COMPUTED_VALUE"""),"PT Dunia Berkat Marga Mulya")</f>
        <v>PT Dunia Berkat Marga Mulya</v>
      </c>
      <c r="U1051" s="215">
        <f>IFERROR(__xludf.DUMMYFUNCTION("""COMPUTED_VALUE"""),45863.67847222222)</f>
        <v>45863.67847</v>
      </c>
      <c r="V1051" s="211" t="str">
        <f>IFERROR(__xludf.DUMMYFUNCTION("""COMPUTED_VALUE"""),"JL JABARAN, WATESARI, BALONGBENDO, SIDOARJO, JAWA TIMUR")</f>
        <v>JL JABARAN, WATESARI, BALONGBENDO, SIDOARJO, JAWA TIMUR</v>
      </c>
      <c r="W1051" s="211" t="str">
        <f>IFERROR(__xludf.DUMMYFUNCTION("""COMPUTED_VALUE"""),"IN")</f>
        <v>IN</v>
      </c>
      <c r="X1051" s="211"/>
      <c r="Z1051" s="211" t="str">
        <f>IFERROR(__xludf.DUMMYFUNCTION("""COMPUTED_VALUE"""),"05250450")</f>
        <v>05250450</v>
      </c>
      <c r="AL1051" s="211"/>
      <c r="AM1051" s="211"/>
      <c r="AN1051" s="211"/>
      <c r="AO1051" s="211"/>
      <c r="AP1051" s="215"/>
      <c r="AQ1051" s="218"/>
      <c r="AR1051" s="211"/>
    </row>
    <row r="1052">
      <c r="A1052" s="210" t="str">
        <f>IFERROR(__xludf.DUMMYFUNCTION("""COMPUTED_VALUE"""),"b5c22543")</f>
        <v>b5c22543</v>
      </c>
      <c r="B1052" s="210" t="str">
        <f>IFERROR(__xludf.DUMMYFUNCTION("""COMPUTED_VALUE"""),"b5c22543")</f>
        <v>b5c22543</v>
      </c>
      <c r="C1052" s="213">
        <f>IFERROR(__xludf.DUMMYFUNCTION("""COMPUTED_VALUE"""),45793.49166666667)</f>
        <v>45793.49167</v>
      </c>
      <c r="D1052" s="211" t="str">
        <f>IFERROR(__xludf.DUMMYFUNCTION("""COMPUTED_VALUE"""),"3fec37df")</f>
        <v>3fec37df</v>
      </c>
      <c r="E1052" s="211" t="str">
        <f>IFERROR(__xludf.DUMMYFUNCTION("""COMPUTED_VALUE"""),"PT Jatim Abadi Perkasa Steel")</f>
        <v>PT Jatim Abadi Perkasa Steel</v>
      </c>
      <c r="F1052" s="211" t="str">
        <f>IFERROR(__xludf.DUMMYFUNCTION("""COMPUTED_VALUE"""),"b7a8fff1")</f>
        <v>b7a8fff1</v>
      </c>
      <c r="G1052" s="211" t="str">
        <f>IFERROR(__xludf.DUMMYFUNCTION("""COMPUTED_VALUE"""),"LPG 50kg")</f>
        <v>LPG 50kg</v>
      </c>
      <c r="H1052" s="214" t="str">
        <f>IFERROR(__xludf.DUMMYFUNCTION("""COMPUTED_VALUE"""),"IN")</f>
        <v>IN</v>
      </c>
      <c r="I1052" s="214" t="str">
        <f>IFERROR(__xludf.DUMMYFUNCTION("""COMPUTED_VALUE"""),"EMPTY")</f>
        <v>EMPTY</v>
      </c>
      <c r="J1052" s="211">
        <f>IFERROR(__xludf.DUMMYFUNCTION("""COMPUTED_VALUE"""),6.0)</f>
        <v>6</v>
      </c>
      <c r="K1052" s="211"/>
      <c r="L1052" s="211">
        <f>IFERROR(__xludf.DUMMYFUNCTION("""COMPUTED_VALUE"""),0.0)</f>
        <v>0</v>
      </c>
      <c r="M1052" s="211"/>
      <c r="N1052" s="211"/>
      <c r="O1052" s="211"/>
      <c r="Q1052" s="210" t="str">
        <f>IFERROR(__xludf.DUMMYFUNCTION("""COMPUTED_VALUE"""),"e1f2152b")</f>
        <v>e1f2152b</v>
      </c>
      <c r="R1052" s="210" t="str">
        <f>IFERROR(__xludf.DUMMYFUNCTION("""COMPUTED_VALUE"""),"e1f2152b")</f>
        <v>e1f2152b</v>
      </c>
      <c r="S1052" s="211" t="str">
        <f>IFERROR(__xludf.DUMMYFUNCTION("""COMPUTED_VALUE"""),"01158be1")</f>
        <v>01158be1</v>
      </c>
      <c r="T1052" s="211" t="str">
        <f>IFERROR(__xludf.DUMMYFUNCTION("""COMPUTED_VALUE"""),"GYF")</f>
        <v>GYF</v>
      </c>
      <c r="U1052" s="215">
        <f>IFERROR(__xludf.DUMMYFUNCTION("""COMPUTED_VALUE"""),45863.67916666667)</f>
        <v>45863.67917</v>
      </c>
      <c r="V1052" s="211" t="str">
        <f>IFERROR(__xludf.DUMMYFUNCTION("""COMPUTED_VALUE"""),"Kangkungan, Lengkong, Kec. Mojoanyar, Kabupaten Mojokerto, Jawa Timur")</f>
        <v>Kangkungan, Lengkong, Kec. Mojoanyar, Kabupaten Mojokerto, Jawa Timur</v>
      </c>
      <c r="W1052" s="211" t="str">
        <f>IFERROR(__xludf.DUMMYFUNCTION("""COMPUTED_VALUE"""),"IN")</f>
        <v>IN</v>
      </c>
      <c r="X1052" s="211"/>
      <c r="Z1052" s="211" t="str">
        <f>IFERROR(__xludf.DUMMYFUNCTION("""COMPUTED_VALUE"""),"05250448")</f>
        <v>05250448</v>
      </c>
      <c r="AL1052" s="211"/>
      <c r="AM1052" s="211"/>
      <c r="AN1052" s="211"/>
      <c r="AO1052" s="211"/>
      <c r="AP1052" s="215"/>
      <c r="AQ1052" s="218"/>
      <c r="AR1052" s="211"/>
    </row>
    <row r="1053">
      <c r="A1053" s="210" t="str">
        <f>IFERROR(__xludf.DUMMYFUNCTION("""COMPUTED_VALUE"""),"05250432")</f>
        <v>05250432</v>
      </c>
      <c r="B1053" s="210" t="str">
        <f>IFERROR(__xludf.DUMMYFUNCTION("""COMPUTED_VALUE"""),"05250432")</f>
        <v>05250432</v>
      </c>
      <c r="C1053" s="213">
        <f>IFERROR(__xludf.DUMMYFUNCTION("""COMPUTED_VALUE"""),45793.54305555556)</f>
        <v>45793.54306</v>
      </c>
      <c r="D1053" s="211" t="str">
        <f>IFERROR(__xludf.DUMMYFUNCTION("""COMPUTED_VALUE"""),"ce83e171")</f>
        <v>ce83e171</v>
      </c>
      <c r="E1053" s="211" t="str">
        <f>IFERROR(__xludf.DUMMYFUNCTION("""COMPUTED_VALUE"""),"Bpk. Sulaiman")</f>
        <v>Bpk. Sulaiman</v>
      </c>
      <c r="F1053" s="211" t="str">
        <f>IFERROR(__xludf.DUMMYFUNCTION("""COMPUTED_VALUE"""),"f6aab7a9")</f>
        <v>f6aab7a9</v>
      </c>
      <c r="G1053" s="211" t="str">
        <f>IFERROR(__xludf.DUMMYFUNCTION("""COMPUTED_VALUE"""),"Oksigen 6m3 MR")</f>
        <v>Oksigen 6m3 MR</v>
      </c>
      <c r="H1053" s="214" t="str">
        <f>IFERROR(__xludf.DUMMYFUNCTION("""COMPUTED_VALUE"""),"OUT")</f>
        <v>OUT</v>
      </c>
      <c r="I1053" s="214" t="str">
        <f>IFERROR(__xludf.DUMMYFUNCTION("""COMPUTED_VALUE"""),"NORMAL")</f>
        <v>NORMAL</v>
      </c>
      <c r="J1053" s="211">
        <f>IFERROR(__xludf.DUMMYFUNCTION("""COMPUTED_VALUE"""),1.0)</f>
        <v>1</v>
      </c>
      <c r="K1053" s="210" t="str">
        <f>IFERROR(__xludf.DUMMYFUNCTION("""COMPUTED_VALUE"""),"75")</f>
        <v>75</v>
      </c>
      <c r="L1053" s="211">
        <f>IFERROR(__xludf.DUMMYFUNCTION("""COMPUTED_VALUE"""),55000.0)</f>
        <v>55000</v>
      </c>
      <c r="M1053" s="211"/>
      <c r="N1053" s="211"/>
      <c r="O1053" s="211"/>
      <c r="Q1053" s="210" t="str">
        <f>IFERROR(__xludf.DUMMYFUNCTION("""COMPUTED_VALUE"""),"407250019")</f>
        <v>407250019</v>
      </c>
      <c r="R1053" s="210" t="str">
        <f>IFERROR(__xludf.DUMMYFUNCTION("""COMPUTED_VALUE"""),"407250019")</f>
        <v>407250019</v>
      </c>
      <c r="S1053" s="211" t="str">
        <f>IFERROR(__xludf.DUMMYFUNCTION("""COMPUTED_VALUE"""),"182fb0fe")</f>
        <v>182fb0fe</v>
      </c>
      <c r="T1053" s="211" t="str">
        <f>IFERROR(__xludf.DUMMYFUNCTION("""COMPUTED_VALUE"""),"PT Amtech")</f>
        <v>PT Amtech</v>
      </c>
      <c r="U1053" s="215">
        <f>IFERROR(__xludf.DUMMYFUNCTION("""COMPUTED_VALUE"""),45866.554861111115)</f>
        <v>45866.55486</v>
      </c>
      <c r="V1053" s="211" t="str">
        <f>IFERROR(__xludf.DUMMYFUNCTION("""COMPUTED_VALUE"""),"Jl. Morowudi, Ikerikergeger, Kabupaten Gresik, Jawa Timur")</f>
        <v>Jl. Morowudi, Ikerikergeger, Kabupaten Gresik, Jawa Timur</v>
      </c>
      <c r="W1053" s="211" t="str">
        <f>IFERROR(__xludf.DUMMYFUNCTION("""COMPUTED_VALUE"""),"OTHER")</f>
        <v>OTHER</v>
      </c>
      <c r="X1053" s="211"/>
      <c r="Z1053" s="211" t="str">
        <f>IFERROR(__xludf.DUMMYFUNCTION("""COMPUTED_VALUE"""),"05250447")</f>
        <v>05250447</v>
      </c>
      <c r="AL1053" s="211"/>
      <c r="AM1053" s="211"/>
      <c r="AN1053" s="211"/>
      <c r="AO1053" s="211"/>
      <c r="AP1053" s="215"/>
      <c r="AQ1053" s="218"/>
      <c r="AR1053" s="211"/>
    </row>
    <row r="1054">
      <c r="A1054" s="210" t="str">
        <f>IFERROR(__xludf.DUMMYFUNCTION("""COMPUTED_VALUE"""),"05250433")</f>
        <v>05250433</v>
      </c>
      <c r="B1054" s="210" t="str">
        <f>IFERROR(__xludf.DUMMYFUNCTION("""COMPUTED_VALUE"""),"05250433")</f>
        <v>05250433</v>
      </c>
      <c r="C1054" s="213">
        <f>IFERROR(__xludf.DUMMYFUNCTION("""COMPUTED_VALUE"""),45793.544444444444)</f>
        <v>45793.54444</v>
      </c>
      <c r="D1054" s="211" t="str">
        <f>IFERROR(__xludf.DUMMYFUNCTION("""COMPUTED_VALUE"""),"3bcd7fe6")</f>
        <v>3bcd7fe6</v>
      </c>
      <c r="E1054" s="211" t="str">
        <f>IFERROR(__xludf.DUMMYFUNCTION("""COMPUTED_VALUE"""),"Bpk. Alvin (LB Group)")</f>
        <v>Bpk. Alvin (LB Group)</v>
      </c>
      <c r="F1054" s="211" t="str">
        <f>IFERROR(__xludf.DUMMYFUNCTION("""COMPUTED_VALUE"""),"7d2764f1")</f>
        <v>7d2764f1</v>
      </c>
      <c r="G1054" s="211" t="str">
        <f>IFERROR(__xludf.DUMMYFUNCTION("""COMPUTED_VALUE"""),"Oksigen 7m3")</f>
        <v>Oksigen 7m3</v>
      </c>
      <c r="H1054" s="214" t="str">
        <f>IFERROR(__xludf.DUMMYFUNCTION("""COMPUTED_VALUE"""),"OUT")</f>
        <v>OUT</v>
      </c>
      <c r="I1054" s="214" t="str">
        <f>IFERROR(__xludf.DUMMYFUNCTION("""COMPUTED_VALUE"""),"NORMAL")</f>
        <v>NORMAL</v>
      </c>
      <c r="J1054" s="211">
        <f>IFERROR(__xludf.DUMMYFUNCTION("""COMPUTED_VALUE"""),5.0)</f>
        <v>5</v>
      </c>
      <c r="K1054" s="210" t="str">
        <f>IFERROR(__xludf.DUMMYFUNCTION("""COMPUTED_VALUE"""),"11226 11224 11220 11213 11215")</f>
        <v>11226 11224 11220 11213 11215</v>
      </c>
      <c r="L1054" s="211">
        <f>IFERROR(__xludf.DUMMYFUNCTION("""COMPUTED_VALUE"""),55000.0)</f>
        <v>55000</v>
      </c>
      <c r="M1054" s="211"/>
      <c r="N1054" s="211"/>
      <c r="O1054" s="211"/>
      <c r="Q1054" s="210" t="str">
        <f>IFERROR(__xludf.DUMMYFUNCTION("""COMPUTED_VALUE"""),"07250610")</f>
        <v>07250610</v>
      </c>
      <c r="R1054" s="210" t="str">
        <f>IFERROR(__xludf.DUMMYFUNCTION("""COMPUTED_VALUE"""),"07250610")</f>
        <v>07250610</v>
      </c>
      <c r="S1054" s="211" t="str">
        <f>IFERROR(__xludf.DUMMYFUNCTION("""COMPUTED_VALUE"""),"196b24da")</f>
        <v>196b24da</v>
      </c>
      <c r="T1054" s="211" t="str">
        <f>IFERROR(__xludf.DUMMYFUNCTION("""COMPUTED_VALUE"""),"PT Samudra Cipta Enjineering")</f>
        <v>PT Samudra Cipta Enjineering</v>
      </c>
      <c r="U1054" s="215">
        <f>IFERROR(__xludf.DUMMYFUNCTION("""COMPUTED_VALUE"""),45867.36111111111)</f>
        <v>45867.36111</v>
      </c>
      <c r="V1054" s="211" t="str">
        <f>IFERROR(__xludf.DUMMYFUNCTION("""COMPUTED_VALUE"""),"Pergudangan Center Point Blok C4   Ds. Kemangsen  Balongbendo")</f>
        <v>Pergudangan Center Point Blok C4   Ds. Kemangsen  Balongbendo</v>
      </c>
      <c r="W1054" s="211" t="str">
        <f>IFERROR(__xludf.DUMMYFUNCTION("""COMPUTED_VALUE"""),"OUT")</f>
        <v>OUT</v>
      </c>
      <c r="X1054" s="211"/>
      <c r="Z1054" s="211" t="str">
        <f>IFERROR(__xludf.DUMMYFUNCTION("""COMPUTED_VALUE"""),"05250446")</f>
        <v>05250446</v>
      </c>
      <c r="AL1054" s="211"/>
      <c r="AM1054" s="211"/>
      <c r="AN1054" s="211"/>
      <c r="AO1054" s="211"/>
      <c r="AP1054" s="215"/>
      <c r="AQ1054" s="218"/>
      <c r="AR1054" s="211"/>
    </row>
    <row r="1055">
      <c r="A1055" s="210" t="str">
        <f>IFERROR(__xludf.DUMMYFUNCTION("""COMPUTED_VALUE"""),"05250434")</f>
        <v>05250434</v>
      </c>
      <c r="B1055" s="210" t="str">
        <f>IFERROR(__xludf.DUMMYFUNCTION("""COMPUTED_VALUE"""),"05250434")</f>
        <v>05250434</v>
      </c>
      <c r="C1055" s="213">
        <f>IFERROR(__xludf.DUMMYFUNCTION("""COMPUTED_VALUE"""),45793.61319444444)</f>
        <v>45793.61319</v>
      </c>
      <c r="D1055" s="211" t="str">
        <f>IFERROR(__xludf.DUMMYFUNCTION("""COMPUTED_VALUE"""),"7b9d8eba")</f>
        <v>7b9d8eba</v>
      </c>
      <c r="E1055" s="211" t="str">
        <f>IFERROR(__xludf.DUMMYFUNCTION("""COMPUTED_VALUE"""),"PT PELANGI INDOKARYA")</f>
        <v>PT PELANGI INDOKARYA</v>
      </c>
      <c r="F1055" s="211" t="str">
        <f>IFERROR(__xludf.DUMMYFUNCTION("""COMPUTED_VALUE"""),"8bdbe149")</f>
        <v>8bdbe149</v>
      </c>
      <c r="G1055" s="211" t="str">
        <f>IFERROR(__xludf.DUMMYFUNCTION("""COMPUTED_VALUE"""),"Oksigen 6m3")</f>
        <v>Oksigen 6m3</v>
      </c>
      <c r="H1055" s="214" t="str">
        <f>IFERROR(__xludf.DUMMYFUNCTION("""COMPUTED_VALUE"""),"OUT")</f>
        <v>OUT</v>
      </c>
      <c r="I1055" s="214" t="str">
        <f>IFERROR(__xludf.DUMMYFUNCTION("""COMPUTED_VALUE"""),"NORMAL")</f>
        <v>NORMAL</v>
      </c>
      <c r="J1055" s="211">
        <f>IFERROR(__xludf.DUMMYFUNCTION("""COMPUTED_VALUE"""),5.0)</f>
        <v>5</v>
      </c>
      <c r="K1055" s="210" t="str">
        <f>IFERROR(__xludf.DUMMYFUNCTION("""COMPUTED_VALUE"""),"11266 11290 11271 11288 11184")</f>
        <v>11266 11290 11271 11288 11184</v>
      </c>
      <c r="L1055" s="211">
        <f>IFERROR(__xludf.DUMMYFUNCTION("""COMPUTED_VALUE"""),60000.0)</f>
        <v>60000</v>
      </c>
      <c r="M1055" s="211"/>
      <c r="N1055" s="211"/>
      <c r="O1055" s="211"/>
      <c r="Q1055" s="210" t="str">
        <f>IFERROR(__xludf.DUMMYFUNCTION("""COMPUTED_VALUE"""),"57d2874d")</f>
        <v>57d2874d</v>
      </c>
      <c r="R1055" s="210" t="str">
        <f>IFERROR(__xludf.DUMMYFUNCTION("""COMPUTED_VALUE"""),"57d2874d")</f>
        <v>57d2874d</v>
      </c>
      <c r="S1055" s="211" t="str">
        <f>IFERROR(__xludf.DUMMYFUNCTION("""COMPUTED_VALUE"""),"182fb0fe")</f>
        <v>182fb0fe</v>
      </c>
      <c r="T1055" s="211" t="str">
        <f>IFERROR(__xludf.DUMMYFUNCTION("""COMPUTED_VALUE"""),"PT Amtech")</f>
        <v>PT Amtech</v>
      </c>
      <c r="U1055" s="215">
        <f>IFERROR(__xludf.DUMMYFUNCTION("""COMPUTED_VALUE"""),45866.72361111111)</f>
        <v>45866.72361</v>
      </c>
      <c r="V1055" s="211" t="str">
        <f>IFERROR(__xludf.DUMMYFUNCTION("""COMPUTED_VALUE"""),"Jl. Morowudi, Ikerikergeger, Kabupaten Gresik, Jawa Timur")</f>
        <v>Jl. Morowudi, Ikerikergeger, Kabupaten Gresik, Jawa Timur</v>
      </c>
      <c r="W1055" s="211" t="str">
        <f>IFERROR(__xludf.DUMMYFUNCTION("""COMPUTED_VALUE"""),"IN")</f>
        <v>IN</v>
      </c>
      <c r="X1055" s="211"/>
      <c r="Z1055" s="211" t="str">
        <f>IFERROR(__xludf.DUMMYFUNCTION("""COMPUTED_VALUE"""),"05250445")</f>
        <v>05250445</v>
      </c>
      <c r="AL1055" s="211"/>
      <c r="AM1055" s="211"/>
      <c r="AN1055" s="211"/>
      <c r="AO1055" s="211"/>
      <c r="AP1055" s="215"/>
      <c r="AQ1055" s="218"/>
      <c r="AR1055" s="211"/>
    </row>
    <row r="1056">
      <c r="A1056" s="210" t="str">
        <f>IFERROR(__xludf.DUMMYFUNCTION("""COMPUTED_VALUE"""),"e4ae17cd")</f>
        <v>e4ae17cd</v>
      </c>
      <c r="B1056" s="210" t="str">
        <f>IFERROR(__xludf.DUMMYFUNCTION("""COMPUTED_VALUE"""),"e4ae17cd")</f>
        <v>e4ae17cd</v>
      </c>
      <c r="C1056" s="213">
        <f>IFERROR(__xludf.DUMMYFUNCTION("""COMPUTED_VALUE"""),45793.66805555556)</f>
        <v>45793.66806</v>
      </c>
      <c r="D1056" s="211" t="str">
        <f>IFERROR(__xludf.DUMMYFUNCTION("""COMPUTED_VALUE"""),"7b9d8eba")</f>
        <v>7b9d8eba</v>
      </c>
      <c r="E1056" s="211" t="str">
        <f>IFERROR(__xludf.DUMMYFUNCTION("""COMPUTED_VALUE"""),"PT PELANGI INDOKARYA")</f>
        <v>PT PELANGI INDOKARYA</v>
      </c>
      <c r="F1056" s="211" t="str">
        <f>IFERROR(__xludf.DUMMYFUNCTION("""COMPUTED_VALUE"""),"8bdbe149")</f>
        <v>8bdbe149</v>
      </c>
      <c r="G1056" s="211" t="str">
        <f>IFERROR(__xludf.DUMMYFUNCTION("""COMPUTED_VALUE"""),"Oksigen 6m3")</f>
        <v>Oksigen 6m3</v>
      </c>
      <c r="H1056" s="214" t="str">
        <f>IFERROR(__xludf.DUMMYFUNCTION("""COMPUTED_VALUE"""),"IN")</f>
        <v>IN</v>
      </c>
      <c r="I1056" s="214" t="str">
        <f>IFERROR(__xludf.DUMMYFUNCTION("""COMPUTED_VALUE"""),"EMPTY")</f>
        <v>EMPTY</v>
      </c>
      <c r="J1056" s="211">
        <f>IFERROR(__xludf.DUMMYFUNCTION("""COMPUTED_VALUE"""),8.0)</f>
        <v>8</v>
      </c>
      <c r="K1056" s="210" t="str">
        <f>IFERROR(__xludf.DUMMYFUNCTION("""COMPUTED_VALUE"""),"1171 1127 11107 11198 11165 11130 11175 11126")</f>
        <v>1171 1127 11107 11198 11165 11130 11175 11126</v>
      </c>
      <c r="L1056" s="211">
        <f>IFERROR(__xludf.DUMMYFUNCTION("""COMPUTED_VALUE"""),0.0)</f>
        <v>0</v>
      </c>
      <c r="M1056" s="211"/>
      <c r="N1056" s="211"/>
      <c r="O1056" s="211"/>
      <c r="Q1056" s="210" t="str">
        <f>IFERROR(__xludf.DUMMYFUNCTION("""COMPUTED_VALUE"""),"b1d8be8d")</f>
        <v>b1d8be8d</v>
      </c>
      <c r="R1056" s="210" t="str">
        <f>IFERROR(__xludf.DUMMYFUNCTION("""COMPUTED_VALUE"""),"b1d8be8d")</f>
        <v>b1d8be8d</v>
      </c>
      <c r="S1056" s="211" t="str">
        <f>IFERROR(__xludf.DUMMYFUNCTION("""COMPUTED_VALUE"""),"3bcd7fe6")</f>
        <v>3bcd7fe6</v>
      </c>
      <c r="T1056" s="211" t="str">
        <f>IFERROR(__xludf.DUMMYFUNCTION("""COMPUTED_VALUE"""),"Bpk. Alvin (LB Group)")</f>
        <v>Bpk. Alvin (LB Group)</v>
      </c>
      <c r="U1056" s="215">
        <f>IFERROR(__xludf.DUMMYFUNCTION("""COMPUTED_VALUE"""),45866.72430555556)</f>
        <v>45866.72431</v>
      </c>
      <c r="V1056" s="211" t="str">
        <f>IFERROR(__xludf.DUMMYFUNCTION("""COMPUTED_VALUE"""),"MFF9+XHC, Jalan, Tambakrejo, Temuireng, Kec. Dawar Blandong, Kabupaten Mojokerto, Jawa Timur 61354")</f>
        <v>MFF9+XHC, Jalan, Tambakrejo, Temuireng, Kec. Dawar Blandong, Kabupaten Mojokerto, Jawa Timur 61354</v>
      </c>
      <c r="W1056" s="211" t="str">
        <f>IFERROR(__xludf.DUMMYFUNCTION("""COMPUTED_VALUE"""),"IN")</f>
        <v>IN</v>
      </c>
      <c r="X1056" s="211"/>
      <c r="Z1056" s="211" t="str">
        <f>IFERROR(__xludf.DUMMYFUNCTION("""COMPUTED_VALUE"""),"05250444")</f>
        <v>05250444</v>
      </c>
      <c r="AL1056" s="211"/>
      <c r="AM1056" s="211"/>
      <c r="AN1056" s="211"/>
      <c r="AO1056" s="211"/>
      <c r="AP1056" s="215"/>
      <c r="AQ1056" s="218"/>
      <c r="AR1056" s="211"/>
    </row>
    <row r="1057">
      <c r="A1057" s="210" t="str">
        <f>IFERROR(__xludf.DUMMYFUNCTION("""COMPUTED_VALUE"""),"6f2cab8e")</f>
        <v>6f2cab8e</v>
      </c>
      <c r="B1057" s="210" t="str">
        <f>IFERROR(__xludf.DUMMYFUNCTION("""COMPUTED_VALUE"""),"6f2cab8e")</f>
        <v>6f2cab8e</v>
      </c>
      <c r="C1057" s="213">
        <f>IFERROR(__xludf.DUMMYFUNCTION("""COMPUTED_VALUE"""),45794.45)</f>
        <v>45794.45</v>
      </c>
      <c r="D1057" s="211" t="str">
        <f>IFERROR(__xludf.DUMMYFUNCTION("""COMPUTED_VALUE"""),"ac52e1fa")</f>
        <v>ac52e1fa</v>
      </c>
      <c r="E1057" s="211" t="str">
        <f>IFERROR(__xludf.DUMMYFUNCTION("""COMPUTED_VALUE"""),"Abah Mad")</f>
        <v>Abah Mad</v>
      </c>
      <c r="F1057" s="211" t="str">
        <f>IFERROR(__xludf.DUMMYFUNCTION("""COMPUTED_VALUE"""),"8bdbe149")</f>
        <v>8bdbe149</v>
      </c>
      <c r="G1057" s="211" t="str">
        <f>IFERROR(__xludf.DUMMYFUNCTION("""COMPUTED_VALUE"""),"Oksigen 6m3")</f>
        <v>Oksigen 6m3</v>
      </c>
      <c r="H1057" s="214" t="str">
        <f>IFERROR(__xludf.DUMMYFUNCTION("""COMPUTED_VALUE"""),"IN")</f>
        <v>IN</v>
      </c>
      <c r="I1057" s="214" t="str">
        <f>IFERROR(__xludf.DUMMYFUNCTION("""COMPUTED_VALUE"""),"EMPTY")</f>
        <v>EMPTY</v>
      </c>
      <c r="J1057" s="211">
        <f>IFERROR(__xludf.DUMMYFUNCTION("""COMPUTED_VALUE"""),2.0)</f>
        <v>2</v>
      </c>
      <c r="K1057" s="210" t="str">
        <f>IFERROR(__xludf.DUMMYFUNCTION("""COMPUTED_VALUE"""),"11123 1183")</f>
        <v>11123 1183</v>
      </c>
      <c r="L1057" s="211">
        <f>IFERROR(__xludf.DUMMYFUNCTION("""COMPUTED_VALUE"""),0.0)</f>
        <v>0</v>
      </c>
      <c r="M1057" s="211"/>
      <c r="N1057" s="211"/>
      <c r="O1057" s="211"/>
      <c r="Q1057" s="210" t="str">
        <f>IFERROR(__xludf.DUMMYFUNCTION("""COMPUTED_VALUE"""),"07250611")</f>
        <v>07250611</v>
      </c>
      <c r="R1057" s="210" t="str">
        <f>IFERROR(__xludf.DUMMYFUNCTION("""COMPUTED_VALUE"""),"07250611")</f>
        <v>07250611</v>
      </c>
      <c r="S1057" s="211" t="str">
        <f>IFERROR(__xludf.DUMMYFUNCTION("""COMPUTED_VALUE"""),"ed2cc96a")</f>
        <v>ed2cc96a</v>
      </c>
      <c r="T1057" s="211" t="str">
        <f>IFERROR(__xludf.DUMMYFUNCTION("""COMPUTED_VALUE"""),"Bengkel Dian Jaya")</f>
        <v>Bengkel Dian Jaya</v>
      </c>
      <c r="U1057" s="215">
        <f>IFERROR(__xludf.DUMMYFUNCTION("""COMPUTED_VALUE"""),45867.36597222222)</f>
        <v>45867.36597</v>
      </c>
      <c r="V1057" s="211" t="str">
        <f>IFERROR(__xludf.DUMMYFUNCTION("""COMPUTED_VALUE"""),"Gg. 2, Kejagan, Kec. Trowulan, Kabupaten Mojokerto, Jawa Timur 61362")</f>
        <v>Gg. 2, Kejagan, Kec. Trowulan, Kabupaten Mojokerto, Jawa Timur 61362</v>
      </c>
      <c r="W1057" s="211" t="str">
        <f>IFERROR(__xludf.DUMMYFUNCTION("""COMPUTED_VALUE"""),"OUT")</f>
        <v>OUT</v>
      </c>
      <c r="X1057" s="211"/>
      <c r="Z1057" s="211" t="str">
        <f>IFERROR(__xludf.DUMMYFUNCTION("""COMPUTED_VALUE"""),"05250442")</f>
        <v>05250442</v>
      </c>
      <c r="AL1057" s="211"/>
      <c r="AM1057" s="211"/>
      <c r="AN1057" s="211"/>
      <c r="AO1057" s="211"/>
      <c r="AP1057" s="215"/>
      <c r="AQ1057" s="218"/>
      <c r="AR1057" s="211"/>
    </row>
    <row r="1058">
      <c r="A1058" s="210" t="str">
        <f>IFERROR(__xludf.DUMMYFUNCTION("""COMPUTED_VALUE"""),"d46a2f50")</f>
        <v>d46a2f50</v>
      </c>
      <c r="B1058" s="210" t="str">
        <f>IFERROR(__xludf.DUMMYFUNCTION("""COMPUTED_VALUE"""),"d46a2f50")</f>
        <v>d46a2f50</v>
      </c>
      <c r="C1058" s="213">
        <f>IFERROR(__xludf.DUMMYFUNCTION("""COMPUTED_VALUE"""),45796.57777777778)</f>
        <v>45796.57778</v>
      </c>
      <c r="D1058" s="211" t="str">
        <f>IFERROR(__xludf.DUMMYFUNCTION("""COMPUTED_VALUE"""),"06d600f6")</f>
        <v>06d600f6</v>
      </c>
      <c r="E1058" s="211" t="str">
        <f>IFERROR(__xludf.DUMMYFUNCTION("""COMPUTED_VALUE"""),"Ibu Ida")</f>
        <v>Ibu Ida</v>
      </c>
      <c r="F1058" s="211" t="str">
        <f>IFERROR(__xludf.DUMMYFUNCTION("""COMPUTED_VALUE"""),"f6aab7a9")</f>
        <v>f6aab7a9</v>
      </c>
      <c r="G1058" s="211" t="str">
        <f>IFERROR(__xludf.DUMMYFUNCTION("""COMPUTED_VALUE"""),"Oksigen 6m3 MR")</f>
        <v>Oksigen 6m3 MR</v>
      </c>
      <c r="H1058" s="214" t="str">
        <f>IFERROR(__xludf.DUMMYFUNCTION("""COMPUTED_VALUE"""),"IN")</f>
        <v>IN</v>
      </c>
      <c r="I1058" s="214" t="str">
        <f>IFERROR(__xludf.DUMMYFUNCTION("""COMPUTED_VALUE"""),"EMPTY")</f>
        <v>EMPTY</v>
      </c>
      <c r="J1058" s="211">
        <f>IFERROR(__xludf.DUMMYFUNCTION("""COMPUTED_VALUE"""),6.0)</f>
        <v>6</v>
      </c>
      <c r="K1058" s="211"/>
      <c r="L1058" s="211">
        <f>IFERROR(__xludf.DUMMYFUNCTION("""COMPUTED_VALUE"""),0.0)</f>
        <v>0</v>
      </c>
      <c r="M1058" s="211"/>
      <c r="N1058" s="211"/>
      <c r="O1058" s="211"/>
      <c r="Q1058" s="210" t="str">
        <f>IFERROR(__xludf.DUMMYFUNCTION("""COMPUTED_VALUE"""),"07250612")</f>
        <v>07250612</v>
      </c>
      <c r="R1058" s="210" t="str">
        <f>IFERROR(__xludf.DUMMYFUNCTION("""COMPUTED_VALUE"""),"07250612")</f>
        <v>07250612</v>
      </c>
      <c r="S1058" s="211" t="str">
        <f>IFERROR(__xludf.DUMMYFUNCTION("""COMPUTED_VALUE"""),"7b9d8eba")</f>
        <v>7b9d8eba</v>
      </c>
      <c r="T1058" s="211" t="str">
        <f>IFERROR(__xludf.DUMMYFUNCTION("""COMPUTED_VALUE"""),"PT PELANGI INDOKARYA")</f>
        <v>PT PELANGI INDOKARYA</v>
      </c>
      <c r="U1058" s="215">
        <f>IFERROR(__xludf.DUMMYFUNCTION("""COMPUTED_VALUE"""),45867.42569444445)</f>
        <v>45867.42569</v>
      </c>
      <c r="V105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058" s="211" t="str">
        <f>IFERROR(__xludf.DUMMYFUNCTION("""COMPUTED_VALUE"""),"OUT")</f>
        <v>OUT</v>
      </c>
      <c r="X1058" s="211"/>
      <c r="Z1058" s="211" t="str">
        <f>IFERROR(__xludf.DUMMYFUNCTION("""COMPUTED_VALUE"""),"05250441")</f>
        <v>05250441</v>
      </c>
      <c r="AL1058" s="211"/>
      <c r="AM1058" s="211"/>
      <c r="AN1058" s="211"/>
      <c r="AO1058" s="211"/>
      <c r="AP1058" s="215"/>
      <c r="AQ1058" s="218"/>
      <c r="AR1058" s="211"/>
    </row>
    <row r="1059">
      <c r="A1059" s="210" t="str">
        <f>IFERROR(__xludf.DUMMYFUNCTION("""COMPUTED_VALUE"""),"05250435")</f>
        <v>05250435</v>
      </c>
      <c r="B1059" s="210" t="str">
        <f>IFERROR(__xludf.DUMMYFUNCTION("""COMPUTED_VALUE"""),"05250435")</f>
        <v>05250435</v>
      </c>
      <c r="C1059" s="213">
        <f>IFERROR(__xludf.DUMMYFUNCTION("""COMPUTED_VALUE"""),45796.584027777775)</f>
        <v>45796.58403</v>
      </c>
      <c r="D1059" s="211" t="str">
        <f>IFERROR(__xludf.DUMMYFUNCTION("""COMPUTED_VALUE"""),"ec231cc9")</f>
        <v>ec231cc9</v>
      </c>
      <c r="E1059" s="211" t="str">
        <f>IFERROR(__xludf.DUMMYFUNCTION("""COMPUTED_VALUE"""),"Bpk. Kohir (Maintenance Velg)")</f>
        <v>Bpk. Kohir (Maintenance Velg)</v>
      </c>
      <c r="F1059" s="211" t="str">
        <f>IFERROR(__xludf.DUMMYFUNCTION("""COMPUTED_VALUE"""),"8bdbe149")</f>
        <v>8bdbe149</v>
      </c>
      <c r="G1059" s="211" t="str">
        <f>IFERROR(__xludf.DUMMYFUNCTION("""COMPUTED_VALUE"""),"Oksigen 6m3")</f>
        <v>Oksigen 6m3</v>
      </c>
      <c r="H1059" s="214" t="str">
        <f>IFERROR(__xludf.DUMMYFUNCTION("""COMPUTED_VALUE"""),"OUT")</f>
        <v>OUT</v>
      </c>
      <c r="I1059" s="214" t="str">
        <f>IFERROR(__xludf.DUMMYFUNCTION("""COMPUTED_VALUE"""),"NORMAL")</f>
        <v>NORMAL</v>
      </c>
      <c r="J1059" s="211">
        <f>IFERROR(__xludf.DUMMYFUNCTION("""COMPUTED_VALUE"""),4.0)</f>
        <v>4</v>
      </c>
      <c r="K1059" s="210" t="str">
        <f>IFERROR(__xludf.DUMMYFUNCTION("""COMPUTED_VALUE"""),"1152 11124 11107 1107")</f>
        <v>1152 11124 11107 1107</v>
      </c>
      <c r="L1059" s="211">
        <f>IFERROR(__xludf.DUMMYFUNCTION("""COMPUTED_VALUE"""),55000.0)</f>
        <v>55000</v>
      </c>
      <c r="M1059" s="211"/>
      <c r="N1059" s="211"/>
      <c r="O1059" s="211"/>
      <c r="Q1059" s="210" t="str">
        <f>IFERROR(__xludf.DUMMYFUNCTION("""COMPUTED_VALUE"""),"07250613")</f>
        <v>07250613</v>
      </c>
      <c r="R1059" s="210" t="str">
        <f>IFERROR(__xludf.DUMMYFUNCTION("""COMPUTED_VALUE"""),"07250613")</f>
        <v>07250613</v>
      </c>
      <c r="S1059" s="211" t="str">
        <f>IFERROR(__xludf.DUMMYFUNCTION("""COMPUTED_VALUE"""),"b2b5f2c5")</f>
        <v>b2b5f2c5</v>
      </c>
      <c r="T1059" s="211" t="str">
        <f>IFERROR(__xludf.DUMMYFUNCTION("""COMPUTED_VALUE"""),"Bengkel Las Bpk. Ari")</f>
        <v>Bengkel Las Bpk. Ari</v>
      </c>
      <c r="U1059" s="215">
        <f>IFERROR(__xludf.DUMMYFUNCTION("""COMPUTED_VALUE"""),45867.490277777775)</f>
        <v>45867.49028</v>
      </c>
      <c r="V1059" s="211" t="str">
        <f>IFERROR(__xludf.DUMMYFUNCTION("""COMPUTED_VALUE"""),"Sumber Kembar, Wonodadi, Kec. Kutorejo, Kabupaten Mojokerto, Jawa Timur")</f>
        <v>Sumber Kembar, Wonodadi, Kec. Kutorejo, Kabupaten Mojokerto, Jawa Timur</v>
      </c>
      <c r="W1059" s="211" t="str">
        <f>IFERROR(__xludf.DUMMYFUNCTION("""COMPUTED_VALUE"""),"OUT")</f>
        <v>OUT</v>
      </c>
      <c r="X1059" s="211"/>
      <c r="Z1059" s="211" t="str">
        <f>IFERROR(__xludf.DUMMYFUNCTION("""COMPUTED_VALUE"""),"05250439")</f>
        <v>05250439</v>
      </c>
      <c r="AL1059" s="211"/>
      <c r="AM1059" s="211"/>
      <c r="AN1059" s="211"/>
      <c r="AO1059" s="211"/>
      <c r="AP1059" s="215"/>
      <c r="AQ1059" s="218"/>
      <c r="AR1059" s="211"/>
    </row>
    <row r="1060">
      <c r="A1060" s="210" t="str">
        <f>IFERROR(__xludf.DUMMYFUNCTION("""COMPUTED_VALUE"""),"05250435")</f>
        <v>05250435</v>
      </c>
      <c r="B1060" s="210" t="str">
        <f>IFERROR(__xludf.DUMMYFUNCTION("""COMPUTED_VALUE"""),"05250435")</f>
        <v>05250435</v>
      </c>
      <c r="C1060" s="213">
        <f>IFERROR(__xludf.DUMMYFUNCTION("""COMPUTED_VALUE"""),45796.584027777775)</f>
        <v>45796.58403</v>
      </c>
      <c r="D1060" s="211" t="str">
        <f>IFERROR(__xludf.DUMMYFUNCTION("""COMPUTED_VALUE"""),"ec231cc9")</f>
        <v>ec231cc9</v>
      </c>
      <c r="E1060" s="211" t="str">
        <f>IFERROR(__xludf.DUMMYFUNCTION("""COMPUTED_VALUE"""),"Bpk. Kohir (Maintenance Velg)")</f>
        <v>Bpk. Kohir (Maintenance Velg)</v>
      </c>
      <c r="F1060" s="211" t="str">
        <f>IFERROR(__xludf.DUMMYFUNCTION("""COMPUTED_VALUE"""),"ef306e54")</f>
        <v>ef306e54</v>
      </c>
      <c r="G1060" s="211" t="str">
        <f>IFERROR(__xludf.DUMMYFUNCTION("""COMPUTED_VALUE"""),"Karbondioksida")</f>
        <v>Karbondioksida</v>
      </c>
      <c r="H1060" s="214" t="str">
        <f>IFERROR(__xludf.DUMMYFUNCTION("""COMPUTED_VALUE"""),"OUT")</f>
        <v>OUT</v>
      </c>
      <c r="I1060" s="214" t="str">
        <f>IFERROR(__xludf.DUMMYFUNCTION("""COMPUTED_VALUE"""),"NORMAL")</f>
        <v>NORMAL</v>
      </c>
      <c r="J1060" s="211">
        <f>IFERROR(__xludf.DUMMYFUNCTION("""COMPUTED_VALUE"""),2.0)</f>
        <v>2</v>
      </c>
      <c r="K1060" s="210" t="str">
        <f>IFERROR(__xludf.DUMMYFUNCTION("""COMPUTED_VALUE"""),"13015 13018")</f>
        <v>13015 13018</v>
      </c>
      <c r="L1060" s="211">
        <f>IFERROR(__xludf.DUMMYFUNCTION("""COMPUTED_VALUE"""),165000.0)</f>
        <v>165000</v>
      </c>
      <c r="M1060" s="211"/>
      <c r="N1060" s="211"/>
      <c r="O1060" s="211"/>
      <c r="Q1060" s="210" t="str">
        <f>IFERROR(__xludf.DUMMYFUNCTION("""COMPUTED_VALUE"""),"07250614")</f>
        <v>07250614</v>
      </c>
      <c r="R1060" s="210" t="str">
        <f>IFERROR(__xludf.DUMMYFUNCTION("""COMPUTED_VALUE"""),"07250614")</f>
        <v>07250614</v>
      </c>
      <c r="S1060" s="211" t="str">
        <f>IFERROR(__xludf.DUMMYFUNCTION("""COMPUTED_VALUE"""),"e76bc39c")</f>
        <v>e76bc39c</v>
      </c>
      <c r="T1060" s="211" t="str">
        <f>IFERROR(__xludf.DUMMYFUNCTION("""COMPUTED_VALUE"""),"Bpk. Irul")</f>
        <v>Bpk. Irul</v>
      </c>
      <c r="U1060" s="215">
        <f>IFERROR(__xludf.DUMMYFUNCTION("""COMPUTED_VALUE"""),45867.57986111111)</f>
        <v>45867.57986</v>
      </c>
      <c r="V1060" s="211" t="str">
        <f>IFERROR(__xludf.DUMMYFUNCTION("""COMPUTED_VALUE"""),"Jl. Mayjen Bambang Yuwono, Ciro Kulon, Bakungtemenggungan, Kec. BalongBendo, Kabupaten Sidoarjo, Jawa Timur 61263")</f>
        <v>Jl. Mayjen Bambang Yuwono, Ciro Kulon, Bakungtemenggungan, Kec. BalongBendo, Kabupaten Sidoarjo, Jawa Timur 61263</v>
      </c>
      <c r="W1060" s="211" t="str">
        <f>IFERROR(__xludf.DUMMYFUNCTION("""COMPUTED_VALUE"""),"OUT")</f>
        <v>OUT</v>
      </c>
      <c r="X1060" s="211"/>
      <c r="Z1060" s="211" t="str">
        <f>IFERROR(__xludf.DUMMYFUNCTION("""COMPUTED_VALUE"""),"05250438")</f>
        <v>05250438</v>
      </c>
      <c r="AL1060" s="211"/>
      <c r="AM1060" s="211"/>
      <c r="AN1060" s="211"/>
      <c r="AO1060" s="211"/>
      <c r="AP1060" s="215"/>
      <c r="AQ1060" s="218"/>
      <c r="AR1060" s="211"/>
    </row>
    <row r="1061">
      <c r="A1061" s="210" t="str">
        <f>IFERROR(__xludf.DUMMYFUNCTION("""COMPUTED_VALUE"""),"05250437")</f>
        <v>05250437</v>
      </c>
      <c r="B1061" s="210" t="str">
        <f>IFERROR(__xludf.DUMMYFUNCTION("""COMPUTED_VALUE"""),"05250437")</f>
        <v>05250437</v>
      </c>
      <c r="C1061" s="213">
        <f>IFERROR(__xludf.DUMMYFUNCTION("""COMPUTED_VALUE"""),45796.58888888889)</f>
        <v>45796.58889</v>
      </c>
      <c r="D1061" s="211" t="str">
        <f>IFERROR(__xludf.DUMMYFUNCTION("""COMPUTED_VALUE"""),"06d600f6")</f>
        <v>06d600f6</v>
      </c>
      <c r="E1061" s="211" t="str">
        <f>IFERROR(__xludf.DUMMYFUNCTION("""COMPUTED_VALUE"""),"Ibu Ida")</f>
        <v>Ibu Ida</v>
      </c>
      <c r="F1061" s="211" t="str">
        <f>IFERROR(__xludf.DUMMYFUNCTION("""COMPUTED_VALUE"""),"f6aab7a9")</f>
        <v>f6aab7a9</v>
      </c>
      <c r="G1061" s="211" t="str">
        <f>IFERROR(__xludf.DUMMYFUNCTION("""COMPUTED_VALUE"""),"Oksigen 6m3 MR")</f>
        <v>Oksigen 6m3 MR</v>
      </c>
      <c r="H1061" s="214" t="str">
        <f>IFERROR(__xludf.DUMMYFUNCTION("""COMPUTED_VALUE"""),"OUT")</f>
        <v>OUT</v>
      </c>
      <c r="I1061" s="214" t="str">
        <f>IFERROR(__xludf.DUMMYFUNCTION("""COMPUTED_VALUE"""),"NORMAL")</f>
        <v>NORMAL</v>
      </c>
      <c r="J1061" s="211">
        <f>IFERROR(__xludf.DUMMYFUNCTION("""COMPUTED_VALUE"""),6.0)</f>
        <v>6</v>
      </c>
      <c r="K1061" s="211"/>
      <c r="L1061" s="211">
        <f>IFERROR(__xludf.DUMMYFUNCTION("""COMPUTED_VALUE"""),50000.0)</f>
        <v>50000</v>
      </c>
      <c r="M1061" s="211"/>
      <c r="N1061" s="211"/>
      <c r="O1061" s="211"/>
      <c r="Q1061" s="210" t="str">
        <f>IFERROR(__xludf.DUMMYFUNCTION("""COMPUTED_VALUE"""),"dc638d37")</f>
        <v>dc638d37</v>
      </c>
      <c r="R1061" s="210" t="str">
        <f>IFERROR(__xludf.DUMMYFUNCTION("""COMPUTED_VALUE"""),"dc638d37")</f>
        <v>dc638d37</v>
      </c>
      <c r="S1061" s="211" t="str">
        <f>IFERROR(__xludf.DUMMYFUNCTION("""COMPUTED_VALUE"""),"b2b5f2c5")</f>
        <v>b2b5f2c5</v>
      </c>
      <c r="T1061" s="211" t="str">
        <f>IFERROR(__xludf.DUMMYFUNCTION("""COMPUTED_VALUE"""),"Bengkel Las Bpk. Ari")</f>
        <v>Bengkel Las Bpk. Ari</v>
      </c>
      <c r="U1061" s="215">
        <f>IFERROR(__xludf.DUMMYFUNCTION("""COMPUTED_VALUE"""),45867.66666666667)</f>
        <v>45867.66667</v>
      </c>
      <c r="V1061" s="211" t="str">
        <f>IFERROR(__xludf.DUMMYFUNCTION("""COMPUTED_VALUE"""),"Sumber Kembar, Wonodadi, Kec. Kutorejo, Kabupaten Mojokerto, Jawa Timur")</f>
        <v>Sumber Kembar, Wonodadi, Kec. Kutorejo, Kabupaten Mojokerto, Jawa Timur</v>
      </c>
      <c r="W1061" s="211" t="str">
        <f>IFERROR(__xludf.DUMMYFUNCTION("""COMPUTED_VALUE"""),"IN")</f>
        <v>IN</v>
      </c>
      <c r="X1061" s="211"/>
      <c r="Z1061" s="211" t="str">
        <f>IFERROR(__xludf.DUMMYFUNCTION("""COMPUTED_VALUE"""),"05250435")</f>
        <v>05250435</v>
      </c>
      <c r="AL1061" s="211"/>
      <c r="AM1061" s="211"/>
      <c r="AN1061" s="211"/>
      <c r="AO1061" s="211"/>
      <c r="AP1061" s="215"/>
      <c r="AQ1061" s="218"/>
      <c r="AR1061" s="211"/>
    </row>
    <row r="1062">
      <c r="A1062" s="210" t="str">
        <f>IFERROR(__xludf.DUMMYFUNCTION("""COMPUTED_VALUE"""),"05250438")</f>
        <v>05250438</v>
      </c>
      <c r="B1062" s="210" t="str">
        <f>IFERROR(__xludf.DUMMYFUNCTION("""COMPUTED_VALUE"""),"05250438")</f>
        <v>05250438</v>
      </c>
      <c r="C1062" s="213">
        <f>IFERROR(__xludf.DUMMYFUNCTION("""COMPUTED_VALUE"""),45797.34930555556)</f>
        <v>45797.34931</v>
      </c>
      <c r="D1062" s="211" t="str">
        <f>IFERROR(__xludf.DUMMYFUNCTION("""COMPUTED_VALUE"""),"d78b2eaf")</f>
        <v>d78b2eaf</v>
      </c>
      <c r="E1062" s="211" t="str">
        <f>IFERROR(__xludf.DUMMYFUNCTION("""COMPUTED_VALUE"""),"PT Sinar Indogreen Kencana")</f>
        <v>PT Sinar Indogreen Kencana</v>
      </c>
      <c r="F1062" s="211" t="str">
        <f>IFERROR(__xludf.DUMMYFUNCTION("""COMPUTED_VALUE"""),"be525f3b")</f>
        <v>be525f3b</v>
      </c>
      <c r="G1062" s="211" t="str">
        <f>IFERROR(__xludf.DUMMYFUNCTION("""COMPUTED_VALUE"""),"LPG 12kg")</f>
        <v>LPG 12kg</v>
      </c>
      <c r="H1062" s="214" t="str">
        <f>IFERROR(__xludf.DUMMYFUNCTION("""COMPUTED_VALUE"""),"OUT")</f>
        <v>OUT</v>
      </c>
      <c r="I1062" s="214" t="str">
        <f>IFERROR(__xludf.DUMMYFUNCTION("""COMPUTED_VALUE"""),"NORMAL")</f>
        <v>NORMAL</v>
      </c>
      <c r="J1062" s="211">
        <f>IFERROR(__xludf.DUMMYFUNCTION("""COMPUTED_VALUE"""),1.0)</f>
        <v>1</v>
      </c>
      <c r="K1062" s="211"/>
      <c r="L1062" s="211">
        <f>IFERROR(__xludf.DUMMYFUNCTION("""COMPUTED_VALUE"""),189189.19)</f>
        <v>189189.19</v>
      </c>
      <c r="M1062" s="211"/>
      <c r="N1062" s="211"/>
      <c r="O1062" s="211"/>
      <c r="Q1062" s="210" t="str">
        <f>IFERROR(__xludf.DUMMYFUNCTION("""COMPUTED_VALUE"""),"036fb907")</f>
        <v>036fb907</v>
      </c>
      <c r="R1062" s="210" t="str">
        <f>IFERROR(__xludf.DUMMYFUNCTION("""COMPUTED_VALUE"""),"036fb907")</f>
        <v>036fb907</v>
      </c>
      <c r="S1062" s="211" t="str">
        <f>IFERROR(__xludf.DUMMYFUNCTION("""COMPUTED_VALUE"""),"7b9d8eba")</f>
        <v>7b9d8eba</v>
      </c>
      <c r="T1062" s="211" t="str">
        <f>IFERROR(__xludf.DUMMYFUNCTION("""COMPUTED_VALUE"""),"PT PELANGI INDOKARYA")</f>
        <v>PT PELANGI INDOKARYA</v>
      </c>
      <c r="U1062" s="215">
        <f>IFERROR(__xludf.DUMMYFUNCTION("""COMPUTED_VALUE"""),45867.66805555555)</f>
        <v>45867.66806</v>
      </c>
      <c r="V106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062" s="211" t="str">
        <f>IFERROR(__xludf.DUMMYFUNCTION("""COMPUTED_VALUE"""),"IN")</f>
        <v>IN</v>
      </c>
      <c r="X1062" s="211"/>
      <c r="Z1062" s="211" t="str">
        <f>IFERROR(__xludf.DUMMYFUNCTION("""COMPUTED_VALUE"""),"05250434")</f>
        <v>05250434</v>
      </c>
      <c r="AL1062" s="211"/>
      <c r="AM1062" s="211"/>
      <c r="AN1062" s="211"/>
      <c r="AO1062" s="211"/>
      <c r="AP1062" s="215"/>
      <c r="AQ1062" s="218"/>
      <c r="AR1062" s="211"/>
    </row>
    <row r="1063">
      <c r="A1063" s="210" t="str">
        <f>IFERROR(__xludf.DUMMYFUNCTION("""COMPUTED_VALUE"""),"05250439")</f>
        <v>05250439</v>
      </c>
      <c r="B1063" s="210" t="str">
        <f>IFERROR(__xludf.DUMMYFUNCTION("""COMPUTED_VALUE"""),"05250439")</f>
        <v>05250439</v>
      </c>
      <c r="C1063" s="213">
        <f>IFERROR(__xludf.DUMMYFUNCTION("""COMPUTED_VALUE"""),45797.35208333333)</f>
        <v>45797.35208</v>
      </c>
      <c r="D1063" s="211" t="str">
        <f>IFERROR(__xludf.DUMMYFUNCTION("""COMPUTED_VALUE"""),"609d620d")</f>
        <v>609d620d</v>
      </c>
      <c r="E1063" s="211" t="str">
        <f>IFERROR(__xludf.DUMMYFUNCTION("""COMPUTED_VALUE"""),"PT Pandu Mulia Bersama")</f>
        <v>PT Pandu Mulia Bersama</v>
      </c>
      <c r="F1063" s="211" t="str">
        <f>IFERROR(__xludf.DUMMYFUNCTION("""COMPUTED_VALUE"""),"7d2764f1")</f>
        <v>7d2764f1</v>
      </c>
      <c r="G1063" s="211" t="str">
        <f>IFERROR(__xludf.DUMMYFUNCTION("""COMPUTED_VALUE"""),"Oksigen 7m3")</f>
        <v>Oksigen 7m3</v>
      </c>
      <c r="H1063" s="214" t="str">
        <f>IFERROR(__xludf.DUMMYFUNCTION("""COMPUTED_VALUE"""),"OUT")</f>
        <v>OUT</v>
      </c>
      <c r="I1063" s="214" t="str">
        <f>IFERROR(__xludf.DUMMYFUNCTION("""COMPUTED_VALUE"""),"NORMAL")</f>
        <v>NORMAL</v>
      </c>
      <c r="J1063" s="211">
        <f>IFERROR(__xludf.DUMMYFUNCTION("""COMPUTED_VALUE"""),10.0)</f>
        <v>10</v>
      </c>
      <c r="K1063" s="210" t="str">
        <f>IFERROR(__xludf.DUMMYFUNCTION("""COMPUTED_VALUE"""),"11147 11158 11150 11162 11141 11172 11153 11160 11170 1171")</f>
        <v>11147 11158 11150 11162 11141 11172 11153 11160 11170 1171</v>
      </c>
      <c r="L1063" s="211">
        <f>IFERROR(__xludf.DUMMYFUNCTION("""COMPUTED_VALUE"""),60000.0)</f>
        <v>60000</v>
      </c>
      <c r="M1063" s="211"/>
      <c r="N1063" s="211"/>
      <c r="O1063" s="211"/>
      <c r="Q1063" s="210" t="str">
        <f>IFERROR(__xludf.DUMMYFUNCTION("""COMPUTED_VALUE"""),"8128f000")</f>
        <v>8128f000</v>
      </c>
      <c r="R1063" s="210" t="str">
        <f>IFERROR(__xludf.DUMMYFUNCTION("""COMPUTED_VALUE"""),"8128f000")</f>
        <v>8128f000</v>
      </c>
      <c r="S1063" s="211" t="str">
        <f>IFERROR(__xludf.DUMMYFUNCTION("""COMPUTED_VALUE"""),"ed2cc96a")</f>
        <v>ed2cc96a</v>
      </c>
      <c r="T1063" s="211" t="str">
        <f>IFERROR(__xludf.DUMMYFUNCTION("""COMPUTED_VALUE"""),"Bengkel Dian Jaya")</f>
        <v>Bengkel Dian Jaya</v>
      </c>
      <c r="U1063" s="215">
        <f>IFERROR(__xludf.DUMMYFUNCTION("""COMPUTED_VALUE"""),45867.67013888889)</f>
        <v>45867.67014</v>
      </c>
      <c r="V1063" s="211" t="str">
        <f>IFERROR(__xludf.DUMMYFUNCTION("""COMPUTED_VALUE"""),"Gg. 2, Kejagan, Kec. Trowulan, Kabupaten Mojokerto, Jawa Timur 61362")</f>
        <v>Gg. 2, Kejagan, Kec. Trowulan, Kabupaten Mojokerto, Jawa Timur 61362</v>
      </c>
      <c r="W1063" s="211" t="str">
        <f>IFERROR(__xludf.DUMMYFUNCTION("""COMPUTED_VALUE"""),"IN")</f>
        <v>IN</v>
      </c>
      <c r="X1063" s="211"/>
      <c r="Z1063" s="211" t="str">
        <f>IFERROR(__xludf.DUMMYFUNCTION("""COMPUTED_VALUE"""),"05250433")</f>
        <v>05250433</v>
      </c>
      <c r="AL1063" s="211"/>
      <c r="AM1063" s="211"/>
      <c r="AN1063" s="211"/>
      <c r="AO1063" s="211"/>
      <c r="AP1063" s="215"/>
      <c r="AQ1063" s="218"/>
      <c r="AR1063" s="211"/>
    </row>
    <row r="1064">
      <c r="A1064" s="210" t="str">
        <f>IFERROR(__xludf.DUMMYFUNCTION("""COMPUTED_VALUE"""),"05250439")</f>
        <v>05250439</v>
      </c>
      <c r="B1064" s="210" t="str">
        <f>IFERROR(__xludf.DUMMYFUNCTION("""COMPUTED_VALUE"""),"05250439")</f>
        <v>05250439</v>
      </c>
      <c r="C1064" s="213">
        <f>IFERROR(__xludf.DUMMYFUNCTION("""COMPUTED_VALUE"""),45797.373611111114)</f>
        <v>45797.37361</v>
      </c>
      <c r="D1064" s="211" t="str">
        <f>IFERROR(__xludf.DUMMYFUNCTION("""COMPUTED_VALUE"""),"609d620d")</f>
        <v>609d620d</v>
      </c>
      <c r="E1064" s="211" t="str">
        <f>IFERROR(__xludf.DUMMYFUNCTION("""COMPUTED_VALUE"""),"PT Pandu Mulia Bersama")</f>
        <v>PT Pandu Mulia Bersama</v>
      </c>
      <c r="F1064" s="211" t="str">
        <f>IFERROR(__xludf.DUMMYFUNCTION("""COMPUTED_VALUE"""),"be525f3b")</f>
        <v>be525f3b</v>
      </c>
      <c r="G1064" s="211" t="str">
        <f>IFERROR(__xludf.DUMMYFUNCTION("""COMPUTED_VALUE"""),"LPG 12kg")</f>
        <v>LPG 12kg</v>
      </c>
      <c r="H1064" s="214" t="str">
        <f>IFERROR(__xludf.DUMMYFUNCTION("""COMPUTED_VALUE"""),"OUT")</f>
        <v>OUT</v>
      </c>
      <c r="I1064" s="214" t="str">
        <f>IFERROR(__xludf.DUMMYFUNCTION("""COMPUTED_VALUE"""),"NORMAL")</f>
        <v>NORMAL</v>
      </c>
      <c r="J1064" s="211">
        <f>IFERROR(__xludf.DUMMYFUNCTION("""COMPUTED_VALUE"""),3.0)</f>
        <v>3</v>
      </c>
      <c r="K1064" s="211"/>
      <c r="L1064" s="211">
        <f>IFERROR(__xludf.DUMMYFUNCTION("""COMPUTED_VALUE"""),200000.0)</f>
        <v>200000</v>
      </c>
      <c r="M1064" s="211"/>
      <c r="N1064" s="211"/>
      <c r="O1064" s="211"/>
      <c r="Q1064" s="210" t="str">
        <f>IFERROR(__xludf.DUMMYFUNCTION("""COMPUTED_VALUE"""),"2f918338")</f>
        <v>2f918338</v>
      </c>
      <c r="R1064" s="210" t="str">
        <f>IFERROR(__xludf.DUMMYFUNCTION("""COMPUTED_VALUE"""),"2f918338")</f>
        <v>2f918338</v>
      </c>
      <c r="S1064" s="211" t="str">
        <f>IFERROR(__xludf.DUMMYFUNCTION("""COMPUTED_VALUE"""),"e76bc39c")</f>
        <v>e76bc39c</v>
      </c>
      <c r="T1064" s="211" t="str">
        <f>IFERROR(__xludf.DUMMYFUNCTION("""COMPUTED_VALUE"""),"Bpk. Irul")</f>
        <v>Bpk. Irul</v>
      </c>
      <c r="U1064" s="215">
        <f>IFERROR(__xludf.DUMMYFUNCTION("""COMPUTED_VALUE"""),45867.705555555556)</f>
        <v>45867.70556</v>
      </c>
      <c r="V1064" s="211" t="str">
        <f>IFERROR(__xludf.DUMMYFUNCTION("""COMPUTED_VALUE"""),"Jl. Mayjen Bambang Yuwono, Ciro Kulon, Bakungtemenggungan, Kec. BalongBendo, Kabupaten Sidoarjo, Jawa Timur 61263")</f>
        <v>Jl. Mayjen Bambang Yuwono, Ciro Kulon, Bakungtemenggungan, Kec. BalongBendo, Kabupaten Sidoarjo, Jawa Timur 61263</v>
      </c>
      <c r="W1064" s="211" t="str">
        <f>IFERROR(__xludf.DUMMYFUNCTION("""COMPUTED_VALUE"""),"IN")</f>
        <v>IN</v>
      </c>
      <c r="X1064" s="211"/>
      <c r="Z1064" s="211" t="str">
        <f>IFERROR(__xludf.DUMMYFUNCTION("""COMPUTED_VALUE"""),"05250432")</f>
        <v>05250432</v>
      </c>
      <c r="AL1064" s="211"/>
      <c r="AM1064" s="211"/>
      <c r="AN1064" s="211"/>
      <c r="AO1064" s="211"/>
      <c r="AP1064" s="215"/>
      <c r="AQ1064" s="218"/>
      <c r="AR1064" s="211"/>
    </row>
    <row r="1065">
      <c r="A1065" s="210" t="str">
        <f>IFERROR(__xludf.DUMMYFUNCTION("""COMPUTED_VALUE"""),"05250441")</f>
        <v>05250441</v>
      </c>
      <c r="B1065" s="210" t="str">
        <f>IFERROR(__xludf.DUMMYFUNCTION("""COMPUTED_VALUE"""),"05250441")</f>
        <v>05250441</v>
      </c>
      <c r="C1065" s="213">
        <f>IFERROR(__xludf.DUMMYFUNCTION("""COMPUTED_VALUE"""),45797.373611111114)</f>
        <v>45797.37361</v>
      </c>
      <c r="D1065" s="211" t="str">
        <f>IFERROR(__xludf.DUMMYFUNCTION("""COMPUTED_VALUE"""),"4edfe755")</f>
        <v>4edfe755</v>
      </c>
      <c r="E1065" s="211" t="str">
        <f>IFERROR(__xludf.DUMMYFUNCTION("""COMPUTED_VALUE"""),"Bpk. Ibnu")</f>
        <v>Bpk. Ibnu</v>
      </c>
      <c r="F1065" s="211" t="str">
        <f>IFERROR(__xludf.DUMMYFUNCTION("""COMPUTED_VALUE"""),"8bdbe149")</f>
        <v>8bdbe149</v>
      </c>
      <c r="G1065" s="211" t="str">
        <f>IFERROR(__xludf.DUMMYFUNCTION("""COMPUTED_VALUE"""),"Oksigen 6m3")</f>
        <v>Oksigen 6m3</v>
      </c>
      <c r="H1065" s="214" t="str">
        <f>IFERROR(__xludf.DUMMYFUNCTION("""COMPUTED_VALUE"""),"OUT")</f>
        <v>OUT</v>
      </c>
      <c r="I1065" s="214" t="str">
        <f>IFERROR(__xludf.DUMMYFUNCTION("""COMPUTED_VALUE"""),"NORMAL")</f>
        <v>NORMAL</v>
      </c>
      <c r="J1065" s="211">
        <f>IFERROR(__xludf.DUMMYFUNCTION("""COMPUTED_VALUE"""),5.0)</f>
        <v>5</v>
      </c>
      <c r="K1065" s="210" t="str">
        <f>IFERROR(__xludf.DUMMYFUNCTION("""COMPUTED_VALUE"""),"11167 11174 11164 11136 11135")</f>
        <v>11167 11174 11164 11136 11135</v>
      </c>
      <c r="L1065" s="211">
        <f>IFERROR(__xludf.DUMMYFUNCTION("""COMPUTED_VALUE"""),55000.0)</f>
        <v>55000</v>
      </c>
      <c r="M1065" s="211"/>
      <c r="N1065" s="211"/>
      <c r="O1065" s="211"/>
      <c r="Q1065" s="210" t="str">
        <f>IFERROR(__xludf.DUMMYFUNCTION("""COMPUTED_VALUE"""),"741474b6")</f>
        <v>741474b6</v>
      </c>
      <c r="R1065" s="210" t="str">
        <f>IFERROR(__xludf.DUMMYFUNCTION("""COMPUTED_VALUE"""),"741474b6")</f>
        <v>741474b6</v>
      </c>
      <c r="S1065" s="211" t="str">
        <f>IFERROR(__xludf.DUMMYFUNCTION("""COMPUTED_VALUE"""),"e86baf3b")</f>
        <v>e86baf3b</v>
      </c>
      <c r="T1065" s="211" t="str">
        <f>IFERROR(__xludf.DUMMYFUNCTION("""COMPUTED_VALUE"""),"PT GEMILANG CIPTA WAWASAN")</f>
        <v>PT GEMILANG CIPTA WAWASAN</v>
      </c>
      <c r="U1065" s="215">
        <f>IFERROR(__xludf.DUMMYFUNCTION("""COMPUTED_VALUE"""),45867.70694444445)</f>
        <v>45867.70694</v>
      </c>
      <c r="V1065" s="211" t="str">
        <f>IFERROR(__xludf.DUMMYFUNCTION("""COMPUTED_VALUE"""),"JL TEBET RAYA, 2A, TEBET BARAT, TEBET, KOTA ADM, JAKARTA SELATAN, DKI JAKARTA")</f>
        <v>JL TEBET RAYA, 2A, TEBET BARAT, TEBET, KOTA ADM, JAKARTA SELATAN, DKI JAKARTA</v>
      </c>
      <c r="W1065" s="211" t="str">
        <f>IFERROR(__xludf.DUMMYFUNCTION("""COMPUTED_VALUE"""),"IN")</f>
        <v>IN</v>
      </c>
      <c r="X1065" s="211"/>
      <c r="Z1065" s="211" t="str">
        <f>IFERROR(__xludf.DUMMYFUNCTION("""COMPUTED_VALUE"""),"05250431")</f>
        <v>05250431</v>
      </c>
      <c r="AL1065" s="211"/>
      <c r="AM1065" s="211"/>
      <c r="AN1065" s="211"/>
      <c r="AO1065" s="211"/>
      <c r="AP1065" s="215"/>
      <c r="AQ1065" s="218"/>
      <c r="AR1065" s="211"/>
    </row>
    <row r="1066">
      <c r="A1066" s="210" t="str">
        <f>IFERROR(__xludf.DUMMYFUNCTION("""COMPUTED_VALUE"""),"05250442")</f>
        <v>05250442</v>
      </c>
      <c r="B1066" s="210" t="str">
        <f>IFERROR(__xludf.DUMMYFUNCTION("""COMPUTED_VALUE"""),"05250442")</f>
        <v>05250442</v>
      </c>
      <c r="C1066" s="213">
        <f>IFERROR(__xludf.DUMMYFUNCTION("""COMPUTED_VALUE"""),45797.450694444444)</f>
        <v>45797.45069</v>
      </c>
      <c r="D1066" s="211" t="str">
        <f>IFERROR(__xludf.DUMMYFUNCTION("""COMPUTED_VALUE"""),"ce83e171")</f>
        <v>ce83e171</v>
      </c>
      <c r="E1066" s="211" t="str">
        <f>IFERROR(__xludf.DUMMYFUNCTION("""COMPUTED_VALUE"""),"Bpk. Sulaiman")</f>
        <v>Bpk. Sulaiman</v>
      </c>
      <c r="F1066" s="211" t="str">
        <f>IFERROR(__xludf.DUMMYFUNCTION("""COMPUTED_VALUE"""),"8bdbe149")</f>
        <v>8bdbe149</v>
      </c>
      <c r="G1066" s="211" t="str">
        <f>IFERROR(__xludf.DUMMYFUNCTION("""COMPUTED_VALUE"""),"Oksigen 6m3")</f>
        <v>Oksigen 6m3</v>
      </c>
      <c r="H1066" s="214" t="str">
        <f>IFERROR(__xludf.DUMMYFUNCTION("""COMPUTED_VALUE"""),"OUT")</f>
        <v>OUT</v>
      </c>
      <c r="I1066" s="214" t="str">
        <f>IFERROR(__xludf.DUMMYFUNCTION("""COMPUTED_VALUE"""),"NORMAL")</f>
        <v>NORMAL</v>
      </c>
      <c r="J1066" s="211">
        <f>IFERROR(__xludf.DUMMYFUNCTION("""COMPUTED_VALUE"""),20.0)</f>
        <v>20</v>
      </c>
      <c r="K1066" s="210" t="str">
        <f>IFERROR(__xludf.DUMMYFUNCTION("""COMPUTED_VALUE"""),"1171 1127 11130 11123 11110 11106 11279 1114 1113 11198 1137 1152 1193 11276 11108 1141 1116 11118 1183 1187")</f>
        <v>1171 1127 11130 11123 11110 11106 11279 1114 1113 11198 1137 1152 1193 11276 11108 1141 1116 11118 1183 1187</v>
      </c>
      <c r="L1066" s="211">
        <f>IFERROR(__xludf.DUMMYFUNCTION("""COMPUTED_VALUE"""),55000.0)</f>
        <v>55000</v>
      </c>
      <c r="M1066" s="211"/>
      <c r="N1066" s="211"/>
      <c r="O1066" s="211"/>
      <c r="Q1066" s="210" t="str">
        <f>IFERROR(__xludf.DUMMYFUNCTION("""COMPUTED_VALUE"""),"07250615")</f>
        <v>07250615</v>
      </c>
      <c r="R1066" s="210" t="str">
        <f>IFERROR(__xludf.DUMMYFUNCTION("""COMPUTED_VALUE"""),"07250615")</f>
        <v>07250615</v>
      </c>
      <c r="S1066" s="211" t="str">
        <f>IFERROR(__xludf.DUMMYFUNCTION("""COMPUTED_VALUE"""),"ce83e171")</f>
        <v>ce83e171</v>
      </c>
      <c r="T1066" s="211" t="str">
        <f>IFERROR(__xludf.DUMMYFUNCTION("""COMPUTED_VALUE"""),"Bpk. Sulaiman")</f>
        <v>Bpk. Sulaiman</v>
      </c>
      <c r="U1066" s="215">
        <f>IFERROR(__xludf.DUMMYFUNCTION("""COMPUTED_VALUE"""),45868.35)</f>
        <v>45868.35</v>
      </c>
      <c r="V1066" s="211" t="str">
        <f>IFERROR(__xludf.DUMMYFUNCTION("""COMPUTED_VALUE"""),"Jl. Raya Kramat Temenggung No.43, Kramat, Kramat Temenggung, Kec. Tarik, Kabupaten Sidoarjo, Jawa Timur 61265")</f>
        <v>Jl. Raya Kramat Temenggung No.43, Kramat, Kramat Temenggung, Kec. Tarik, Kabupaten Sidoarjo, Jawa Timur 61265</v>
      </c>
      <c r="W1066" s="211" t="str">
        <f>IFERROR(__xludf.DUMMYFUNCTION("""COMPUTED_VALUE"""),"OUT")</f>
        <v>OUT</v>
      </c>
      <c r="X1066" s="211"/>
      <c r="Z1066" s="211" t="str">
        <f>IFERROR(__xludf.DUMMYFUNCTION("""COMPUTED_VALUE"""),"05250430")</f>
        <v>05250430</v>
      </c>
      <c r="AL1066" s="211"/>
      <c r="AM1066" s="211"/>
      <c r="AN1066" s="211"/>
      <c r="AO1066" s="211"/>
      <c r="AP1066" s="215"/>
      <c r="AQ1066" s="218"/>
      <c r="AR1066" s="211"/>
    </row>
    <row r="1067">
      <c r="A1067" s="210" t="str">
        <f>IFERROR(__xludf.DUMMYFUNCTION("""COMPUTED_VALUE"""),"05250442")</f>
        <v>05250442</v>
      </c>
      <c r="B1067" s="210" t="str">
        <f>IFERROR(__xludf.DUMMYFUNCTION("""COMPUTED_VALUE"""),"05250442")</f>
        <v>05250442</v>
      </c>
      <c r="C1067" s="213">
        <f>IFERROR(__xludf.DUMMYFUNCTION("""COMPUTED_VALUE"""),45797.450694444444)</f>
        <v>45797.45069</v>
      </c>
      <c r="D1067" s="211" t="str">
        <f>IFERROR(__xludf.DUMMYFUNCTION("""COMPUTED_VALUE"""),"ce83e171")</f>
        <v>ce83e171</v>
      </c>
      <c r="E1067" s="211" t="str">
        <f>IFERROR(__xludf.DUMMYFUNCTION("""COMPUTED_VALUE"""),"Bpk. Sulaiman")</f>
        <v>Bpk. Sulaiman</v>
      </c>
      <c r="F1067" s="211" t="str">
        <f>IFERROR(__xludf.DUMMYFUNCTION("""COMPUTED_VALUE"""),"be525f3b")</f>
        <v>be525f3b</v>
      </c>
      <c r="G1067" s="211" t="str">
        <f>IFERROR(__xludf.DUMMYFUNCTION("""COMPUTED_VALUE"""),"LPG 12kg")</f>
        <v>LPG 12kg</v>
      </c>
      <c r="H1067" s="214" t="str">
        <f>IFERROR(__xludf.DUMMYFUNCTION("""COMPUTED_VALUE"""),"OUT")</f>
        <v>OUT</v>
      </c>
      <c r="I1067" s="214" t="str">
        <f>IFERROR(__xludf.DUMMYFUNCTION("""COMPUTED_VALUE"""),"NORMAL")</f>
        <v>NORMAL</v>
      </c>
      <c r="J1067" s="211">
        <f>IFERROR(__xludf.DUMMYFUNCTION("""COMPUTED_VALUE"""),2.0)</f>
        <v>2</v>
      </c>
      <c r="K1067" s="211"/>
      <c r="L1067" s="211">
        <f>IFERROR(__xludf.DUMMYFUNCTION("""COMPUTED_VALUE"""),210000.0)</f>
        <v>210000</v>
      </c>
      <c r="M1067" s="211"/>
      <c r="N1067" s="211"/>
      <c r="O1067" s="211"/>
      <c r="Q1067" s="210" t="str">
        <f>IFERROR(__xludf.DUMMYFUNCTION("""COMPUTED_VALUE"""),"09a943c2")</f>
        <v>09a943c2</v>
      </c>
      <c r="R1067" s="210" t="str">
        <f>IFERROR(__xludf.DUMMYFUNCTION("""COMPUTED_VALUE"""),"09a943c2")</f>
        <v>09a943c2</v>
      </c>
      <c r="S1067" s="211" t="str">
        <f>IFERROR(__xludf.DUMMYFUNCTION("""COMPUTED_VALUE"""),"103f3ae7")</f>
        <v>103f3ae7</v>
      </c>
      <c r="T1067" s="211" t="str">
        <f>IFERROR(__xludf.DUMMYFUNCTION("""COMPUTED_VALUE"""),"PT ARYANA CAKASANA")</f>
        <v>PT ARYANA CAKASANA</v>
      </c>
      <c r="U1067" s="215">
        <f>IFERROR(__xludf.DUMMYFUNCTION("""COMPUTED_VALUE"""),45868.50902777778)</f>
        <v>45868.50903</v>
      </c>
      <c r="V1067" s="211" t="str">
        <f>IFERROR(__xludf.DUMMYFUNCTION("""COMPUTED_VALUE"""),"Jl Raya Tarik No. 45, Wonokupang, Bakalan, Balongbendo")</f>
        <v>Jl Raya Tarik No. 45, Wonokupang, Bakalan, Balongbendo</v>
      </c>
      <c r="W1067" s="211" t="str">
        <f>IFERROR(__xludf.DUMMYFUNCTION("""COMPUTED_VALUE"""),"IN")</f>
        <v>IN</v>
      </c>
      <c r="X1067" s="211"/>
      <c r="Z1067" s="211" t="str">
        <f>IFERROR(__xludf.DUMMYFUNCTION("""COMPUTED_VALUE"""),"05250429")</f>
        <v>05250429</v>
      </c>
      <c r="AL1067" s="211"/>
      <c r="AM1067" s="211"/>
      <c r="AN1067" s="211"/>
      <c r="AO1067" s="211"/>
      <c r="AP1067" s="215"/>
      <c r="AQ1067" s="218"/>
      <c r="AR1067" s="211"/>
    </row>
    <row r="1068">
      <c r="A1068" s="210" t="str">
        <f>IFERROR(__xludf.DUMMYFUNCTION("""COMPUTED_VALUE"""),"78ffde66")</f>
        <v>78ffde66</v>
      </c>
      <c r="B1068" s="210" t="str">
        <f>IFERROR(__xludf.DUMMYFUNCTION("""COMPUTED_VALUE"""),"78ffde66")</f>
        <v>78ffde66</v>
      </c>
      <c r="C1068" s="213">
        <f>IFERROR(__xludf.DUMMYFUNCTION("""COMPUTED_VALUE"""),45797.47708333333)</f>
        <v>45797.47708</v>
      </c>
      <c r="D1068" s="211" t="str">
        <f>IFERROR(__xludf.DUMMYFUNCTION("""COMPUTED_VALUE"""),"d78b2eaf")</f>
        <v>d78b2eaf</v>
      </c>
      <c r="E1068" s="211" t="str">
        <f>IFERROR(__xludf.DUMMYFUNCTION("""COMPUTED_VALUE"""),"PT Sinar Indogreen Kencana")</f>
        <v>PT Sinar Indogreen Kencana</v>
      </c>
      <c r="F1068" s="211" t="str">
        <f>IFERROR(__xludf.DUMMYFUNCTION("""COMPUTED_VALUE"""),"be525f3b")</f>
        <v>be525f3b</v>
      </c>
      <c r="G1068" s="211" t="str">
        <f>IFERROR(__xludf.DUMMYFUNCTION("""COMPUTED_VALUE"""),"LPG 12kg")</f>
        <v>LPG 12kg</v>
      </c>
      <c r="H1068" s="214" t="str">
        <f>IFERROR(__xludf.DUMMYFUNCTION("""COMPUTED_VALUE"""),"IN")</f>
        <v>IN</v>
      </c>
      <c r="I1068" s="214" t="str">
        <f>IFERROR(__xludf.DUMMYFUNCTION("""COMPUTED_VALUE"""),"EMPTY")</f>
        <v>EMPTY</v>
      </c>
      <c r="J1068" s="211">
        <f>IFERROR(__xludf.DUMMYFUNCTION("""COMPUTED_VALUE"""),1.0)</f>
        <v>1</v>
      </c>
      <c r="K1068" s="211"/>
      <c r="L1068" s="211">
        <f>IFERROR(__xludf.DUMMYFUNCTION("""COMPUTED_VALUE"""),0.0)</f>
        <v>0</v>
      </c>
      <c r="M1068" s="211"/>
      <c r="N1068" s="211"/>
      <c r="O1068" s="211"/>
      <c r="Q1068" s="210" t="str">
        <f>IFERROR(__xludf.DUMMYFUNCTION("""COMPUTED_VALUE"""),"0e04fedd")</f>
        <v>0e04fedd</v>
      </c>
      <c r="R1068" s="210" t="str">
        <f>IFERROR(__xludf.DUMMYFUNCTION("""COMPUTED_VALUE"""),"0e04fedd")</f>
        <v>0e04fedd</v>
      </c>
      <c r="S1068" s="211" t="str">
        <f>IFERROR(__xludf.DUMMYFUNCTION("""COMPUTED_VALUE"""),"609d620d")</f>
        <v>609d620d</v>
      </c>
      <c r="T1068" s="211" t="str">
        <f>IFERROR(__xludf.DUMMYFUNCTION("""COMPUTED_VALUE"""),"PT Pandu Mulia Bersama")</f>
        <v>PT Pandu Mulia Bersama</v>
      </c>
      <c r="U1068" s="215">
        <f>IFERROR(__xludf.DUMMYFUNCTION("""COMPUTED_VALUE"""),45868.51041666667)</f>
        <v>45868.51042</v>
      </c>
      <c r="V1068" s="211" t="str">
        <f>IFERROR(__xludf.DUMMYFUNCTION("""COMPUTED_VALUE"""),"Jl. Songgat RT 12 RW 05, Kec. Tarik, Sidoarjo, Jawa Timur")</f>
        <v>Jl. Songgat RT 12 RW 05, Kec. Tarik, Sidoarjo, Jawa Timur</v>
      </c>
      <c r="W1068" s="211" t="str">
        <f>IFERROR(__xludf.DUMMYFUNCTION("""COMPUTED_VALUE"""),"IN")</f>
        <v>IN</v>
      </c>
      <c r="X1068" s="211"/>
      <c r="Z1068" s="211" t="str">
        <f>IFERROR(__xludf.DUMMYFUNCTION("""COMPUTED_VALUE"""),"05250428")</f>
        <v>05250428</v>
      </c>
      <c r="AL1068" s="211"/>
      <c r="AM1068" s="211"/>
      <c r="AN1068" s="211"/>
      <c r="AO1068" s="211"/>
      <c r="AP1068" s="215"/>
      <c r="AQ1068" s="218"/>
      <c r="AR1068" s="211"/>
    </row>
    <row r="1069">
      <c r="A1069" s="210" t="str">
        <f>IFERROR(__xludf.DUMMYFUNCTION("""COMPUTED_VALUE"""),"196d5ce4")</f>
        <v>196d5ce4</v>
      </c>
      <c r="B1069" s="210" t="str">
        <f>IFERROR(__xludf.DUMMYFUNCTION("""COMPUTED_VALUE"""),"196d5ce4")</f>
        <v>196d5ce4</v>
      </c>
      <c r="C1069" s="213">
        <f>IFERROR(__xludf.DUMMYFUNCTION("""COMPUTED_VALUE"""),45797.47708333333)</f>
        <v>45797.47708</v>
      </c>
      <c r="D1069" s="211" t="str">
        <f>IFERROR(__xludf.DUMMYFUNCTION("""COMPUTED_VALUE"""),"609d620d")</f>
        <v>609d620d</v>
      </c>
      <c r="E1069" s="211" t="str">
        <f>IFERROR(__xludf.DUMMYFUNCTION("""COMPUTED_VALUE"""),"PT Pandu Mulia Bersama")</f>
        <v>PT Pandu Mulia Bersama</v>
      </c>
      <c r="F1069" s="211" t="str">
        <f>IFERROR(__xludf.DUMMYFUNCTION("""COMPUTED_VALUE"""),"7d2764f1")</f>
        <v>7d2764f1</v>
      </c>
      <c r="G1069" s="211" t="str">
        <f>IFERROR(__xludf.DUMMYFUNCTION("""COMPUTED_VALUE"""),"Oksigen 7m3")</f>
        <v>Oksigen 7m3</v>
      </c>
      <c r="H1069" s="214" t="str">
        <f>IFERROR(__xludf.DUMMYFUNCTION("""COMPUTED_VALUE"""),"IN")</f>
        <v>IN</v>
      </c>
      <c r="I1069" s="214" t="str">
        <f>IFERROR(__xludf.DUMMYFUNCTION("""COMPUTED_VALUE"""),"EMPTY")</f>
        <v>EMPTY</v>
      </c>
      <c r="J1069" s="211">
        <f>IFERROR(__xludf.DUMMYFUNCTION("""COMPUTED_VALUE"""),3.0)</f>
        <v>3</v>
      </c>
      <c r="K1069" s="210" t="str">
        <f>IFERROR(__xludf.DUMMYFUNCTION("""COMPUTED_VALUE"""),"11229 1162 11267")</f>
        <v>11229 1162 11267</v>
      </c>
      <c r="L1069" s="211">
        <f>IFERROR(__xludf.DUMMYFUNCTION("""COMPUTED_VALUE"""),0.0)</f>
        <v>0</v>
      </c>
      <c r="M1069" s="211"/>
      <c r="N1069" s="211"/>
      <c r="O1069" s="211"/>
      <c r="Q1069" s="210" t="str">
        <f>IFERROR(__xludf.DUMMYFUNCTION("""COMPUTED_VALUE"""),"eaed35ff")</f>
        <v>eaed35ff</v>
      </c>
      <c r="R1069" s="210" t="str">
        <f>IFERROR(__xludf.DUMMYFUNCTION("""COMPUTED_VALUE"""),"eaed35ff")</f>
        <v>eaed35ff</v>
      </c>
      <c r="S1069" s="211" t="str">
        <f>IFERROR(__xludf.DUMMYFUNCTION("""COMPUTED_VALUE"""),"01158be1")</f>
        <v>01158be1</v>
      </c>
      <c r="T1069" s="211" t="str">
        <f>IFERROR(__xludf.DUMMYFUNCTION("""COMPUTED_VALUE"""),"GYF")</f>
        <v>GYF</v>
      </c>
      <c r="U1069" s="215">
        <f>IFERROR(__xludf.DUMMYFUNCTION("""COMPUTED_VALUE"""),45868.51111111111)</f>
        <v>45868.51111</v>
      </c>
      <c r="V1069" s="211" t="str">
        <f>IFERROR(__xludf.DUMMYFUNCTION("""COMPUTED_VALUE"""),"Kangkungan, Lengkong, Kec. Mojoanyar, Kabupaten Mojokerto, Jawa Timur")</f>
        <v>Kangkungan, Lengkong, Kec. Mojoanyar, Kabupaten Mojokerto, Jawa Timur</v>
      </c>
      <c r="W1069" s="211" t="str">
        <f>IFERROR(__xludf.DUMMYFUNCTION("""COMPUTED_VALUE"""),"IN")</f>
        <v>IN</v>
      </c>
      <c r="X1069" s="211"/>
      <c r="Z1069" s="211" t="str">
        <f>IFERROR(__xludf.DUMMYFUNCTION("""COMPUTED_VALUE"""),"05250427")</f>
        <v>05250427</v>
      </c>
      <c r="AL1069" s="211"/>
      <c r="AM1069" s="211"/>
      <c r="AN1069" s="211"/>
      <c r="AO1069" s="211"/>
      <c r="AP1069" s="215"/>
      <c r="AQ1069" s="218"/>
      <c r="AR1069" s="211"/>
    </row>
    <row r="1070">
      <c r="A1070" s="210" t="str">
        <f>IFERROR(__xludf.DUMMYFUNCTION("""COMPUTED_VALUE"""),"196d5ce4")</f>
        <v>196d5ce4</v>
      </c>
      <c r="B1070" s="210" t="str">
        <f>IFERROR(__xludf.DUMMYFUNCTION("""COMPUTED_VALUE"""),"196d5ce4")</f>
        <v>196d5ce4</v>
      </c>
      <c r="C1070" s="213">
        <f>IFERROR(__xludf.DUMMYFUNCTION("""COMPUTED_VALUE"""),45797.478472222225)</f>
        <v>45797.47847</v>
      </c>
      <c r="D1070" s="211" t="str">
        <f>IFERROR(__xludf.DUMMYFUNCTION("""COMPUTED_VALUE"""),"609d620d")</f>
        <v>609d620d</v>
      </c>
      <c r="E1070" s="211" t="str">
        <f>IFERROR(__xludf.DUMMYFUNCTION("""COMPUTED_VALUE"""),"PT Pandu Mulia Bersama")</f>
        <v>PT Pandu Mulia Bersama</v>
      </c>
      <c r="F1070" s="211" t="str">
        <f>IFERROR(__xludf.DUMMYFUNCTION("""COMPUTED_VALUE"""),"be525f3b")</f>
        <v>be525f3b</v>
      </c>
      <c r="G1070" s="211" t="str">
        <f>IFERROR(__xludf.DUMMYFUNCTION("""COMPUTED_VALUE"""),"LPG 12kg")</f>
        <v>LPG 12kg</v>
      </c>
      <c r="H1070" s="214" t="str">
        <f>IFERROR(__xludf.DUMMYFUNCTION("""COMPUTED_VALUE"""),"IN")</f>
        <v>IN</v>
      </c>
      <c r="I1070" s="214" t="str">
        <f>IFERROR(__xludf.DUMMYFUNCTION("""COMPUTED_VALUE"""),"EMPTY")</f>
        <v>EMPTY</v>
      </c>
      <c r="J1070" s="211">
        <f>IFERROR(__xludf.DUMMYFUNCTION("""COMPUTED_VALUE"""),3.0)</f>
        <v>3</v>
      </c>
      <c r="K1070" s="211"/>
      <c r="L1070" s="211">
        <f>IFERROR(__xludf.DUMMYFUNCTION("""COMPUTED_VALUE"""),0.0)</f>
        <v>0</v>
      </c>
      <c r="M1070" s="211"/>
      <c r="N1070" s="211"/>
      <c r="O1070" s="211"/>
      <c r="Q1070" s="210" t="str">
        <f>IFERROR(__xludf.DUMMYFUNCTION("""COMPUTED_VALUE"""),"07250616")</f>
        <v>07250616</v>
      </c>
      <c r="R1070" s="210" t="str">
        <f>IFERROR(__xludf.DUMMYFUNCTION("""COMPUTED_VALUE"""),"07250616")</f>
        <v>07250616</v>
      </c>
      <c r="S1070" s="211" t="str">
        <f>IFERROR(__xludf.DUMMYFUNCTION("""COMPUTED_VALUE"""),"1bf27092")</f>
        <v>1bf27092</v>
      </c>
      <c r="T1070" s="211" t="str">
        <f>IFERROR(__xludf.DUMMYFUNCTION("""COMPUTED_VALUE"""),"Bpk. Ari Budiarto")</f>
        <v>Bpk. Ari Budiarto</v>
      </c>
      <c r="U1070" s="215">
        <f>IFERROR(__xludf.DUMMYFUNCTION("""COMPUTED_VALUE"""),45869.37152777778)</f>
        <v>45869.37153</v>
      </c>
      <c r="V1070" s="211" t="str">
        <f>IFERROR(__xludf.DUMMYFUNCTION("""COMPUTED_VALUE"""),"Jl. Raya Balongbendo 232, Bakalan, Bakalan Wringinpitu, Kec. BalongBendo, Kabupaten Sidoarjo, Jawa Timur 61263")</f>
        <v>Jl. Raya Balongbendo 232, Bakalan, Bakalan Wringinpitu, Kec. BalongBendo, Kabupaten Sidoarjo, Jawa Timur 61263</v>
      </c>
      <c r="W1070" s="211" t="str">
        <f>IFERROR(__xludf.DUMMYFUNCTION("""COMPUTED_VALUE"""),"OUT")</f>
        <v>OUT</v>
      </c>
      <c r="X1070" s="211"/>
      <c r="Z1070" s="211" t="str">
        <f>IFERROR(__xludf.DUMMYFUNCTION("""COMPUTED_VALUE"""),"05250426")</f>
        <v>05250426</v>
      </c>
      <c r="AL1070" s="211"/>
      <c r="AM1070" s="211"/>
      <c r="AN1070" s="211"/>
      <c r="AO1070" s="211"/>
      <c r="AP1070" s="215"/>
      <c r="AQ1070" s="218"/>
      <c r="AR1070" s="211"/>
    </row>
    <row r="1071">
      <c r="A1071" s="210" t="str">
        <f>IFERROR(__xludf.DUMMYFUNCTION("""COMPUTED_VALUE"""),"1267c257")</f>
        <v>1267c257</v>
      </c>
      <c r="B1071" s="210" t="str">
        <f>IFERROR(__xludf.DUMMYFUNCTION("""COMPUTED_VALUE"""),"1267c257")</f>
        <v>1267c257</v>
      </c>
      <c r="C1071" s="213">
        <f>IFERROR(__xludf.DUMMYFUNCTION("""COMPUTED_VALUE"""),45797.50486111111)</f>
        <v>45797.50486</v>
      </c>
      <c r="D1071" s="211" t="str">
        <f>IFERROR(__xludf.DUMMYFUNCTION("""COMPUTED_VALUE"""),"ce83e171")</f>
        <v>ce83e171</v>
      </c>
      <c r="E1071" s="211" t="str">
        <f>IFERROR(__xludf.DUMMYFUNCTION("""COMPUTED_VALUE"""),"Bpk. Sulaiman")</f>
        <v>Bpk. Sulaiman</v>
      </c>
      <c r="F1071" s="211" t="str">
        <f>IFERROR(__xludf.DUMMYFUNCTION("""COMPUTED_VALUE"""),"8bdbe149")</f>
        <v>8bdbe149</v>
      </c>
      <c r="G1071" s="211" t="str">
        <f>IFERROR(__xludf.DUMMYFUNCTION("""COMPUTED_VALUE"""),"Oksigen 6m3")</f>
        <v>Oksigen 6m3</v>
      </c>
      <c r="H1071" s="214" t="str">
        <f>IFERROR(__xludf.DUMMYFUNCTION("""COMPUTED_VALUE"""),"IN")</f>
        <v>IN</v>
      </c>
      <c r="I1071" s="214" t="str">
        <f>IFERROR(__xludf.DUMMYFUNCTION("""COMPUTED_VALUE"""),"EMPTY")</f>
        <v>EMPTY</v>
      </c>
      <c r="J1071" s="211">
        <f>IFERROR(__xludf.DUMMYFUNCTION("""COMPUTED_VALUE"""),4.0)</f>
        <v>4</v>
      </c>
      <c r="K1071" s="210" t="str">
        <f>IFERROR(__xludf.DUMMYFUNCTION("""COMPUTED_VALUE"""),"11239 11240 11154 11252")</f>
        <v>11239 11240 11154 11252</v>
      </c>
      <c r="L1071" s="211">
        <f>IFERROR(__xludf.DUMMYFUNCTION("""COMPUTED_VALUE"""),0.0)</f>
        <v>0</v>
      </c>
      <c r="M1071" s="211"/>
      <c r="N1071" s="211"/>
      <c r="O1071" s="211"/>
      <c r="Q1071" s="210" t="str">
        <f>IFERROR(__xludf.DUMMYFUNCTION("""COMPUTED_VALUE"""),"07250617")</f>
        <v>07250617</v>
      </c>
      <c r="R1071" s="210" t="str">
        <f>IFERROR(__xludf.DUMMYFUNCTION("""COMPUTED_VALUE"""),"07250617")</f>
        <v>07250617</v>
      </c>
      <c r="S1071" s="211" t="str">
        <f>IFERROR(__xludf.DUMMYFUNCTION("""COMPUTED_VALUE"""),"ec231cc9")</f>
        <v>ec231cc9</v>
      </c>
      <c r="T1071" s="211" t="str">
        <f>IFERROR(__xludf.DUMMYFUNCTION("""COMPUTED_VALUE"""),"Bpk. Kohir (Maintenance Velg)")</f>
        <v>Bpk. Kohir (Maintenance Velg)</v>
      </c>
      <c r="U1071" s="215">
        <f>IFERROR(__xludf.DUMMYFUNCTION("""COMPUTED_VALUE"""),45869.34444444445)</f>
        <v>45869.34444</v>
      </c>
      <c r="V1071" s="211" t="str">
        <f>IFERROR(__xludf.DUMMYFUNCTION("""COMPUTED_VALUE"""),"Jl. Lkr. Bypass Krian Timur, Sidogolong, Watugolong, Kec. Krian, Kabupaten Sidoarjo, Jawa Timur 61262")</f>
        <v>Jl. Lkr. Bypass Krian Timur, Sidogolong, Watugolong, Kec. Krian, Kabupaten Sidoarjo, Jawa Timur 61262</v>
      </c>
      <c r="W1071" s="211" t="str">
        <f>IFERROR(__xludf.DUMMYFUNCTION("""COMPUTED_VALUE"""),"OUT")</f>
        <v>OUT</v>
      </c>
      <c r="X1071" s="211"/>
      <c r="Z1071" s="211" t="str">
        <f>IFERROR(__xludf.DUMMYFUNCTION("""COMPUTED_VALUE"""),"05250425")</f>
        <v>05250425</v>
      </c>
      <c r="AL1071" s="211"/>
      <c r="AM1071" s="211"/>
      <c r="AN1071" s="211"/>
      <c r="AO1071" s="211"/>
      <c r="AP1071" s="215"/>
      <c r="AQ1071" s="218"/>
      <c r="AR1071" s="211"/>
    </row>
    <row r="1072">
      <c r="A1072" s="210" t="str">
        <f>IFERROR(__xludf.DUMMYFUNCTION("""COMPUTED_VALUE"""),"05250444")</f>
        <v>05250444</v>
      </c>
      <c r="B1072" s="210" t="str">
        <f>IFERROR(__xludf.DUMMYFUNCTION("""COMPUTED_VALUE"""),"05250444")</f>
        <v>05250444</v>
      </c>
      <c r="C1072" s="213">
        <f>IFERROR(__xludf.DUMMYFUNCTION("""COMPUTED_VALUE"""),45798.333333333336)</f>
        <v>45798.33333</v>
      </c>
      <c r="D1072" s="211" t="str">
        <f>IFERROR(__xludf.DUMMYFUNCTION("""COMPUTED_VALUE"""),"1bf27092")</f>
        <v>1bf27092</v>
      </c>
      <c r="E1072" s="211" t="str">
        <f>IFERROR(__xludf.DUMMYFUNCTION("""COMPUTED_VALUE"""),"Bpk. Ari Budiarto")</f>
        <v>Bpk. Ari Budiarto</v>
      </c>
      <c r="F1072" s="211" t="str">
        <f>IFERROR(__xludf.DUMMYFUNCTION("""COMPUTED_VALUE"""),"66af7c72")</f>
        <v>66af7c72</v>
      </c>
      <c r="G1072" s="211" t="str">
        <f>IFERROR(__xludf.DUMMYFUNCTION("""COMPUTED_VALUE"""),"Argon 6m3")</f>
        <v>Argon 6m3</v>
      </c>
      <c r="H1072" s="214" t="str">
        <f>IFERROR(__xludf.DUMMYFUNCTION("""COMPUTED_VALUE"""),"OUT")</f>
        <v>OUT</v>
      </c>
      <c r="I1072" s="214" t="str">
        <f>IFERROR(__xludf.DUMMYFUNCTION("""COMPUTED_VALUE"""),"NORMAL")</f>
        <v>NORMAL</v>
      </c>
      <c r="J1072" s="211">
        <f>IFERROR(__xludf.DUMMYFUNCTION("""COMPUTED_VALUE"""),2.0)</f>
        <v>2</v>
      </c>
      <c r="K1072" s="210" t="str">
        <f>IFERROR(__xludf.DUMMYFUNCTION("""COMPUTED_VALUE"""),"12042 12041")</f>
        <v>12042 12041</v>
      </c>
      <c r="L1072" s="211">
        <f>IFERROR(__xludf.DUMMYFUNCTION("""COMPUTED_VALUE"""),200000.0)</f>
        <v>200000</v>
      </c>
      <c r="M1072" s="211"/>
      <c r="N1072" s="211"/>
      <c r="O1072" s="211"/>
      <c r="Q1072" s="210" t="str">
        <f>IFERROR(__xludf.DUMMYFUNCTION("""COMPUTED_VALUE"""),"07250618")</f>
        <v>07250618</v>
      </c>
      <c r="R1072" s="210" t="str">
        <f>IFERROR(__xludf.DUMMYFUNCTION("""COMPUTED_VALUE"""),"07250618")</f>
        <v>07250618</v>
      </c>
      <c r="S1072" s="211" t="str">
        <f>IFERROR(__xludf.DUMMYFUNCTION("""COMPUTED_VALUE"""),"a343b84d")</f>
        <v>a343b84d</v>
      </c>
      <c r="T1072" s="211" t="str">
        <f>IFERROR(__xludf.DUMMYFUNCTION("""COMPUTED_VALUE"""),"PT Utama Alim Sejahtera")</f>
        <v>PT Utama Alim Sejahtera</v>
      </c>
      <c r="U1072" s="215">
        <f>IFERROR(__xludf.DUMMYFUNCTION("""COMPUTED_VALUE"""),45869.40694444445)</f>
        <v>45869.40694</v>
      </c>
      <c r="V1072" s="211" t="str">
        <f>IFERROR(__xludf.DUMMYFUNCTION("""COMPUTED_VALUE"""),"JL. PURBOYO, SEKETI, BALONGBENDO, KAB.SIDOARJO, JAWA TIMUR, 61263")</f>
        <v>JL. PURBOYO, SEKETI, BALONGBENDO, KAB.SIDOARJO, JAWA TIMUR, 61263</v>
      </c>
      <c r="W1072" s="211" t="str">
        <f>IFERROR(__xludf.DUMMYFUNCTION("""COMPUTED_VALUE"""),"OUT")</f>
        <v>OUT</v>
      </c>
      <c r="X1072" s="211"/>
      <c r="Z1072" s="211" t="str">
        <f>IFERROR(__xludf.DUMMYFUNCTION("""COMPUTED_VALUE"""),"05250423")</f>
        <v>05250423</v>
      </c>
      <c r="AL1072" s="211"/>
      <c r="AM1072" s="211"/>
      <c r="AN1072" s="211"/>
      <c r="AO1072" s="211"/>
      <c r="AP1072" s="215"/>
      <c r="AQ1072" s="218"/>
      <c r="AR1072" s="211"/>
    </row>
    <row r="1073">
      <c r="A1073" s="210" t="str">
        <f>IFERROR(__xludf.DUMMYFUNCTION("""COMPUTED_VALUE"""),"05250445")</f>
        <v>05250445</v>
      </c>
      <c r="B1073" s="210" t="str">
        <f>IFERROR(__xludf.DUMMYFUNCTION("""COMPUTED_VALUE"""),"05250445")</f>
        <v>05250445</v>
      </c>
      <c r="C1073" s="213">
        <f>IFERROR(__xludf.DUMMYFUNCTION("""COMPUTED_VALUE"""),45798.334027777775)</f>
        <v>45798.33403</v>
      </c>
      <c r="D1073" s="211" t="str">
        <f>IFERROR(__xludf.DUMMYFUNCTION("""COMPUTED_VALUE"""),"3bcd7fe6")</f>
        <v>3bcd7fe6</v>
      </c>
      <c r="E1073" s="211" t="str">
        <f>IFERROR(__xludf.DUMMYFUNCTION("""COMPUTED_VALUE"""),"Bpk. Alvin (LB Group)")</f>
        <v>Bpk. Alvin (LB Group)</v>
      </c>
      <c r="F1073" s="211" t="str">
        <f>IFERROR(__xludf.DUMMYFUNCTION("""COMPUTED_VALUE"""),"7d2764f1")</f>
        <v>7d2764f1</v>
      </c>
      <c r="G1073" s="211" t="str">
        <f>IFERROR(__xludf.DUMMYFUNCTION("""COMPUTED_VALUE"""),"Oksigen 7m3")</f>
        <v>Oksigen 7m3</v>
      </c>
      <c r="H1073" s="214" t="str">
        <f>IFERROR(__xludf.DUMMYFUNCTION("""COMPUTED_VALUE"""),"OUT")</f>
        <v>OUT</v>
      </c>
      <c r="I1073" s="214" t="str">
        <f>IFERROR(__xludf.DUMMYFUNCTION("""COMPUTED_VALUE"""),"NORMAL")</f>
        <v>NORMAL</v>
      </c>
      <c r="J1073" s="211">
        <f>IFERROR(__xludf.DUMMYFUNCTION("""COMPUTED_VALUE"""),5.0)</f>
        <v>5</v>
      </c>
      <c r="K1073" s="210" t="str">
        <f>IFERROR(__xludf.DUMMYFUNCTION("""COMPUTED_VALUE"""),"11230 11222 11225 11218 11221")</f>
        <v>11230 11222 11225 11218 11221</v>
      </c>
      <c r="L1073" s="211">
        <f>IFERROR(__xludf.DUMMYFUNCTION("""COMPUTED_VALUE"""),55000.0)</f>
        <v>55000</v>
      </c>
      <c r="M1073" s="211"/>
      <c r="N1073" s="211"/>
      <c r="O1073" s="211"/>
      <c r="Q1073" s="210" t="str">
        <f>IFERROR(__xludf.DUMMYFUNCTION("""COMPUTED_VALUE"""),"3e3f2c35")</f>
        <v>3e3f2c35</v>
      </c>
      <c r="R1073" s="210" t="str">
        <f>IFERROR(__xludf.DUMMYFUNCTION("""COMPUTED_VALUE"""),"3e3f2c35")</f>
        <v>3e3f2c35</v>
      </c>
      <c r="S1073" s="211" t="str">
        <f>IFERROR(__xludf.DUMMYFUNCTION("""COMPUTED_VALUE"""),"ec231cc9")</f>
        <v>ec231cc9</v>
      </c>
      <c r="T1073" s="211" t="str">
        <f>IFERROR(__xludf.DUMMYFUNCTION("""COMPUTED_VALUE"""),"Bpk. Kohir (Maintenance Velg)")</f>
        <v>Bpk. Kohir (Maintenance Velg)</v>
      </c>
      <c r="U1073" s="215">
        <f>IFERROR(__xludf.DUMMYFUNCTION("""COMPUTED_VALUE"""),45869.5)</f>
        <v>45869.5</v>
      </c>
      <c r="V1073" s="211" t="str">
        <f>IFERROR(__xludf.DUMMYFUNCTION("""COMPUTED_VALUE"""),"Jl. Lkr. Bypass Krian Timur, Sidogolong, Watugolong, Kec. Krian, Kabupaten Sidoarjo, Jawa Timur 61262")</f>
        <v>Jl. Lkr. Bypass Krian Timur, Sidogolong, Watugolong, Kec. Krian, Kabupaten Sidoarjo, Jawa Timur 61262</v>
      </c>
      <c r="W1073" s="211" t="str">
        <f>IFERROR(__xludf.DUMMYFUNCTION("""COMPUTED_VALUE"""),"IN")</f>
        <v>IN</v>
      </c>
      <c r="X1073" s="211"/>
      <c r="Z1073" s="211" t="str">
        <f>IFERROR(__xludf.DUMMYFUNCTION("""COMPUTED_VALUE"""),"05250424")</f>
        <v>05250424</v>
      </c>
      <c r="AL1073" s="211"/>
      <c r="AM1073" s="211"/>
      <c r="AN1073" s="211"/>
      <c r="AO1073" s="211"/>
      <c r="AP1073" s="215"/>
      <c r="AQ1073" s="218"/>
      <c r="AR1073" s="211"/>
    </row>
    <row r="1074">
      <c r="A1074" s="210" t="str">
        <f>IFERROR(__xludf.DUMMYFUNCTION("""COMPUTED_VALUE"""),"3b43a135")</f>
        <v>3b43a135</v>
      </c>
      <c r="B1074" s="210" t="str">
        <f>IFERROR(__xludf.DUMMYFUNCTION("""COMPUTED_VALUE"""),"3b43a135")</f>
        <v>3b43a135</v>
      </c>
      <c r="C1074" s="213">
        <f>IFERROR(__xludf.DUMMYFUNCTION("""COMPUTED_VALUE"""),45798.49375)</f>
        <v>45798.49375</v>
      </c>
      <c r="D1074" s="211" t="str">
        <f>IFERROR(__xludf.DUMMYFUNCTION("""COMPUTED_VALUE"""),"2d88931c")</f>
        <v>2d88931c</v>
      </c>
      <c r="E1074" s="211" t="str">
        <f>IFERROR(__xludf.DUMMYFUNCTION("""COMPUTED_VALUE"""),"PT Dunia Berkat Marga Mulya")</f>
        <v>PT Dunia Berkat Marga Mulya</v>
      </c>
      <c r="F1074" s="211" t="str">
        <f>IFERROR(__xludf.DUMMYFUNCTION("""COMPUTED_VALUE"""),"8bdbe149")</f>
        <v>8bdbe149</v>
      </c>
      <c r="G1074" s="211" t="str">
        <f>IFERROR(__xludf.DUMMYFUNCTION("""COMPUTED_VALUE"""),"Oksigen 6m3")</f>
        <v>Oksigen 6m3</v>
      </c>
      <c r="H1074" s="214" t="str">
        <f>IFERROR(__xludf.DUMMYFUNCTION("""COMPUTED_VALUE"""),"IN")</f>
        <v>IN</v>
      </c>
      <c r="I1074" s="214" t="str">
        <f>IFERROR(__xludf.DUMMYFUNCTION("""COMPUTED_VALUE"""),"EMPTY")</f>
        <v>EMPTY</v>
      </c>
      <c r="J1074" s="211">
        <f>IFERROR(__xludf.DUMMYFUNCTION("""COMPUTED_VALUE"""),2.0)</f>
        <v>2</v>
      </c>
      <c r="K1074" s="210" t="str">
        <f>IFERROR(__xludf.DUMMYFUNCTION("""COMPUTED_VALUE"""),"11275 11256")</f>
        <v>11275 11256</v>
      </c>
      <c r="L1074" s="211">
        <f>IFERROR(__xludf.DUMMYFUNCTION("""COMPUTED_VALUE"""),0.0)</f>
        <v>0</v>
      </c>
      <c r="M1074" s="211"/>
      <c r="N1074" s="211"/>
      <c r="O1074" s="211"/>
      <c r="Q1074" s="210" t="str">
        <f>IFERROR(__xludf.DUMMYFUNCTION("""COMPUTED_VALUE"""),"1250488")</f>
        <v>1250488</v>
      </c>
      <c r="R1074" s="210" t="str">
        <f>IFERROR(__xludf.DUMMYFUNCTION("""COMPUTED_VALUE"""),"1250488")</f>
        <v>1250488</v>
      </c>
      <c r="S1074" s="211" t="str">
        <f>IFERROR(__xludf.DUMMYFUNCTION("""COMPUTED_VALUE"""),"b2b5f2c5")</f>
        <v>b2b5f2c5</v>
      </c>
      <c r="T1074" s="211" t="str">
        <f>IFERROR(__xludf.DUMMYFUNCTION("""COMPUTED_VALUE"""),"Bengkel Las Bpk. Ari")</f>
        <v>Bengkel Las Bpk. Ari</v>
      </c>
      <c r="U1074" s="215">
        <f>IFERROR(__xludf.DUMMYFUNCTION("""COMPUTED_VALUE"""),45870.57943287037)</f>
        <v>45870.57943</v>
      </c>
      <c r="V1074" s="211" t="str">
        <f>IFERROR(__xludf.DUMMYFUNCTION("""COMPUTED_VALUE"""),"Sumber Kembar, Wonodadi, Kec. Kutorejo, Kabupaten Mojokerto, Jawa Timur")</f>
        <v>Sumber Kembar, Wonodadi, Kec. Kutorejo, Kabupaten Mojokerto, Jawa Timur</v>
      </c>
      <c r="W1074" s="211" t="str">
        <f>IFERROR(__xludf.DUMMYFUNCTION("""COMPUTED_VALUE"""),"IN")</f>
        <v>IN</v>
      </c>
      <c r="X1074" s="211"/>
      <c r="Z1074" s="211" t="str">
        <f>IFERROR(__xludf.DUMMYFUNCTION("""COMPUTED_VALUE"""),"05250422")</f>
        <v>05250422</v>
      </c>
      <c r="AL1074" s="211"/>
      <c r="AM1074" s="211"/>
      <c r="AN1074" s="211"/>
      <c r="AO1074" s="211"/>
      <c r="AP1074" s="215"/>
      <c r="AQ1074" s="218"/>
      <c r="AR1074" s="211"/>
    </row>
    <row r="1075">
      <c r="A1075" s="210" t="str">
        <f>IFERROR(__xludf.DUMMYFUNCTION("""COMPUTED_VALUE"""),"2916e14d")</f>
        <v>2916e14d</v>
      </c>
      <c r="B1075" s="210" t="str">
        <f>IFERROR(__xludf.DUMMYFUNCTION("""COMPUTED_VALUE"""),"2916e14d")</f>
        <v>2916e14d</v>
      </c>
      <c r="C1075" s="213">
        <f>IFERROR(__xludf.DUMMYFUNCTION("""COMPUTED_VALUE"""),45798.49444444444)</f>
        <v>45798.49444</v>
      </c>
      <c r="D1075" s="211" t="str">
        <f>IFERROR(__xludf.DUMMYFUNCTION("""COMPUTED_VALUE"""),"1bf27092")</f>
        <v>1bf27092</v>
      </c>
      <c r="E1075" s="211" t="str">
        <f>IFERROR(__xludf.DUMMYFUNCTION("""COMPUTED_VALUE"""),"Bpk. Ari Budiarto")</f>
        <v>Bpk. Ari Budiarto</v>
      </c>
      <c r="F1075" s="211" t="str">
        <f>IFERROR(__xludf.DUMMYFUNCTION("""COMPUTED_VALUE"""),"66af7c72")</f>
        <v>66af7c72</v>
      </c>
      <c r="G1075" s="211" t="str">
        <f>IFERROR(__xludf.DUMMYFUNCTION("""COMPUTED_VALUE"""),"Argon 6m3")</f>
        <v>Argon 6m3</v>
      </c>
      <c r="H1075" s="214" t="str">
        <f>IFERROR(__xludf.DUMMYFUNCTION("""COMPUTED_VALUE"""),"IN")</f>
        <v>IN</v>
      </c>
      <c r="I1075" s="214" t="str">
        <f>IFERROR(__xludf.DUMMYFUNCTION("""COMPUTED_VALUE"""),"EMPTY")</f>
        <v>EMPTY</v>
      </c>
      <c r="J1075" s="211">
        <f>IFERROR(__xludf.DUMMYFUNCTION("""COMPUTED_VALUE"""),1.0)</f>
        <v>1</v>
      </c>
      <c r="K1075" s="210" t="str">
        <f>IFERROR(__xludf.DUMMYFUNCTION("""COMPUTED_VALUE"""),"12038")</f>
        <v>12038</v>
      </c>
      <c r="L1075" s="211">
        <f>IFERROR(__xludf.DUMMYFUNCTION("""COMPUTED_VALUE"""),0.0)</f>
        <v>0</v>
      </c>
      <c r="M1075" s="211"/>
      <c r="N1075" s="211"/>
      <c r="O1075" s="211"/>
      <c r="Q1075" s="210" t="str">
        <f>IFERROR(__xludf.DUMMYFUNCTION("""COMPUTED_VALUE"""),"08250618")</f>
        <v>08250618</v>
      </c>
      <c r="R1075" s="210" t="str">
        <f>IFERROR(__xludf.DUMMYFUNCTION("""COMPUTED_VALUE"""),"08250618")</f>
        <v>08250618</v>
      </c>
      <c r="S1075" s="211" t="str">
        <f>IFERROR(__xludf.DUMMYFUNCTION("""COMPUTED_VALUE"""),"b2b5f2c5")</f>
        <v>b2b5f2c5</v>
      </c>
      <c r="T1075" s="211" t="str">
        <f>IFERROR(__xludf.DUMMYFUNCTION("""COMPUTED_VALUE"""),"Bengkel Las Bpk. Ari")</f>
        <v>Bengkel Las Bpk. Ari</v>
      </c>
      <c r="U1075" s="213">
        <f>IFERROR(__xludf.DUMMYFUNCTION("""COMPUTED_VALUE"""),45870.39513888889)</f>
        <v>45870.39514</v>
      </c>
      <c r="V1075" s="211" t="str">
        <f>IFERROR(__xludf.DUMMYFUNCTION("""COMPUTED_VALUE"""),"Sumber Kembar, Wonodadi, Kec. Kutorejo, Kabupaten Mojokerto, Jawa Timur")</f>
        <v>Sumber Kembar, Wonodadi, Kec. Kutorejo, Kabupaten Mojokerto, Jawa Timur</v>
      </c>
      <c r="W1075" s="211" t="str">
        <f>IFERROR(__xludf.DUMMYFUNCTION("""COMPUTED_VALUE"""),"OUT")</f>
        <v>OUT</v>
      </c>
      <c r="X1075" s="211"/>
      <c r="Z1075" s="211" t="str">
        <f>IFERROR(__xludf.DUMMYFUNCTION("""COMPUTED_VALUE"""),"05250420")</f>
        <v>05250420</v>
      </c>
      <c r="AL1075" s="211"/>
      <c r="AM1075" s="211"/>
      <c r="AN1075" s="211"/>
      <c r="AO1075" s="211"/>
      <c r="AP1075" s="215"/>
      <c r="AQ1075" s="218"/>
      <c r="AR1075" s="211"/>
    </row>
    <row r="1076">
      <c r="A1076" s="210" t="str">
        <f>IFERROR(__xludf.DUMMYFUNCTION("""COMPUTED_VALUE"""),"69b421ed")</f>
        <v>69b421ed</v>
      </c>
      <c r="B1076" s="210" t="str">
        <f>IFERROR(__xludf.DUMMYFUNCTION("""COMPUTED_VALUE"""),"69b421ed")</f>
        <v>69b421ed</v>
      </c>
      <c r="C1076" s="213">
        <f>IFERROR(__xludf.DUMMYFUNCTION("""COMPUTED_VALUE"""),45798.49513888889)</f>
        <v>45798.49514</v>
      </c>
      <c r="D1076" s="211" t="str">
        <f>IFERROR(__xludf.DUMMYFUNCTION("""COMPUTED_VALUE"""),"3bcd7fe6")</f>
        <v>3bcd7fe6</v>
      </c>
      <c r="E1076" s="211" t="str">
        <f>IFERROR(__xludf.DUMMYFUNCTION("""COMPUTED_VALUE"""),"Bpk. Alvin (LB Group)")</f>
        <v>Bpk. Alvin (LB Group)</v>
      </c>
      <c r="F1076" s="211" t="str">
        <f>IFERROR(__xludf.DUMMYFUNCTION("""COMPUTED_VALUE"""),"7d2764f1")</f>
        <v>7d2764f1</v>
      </c>
      <c r="G1076" s="211" t="str">
        <f>IFERROR(__xludf.DUMMYFUNCTION("""COMPUTED_VALUE"""),"Oksigen 7m3")</f>
        <v>Oksigen 7m3</v>
      </c>
      <c r="H1076" s="214" t="str">
        <f>IFERROR(__xludf.DUMMYFUNCTION("""COMPUTED_VALUE"""),"IN")</f>
        <v>IN</v>
      </c>
      <c r="I1076" s="214" t="str">
        <f>IFERROR(__xludf.DUMMYFUNCTION("""COMPUTED_VALUE"""),"EMPTY")</f>
        <v>EMPTY</v>
      </c>
      <c r="J1076" s="211">
        <f>IFERROR(__xludf.DUMMYFUNCTION("""COMPUTED_VALUE"""),4.0)</f>
        <v>4</v>
      </c>
      <c r="K1076" s="210" t="str">
        <f>IFERROR(__xludf.DUMMYFUNCTION("""COMPUTED_VALUE"""),"11226 11213 11220 11224")</f>
        <v>11226 11213 11220 11224</v>
      </c>
      <c r="L1076" s="211">
        <f>IFERROR(__xludf.DUMMYFUNCTION("""COMPUTED_VALUE"""),0.0)</f>
        <v>0</v>
      </c>
      <c r="M1076" s="211"/>
      <c r="N1076" s="211"/>
      <c r="O1076" s="211"/>
      <c r="Q1076" s="210" t="str">
        <f>IFERROR(__xludf.DUMMYFUNCTION("""COMPUTED_VALUE"""),"0825211076")</f>
        <v>0825211076</v>
      </c>
      <c r="R1076" s="210" t="str">
        <f>IFERROR(__xludf.DUMMYFUNCTION("""COMPUTED_VALUE"""),"0825211076")</f>
        <v>0825211076</v>
      </c>
      <c r="S1076" s="211" t="str">
        <f>IFERROR(__xludf.DUMMYFUNCTION("""COMPUTED_VALUE"""),"2d88931c")</f>
        <v>2d88931c</v>
      </c>
      <c r="T1076" s="211" t="str">
        <f>IFERROR(__xludf.DUMMYFUNCTION("""COMPUTED_VALUE"""),"PT Dunia Berkat Marga Mulya")</f>
        <v>PT Dunia Berkat Marga Mulya</v>
      </c>
      <c r="U1076" s="215">
        <f>IFERROR(__xludf.DUMMYFUNCTION("""COMPUTED_VALUE"""),45870.84732638889)</f>
        <v>45870.84733</v>
      </c>
      <c r="V1076" s="211" t="str">
        <f>IFERROR(__xludf.DUMMYFUNCTION("""COMPUTED_VALUE"""),"JL JABARAN, WATESARI, BALONGBENDO, SIDOARJO, JAWA TIMUR")</f>
        <v>JL JABARAN, WATESARI, BALONGBENDO, SIDOARJO, JAWA TIMUR</v>
      </c>
      <c r="W1076" s="211" t="str">
        <f>IFERROR(__xludf.DUMMYFUNCTION("""COMPUTED_VALUE"""),"OUT")</f>
        <v>OUT</v>
      </c>
      <c r="X1076" s="211"/>
      <c r="Z1076" s="211" t="str">
        <f>IFERROR(__xludf.DUMMYFUNCTION("""COMPUTED_VALUE"""),"05250418")</f>
        <v>05250418</v>
      </c>
      <c r="AL1076" s="211"/>
      <c r="AM1076" s="211"/>
      <c r="AN1076" s="211"/>
      <c r="AO1076" s="211"/>
      <c r="AP1076" s="215"/>
      <c r="AQ1076" s="218"/>
      <c r="AR1076" s="211"/>
    </row>
    <row r="1077">
      <c r="A1077" s="210" t="str">
        <f>IFERROR(__xludf.DUMMYFUNCTION("""COMPUTED_VALUE"""),"98ad6957")</f>
        <v>98ad6957</v>
      </c>
      <c r="B1077" s="210" t="str">
        <f>IFERROR(__xludf.DUMMYFUNCTION("""COMPUTED_VALUE"""),"98ad6957")</f>
        <v>98ad6957</v>
      </c>
      <c r="C1077" s="213">
        <f>IFERROR(__xludf.DUMMYFUNCTION("""COMPUTED_VALUE"""),45798.6875)</f>
        <v>45798.6875</v>
      </c>
      <c r="D1077" s="211" t="str">
        <f>IFERROR(__xludf.DUMMYFUNCTION("""COMPUTED_VALUE"""),"785e0e07")</f>
        <v>785e0e07</v>
      </c>
      <c r="E1077" s="211" t="str">
        <f>IFERROR(__xludf.DUMMYFUNCTION("""COMPUTED_VALUE"""),"Bpk. Sukirno (Bejo)")</f>
        <v>Bpk. Sukirno (Bejo)</v>
      </c>
      <c r="F1077" s="211" t="str">
        <f>IFERROR(__xludf.DUMMYFUNCTION("""COMPUTED_VALUE"""),"8bdbe149")</f>
        <v>8bdbe149</v>
      </c>
      <c r="G1077" s="211" t="str">
        <f>IFERROR(__xludf.DUMMYFUNCTION("""COMPUTED_VALUE"""),"Oksigen 6m3")</f>
        <v>Oksigen 6m3</v>
      </c>
      <c r="H1077" s="214" t="str">
        <f>IFERROR(__xludf.DUMMYFUNCTION("""COMPUTED_VALUE"""),"IN")</f>
        <v>IN</v>
      </c>
      <c r="I1077" s="214" t="str">
        <f>IFERROR(__xludf.DUMMYFUNCTION("""COMPUTED_VALUE"""),"EMPTY")</f>
        <v>EMPTY</v>
      </c>
      <c r="J1077" s="211">
        <f>IFERROR(__xludf.DUMMYFUNCTION("""COMPUTED_VALUE"""),8.0)</f>
        <v>8</v>
      </c>
      <c r="K1077" s="210" t="str">
        <f>IFERROR(__xludf.DUMMYFUNCTION("""COMPUTED_VALUE"""),"11235 11127 11176 76 11278 1164 11177 11231")</f>
        <v>11235 11127 11176 76 11278 1164 11177 11231</v>
      </c>
      <c r="L1077" s="211">
        <f>IFERROR(__xludf.DUMMYFUNCTION("""COMPUTED_VALUE"""),0.0)</f>
        <v>0</v>
      </c>
      <c r="M1077" s="211"/>
      <c r="N1077" s="211"/>
      <c r="O1077" s="211"/>
      <c r="Q1077" s="210" t="str">
        <f>IFERROR(__xludf.DUMMYFUNCTION("""COMPUTED_VALUE"""),"0825371077")</f>
        <v>0825371077</v>
      </c>
      <c r="R1077" s="210" t="str">
        <f>IFERROR(__xludf.DUMMYFUNCTION("""COMPUTED_VALUE"""),"0825371077")</f>
        <v>0825371077</v>
      </c>
      <c r="S1077" s="211" t="str">
        <f>IFERROR(__xludf.DUMMYFUNCTION("""COMPUTED_VALUE"""),"e86baf3b")</f>
        <v>e86baf3b</v>
      </c>
      <c r="T1077" s="211" t="str">
        <f>IFERROR(__xludf.DUMMYFUNCTION("""COMPUTED_VALUE"""),"PT GEMILANG CIPTA WAWASAN")</f>
        <v>PT GEMILANG CIPTA WAWASAN</v>
      </c>
      <c r="U1077" s="215">
        <f>IFERROR(__xludf.DUMMYFUNCTION("""COMPUTED_VALUE"""),45873.39252314815)</f>
        <v>45873.39252</v>
      </c>
      <c r="V1077" s="211" t="str">
        <f>IFERROR(__xludf.DUMMYFUNCTION("""COMPUTED_VALUE"""),"JL TEBET RAYA, 2A, TEBET BARAT, TEBET, KOTA ADM, JAKARTA SELATAN, DKI JAKARTA")</f>
        <v>JL TEBET RAYA, 2A, TEBET BARAT, TEBET, KOTA ADM, JAKARTA SELATAN, DKI JAKARTA</v>
      </c>
      <c r="W1077" s="211" t="str">
        <f>IFERROR(__xludf.DUMMYFUNCTION("""COMPUTED_VALUE"""),"OUT")</f>
        <v>OUT</v>
      </c>
      <c r="X1077" s="211"/>
      <c r="Z1077" s="211" t="str">
        <f>IFERROR(__xludf.DUMMYFUNCTION("""COMPUTED_VALUE"""),"05250413")</f>
        <v>05250413</v>
      </c>
      <c r="AL1077" s="211"/>
      <c r="AM1077" s="211"/>
      <c r="AN1077" s="211"/>
      <c r="AO1077" s="211"/>
      <c r="AP1077" s="215"/>
      <c r="AQ1077" s="218"/>
      <c r="AR1077" s="211"/>
    </row>
    <row r="1078">
      <c r="A1078" s="210" t="str">
        <f>IFERROR(__xludf.DUMMYFUNCTION("""COMPUTED_VALUE"""),"baa28913")</f>
        <v>baa28913</v>
      </c>
      <c r="B1078" s="210" t="str">
        <f>IFERROR(__xludf.DUMMYFUNCTION("""COMPUTED_VALUE"""),"baa28913")</f>
        <v>baa28913</v>
      </c>
      <c r="C1078" s="213">
        <f>IFERROR(__xludf.DUMMYFUNCTION("""COMPUTED_VALUE"""),45798.6875)</f>
        <v>45798.6875</v>
      </c>
      <c r="D1078" s="211" t="str">
        <f>IFERROR(__xludf.DUMMYFUNCTION("""COMPUTED_VALUE"""),"8f5ebaea")</f>
        <v>8f5ebaea</v>
      </c>
      <c r="E1078" s="211" t="str">
        <f>IFERROR(__xludf.DUMMYFUNCTION("""COMPUTED_VALUE"""),"PT Hua Zong Mesindo")</f>
        <v>PT Hua Zong Mesindo</v>
      </c>
      <c r="F1078" s="211" t="str">
        <f>IFERROR(__xludf.DUMMYFUNCTION("""COMPUTED_VALUE"""),"8bdbe149")</f>
        <v>8bdbe149</v>
      </c>
      <c r="G1078" s="211" t="str">
        <f>IFERROR(__xludf.DUMMYFUNCTION("""COMPUTED_VALUE"""),"Oksigen 6m3")</f>
        <v>Oksigen 6m3</v>
      </c>
      <c r="H1078" s="214" t="str">
        <f>IFERROR(__xludf.DUMMYFUNCTION("""COMPUTED_VALUE"""),"IN")</f>
        <v>IN</v>
      </c>
      <c r="I1078" s="214" t="str">
        <f>IFERROR(__xludf.DUMMYFUNCTION("""COMPUTED_VALUE"""),"EMPTY")</f>
        <v>EMPTY</v>
      </c>
      <c r="J1078" s="211">
        <f>IFERROR(__xludf.DUMMYFUNCTION("""COMPUTED_VALUE"""),2.0)</f>
        <v>2</v>
      </c>
      <c r="K1078" s="210" t="str">
        <f>IFERROR(__xludf.DUMMYFUNCTION("""COMPUTED_VALUE"""),"1130 1149")</f>
        <v>1130 1149</v>
      </c>
      <c r="L1078" s="211">
        <f>IFERROR(__xludf.DUMMYFUNCTION("""COMPUTED_VALUE"""),0.0)</f>
        <v>0</v>
      </c>
      <c r="M1078" s="211"/>
      <c r="N1078" s="211"/>
      <c r="O1078" s="211"/>
      <c r="Q1078" s="211"/>
      <c r="R1078" s="211"/>
      <c r="S1078" s="211"/>
      <c r="T1078" s="211"/>
      <c r="U1078" s="211"/>
      <c r="V1078" s="211"/>
      <c r="W1078" s="211"/>
      <c r="X1078" s="211"/>
      <c r="Z1078" s="211" t="str">
        <f>IFERROR(__xludf.DUMMYFUNCTION("""COMPUTED_VALUE"""),"05250416")</f>
        <v>05250416</v>
      </c>
      <c r="AL1078" s="211"/>
      <c r="AM1078" s="211"/>
      <c r="AN1078" s="211"/>
      <c r="AO1078" s="211"/>
      <c r="AP1078" s="215"/>
      <c r="AQ1078" s="218"/>
      <c r="AR1078" s="211"/>
    </row>
    <row r="1079">
      <c r="A1079" s="210" t="str">
        <f>IFERROR(__xludf.DUMMYFUNCTION("""COMPUTED_VALUE"""),"baa28913")</f>
        <v>baa28913</v>
      </c>
      <c r="B1079" s="210" t="str">
        <f>IFERROR(__xludf.DUMMYFUNCTION("""COMPUTED_VALUE"""),"baa28913")</f>
        <v>baa28913</v>
      </c>
      <c r="C1079" s="213">
        <f>IFERROR(__xludf.DUMMYFUNCTION("""COMPUTED_VALUE"""),45798.68819444445)</f>
        <v>45798.68819</v>
      </c>
      <c r="D1079" s="211" t="str">
        <f>IFERROR(__xludf.DUMMYFUNCTION("""COMPUTED_VALUE"""),"8f5ebaea")</f>
        <v>8f5ebaea</v>
      </c>
      <c r="E1079" s="211" t="str">
        <f>IFERROR(__xludf.DUMMYFUNCTION("""COMPUTED_VALUE"""),"PT Hua Zong Mesindo")</f>
        <v>PT Hua Zong Mesindo</v>
      </c>
      <c r="F1079" s="211" t="str">
        <f>IFERROR(__xludf.DUMMYFUNCTION("""COMPUTED_VALUE"""),"ef306e54")</f>
        <v>ef306e54</v>
      </c>
      <c r="G1079" s="211" t="str">
        <f>IFERROR(__xludf.DUMMYFUNCTION("""COMPUTED_VALUE"""),"Karbondioksida")</f>
        <v>Karbondioksida</v>
      </c>
      <c r="H1079" s="214" t="str">
        <f>IFERROR(__xludf.DUMMYFUNCTION("""COMPUTED_VALUE"""),"IN")</f>
        <v>IN</v>
      </c>
      <c r="I1079" s="214" t="str">
        <f>IFERROR(__xludf.DUMMYFUNCTION("""COMPUTED_VALUE"""),"EMPTY")</f>
        <v>EMPTY</v>
      </c>
      <c r="J1079" s="211">
        <f>IFERROR(__xludf.DUMMYFUNCTION("""COMPUTED_VALUE"""),1.0)</f>
        <v>1</v>
      </c>
      <c r="K1079" s="210" t="str">
        <f>IFERROR(__xludf.DUMMYFUNCTION("""COMPUTED_VALUE"""),"13002")</f>
        <v>13002</v>
      </c>
      <c r="L1079" s="211">
        <f>IFERROR(__xludf.DUMMYFUNCTION("""COMPUTED_VALUE"""),0.0)</f>
        <v>0</v>
      </c>
      <c r="M1079" s="211"/>
      <c r="N1079" s="211"/>
      <c r="O1079" s="211"/>
      <c r="Q1079" s="210" t="str">
        <f>IFERROR(__xludf.DUMMYFUNCTION("""COMPUTED_VALUE"""),"082531079")</f>
        <v>082531079</v>
      </c>
      <c r="R1079" s="210" t="str">
        <f>IFERROR(__xludf.DUMMYFUNCTION("""COMPUTED_VALUE"""),"082531079")</f>
        <v>082531079</v>
      </c>
      <c r="S1079" s="211" t="str">
        <f>IFERROR(__xludf.DUMMYFUNCTION("""COMPUTED_VALUE"""),"196b24da")</f>
        <v>196b24da</v>
      </c>
      <c r="T1079" s="211" t="str">
        <f>IFERROR(__xludf.DUMMYFUNCTION("""COMPUTED_VALUE"""),"PT Samudra Cipta Enjineering")</f>
        <v>PT Samudra Cipta Enjineering</v>
      </c>
      <c r="U1079" s="215">
        <f>IFERROR(__xludf.DUMMYFUNCTION("""COMPUTED_VALUE"""),45873.510671296295)</f>
        <v>45873.51067</v>
      </c>
      <c r="V1079" s="211" t="str">
        <f>IFERROR(__xludf.DUMMYFUNCTION("""COMPUTED_VALUE"""),"Pergudangan Center Point Blok C4   Ds. Kemangsen  Balongbendo")</f>
        <v>Pergudangan Center Point Blok C4   Ds. Kemangsen  Balongbendo</v>
      </c>
      <c r="W1079" s="211" t="str">
        <f>IFERROR(__xludf.DUMMYFUNCTION("""COMPUTED_VALUE"""),"OUT")</f>
        <v>OUT</v>
      </c>
      <c r="X1079" s="211"/>
      <c r="Z1079" s="211" t="str">
        <f>IFERROR(__xludf.DUMMYFUNCTION("""COMPUTED_VALUE"""),"05250415")</f>
        <v>05250415</v>
      </c>
      <c r="AL1079" s="211"/>
      <c r="AM1079" s="211"/>
      <c r="AN1079" s="211"/>
      <c r="AO1079" s="211"/>
      <c r="AP1079" s="215"/>
      <c r="AQ1079" s="218"/>
      <c r="AR1079" s="211"/>
    </row>
    <row r="1080">
      <c r="A1080" s="210" t="str">
        <f>IFERROR(__xludf.DUMMYFUNCTION("""COMPUTED_VALUE"""),"baa28913")</f>
        <v>baa28913</v>
      </c>
      <c r="B1080" s="210" t="str">
        <f>IFERROR(__xludf.DUMMYFUNCTION("""COMPUTED_VALUE"""),"baa28913")</f>
        <v>baa28913</v>
      </c>
      <c r="C1080" s="213">
        <f>IFERROR(__xludf.DUMMYFUNCTION("""COMPUTED_VALUE"""),45798.68819444445)</f>
        <v>45798.68819</v>
      </c>
      <c r="D1080" s="211" t="str">
        <f>IFERROR(__xludf.DUMMYFUNCTION("""COMPUTED_VALUE"""),"8f5ebaea")</f>
        <v>8f5ebaea</v>
      </c>
      <c r="E1080" s="211" t="str">
        <f>IFERROR(__xludf.DUMMYFUNCTION("""COMPUTED_VALUE"""),"PT Hua Zong Mesindo")</f>
        <v>PT Hua Zong Mesindo</v>
      </c>
      <c r="F1080" s="211" t="str">
        <f>IFERROR(__xludf.DUMMYFUNCTION("""COMPUTED_VALUE"""),"66af7c72")</f>
        <v>66af7c72</v>
      </c>
      <c r="G1080" s="211" t="str">
        <f>IFERROR(__xludf.DUMMYFUNCTION("""COMPUTED_VALUE"""),"Argon 6m3")</f>
        <v>Argon 6m3</v>
      </c>
      <c r="H1080" s="214" t="str">
        <f>IFERROR(__xludf.DUMMYFUNCTION("""COMPUTED_VALUE"""),"IN")</f>
        <v>IN</v>
      </c>
      <c r="I1080" s="214" t="str">
        <f>IFERROR(__xludf.DUMMYFUNCTION("""COMPUTED_VALUE"""),"EMPTY")</f>
        <v>EMPTY</v>
      </c>
      <c r="J1080" s="211">
        <f>IFERROR(__xludf.DUMMYFUNCTION("""COMPUTED_VALUE"""),1.0)</f>
        <v>1</v>
      </c>
      <c r="K1080" s="210" t="str">
        <f>IFERROR(__xludf.DUMMYFUNCTION("""COMPUTED_VALUE"""),"12002")</f>
        <v>12002</v>
      </c>
      <c r="L1080" s="211">
        <f>IFERROR(__xludf.DUMMYFUNCTION("""COMPUTED_VALUE"""),0.0)</f>
        <v>0</v>
      </c>
      <c r="M1080" s="211"/>
      <c r="N1080" s="211"/>
      <c r="O1080" s="211"/>
      <c r="Q1080" s="210" t="str">
        <f>IFERROR(__xludf.DUMMYFUNCTION("""COMPUTED_VALUE"""),"1250490")</f>
        <v>1250490</v>
      </c>
      <c r="R1080" s="210" t="str">
        <f>IFERROR(__xludf.DUMMYFUNCTION("""COMPUTED_VALUE"""),"1250490")</f>
        <v>1250490</v>
      </c>
      <c r="S1080" s="211" t="str">
        <f>IFERROR(__xludf.DUMMYFUNCTION("""COMPUTED_VALUE"""),"8f5ebaea")</f>
        <v>8f5ebaea</v>
      </c>
      <c r="T1080" s="211" t="str">
        <f>IFERROR(__xludf.DUMMYFUNCTION("""COMPUTED_VALUE"""),"PT Hua Zong Mesindo")</f>
        <v>PT Hua Zong Mesindo</v>
      </c>
      <c r="U1080" s="215">
        <f>IFERROR(__xludf.DUMMYFUNCTION("""COMPUTED_VALUE"""),45873.53440972222)</f>
        <v>45873.53441</v>
      </c>
      <c r="V1080" s="211" t="str">
        <f>IFERROR(__xludf.DUMMYFUNCTION("""COMPUTED_VALUE"""),"Jl. Bypass Krian, Sidotemo, Sidomulyo, Kec. Krian, Kabupaten Sidoarjo, Jawa Timur 61262")</f>
        <v>Jl. Bypass Krian, Sidotemo, Sidomulyo, Kec. Krian, Kabupaten Sidoarjo, Jawa Timur 61262</v>
      </c>
      <c r="W1080" s="211" t="str">
        <f>IFERROR(__xludf.DUMMYFUNCTION("""COMPUTED_VALUE"""),"IN")</f>
        <v>IN</v>
      </c>
      <c r="X1080" s="211"/>
      <c r="Z1080" s="211" t="str">
        <f>IFERROR(__xludf.DUMMYFUNCTION("""COMPUTED_VALUE"""),"05250414")</f>
        <v>05250414</v>
      </c>
      <c r="AL1080" s="211"/>
      <c r="AM1080" s="211"/>
      <c r="AN1080" s="211"/>
      <c r="AO1080" s="211"/>
      <c r="AP1080" s="215"/>
      <c r="AQ1080" s="218"/>
      <c r="AR1080" s="211"/>
    </row>
    <row r="1081">
      <c r="A1081" s="210" t="str">
        <f>IFERROR(__xludf.DUMMYFUNCTION("""COMPUTED_VALUE"""),"05250446")</f>
        <v>05250446</v>
      </c>
      <c r="B1081" s="210" t="str">
        <f>IFERROR(__xludf.DUMMYFUNCTION("""COMPUTED_VALUE"""),"05250446")</f>
        <v>05250446</v>
      </c>
      <c r="C1081" s="213">
        <f>IFERROR(__xludf.DUMMYFUNCTION("""COMPUTED_VALUE"""),45799.373611111114)</f>
        <v>45799.37361</v>
      </c>
      <c r="D1081" s="211" t="str">
        <f>IFERROR(__xludf.DUMMYFUNCTION("""COMPUTED_VALUE"""),"e86baf3b")</f>
        <v>e86baf3b</v>
      </c>
      <c r="E1081" s="211" t="str">
        <f>IFERROR(__xludf.DUMMYFUNCTION("""COMPUTED_VALUE"""),"PT GEMILANG CIPTA WAWASAN")</f>
        <v>PT GEMILANG CIPTA WAWASAN</v>
      </c>
      <c r="F1081" s="211" t="str">
        <f>IFERROR(__xludf.DUMMYFUNCTION("""COMPUTED_VALUE"""),"66af7c72")</f>
        <v>66af7c72</v>
      </c>
      <c r="G1081" s="211" t="str">
        <f>IFERROR(__xludf.DUMMYFUNCTION("""COMPUTED_VALUE"""),"Argon 6m3")</f>
        <v>Argon 6m3</v>
      </c>
      <c r="H1081" s="214" t="str">
        <f>IFERROR(__xludf.DUMMYFUNCTION("""COMPUTED_VALUE"""),"OUT")</f>
        <v>OUT</v>
      </c>
      <c r="I1081" s="214" t="str">
        <f>IFERROR(__xludf.DUMMYFUNCTION("""COMPUTED_VALUE"""),"NORMAL")</f>
        <v>NORMAL</v>
      </c>
      <c r="J1081" s="211">
        <f>IFERROR(__xludf.DUMMYFUNCTION("""COMPUTED_VALUE"""),4.0)</f>
        <v>4</v>
      </c>
      <c r="K1081" s="210" t="str">
        <f>IFERROR(__xludf.DUMMYFUNCTION("""COMPUTED_VALUE"""),"12040 12039 12036 12037")</f>
        <v>12040 12039 12036 12037</v>
      </c>
      <c r="L1081" s="211">
        <f>IFERROR(__xludf.DUMMYFUNCTION("""COMPUTED_VALUE"""),185000.0)</f>
        <v>185000</v>
      </c>
      <c r="M1081" s="211"/>
      <c r="N1081" s="211"/>
      <c r="O1081" s="211"/>
      <c r="Q1081" s="210" t="str">
        <f>IFERROR(__xludf.DUMMYFUNCTION("""COMPUTED_VALUE"""),"082561080")</f>
        <v>082561080</v>
      </c>
      <c r="R1081" s="210" t="str">
        <f>IFERROR(__xludf.DUMMYFUNCTION("""COMPUTED_VALUE"""),"082561080")</f>
        <v>082561080</v>
      </c>
      <c r="S1081" s="211" t="str">
        <f>IFERROR(__xludf.DUMMYFUNCTION("""COMPUTED_VALUE"""),"b218b89b")</f>
        <v>b218b89b</v>
      </c>
      <c r="T1081" s="211" t="str">
        <f>IFERROR(__xludf.DUMMYFUNCTION("""COMPUTED_VALUE"""),"PT Harapan Sentosa")</f>
        <v>PT Harapan Sentosa</v>
      </c>
      <c r="U1081" s="215">
        <f>IFERROR(__xludf.DUMMYFUNCTION("""COMPUTED_VALUE"""),45873.536087962966)</f>
        <v>45873.53609</v>
      </c>
      <c r="V1081" s="211" t="str">
        <f>IFERROR(__xludf.DUMMYFUNCTION("""COMPUTED_VALUE"""),"Seketi, Jl. Purboyo II Selatan, RT.02/RW.02, Seketi, Kec. BalongBendo, Kabupaten Sidoarjo, Jawa Timur 61263")</f>
        <v>Seketi, Jl. Purboyo II Selatan, RT.02/RW.02, Seketi, Kec. BalongBendo, Kabupaten Sidoarjo, Jawa Timur 61263</v>
      </c>
      <c r="W1081" s="211" t="str">
        <f>IFERROR(__xludf.DUMMYFUNCTION("""COMPUTED_VALUE"""),"OUT")</f>
        <v>OUT</v>
      </c>
      <c r="X1081" s="211"/>
      <c r="Z1081" s="211" t="str">
        <f>IFERROR(__xludf.DUMMYFUNCTION("""COMPUTED_VALUE"""),"05250411")</f>
        <v>05250411</v>
      </c>
      <c r="AL1081" s="211"/>
      <c r="AM1081" s="211"/>
      <c r="AN1081" s="211"/>
      <c r="AO1081" s="211"/>
      <c r="AP1081" s="215"/>
      <c r="AQ1081" s="218"/>
      <c r="AR1081" s="211"/>
    </row>
    <row r="1082">
      <c r="A1082" s="210" t="str">
        <f>IFERROR(__xludf.DUMMYFUNCTION("""COMPUTED_VALUE"""),"05250447")</f>
        <v>05250447</v>
      </c>
      <c r="B1082" s="210" t="str">
        <f>IFERROR(__xludf.DUMMYFUNCTION("""COMPUTED_VALUE"""),"05250447")</f>
        <v>05250447</v>
      </c>
      <c r="C1082" s="213">
        <f>IFERROR(__xludf.DUMMYFUNCTION("""COMPUTED_VALUE"""),45799.38055555556)</f>
        <v>45799.38056</v>
      </c>
      <c r="D1082" s="211" t="str">
        <f>IFERROR(__xludf.DUMMYFUNCTION("""COMPUTED_VALUE"""),"4edfe755")</f>
        <v>4edfe755</v>
      </c>
      <c r="E1082" s="211" t="str">
        <f>IFERROR(__xludf.DUMMYFUNCTION("""COMPUTED_VALUE"""),"Bpk. Ibnu")</f>
        <v>Bpk. Ibnu</v>
      </c>
      <c r="F1082" s="211" t="str">
        <f>IFERROR(__xludf.DUMMYFUNCTION("""COMPUTED_VALUE"""),"8bdbe149")</f>
        <v>8bdbe149</v>
      </c>
      <c r="G1082" s="211" t="str">
        <f>IFERROR(__xludf.DUMMYFUNCTION("""COMPUTED_VALUE"""),"Oksigen 6m3")</f>
        <v>Oksigen 6m3</v>
      </c>
      <c r="H1082" s="214" t="str">
        <f>IFERROR(__xludf.DUMMYFUNCTION("""COMPUTED_VALUE"""),"OUT")</f>
        <v>OUT</v>
      </c>
      <c r="I1082" s="214" t="str">
        <f>IFERROR(__xludf.DUMMYFUNCTION("""COMPUTED_VALUE"""),"NORMAL")</f>
        <v>NORMAL</v>
      </c>
      <c r="J1082" s="211">
        <f>IFERROR(__xludf.DUMMYFUNCTION("""COMPUTED_VALUE"""),5.0)</f>
        <v>5</v>
      </c>
      <c r="K1082" s="210" t="str">
        <f>IFERROR(__xludf.DUMMYFUNCTION("""COMPUTED_VALUE"""),"11278 11229 11240 11275 11175")</f>
        <v>11278 11229 11240 11275 11175</v>
      </c>
      <c r="L1082" s="211">
        <f>IFERROR(__xludf.DUMMYFUNCTION("""COMPUTED_VALUE"""),50000.0)</f>
        <v>50000</v>
      </c>
      <c r="M1082" s="211"/>
      <c r="N1082" s="211"/>
      <c r="O1082" s="211"/>
      <c r="Q1082" s="210" t="str">
        <f>IFERROR(__xludf.DUMMYFUNCTION("""COMPUTED_VALUE"""),"1250491")</f>
        <v>1250491</v>
      </c>
      <c r="R1082" s="210" t="str">
        <f>IFERROR(__xludf.DUMMYFUNCTION("""COMPUTED_VALUE"""),"1250491")</f>
        <v>1250491</v>
      </c>
      <c r="S1082" s="211" t="str">
        <f>IFERROR(__xludf.DUMMYFUNCTION("""COMPUTED_VALUE"""),"01158be1")</f>
        <v>01158be1</v>
      </c>
      <c r="T1082" s="211" t="str">
        <f>IFERROR(__xludf.DUMMYFUNCTION("""COMPUTED_VALUE"""),"GYF")</f>
        <v>GYF</v>
      </c>
      <c r="U1082" s="215">
        <f>IFERROR(__xludf.DUMMYFUNCTION("""COMPUTED_VALUE"""),45873.541284722225)</f>
        <v>45873.54128</v>
      </c>
      <c r="V1082" s="211" t="str">
        <f>IFERROR(__xludf.DUMMYFUNCTION("""COMPUTED_VALUE"""),"Kangkungan, Lengkong, Kec. Mojoanyar, Kabupaten Mojokerto, Jawa Timur")</f>
        <v>Kangkungan, Lengkong, Kec. Mojoanyar, Kabupaten Mojokerto, Jawa Timur</v>
      </c>
      <c r="W1082" s="211" t="str">
        <f>IFERROR(__xludf.DUMMYFUNCTION("""COMPUTED_VALUE"""),"IN")</f>
        <v>IN</v>
      </c>
      <c r="X1082" s="211"/>
      <c r="Z1082" s="211" t="str">
        <f>IFERROR(__xludf.DUMMYFUNCTION("""COMPUTED_VALUE"""),"05250410")</f>
        <v>05250410</v>
      </c>
      <c r="AL1082" s="211"/>
      <c r="AM1082" s="211"/>
      <c r="AN1082" s="211"/>
      <c r="AO1082" s="211"/>
      <c r="AP1082" s="215"/>
      <c r="AQ1082" s="218"/>
      <c r="AR1082" s="211"/>
    </row>
    <row r="1083">
      <c r="A1083" s="210" t="str">
        <f>IFERROR(__xludf.DUMMYFUNCTION("""COMPUTED_VALUE"""),"58384560")</f>
        <v>58384560</v>
      </c>
      <c r="B1083" s="210" t="str">
        <f>IFERROR(__xludf.DUMMYFUNCTION("""COMPUTED_VALUE"""),"58384560")</f>
        <v>58384560</v>
      </c>
      <c r="C1083" s="213">
        <f>IFERROR(__xludf.DUMMYFUNCTION("""COMPUTED_VALUE"""),45799.532638888886)</f>
        <v>45799.53264</v>
      </c>
      <c r="D1083" s="211" t="str">
        <f>IFERROR(__xludf.DUMMYFUNCTION("""COMPUTED_VALUE"""),"e86baf3b")</f>
        <v>e86baf3b</v>
      </c>
      <c r="E1083" s="211" t="str">
        <f>IFERROR(__xludf.DUMMYFUNCTION("""COMPUTED_VALUE"""),"PT GEMILANG CIPTA WAWASAN")</f>
        <v>PT GEMILANG CIPTA WAWASAN</v>
      </c>
      <c r="F1083" s="211" t="str">
        <f>IFERROR(__xludf.DUMMYFUNCTION("""COMPUTED_VALUE"""),"8bdbe149")</f>
        <v>8bdbe149</v>
      </c>
      <c r="G1083" s="211" t="str">
        <f>IFERROR(__xludf.DUMMYFUNCTION("""COMPUTED_VALUE"""),"Oksigen 6m3")</f>
        <v>Oksigen 6m3</v>
      </c>
      <c r="H1083" s="214" t="str">
        <f>IFERROR(__xludf.DUMMYFUNCTION("""COMPUTED_VALUE"""),"IN")</f>
        <v>IN</v>
      </c>
      <c r="I1083" s="214" t="str">
        <f>IFERROR(__xludf.DUMMYFUNCTION("""COMPUTED_VALUE"""),"EMPTY")</f>
        <v>EMPTY</v>
      </c>
      <c r="J1083" s="211">
        <f>IFERROR(__xludf.DUMMYFUNCTION("""COMPUTED_VALUE"""),2.0)</f>
        <v>2</v>
      </c>
      <c r="K1083" s="210" t="str">
        <f>IFERROR(__xludf.DUMMYFUNCTION("""COMPUTED_VALUE"""),"11151 11146")</f>
        <v>11151 11146</v>
      </c>
      <c r="L1083" s="211">
        <f>IFERROR(__xludf.DUMMYFUNCTION("""COMPUTED_VALUE"""),0.0)</f>
        <v>0</v>
      </c>
      <c r="M1083" s="211"/>
      <c r="N1083" s="211"/>
      <c r="O1083" s="211"/>
      <c r="Q1083" s="210" t="str">
        <f>IFERROR(__xludf.DUMMYFUNCTION("""COMPUTED_VALUE"""),"1250493")</f>
        <v>1250493</v>
      </c>
      <c r="R1083" s="210" t="str">
        <f>IFERROR(__xludf.DUMMYFUNCTION("""COMPUTED_VALUE"""),"1250493")</f>
        <v>1250493</v>
      </c>
      <c r="S1083" s="211" t="str">
        <f>IFERROR(__xludf.DUMMYFUNCTION("""COMPUTED_VALUE"""),"b218b89b")</f>
        <v>b218b89b</v>
      </c>
      <c r="T1083" s="211" t="str">
        <f>IFERROR(__xludf.DUMMYFUNCTION("""COMPUTED_VALUE"""),"PT Harapan Sentosa")</f>
        <v>PT Harapan Sentosa</v>
      </c>
      <c r="U1083" s="215">
        <f>IFERROR(__xludf.DUMMYFUNCTION("""COMPUTED_VALUE"""),45873.593460648146)</f>
        <v>45873.59346</v>
      </c>
      <c r="V1083" s="211" t="str">
        <f>IFERROR(__xludf.DUMMYFUNCTION("""COMPUTED_VALUE"""),"Seketi, Jl. Purboyo II Selatan, RT.02/RW.02, Seketi, Kec. BalongBendo, Kabupaten Sidoarjo, Jawa Timur 61263")</f>
        <v>Seketi, Jl. Purboyo II Selatan, RT.02/RW.02, Seketi, Kec. BalongBendo, Kabupaten Sidoarjo, Jawa Timur 61263</v>
      </c>
      <c r="W1083" s="211" t="str">
        <f>IFERROR(__xludf.DUMMYFUNCTION("""COMPUTED_VALUE"""),"IN")</f>
        <v>IN</v>
      </c>
      <c r="X1083" s="211"/>
      <c r="Z1083" s="211" t="str">
        <f>IFERROR(__xludf.DUMMYFUNCTION("""COMPUTED_VALUE"""),"05250408")</f>
        <v>05250408</v>
      </c>
      <c r="AL1083" s="211"/>
      <c r="AM1083" s="211"/>
      <c r="AN1083" s="211"/>
      <c r="AO1083" s="211"/>
      <c r="AP1083" s="215"/>
      <c r="AQ1083" s="218"/>
      <c r="AR1083" s="211"/>
    </row>
    <row r="1084">
      <c r="A1084" s="210" t="str">
        <f>IFERROR(__xludf.DUMMYFUNCTION("""COMPUTED_VALUE"""),"58384560")</f>
        <v>58384560</v>
      </c>
      <c r="B1084" s="210" t="str">
        <f>IFERROR(__xludf.DUMMYFUNCTION("""COMPUTED_VALUE"""),"58384560")</f>
        <v>58384560</v>
      </c>
      <c r="C1084" s="213">
        <f>IFERROR(__xludf.DUMMYFUNCTION("""COMPUTED_VALUE"""),45799.532638888886)</f>
        <v>45799.53264</v>
      </c>
      <c r="D1084" s="211" t="str">
        <f>IFERROR(__xludf.DUMMYFUNCTION("""COMPUTED_VALUE"""),"e86baf3b")</f>
        <v>e86baf3b</v>
      </c>
      <c r="E1084" s="211" t="str">
        <f>IFERROR(__xludf.DUMMYFUNCTION("""COMPUTED_VALUE"""),"PT GEMILANG CIPTA WAWASAN")</f>
        <v>PT GEMILANG CIPTA WAWASAN</v>
      </c>
      <c r="F1084" s="211" t="str">
        <f>IFERROR(__xludf.DUMMYFUNCTION("""COMPUTED_VALUE"""),"be525f3b")</f>
        <v>be525f3b</v>
      </c>
      <c r="G1084" s="211" t="str">
        <f>IFERROR(__xludf.DUMMYFUNCTION("""COMPUTED_VALUE"""),"LPG 12kg")</f>
        <v>LPG 12kg</v>
      </c>
      <c r="H1084" s="214" t="str">
        <f>IFERROR(__xludf.DUMMYFUNCTION("""COMPUTED_VALUE"""),"IN")</f>
        <v>IN</v>
      </c>
      <c r="I1084" s="214" t="str">
        <f>IFERROR(__xludf.DUMMYFUNCTION("""COMPUTED_VALUE"""),"EMPTY")</f>
        <v>EMPTY</v>
      </c>
      <c r="J1084" s="211">
        <f>IFERROR(__xludf.DUMMYFUNCTION("""COMPUTED_VALUE"""),2.0)</f>
        <v>2</v>
      </c>
      <c r="K1084" s="211"/>
      <c r="L1084" s="211">
        <f>IFERROR(__xludf.DUMMYFUNCTION("""COMPUTED_VALUE"""),0.0)</f>
        <v>0</v>
      </c>
      <c r="M1084" s="211"/>
      <c r="N1084" s="211"/>
      <c r="O1084" s="211"/>
      <c r="Q1084" s="210" t="str">
        <f>IFERROR(__xludf.DUMMYFUNCTION("""COMPUTED_VALUE"""),"1250492")</f>
        <v>1250492</v>
      </c>
      <c r="R1084" s="210" t="str">
        <f>IFERROR(__xludf.DUMMYFUNCTION("""COMPUTED_VALUE"""),"1250492")</f>
        <v>1250492</v>
      </c>
      <c r="S1084" s="211" t="str">
        <f>IFERROR(__xludf.DUMMYFUNCTION("""COMPUTED_VALUE"""),"196b24da")</f>
        <v>196b24da</v>
      </c>
      <c r="T1084" s="211" t="str">
        <f>IFERROR(__xludf.DUMMYFUNCTION("""COMPUTED_VALUE"""),"PT Samudra Cipta Enjineering")</f>
        <v>PT Samudra Cipta Enjineering</v>
      </c>
      <c r="U1084" s="215">
        <f>IFERROR(__xludf.DUMMYFUNCTION("""COMPUTED_VALUE"""),45873.59543981482)</f>
        <v>45873.59544</v>
      </c>
      <c r="V1084" s="211" t="str">
        <f>IFERROR(__xludf.DUMMYFUNCTION("""COMPUTED_VALUE"""),"Pergudangan Center Point Blok C4   Ds. Kemangsen  Balongbendo")</f>
        <v>Pergudangan Center Point Blok C4   Ds. Kemangsen  Balongbendo</v>
      </c>
      <c r="W1084" s="211" t="str">
        <f>IFERROR(__xludf.DUMMYFUNCTION("""COMPUTED_VALUE"""),"IN")</f>
        <v>IN</v>
      </c>
      <c r="X1084" s="211"/>
      <c r="Z1084" s="211" t="str">
        <f>IFERROR(__xludf.DUMMYFUNCTION("""COMPUTED_VALUE"""),"05250406")</f>
        <v>05250406</v>
      </c>
      <c r="AL1084" s="211"/>
      <c r="AM1084" s="211"/>
      <c r="AN1084" s="211"/>
      <c r="AO1084" s="211"/>
      <c r="AP1084" s="215"/>
      <c r="AQ1084" s="218"/>
      <c r="AR1084" s="211"/>
    </row>
    <row r="1085">
      <c r="A1085" s="210" t="str">
        <f>IFERROR(__xludf.DUMMYFUNCTION("""COMPUTED_VALUE"""),"18e2306f")</f>
        <v>18e2306f</v>
      </c>
      <c r="B1085" s="210" t="str">
        <f>IFERROR(__xludf.DUMMYFUNCTION("""COMPUTED_VALUE"""),"18e2306f")</f>
        <v>18e2306f</v>
      </c>
      <c r="C1085" s="213">
        <f>IFERROR(__xludf.DUMMYFUNCTION("""COMPUTED_VALUE"""),45799.53333333333)</f>
        <v>45799.53333</v>
      </c>
      <c r="D1085" s="211" t="str">
        <f>IFERROR(__xludf.DUMMYFUNCTION("""COMPUTED_VALUE"""),"4edfe755")</f>
        <v>4edfe755</v>
      </c>
      <c r="E1085" s="211" t="str">
        <f>IFERROR(__xludf.DUMMYFUNCTION("""COMPUTED_VALUE"""),"Bpk. Ibnu")</f>
        <v>Bpk. Ibnu</v>
      </c>
      <c r="F1085" s="211" t="str">
        <f>IFERROR(__xludf.DUMMYFUNCTION("""COMPUTED_VALUE"""),"8bdbe149")</f>
        <v>8bdbe149</v>
      </c>
      <c r="G1085" s="211" t="str">
        <f>IFERROR(__xludf.DUMMYFUNCTION("""COMPUTED_VALUE"""),"Oksigen 6m3")</f>
        <v>Oksigen 6m3</v>
      </c>
      <c r="H1085" s="214" t="str">
        <f>IFERROR(__xludf.DUMMYFUNCTION("""COMPUTED_VALUE"""),"IN")</f>
        <v>IN</v>
      </c>
      <c r="I1085" s="214" t="str">
        <f>IFERROR(__xludf.DUMMYFUNCTION("""COMPUTED_VALUE"""),"EMPTY")</f>
        <v>EMPTY</v>
      </c>
      <c r="J1085" s="211">
        <f>IFERROR(__xludf.DUMMYFUNCTION("""COMPUTED_VALUE"""),5.0)</f>
        <v>5</v>
      </c>
      <c r="K1085" s="210" t="str">
        <f>IFERROR(__xludf.DUMMYFUNCTION("""COMPUTED_VALUE"""),"11173 11136 11135 11164 11167")</f>
        <v>11173 11136 11135 11164 11167</v>
      </c>
      <c r="L1085" s="211">
        <f>IFERROR(__xludf.DUMMYFUNCTION("""COMPUTED_VALUE"""),0.0)</f>
        <v>0</v>
      </c>
      <c r="M1085" s="211"/>
      <c r="N1085" s="211"/>
      <c r="O1085" s="211"/>
      <c r="Q1085" s="210" t="str">
        <f>IFERROR(__xludf.DUMMYFUNCTION("""COMPUTED_VALUE"""),"0825221082")</f>
        <v>0825221082</v>
      </c>
      <c r="R1085" s="210" t="str">
        <f>IFERROR(__xludf.DUMMYFUNCTION("""COMPUTED_VALUE"""),"0825221082")</f>
        <v>0825221082</v>
      </c>
      <c r="S1085" s="211" t="str">
        <f>IFERROR(__xludf.DUMMYFUNCTION("""COMPUTED_VALUE"""),"ce83e171")</f>
        <v>ce83e171</v>
      </c>
      <c r="T1085" s="211" t="str">
        <f>IFERROR(__xludf.DUMMYFUNCTION("""COMPUTED_VALUE"""),"Bpk. Sulaiman")</f>
        <v>Bpk. Sulaiman</v>
      </c>
      <c r="U1085" s="215">
        <f>IFERROR(__xludf.DUMMYFUNCTION("""COMPUTED_VALUE"""),45874.41515046296)</f>
        <v>45874.41515</v>
      </c>
      <c r="V1085" s="211" t="str">
        <f>IFERROR(__xludf.DUMMYFUNCTION("""COMPUTED_VALUE"""),"Jl. Raya Kramat Temenggung No.43, Kramat, Kramat Temenggung, Kec. Tarik, Kabupaten Sidoarjo, Jawa Timur 61265")</f>
        <v>Jl. Raya Kramat Temenggung No.43, Kramat, Kramat Temenggung, Kec. Tarik, Kabupaten Sidoarjo, Jawa Timur 61265</v>
      </c>
      <c r="W1085" s="211" t="str">
        <f>IFERROR(__xludf.DUMMYFUNCTION("""COMPUTED_VALUE"""),"OUT")</f>
        <v>OUT</v>
      </c>
      <c r="X1085" s="211"/>
      <c r="Z1085" s="211" t="str">
        <f>IFERROR(__xludf.DUMMYFUNCTION("""COMPUTED_VALUE"""),"05250409")</f>
        <v>05250409</v>
      </c>
      <c r="AL1085" s="211"/>
      <c r="AM1085" s="211"/>
      <c r="AN1085" s="211"/>
      <c r="AO1085" s="211"/>
      <c r="AP1085" s="215"/>
      <c r="AQ1085" s="218"/>
      <c r="AR1085" s="211"/>
    </row>
    <row r="1086">
      <c r="A1086" s="210" t="str">
        <f>IFERROR(__xludf.DUMMYFUNCTION("""COMPUTED_VALUE"""),"05250448")</f>
        <v>05250448</v>
      </c>
      <c r="B1086" s="210" t="str">
        <f>IFERROR(__xludf.DUMMYFUNCTION("""COMPUTED_VALUE"""),"05250448")</f>
        <v>05250448</v>
      </c>
      <c r="C1086" s="213">
        <f>IFERROR(__xludf.DUMMYFUNCTION("""COMPUTED_VALUE"""),45800.33472222222)</f>
        <v>45800.33472</v>
      </c>
      <c r="D1086" s="211" t="str">
        <f>IFERROR(__xludf.DUMMYFUNCTION("""COMPUTED_VALUE"""),"ce83e171")</f>
        <v>ce83e171</v>
      </c>
      <c r="E1086" s="211" t="str">
        <f>IFERROR(__xludf.DUMMYFUNCTION("""COMPUTED_VALUE"""),"Bpk. Sulaiman")</f>
        <v>Bpk. Sulaiman</v>
      </c>
      <c r="F1086" s="211" t="str">
        <f>IFERROR(__xludf.DUMMYFUNCTION("""COMPUTED_VALUE"""),"8bdbe149")</f>
        <v>8bdbe149</v>
      </c>
      <c r="G1086" s="211" t="str">
        <f>IFERROR(__xludf.DUMMYFUNCTION("""COMPUTED_VALUE"""),"Oksigen 6m3")</f>
        <v>Oksigen 6m3</v>
      </c>
      <c r="H1086" s="214" t="str">
        <f>IFERROR(__xludf.DUMMYFUNCTION("""COMPUTED_VALUE"""),"OUT")</f>
        <v>OUT</v>
      </c>
      <c r="I1086" s="214" t="str">
        <f>IFERROR(__xludf.DUMMYFUNCTION("""COMPUTED_VALUE"""),"NORMAL")</f>
        <v>NORMAL</v>
      </c>
      <c r="J1086" s="211">
        <f>IFERROR(__xludf.DUMMYFUNCTION("""COMPUTED_VALUE"""),15.0)</f>
        <v>15</v>
      </c>
      <c r="K1086" s="210" t="str">
        <f>IFERROR(__xludf.DUMMYFUNCTION("""COMPUTED_VALUE"""),"11207 11193 11199 1169 11197 11131 1160 11180 11211 11283 11263 11262 11284 11264 11265")</f>
        <v>11207 11193 11199 1169 11197 11131 1160 11180 11211 11283 11263 11262 11284 11264 11265</v>
      </c>
      <c r="L1086" s="211">
        <f>IFERROR(__xludf.DUMMYFUNCTION("""COMPUTED_VALUE"""),55000.0)</f>
        <v>55000</v>
      </c>
      <c r="M1086" s="211"/>
      <c r="N1086" s="211"/>
      <c r="O1086" s="211"/>
      <c r="Q1086" s="210" t="str">
        <f>IFERROR(__xludf.DUMMYFUNCTION("""COMPUTED_VALUE"""),"082531086")</f>
        <v>082531086</v>
      </c>
      <c r="R1086" s="210" t="str">
        <f>IFERROR(__xludf.DUMMYFUNCTION("""COMPUTED_VALUE"""),"082531086")</f>
        <v>082531086</v>
      </c>
      <c r="S1086" s="211" t="str">
        <f>IFERROR(__xludf.DUMMYFUNCTION("""COMPUTED_VALUE"""),"dcdf8b31")</f>
        <v>dcdf8b31</v>
      </c>
      <c r="T1086" s="211" t="str">
        <f>IFERROR(__xludf.DUMMYFUNCTION("""COMPUTED_VALUE"""),"Bpk. Samsul (Jetis)")</f>
        <v>Bpk. Samsul (Jetis)</v>
      </c>
      <c r="U1086" s="215">
        <f>IFERROR(__xludf.DUMMYFUNCTION("""COMPUTED_VALUE"""),45874.458449074074)</f>
        <v>45874.45845</v>
      </c>
      <c r="V1086" s="211" t="str">
        <f>IFERROR(__xludf.DUMMYFUNCTION("""COMPUTED_VALUE"""),"HFWF+9FG, Sido Wangi, Paringan, Kec. Jetis, Kabupaten Mojokerto, Jawa Timur")</f>
        <v>HFWF+9FG, Sido Wangi, Paringan, Kec. Jetis, Kabupaten Mojokerto, Jawa Timur</v>
      </c>
      <c r="W1086" s="211" t="str">
        <f>IFERROR(__xludf.DUMMYFUNCTION("""COMPUTED_VALUE"""),"OUT")</f>
        <v>OUT</v>
      </c>
      <c r="X1086" s="211"/>
      <c r="Z1086" s="211" t="str">
        <f>IFERROR(__xludf.DUMMYFUNCTION("""COMPUTED_VALUE"""),"05250404")</f>
        <v>05250404</v>
      </c>
      <c r="AL1086" s="211"/>
      <c r="AM1086" s="211"/>
      <c r="AN1086" s="211"/>
      <c r="AO1086" s="211"/>
      <c r="AP1086" s="215"/>
      <c r="AQ1086" s="218"/>
      <c r="AR1086" s="211"/>
    </row>
    <row r="1087">
      <c r="A1087" s="210" t="str">
        <f>IFERROR(__xludf.DUMMYFUNCTION("""COMPUTED_VALUE"""),"05250448")</f>
        <v>05250448</v>
      </c>
      <c r="B1087" s="210" t="str">
        <f>IFERROR(__xludf.DUMMYFUNCTION("""COMPUTED_VALUE"""),"05250448")</f>
        <v>05250448</v>
      </c>
      <c r="C1087" s="213">
        <f>IFERROR(__xludf.DUMMYFUNCTION("""COMPUTED_VALUE"""),45800.33472222222)</f>
        <v>45800.33472</v>
      </c>
      <c r="D1087" s="211" t="str">
        <f>IFERROR(__xludf.DUMMYFUNCTION("""COMPUTED_VALUE"""),"ce83e171")</f>
        <v>ce83e171</v>
      </c>
      <c r="E1087" s="211" t="str">
        <f>IFERROR(__xludf.DUMMYFUNCTION("""COMPUTED_VALUE"""),"Bpk. Sulaiman")</f>
        <v>Bpk. Sulaiman</v>
      </c>
      <c r="F1087" s="211" t="str">
        <f>IFERROR(__xludf.DUMMYFUNCTION("""COMPUTED_VALUE"""),"be525f3b")</f>
        <v>be525f3b</v>
      </c>
      <c r="G1087" s="211" t="str">
        <f>IFERROR(__xludf.DUMMYFUNCTION("""COMPUTED_VALUE"""),"LPG 12kg")</f>
        <v>LPG 12kg</v>
      </c>
      <c r="H1087" s="214" t="str">
        <f>IFERROR(__xludf.DUMMYFUNCTION("""COMPUTED_VALUE"""),"OUT")</f>
        <v>OUT</v>
      </c>
      <c r="I1087" s="214" t="str">
        <f>IFERROR(__xludf.DUMMYFUNCTION("""COMPUTED_VALUE"""),"NORMAL")</f>
        <v>NORMAL</v>
      </c>
      <c r="J1087" s="211">
        <f>IFERROR(__xludf.DUMMYFUNCTION("""COMPUTED_VALUE"""),2.0)</f>
        <v>2</v>
      </c>
      <c r="K1087" s="211"/>
      <c r="L1087" s="211">
        <f>IFERROR(__xludf.DUMMYFUNCTION("""COMPUTED_VALUE"""),210000.0)</f>
        <v>210000</v>
      </c>
      <c r="M1087" s="211"/>
      <c r="N1087" s="211"/>
      <c r="O1087" s="211" t="b">
        <f>IFERROR(__xludf.DUMMYFUNCTION("""COMPUTED_VALUE"""),FALSE)</f>
        <v>0</v>
      </c>
      <c r="Q1087" s="210" t="str">
        <f>IFERROR(__xludf.DUMMYFUNCTION("""COMPUTED_VALUE"""),"1250494")</f>
        <v>1250494</v>
      </c>
      <c r="R1087" s="210" t="str">
        <f>IFERROR(__xludf.DUMMYFUNCTION("""COMPUTED_VALUE"""),"1250494")</f>
        <v>1250494</v>
      </c>
      <c r="S1087" s="211" t="str">
        <f>IFERROR(__xludf.DUMMYFUNCTION("""COMPUTED_VALUE"""),"ce83e171")</f>
        <v>ce83e171</v>
      </c>
      <c r="T1087" s="211" t="str">
        <f>IFERROR(__xludf.DUMMYFUNCTION("""COMPUTED_VALUE"""),"Bpk. Sulaiman")</f>
        <v>Bpk. Sulaiman</v>
      </c>
      <c r="U1087" s="215">
        <f>IFERROR(__xludf.DUMMYFUNCTION("""COMPUTED_VALUE"""),45874.47688657408)</f>
        <v>45874.47689</v>
      </c>
      <c r="V1087" s="211" t="str">
        <f>IFERROR(__xludf.DUMMYFUNCTION("""COMPUTED_VALUE"""),"Jl. Raya Kramat Temenggung No.43, Kramat, Kramat Temenggung, Kec. Tarik, Kabupaten Sidoarjo, Jawa Timur 61265")</f>
        <v>Jl. Raya Kramat Temenggung No.43, Kramat, Kramat Temenggung, Kec. Tarik, Kabupaten Sidoarjo, Jawa Timur 61265</v>
      </c>
      <c r="W1087" s="211" t="str">
        <f>IFERROR(__xludf.DUMMYFUNCTION("""COMPUTED_VALUE"""),"IN")</f>
        <v>IN</v>
      </c>
      <c r="X1087" s="211"/>
      <c r="Z1087" s="211" t="str">
        <f>IFERROR(__xludf.DUMMYFUNCTION("""COMPUTED_VALUE"""),"05250402")</f>
        <v>05250402</v>
      </c>
      <c r="AL1087" s="211"/>
      <c r="AM1087" s="211"/>
      <c r="AN1087" s="211"/>
      <c r="AO1087" s="211"/>
      <c r="AP1087" s="215"/>
      <c r="AQ1087" s="218"/>
      <c r="AR1087" s="211"/>
    </row>
    <row r="1088">
      <c r="A1088" s="210" t="str">
        <f>IFERROR(__xludf.DUMMYFUNCTION("""COMPUTED_VALUE"""),"05250450")</f>
        <v>05250450</v>
      </c>
      <c r="B1088" s="210" t="str">
        <f>IFERROR(__xludf.DUMMYFUNCTION("""COMPUTED_VALUE"""),"05250450")</f>
        <v>05250450</v>
      </c>
      <c r="C1088" s="213">
        <f>IFERROR(__xludf.DUMMYFUNCTION("""COMPUTED_VALUE"""),45800.376388888886)</f>
        <v>45800.37639</v>
      </c>
      <c r="D1088" s="211" t="str">
        <f>IFERROR(__xludf.DUMMYFUNCTION("""COMPUTED_VALUE"""),"b2b5f2c5")</f>
        <v>b2b5f2c5</v>
      </c>
      <c r="E1088" s="211" t="str">
        <f>IFERROR(__xludf.DUMMYFUNCTION("""COMPUTED_VALUE"""),"Bengkel Las Bpk. Ari")</f>
        <v>Bengkel Las Bpk. Ari</v>
      </c>
      <c r="F1088" s="211" t="str">
        <f>IFERROR(__xludf.DUMMYFUNCTION("""COMPUTED_VALUE"""),"8bdbe149")</f>
        <v>8bdbe149</v>
      </c>
      <c r="G1088" s="211" t="str">
        <f>IFERROR(__xludf.DUMMYFUNCTION("""COMPUTED_VALUE"""),"Oksigen 6m3")</f>
        <v>Oksigen 6m3</v>
      </c>
      <c r="H1088" s="214" t="str">
        <f>IFERROR(__xludf.DUMMYFUNCTION("""COMPUTED_VALUE"""),"OUT")</f>
        <v>OUT</v>
      </c>
      <c r="I1088" s="214" t="str">
        <f>IFERROR(__xludf.DUMMYFUNCTION("""COMPUTED_VALUE"""),"NORMAL")</f>
        <v>NORMAL</v>
      </c>
      <c r="J1088" s="211">
        <f>IFERROR(__xludf.DUMMYFUNCTION("""COMPUTED_VALUE"""),1.0)</f>
        <v>1</v>
      </c>
      <c r="K1088" s="210" t="str">
        <f>IFERROR(__xludf.DUMMYFUNCTION("""COMPUTED_VALUE"""),"11126")</f>
        <v>11126</v>
      </c>
      <c r="L1088" s="211">
        <f>IFERROR(__xludf.DUMMYFUNCTION("""COMPUTED_VALUE"""),60000.0)</f>
        <v>60000</v>
      </c>
      <c r="M1088" s="211"/>
      <c r="N1088" s="211"/>
      <c r="O1088" s="211"/>
      <c r="Q1088" s="210" t="str">
        <f>IFERROR(__xludf.DUMMYFUNCTION("""COMPUTED_VALUE"""),"0825131087")</f>
        <v>0825131087</v>
      </c>
      <c r="R1088" s="210" t="str">
        <f>IFERROR(__xludf.DUMMYFUNCTION("""COMPUTED_VALUE"""),"0825131087")</f>
        <v>0825131087</v>
      </c>
      <c r="S1088" s="211" t="str">
        <f>IFERROR(__xludf.DUMMYFUNCTION("""COMPUTED_VALUE"""),"ec231cc9")</f>
        <v>ec231cc9</v>
      </c>
      <c r="T1088" s="211" t="str">
        <f>IFERROR(__xludf.DUMMYFUNCTION("""COMPUTED_VALUE"""),"Bpk. Kohir (Maintenance Velg)")</f>
        <v>Bpk. Kohir (Maintenance Velg)</v>
      </c>
      <c r="U1088" s="215">
        <f>IFERROR(__xludf.DUMMYFUNCTION("""COMPUTED_VALUE"""),45874.49930555555)</f>
        <v>45874.49931</v>
      </c>
      <c r="V1088" s="211" t="str">
        <f>IFERROR(__xludf.DUMMYFUNCTION("""COMPUTED_VALUE"""),"Jl. Lkr. Bypass Krian Timur, Sidogolong, Watugolong, Kec. Krian, Kabupaten Sidoarjo, Jawa Timur 61262")</f>
        <v>Jl. Lkr. Bypass Krian Timur, Sidogolong, Watugolong, Kec. Krian, Kabupaten Sidoarjo, Jawa Timur 61262</v>
      </c>
      <c r="W1088" s="211" t="str">
        <f>IFERROR(__xludf.DUMMYFUNCTION("""COMPUTED_VALUE"""),"OUT")</f>
        <v>OUT</v>
      </c>
      <c r="X1088" s="211"/>
      <c r="Z1088" s="211" t="str">
        <f>IFERROR(__xludf.DUMMYFUNCTION("""COMPUTED_VALUE"""),"05250403")</f>
        <v>05250403</v>
      </c>
      <c r="AL1088" s="211"/>
      <c r="AM1088" s="211"/>
      <c r="AN1088" s="211"/>
      <c r="AO1088" s="211"/>
      <c r="AP1088" s="215"/>
      <c r="AQ1088" s="218"/>
      <c r="AR1088" s="211"/>
    </row>
    <row r="1089">
      <c r="A1089" s="210" t="str">
        <f>IFERROR(__xludf.DUMMYFUNCTION("""COMPUTED_VALUE"""),"05250450")</f>
        <v>05250450</v>
      </c>
      <c r="B1089" s="210" t="str">
        <f>IFERROR(__xludf.DUMMYFUNCTION("""COMPUTED_VALUE"""),"05250450")</f>
        <v>05250450</v>
      </c>
      <c r="C1089" s="213">
        <f>IFERROR(__xludf.DUMMYFUNCTION("""COMPUTED_VALUE"""),45800.37708333333)</f>
        <v>45800.37708</v>
      </c>
      <c r="D1089" s="211" t="str">
        <f>IFERROR(__xludf.DUMMYFUNCTION("""COMPUTED_VALUE"""),"b2b5f2c5")</f>
        <v>b2b5f2c5</v>
      </c>
      <c r="E1089" s="211" t="str">
        <f>IFERROR(__xludf.DUMMYFUNCTION("""COMPUTED_VALUE"""),"Bengkel Las Bpk. Ari")</f>
        <v>Bengkel Las Bpk. Ari</v>
      </c>
      <c r="F1089" s="211" t="str">
        <f>IFERROR(__xludf.DUMMYFUNCTION("""COMPUTED_VALUE"""),"ef306e54")</f>
        <v>ef306e54</v>
      </c>
      <c r="G1089" s="211" t="str">
        <f>IFERROR(__xludf.DUMMYFUNCTION("""COMPUTED_VALUE"""),"Karbondioksida")</f>
        <v>Karbondioksida</v>
      </c>
      <c r="H1089" s="214" t="str">
        <f>IFERROR(__xludf.DUMMYFUNCTION("""COMPUTED_VALUE"""),"OUT")</f>
        <v>OUT</v>
      </c>
      <c r="I1089" s="214" t="str">
        <f>IFERROR(__xludf.DUMMYFUNCTION("""COMPUTED_VALUE"""),"NORMAL")</f>
        <v>NORMAL</v>
      </c>
      <c r="J1089" s="211">
        <f>IFERROR(__xludf.DUMMYFUNCTION("""COMPUTED_VALUE"""),2.0)</f>
        <v>2</v>
      </c>
      <c r="K1089" s="210" t="str">
        <f>IFERROR(__xludf.DUMMYFUNCTION("""COMPUTED_VALUE"""),"13022 13023")</f>
        <v>13022 13023</v>
      </c>
      <c r="L1089" s="211">
        <f>IFERROR(__xludf.DUMMYFUNCTION("""COMPUTED_VALUE"""),170000.0)</f>
        <v>170000</v>
      </c>
      <c r="M1089" s="211"/>
      <c r="N1089" s="211"/>
      <c r="O1089" s="211"/>
      <c r="Q1089" s="210" t="str">
        <f>IFERROR(__xludf.DUMMYFUNCTION("""COMPUTED_VALUE"""),"0825211089")</f>
        <v>0825211089</v>
      </c>
      <c r="R1089" s="210" t="str">
        <f>IFERROR(__xludf.DUMMYFUNCTION("""COMPUTED_VALUE"""),"0825211089")</f>
        <v>0825211089</v>
      </c>
      <c r="S1089" s="211" t="str">
        <f>IFERROR(__xludf.DUMMYFUNCTION("""COMPUTED_VALUE"""),"5f23ba17")</f>
        <v>5f23ba17</v>
      </c>
      <c r="T1089" s="211" t="str">
        <f>IFERROR(__xludf.DUMMYFUNCTION("""COMPUTED_VALUE"""),"Bpk. Joko (Gresik)")</f>
        <v>Bpk. Joko (Gresik)</v>
      </c>
      <c r="U1089" s="215">
        <f>IFERROR(__xludf.DUMMYFUNCTION("""COMPUTED_VALUE"""),45874.506944444445)</f>
        <v>45874.50694</v>
      </c>
      <c r="V1089" s="211" t="str">
        <f>IFERROR(__xludf.DUMMYFUNCTION("""COMPUTED_VALUE"""),"Tanggungan, Lebaniwaras, Kec. Wringinanom, Kabupaten Gresik, Jawa Timur")</f>
        <v>Tanggungan, Lebaniwaras, Kec. Wringinanom, Kabupaten Gresik, Jawa Timur</v>
      </c>
      <c r="W1089" s="211" t="str">
        <f>IFERROR(__xludf.DUMMYFUNCTION("""COMPUTED_VALUE"""),"OUT")</f>
        <v>OUT</v>
      </c>
      <c r="X1089" s="211"/>
      <c r="Z1089" s="211" t="str">
        <f>IFERROR(__xludf.DUMMYFUNCTION("""COMPUTED_VALUE"""),"05250401")</f>
        <v>05250401</v>
      </c>
      <c r="AL1089" s="211"/>
      <c r="AM1089" s="211"/>
      <c r="AN1089" s="211"/>
      <c r="AO1089" s="211"/>
      <c r="AP1089" s="215"/>
      <c r="AQ1089" s="218"/>
      <c r="AR1089" s="211"/>
    </row>
    <row r="1090">
      <c r="A1090" s="210" t="str">
        <f>IFERROR(__xludf.DUMMYFUNCTION("""COMPUTED_VALUE"""),"7592be98")</f>
        <v>7592be98</v>
      </c>
      <c r="B1090" s="210" t="str">
        <f>IFERROR(__xludf.DUMMYFUNCTION("""COMPUTED_VALUE"""),"7592be98")</f>
        <v>7592be98</v>
      </c>
      <c r="C1090" s="213">
        <f>IFERROR(__xludf.DUMMYFUNCTION("""COMPUTED_VALUE"""),45800.49375)</f>
        <v>45800.49375</v>
      </c>
      <c r="D1090" s="211" t="str">
        <f>IFERROR(__xludf.DUMMYFUNCTION("""COMPUTED_VALUE"""),"b2b5f2c5")</f>
        <v>b2b5f2c5</v>
      </c>
      <c r="E1090" s="211" t="str">
        <f>IFERROR(__xludf.DUMMYFUNCTION("""COMPUTED_VALUE"""),"Bengkel Las Bpk. Ari")</f>
        <v>Bengkel Las Bpk. Ari</v>
      </c>
      <c r="F1090" s="211" t="str">
        <f>IFERROR(__xludf.DUMMYFUNCTION("""COMPUTED_VALUE"""),"8bdbe149")</f>
        <v>8bdbe149</v>
      </c>
      <c r="G1090" s="211" t="str">
        <f>IFERROR(__xludf.DUMMYFUNCTION("""COMPUTED_VALUE"""),"Oksigen 6m3")</f>
        <v>Oksigen 6m3</v>
      </c>
      <c r="H1090" s="214" t="str">
        <f>IFERROR(__xludf.DUMMYFUNCTION("""COMPUTED_VALUE"""),"IN")</f>
        <v>IN</v>
      </c>
      <c r="I1090" s="214" t="str">
        <f>IFERROR(__xludf.DUMMYFUNCTION("""COMPUTED_VALUE"""),"EMPTY")</f>
        <v>EMPTY</v>
      </c>
      <c r="J1090" s="211">
        <f>IFERROR(__xludf.DUMMYFUNCTION("""COMPUTED_VALUE"""),4.0)</f>
        <v>4</v>
      </c>
      <c r="K1090" s="210" t="str">
        <f>IFERROR(__xludf.DUMMYFUNCTION("""COMPUTED_VALUE"""),"11249 1121 11117 1173")</f>
        <v>11249 1121 11117 1173</v>
      </c>
      <c r="L1090" s="211">
        <f>IFERROR(__xludf.DUMMYFUNCTION("""COMPUTED_VALUE"""),0.0)</f>
        <v>0</v>
      </c>
      <c r="M1090" s="211"/>
      <c r="N1090" s="211"/>
      <c r="O1090" s="211"/>
      <c r="Q1090" s="210" t="str">
        <f>IFERROR(__xludf.DUMMYFUNCTION("""COMPUTED_VALUE"""),"1250495")</f>
        <v>1250495</v>
      </c>
      <c r="R1090" s="210" t="str">
        <f>IFERROR(__xludf.DUMMYFUNCTION("""COMPUTED_VALUE"""),"1250495")</f>
        <v>1250495</v>
      </c>
      <c r="S1090" s="211" t="str">
        <f>IFERROR(__xludf.DUMMYFUNCTION("""COMPUTED_VALUE"""),"dcdf8b31")</f>
        <v>dcdf8b31</v>
      </c>
      <c r="T1090" s="211" t="str">
        <f>IFERROR(__xludf.DUMMYFUNCTION("""COMPUTED_VALUE"""),"Bpk. Samsul (Jetis)")</f>
        <v>Bpk. Samsul (Jetis)</v>
      </c>
      <c r="U1090" s="215">
        <f>IFERROR(__xludf.DUMMYFUNCTION("""COMPUTED_VALUE"""),45874.58673611111)</f>
        <v>45874.58674</v>
      </c>
      <c r="V1090" s="211" t="str">
        <f>IFERROR(__xludf.DUMMYFUNCTION("""COMPUTED_VALUE"""),"HFWF+9FG, Sido Wangi, Paringan, Kec. Jetis, Kabupaten Mojokerto, Jawa Timur")</f>
        <v>HFWF+9FG, Sido Wangi, Paringan, Kec. Jetis, Kabupaten Mojokerto, Jawa Timur</v>
      </c>
      <c r="W1090" s="211" t="str">
        <f>IFERROR(__xludf.DUMMYFUNCTION("""COMPUTED_VALUE"""),"IN")</f>
        <v>IN</v>
      </c>
      <c r="X1090" s="211"/>
      <c r="Z1090" s="211" t="str">
        <f>IFERROR(__xludf.DUMMYFUNCTION("""COMPUTED_VALUE"""),"0525211090")</f>
        <v>0525211090</v>
      </c>
      <c r="AL1090" s="211"/>
      <c r="AM1090" s="211"/>
      <c r="AN1090" s="211"/>
      <c r="AO1090" s="211"/>
      <c r="AP1090" s="215"/>
      <c r="AQ1090" s="218"/>
      <c r="AR1090" s="211"/>
    </row>
    <row r="1091">
      <c r="A1091" s="210" t="str">
        <f>IFERROR(__xludf.DUMMYFUNCTION("""COMPUTED_VALUE"""),"925e1d47")</f>
        <v>925e1d47</v>
      </c>
      <c r="B1091" s="210" t="str">
        <f>IFERROR(__xludf.DUMMYFUNCTION("""COMPUTED_VALUE"""),"925e1d47")</f>
        <v>925e1d47</v>
      </c>
      <c r="C1091" s="213">
        <f>IFERROR(__xludf.DUMMYFUNCTION("""COMPUTED_VALUE"""),45800.49444444444)</f>
        <v>45800.49444</v>
      </c>
      <c r="D1091" s="211" t="str">
        <f>IFERROR(__xludf.DUMMYFUNCTION("""COMPUTED_VALUE"""),"ce83e171")</f>
        <v>ce83e171</v>
      </c>
      <c r="E1091" s="211" t="str">
        <f>IFERROR(__xludf.DUMMYFUNCTION("""COMPUTED_VALUE"""),"Bpk. Sulaiman")</f>
        <v>Bpk. Sulaiman</v>
      </c>
      <c r="F1091" s="211" t="str">
        <f>IFERROR(__xludf.DUMMYFUNCTION("""COMPUTED_VALUE"""),"8bdbe149")</f>
        <v>8bdbe149</v>
      </c>
      <c r="G1091" s="211" t="str">
        <f>IFERROR(__xludf.DUMMYFUNCTION("""COMPUTED_VALUE"""),"Oksigen 6m3")</f>
        <v>Oksigen 6m3</v>
      </c>
      <c r="H1091" s="214" t="str">
        <f>IFERROR(__xludf.DUMMYFUNCTION("""COMPUTED_VALUE"""),"IN")</f>
        <v>IN</v>
      </c>
      <c r="I1091" s="214" t="str">
        <f>IFERROR(__xludf.DUMMYFUNCTION("""COMPUTED_VALUE"""),"EMPTY")</f>
        <v>EMPTY</v>
      </c>
      <c r="J1091" s="211">
        <f>IFERROR(__xludf.DUMMYFUNCTION("""COMPUTED_VALUE"""),10.0)</f>
        <v>10</v>
      </c>
      <c r="K1091" s="210" t="str">
        <f>IFERROR(__xludf.DUMMYFUNCTION("""COMPUTED_VALUE"""),"1127 11279 11123 1116 1183 1171 1114 1193 1113 1187")</f>
        <v>1127 11279 11123 1116 1183 1171 1114 1193 1113 1187</v>
      </c>
      <c r="L1091" s="211">
        <f>IFERROR(__xludf.DUMMYFUNCTION("""COMPUTED_VALUE"""),0.0)</f>
        <v>0</v>
      </c>
      <c r="M1091" s="211"/>
      <c r="N1091" s="211"/>
      <c r="O1091" s="211"/>
      <c r="Q1091" s="210" t="str">
        <f>IFERROR(__xludf.DUMMYFUNCTION("""COMPUTED_VALUE"""),"1250496")</f>
        <v>1250496</v>
      </c>
      <c r="R1091" s="210" t="str">
        <f>IFERROR(__xludf.DUMMYFUNCTION("""COMPUTED_VALUE"""),"1250496")</f>
        <v>1250496</v>
      </c>
      <c r="S1091" s="211" t="str">
        <f>IFERROR(__xludf.DUMMYFUNCTION("""COMPUTED_VALUE"""),"5f23ba17")</f>
        <v>5f23ba17</v>
      </c>
      <c r="T1091" s="211" t="str">
        <f>IFERROR(__xludf.DUMMYFUNCTION("""COMPUTED_VALUE"""),"Bpk. Joko (Gresik)")</f>
        <v>Bpk. Joko (Gresik)</v>
      </c>
      <c r="U1091" s="215">
        <f>IFERROR(__xludf.DUMMYFUNCTION("""COMPUTED_VALUE"""),45874.5890625)</f>
        <v>45874.58906</v>
      </c>
      <c r="V1091" s="211" t="str">
        <f>IFERROR(__xludf.DUMMYFUNCTION("""COMPUTED_VALUE"""),"Tanggungan, Lebaniwaras, Kec. Wringinanom, Kabupaten Gresik, Jawa Timur")</f>
        <v>Tanggungan, Lebaniwaras, Kec. Wringinanom, Kabupaten Gresik, Jawa Timur</v>
      </c>
      <c r="W1091" s="211" t="str">
        <f>IFERROR(__xludf.DUMMYFUNCTION("""COMPUTED_VALUE"""),"IN")</f>
        <v>IN</v>
      </c>
      <c r="X1091" s="211"/>
      <c r="Z1091" s="211" t="str">
        <f>IFERROR(__xludf.DUMMYFUNCTION("""COMPUTED_VALUE"""),"05250399")</f>
        <v>05250399</v>
      </c>
      <c r="AL1091" s="211"/>
      <c r="AM1091" s="211"/>
      <c r="AN1091" s="211"/>
      <c r="AO1091" s="211"/>
      <c r="AP1091" s="215"/>
      <c r="AQ1091" s="218"/>
      <c r="AR1091" s="211"/>
    </row>
    <row r="1092">
      <c r="A1092" s="210" t="str">
        <f>IFERROR(__xludf.DUMMYFUNCTION("""COMPUTED_VALUE"""),"925e1d47")</f>
        <v>925e1d47</v>
      </c>
      <c r="B1092" s="210" t="str">
        <f>IFERROR(__xludf.DUMMYFUNCTION("""COMPUTED_VALUE"""),"925e1d47")</f>
        <v>925e1d47</v>
      </c>
      <c r="C1092" s="213">
        <f>IFERROR(__xludf.DUMMYFUNCTION("""COMPUTED_VALUE"""),45800.49513888889)</f>
        <v>45800.49514</v>
      </c>
      <c r="D1092" s="211" t="str">
        <f>IFERROR(__xludf.DUMMYFUNCTION("""COMPUTED_VALUE"""),"ce83e171")</f>
        <v>ce83e171</v>
      </c>
      <c r="E1092" s="211" t="str">
        <f>IFERROR(__xludf.DUMMYFUNCTION("""COMPUTED_VALUE"""),"Bpk. Sulaiman")</f>
        <v>Bpk. Sulaiman</v>
      </c>
      <c r="F1092" s="211" t="str">
        <f>IFERROR(__xludf.DUMMYFUNCTION("""COMPUTED_VALUE"""),"f6aab7a9")</f>
        <v>f6aab7a9</v>
      </c>
      <c r="G1092" s="211" t="str">
        <f>IFERROR(__xludf.DUMMYFUNCTION("""COMPUTED_VALUE"""),"Oksigen 6m3 MR")</f>
        <v>Oksigen 6m3 MR</v>
      </c>
      <c r="H1092" s="214" t="str">
        <f>IFERROR(__xludf.DUMMYFUNCTION("""COMPUTED_VALUE"""),"IN")</f>
        <v>IN</v>
      </c>
      <c r="I1092" s="214" t="str">
        <f>IFERROR(__xludf.DUMMYFUNCTION("""COMPUTED_VALUE"""),"EMPTY")</f>
        <v>EMPTY</v>
      </c>
      <c r="J1092" s="211">
        <f>IFERROR(__xludf.DUMMYFUNCTION("""COMPUTED_VALUE"""),1.0)</f>
        <v>1</v>
      </c>
      <c r="K1092" s="211"/>
      <c r="L1092" s="211">
        <f>IFERROR(__xludf.DUMMYFUNCTION("""COMPUTED_VALUE"""),0.0)</f>
        <v>0</v>
      </c>
      <c r="M1092" s="211"/>
      <c r="N1092" s="211"/>
      <c r="O1092" s="211"/>
      <c r="Q1092" s="210" t="str">
        <f>IFERROR(__xludf.DUMMYFUNCTION("""COMPUTED_VALUE"""),"1250497")</f>
        <v>1250497</v>
      </c>
      <c r="R1092" s="210" t="str">
        <f>IFERROR(__xludf.DUMMYFUNCTION("""COMPUTED_VALUE"""),"1250497")</f>
        <v>1250497</v>
      </c>
      <c r="S1092" s="211" t="str">
        <f>IFERROR(__xludf.DUMMYFUNCTION("""COMPUTED_VALUE"""),"ec231cc9")</f>
        <v>ec231cc9</v>
      </c>
      <c r="T1092" s="211" t="str">
        <f>IFERROR(__xludf.DUMMYFUNCTION("""COMPUTED_VALUE"""),"Bpk. Kohir (Maintenance Velg)")</f>
        <v>Bpk. Kohir (Maintenance Velg)</v>
      </c>
      <c r="U1092" s="215">
        <f>IFERROR(__xludf.DUMMYFUNCTION("""COMPUTED_VALUE"""),45874.655636574076)</f>
        <v>45874.65564</v>
      </c>
      <c r="V1092" s="211" t="str">
        <f>IFERROR(__xludf.DUMMYFUNCTION("""COMPUTED_VALUE"""),"Jl. Lkr. Bypass Krian Timur, Sidogolong, Watugolong, Kec. Krian, Kabupaten Sidoarjo, Jawa Timur 61262")</f>
        <v>Jl. Lkr. Bypass Krian Timur, Sidogolong, Watugolong, Kec. Krian, Kabupaten Sidoarjo, Jawa Timur 61262</v>
      </c>
      <c r="W1092" s="211" t="str">
        <f>IFERROR(__xludf.DUMMYFUNCTION("""COMPUTED_VALUE"""),"IN")</f>
        <v>IN</v>
      </c>
      <c r="X1092" s="211"/>
      <c r="Z1092" s="211" t="str">
        <f>IFERROR(__xludf.DUMMYFUNCTION("""COMPUTED_VALUE"""),"05250398")</f>
        <v>05250398</v>
      </c>
      <c r="AL1092" s="211"/>
      <c r="AM1092" s="211"/>
      <c r="AN1092" s="211"/>
      <c r="AO1092" s="211"/>
      <c r="AP1092" s="215"/>
      <c r="AQ1092" s="218"/>
      <c r="AR1092" s="211"/>
    </row>
    <row r="1093">
      <c r="A1093" s="210" t="str">
        <f>IFERROR(__xludf.DUMMYFUNCTION("""COMPUTED_VALUE"""),"05250452")</f>
        <v>05250452</v>
      </c>
      <c r="B1093" s="210" t="str">
        <f>IFERROR(__xludf.DUMMYFUNCTION("""COMPUTED_VALUE"""),"05250452")</f>
        <v>05250452</v>
      </c>
      <c r="C1093" s="213">
        <f>IFERROR(__xludf.DUMMYFUNCTION("""COMPUTED_VALUE"""),45801.35486111111)</f>
        <v>45801.35486</v>
      </c>
      <c r="D1093" s="211" t="str">
        <f>IFERROR(__xludf.DUMMYFUNCTION("""COMPUTED_VALUE"""),"#N/A")</f>
        <v>#N/A</v>
      </c>
      <c r="E1093" s="211" t="str">
        <f>IFERROR(__xludf.DUMMYFUNCTION("""COMPUTED_VALUE"""),"Bpk. Rokhim (Kraton)")</f>
        <v>Bpk. Rokhim (Kraton)</v>
      </c>
      <c r="F1093" s="211" t="str">
        <f>IFERROR(__xludf.DUMMYFUNCTION("""COMPUTED_VALUE"""),"7d2764f1")</f>
        <v>7d2764f1</v>
      </c>
      <c r="G1093" s="211" t="str">
        <f>IFERROR(__xludf.DUMMYFUNCTION("""COMPUTED_VALUE"""),"Oksigen 7m3")</f>
        <v>Oksigen 7m3</v>
      </c>
      <c r="H1093" s="214" t="str">
        <f>IFERROR(__xludf.DUMMYFUNCTION("""COMPUTED_VALUE"""),"OUT")</f>
        <v>OUT</v>
      </c>
      <c r="I1093" s="214" t="str">
        <f>IFERROR(__xludf.DUMMYFUNCTION("""COMPUTED_VALUE"""),"NORMAL")</f>
        <v>NORMAL</v>
      </c>
      <c r="J1093" s="211">
        <f>IFERROR(__xludf.DUMMYFUNCTION("""COMPUTED_VALUE"""),3.0)</f>
        <v>3</v>
      </c>
      <c r="K1093" s="210" t="str">
        <f>IFERROR(__xludf.DUMMYFUNCTION("""COMPUTED_VALUE"""),"11154 11169 11143")</f>
        <v>11154 11169 11143</v>
      </c>
      <c r="L1093" s="211">
        <f>IFERROR(__xludf.DUMMYFUNCTION("""COMPUTED_VALUE"""),70000.0)</f>
        <v>70000</v>
      </c>
      <c r="M1093" s="211"/>
      <c r="N1093" s="211"/>
      <c r="O1093" s="211"/>
      <c r="Q1093" s="210" t="str">
        <f>IFERROR(__xludf.DUMMYFUNCTION("""COMPUTED_VALUE"""),"0825101094")</f>
        <v>0825101094</v>
      </c>
      <c r="R1093" s="210" t="str">
        <f>IFERROR(__xludf.DUMMYFUNCTION("""COMPUTED_VALUE"""),"0825101094")</f>
        <v>0825101094</v>
      </c>
      <c r="S1093" s="211" t="str">
        <f>IFERROR(__xludf.DUMMYFUNCTION("""COMPUTED_VALUE"""),"182fb0fe")</f>
        <v>182fb0fe</v>
      </c>
      <c r="T1093" s="211" t="str">
        <f>IFERROR(__xludf.DUMMYFUNCTION("""COMPUTED_VALUE"""),"PT Amtech")</f>
        <v>PT Amtech</v>
      </c>
      <c r="U1093" s="215">
        <f>IFERROR(__xludf.DUMMYFUNCTION("""COMPUTED_VALUE"""),45875.48800925926)</f>
        <v>45875.48801</v>
      </c>
      <c r="V1093"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093" s="211" t="str">
        <f>IFERROR(__xludf.DUMMYFUNCTION("""COMPUTED_VALUE"""),"OUT")</f>
        <v>OUT</v>
      </c>
      <c r="X1093" s="211"/>
      <c r="Z1093" s="211" t="str">
        <f>IFERROR(__xludf.DUMMYFUNCTION("""COMPUTED_VALUE"""),"05250397")</f>
        <v>05250397</v>
      </c>
      <c r="AL1093" s="211"/>
      <c r="AM1093" s="211"/>
      <c r="AN1093" s="211"/>
      <c r="AO1093" s="211"/>
      <c r="AP1093" s="215"/>
      <c r="AQ1093" s="218"/>
      <c r="AR1093" s="211"/>
    </row>
    <row r="1094">
      <c r="A1094" s="210" t="str">
        <f>IFERROR(__xludf.DUMMYFUNCTION("""COMPUTED_VALUE"""),"05250453")</f>
        <v>05250453</v>
      </c>
      <c r="B1094" s="210" t="str">
        <f>IFERROR(__xludf.DUMMYFUNCTION("""COMPUTED_VALUE"""),"05250453")</f>
        <v>05250453</v>
      </c>
      <c r="C1094" s="213">
        <f>IFERROR(__xludf.DUMMYFUNCTION("""COMPUTED_VALUE"""),45801.35763888889)</f>
        <v>45801.35764</v>
      </c>
      <c r="D1094" s="211" t="str">
        <f>IFERROR(__xludf.DUMMYFUNCTION("""COMPUTED_VALUE"""),"103f3ae7")</f>
        <v>103f3ae7</v>
      </c>
      <c r="E1094" s="211" t="str">
        <f>IFERROR(__xludf.DUMMYFUNCTION("""COMPUTED_VALUE"""),"PT ARYANA CAKASANA")</f>
        <v>PT ARYANA CAKASANA</v>
      </c>
      <c r="F1094" s="211" t="str">
        <f>IFERROR(__xludf.DUMMYFUNCTION("""COMPUTED_VALUE"""),"8bdbe149")</f>
        <v>8bdbe149</v>
      </c>
      <c r="G1094" s="211" t="str">
        <f>IFERROR(__xludf.DUMMYFUNCTION("""COMPUTED_VALUE"""),"Oksigen 6m3")</f>
        <v>Oksigen 6m3</v>
      </c>
      <c r="H1094" s="214" t="str">
        <f>IFERROR(__xludf.DUMMYFUNCTION("""COMPUTED_VALUE"""),"OUT")</f>
        <v>OUT</v>
      </c>
      <c r="I1094" s="214" t="str">
        <f>IFERROR(__xludf.DUMMYFUNCTION("""COMPUTED_VALUE"""),"NORMAL")</f>
        <v>NORMAL</v>
      </c>
      <c r="J1094" s="211">
        <f>IFERROR(__xludf.DUMMYFUNCTION("""COMPUTED_VALUE"""),10.0)</f>
        <v>10</v>
      </c>
      <c r="K1094" s="210" t="str">
        <f>IFERROR(__xludf.DUMMYFUNCTION("""COMPUTED_VALUE"""),"11239 1168 1130 11231 11252 1149 11256 1162 11235 11267")</f>
        <v>11239 1168 1130 11231 11252 1149 11256 1162 11235 11267</v>
      </c>
      <c r="L1094" s="211">
        <f>IFERROR(__xludf.DUMMYFUNCTION("""COMPUTED_VALUE"""),47297.2973)</f>
        <v>47297.2973</v>
      </c>
      <c r="M1094" s="211"/>
      <c r="N1094" s="211"/>
      <c r="O1094" s="211"/>
      <c r="Q1094" s="210" t="str">
        <f>IFERROR(__xludf.DUMMYFUNCTION("""COMPUTED_VALUE"""),"1250506")</f>
        <v>1250506</v>
      </c>
      <c r="R1094" s="210" t="str">
        <f>IFERROR(__xludf.DUMMYFUNCTION("""COMPUTED_VALUE"""),"1250506")</f>
        <v>1250506</v>
      </c>
      <c r="S1094" s="211" t="str">
        <f>IFERROR(__xludf.DUMMYFUNCTION("""COMPUTED_VALUE"""),"182fb0fe")</f>
        <v>182fb0fe</v>
      </c>
      <c r="T1094" s="211" t="str">
        <f>IFERROR(__xludf.DUMMYFUNCTION("""COMPUTED_VALUE"""),"PT Amtech")</f>
        <v>PT Amtech</v>
      </c>
      <c r="U1094" s="215">
        <f>IFERROR(__xludf.DUMMYFUNCTION("""COMPUTED_VALUE"""),45875.64878472222)</f>
        <v>45875.64878</v>
      </c>
      <c r="V1094"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094" s="211" t="str">
        <f>IFERROR(__xludf.DUMMYFUNCTION("""COMPUTED_VALUE"""),"IN")</f>
        <v>IN</v>
      </c>
      <c r="X1094" s="211"/>
      <c r="Z1094" s="211" t="str">
        <f>IFERROR(__xludf.DUMMYFUNCTION("""COMPUTED_VALUE"""),"04250396")</f>
        <v>04250396</v>
      </c>
      <c r="AL1094" s="211"/>
      <c r="AM1094" s="211"/>
      <c r="AN1094" s="211"/>
      <c r="AO1094" s="211"/>
      <c r="AP1094" s="215"/>
      <c r="AQ1094" s="218"/>
      <c r="AR1094" s="211"/>
    </row>
    <row r="1095">
      <c r="A1095" s="210" t="str">
        <f>IFERROR(__xludf.DUMMYFUNCTION("""COMPUTED_VALUE"""),"05250454")</f>
        <v>05250454</v>
      </c>
      <c r="B1095" s="210" t="str">
        <f>IFERROR(__xludf.DUMMYFUNCTION("""COMPUTED_VALUE"""),"05250454")</f>
        <v>05250454</v>
      </c>
      <c r="C1095" s="213">
        <f>IFERROR(__xludf.DUMMYFUNCTION("""COMPUTED_VALUE"""),45801.3)</f>
        <v>45801.3</v>
      </c>
      <c r="D1095" s="211" t="str">
        <f>IFERROR(__xludf.DUMMYFUNCTION("""COMPUTED_VALUE"""),"1bf27092")</f>
        <v>1bf27092</v>
      </c>
      <c r="E1095" s="211" t="str">
        <f>IFERROR(__xludf.DUMMYFUNCTION("""COMPUTED_VALUE"""),"Bpk. Ari Budiarto")</f>
        <v>Bpk. Ari Budiarto</v>
      </c>
      <c r="F1095" s="211" t="str">
        <f>IFERROR(__xludf.DUMMYFUNCTION("""COMPUTED_VALUE"""),"66af7c72")</f>
        <v>66af7c72</v>
      </c>
      <c r="G1095" s="211" t="str">
        <f>IFERROR(__xludf.DUMMYFUNCTION("""COMPUTED_VALUE"""),"Argon 6m3")</f>
        <v>Argon 6m3</v>
      </c>
      <c r="H1095" s="214" t="str">
        <f>IFERROR(__xludf.DUMMYFUNCTION("""COMPUTED_VALUE"""),"OUT")</f>
        <v>OUT</v>
      </c>
      <c r="I1095" s="214" t="str">
        <f>IFERROR(__xludf.DUMMYFUNCTION("""COMPUTED_VALUE"""),"NORMAL")</f>
        <v>NORMAL</v>
      </c>
      <c r="J1095" s="211">
        <f>IFERROR(__xludf.DUMMYFUNCTION("""COMPUTED_VALUE"""),1.0)</f>
        <v>1</v>
      </c>
      <c r="K1095" s="210" t="str">
        <f>IFERROR(__xludf.DUMMYFUNCTION("""COMPUTED_VALUE"""),"12003")</f>
        <v>12003</v>
      </c>
      <c r="L1095" s="211">
        <f>IFERROR(__xludf.DUMMYFUNCTION("""COMPUTED_VALUE"""),200000.0)</f>
        <v>200000</v>
      </c>
      <c r="M1095" s="211"/>
      <c r="N1095" s="211"/>
      <c r="O1095" s="211"/>
      <c r="Q1095" s="210" t="str">
        <f>IFERROR(__xludf.DUMMYFUNCTION("""COMPUTED_VALUE"""),"1250507")</f>
        <v>1250507</v>
      </c>
      <c r="R1095" s="210" t="str">
        <f>IFERROR(__xludf.DUMMYFUNCTION("""COMPUTED_VALUE"""),"1250507")</f>
        <v>1250507</v>
      </c>
      <c r="S1095" s="211" t="str">
        <f>IFERROR(__xludf.DUMMYFUNCTION("""COMPUTED_VALUE"""),"182fb0fe")</f>
        <v>182fb0fe</v>
      </c>
      <c r="T1095" s="211" t="str">
        <f>IFERROR(__xludf.DUMMYFUNCTION("""COMPUTED_VALUE"""),"PT Amtech")</f>
        <v>PT Amtech</v>
      </c>
      <c r="U1095" s="215">
        <f>IFERROR(__xludf.DUMMYFUNCTION("""COMPUTED_VALUE"""),45875.651550925926)</f>
        <v>45875.65155</v>
      </c>
      <c r="V1095" s="211" t="str">
        <f>IFERROR(__xludf.DUMMYFUNCTION("""COMPUTED_VALUE"""),"Jl. Morowudi, Ikerikergeger, Kabupaten Gresik, Jawa Timur")</f>
        <v>Jl. Morowudi, Ikerikergeger, Kabupaten Gresik, Jawa Timur</v>
      </c>
      <c r="W1095" s="211" t="str">
        <f>IFERROR(__xludf.DUMMYFUNCTION("""COMPUTED_VALUE"""),"IN")</f>
        <v>IN</v>
      </c>
      <c r="X1095" s="211"/>
      <c r="Z1095" s="211" t="str">
        <f>IFERROR(__xludf.DUMMYFUNCTION("""COMPUTED_VALUE"""),"04250395")</f>
        <v>04250395</v>
      </c>
      <c r="AL1095" s="211"/>
      <c r="AM1095" s="211"/>
      <c r="AN1095" s="211"/>
      <c r="AO1095" s="211"/>
      <c r="AP1095" s="215"/>
      <c r="AQ1095" s="218"/>
      <c r="AR1095" s="211"/>
    </row>
    <row r="1096">
      <c r="A1096" s="210" t="str">
        <f>IFERROR(__xludf.DUMMYFUNCTION("""COMPUTED_VALUE"""),"05250455")</f>
        <v>05250455</v>
      </c>
      <c r="B1096" s="210" t="str">
        <f>IFERROR(__xludf.DUMMYFUNCTION("""COMPUTED_VALUE"""),"05250455")</f>
        <v>05250455</v>
      </c>
      <c r="C1096" s="213">
        <f>IFERROR(__xludf.DUMMYFUNCTION("""COMPUTED_VALUE"""),45801.3)</f>
        <v>45801.3</v>
      </c>
      <c r="D1096" s="211" t="str">
        <f>IFERROR(__xludf.DUMMYFUNCTION("""COMPUTED_VALUE"""),"3fec37df")</f>
        <v>3fec37df</v>
      </c>
      <c r="E1096" s="211" t="str">
        <f>IFERROR(__xludf.DUMMYFUNCTION("""COMPUTED_VALUE"""),"PT Jatim Abadi Perkasa Steel")</f>
        <v>PT Jatim Abadi Perkasa Steel</v>
      </c>
      <c r="F1096" s="211" t="str">
        <f>IFERROR(__xludf.DUMMYFUNCTION("""COMPUTED_VALUE"""),"b7a8fff1")</f>
        <v>b7a8fff1</v>
      </c>
      <c r="G1096" s="211" t="str">
        <f>IFERROR(__xludf.DUMMYFUNCTION("""COMPUTED_VALUE"""),"LPG 50kg")</f>
        <v>LPG 50kg</v>
      </c>
      <c r="H1096" s="214" t="str">
        <f>IFERROR(__xludf.DUMMYFUNCTION("""COMPUTED_VALUE"""),"OUT")</f>
        <v>OUT</v>
      </c>
      <c r="I1096" s="214" t="str">
        <f>IFERROR(__xludf.DUMMYFUNCTION("""COMPUTED_VALUE"""),"NORMAL")</f>
        <v>NORMAL</v>
      </c>
      <c r="J1096" s="211">
        <f>IFERROR(__xludf.DUMMYFUNCTION("""COMPUTED_VALUE"""),5.0)</f>
        <v>5</v>
      </c>
      <c r="K1096" s="211"/>
      <c r="L1096" s="211">
        <f>IFERROR(__xludf.DUMMYFUNCTION("""COMPUTED_VALUE"""),909909.9099)</f>
        <v>909909.9099</v>
      </c>
      <c r="M1096" s="211"/>
      <c r="N1096" s="211"/>
      <c r="O1096" s="211"/>
      <c r="Q1096" s="210" t="str">
        <f>IFERROR(__xludf.DUMMYFUNCTION("""COMPUTED_VALUE"""),"0825231094")</f>
        <v>0825231094</v>
      </c>
      <c r="R1096" s="210" t="str">
        <f>IFERROR(__xludf.DUMMYFUNCTION("""COMPUTED_VALUE"""),"0825231094")</f>
        <v>0825231094</v>
      </c>
      <c r="S1096" s="211" t="str">
        <f>IFERROR(__xludf.DUMMYFUNCTION("""COMPUTED_VALUE"""),"ce83e171")</f>
        <v>ce83e171</v>
      </c>
      <c r="T1096" s="211" t="str">
        <f>IFERROR(__xludf.DUMMYFUNCTION("""COMPUTED_VALUE"""),"Bpk. Sulaiman")</f>
        <v>Bpk. Sulaiman</v>
      </c>
      <c r="U1096" s="215">
        <f>IFERROR(__xludf.DUMMYFUNCTION("""COMPUTED_VALUE"""),45876.35826388889)</f>
        <v>45876.35826</v>
      </c>
      <c r="V1096" s="211" t="str">
        <f>IFERROR(__xludf.DUMMYFUNCTION("""COMPUTED_VALUE"""),"Jl. Raya Kramat Temenggung No.43, Kramat, Kramat Temenggung, Kec. Tarik, Kabupaten Sidoarjo, Jawa Timur 61265")</f>
        <v>Jl. Raya Kramat Temenggung No.43, Kramat, Kramat Temenggung, Kec. Tarik, Kabupaten Sidoarjo, Jawa Timur 61265</v>
      </c>
      <c r="W1096" s="211" t="str">
        <f>IFERROR(__xludf.DUMMYFUNCTION("""COMPUTED_VALUE"""),"OUT")</f>
        <v>OUT</v>
      </c>
      <c r="X1096" s="211"/>
      <c r="Z1096" s="211" t="str">
        <f>IFERROR(__xludf.DUMMYFUNCTION("""COMPUTED_VALUE"""),"04250394")</f>
        <v>04250394</v>
      </c>
      <c r="AL1096" s="211"/>
      <c r="AM1096" s="211"/>
      <c r="AN1096" s="211"/>
      <c r="AO1096" s="211"/>
      <c r="AP1096" s="215"/>
      <c r="AQ1096" s="218"/>
      <c r="AR1096" s="211"/>
    </row>
    <row r="1097">
      <c r="A1097" s="210" t="str">
        <f>IFERROR(__xludf.DUMMYFUNCTION("""COMPUTED_VALUE"""),"05250456")</f>
        <v>05250456</v>
      </c>
      <c r="B1097" s="210" t="str">
        <f>IFERROR(__xludf.DUMMYFUNCTION("""COMPUTED_VALUE"""),"05250456")</f>
        <v>05250456</v>
      </c>
      <c r="C1097" s="213">
        <f>IFERROR(__xludf.DUMMYFUNCTION("""COMPUTED_VALUE"""),45801.30138888889)</f>
        <v>45801.30139</v>
      </c>
      <c r="D1097" s="211" t="str">
        <f>IFERROR(__xludf.DUMMYFUNCTION("""COMPUTED_VALUE"""),"ce83e171")</f>
        <v>ce83e171</v>
      </c>
      <c r="E1097" s="211" t="str">
        <f>IFERROR(__xludf.DUMMYFUNCTION("""COMPUTED_VALUE"""),"Bpk. Sulaiman")</f>
        <v>Bpk. Sulaiman</v>
      </c>
      <c r="F1097" s="211" t="str">
        <f>IFERROR(__xludf.DUMMYFUNCTION("""COMPUTED_VALUE"""),"8bdbe149")</f>
        <v>8bdbe149</v>
      </c>
      <c r="G1097" s="211" t="str">
        <f>IFERROR(__xludf.DUMMYFUNCTION("""COMPUTED_VALUE"""),"Oksigen 6m3")</f>
        <v>Oksigen 6m3</v>
      </c>
      <c r="H1097" s="214" t="str">
        <f>IFERROR(__xludf.DUMMYFUNCTION("""COMPUTED_VALUE"""),"OUT")</f>
        <v>OUT</v>
      </c>
      <c r="I1097" s="214" t="str">
        <f>IFERROR(__xludf.DUMMYFUNCTION("""COMPUTED_VALUE"""),"NORMAL")</f>
        <v>NORMAL</v>
      </c>
      <c r="J1097" s="211">
        <f>IFERROR(__xludf.DUMMYFUNCTION("""COMPUTED_VALUE"""),5.0)</f>
        <v>5</v>
      </c>
      <c r="K1097" s="210" t="str">
        <f>IFERROR(__xludf.DUMMYFUNCTION("""COMPUTED_VALUE"""),"11165 11176 11129 11177 11127")</f>
        <v>11165 11176 11129 11177 11127</v>
      </c>
      <c r="L1097" s="211">
        <f>IFERROR(__xludf.DUMMYFUNCTION("""COMPUTED_VALUE"""),55000.0)</f>
        <v>55000</v>
      </c>
      <c r="M1097" s="211"/>
      <c r="N1097" s="211"/>
      <c r="O1097" s="211"/>
      <c r="Q1097" s="210" t="str">
        <f>IFERROR(__xludf.DUMMYFUNCTION("""COMPUTED_VALUE"""),"0825221097")</f>
        <v>0825221097</v>
      </c>
      <c r="R1097" s="210" t="str">
        <f>IFERROR(__xludf.DUMMYFUNCTION("""COMPUTED_VALUE"""),"0825221097")</f>
        <v>0825221097</v>
      </c>
      <c r="S1097" s="211" t="str">
        <f>IFERROR(__xludf.DUMMYFUNCTION("""COMPUTED_VALUE"""),"5f23ba17")</f>
        <v>5f23ba17</v>
      </c>
      <c r="T1097" s="211" t="str">
        <f>IFERROR(__xludf.DUMMYFUNCTION("""COMPUTED_VALUE"""),"Bpk. Joko (Gresik)")</f>
        <v>Bpk. Joko (Gresik)</v>
      </c>
      <c r="U1097" s="215">
        <f>IFERROR(__xludf.DUMMYFUNCTION("""COMPUTED_VALUE"""),45876.36454861111)</f>
        <v>45876.36455</v>
      </c>
      <c r="V1097" s="211" t="str">
        <f>IFERROR(__xludf.DUMMYFUNCTION("""COMPUTED_VALUE"""),"Tanggungan, Lebaniwaras, Kec. Wringinanom, Kabupaten Gresik, Jawa Timur")</f>
        <v>Tanggungan, Lebaniwaras, Kec. Wringinanom, Kabupaten Gresik, Jawa Timur</v>
      </c>
      <c r="W1097" s="211" t="str">
        <f>IFERROR(__xludf.DUMMYFUNCTION("""COMPUTED_VALUE"""),"OUT")</f>
        <v>OUT</v>
      </c>
      <c r="X1097" s="211"/>
      <c r="Z1097" s="211" t="str">
        <f>IFERROR(__xludf.DUMMYFUNCTION("""COMPUTED_VALUE"""),"04250393")</f>
        <v>04250393</v>
      </c>
      <c r="AL1097" s="211"/>
      <c r="AM1097" s="211"/>
      <c r="AN1097" s="211"/>
      <c r="AO1097" s="211"/>
      <c r="AP1097" s="215"/>
      <c r="AQ1097" s="218"/>
      <c r="AR1097" s="211"/>
    </row>
    <row r="1098">
      <c r="A1098" s="210" t="str">
        <f>IFERROR(__xludf.DUMMYFUNCTION("""COMPUTED_VALUE"""),"05250456")</f>
        <v>05250456</v>
      </c>
      <c r="B1098" s="210" t="str">
        <f>IFERROR(__xludf.DUMMYFUNCTION("""COMPUTED_VALUE"""),"05250456")</f>
        <v>05250456</v>
      </c>
      <c r="C1098" s="213">
        <f>IFERROR(__xludf.DUMMYFUNCTION("""COMPUTED_VALUE"""),45801.30138888889)</f>
        <v>45801.30139</v>
      </c>
      <c r="D1098" s="211" t="str">
        <f>IFERROR(__xludf.DUMMYFUNCTION("""COMPUTED_VALUE"""),"ce83e171")</f>
        <v>ce83e171</v>
      </c>
      <c r="E1098" s="211" t="str">
        <f>IFERROR(__xludf.DUMMYFUNCTION("""COMPUTED_VALUE"""),"Bpk. Sulaiman")</f>
        <v>Bpk. Sulaiman</v>
      </c>
      <c r="F1098" s="211" t="str">
        <f>IFERROR(__xludf.DUMMYFUNCTION("""COMPUTED_VALUE"""),"be525f3b")</f>
        <v>be525f3b</v>
      </c>
      <c r="G1098" s="211" t="str">
        <f>IFERROR(__xludf.DUMMYFUNCTION("""COMPUTED_VALUE"""),"LPG 12kg")</f>
        <v>LPG 12kg</v>
      </c>
      <c r="H1098" s="214" t="str">
        <f>IFERROR(__xludf.DUMMYFUNCTION("""COMPUTED_VALUE"""),"OUT")</f>
        <v>OUT</v>
      </c>
      <c r="I1098" s="214" t="str">
        <f>IFERROR(__xludf.DUMMYFUNCTION("""COMPUTED_VALUE"""),"NORMAL")</f>
        <v>NORMAL</v>
      </c>
      <c r="J1098" s="211">
        <f>IFERROR(__xludf.DUMMYFUNCTION("""COMPUTED_VALUE"""),2.0)</f>
        <v>2</v>
      </c>
      <c r="K1098" s="211"/>
      <c r="L1098" s="211">
        <f>IFERROR(__xludf.DUMMYFUNCTION("""COMPUTED_VALUE"""),210000.0)</f>
        <v>210000</v>
      </c>
      <c r="M1098" s="211"/>
      <c r="N1098" s="211"/>
      <c r="O1098" s="211" t="b">
        <f>IFERROR(__xludf.DUMMYFUNCTION("""COMPUTED_VALUE"""),FALSE)</f>
        <v>0</v>
      </c>
      <c r="Q1098" s="210" t="str">
        <f>IFERROR(__xludf.DUMMYFUNCTION("""COMPUTED_VALUE"""),"0825131098")</f>
        <v>0825131098</v>
      </c>
      <c r="R1098" s="210" t="str">
        <f>IFERROR(__xludf.DUMMYFUNCTION("""COMPUTED_VALUE"""),"0825131098")</f>
        <v>0825131098</v>
      </c>
      <c r="S1098" s="211" t="str">
        <f>IFERROR(__xludf.DUMMYFUNCTION("""COMPUTED_VALUE"""),"b2b5f2c5")</f>
        <v>b2b5f2c5</v>
      </c>
      <c r="T1098" s="211" t="str">
        <f>IFERROR(__xludf.DUMMYFUNCTION("""COMPUTED_VALUE"""),"Bengkel Las Bpk. Ari")</f>
        <v>Bengkel Las Bpk. Ari</v>
      </c>
      <c r="U1098" s="215">
        <f>IFERROR(__xludf.DUMMYFUNCTION("""COMPUTED_VALUE"""),45876.37938657407)</f>
        <v>45876.37939</v>
      </c>
      <c r="V1098" s="211" t="str">
        <f>IFERROR(__xludf.DUMMYFUNCTION("""COMPUTED_VALUE"""),"Sumber Kembar, Wonodadi, Kec. Kutorejo, Kabupaten Mojokerto, Jawa Timur")</f>
        <v>Sumber Kembar, Wonodadi, Kec. Kutorejo, Kabupaten Mojokerto, Jawa Timur</v>
      </c>
      <c r="W1098" s="211" t="str">
        <f>IFERROR(__xludf.DUMMYFUNCTION("""COMPUTED_VALUE"""),"OUT")</f>
        <v>OUT</v>
      </c>
      <c r="X1098" s="211"/>
      <c r="Z1098" s="211" t="str">
        <f>IFERROR(__xludf.DUMMYFUNCTION("""COMPUTED_VALUE"""),"04250391")</f>
        <v>04250391</v>
      </c>
      <c r="AL1098" s="211"/>
      <c r="AM1098" s="211"/>
      <c r="AN1098" s="211"/>
      <c r="AO1098" s="211"/>
      <c r="AP1098" s="215"/>
      <c r="AQ1098" s="218"/>
      <c r="AR1098" s="211"/>
    </row>
    <row r="1099">
      <c r="A1099" s="210" t="str">
        <f>IFERROR(__xludf.DUMMYFUNCTION("""COMPUTED_VALUE"""),"57044fe2")</f>
        <v>57044fe2</v>
      </c>
      <c r="B1099" s="210" t="str">
        <f>IFERROR(__xludf.DUMMYFUNCTION("""COMPUTED_VALUE"""),"57044fe2")</f>
        <v>57044fe2</v>
      </c>
      <c r="C1099" s="213">
        <f>IFERROR(__xludf.DUMMYFUNCTION("""COMPUTED_VALUE"""),45801.46388888889)</f>
        <v>45801.46389</v>
      </c>
      <c r="D1099" s="211" t="str">
        <f>IFERROR(__xludf.DUMMYFUNCTION("""COMPUTED_VALUE"""),"3fec37df")</f>
        <v>3fec37df</v>
      </c>
      <c r="E1099" s="211" t="str">
        <f>IFERROR(__xludf.DUMMYFUNCTION("""COMPUTED_VALUE"""),"PT Jatim Abadi Perkasa Steel")</f>
        <v>PT Jatim Abadi Perkasa Steel</v>
      </c>
      <c r="F1099" s="211" t="str">
        <f>IFERROR(__xludf.DUMMYFUNCTION("""COMPUTED_VALUE"""),"b7a8fff1")</f>
        <v>b7a8fff1</v>
      </c>
      <c r="G1099" s="211" t="str">
        <f>IFERROR(__xludf.DUMMYFUNCTION("""COMPUTED_VALUE"""),"LPG 50kg")</f>
        <v>LPG 50kg</v>
      </c>
      <c r="H1099" s="214" t="str">
        <f>IFERROR(__xludf.DUMMYFUNCTION("""COMPUTED_VALUE"""),"IN")</f>
        <v>IN</v>
      </c>
      <c r="I1099" s="214" t="str">
        <f>IFERROR(__xludf.DUMMYFUNCTION("""COMPUTED_VALUE"""),"EMPTY")</f>
        <v>EMPTY</v>
      </c>
      <c r="J1099" s="211">
        <f>IFERROR(__xludf.DUMMYFUNCTION("""COMPUTED_VALUE"""),5.0)</f>
        <v>5</v>
      </c>
      <c r="K1099" s="211"/>
      <c r="L1099" s="211">
        <f>IFERROR(__xludf.DUMMYFUNCTION("""COMPUTED_VALUE"""),0.0)</f>
        <v>0</v>
      </c>
      <c r="M1099" s="211"/>
      <c r="N1099" s="211"/>
      <c r="O1099" s="211"/>
      <c r="Q1099" s="210" t="str">
        <f>IFERROR(__xludf.DUMMYFUNCTION("""COMPUTED_VALUE"""),"0825191099")</f>
        <v>0825191099</v>
      </c>
      <c r="R1099" s="210" t="str">
        <f>IFERROR(__xludf.DUMMYFUNCTION("""COMPUTED_VALUE"""),"0825191099")</f>
        <v>0825191099</v>
      </c>
      <c r="S1099" s="211" t="str">
        <f>IFERROR(__xludf.DUMMYFUNCTION("""COMPUTED_VALUE"""),"8f5ebaea")</f>
        <v>8f5ebaea</v>
      </c>
      <c r="T1099" s="211" t="str">
        <f>IFERROR(__xludf.DUMMYFUNCTION("""COMPUTED_VALUE"""),"PT Hua Zong Mesindo")</f>
        <v>PT Hua Zong Mesindo</v>
      </c>
      <c r="U1099" s="215">
        <f>IFERROR(__xludf.DUMMYFUNCTION("""COMPUTED_VALUE"""),45876.62321759259)</f>
        <v>45876.62322</v>
      </c>
      <c r="V1099" s="211" t="str">
        <f>IFERROR(__xludf.DUMMYFUNCTION("""COMPUTED_VALUE"""),"Jl. Bypass Krian, Sidotemo, Sidomulyo, Kec. Krian, Kabupaten Sidoarjo, Jawa Timur 61262")</f>
        <v>Jl. Bypass Krian, Sidotemo, Sidomulyo, Kec. Krian, Kabupaten Sidoarjo, Jawa Timur 61262</v>
      </c>
      <c r="W1099" s="211" t="str">
        <f>IFERROR(__xludf.DUMMYFUNCTION("""COMPUTED_VALUE"""),"OUT")</f>
        <v>OUT</v>
      </c>
      <c r="X1099" s="211"/>
      <c r="Z1099" s="211" t="str">
        <f>IFERROR(__xludf.DUMMYFUNCTION("""COMPUTED_VALUE"""),"04250390")</f>
        <v>04250390</v>
      </c>
      <c r="AL1099" s="211"/>
      <c r="AM1099" s="211"/>
      <c r="AN1099" s="211"/>
      <c r="AO1099" s="211"/>
      <c r="AP1099" s="215"/>
      <c r="AQ1099" s="218"/>
      <c r="AR1099" s="211"/>
    </row>
    <row r="1100">
      <c r="A1100" s="210" t="str">
        <f>IFERROR(__xludf.DUMMYFUNCTION("""COMPUTED_VALUE"""),"dfb9d59a")</f>
        <v>dfb9d59a</v>
      </c>
      <c r="B1100" s="210" t="str">
        <f>IFERROR(__xludf.DUMMYFUNCTION("""COMPUTED_VALUE"""),"dfb9d59a")</f>
        <v>dfb9d59a</v>
      </c>
      <c r="C1100" s="213">
        <f>IFERROR(__xludf.DUMMYFUNCTION("""COMPUTED_VALUE"""),45801.46388888889)</f>
        <v>45801.46389</v>
      </c>
      <c r="D1100" s="211" t="str">
        <f>IFERROR(__xludf.DUMMYFUNCTION("""COMPUTED_VALUE"""),"1bf27092")</f>
        <v>1bf27092</v>
      </c>
      <c r="E1100" s="211" t="str">
        <f>IFERROR(__xludf.DUMMYFUNCTION("""COMPUTED_VALUE"""),"Bpk. Ari Budiarto")</f>
        <v>Bpk. Ari Budiarto</v>
      </c>
      <c r="F1100" s="211" t="str">
        <f>IFERROR(__xludf.DUMMYFUNCTION("""COMPUTED_VALUE"""),"66af7c72")</f>
        <v>66af7c72</v>
      </c>
      <c r="G1100" s="211" t="str">
        <f>IFERROR(__xludf.DUMMYFUNCTION("""COMPUTED_VALUE"""),"Argon 6m3")</f>
        <v>Argon 6m3</v>
      </c>
      <c r="H1100" s="214" t="str">
        <f>IFERROR(__xludf.DUMMYFUNCTION("""COMPUTED_VALUE"""),"IN")</f>
        <v>IN</v>
      </c>
      <c r="I1100" s="214" t="str">
        <f>IFERROR(__xludf.DUMMYFUNCTION("""COMPUTED_VALUE"""),"EMPTY")</f>
        <v>EMPTY</v>
      </c>
      <c r="J1100" s="211">
        <f>IFERROR(__xludf.DUMMYFUNCTION("""COMPUTED_VALUE"""),1.0)</f>
        <v>1</v>
      </c>
      <c r="K1100" s="210" t="str">
        <f>IFERROR(__xludf.DUMMYFUNCTION("""COMPUTED_VALUE"""),"12042")</f>
        <v>12042</v>
      </c>
      <c r="L1100" s="211">
        <f>IFERROR(__xludf.DUMMYFUNCTION("""COMPUTED_VALUE"""),0.0)</f>
        <v>0</v>
      </c>
      <c r="M1100" s="211"/>
      <c r="N1100" s="211"/>
      <c r="O1100" s="211"/>
      <c r="Q1100" s="210" t="str">
        <f>IFERROR(__xludf.DUMMYFUNCTION("""COMPUTED_VALUE"""),"1250503")</f>
        <v>1250503</v>
      </c>
      <c r="R1100" s="210" t="str">
        <f>IFERROR(__xludf.DUMMYFUNCTION("""COMPUTED_VALUE"""),"1250503")</f>
        <v>1250503</v>
      </c>
      <c r="S1100" s="211" t="str">
        <f>IFERROR(__xludf.DUMMYFUNCTION("""COMPUTED_VALUE"""),"8f5ebaea")</f>
        <v>8f5ebaea</v>
      </c>
      <c r="T1100" s="211" t="str">
        <f>IFERROR(__xludf.DUMMYFUNCTION("""COMPUTED_VALUE"""),"PT Hua Zong Mesindo")</f>
        <v>PT Hua Zong Mesindo</v>
      </c>
      <c r="U1100" s="215">
        <f>IFERROR(__xludf.DUMMYFUNCTION("""COMPUTED_VALUE"""),45876.81581018519)</f>
        <v>45876.81581</v>
      </c>
      <c r="V1100" s="211" t="str">
        <f>IFERROR(__xludf.DUMMYFUNCTION("""COMPUTED_VALUE"""),"Jl. Bypass Krian, Sidotemo, Sidomulyo, Kec. Krian, Kabupaten Sidoarjo, Jawa Timur 61262")</f>
        <v>Jl. Bypass Krian, Sidotemo, Sidomulyo, Kec. Krian, Kabupaten Sidoarjo, Jawa Timur 61262</v>
      </c>
      <c r="W1100" s="211" t="str">
        <f>IFERROR(__xludf.DUMMYFUNCTION("""COMPUTED_VALUE"""),"IN")</f>
        <v>IN</v>
      </c>
      <c r="X1100" s="211"/>
      <c r="Z1100" s="211" t="str">
        <f>IFERROR(__xludf.DUMMYFUNCTION("""COMPUTED_VALUE"""),"04250389")</f>
        <v>04250389</v>
      </c>
      <c r="AL1100" s="211"/>
      <c r="AM1100" s="211"/>
      <c r="AN1100" s="211"/>
      <c r="AO1100" s="211"/>
      <c r="AP1100" s="215"/>
      <c r="AQ1100" s="218"/>
      <c r="AR1100" s="211"/>
    </row>
    <row r="1101">
      <c r="A1101" s="210" t="str">
        <f>IFERROR(__xludf.DUMMYFUNCTION("""COMPUTED_VALUE"""),"3b7e7cdb")</f>
        <v>3b7e7cdb</v>
      </c>
      <c r="B1101" s="210" t="str">
        <f>IFERROR(__xludf.DUMMYFUNCTION("""COMPUTED_VALUE"""),"3b7e7cdb")</f>
        <v>3b7e7cdb</v>
      </c>
      <c r="C1101" s="213">
        <f>IFERROR(__xludf.DUMMYFUNCTION("""COMPUTED_VALUE"""),45801.464583333334)</f>
        <v>45801.46458</v>
      </c>
      <c r="D1101" s="211" t="str">
        <f>IFERROR(__xludf.DUMMYFUNCTION("""COMPUTED_VALUE"""),"#N/A")</f>
        <v>#N/A</v>
      </c>
      <c r="E1101" s="211" t="str">
        <f>IFERROR(__xludf.DUMMYFUNCTION("""COMPUTED_VALUE"""),"Bpk. Rokhim (Kraton)")</f>
        <v>Bpk. Rokhim (Kraton)</v>
      </c>
      <c r="F1101" s="211" t="str">
        <f>IFERROR(__xludf.DUMMYFUNCTION("""COMPUTED_VALUE"""),"8bdbe149")</f>
        <v>8bdbe149</v>
      </c>
      <c r="G1101" s="211" t="str">
        <f>IFERROR(__xludf.DUMMYFUNCTION("""COMPUTED_VALUE"""),"Oksigen 6m3")</f>
        <v>Oksigen 6m3</v>
      </c>
      <c r="H1101" s="214" t="str">
        <f>IFERROR(__xludf.DUMMYFUNCTION("""COMPUTED_VALUE"""),"IN")</f>
        <v>IN</v>
      </c>
      <c r="I1101" s="214" t="str">
        <f>IFERROR(__xludf.DUMMYFUNCTION("""COMPUTED_VALUE"""),"EMPTY")</f>
        <v>EMPTY</v>
      </c>
      <c r="J1101" s="211">
        <f>IFERROR(__xludf.DUMMYFUNCTION("""COMPUTED_VALUE"""),4.0)</f>
        <v>4</v>
      </c>
      <c r="K1101" s="210" t="str">
        <f>IFERROR(__xludf.DUMMYFUNCTION("""COMPUTED_VALUE"""),"1181 1106 11116 1147")</f>
        <v>1181 1106 11116 1147</v>
      </c>
      <c r="L1101" s="211">
        <f>IFERROR(__xludf.DUMMYFUNCTION("""COMPUTED_VALUE"""),0.0)</f>
        <v>0</v>
      </c>
      <c r="M1101" s="211"/>
      <c r="N1101" s="211"/>
      <c r="O1101" s="211"/>
      <c r="Q1101" s="210" t="str">
        <f>IFERROR(__xludf.DUMMYFUNCTION("""COMPUTED_VALUE"""),"1250505")</f>
        <v>1250505</v>
      </c>
      <c r="R1101" s="210" t="str">
        <f>IFERROR(__xludf.DUMMYFUNCTION("""COMPUTED_VALUE"""),"1250505")</f>
        <v>1250505</v>
      </c>
      <c r="S1101" s="211" t="str">
        <f>IFERROR(__xludf.DUMMYFUNCTION("""COMPUTED_VALUE"""),"5f23ba17")</f>
        <v>5f23ba17</v>
      </c>
      <c r="T1101" s="211" t="str">
        <f>IFERROR(__xludf.DUMMYFUNCTION("""COMPUTED_VALUE"""),"Bpk. Joko (Gresik)")</f>
        <v>Bpk. Joko (Gresik)</v>
      </c>
      <c r="U1101" s="215">
        <f>IFERROR(__xludf.DUMMYFUNCTION("""COMPUTED_VALUE"""),45876.81653935185)</f>
        <v>45876.81654</v>
      </c>
      <c r="V1101" s="211" t="str">
        <f>IFERROR(__xludf.DUMMYFUNCTION("""COMPUTED_VALUE"""),"Tanggungan, Lebaniwaras, Kec. Wringinanom, Kabupaten Gresik, Jawa Timur")</f>
        <v>Tanggungan, Lebaniwaras, Kec. Wringinanom, Kabupaten Gresik, Jawa Timur</v>
      </c>
      <c r="W1101" s="211" t="str">
        <f>IFERROR(__xludf.DUMMYFUNCTION("""COMPUTED_VALUE"""),"IN")</f>
        <v>IN</v>
      </c>
      <c r="X1101" s="211"/>
      <c r="Z1101" s="211" t="str">
        <f>IFERROR(__xludf.DUMMYFUNCTION("""COMPUTED_VALUE"""),"04250387")</f>
        <v>04250387</v>
      </c>
      <c r="AL1101" s="211"/>
      <c r="AM1101" s="211"/>
      <c r="AN1101" s="211"/>
      <c r="AO1101" s="211"/>
      <c r="AP1101" s="215"/>
      <c r="AQ1101" s="218"/>
      <c r="AR1101" s="211"/>
    </row>
    <row r="1102">
      <c r="A1102" s="210" t="str">
        <f>IFERROR(__xludf.DUMMYFUNCTION("""COMPUTED_VALUE"""),"05250458")</f>
        <v>05250458</v>
      </c>
      <c r="B1102" s="210" t="str">
        <f>IFERROR(__xludf.DUMMYFUNCTION("""COMPUTED_VALUE"""),"05250458")</f>
        <v>05250458</v>
      </c>
      <c r="C1102" s="213">
        <f>IFERROR(__xludf.DUMMYFUNCTION("""COMPUTED_VALUE"""),45803.44027777778)</f>
        <v>45803.44028</v>
      </c>
      <c r="D1102" s="211" t="str">
        <f>IFERROR(__xludf.DUMMYFUNCTION("""COMPUTED_VALUE"""),"785e0e07")</f>
        <v>785e0e07</v>
      </c>
      <c r="E1102" s="211" t="str">
        <f>IFERROR(__xludf.DUMMYFUNCTION("""COMPUTED_VALUE"""),"Bpk. Sukirno (Bejo)")</f>
        <v>Bpk. Sukirno (Bejo)</v>
      </c>
      <c r="F1102" s="211" t="str">
        <f>IFERROR(__xludf.DUMMYFUNCTION("""COMPUTED_VALUE"""),"8bdbe149")</f>
        <v>8bdbe149</v>
      </c>
      <c r="G1102" s="211" t="str">
        <f>IFERROR(__xludf.DUMMYFUNCTION("""COMPUTED_VALUE"""),"Oksigen 6m3")</f>
        <v>Oksigen 6m3</v>
      </c>
      <c r="H1102" s="214" t="str">
        <f>IFERROR(__xludf.DUMMYFUNCTION("""COMPUTED_VALUE"""),"OUT")</f>
        <v>OUT</v>
      </c>
      <c r="I1102" s="214" t="str">
        <f>IFERROR(__xludf.DUMMYFUNCTION("""COMPUTED_VALUE"""),"NORMAL")</f>
        <v>NORMAL</v>
      </c>
      <c r="J1102" s="211">
        <f>IFERROR(__xludf.DUMMYFUNCTION("""COMPUTED_VALUE"""),10.0)</f>
        <v>10</v>
      </c>
      <c r="K1102" s="210" t="str">
        <f>IFERROR(__xludf.DUMMYFUNCTION("""COMPUTED_VALUE"""),"11190 1196 11289 11257 11212 11292 11185 11183 11178 76")</f>
        <v>11190 1196 11289 11257 11212 11292 11185 11183 11178 76</v>
      </c>
      <c r="L1102" s="211">
        <f>IFERROR(__xludf.DUMMYFUNCTION("""COMPUTED_VALUE"""),60000.0)</f>
        <v>60000</v>
      </c>
      <c r="M1102" s="211"/>
      <c r="N1102" s="211"/>
      <c r="O1102" s="211"/>
      <c r="Q1102" s="210" t="str">
        <f>IFERROR(__xludf.DUMMYFUNCTION("""COMPUTED_VALUE"""),"1250504")</f>
        <v>1250504</v>
      </c>
      <c r="R1102" s="210" t="str">
        <f>IFERROR(__xludf.DUMMYFUNCTION("""COMPUTED_VALUE"""),"1250504")</f>
        <v>1250504</v>
      </c>
      <c r="S1102" s="211" t="str">
        <f>IFERROR(__xludf.DUMMYFUNCTION("""COMPUTED_VALUE"""),"b2b5f2c5")</f>
        <v>b2b5f2c5</v>
      </c>
      <c r="T1102" s="211" t="str">
        <f>IFERROR(__xludf.DUMMYFUNCTION("""COMPUTED_VALUE"""),"Bengkel Las Bpk. Ari")</f>
        <v>Bengkel Las Bpk. Ari</v>
      </c>
      <c r="U1102" s="215">
        <f>IFERROR(__xludf.DUMMYFUNCTION("""COMPUTED_VALUE"""),45876.81722222222)</f>
        <v>45876.81722</v>
      </c>
      <c r="V1102" s="211" t="str">
        <f>IFERROR(__xludf.DUMMYFUNCTION("""COMPUTED_VALUE"""),"Sumber Kembar, Wonodadi, Kec. Kutorejo, Kabupaten Mojokerto, Jawa Timur")</f>
        <v>Sumber Kembar, Wonodadi, Kec. Kutorejo, Kabupaten Mojokerto, Jawa Timur</v>
      </c>
      <c r="W1102" s="211" t="str">
        <f>IFERROR(__xludf.DUMMYFUNCTION("""COMPUTED_VALUE"""),"IN")</f>
        <v>IN</v>
      </c>
      <c r="X1102" s="211"/>
      <c r="Z1102" s="211" t="str">
        <f>IFERROR(__xludf.DUMMYFUNCTION("""COMPUTED_VALUE"""),"04250386")</f>
        <v>04250386</v>
      </c>
      <c r="AL1102" s="211"/>
      <c r="AM1102" s="211"/>
      <c r="AN1102" s="211"/>
      <c r="AO1102" s="211"/>
      <c r="AP1102" s="215"/>
      <c r="AQ1102" s="218"/>
      <c r="AR1102" s="211"/>
    </row>
    <row r="1103">
      <c r="A1103" s="210" t="str">
        <f>IFERROR(__xludf.DUMMYFUNCTION("""COMPUTED_VALUE"""),"05250459")</f>
        <v>05250459</v>
      </c>
      <c r="B1103" s="210" t="str">
        <f>IFERROR(__xludf.DUMMYFUNCTION("""COMPUTED_VALUE"""),"05250459")</f>
        <v>05250459</v>
      </c>
      <c r="C1103" s="213">
        <f>IFERROR(__xludf.DUMMYFUNCTION("""COMPUTED_VALUE"""),45803.493055555555)</f>
        <v>45803.49306</v>
      </c>
      <c r="D1103" s="211" t="str">
        <f>IFERROR(__xludf.DUMMYFUNCTION("""COMPUTED_VALUE"""),"8f5ebaea")</f>
        <v>8f5ebaea</v>
      </c>
      <c r="E1103" s="211" t="str">
        <f>IFERROR(__xludf.DUMMYFUNCTION("""COMPUTED_VALUE"""),"PT Hua Zong Mesindo")</f>
        <v>PT Hua Zong Mesindo</v>
      </c>
      <c r="F1103" s="211" t="str">
        <f>IFERROR(__xludf.DUMMYFUNCTION("""COMPUTED_VALUE"""),"8bdbe149")</f>
        <v>8bdbe149</v>
      </c>
      <c r="G1103" s="211" t="str">
        <f>IFERROR(__xludf.DUMMYFUNCTION("""COMPUTED_VALUE"""),"Oksigen 6m3")</f>
        <v>Oksigen 6m3</v>
      </c>
      <c r="H1103" s="214" t="str">
        <f>IFERROR(__xludf.DUMMYFUNCTION("""COMPUTED_VALUE"""),"OUT")</f>
        <v>OUT</v>
      </c>
      <c r="I1103" s="214" t="str">
        <f>IFERROR(__xludf.DUMMYFUNCTION("""COMPUTED_VALUE"""),"NORMAL")</f>
        <v>NORMAL</v>
      </c>
      <c r="J1103" s="211">
        <f>IFERROR(__xludf.DUMMYFUNCTION("""COMPUTED_VALUE"""),4.0)</f>
        <v>4</v>
      </c>
      <c r="K1103" s="210" t="str">
        <f>IFERROR(__xludf.DUMMYFUNCTION("""COMPUTED_VALUE"""),"1183 1187 1127 1193")</f>
        <v>1183 1187 1127 1193</v>
      </c>
      <c r="L1103" s="211">
        <f>IFERROR(__xludf.DUMMYFUNCTION("""COMPUTED_VALUE"""),60000.0)</f>
        <v>60000</v>
      </c>
      <c r="M1103" s="211"/>
      <c r="N1103" s="211"/>
      <c r="O1103" s="211"/>
      <c r="Q1103" s="210" t="str">
        <f>IFERROR(__xludf.DUMMYFUNCTION("""COMPUTED_VALUE"""),"0825231100")</f>
        <v>0825231100</v>
      </c>
      <c r="R1103" s="210" t="str">
        <f>IFERROR(__xludf.DUMMYFUNCTION("""COMPUTED_VALUE"""),"0825231100")</f>
        <v>0825231100</v>
      </c>
      <c r="S1103" s="211" t="str">
        <f>IFERROR(__xludf.DUMMYFUNCTION("""COMPUTED_VALUE"""),"5f23ba17")</f>
        <v>5f23ba17</v>
      </c>
      <c r="T1103" s="211" t="str">
        <f>IFERROR(__xludf.DUMMYFUNCTION("""COMPUTED_VALUE"""),"Bpk. Joko (Gresik)")</f>
        <v>Bpk. Joko (Gresik)</v>
      </c>
      <c r="U1103" s="215">
        <f>IFERROR(__xludf.DUMMYFUNCTION("""COMPUTED_VALUE"""),45877.38659722222)</f>
        <v>45877.3866</v>
      </c>
      <c r="V1103" s="211" t="str">
        <f>IFERROR(__xludf.DUMMYFUNCTION("""COMPUTED_VALUE"""),"Tanggungan, Lebaniwaras, Kec. Wringinanom, Kabupaten Gresik, Jawa Timur")</f>
        <v>Tanggungan, Lebaniwaras, Kec. Wringinanom, Kabupaten Gresik, Jawa Timur</v>
      </c>
      <c r="W1103" s="211" t="str">
        <f>IFERROR(__xludf.DUMMYFUNCTION("""COMPUTED_VALUE"""),"OUT")</f>
        <v>OUT</v>
      </c>
      <c r="X1103" s="211"/>
      <c r="Z1103" s="211" t="str">
        <f>IFERROR(__xludf.DUMMYFUNCTION("""COMPUTED_VALUE"""),"04250385")</f>
        <v>04250385</v>
      </c>
      <c r="AL1103" s="211"/>
      <c r="AM1103" s="211"/>
      <c r="AN1103" s="211"/>
      <c r="AO1103" s="211"/>
      <c r="AP1103" s="215"/>
      <c r="AQ1103" s="218"/>
      <c r="AR1103" s="211"/>
    </row>
    <row r="1104">
      <c r="A1104" s="210" t="str">
        <f>IFERROR(__xludf.DUMMYFUNCTION("""COMPUTED_VALUE"""),"05250459")</f>
        <v>05250459</v>
      </c>
      <c r="B1104" s="210" t="str">
        <f>IFERROR(__xludf.DUMMYFUNCTION("""COMPUTED_VALUE"""),"05250459")</f>
        <v>05250459</v>
      </c>
      <c r="C1104" s="213">
        <f>IFERROR(__xludf.DUMMYFUNCTION("""COMPUTED_VALUE"""),45803.49375)</f>
        <v>45803.49375</v>
      </c>
      <c r="D1104" s="211" t="str">
        <f>IFERROR(__xludf.DUMMYFUNCTION("""COMPUTED_VALUE"""),"8f5ebaea")</f>
        <v>8f5ebaea</v>
      </c>
      <c r="E1104" s="211" t="str">
        <f>IFERROR(__xludf.DUMMYFUNCTION("""COMPUTED_VALUE"""),"PT Hua Zong Mesindo")</f>
        <v>PT Hua Zong Mesindo</v>
      </c>
      <c r="F1104" s="211" t="str">
        <f>IFERROR(__xludf.DUMMYFUNCTION("""COMPUTED_VALUE"""),"ef306e54")</f>
        <v>ef306e54</v>
      </c>
      <c r="G1104" s="211" t="str">
        <f>IFERROR(__xludf.DUMMYFUNCTION("""COMPUTED_VALUE"""),"Karbondioksida")</f>
        <v>Karbondioksida</v>
      </c>
      <c r="H1104" s="214" t="str">
        <f>IFERROR(__xludf.DUMMYFUNCTION("""COMPUTED_VALUE"""),"OUT")</f>
        <v>OUT</v>
      </c>
      <c r="I1104" s="214" t="str">
        <f>IFERROR(__xludf.DUMMYFUNCTION("""COMPUTED_VALUE"""),"NORMAL")</f>
        <v>NORMAL</v>
      </c>
      <c r="J1104" s="211">
        <f>IFERROR(__xludf.DUMMYFUNCTION("""COMPUTED_VALUE"""),2.0)</f>
        <v>2</v>
      </c>
      <c r="K1104" s="210" t="str">
        <f>IFERROR(__xludf.DUMMYFUNCTION("""COMPUTED_VALUE"""),"13024 13025")</f>
        <v>13024 13025</v>
      </c>
      <c r="L1104" s="211">
        <f>IFERROR(__xludf.DUMMYFUNCTION("""COMPUTED_VALUE"""),160000.0)</f>
        <v>160000</v>
      </c>
      <c r="M1104" s="211"/>
      <c r="N1104" s="211"/>
      <c r="O1104" s="211"/>
      <c r="Q1104" s="210" t="str">
        <f>IFERROR(__xludf.DUMMYFUNCTION("""COMPUTED_VALUE"""),"0825251104")</f>
        <v>0825251104</v>
      </c>
      <c r="R1104" s="210" t="str">
        <f>IFERROR(__xludf.DUMMYFUNCTION("""COMPUTED_VALUE"""),"0825251104")</f>
        <v>0825251104</v>
      </c>
      <c r="S1104" s="211" t="str">
        <f>IFERROR(__xludf.DUMMYFUNCTION("""COMPUTED_VALUE"""),"01158be1")</f>
        <v>01158be1</v>
      </c>
      <c r="T1104" s="211" t="str">
        <f>IFERROR(__xludf.DUMMYFUNCTION("""COMPUTED_VALUE"""),"GYF")</f>
        <v>GYF</v>
      </c>
      <c r="U1104" s="215">
        <f>IFERROR(__xludf.DUMMYFUNCTION("""COMPUTED_VALUE"""),45877.45050925926)</f>
        <v>45877.45051</v>
      </c>
      <c r="V1104" s="211" t="str">
        <f>IFERROR(__xludf.DUMMYFUNCTION("""COMPUTED_VALUE"""),"Kangkungan, Lengkong, Kec. Mojoanyar, Kabupaten Mojokerto, Jawa Timur")</f>
        <v>Kangkungan, Lengkong, Kec. Mojoanyar, Kabupaten Mojokerto, Jawa Timur</v>
      </c>
      <c r="W1104" s="211" t="str">
        <f>IFERROR(__xludf.DUMMYFUNCTION("""COMPUTED_VALUE"""),"OUT")</f>
        <v>OUT</v>
      </c>
      <c r="X1104" s="211"/>
      <c r="Z1104" s="211" t="str">
        <f>IFERROR(__xludf.DUMMYFUNCTION("""COMPUTED_VALUE"""),"04250384")</f>
        <v>04250384</v>
      </c>
      <c r="AL1104" s="211"/>
      <c r="AM1104" s="211"/>
      <c r="AN1104" s="211"/>
      <c r="AO1104" s="211"/>
      <c r="AP1104" s="215"/>
      <c r="AQ1104" s="218"/>
      <c r="AR1104" s="211"/>
    </row>
    <row r="1105">
      <c r="A1105" s="210" t="str">
        <f>IFERROR(__xludf.DUMMYFUNCTION("""COMPUTED_VALUE"""),"05250459")</f>
        <v>05250459</v>
      </c>
      <c r="B1105" s="210" t="str">
        <f>IFERROR(__xludf.DUMMYFUNCTION("""COMPUTED_VALUE"""),"05250459")</f>
        <v>05250459</v>
      </c>
      <c r="C1105" s="213">
        <f>IFERROR(__xludf.DUMMYFUNCTION("""COMPUTED_VALUE"""),45803.49444444444)</f>
        <v>45803.49444</v>
      </c>
      <c r="D1105" s="211" t="str">
        <f>IFERROR(__xludf.DUMMYFUNCTION("""COMPUTED_VALUE"""),"8f5ebaea")</f>
        <v>8f5ebaea</v>
      </c>
      <c r="E1105" s="211" t="str">
        <f>IFERROR(__xludf.DUMMYFUNCTION("""COMPUTED_VALUE"""),"PT Hua Zong Mesindo")</f>
        <v>PT Hua Zong Mesindo</v>
      </c>
      <c r="F1105" s="211" t="str">
        <f>IFERROR(__xludf.DUMMYFUNCTION("""COMPUTED_VALUE"""),"66af7c72")</f>
        <v>66af7c72</v>
      </c>
      <c r="G1105" s="211" t="str">
        <f>IFERROR(__xludf.DUMMYFUNCTION("""COMPUTED_VALUE"""),"Argon 6m3")</f>
        <v>Argon 6m3</v>
      </c>
      <c r="H1105" s="214" t="str">
        <f>IFERROR(__xludf.DUMMYFUNCTION("""COMPUTED_VALUE"""),"OUT")</f>
        <v>OUT</v>
      </c>
      <c r="I1105" s="214" t="str">
        <f>IFERROR(__xludf.DUMMYFUNCTION("""COMPUTED_VALUE"""),"NORMAL")</f>
        <v>NORMAL</v>
      </c>
      <c r="J1105" s="211">
        <f>IFERROR(__xludf.DUMMYFUNCTION("""COMPUTED_VALUE"""),2.0)</f>
        <v>2</v>
      </c>
      <c r="K1105" s="210" t="str">
        <f>IFERROR(__xludf.DUMMYFUNCTION("""COMPUTED_VALUE"""),"12002 12038")</f>
        <v>12002 12038</v>
      </c>
      <c r="L1105" s="211">
        <f>IFERROR(__xludf.DUMMYFUNCTION("""COMPUTED_VALUE"""),190000.0)</f>
        <v>190000</v>
      </c>
      <c r="M1105" s="211"/>
      <c r="N1105" s="211"/>
      <c r="O1105" s="211"/>
      <c r="Q1105" s="210" t="str">
        <f>IFERROR(__xludf.DUMMYFUNCTION("""COMPUTED_VALUE"""),"1250502")</f>
        <v>1250502</v>
      </c>
      <c r="R1105" s="210" t="str">
        <f>IFERROR(__xludf.DUMMYFUNCTION("""COMPUTED_VALUE"""),"1250502")</f>
        <v>1250502</v>
      </c>
      <c r="S1105" s="211" t="str">
        <f>IFERROR(__xludf.DUMMYFUNCTION("""COMPUTED_VALUE"""),"3bcd7fe6")</f>
        <v>3bcd7fe6</v>
      </c>
      <c r="T1105" s="211" t="str">
        <f>IFERROR(__xludf.DUMMYFUNCTION("""COMPUTED_VALUE"""),"Bpk. Alvin (LB Group)")</f>
        <v>Bpk. Alvin (LB Group)</v>
      </c>
      <c r="U1105" s="215">
        <f>IFERROR(__xludf.DUMMYFUNCTION("""COMPUTED_VALUE"""),45877.467152777775)</f>
        <v>45877.46715</v>
      </c>
      <c r="V1105" s="211" t="str">
        <f>IFERROR(__xludf.DUMMYFUNCTION("""COMPUTED_VALUE"""),"MFF9+XHC, Jalan, Tambakrejo, Temuireng, Kec. Dawar Blandong, Kabupaten Mojokerto, Jawa Timur 61354")</f>
        <v>MFF9+XHC, Jalan, Tambakrejo, Temuireng, Kec. Dawar Blandong, Kabupaten Mojokerto, Jawa Timur 61354</v>
      </c>
      <c r="W1105" s="211" t="str">
        <f>IFERROR(__xludf.DUMMYFUNCTION("""COMPUTED_VALUE"""),"IN")</f>
        <v>IN</v>
      </c>
      <c r="X1105" s="211"/>
      <c r="Z1105" s="211" t="str">
        <f>IFERROR(__xludf.DUMMYFUNCTION("""COMPUTED_VALUE"""),"04250383")</f>
        <v>04250383</v>
      </c>
      <c r="AL1105" s="211"/>
      <c r="AM1105" s="211"/>
      <c r="AN1105" s="211"/>
      <c r="AO1105" s="211"/>
      <c r="AP1105" s="215"/>
      <c r="AQ1105" s="218"/>
      <c r="AR1105" s="211"/>
    </row>
    <row r="1106">
      <c r="A1106" s="210" t="str">
        <f>IFERROR(__xludf.DUMMYFUNCTION("""COMPUTED_VALUE"""),"dcd473c0")</f>
        <v>dcd473c0</v>
      </c>
      <c r="B1106" s="210" t="str">
        <f>IFERROR(__xludf.DUMMYFUNCTION("""COMPUTED_VALUE"""),"dcd473c0")</f>
        <v>dcd473c0</v>
      </c>
      <c r="C1106" s="213">
        <f>IFERROR(__xludf.DUMMYFUNCTION("""COMPUTED_VALUE"""),45803.55972222222)</f>
        <v>45803.55972</v>
      </c>
      <c r="D1106" s="211" t="str">
        <f>IFERROR(__xludf.DUMMYFUNCTION("""COMPUTED_VALUE"""),"785e0e07")</f>
        <v>785e0e07</v>
      </c>
      <c r="E1106" s="211" t="str">
        <f>IFERROR(__xludf.DUMMYFUNCTION("""COMPUTED_VALUE"""),"Bpk. Sukirno (Bejo)")</f>
        <v>Bpk. Sukirno (Bejo)</v>
      </c>
      <c r="F1106" s="211" t="str">
        <f>IFERROR(__xludf.DUMMYFUNCTION("""COMPUTED_VALUE"""),"8bdbe149")</f>
        <v>8bdbe149</v>
      </c>
      <c r="G1106" s="211" t="str">
        <f>IFERROR(__xludf.DUMMYFUNCTION("""COMPUTED_VALUE"""),"Oksigen 6m3")</f>
        <v>Oksigen 6m3</v>
      </c>
      <c r="H1106" s="214" t="str">
        <f>IFERROR(__xludf.DUMMYFUNCTION("""COMPUTED_VALUE"""),"IN")</f>
        <v>IN</v>
      </c>
      <c r="I1106" s="214" t="str">
        <f>IFERROR(__xludf.DUMMYFUNCTION("""COMPUTED_VALUE"""),"EMPTY")</f>
        <v>EMPTY</v>
      </c>
      <c r="J1106" s="211">
        <f>IFERROR(__xludf.DUMMYFUNCTION("""COMPUTED_VALUE"""),4.0)</f>
        <v>4</v>
      </c>
      <c r="K1106" s="210" t="str">
        <f>IFERROR(__xludf.DUMMYFUNCTION("""COMPUTED_VALUE"""),"11191 11205 11232 11188")</f>
        <v>11191 11205 11232 11188</v>
      </c>
      <c r="L1106" s="211">
        <f>IFERROR(__xludf.DUMMYFUNCTION("""COMPUTED_VALUE"""),0.0)</f>
        <v>0</v>
      </c>
      <c r="M1106" s="211"/>
      <c r="N1106" s="211"/>
      <c r="O1106" s="211"/>
      <c r="Q1106" s="210" t="str">
        <f>IFERROR(__xludf.DUMMYFUNCTION("""COMPUTED_VALUE"""),"1250501")</f>
        <v>1250501</v>
      </c>
      <c r="R1106" s="210" t="str">
        <f>IFERROR(__xludf.DUMMYFUNCTION("""COMPUTED_VALUE"""),"1250501")</f>
        <v>1250501</v>
      </c>
      <c r="S1106" s="211" t="str">
        <f>IFERROR(__xludf.DUMMYFUNCTION("""COMPUTED_VALUE"""),"01158be1")</f>
        <v>01158be1</v>
      </c>
      <c r="T1106" s="211" t="str">
        <f>IFERROR(__xludf.DUMMYFUNCTION("""COMPUTED_VALUE"""),"GYF")</f>
        <v>GYF</v>
      </c>
      <c r="U1106" s="215">
        <f>IFERROR(__xludf.DUMMYFUNCTION("""COMPUTED_VALUE"""),45877.59657407407)</f>
        <v>45877.59657</v>
      </c>
      <c r="V1106" s="211" t="str">
        <f>IFERROR(__xludf.DUMMYFUNCTION("""COMPUTED_VALUE"""),"Kangkungan, Lengkong, Kec. Mojoanyar, Kabupaten Mojokerto, Jawa Timur")</f>
        <v>Kangkungan, Lengkong, Kec. Mojoanyar, Kabupaten Mojokerto, Jawa Timur</v>
      </c>
      <c r="W1106" s="211" t="str">
        <f>IFERROR(__xludf.DUMMYFUNCTION("""COMPUTED_VALUE"""),"IN")</f>
        <v>IN</v>
      </c>
      <c r="X1106" s="211"/>
      <c r="Z1106" s="211" t="str">
        <f>IFERROR(__xludf.DUMMYFUNCTION("""COMPUTED_VALUE"""),"04250382")</f>
        <v>04250382</v>
      </c>
      <c r="AL1106" s="211"/>
      <c r="AM1106" s="211"/>
      <c r="AN1106" s="211"/>
      <c r="AO1106" s="211"/>
      <c r="AP1106" s="215"/>
      <c r="AQ1106" s="218"/>
      <c r="AR1106" s="211"/>
    </row>
    <row r="1107">
      <c r="A1107" s="210" t="str">
        <f>IFERROR(__xludf.DUMMYFUNCTION("""COMPUTED_VALUE"""),"05250462")</f>
        <v>05250462</v>
      </c>
      <c r="B1107" s="210" t="str">
        <f>IFERROR(__xludf.DUMMYFUNCTION("""COMPUTED_VALUE"""),"05250462")</f>
        <v>05250462</v>
      </c>
      <c r="C1107" s="213">
        <f>IFERROR(__xludf.DUMMYFUNCTION("""COMPUTED_VALUE"""),45803.58194444444)</f>
        <v>45803.58194</v>
      </c>
      <c r="D1107" s="211" t="str">
        <f>IFERROR(__xludf.DUMMYFUNCTION("""COMPUTED_VALUE"""),"01158be1")</f>
        <v>01158be1</v>
      </c>
      <c r="E1107" s="211" t="str">
        <f>IFERROR(__xludf.DUMMYFUNCTION("""COMPUTED_VALUE"""),"GYF")</f>
        <v>GYF</v>
      </c>
      <c r="F1107" s="211" t="str">
        <f>IFERROR(__xludf.DUMMYFUNCTION("""COMPUTED_VALUE"""),"8bdbe149")</f>
        <v>8bdbe149</v>
      </c>
      <c r="G1107" s="211" t="str">
        <f>IFERROR(__xludf.DUMMYFUNCTION("""COMPUTED_VALUE"""),"Oksigen 6m3")</f>
        <v>Oksigen 6m3</v>
      </c>
      <c r="H1107" s="214" t="str">
        <f>IFERROR(__xludf.DUMMYFUNCTION("""COMPUTED_VALUE"""),"OUT")</f>
        <v>OUT</v>
      </c>
      <c r="I1107" s="214" t="str">
        <f>IFERROR(__xludf.DUMMYFUNCTION("""COMPUTED_VALUE"""),"NORMAL")</f>
        <v>NORMAL</v>
      </c>
      <c r="J1107" s="211">
        <f>IFERROR(__xludf.DUMMYFUNCTION("""COMPUTED_VALUE"""),15.0)</f>
        <v>15</v>
      </c>
      <c r="K1107" s="210" t="str">
        <f>IFERROR(__xludf.DUMMYFUNCTION("""COMPUTED_VALUE"""),"1175 1109 1198 1137 11200 11285 11282 11201 11204 11178 11113 11102 11259 11286 1167")</f>
        <v>1175 1109 1198 1137 11200 11285 11282 11201 11204 11178 11113 11102 11259 11286 1167</v>
      </c>
      <c r="L1107" s="211">
        <f>IFERROR(__xludf.DUMMYFUNCTION("""COMPUTED_VALUE"""),45000.0)</f>
        <v>45000</v>
      </c>
      <c r="M1107" s="211"/>
      <c r="N1107" s="211"/>
      <c r="O1107" s="211"/>
      <c r="Q1107" s="210" t="str">
        <f>IFERROR(__xludf.DUMMYFUNCTION("""COMPUTED_VALUE"""),"4082521054")</f>
        <v>4082521054</v>
      </c>
      <c r="R1107" s="210" t="str">
        <f>IFERROR(__xludf.DUMMYFUNCTION("""COMPUTED_VALUE"""),"4082521054")</f>
        <v>4082521054</v>
      </c>
      <c r="S1107" s="211" t="str">
        <f>IFERROR(__xludf.DUMMYFUNCTION("""COMPUTED_VALUE"""),"01158be1")</f>
        <v>01158be1</v>
      </c>
      <c r="T1107" s="211" t="str">
        <f>IFERROR(__xludf.DUMMYFUNCTION("""COMPUTED_VALUE"""),"GYF")</f>
        <v>GYF</v>
      </c>
      <c r="U1107" s="215">
        <f>IFERROR(__xludf.DUMMYFUNCTION("""COMPUTED_VALUE"""),45877.60041666667)</f>
        <v>45877.60042</v>
      </c>
      <c r="V1107" s="211" t="str">
        <f>IFERROR(__xludf.DUMMYFUNCTION("""COMPUTED_VALUE"""),"Kangkungan, Lengkong, Kec. Mojoanyar, Kabupaten Mojokerto, Jawa Timur")</f>
        <v>Kangkungan, Lengkong, Kec. Mojoanyar, Kabupaten Mojokerto, Jawa Timur</v>
      </c>
      <c r="W1107" s="211" t="str">
        <f>IFERROR(__xludf.DUMMYFUNCTION("""COMPUTED_VALUE"""),"OTHER")</f>
        <v>OTHER</v>
      </c>
      <c r="X1107" s="211"/>
      <c r="Z1107" s="211" t="str">
        <f>IFERROR(__xludf.DUMMYFUNCTION("""COMPUTED_VALUE"""),"04250381")</f>
        <v>04250381</v>
      </c>
      <c r="AL1107" s="211"/>
      <c r="AM1107" s="211"/>
      <c r="AN1107" s="211"/>
      <c r="AO1107" s="211"/>
      <c r="AP1107" s="215"/>
      <c r="AQ1107" s="218"/>
      <c r="AR1107" s="211"/>
    </row>
    <row r="1108">
      <c r="A1108" s="210" t="str">
        <f>IFERROR(__xludf.DUMMYFUNCTION("""COMPUTED_VALUE"""),"4378ab44")</f>
        <v>4378ab44</v>
      </c>
      <c r="B1108" s="210" t="str">
        <f>IFERROR(__xludf.DUMMYFUNCTION("""COMPUTED_VALUE"""),"4378ab44")</f>
        <v>4378ab44</v>
      </c>
      <c r="C1108" s="213">
        <f>IFERROR(__xludf.DUMMYFUNCTION("""COMPUTED_VALUE"""),45803.61666666667)</f>
        <v>45803.61667</v>
      </c>
      <c r="D1108" s="211" t="str">
        <f>IFERROR(__xludf.DUMMYFUNCTION("""COMPUTED_VALUE"""),"8f5ebaea")</f>
        <v>8f5ebaea</v>
      </c>
      <c r="E1108" s="211" t="str">
        <f>IFERROR(__xludf.DUMMYFUNCTION("""COMPUTED_VALUE"""),"PT Hua Zong Mesindo")</f>
        <v>PT Hua Zong Mesindo</v>
      </c>
      <c r="F1108" s="211" t="str">
        <f>IFERROR(__xludf.DUMMYFUNCTION("""COMPUTED_VALUE"""),"8bdbe149")</f>
        <v>8bdbe149</v>
      </c>
      <c r="G1108" s="211" t="str">
        <f>IFERROR(__xludf.DUMMYFUNCTION("""COMPUTED_VALUE"""),"Oksigen 6m3")</f>
        <v>Oksigen 6m3</v>
      </c>
      <c r="H1108" s="214" t="str">
        <f>IFERROR(__xludf.DUMMYFUNCTION("""COMPUTED_VALUE"""),"IN")</f>
        <v>IN</v>
      </c>
      <c r="I1108" s="214" t="str">
        <f>IFERROR(__xludf.DUMMYFUNCTION("""COMPUTED_VALUE"""),"EMPTY")</f>
        <v>EMPTY</v>
      </c>
      <c r="J1108" s="211">
        <f>IFERROR(__xludf.DUMMYFUNCTION("""COMPUTED_VALUE"""),1.0)</f>
        <v>1</v>
      </c>
      <c r="K1108" s="210" t="str">
        <f>IFERROR(__xludf.DUMMYFUNCTION("""COMPUTED_VALUE"""),"1135")</f>
        <v>1135</v>
      </c>
      <c r="L1108" s="211">
        <f>IFERROR(__xludf.DUMMYFUNCTION("""COMPUTED_VALUE"""),0.0)</f>
        <v>0</v>
      </c>
      <c r="M1108" s="211"/>
      <c r="N1108" s="211"/>
      <c r="O1108" s="211"/>
      <c r="Q1108" s="210" t="str">
        <f>IFERROR(__xludf.DUMMYFUNCTION("""COMPUTED_VALUE"""),"082571105")</f>
        <v>082571105</v>
      </c>
      <c r="R1108" s="210" t="str">
        <f>IFERROR(__xludf.DUMMYFUNCTION("""COMPUTED_VALUE"""),"082571105")</f>
        <v>082571105</v>
      </c>
      <c r="S1108" s="211" t="str">
        <f>IFERROR(__xludf.DUMMYFUNCTION("""COMPUTED_VALUE"""),"e76bc39c")</f>
        <v>e76bc39c</v>
      </c>
      <c r="T1108" s="211" t="str">
        <f>IFERROR(__xludf.DUMMYFUNCTION("""COMPUTED_VALUE"""),"Bpk. Irul")</f>
        <v>Bpk. Irul</v>
      </c>
      <c r="U1108" s="215">
        <f>IFERROR(__xludf.DUMMYFUNCTION("""COMPUTED_VALUE"""),45878.34489583333)</f>
        <v>45878.3449</v>
      </c>
      <c r="V1108" s="211" t="str">
        <f>IFERROR(__xludf.DUMMYFUNCTION("""COMPUTED_VALUE"""),"Jl. Mayjen Bambang Yuwono, Ciro Kulon, Bakungtemenggungan, Kec. BalongBendo, Kabupaten Sidoarjo, Jawa Timur 61263")</f>
        <v>Jl. Mayjen Bambang Yuwono, Ciro Kulon, Bakungtemenggungan, Kec. BalongBendo, Kabupaten Sidoarjo, Jawa Timur 61263</v>
      </c>
      <c r="W1108" s="211" t="str">
        <f>IFERROR(__xludf.DUMMYFUNCTION("""COMPUTED_VALUE"""),"OUT")</f>
        <v>OUT</v>
      </c>
      <c r="X1108" s="211"/>
      <c r="Z1108" s="211" t="str">
        <f>IFERROR(__xludf.DUMMYFUNCTION("""COMPUTED_VALUE"""),"04250380")</f>
        <v>04250380</v>
      </c>
      <c r="AL1108" s="211"/>
      <c r="AM1108" s="211"/>
      <c r="AN1108" s="211"/>
      <c r="AO1108" s="211"/>
      <c r="AP1108" s="215"/>
      <c r="AQ1108" s="218"/>
      <c r="AR1108" s="211"/>
    </row>
    <row r="1109">
      <c r="A1109" s="210" t="str">
        <f>IFERROR(__xludf.DUMMYFUNCTION("""COMPUTED_VALUE"""),"4378ab44")</f>
        <v>4378ab44</v>
      </c>
      <c r="B1109" s="210" t="str">
        <f>IFERROR(__xludf.DUMMYFUNCTION("""COMPUTED_VALUE"""),"4378ab44")</f>
        <v>4378ab44</v>
      </c>
      <c r="C1109" s="213">
        <f>IFERROR(__xludf.DUMMYFUNCTION("""COMPUTED_VALUE"""),45803.61736111111)</f>
        <v>45803.61736</v>
      </c>
      <c r="D1109" s="211" t="str">
        <f>IFERROR(__xludf.DUMMYFUNCTION("""COMPUTED_VALUE"""),"8f5ebaea")</f>
        <v>8f5ebaea</v>
      </c>
      <c r="E1109" s="211" t="str">
        <f>IFERROR(__xludf.DUMMYFUNCTION("""COMPUTED_VALUE"""),"PT Hua Zong Mesindo")</f>
        <v>PT Hua Zong Mesindo</v>
      </c>
      <c r="F1109" s="211" t="str">
        <f>IFERROR(__xludf.DUMMYFUNCTION("""COMPUTED_VALUE"""),"66af7c72")</f>
        <v>66af7c72</v>
      </c>
      <c r="G1109" s="211" t="str">
        <f>IFERROR(__xludf.DUMMYFUNCTION("""COMPUTED_VALUE"""),"Argon 6m3")</f>
        <v>Argon 6m3</v>
      </c>
      <c r="H1109" s="214" t="str">
        <f>IFERROR(__xludf.DUMMYFUNCTION("""COMPUTED_VALUE"""),"IN")</f>
        <v>IN</v>
      </c>
      <c r="I1109" s="214" t="str">
        <f>IFERROR(__xludf.DUMMYFUNCTION("""COMPUTED_VALUE"""),"EMPTY")</f>
        <v>EMPTY</v>
      </c>
      <c r="J1109" s="211">
        <f>IFERROR(__xludf.DUMMYFUNCTION("""COMPUTED_VALUE"""),1.0)</f>
        <v>1</v>
      </c>
      <c r="K1109" s="210" t="str">
        <f>IFERROR(__xludf.DUMMYFUNCTION("""COMPUTED_VALUE"""),"12031")</f>
        <v>12031</v>
      </c>
      <c r="L1109" s="211">
        <f>IFERROR(__xludf.DUMMYFUNCTION("""COMPUTED_VALUE"""),0.0)</f>
        <v>0</v>
      </c>
      <c r="M1109" s="211"/>
      <c r="N1109" s="211"/>
      <c r="O1109" s="211"/>
      <c r="Q1109" s="210" t="str">
        <f>IFERROR(__xludf.DUMMYFUNCTION("""COMPUTED_VALUE"""),"0825141109")</f>
        <v>0825141109</v>
      </c>
      <c r="R1109" s="210" t="str">
        <f>IFERROR(__xludf.DUMMYFUNCTION("""COMPUTED_VALUE"""),"0825141109")</f>
        <v>0825141109</v>
      </c>
      <c r="S1109" s="211" t="str">
        <f>IFERROR(__xludf.DUMMYFUNCTION("""COMPUTED_VALUE"""),"b2b5f2c5")</f>
        <v>b2b5f2c5</v>
      </c>
      <c r="T1109" s="211" t="str">
        <f>IFERROR(__xludf.DUMMYFUNCTION("""COMPUTED_VALUE"""),"Bengkel Las Bpk. Ari")</f>
        <v>Bengkel Las Bpk. Ari</v>
      </c>
      <c r="U1109" s="215">
        <f>IFERROR(__xludf.DUMMYFUNCTION("""COMPUTED_VALUE"""),45878.34614583333)</f>
        <v>45878.34615</v>
      </c>
      <c r="V1109" s="211" t="str">
        <f>IFERROR(__xludf.DUMMYFUNCTION("""COMPUTED_VALUE"""),"Sumber Kembar, Wonodadi, Kec. Kutorejo, Kabupaten Mojokerto, Jawa Timur")</f>
        <v>Sumber Kembar, Wonodadi, Kec. Kutorejo, Kabupaten Mojokerto, Jawa Timur</v>
      </c>
      <c r="W1109" s="211" t="str">
        <f>IFERROR(__xludf.DUMMYFUNCTION("""COMPUTED_VALUE"""),"OUT")</f>
        <v>OUT</v>
      </c>
      <c r="X1109" s="211"/>
      <c r="Z1109" s="211" t="str">
        <f>IFERROR(__xludf.DUMMYFUNCTION("""COMPUTED_VALUE"""),"04250379")</f>
        <v>04250379</v>
      </c>
      <c r="AL1109" s="211"/>
      <c r="AM1109" s="211"/>
      <c r="AN1109" s="211"/>
      <c r="AO1109" s="211"/>
      <c r="AP1109" s="215"/>
      <c r="AQ1109" s="218"/>
      <c r="AR1109" s="211"/>
    </row>
    <row r="1110">
      <c r="A1110" s="210" t="str">
        <f>IFERROR(__xludf.DUMMYFUNCTION("""COMPUTED_VALUE"""),"ebc6fa1b")</f>
        <v>ebc6fa1b</v>
      </c>
      <c r="B1110" s="210" t="str">
        <f>IFERROR(__xludf.DUMMYFUNCTION("""COMPUTED_VALUE"""),"ebc6fa1b")</f>
        <v>ebc6fa1b</v>
      </c>
      <c r="C1110" s="213">
        <f>IFERROR(__xludf.DUMMYFUNCTION("""COMPUTED_VALUE"""),45803.70486111111)</f>
        <v>45803.70486</v>
      </c>
      <c r="D1110" s="211" t="str">
        <f>IFERROR(__xludf.DUMMYFUNCTION("""COMPUTED_VALUE"""),"01158be1")</f>
        <v>01158be1</v>
      </c>
      <c r="E1110" s="211" t="str">
        <f>IFERROR(__xludf.DUMMYFUNCTION("""COMPUTED_VALUE"""),"GYF")</f>
        <v>GYF</v>
      </c>
      <c r="F1110" s="211" t="str">
        <f>IFERROR(__xludf.DUMMYFUNCTION("""COMPUTED_VALUE"""),"8bdbe149")</f>
        <v>8bdbe149</v>
      </c>
      <c r="G1110" s="211" t="str">
        <f>IFERROR(__xludf.DUMMYFUNCTION("""COMPUTED_VALUE"""),"Oksigen 6m3")</f>
        <v>Oksigen 6m3</v>
      </c>
      <c r="H1110" s="214" t="str">
        <f>IFERROR(__xludf.DUMMYFUNCTION("""COMPUTED_VALUE"""),"IN")</f>
        <v>IN</v>
      </c>
      <c r="I1110" s="214" t="str">
        <f>IFERROR(__xludf.DUMMYFUNCTION("""COMPUTED_VALUE"""),"EMPTY")</f>
        <v>EMPTY</v>
      </c>
      <c r="J1110" s="211">
        <f>IFERROR(__xludf.DUMMYFUNCTION("""COMPUTED_VALUE"""),16.0)</f>
        <v>16</v>
      </c>
      <c r="K1110" s="210" t="str">
        <f>IFERROR(__xludf.DUMMYFUNCTION("""COMPUTED_VALUE"""),"11287 1190 11253 1104 11111 11155 1140 11273 11114 11260 1191 11241 11105 1129 11228 11194")</f>
        <v>11287 1190 11253 1104 11111 11155 1140 11273 11114 11260 1191 11241 11105 1129 11228 11194</v>
      </c>
      <c r="L1110" s="211">
        <f>IFERROR(__xludf.DUMMYFUNCTION("""COMPUTED_VALUE"""),0.0)</f>
        <v>0</v>
      </c>
      <c r="M1110" s="211"/>
      <c r="N1110" s="211"/>
      <c r="O1110" s="211"/>
      <c r="Q1110" s="210" t="str">
        <f>IFERROR(__xludf.DUMMYFUNCTION("""COMPUTED_VALUE"""),"082511110")</f>
        <v>082511110</v>
      </c>
      <c r="R1110" s="210" t="str">
        <f>IFERROR(__xludf.DUMMYFUNCTION("""COMPUTED_VALUE"""),"082511110")</f>
        <v>082511110</v>
      </c>
      <c r="S1110" s="211" t="str">
        <f>IFERROR(__xludf.DUMMYFUNCTION("""COMPUTED_VALUE"""),"5e174cd0")</f>
        <v>5e174cd0</v>
      </c>
      <c r="T1110" s="211" t="str">
        <f>IFERROR(__xludf.DUMMYFUNCTION("""COMPUTED_VALUE"""),"Maherdi")</f>
        <v>Maherdi</v>
      </c>
      <c r="U1110" s="215">
        <f>IFERROR(__xludf.DUMMYFUNCTION("""COMPUTED_VALUE"""),45878.723969907405)</f>
        <v>45878.72397</v>
      </c>
      <c r="V1110" s="211" t="str">
        <f>IFERROR(__xludf.DUMMYFUNCTION("""COMPUTED_VALUE"""),"Tarik")</f>
        <v>Tarik</v>
      </c>
      <c r="W1110" s="211" t="str">
        <f>IFERROR(__xludf.DUMMYFUNCTION("""COMPUTED_VALUE"""),"OUT")</f>
        <v>OUT</v>
      </c>
      <c r="X1110" s="211"/>
      <c r="Z1110" s="211" t="str">
        <f>IFERROR(__xludf.DUMMYFUNCTION("""COMPUTED_VALUE"""),"04250378")</f>
        <v>04250378</v>
      </c>
      <c r="AL1110" s="211"/>
      <c r="AM1110" s="211"/>
      <c r="AN1110" s="211"/>
      <c r="AO1110" s="211"/>
      <c r="AP1110" s="215"/>
      <c r="AQ1110" s="218"/>
      <c r="AR1110" s="211"/>
    </row>
    <row r="1111">
      <c r="A1111" s="210" t="str">
        <f>IFERROR(__xludf.DUMMYFUNCTION("""COMPUTED_VALUE"""),"ebc6fa1b")</f>
        <v>ebc6fa1b</v>
      </c>
      <c r="B1111" s="210" t="str">
        <f>IFERROR(__xludf.DUMMYFUNCTION("""COMPUTED_VALUE"""),"ebc6fa1b")</f>
        <v>ebc6fa1b</v>
      </c>
      <c r="C1111" s="213">
        <f>IFERROR(__xludf.DUMMYFUNCTION("""COMPUTED_VALUE"""),45803.705555555556)</f>
        <v>45803.70556</v>
      </c>
      <c r="D1111" s="211" t="str">
        <f>IFERROR(__xludf.DUMMYFUNCTION("""COMPUTED_VALUE"""),"01158be1")</f>
        <v>01158be1</v>
      </c>
      <c r="E1111" s="211" t="str">
        <f>IFERROR(__xludf.DUMMYFUNCTION("""COMPUTED_VALUE"""),"GYF")</f>
        <v>GYF</v>
      </c>
      <c r="F1111" s="211" t="str">
        <f>IFERROR(__xludf.DUMMYFUNCTION("""COMPUTED_VALUE"""),"66af7c72")</f>
        <v>66af7c72</v>
      </c>
      <c r="G1111" s="211" t="str">
        <f>IFERROR(__xludf.DUMMYFUNCTION("""COMPUTED_VALUE"""),"Argon 6m3")</f>
        <v>Argon 6m3</v>
      </c>
      <c r="H1111" s="214" t="str">
        <f>IFERROR(__xludf.DUMMYFUNCTION("""COMPUTED_VALUE"""),"IN")</f>
        <v>IN</v>
      </c>
      <c r="I1111" s="214" t="str">
        <f>IFERROR(__xludf.DUMMYFUNCTION("""COMPUTED_VALUE"""),"EMPTY")</f>
        <v>EMPTY</v>
      </c>
      <c r="J1111" s="211">
        <f>IFERROR(__xludf.DUMMYFUNCTION("""COMPUTED_VALUE"""),2.0)</f>
        <v>2</v>
      </c>
      <c r="K1111" s="210" t="str">
        <f>IFERROR(__xludf.DUMMYFUNCTION("""COMPUTED_VALUE"""),"12025 12026")</f>
        <v>12025 12026</v>
      </c>
      <c r="L1111" s="211">
        <f>IFERROR(__xludf.DUMMYFUNCTION("""COMPUTED_VALUE"""),0.0)</f>
        <v>0</v>
      </c>
      <c r="M1111" s="211"/>
      <c r="N1111" s="211"/>
      <c r="O1111" s="211"/>
      <c r="Q1111" s="210" t="str">
        <f>IFERROR(__xludf.DUMMYFUNCTION("""COMPUTED_VALUE"""),"0825121111")</f>
        <v>0825121111</v>
      </c>
      <c r="R1111" s="210" t="str">
        <f>IFERROR(__xludf.DUMMYFUNCTION("""COMPUTED_VALUE"""),"0825121111")</f>
        <v>0825121111</v>
      </c>
      <c r="S1111" s="211" t="str">
        <f>IFERROR(__xludf.DUMMYFUNCTION("""COMPUTED_VALUE"""),"d78b2eaf")</f>
        <v>d78b2eaf</v>
      </c>
      <c r="T1111" s="211" t="str">
        <f>IFERROR(__xludf.DUMMYFUNCTION("""COMPUTED_VALUE"""),"PT Sinar Indogreen Kencana")</f>
        <v>PT Sinar Indogreen Kencana</v>
      </c>
      <c r="U1111" s="215">
        <f>IFERROR(__xludf.DUMMYFUNCTION("""COMPUTED_VALUE"""),45880.44131944444)</f>
        <v>45880.44132</v>
      </c>
      <c r="V1111" s="211" t="str">
        <f>IFERROR(__xludf.DUMMYFUNCTION("""COMPUTED_VALUE"""),"Jl. Raya Ponokawan 8b RT/001 RW/002, Ponokawan, Krian, Sidoarjo")</f>
        <v>Jl. Raya Ponokawan 8b RT/001 RW/002, Ponokawan, Krian, Sidoarjo</v>
      </c>
      <c r="W1111" s="211" t="str">
        <f>IFERROR(__xludf.DUMMYFUNCTION("""COMPUTED_VALUE"""),"OUT")</f>
        <v>OUT</v>
      </c>
      <c r="X1111" s="211"/>
      <c r="Z1111" s="211" t="str">
        <f>IFERROR(__xludf.DUMMYFUNCTION("""COMPUTED_VALUE"""),"04250376")</f>
        <v>04250376</v>
      </c>
      <c r="AL1111" s="211"/>
      <c r="AM1111" s="211"/>
      <c r="AN1111" s="211"/>
      <c r="AO1111" s="211"/>
      <c r="AP1111" s="215"/>
      <c r="AQ1111" s="218"/>
      <c r="AR1111" s="211"/>
    </row>
    <row r="1112">
      <c r="A1112" s="210" t="str">
        <f>IFERROR(__xludf.DUMMYFUNCTION("""COMPUTED_VALUE"""),"05250463")</f>
        <v>05250463</v>
      </c>
      <c r="B1112" s="210" t="str">
        <f>IFERROR(__xludf.DUMMYFUNCTION("""COMPUTED_VALUE"""),"05250463")</f>
        <v>05250463</v>
      </c>
      <c r="C1112" s="213">
        <f>IFERROR(__xludf.DUMMYFUNCTION("""COMPUTED_VALUE"""),45804.316666666666)</f>
        <v>45804.31667</v>
      </c>
      <c r="D1112" s="211" t="str">
        <f>IFERROR(__xludf.DUMMYFUNCTION("""COMPUTED_VALUE"""),"ce83e171")</f>
        <v>ce83e171</v>
      </c>
      <c r="E1112" s="211" t="str">
        <f>IFERROR(__xludf.DUMMYFUNCTION("""COMPUTED_VALUE"""),"Bpk. Sulaiman")</f>
        <v>Bpk. Sulaiman</v>
      </c>
      <c r="F1112" s="211" t="str">
        <f>IFERROR(__xludf.DUMMYFUNCTION("""COMPUTED_VALUE"""),"8bdbe149")</f>
        <v>8bdbe149</v>
      </c>
      <c r="G1112" s="211" t="str">
        <f>IFERROR(__xludf.DUMMYFUNCTION("""COMPUTED_VALUE"""),"Oksigen 6m3")</f>
        <v>Oksigen 6m3</v>
      </c>
      <c r="H1112" s="214" t="str">
        <f>IFERROR(__xludf.DUMMYFUNCTION("""COMPUTED_VALUE"""),"OUT")</f>
        <v>OUT</v>
      </c>
      <c r="I1112" s="214" t="str">
        <f>IFERROR(__xludf.DUMMYFUNCTION("""COMPUTED_VALUE"""),"NORMAL")</f>
        <v>NORMAL</v>
      </c>
      <c r="J1112" s="211">
        <f>IFERROR(__xludf.DUMMYFUNCTION("""COMPUTED_VALUE"""),15.0)</f>
        <v>15</v>
      </c>
      <c r="K1112" s="210" t="str">
        <f>IFERROR(__xludf.DUMMYFUNCTION("""COMPUTED_VALUE"""),"11166 11145 11220 11213 11226 11224 11217 11219 11214 11229 1114 1164 1113 11279 1171")</f>
        <v>11166 11145 11220 11213 11226 11224 11217 11219 11214 11229 1114 1164 1113 11279 1171</v>
      </c>
      <c r="L1112" s="211">
        <f>IFERROR(__xludf.DUMMYFUNCTION("""COMPUTED_VALUE"""),55000.0)</f>
        <v>55000</v>
      </c>
      <c r="M1112" s="211"/>
      <c r="N1112" s="211"/>
      <c r="O1112" s="211"/>
      <c r="Q1112" s="210" t="str">
        <f>IFERROR(__xludf.DUMMYFUNCTION("""COMPUTED_VALUE"""),"1250508")</f>
        <v>1250508</v>
      </c>
      <c r="R1112" s="210" t="str">
        <f>IFERROR(__xludf.DUMMYFUNCTION("""COMPUTED_VALUE"""),"1250508")</f>
        <v>1250508</v>
      </c>
      <c r="S1112" s="211" t="str">
        <f>IFERROR(__xludf.DUMMYFUNCTION("""COMPUTED_VALUE"""),"ec231cc9")</f>
        <v>ec231cc9</v>
      </c>
      <c r="T1112" s="211" t="str">
        <f>IFERROR(__xludf.DUMMYFUNCTION("""COMPUTED_VALUE"""),"Bpk. Kohir (Maintenance Velg)")</f>
        <v>Bpk. Kohir (Maintenance Velg)</v>
      </c>
      <c r="U1112" s="215">
        <f>IFERROR(__xludf.DUMMYFUNCTION("""COMPUTED_VALUE"""),45880.4484375)</f>
        <v>45880.44844</v>
      </c>
      <c r="V1112" s="211" t="str">
        <f>IFERROR(__xludf.DUMMYFUNCTION("""COMPUTED_VALUE"""),"Jl. Lkr. Bypass Krian Timur, Sidogolong, Watugolong, Kec. Krian, Kabupaten Sidoarjo, Jawa Timur 61262")</f>
        <v>Jl. Lkr. Bypass Krian Timur, Sidogolong, Watugolong, Kec. Krian, Kabupaten Sidoarjo, Jawa Timur 61262</v>
      </c>
      <c r="W1112" s="211" t="str">
        <f>IFERROR(__xludf.DUMMYFUNCTION("""COMPUTED_VALUE"""),"IN")</f>
        <v>IN</v>
      </c>
      <c r="X1112" s="211"/>
      <c r="Z1112" s="211" t="str">
        <f>IFERROR(__xludf.DUMMYFUNCTION("""COMPUTED_VALUE"""),"04250374")</f>
        <v>04250374</v>
      </c>
      <c r="AL1112" s="211"/>
      <c r="AM1112" s="211"/>
      <c r="AN1112" s="211"/>
      <c r="AO1112" s="211"/>
      <c r="AP1112" s="215"/>
      <c r="AQ1112" s="218"/>
      <c r="AR1112" s="211"/>
    </row>
    <row r="1113">
      <c r="A1113" s="210" t="str">
        <f>IFERROR(__xludf.DUMMYFUNCTION("""COMPUTED_VALUE"""),"05250463")</f>
        <v>05250463</v>
      </c>
      <c r="B1113" s="210" t="str">
        <f>IFERROR(__xludf.DUMMYFUNCTION("""COMPUTED_VALUE"""),"05250463")</f>
        <v>05250463</v>
      </c>
      <c r="C1113" s="213">
        <f>IFERROR(__xludf.DUMMYFUNCTION("""COMPUTED_VALUE"""),45804.316666666666)</f>
        <v>45804.31667</v>
      </c>
      <c r="D1113" s="211" t="str">
        <f>IFERROR(__xludf.DUMMYFUNCTION("""COMPUTED_VALUE"""),"ce83e171")</f>
        <v>ce83e171</v>
      </c>
      <c r="E1113" s="211" t="str">
        <f>IFERROR(__xludf.DUMMYFUNCTION("""COMPUTED_VALUE"""),"Bpk. Sulaiman")</f>
        <v>Bpk. Sulaiman</v>
      </c>
      <c r="F1113" s="211" t="str">
        <f>IFERROR(__xludf.DUMMYFUNCTION("""COMPUTED_VALUE"""),"be525f3b")</f>
        <v>be525f3b</v>
      </c>
      <c r="G1113" s="211" t="str">
        <f>IFERROR(__xludf.DUMMYFUNCTION("""COMPUTED_VALUE"""),"LPG 12kg")</f>
        <v>LPG 12kg</v>
      </c>
      <c r="H1113" s="214" t="str">
        <f>IFERROR(__xludf.DUMMYFUNCTION("""COMPUTED_VALUE"""),"OUT")</f>
        <v>OUT</v>
      </c>
      <c r="I1113" s="214" t="str">
        <f>IFERROR(__xludf.DUMMYFUNCTION("""COMPUTED_VALUE"""),"NORMAL")</f>
        <v>NORMAL</v>
      </c>
      <c r="J1113" s="211">
        <f>IFERROR(__xludf.DUMMYFUNCTION("""COMPUTED_VALUE"""),2.0)</f>
        <v>2</v>
      </c>
      <c r="K1113" s="211"/>
      <c r="L1113" s="211">
        <f>IFERROR(__xludf.DUMMYFUNCTION("""COMPUTED_VALUE"""),210000.0)</f>
        <v>210000</v>
      </c>
      <c r="M1113" s="211"/>
      <c r="N1113" s="211"/>
      <c r="O1113" s="211" t="b">
        <f>IFERROR(__xludf.DUMMYFUNCTION("""COMPUTED_VALUE"""),FALSE)</f>
        <v>0</v>
      </c>
      <c r="Q1113" s="210" t="str">
        <f>IFERROR(__xludf.DUMMYFUNCTION("""COMPUTED_VALUE"""),"1250498")</f>
        <v>1250498</v>
      </c>
      <c r="R1113" s="210" t="str">
        <f>IFERROR(__xludf.DUMMYFUNCTION("""COMPUTED_VALUE"""),"1250498")</f>
        <v>1250498</v>
      </c>
      <c r="S1113" s="211" t="str">
        <f>IFERROR(__xludf.DUMMYFUNCTION("""COMPUTED_VALUE"""),"2d88931c")</f>
        <v>2d88931c</v>
      </c>
      <c r="T1113" s="211" t="str">
        <f>IFERROR(__xludf.DUMMYFUNCTION("""COMPUTED_VALUE"""),"PT Dunia Berkat Marga Mulya")</f>
        <v>PT Dunia Berkat Marga Mulya</v>
      </c>
      <c r="U1113" s="215">
        <f>IFERROR(__xludf.DUMMYFUNCTION("""COMPUTED_VALUE"""),45880.456655092596)</f>
        <v>45880.45666</v>
      </c>
      <c r="V1113" s="211" t="str">
        <f>IFERROR(__xludf.DUMMYFUNCTION("""COMPUTED_VALUE"""),"JL JABARAN, WATESARI, BALONGBENDO, SIDOARJO, JAWA TIMUR")</f>
        <v>JL JABARAN, WATESARI, BALONGBENDO, SIDOARJO, JAWA TIMUR</v>
      </c>
      <c r="W1113" s="211" t="str">
        <f>IFERROR(__xludf.DUMMYFUNCTION("""COMPUTED_VALUE"""),"IN")</f>
        <v>IN</v>
      </c>
      <c r="X1113" s="211"/>
      <c r="Z1113" s="211" t="str">
        <f>IFERROR(__xludf.DUMMYFUNCTION("""COMPUTED_VALUE"""),"04250373")</f>
        <v>04250373</v>
      </c>
      <c r="AL1113" s="211"/>
      <c r="AM1113" s="211"/>
      <c r="AN1113" s="211"/>
      <c r="AO1113" s="211"/>
      <c r="AP1113" s="215"/>
      <c r="AQ1113" s="218"/>
      <c r="AR1113" s="211"/>
    </row>
    <row r="1114">
      <c r="A1114" s="210" t="str">
        <f>IFERROR(__xludf.DUMMYFUNCTION("""COMPUTED_VALUE"""),"efd28706")</f>
        <v>efd28706</v>
      </c>
      <c r="B1114" s="210" t="str">
        <f>IFERROR(__xludf.DUMMYFUNCTION("""COMPUTED_VALUE"""),"efd28706")</f>
        <v>efd28706</v>
      </c>
      <c r="C1114" s="213">
        <f>IFERROR(__xludf.DUMMYFUNCTION("""COMPUTED_VALUE"""),45804.48819444444)</f>
        <v>45804.48819</v>
      </c>
      <c r="D1114" s="211" t="str">
        <f>IFERROR(__xludf.DUMMYFUNCTION("""COMPUTED_VALUE"""),"ce83e171")</f>
        <v>ce83e171</v>
      </c>
      <c r="E1114" s="211" t="str">
        <f>IFERROR(__xludf.DUMMYFUNCTION("""COMPUTED_VALUE"""),"Bpk. Sulaiman")</f>
        <v>Bpk. Sulaiman</v>
      </c>
      <c r="F1114" s="211" t="str">
        <f>IFERROR(__xludf.DUMMYFUNCTION("""COMPUTED_VALUE"""),"8bdbe149")</f>
        <v>8bdbe149</v>
      </c>
      <c r="G1114" s="211" t="str">
        <f>IFERROR(__xludf.DUMMYFUNCTION("""COMPUTED_VALUE"""),"Oksigen 6m3")</f>
        <v>Oksigen 6m3</v>
      </c>
      <c r="H1114" s="214" t="str">
        <f>IFERROR(__xludf.DUMMYFUNCTION("""COMPUTED_VALUE"""),"IN")</f>
        <v>IN</v>
      </c>
      <c r="I1114" s="214" t="str">
        <f>IFERROR(__xludf.DUMMYFUNCTION("""COMPUTED_VALUE"""),"EMPTY")</f>
        <v>EMPTY</v>
      </c>
      <c r="J1114" s="211">
        <f>IFERROR(__xludf.DUMMYFUNCTION("""COMPUTED_VALUE"""),15.0)</f>
        <v>15</v>
      </c>
      <c r="K1114" s="210" t="str">
        <f>IFERROR(__xludf.DUMMYFUNCTION("""COMPUTED_VALUE"""),"1160 11265 1137 11263 11198 11197 11131 11118 1169 11264 11165 11177 11129 11207 11180")</f>
        <v>1160 11265 1137 11263 11198 11197 11131 11118 1169 11264 11165 11177 11129 11207 11180</v>
      </c>
      <c r="L1114" s="211">
        <f>IFERROR(__xludf.DUMMYFUNCTION("""COMPUTED_VALUE"""),0.0)</f>
        <v>0</v>
      </c>
      <c r="M1114" s="211"/>
      <c r="N1114" s="211"/>
      <c r="O1114" s="211"/>
      <c r="Q1114" s="210" t="str">
        <f>IFERROR(__xludf.DUMMYFUNCTION("""COMPUTED_VALUE"""),"1250499")</f>
        <v>1250499</v>
      </c>
      <c r="R1114" s="210" t="str">
        <f>IFERROR(__xludf.DUMMYFUNCTION("""COMPUTED_VALUE"""),"1250499")</f>
        <v>1250499</v>
      </c>
      <c r="S1114" s="211" t="str">
        <f>IFERROR(__xludf.DUMMYFUNCTION("""COMPUTED_VALUE"""),"e86baf3b")</f>
        <v>e86baf3b</v>
      </c>
      <c r="T1114" s="211" t="str">
        <f>IFERROR(__xludf.DUMMYFUNCTION("""COMPUTED_VALUE"""),"PT GEMILANG CIPTA WAWASAN")</f>
        <v>PT GEMILANG CIPTA WAWASAN</v>
      </c>
      <c r="U1114" s="215">
        <f>IFERROR(__xludf.DUMMYFUNCTION("""COMPUTED_VALUE"""),45880.45767361111)</f>
        <v>45880.45767</v>
      </c>
      <c r="V1114" s="211" t="str">
        <f>IFERROR(__xludf.DUMMYFUNCTION("""COMPUTED_VALUE"""),"JL TEBET RAYA, 2A, TEBET BARAT, TEBET, KOTA ADM, JAKARTA SELATAN, DKI JAKARTA")</f>
        <v>JL TEBET RAYA, 2A, TEBET BARAT, TEBET, KOTA ADM, JAKARTA SELATAN, DKI JAKARTA</v>
      </c>
      <c r="W1114" s="211" t="str">
        <f>IFERROR(__xludf.DUMMYFUNCTION("""COMPUTED_VALUE"""),"IN")</f>
        <v>IN</v>
      </c>
      <c r="X1114" s="211"/>
      <c r="Z1114" s="211" t="str">
        <f>IFERROR(__xludf.DUMMYFUNCTION("""COMPUTED_VALUE"""),"04250372")</f>
        <v>04250372</v>
      </c>
      <c r="AL1114" s="211"/>
      <c r="AM1114" s="211"/>
      <c r="AN1114" s="211"/>
      <c r="AO1114" s="211"/>
      <c r="AP1114" s="215"/>
      <c r="AQ1114" s="218"/>
      <c r="AR1114" s="211"/>
    </row>
    <row r="1115">
      <c r="A1115" s="210" t="str">
        <f>IFERROR(__xludf.DUMMYFUNCTION("""COMPUTED_VALUE"""),"efd28706")</f>
        <v>efd28706</v>
      </c>
      <c r="B1115" s="210" t="str">
        <f>IFERROR(__xludf.DUMMYFUNCTION("""COMPUTED_VALUE"""),"efd28706")</f>
        <v>efd28706</v>
      </c>
      <c r="C1115" s="213">
        <f>IFERROR(__xludf.DUMMYFUNCTION("""COMPUTED_VALUE"""),45804.48888888889)</f>
        <v>45804.48889</v>
      </c>
      <c r="D1115" s="211" t="str">
        <f>IFERROR(__xludf.DUMMYFUNCTION("""COMPUTED_VALUE"""),"ce83e171")</f>
        <v>ce83e171</v>
      </c>
      <c r="E1115" s="211" t="str">
        <f>IFERROR(__xludf.DUMMYFUNCTION("""COMPUTED_VALUE"""),"Bpk. Sulaiman")</f>
        <v>Bpk. Sulaiman</v>
      </c>
      <c r="F1115" s="211" t="str">
        <f>IFERROR(__xludf.DUMMYFUNCTION("""COMPUTED_VALUE"""),"be525f3b")</f>
        <v>be525f3b</v>
      </c>
      <c r="G1115" s="211" t="str">
        <f>IFERROR(__xludf.DUMMYFUNCTION("""COMPUTED_VALUE"""),"LPG 12kg")</f>
        <v>LPG 12kg</v>
      </c>
      <c r="H1115" s="214" t="str">
        <f>IFERROR(__xludf.DUMMYFUNCTION("""COMPUTED_VALUE"""),"IN")</f>
        <v>IN</v>
      </c>
      <c r="I1115" s="214" t="str">
        <f>IFERROR(__xludf.DUMMYFUNCTION("""COMPUTED_VALUE"""),"EMPTY")</f>
        <v>EMPTY</v>
      </c>
      <c r="J1115" s="211">
        <f>IFERROR(__xludf.DUMMYFUNCTION("""COMPUTED_VALUE"""),2.0)</f>
        <v>2</v>
      </c>
      <c r="K1115" s="211"/>
      <c r="L1115" s="211">
        <f>IFERROR(__xludf.DUMMYFUNCTION("""COMPUTED_VALUE"""),0.0)</f>
        <v>0</v>
      </c>
      <c r="M1115" s="211"/>
      <c r="N1115" s="211"/>
      <c r="O1115" s="211"/>
      <c r="Q1115" s="210" t="str">
        <f>IFERROR(__xludf.DUMMYFUNCTION("""COMPUTED_VALUE"""),"082511112")</f>
        <v>082511112</v>
      </c>
      <c r="R1115" s="210" t="str">
        <f>IFERROR(__xludf.DUMMYFUNCTION("""COMPUTED_VALUE"""),"082511112")</f>
        <v>082511112</v>
      </c>
      <c r="S1115" s="211" t="str">
        <f>IFERROR(__xludf.DUMMYFUNCTION("""COMPUTED_VALUE"""),"bdb5baf3")</f>
        <v>bdb5baf3</v>
      </c>
      <c r="T1115" s="211" t="str">
        <f>IFERROR(__xludf.DUMMYFUNCTION("""COMPUTED_VALUE"""),"Bpk. Abdul")</f>
        <v>Bpk. Abdul</v>
      </c>
      <c r="U1115" s="215">
        <f>IFERROR(__xludf.DUMMYFUNCTION("""COMPUTED_VALUE"""),45880.51509259259)</f>
        <v>45880.51509</v>
      </c>
      <c r="V1115" s="211" t="str">
        <f>IFERROR(__xludf.DUMMYFUNCTION("""COMPUTED_VALUE"""),"Bypass Krian")</f>
        <v>Bypass Krian</v>
      </c>
      <c r="W1115" s="211" t="str">
        <f>IFERROR(__xludf.DUMMYFUNCTION("""COMPUTED_VALUE"""),"OUT")</f>
        <v>OUT</v>
      </c>
      <c r="X1115" s="211"/>
      <c r="Z1115" s="211" t="str">
        <f>IFERROR(__xludf.DUMMYFUNCTION("""COMPUTED_VALUE"""),"04250370")</f>
        <v>04250370</v>
      </c>
      <c r="AL1115" s="211"/>
      <c r="AM1115" s="211"/>
      <c r="AN1115" s="211"/>
      <c r="AO1115" s="211"/>
      <c r="AP1115" s="215"/>
      <c r="AQ1115" s="218"/>
      <c r="AR1115" s="211"/>
    </row>
    <row r="1116">
      <c r="A1116" s="210" t="str">
        <f>IFERROR(__xludf.DUMMYFUNCTION("""COMPUTED_VALUE"""),"1a91e671")</f>
        <v>1a91e671</v>
      </c>
      <c r="B1116" s="210" t="str">
        <f>IFERROR(__xludf.DUMMYFUNCTION("""COMPUTED_VALUE"""),"1a91e671")</f>
        <v>1a91e671</v>
      </c>
      <c r="C1116" s="213">
        <f>IFERROR(__xludf.DUMMYFUNCTION("""COMPUTED_VALUE"""),45804.490277777775)</f>
        <v>45804.49028</v>
      </c>
      <c r="D1116" s="211" t="str">
        <f>IFERROR(__xludf.DUMMYFUNCTION("""COMPUTED_VALUE"""),"e86baf3b")</f>
        <v>e86baf3b</v>
      </c>
      <c r="E1116" s="211" t="str">
        <f>IFERROR(__xludf.DUMMYFUNCTION("""COMPUTED_VALUE"""),"PT GEMILANG CIPTA WAWASAN")</f>
        <v>PT GEMILANG CIPTA WAWASAN</v>
      </c>
      <c r="F1116" s="211" t="str">
        <f>IFERROR(__xludf.DUMMYFUNCTION("""COMPUTED_VALUE"""),"8bdbe149")</f>
        <v>8bdbe149</v>
      </c>
      <c r="G1116" s="211" t="str">
        <f>IFERROR(__xludf.DUMMYFUNCTION("""COMPUTED_VALUE"""),"Oksigen 6m3")</f>
        <v>Oksigen 6m3</v>
      </c>
      <c r="H1116" s="214" t="str">
        <f>IFERROR(__xludf.DUMMYFUNCTION("""COMPUTED_VALUE"""),"IN")</f>
        <v>IN</v>
      </c>
      <c r="I1116" s="214" t="str">
        <f>IFERROR(__xludf.DUMMYFUNCTION("""COMPUTED_VALUE"""),"EMPTY")</f>
        <v>EMPTY</v>
      </c>
      <c r="J1116" s="211">
        <f>IFERROR(__xludf.DUMMYFUNCTION("""COMPUTED_VALUE"""),14.0)</f>
        <v>14</v>
      </c>
      <c r="K1116" s="210" t="str">
        <f>IFERROR(__xludf.DUMMYFUNCTION("""COMPUTED_VALUE"""),"1154 11142 11174 11181 11159 11238 11157 1126 11258 1125 11132 11144 11163 1132")</f>
        <v>1154 11142 11174 11181 11159 11238 11157 1126 11258 1125 11132 11144 11163 1132</v>
      </c>
      <c r="L1116" s="211">
        <f>IFERROR(__xludf.DUMMYFUNCTION("""COMPUTED_VALUE"""),0.0)</f>
        <v>0</v>
      </c>
      <c r="M1116" s="211"/>
      <c r="N1116" s="211"/>
      <c r="O1116" s="211"/>
      <c r="Q1116" s="210" t="str">
        <f>IFERROR(__xludf.DUMMYFUNCTION("""COMPUTED_VALUE"""),"082571116")</f>
        <v>082571116</v>
      </c>
      <c r="R1116" s="210" t="str">
        <f>IFERROR(__xludf.DUMMYFUNCTION("""COMPUTED_VALUE"""),"082571116")</f>
        <v>082571116</v>
      </c>
      <c r="S1116" s="211" t="str">
        <f>IFERROR(__xludf.DUMMYFUNCTION("""COMPUTED_VALUE"""),"b218b89b")</f>
        <v>b218b89b</v>
      </c>
      <c r="T1116" s="211" t="str">
        <f>IFERROR(__xludf.DUMMYFUNCTION("""COMPUTED_VALUE"""),"PT Harapan Sentosa")</f>
        <v>PT Harapan Sentosa</v>
      </c>
      <c r="U1116" s="215">
        <f>IFERROR(__xludf.DUMMYFUNCTION("""COMPUTED_VALUE"""),45880.5531712963)</f>
        <v>45880.55317</v>
      </c>
      <c r="V1116" s="211" t="str">
        <f>IFERROR(__xludf.DUMMYFUNCTION("""COMPUTED_VALUE"""),"Seketi, Jl. Purboyo II Selatan, RT.02/RW.02, Seketi, Kec. BalongBendo, Kabupaten Sidoarjo, Jawa Timur 61263")</f>
        <v>Seketi, Jl. Purboyo II Selatan, RT.02/RW.02, Seketi, Kec. BalongBendo, Kabupaten Sidoarjo, Jawa Timur 61263</v>
      </c>
      <c r="W1116" s="211" t="str">
        <f>IFERROR(__xludf.DUMMYFUNCTION("""COMPUTED_VALUE"""),"OUT")</f>
        <v>OUT</v>
      </c>
      <c r="X1116" s="211"/>
      <c r="Z1116" s="211" t="str">
        <f>IFERROR(__xludf.DUMMYFUNCTION("""COMPUTED_VALUE"""),"04250368")</f>
        <v>04250368</v>
      </c>
      <c r="AL1116" s="211"/>
      <c r="AM1116" s="211"/>
      <c r="AN1116" s="211"/>
      <c r="AO1116" s="211"/>
      <c r="AP1116" s="215"/>
      <c r="AQ1116" s="218"/>
      <c r="AR1116" s="211"/>
    </row>
    <row r="1117">
      <c r="A1117" s="210" t="str">
        <f>IFERROR(__xludf.DUMMYFUNCTION("""COMPUTED_VALUE"""),"1a91e671")</f>
        <v>1a91e671</v>
      </c>
      <c r="B1117" s="210" t="str">
        <f>IFERROR(__xludf.DUMMYFUNCTION("""COMPUTED_VALUE"""),"1a91e671")</f>
        <v>1a91e671</v>
      </c>
      <c r="C1117" s="213">
        <f>IFERROR(__xludf.DUMMYFUNCTION("""COMPUTED_VALUE"""),45804.49097222222)</f>
        <v>45804.49097</v>
      </c>
      <c r="D1117" s="211" t="str">
        <f>IFERROR(__xludf.DUMMYFUNCTION("""COMPUTED_VALUE"""),"e86baf3b")</f>
        <v>e86baf3b</v>
      </c>
      <c r="E1117" s="211" t="str">
        <f>IFERROR(__xludf.DUMMYFUNCTION("""COMPUTED_VALUE"""),"PT GEMILANG CIPTA WAWASAN")</f>
        <v>PT GEMILANG CIPTA WAWASAN</v>
      </c>
      <c r="F1117" s="211" t="str">
        <f>IFERROR(__xludf.DUMMYFUNCTION("""COMPUTED_VALUE"""),"66af7c72")</f>
        <v>66af7c72</v>
      </c>
      <c r="G1117" s="211" t="str">
        <f>IFERROR(__xludf.DUMMYFUNCTION("""COMPUTED_VALUE"""),"Argon 6m3")</f>
        <v>Argon 6m3</v>
      </c>
      <c r="H1117" s="214" t="str">
        <f>IFERROR(__xludf.DUMMYFUNCTION("""COMPUTED_VALUE"""),"IN")</f>
        <v>IN</v>
      </c>
      <c r="I1117" s="214" t="str">
        <f>IFERROR(__xludf.DUMMYFUNCTION("""COMPUTED_VALUE"""),"EMPTY")</f>
        <v>EMPTY</v>
      </c>
      <c r="J1117" s="211">
        <f>IFERROR(__xludf.DUMMYFUNCTION("""COMPUTED_VALUE"""),9.0)</f>
        <v>9</v>
      </c>
      <c r="K1117" s="210" t="str">
        <f>IFERROR(__xludf.DUMMYFUNCTION("""COMPUTED_VALUE"""),"12014 12018 12015 12020 12013 12011 12027 12021 12016")</f>
        <v>12014 12018 12015 12020 12013 12011 12027 12021 12016</v>
      </c>
      <c r="L1117" s="211">
        <f>IFERROR(__xludf.DUMMYFUNCTION("""COMPUTED_VALUE"""),0.0)</f>
        <v>0</v>
      </c>
      <c r="M1117" s="211"/>
      <c r="N1117" s="211"/>
      <c r="O1117" s="211"/>
      <c r="Q1117" s="210" t="str">
        <f>IFERROR(__xludf.DUMMYFUNCTION("""COMPUTED_VALUE"""),"1250509")</f>
        <v>1250509</v>
      </c>
      <c r="R1117" s="210" t="str">
        <f>IFERROR(__xludf.DUMMYFUNCTION("""COMPUTED_VALUE"""),"1250509")</f>
        <v>1250509</v>
      </c>
      <c r="S1117" s="211" t="str">
        <f>IFERROR(__xludf.DUMMYFUNCTION("""COMPUTED_VALUE"""),"d78b2eaf")</f>
        <v>d78b2eaf</v>
      </c>
      <c r="T1117" s="211" t="str">
        <f>IFERROR(__xludf.DUMMYFUNCTION("""COMPUTED_VALUE"""),"PT Sinar Indogreen Kencana")</f>
        <v>PT Sinar Indogreen Kencana</v>
      </c>
      <c r="U1117" s="215">
        <f>IFERROR(__xludf.DUMMYFUNCTION("""COMPUTED_VALUE"""),45880.6275)</f>
        <v>45880.6275</v>
      </c>
      <c r="V1117" s="211" t="str">
        <f>IFERROR(__xludf.DUMMYFUNCTION("""COMPUTED_VALUE"""),"Jl. Raya Ponokawan 8b RT/001 RW/002, Ponokawan, Krian, Sidoarjo")</f>
        <v>Jl. Raya Ponokawan 8b RT/001 RW/002, Ponokawan, Krian, Sidoarjo</v>
      </c>
      <c r="W1117" s="211" t="str">
        <f>IFERROR(__xludf.DUMMYFUNCTION("""COMPUTED_VALUE"""),"IN")</f>
        <v>IN</v>
      </c>
      <c r="X1117" s="211"/>
      <c r="Z1117" s="211" t="str">
        <f>IFERROR(__xludf.DUMMYFUNCTION("""COMPUTED_VALUE"""),"04250366")</f>
        <v>04250366</v>
      </c>
      <c r="AL1117" s="211"/>
      <c r="AM1117" s="211"/>
      <c r="AN1117" s="211"/>
      <c r="AO1117" s="211"/>
      <c r="AP1117" s="215"/>
      <c r="AQ1117" s="218"/>
      <c r="AR1117" s="211"/>
    </row>
    <row r="1118">
      <c r="A1118" s="210" t="str">
        <f>IFERROR(__xludf.DUMMYFUNCTION("""COMPUTED_VALUE"""),"1a91e671")</f>
        <v>1a91e671</v>
      </c>
      <c r="B1118" s="210" t="str">
        <f>IFERROR(__xludf.DUMMYFUNCTION("""COMPUTED_VALUE"""),"1a91e671")</f>
        <v>1a91e671</v>
      </c>
      <c r="C1118" s="213">
        <f>IFERROR(__xludf.DUMMYFUNCTION("""COMPUTED_VALUE"""),45804.49166666667)</f>
        <v>45804.49167</v>
      </c>
      <c r="D1118" s="211" t="str">
        <f>IFERROR(__xludf.DUMMYFUNCTION("""COMPUTED_VALUE"""),"e86baf3b")</f>
        <v>e86baf3b</v>
      </c>
      <c r="E1118" s="211" t="str">
        <f>IFERROR(__xludf.DUMMYFUNCTION("""COMPUTED_VALUE"""),"PT GEMILANG CIPTA WAWASAN")</f>
        <v>PT GEMILANG CIPTA WAWASAN</v>
      </c>
      <c r="F1118" s="211" t="str">
        <f>IFERROR(__xludf.DUMMYFUNCTION("""COMPUTED_VALUE"""),"be525f3b")</f>
        <v>be525f3b</v>
      </c>
      <c r="G1118" s="211" t="str">
        <f>IFERROR(__xludf.DUMMYFUNCTION("""COMPUTED_VALUE"""),"LPG 12kg")</f>
        <v>LPG 12kg</v>
      </c>
      <c r="H1118" s="214" t="str">
        <f>IFERROR(__xludf.DUMMYFUNCTION("""COMPUTED_VALUE"""),"IN")</f>
        <v>IN</v>
      </c>
      <c r="I1118" s="214" t="str">
        <f>IFERROR(__xludf.DUMMYFUNCTION("""COMPUTED_VALUE"""),"EMPTY")</f>
        <v>EMPTY</v>
      </c>
      <c r="J1118" s="211">
        <f>IFERROR(__xludf.DUMMYFUNCTION("""COMPUTED_VALUE"""),5.0)</f>
        <v>5</v>
      </c>
      <c r="K1118" s="211"/>
      <c r="L1118" s="211">
        <f>IFERROR(__xludf.DUMMYFUNCTION("""COMPUTED_VALUE"""),0.0)</f>
        <v>0</v>
      </c>
      <c r="M1118" s="211"/>
      <c r="N1118" s="211"/>
      <c r="O1118" s="211"/>
      <c r="Q1118" s="210" t="str">
        <f>IFERROR(__xludf.DUMMYFUNCTION("""COMPUTED_VALUE"""),"1250510")</f>
        <v>1250510</v>
      </c>
      <c r="R1118" s="210" t="str">
        <f>IFERROR(__xludf.DUMMYFUNCTION("""COMPUTED_VALUE"""),"1250510")</f>
        <v>1250510</v>
      </c>
      <c r="S1118" s="211" t="str">
        <f>IFERROR(__xludf.DUMMYFUNCTION("""COMPUTED_VALUE"""),"b218b89b")</f>
        <v>b218b89b</v>
      </c>
      <c r="T1118" s="211" t="str">
        <f>IFERROR(__xludf.DUMMYFUNCTION("""COMPUTED_VALUE"""),"PT Harapan Sentosa")</f>
        <v>PT Harapan Sentosa</v>
      </c>
      <c r="U1118" s="215">
        <f>IFERROR(__xludf.DUMMYFUNCTION("""COMPUTED_VALUE"""),45880.68482638889)</f>
        <v>45880.68483</v>
      </c>
      <c r="V1118" s="211" t="str">
        <f>IFERROR(__xludf.DUMMYFUNCTION("""COMPUTED_VALUE"""),"Seketi, Jl. Purboyo II Selatan, RT.02/RW.02, Seketi, Kec. BalongBendo, Kabupaten Sidoarjo, Jawa Timur 61263")</f>
        <v>Seketi, Jl. Purboyo II Selatan, RT.02/RW.02, Seketi, Kec. BalongBendo, Kabupaten Sidoarjo, Jawa Timur 61263</v>
      </c>
      <c r="W1118" s="211" t="str">
        <f>IFERROR(__xludf.DUMMYFUNCTION("""COMPUTED_VALUE"""),"IN")</f>
        <v>IN</v>
      </c>
      <c r="X1118" s="211"/>
      <c r="Z1118" s="211" t="str">
        <f>IFERROR(__xludf.DUMMYFUNCTION("""COMPUTED_VALUE"""),"04250363")</f>
        <v>04250363</v>
      </c>
      <c r="AL1118" s="211"/>
      <c r="AM1118" s="211"/>
      <c r="AN1118" s="211"/>
      <c r="AO1118" s="211"/>
      <c r="AP1118" s="215"/>
      <c r="AQ1118" s="218"/>
      <c r="AR1118" s="211"/>
    </row>
    <row r="1119">
      <c r="A1119" s="210" t="str">
        <f>IFERROR(__xludf.DUMMYFUNCTION("""COMPUTED_VALUE"""),"05250465")</f>
        <v>05250465</v>
      </c>
      <c r="B1119" s="210" t="str">
        <f>IFERROR(__xludf.DUMMYFUNCTION("""COMPUTED_VALUE"""),"05250465")</f>
        <v>05250465</v>
      </c>
      <c r="C1119" s="213">
        <f>IFERROR(__xludf.DUMMYFUNCTION("""COMPUTED_VALUE"""),45804.50208333333)</f>
        <v>45804.50208</v>
      </c>
      <c r="D1119" s="211" t="str">
        <f>IFERROR(__xludf.DUMMYFUNCTION("""COMPUTED_VALUE"""),"d78b2eaf")</f>
        <v>d78b2eaf</v>
      </c>
      <c r="E1119" s="211" t="str">
        <f>IFERROR(__xludf.DUMMYFUNCTION("""COMPUTED_VALUE"""),"PT Sinar Indogreen Kencana")</f>
        <v>PT Sinar Indogreen Kencana</v>
      </c>
      <c r="F1119" s="211" t="str">
        <f>IFERROR(__xludf.DUMMYFUNCTION("""COMPUTED_VALUE"""),"be525f3b")</f>
        <v>be525f3b</v>
      </c>
      <c r="G1119" s="211" t="str">
        <f>IFERROR(__xludf.DUMMYFUNCTION("""COMPUTED_VALUE"""),"LPG 12kg")</f>
        <v>LPG 12kg</v>
      </c>
      <c r="H1119" s="214" t="str">
        <f>IFERROR(__xludf.DUMMYFUNCTION("""COMPUTED_VALUE"""),"OUT")</f>
        <v>OUT</v>
      </c>
      <c r="I1119" s="214" t="str">
        <f>IFERROR(__xludf.DUMMYFUNCTION("""COMPUTED_VALUE"""),"NORMAL")</f>
        <v>NORMAL</v>
      </c>
      <c r="J1119" s="211">
        <f>IFERROR(__xludf.DUMMYFUNCTION("""COMPUTED_VALUE"""),1.0)</f>
        <v>1</v>
      </c>
      <c r="K1119" s="211"/>
      <c r="L1119" s="211">
        <f>IFERROR(__xludf.DUMMYFUNCTION("""COMPUTED_VALUE"""),189189.19)</f>
        <v>189189.19</v>
      </c>
      <c r="M1119" s="211"/>
      <c r="N1119" s="211"/>
      <c r="O1119" s="211"/>
      <c r="Q1119" s="210" t="str">
        <f>IFERROR(__xludf.DUMMYFUNCTION("""COMPUTED_VALUE"""),"0825341111")</f>
        <v>0825341111</v>
      </c>
      <c r="R1119" s="210" t="str">
        <f>IFERROR(__xludf.DUMMYFUNCTION("""COMPUTED_VALUE"""),"0825341111")</f>
        <v>0825341111</v>
      </c>
      <c r="S1119" s="211" t="str">
        <f>IFERROR(__xludf.DUMMYFUNCTION("""COMPUTED_VALUE"""),"785e0e07")</f>
        <v>785e0e07</v>
      </c>
      <c r="T1119" s="211" t="str">
        <f>IFERROR(__xludf.DUMMYFUNCTION("""COMPUTED_VALUE"""),"Bpk. Sukirno (Bejo)")</f>
        <v>Bpk. Sukirno (Bejo)</v>
      </c>
      <c r="U1119" s="215">
        <f>IFERROR(__xludf.DUMMYFUNCTION("""COMPUTED_VALUE"""),45881.339467592596)</f>
        <v>45881.33947</v>
      </c>
      <c r="V1119" s="211" t="str">
        <f>IFERROR(__xludf.DUMMYFUNCTION("""COMPUTED_VALUE"""),"Krajan I, Wringinanom, Kec. Wringinanom, Kabupaten Gresik, Jawa Timur 61176")</f>
        <v>Krajan I, Wringinanom, Kec. Wringinanom, Kabupaten Gresik, Jawa Timur 61176</v>
      </c>
      <c r="W1119" s="211" t="str">
        <f>IFERROR(__xludf.DUMMYFUNCTION("""COMPUTED_VALUE"""),"OUT")</f>
        <v>OUT</v>
      </c>
      <c r="X1119" s="211"/>
      <c r="Z1119" s="211" t="str">
        <f>IFERROR(__xludf.DUMMYFUNCTION("""COMPUTED_VALUE"""),"04250362")</f>
        <v>04250362</v>
      </c>
      <c r="AL1119" s="211"/>
      <c r="AM1119" s="211"/>
      <c r="AN1119" s="211"/>
      <c r="AO1119" s="211"/>
      <c r="AP1119" s="215"/>
      <c r="AQ1119" s="218"/>
      <c r="AR1119" s="211"/>
    </row>
    <row r="1120">
      <c r="A1120" s="210" t="str">
        <f>IFERROR(__xludf.DUMMYFUNCTION("""COMPUTED_VALUE"""),"05250463")</f>
        <v>05250463</v>
      </c>
      <c r="B1120" s="210" t="str">
        <f>IFERROR(__xludf.DUMMYFUNCTION("""COMPUTED_VALUE"""),"05250463")</f>
        <v>05250463</v>
      </c>
      <c r="C1120" s="213">
        <f>IFERROR(__xludf.DUMMYFUNCTION("""COMPUTED_VALUE"""),45804.316666666666)</f>
        <v>45804.31667</v>
      </c>
      <c r="D1120" s="211" t="str">
        <f>IFERROR(__xludf.DUMMYFUNCTION("""COMPUTED_VALUE"""),"ce83e171")</f>
        <v>ce83e171</v>
      </c>
      <c r="E1120" s="211" t="str">
        <f>IFERROR(__xludf.DUMMYFUNCTION("""COMPUTED_VALUE"""),"Bpk. Sulaiman")</f>
        <v>Bpk. Sulaiman</v>
      </c>
      <c r="F1120" s="211" t="str">
        <f>IFERROR(__xludf.DUMMYFUNCTION("""COMPUTED_VALUE"""),"8bdbe149")</f>
        <v>8bdbe149</v>
      </c>
      <c r="G1120" s="211" t="str">
        <f>IFERROR(__xludf.DUMMYFUNCTION("""COMPUTED_VALUE"""),"Oksigen 6m3")</f>
        <v>Oksigen 6m3</v>
      </c>
      <c r="H1120" s="214" t="str">
        <f>IFERROR(__xludf.DUMMYFUNCTION("""COMPUTED_VALUE"""),"OUT")</f>
        <v>OUT</v>
      </c>
      <c r="I1120" s="214" t="str">
        <f>IFERROR(__xludf.DUMMYFUNCTION("""COMPUTED_VALUE"""),"NORMAL")</f>
        <v>NORMAL</v>
      </c>
      <c r="J1120" s="211">
        <f>IFERROR(__xludf.DUMMYFUNCTION("""COMPUTED_VALUE"""),20.0)</f>
        <v>20</v>
      </c>
      <c r="K1120" s="210" t="str">
        <f>IFERROR(__xludf.DUMMYFUNCTION("""COMPUTED_VALUE"""),"11123 11135 11167 11146 1121 11142 11117 11164 11151 11137 11105 11241 1190 1140 1191 11194 11188 11287 1181 11205")</f>
        <v>11123 11135 11167 11146 1121 11142 11117 11164 11151 11137 11105 11241 1190 1140 1191 11194 11188 11287 1181 11205</v>
      </c>
      <c r="L1120" s="211">
        <f>IFERROR(__xludf.DUMMYFUNCTION("""COMPUTED_VALUE"""),55000.0)</f>
        <v>55000</v>
      </c>
      <c r="M1120" s="211"/>
      <c r="N1120" s="211"/>
      <c r="O1120" s="211"/>
      <c r="Q1120" s="210" t="str">
        <f>IFERROR(__xludf.DUMMYFUNCTION("""COMPUTED_VALUE"""),"1250511")</f>
        <v>1250511</v>
      </c>
      <c r="R1120" s="210" t="str">
        <f>IFERROR(__xludf.DUMMYFUNCTION("""COMPUTED_VALUE"""),"1250511")</f>
        <v>1250511</v>
      </c>
      <c r="S1120" s="211" t="str">
        <f>IFERROR(__xludf.DUMMYFUNCTION("""COMPUTED_VALUE"""),"785e0e07")</f>
        <v>785e0e07</v>
      </c>
      <c r="T1120" s="211" t="str">
        <f>IFERROR(__xludf.DUMMYFUNCTION("""COMPUTED_VALUE"""),"Bpk. Sukirno (Bejo)")</f>
        <v>Bpk. Sukirno (Bejo)</v>
      </c>
      <c r="U1120" s="215">
        <f>IFERROR(__xludf.DUMMYFUNCTION("""COMPUTED_VALUE"""),45881.42590277778)</f>
        <v>45881.4259</v>
      </c>
      <c r="V1120" s="211" t="str">
        <f>IFERROR(__xludf.DUMMYFUNCTION("""COMPUTED_VALUE"""),"Krajan I, Wringinanom, Kec. Wringinanom, Kabupaten Gresik, Jawa Timur 61176")</f>
        <v>Krajan I, Wringinanom, Kec. Wringinanom, Kabupaten Gresik, Jawa Timur 61176</v>
      </c>
      <c r="W1120" s="211" t="str">
        <f>IFERROR(__xludf.DUMMYFUNCTION("""COMPUTED_VALUE"""),"IN")</f>
        <v>IN</v>
      </c>
      <c r="X1120" s="211"/>
      <c r="Z1120" s="211" t="str">
        <f>IFERROR(__xludf.DUMMYFUNCTION("""COMPUTED_VALUE"""),"04250361")</f>
        <v>04250361</v>
      </c>
      <c r="AL1120" s="211"/>
      <c r="AM1120" s="211"/>
      <c r="AN1120" s="211"/>
      <c r="AO1120" s="211"/>
      <c r="AP1120" s="215"/>
      <c r="AQ1120" s="218"/>
      <c r="AR1120" s="211"/>
    </row>
    <row r="1121">
      <c r="A1121" s="210" t="str">
        <f>IFERROR(__xludf.DUMMYFUNCTION("""COMPUTED_VALUE"""),"05250463")</f>
        <v>05250463</v>
      </c>
      <c r="B1121" s="210" t="str">
        <f>IFERROR(__xludf.DUMMYFUNCTION("""COMPUTED_VALUE"""),"05250463")</f>
        <v>05250463</v>
      </c>
      <c r="C1121" s="213">
        <f>IFERROR(__xludf.DUMMYFUNCTION("""COMPUTED_VALUE"""),45804.316666666666)</f>
        <v>45804.31667</v>
      </c>
      <c r="D1121" s="211" t="str">
        <f>IFERROR(__xludf.DUMMYFUNCTION("""COMPUTED_VALUE"""),"ce83e171")</f>
        <v>ce83e171</v>
      </c>
      <c r="E1121" s="211" t="str">
        <f>IFERROR(__xludf.DUMMYFUNCTION("""COMPUTED_VALUE"""),"Bpk. Sulaiman")</f>
        <v>Bpk. Sulaiman</v>
      </c>
      <c r="F1121" s="211" t="str">
        <f>IFERROR(__xludf.DUMMYFUNCTION("""COMPUTED_VALUE"""),"be525f3b")</f>
        <v>be525f3b</v>
      </c>
      <c r="G1121" s="211" t="str">
        <f>IFERROR(__xludf.DUMMYFUNCTION("""COMPUTED_VALUE"""),"LPG 12kg")</f>
        <v>LPG 12kg</v>
      </c>
      <c r="H1121" s="214" t="str">
        <f>IFERROR(__xludf.DUMMYFUNCTION("""COMPUTED_VALUE"""),"OUT")</f>
        <v>OUT</v>
      </c>
      <c r="I1121" s="214" t="str">
        <f>IFERROR(__xludf.DUMMYFUNCTION("""COMPUTED_VALUE"""),"NORMAL")</f>
        <v>NORMAL</v>
      </c>
      <c r="J1121" s="211">
        <f>IFERROR(__xludf.DUMMYFUNCTION("""COMPUTED_VALUE"""),1.0)</f>
        <v>1</v>
      </c>
      <c r="K1121" s="211"/>
      <c r="L1121" s="211">
        <f>IFERROR(__xludf.DUMMYFUNCTION("""COMPUTED_VALUE"""),210000.0)</f>
        <v>210000</v>
      </c>
      <c r="M1121" s="211"/>
      <c r="N1121" s="211"/>
      <c r="O1121" s="211" t="b">
        <f>IFERROR(__xludf.DUMMYFUNCTION("""COMPUTED_VALUE"""),FALSE)</f>
        <v>0</v>
      </c>
      <c r="Q1121" s="210" t="str">
        <f>IFERROR(__xludf.DUMMYFUNCTION("""COMPUTED_VALUE"""),"082541120")</f>
        <v>082541120</v>
      </c>
      <c r="R1121" s="210" t="str">
        <f>IFERROR(__xludf.DUMMYFUNCTION("""COMPUTED_VALUE"""),"082541120")</f>
        <v>082541120</v>
      </c>
      <c r="S1121" s="211" t="str">
        <f>IFERROR(__xludf.DUMMYFUNCTION("""COMPUTED_VALUE"""),"196b24da")</f>
        <v>196b24da</v>
      </c>
      <c r="T1121" s="211" t="str">
        <f>IFERROR(__xludf.DUMMYFUNCTION("""COMPUTED_VALUE"""),"PT Samudra Cipta Enjineering")</f>
        <v>PT Samudra Cipta Enjineering</v>
      </c>
      <c r="U1121" s="215">
        <f>IFERROR(__xludf.DUMMYFUNCTION("""COMPUTED_VALUE"""),45882.3537037037)</f>
        <v>45882.3537</v>
      </c>
      <c r="V1121" s="211" t="str">
        <f>IFERROR(__xludf.DUMMYFUNCTION("""COMPUTED_VALUE"""),"Pergudangan Center Point Blok C4   Ds. Kemangsen  Balongbendo")</f>
        <v>Pergudangan Center Point Blok C4   Ds. Kemangsen  Balongbendo</v>
      </c>
      <c r="W1121" s="211" t="str">
        <f>IFERROR(__xludf.DUMMYFUNCTION("""COMPUTED_VALUE"""),"OUT")</f>
        <v>OUT</v>
      </c>
      <c r="X1121" s="211"/>
      <c r="Z1121" s="211" t="str">
        <f>IFERROR(__xludf.DUMMYFUNCTION("""COMPUTED_VALUE"""),"04250360")</f>
        <v>04250360</v>
      </c>
      <c r="AL1121" s="211"/>
      <c r="AM1121" s="211"/>
      <c r="AN1121" s="211"/>
      <c r="AO1121" s="211"/>
      <c r="AP1121" s="215"/>
      <c r="AQ1121" s="218"/>
      <c r="AR1121" s="211"/>
    </row>
    <row r="1122">
      <c r="A1122" s="210" t="str">
        <f>IFERROR(__xludf.DUMMYFUNCTION("""COMPUTED_VALUE"""),"efd28706")</f>
        <v>efd28706</v>
      </c>
      <c r="B1122" s="210" t="str">
        <f>IFERROR(__xludf.DUMMYFUNCTION("""COMPUTED_VALUE"""),"efd28706")</f>
        <v>efd28706</v>
      </c>
      <c r="C1122" s="213">
        <f>IFERROR(__xludf.DUMMYFUNCTION("""COMPUTED_VALUE"""),45804.645833333336)</f>
        <v>45804.64583</v>
      </c>
      <c r="D1122" s="211" t="str">
        <f>IFERROR(__xludf.DUMMYFUNCTION("""COMPUTED_VALUE"""),"ce83e171")</f>
        <v>ce83e171</v>
      </c>
      <c r="E1122" s="211" t="str">
        <f>IFERROR(__xludf.DUMMYFUNCTION("""COMPUTED_VALUE"""),"Bpk. Sulaiman")</f>
        <v>Bpk. Sulaiman</v>
      </c>
      <c r="F1122" s="211" t="str">
        <f>IFERROR(__xludf.DUMMYFUNCTION("""COMPUTED_VALUE"""),"8bdbe149")</f>
        <v>8bdbe149</v>
      </c>
      <c r="G1122" s="211" t="str">
        <f>IFERROR(__xludf.DUMMYFUNCTION("""COMPUTED_VALUE"""),"Oksigen 6m3")</f>
        <v>Oksigen 6m3</v>
      </c>
      <c r="H1122" s="214" t="str">
        <f>IFERROR(__xludf.DUMMYFUNCTION("""COMPUTED_VALUE"""),"IN")</f>
        <v>IN</v>
      </c>
      <c r="I1122" s="214" t="str">
        <f>IFERROR(__xludf.DUMMYFUNCTION("""COMPUTED_VALUE"""),"EMPTY")</f>
        <v>EMPTY</v>
      </c>
      <c r="J1122" s="211">
        <f>IFERROR(__xludf.DUMMYFUNCTION("""COMPUTED_VALUE"""),16.0)</f>
        <v>16</v>
      </c>
      <c r="K1122" s="210" t="str">
        <f>IFERROR(__xludf.DUMMYFUNCTION("""COMPUTED_VALUE"""),"11193 11199 11145 11176 11130 1152 11110 11108 11262 11211 11284 11283 11276 11106 11127 11220")</f>
        <v>11193 11199 11145 11176 11130 1152 11110 11108 11262 11211 11284 11283 11276 11106 11127 11220</v>
      </c>
      <c r="L1122" s="211">
        <f>IFERROR(__xludf.DUMMYFUNCTION("""COMPUTED_VALUE"""),0.0)</f>
        <v>0</v>
      </c>
      <c r="M1122" s="211"/>
      <c r="N1122" s="211"/>
      <c r="O1122" s="211"/>
      <c r="Q1122" s="210" t="str">
        <f>IFERROR(__xludf.DUMMYFUNCTION("""COMPUTED_VALUE"""),"0825381122")</f>
        <v>0825381122</v>
      </c>
      <c r="R1122" s="210" t="str">
        <f>IFERROR(__xludf.DUMMYFUNCTION("""COMPUTED_VALUE"""),"0825381122")</f>
        <v>0825381122</v>
      </c>
      <c r="S1122" s="211" t="str">
        <f>IFERROR(__xludf.DUMMYFUNCTION("""COMPUTED_VALUE"""),"e86baf3b")</f>
        <v>e86baf3b</v>
      </c>
      <c r="T1122" s="211" t="str">
        <f>IFERROR(__xludf.DUMMYFUNCTION("""COMPUTED_VALUE"""),"PT GEMILANG CIPTA WAWASAN")</f>
        <v>PT GEMILANG CIPTA WAWASAN</v>
      </c>
      <c r="U1122" s="215">
        <f>IFERROR(__xludf.DUMMYFUNCTION("""COMPUTED_VALUE"""),45882.35675925926)</f>
        <v>45882.35676</v>
      </c>
      <c r="V1122" s="211" t="str">
        <f>IFERROR(__xludf.DUMMYFUNCTION("""COMPUTED_VALUE"""),"JL TEBET RAYA, 2A, TEBET BARAT, TEBET, KOTA ADM, JAKARTA SELATAN, DKI JAKARTA")</f>
        <v>JL TEBET RAYA, 2A, TEBET BARAT, TEBET, KOTA ADM, JAKARTA SELATAN, DKI JAKARTA</v>
      </c>
      <c r="W1122" s="211" t="str">
        <f>IFERROR(__xludf.DUMMYFUNCTION("""COMPUTED_VALUE"""),"OUT")</f>
        <v>OUT</v>
      </c>
      <c r="X1122" s="211"/>
      <c r="Z1122" s="211" t="str">
        <f>IFERROR(__xludf.DUMMYFUNCTION("""COMPUTED_VALUE"""),"04250359")</f>
        <v>04250359</v>
      </c>
      <c r="AL1122" s="211"/>
      <c r="AM1122" s="211"/>
      <c r="AN1122" s="211"/>
      <c r="AO1122" s="211"/>
      <c r="AP1122" s="215"/>
      <c r="AQ1122" s="218"/>
      <c r="AR1122" s="211"/>
    </row>
    <row r="1123">
      <c r="A1123" s="210" t="str">
        <f>IFERROR(__xludf.DUMMYFUNCTION("""COMPUTED_VALUE"""),"efd28706")</f>
        <v>efd28706</v>
      </c>
      <c r="B1123" s="210" t="str">
        <f>IFERROR(__xludf.DUMMYFUNCTION("""COMPUTED_VALUE"""),"efd28706")</f>
        <v>efd28706</v>
      </c>
      <c r="C1123" s="213">
        <f>IFERROR(__xludf.DUMMYFUNCTION("""COMPUTED_VALUE"""),45804.646527777775)</f>
        <v>45804.64653</v>
      </c>
      <c r="D1123" s="211" t="str">
        <f>IFERROR(__xludf.DUMMYFUNCTION("""COMPUTED_VALUE"""),"ce83e171")</f>
        <v>ce83e171</v>
      </c>
      <c r="E1123" s="211" t="str">
        <f>IFERROR(__xludf.DUMMYFUNCTION("""COMPUTED_VALUE"""),"Bpk. Sulaiman")</f>
        <v>Bpk. Sulaiman</v>
      </c>
      <c r="F1123" s="211" t="str">
        <f>IFERROR(__xludf.DUMMYFUNCTION("""COMPUTED_VALUE"""),"be525f3b")</f>
        <v>be525f3b</v>
      </c>
      <c r="G1123" s="211" t="str">
        <f>IFERROR(__xludf.DUMMYFUNCTION("""COMPUTED_VALUE"""),"LPG 12kg")</f>
        <v>LPG 12kg</v>
      </c>
      <c r="H1123" s="214" t="str">
        <f>IFERROR(__xludf.DUMMYFUNCTION("""COMPUTED_VALUE"""),"IN")</f>
        <v>IN</v>
      </c>
      <c r="I1123" s="214" t="str">
        <f>IFERROR(__xludf.DUMMYFUNCTION("""COMPUTED_VALUE"""),"EMPTY")</f>
        <v>EMPTY</v>
      </c>
      <c r="J1123" s="211">
        <f>IFERROR(__xludf.DUMMYFUNCTION("""COMPUTED_VALUE"""),1.0)</f>
        <v>1</v>
      </c>
      <c r="K1123" s="211"/>
      <c r="L1123" s="211">
        <f>IFERROR(__xludf.DUMMYFUNCTION("""COMPUTED_VALUE"""),0.0)</f>
        <v>0</v>
      </c>
      <c r="M1123" s="211"/>
      <c r="N1123" s="211"/>
      <c r="O1123" s="211"/>
      <c r="Q1123" s="210" t="str">
        <f>IFERROR(__xludf.DUMMYFUNCTION("""COMPUTED_VALUE"""),"1250512")</f>
        <v>1250512</v>
      </c>
      <c r="R1123" s="210" t="str">
        <f>IFERROR(__xludf.DUMMYFUNCTION("""COMPUTED_VALUE"""),"1250512")</f>
        <v>1250512</v>
      </c>
      <c r="S1123" s="211" t="str">
        <f>IFERROR(__xludf.DUMMYFUNCTION("""COMPUTED_VALUE"""),"196b24da")</f>
        <v>196b24da</v>
      </c>
      <c r="T1123" s="211" t="str">
        <f>IFERROR(__xludf.DUMMYFUNCTION("""COMPUTED_VALUE"""),"PT Samudra Cipta Enjineering")</f>
        <v>PT Samudra Cipta Enjineering</v>
      </c>
      <c r="U1123" s="215">
        <f>IFERROR(__xludf.DUMMYFUNCTION("""COMPUTED_VALUE"""),45882.37621527778)</f>
        <v>45882.37622</v>
      </c>
      <c r="V1123" s="211" t="str">
        <f>IFERROR(__xludf.DUMMYFUNCTION("""COMPUTED_VALUE"""),"Pergudangan Center Point Blok C4   Ds. Kemangsen  Balongbendo")</f>
        <v>Pergudangan Center Point Blok C4   Ds. Kemangsen  Balongbendo</v>
      </c>
      <c r="W1123" s="211" t="str">
        <f>IFERROR(__xludf.DUMMYFUNCTION("""COMPUTED_VALUE"""),"IN")</f>
        <v>IN</v>
      </c>
      <c r="X1123" s="211"/>
      <c r="Z1123" s="211" t="str">
        <f>IFERROR(__xludf.DUMMYFUNCTION("""COMPUTED_VALUE"""),"04250357")</f>
        <v>04250357</v>
      </c>
      <c r="AL1123" s="211"/>
      <c r="AM1123" s="211"/>
      <c r="AN1123" s="211"/>
      <c r="AO1123" s="211"/>
      <c r="AP1123" s="215"/>
      <c r="AQ1123" s="218"/>
      <c r="AR1123" s="211"/>
    </row>
    <row r="1124">
      <c r="A1124" s="210" t="str">
        <f>IFERROR(__xludf.DUMMYFUNCTION("""COMPUTED_VALUE"""),"05250468")</f>
        <v>05250468</v>
      </c>
      <c r="B1124" s="210" t="str">
        <f>IFERROR(__xludf.DUMMYFUNCTION("""COMPUTED_VALUE"""),"05250468")</f>
        <v>05250468</v>
      </c>
      <c r="C1124" s="213">
        <f>IFERROR(__xludf.DUMMYFUNCTION("""COMPUTED_VALUE"""),45805.35208333333)</f>
        <v>45805.35208</v>
      </c>
      <c r="D1124" s="211" t="str">
        <f>IFERROR(__xludf.DUMMYFUNCTION("""COMPUTED_VALUE"""),"7b9d8eba")</f>
        <v>7b9d8eba</v>
      </c>
      <c r="E1124" s="211" t="str">
        <f>IFERROR(__xludf.DUMMYFUNCTION("""COMPUTED_VALUE"""),"PT PELANGI INDOKARYA")</f>
        <v>PT PELANGI INDOKARYA</v>
      </c>
      <c r="F1124" s="211" t="str">
        <f>IFERROR(__xludf.DUMMYFUNCTION("""COMPUTED_VALUE"""),"8bdbe149")</f>
        <v>8bdbe149</v>
      </c>
      <c r="G1124" s="211" t="str">
        <f>IFERROR(__xludf.DUMMYFUNCTION("""COMPUTED_VALUE"""),"Oksigen 6m3")</f>
        <v>Oksigen 6m3</v>
      </c>
      <c r="H1124" s="214" t="str">
        <f>IFERROR(__xludf.DUMMYFUNCTION("""COMPUTED_VALUE"""),"OUT")</f>
        <v>OUT</v>
      </c>
      <c r="I1124" s="214" t="str">
        <f>IFERROR(__xludf.DUMMYFUNCTION("""COMPUTED_VALUE"""),"NORMAL")</f>
        <v>NORMAL</v>
      </c>
      <c r="J1124" s="211">
        <f>IFERROR(__xludf.DUMMYFUNCTION("""COMPUTED_VALUE"""),5.0)</f>
        <v>5</v>
      </c>
      <c r="K1124" s="210" t="str">
        <f>IFERROR(__xludf.DUMMYFUNCTION("""COMPUTED_VALUE"""),"11260 11187 1166 1129 11273")</f>
        <v>11260 11187 1166 1129 11273</v>
      </c>
      <c r="L1124" s="211">
        <f>IFERROR(__xludf.DUMMYFUNCTION("""COMPUTED_VALUE"""),60000.0)</f>
        <v>60000</v>
      </c>
      <c r="M1124" s="211"/>
      <c r="N1124" s="211"/>
      <c r="O1124" s="211"/>
      <c r="Q1124" s="210" t="str">
        <f>IFERROR(__xludf.DUMMYFUNCTION("""COMPUTED_VALUE"""),"1250513")</f>
        <v>1250513</v>
      </c>
      <c r="R1124" s="210" t="str">
        <f>IFERROR(__xludf.DUMMYFUNCTION("""COMPUTED_VALUE"""),"1250513")</f>
        <v>1250513</v>
      </c>
      <c r="S1124" s="211" t="str">
        <f>IFERROR(__xludf.DUMMYFUNCTION("""COMPUTED_VALUE"""),"e86baf3b")</f>
        <v>e86baf3b</v>
      </c>
      <c r="T1124" s="211" t="str">
        <f>IFERROR(__xludf.DUMMYFUNCTION("""COMPUTED_VALUE"""),"PT GEMILANG CIPTA WAWASAN")</f>
        <v>PT GEMILANG CIPTA WAWASAN</v>
      </c>
      <c r="U1124" s="215">
        <f>IFERROR(__xludf.DUMMYFUNCTION("""COMPUTED_VALUE"""),45882.4512962963)</f>
        <v>45882.4513</v>
      </c>
      <c r="V1124" s="211" t="str">
        <f>IFERROR(__xludf.DUMMYFUNCTION("""COMPUTED_VALUE"""),"JL TEBET RAYA, 2A, TEBET BARAT, TEBET, KOTA ADM, JAKARTA SELATAN, DKI JAKARTA")</f>
        <v>JL TEBET RAYA, 2A, TEBET BARAT, TEBET, KOTA ADM, JAKARTA SELATAN, DKI JAKARTA</v>
      </c>
      <c r="W1124" s="211" t="str">
        <f>IFERROR(__xludf.DUMMYFUNCTION("""COMPUTED_VALUE"""),"IN")</f>
        <v>IN</v>
      </c>
      <c r="X1124" s="211"/>
      <c r="Z1124" s="211" t="str">
        <f>IFERROR(__xludf.DUMMYFUNCTION("""COMPUTED_VALUE"""),"04250356")</f>
        <v>04250356</v>
      </c>
      <c r="AL1124" s="211"/>
      <c r="AM1124" s="211"/>
      <c r="AN1124" s="211"/>
      <c r="AO1124" s="211"/>
      <c r="AP1124" s="215"/>
      <c r="AQ1124" s="218"/>
      <c r="AR1124" s="211"/>
    </row>
    <row r="1125">
      <c r="A1125" s="210" t="str">
        <f>IFERROR(__xludf.DUMMYFUNCTION("""COMPUTED_VALUE"""),"05250469")</f>
        <v>05250469</v>
      </c>
      <c r="B1125" s="210" t="str">
        <f>IFERROR(__xludf.DUMMYFUNCTION("""COMPUTED_VALUE"""),"05250469")</f>
        <v>05250469</v>
      </c>
      <c r="C1125" s="213">
        <f>IFERROR(__xludf.DUMMYFUNCTION("""COMPUTED_VALUE"""),45805.447916666664)</f>
        <v>45805.44792</v>
      </c>
      <c r="D1125" s="211" t="str">
        <f>IFERROR(__xludf.DUMMYFUNCTION("""COMPUTED_VALUE"""),"ec231cc9")</f>
        <v>ec231cc9</v>
      </c>
      <c r="E1125" s="211" t="str">
        <f>IFERROR(__xludf.DUMMYFUNCTION("""COMPUTED_VALUE"""),"Bpk. Kohir (Maintenance Velg)")</f>
        <v>Bpk. Kohir (Maintenance Velg)</v>
      </c>
      <c r="F1125" s="211" t="str">
        <f>IFERROR(__xludf.DUMMYFUNCTION("""COMPUTED_VALUE"""),"8bdbe149")</f>
        <v>8bdbe149</v>
      </c>
      <c r="G1125" s="211" t="str">
        <f>IFERROR(__xludf.DUMMYFUNCTION("""COMPUTED_VALUE"""),"Oksigen 6m3")</f>
        <v>Oksigen 6m3</v>
      </c>
      <c r="H1125" s="214" t="str">
        <f>IFERROR(__xludf.DUMMYFUNCTION("""COMPUTED_VALUE"""),"OUT")</f>
        <v>OUT</v>
      </c>
      <c r="I1125" s="214" t="str">
        <f>IFERROR(__xludf.DUMMYFUNCTION("""COMPUTED_VALUE"""),"NORMAL")</f>
        <v>NORMAL</v>
      </c>
      <c r="J1125" s="211">
        <f>IFERROR(__xludf.DUMMYFUNCTION("""COMPUTED_VALUE"""),5.0)</f>
        <v>5</v>
      </c>
      <c r="K1125" s="210" t="str">
        <f>IFERROR(__xludf.DUMMYFUNCTION("""COMPUTED_VALUE"""),"11118 1137 11177 11129 11198")</f>
        <v>11118 1137 11177 11129 11198</v>
      </c>
      <c r="L1125" s="211">
        <f>IFERROR(__xludf.DUMMYFUNCTION("""COMPUTED_VALUE"""),55000.0)</f>
        <v>55000</v>
      </c>
      <c r="M1125" s="211"/>
      <c r="N1125" s="211"/>
      <c r="O1125" s="211"/>
      <c r="Q1125" s="210" t="str">
        <f>IFERROR(__xludf.DUMMYFUNCTION("""COMPUTED_VALUE"""),"1250485")</f>
        <v>1250485</v>
      </c>
      <c r="R1125" s="210" t="str">
        <f>IFERROR(__xludf.DUMMYFUNCTION("""COMPUTED_VALUE"""),"1250485")</f>
        <v>1250485</v>
      </c>
      <c r="S1125" s="211" t="str">
        <f>IFERROR(__xludf.DUMMYFUNCTION("""COMPUTED_VALUE"""),"1bf27092")</f>
        <v>1bf27092</v>
      </c>
      <c r="T1125" s="211" t="str">
        <f>IFERROR(__xludf.DUMMYFUNCTION("""COMPUTED_VALUE"""),"Bpk. Ari Budiarto")</f>
        <v>Bpk. Ari Budiarto</v>
      </c>
      <c r="U1125" s="215">
        <f>IFERROR(__xludf.DUMMYFUNCTION("""COMPUTED_VALUE"""),45869.62986111111)</f>
        <v>45869.62986</v>
      </c>
      <c r="V1125" s="211" t="str">
        <f>IFERROR(__xludf.DUMMYFUNCTION("""COMPUTED_VALUE"""),"Jl. Raya Balongbendo 232, Bakalan, Bakalan Wringinpitu, Kec. BalongBendo, Kabupaten Sidoarjo, Jawa Timur 61263")</f>
        <v>Jl. Raya Balongbendo 232, Bakalan, Bakalan Wringinpitu, Kec. BalongBendo, Kabupaten Sidoarjo, Jawa Timur 61263</v>
      </c>
      <c r="W1125" s="211" t="str">
        <f>IFERROR(__xludf.DUMMYFUNCTION("""COMPUTED_VALUE"""),"IN")</f>
        <v>IN</v>
      </c>
      <c r="X1125" s="211"/>
      <c r="Z1125" s="211" t="str">
        <f>IFERROR(__xludf.DUMMYFUNCTION("""COMPUTED_VALUE"""),"04250355")</f>
        <v>04250355</v>
      </c>
      <c r="AL1125" s="211"/>
      <c r="AM1125" s="211"/>
      <c r="AN1125" s="211"/>
      <c r="AO1125" s="211"/>
      <c r="AP1125" s="215"/>
      <c r="AQ1125" s="218"/>
      <c r="AR1125" s="211"/>
    </row>
    <row r="1126">
      <c r="A1126" s="210" t="str">
        <f>IFERROR(__xludf.DUMMYFUNCTION("""COMPUTED_VALUE"""),"05250470")</f>
        <v>05250470</v>
      </c>
      <c r="B1126" s="210" t="str">
        <f>IFERROR(__xludf.DUMMYFUNCTION("""COMPUTED_VALUE"""),"05250470")</f>
        <v>05250470</v>
      </c>
      <c r="C1126" s="213">
        <f>IFERROR(__xludf.DUMMYFUNCTION("""COMPUTED_VALUE"""),45805.44861111111)</f>
        <v>45805.44861</v>
      </c>
      <c r="D1126" s="211" t="str">
        <f>IFERROR(__xludf.DUMMYFUNCTION("""COMPUTED_VALUE"""),"e93f2c03")</f>
        <v>e93f2c03</v>
      </c>
      <c r="E1126" s="211" t="str">
        <f>IFERROR(__xludf.DUMMYFUNCTION("""COMPUTED_VALUE"""),"Ibu Siti Barokah")</f>
        <v>Ibu Siti Barokah</v>
      </c>
      <c r="F1126" s="211" t="str">
        <f>IFERROR(__xludf.DUMMYFUNCTION("""COMPUTED_VALUE"""),"8bdbe149")</f>
        <v>8bdbe149</v>
      </c>
      <c r="G1126" s="211" t="str">
        <f>IFERROR(__xludf.DUMMYFUNCTION("""COMPUTED_VALUE"""),"Oksigen 6m3")</f>
        <v>Oksigen 6m3</v>
      </c>
      <c r="H1126" s="214" t="str">
        <f>IFERROR(__xludf.DUMMYFUNCTION("""COMPUTED_VALUE"""),"OUT")</f>
        <v>OUT</v>
      </c>
      <c r="I1126" s="214" t="str">
        <f>IFERROR(__xludf.DUMMYFUNCTION("""COMPUTED_VALUE"""),"NORMAL")</f>
        <v>NORMAL</v>
      </c>
      <c r="J1126" s="211">
        <f>IFERROR(__xludf.DUMMYFUNCTION("""COMPUTED_VALUE"""),1.0)</f>
        <v>1</v>
      </c>
      <c r="K1126" s="211"/>
      <c r="L1126" s="211">
        <f>IFERROR(__xludf.DUMMYFUNCTION("""COMPUTED_VALUE"""),80000.0)</f>
        <v>80000</v>
      </c>
      <c r="M1126" s="211"/>
      <c r="N1126" s="211"/>
      <c r="O1126" s="211"/>
      <c r="Q1126" s="210" t="str">
        <f>IFERROR(__xludf.DUMMYFUNCTION("""COMPUTED_VALUE"""),"1250402")</f>
        <v>1250402</v>
      </c>
      <c r="R1126" s="210" t="str">
        <f>IFERROR(__xludf.DUMMYFUNCTION("""COMPUTED_VALUE"""),"1250402")</f>
        <v>1250402</v>
      </c>
      <c r="S1126" s="211" t="str">
        <f>IFERROR(__xludf.DUMMYFUNCTION("""COMPUTED_VALUE"""),"3bcd7fe6")</f>
        <v>3bcd7fe6</v>
      </c>
      <c r="T1126" s="211" t="str">
        <f>IFERROR(__xludf.DUMMYFUNCTION("""COMPUTED_VALUE"""),"Bpk. Alvin (LB Group)")</f>
        <v>Bpk. Alvin (LB Group)</v>
      </c>
      <c r="U1126" s="215">
        <f>IFERROR(__xludf.DUMMYFUNCTION("""COMPUTED_VALUE"""),45831.39236111111)</f>
        <v>45831.39236</v>
      </c>
      <c r="V1126" s="211" t="str">
        <f>IFERROR(__xludf.DUMMYFUNCTION("""COMPUTED_VALUE"""),"MFF9+XHC, Jalan, Tambakrejo, Temuireng, Kec. Dawar Blandong, Kabupaten Mojokerto, Jawa Timur 61354")</f>
        <v>MFF9+XHC, Jalan, Tambakrejo, Temuireng, Kec. Dawar Blandong, Kabupaten Mojokerto, Jawa Timur 61354</v>
      </c>
      <c r="W1126" s="211" t="str">
        <f>IFERROR(__xludf.DUMMYFUNCTION("""COMPUTED_VALUE"""),"IN")</f>
        <v>IN</v>
      </c>
      <c r="X1126" s="211"/>
      <c r="Z1126" s="211" t="str">
        <f>IFERROR(__xludf.DUMMYFUNCTION("""COMPUTED_VALUE"""),"04250354")</f>
        <v>04250354</v>
      </c>
      <c r="AL1126" s="211"/>
      <c r="AM1126" s="211"/>
      <c r="AN1126" s="211"/>
      <c r="AO1126" s="211"/>
      <c r="AP1126" s="215"/>
      <c r="AQ1126" s="218"/>
      <c r="AR1126" s="211"/>
    </row>
    <row r="1127">
      <c r="A1127" s="210" t="str">
        <f>IFERROR(__xludf.DUMMYFUNCTION("""COMPUTED_VALUE"""),"05250471")</f>
        <v>05250471</v>
      </c>
      <c r="B1127" s="210" t="str">
        <f>IFERROR(__xludf.DUMMYFUNCTION("""COMPUTED_VALUE"""),"05250471")</f>
        <v>05250471</v>
      </c>
      <c r="C1127" s="213">
        <f>IFERROR(__xludf.DUMMYFUNCTION("""COMPUTED_VALUE"""),45805.47986111111)</f>
        <v>45805.47986</v>
      </c>
      <c r="D1127" s="211" t="str">
        <f>IFERROR(__xludf.DUMMYFUNCTION("""COMPUTED_VALUE"""),"ce83e171")</f>
        <v>ce83e171</v>
      </c>
      <c r="E1127" s="211" t="str">
        <f>IFERROR(__xludf.DUMMYFUNCTION("""COMPUTED_VALUE"""),"Bpk. Sulaiman")</f>
        <v>Bpk. Sulaiman</v>
      </c>
      <c r="F1127" s="211" t="str">
        <f>IFERROR(__xludf.DUMMYFUNCTION("""COMPUTED_VALUE"""),"8bdbe149")</f>
        <v>8bdbe149</v>
      </c>
      <c r="G1127" s="211" t="str">
        <f>IFERROR(__xludf.DUMMYFUNCTION("""COMPUTED_VALUE"""),"Oksigen 6m3")</f>
        <v>Oksigen 6m3</v>
      </c>
      <c r="H1127" s="214" t="str">
        <f>IFERROR(__xludf.DUMMYFUNCTION("""COMPUTED_VALUE"""),"OUT")</f>
        <v>OUT</v>
      </c>
      <c r="I1127" s="214" t="str">
        <f>IFERROR(__xludf.DUMMYFUNCTION("""COMPUTED_VALUE"""),"NORMAL")</f>
        <v>NORMAL</v>
      </c>
      <c r="J1127" s="211">
        <f>IFERROR(__xludf.DUMMYFUNCTION("""COMPUTED_VALUE"""),15.0)</f>
        <v>15</v>
      </c>
      <c r="K1127" s="210" t="str">
        <f>IFERROR(__xludf.DUMMYFUNCTION("""COMPUTED_VALUE"""),"11116 1106 1135 1104 1147 1116 11114 11111 11155 11165 11173 11136 11191 11228 11232")</f>
        <v>11116 1106 1135 1104 1147 1116 11114 11111 11155 11165 11173 11136 11191 11228 11232</v>
      </c>
      <c r="L1127" s="211">
        <f>IFERROR(__xludf.DUMMYFUNCTION("""COMPUTED_VALUE"""),55000.0)</f>
        <v>55000</v>
      </c>
      <c r="M1127" s="211"/>
      <c r="N1127" s="211"/>
      <c r="O1127" s="211"/>
      <c r="Q1127" s="211"/>
      <c r="R1127" s="211"/>
      <c r="S1127" s="211"/>
      <c r="T1127" s="211"/>
      <c r="U1127" s="211"/>
      <c r="V1127" s="211"/>
      <c r="W1127" s="211"/>
      <c r="X1127" s="211"/>
      <c r="Z1127" s="211" t="str">
        <f>IFERROR(__xludf.DUMMYFUNCTION("""COMPUTED_VALUE"""),"04250352")</f>
        <v>04250352</v>
      </c>
      <c r="AL1127" s="211"/>
      <c r="AM1127" s="211"/>
      <c r="AN1127" s="211"/>
      <c r="AO1127" s="211"/>
      <c r="AP1127" s="215"/>
      <c r="AQ1127" s="218"/>
      <c r="AR1127" s="211"/>
    </row>
    <row r="1128">
      <c r="A1128" s="210" t="str">
        <f>IFERROR(__xludf.DUMMYFUNCTION("""COMPUTED_VALUE"""),"05250471")</f>
        <v>05250471</v>
      </c>
      <c r="B1128" s="210" t="str">
        <f>IFERROR(__xludf.DUMMYFUNCTION("""COMPUTED_VALUE"""),"05250471")</f>
        <v>05250471</v>
      </c>
      <c r="C1128" s="213">
        <f>IFERROR(__xludf.DUMMYFUNCTION("""COMPUTED_VALUE"""),45805.47986111111)</f>
        <v>45805.47986</v>
      </c>
      <c r="D1128" s="211" t="str">
        <f>IFERROR(__xludf.DUMMYFUNCTION("""COMPUTED_VALUE"""),"ce83e171")</f>
        <v>ce83e171</v>
      </c>
      <c r="E1128" s="211" t="str">
        <f>IFERROR(__xludf.DUMMYFUNCTION("""COMPUTED_VALUE"""),"Bpk. Sulaiman")</f>
        <v>Bpk. Sulaiman</v>
      </c>
      <c r="F1128" s="211" t="str">
        <f>IFERROR(__xludf.DUMMYFUNCTION("""COMPUTED_VALUE"""),"be525f3b")</f>
        <v>be525f3b</v>
      </c>
      <c r="G1128" s="211" t="str">
        <f>IFERROR(__xludf.DUMMYFUNCTION("""COMPUTED_VALUE"""),"LPG 12kg")</f>
        <v>LPG 12kg</v>
      </c>
      <c r="H1128" s="214" t="str">
        <f>IFERROR(__xludf.DUMMYFUNCTION("""COMPUTED_VALUE"""),"OUT")</f>
        <v>OUT</v>
      </c>
      <c r="I1128" s="214" t="str">
        <f>IFERROR(__xludf.DUMMYFUNCTION("""COMPUTED_VALUE"""),"NORMAL")</f>
        <v>NORMAL</v>
      </c>
      <c r="J1128" s="211">
        <f>IFERROR(__xludf.DUMMYFUNCTION("""COMPUTED_VALUE"""),1.0)</f>
        <v>1</v>
      </c>
      <c r="K1128" s="211"/>
      <c r="L1128" s="211">
        <f>IFERROR(__xludf.DUMMYFUNCTION("""COMPUTED_VALUE"""),210000.0)</f>
        <v>210000</v>
      </c>
      <c r="M1128" s="211"/>
      <c r="N1128" s="211"/>
      <c r="O1128" s="211" t="b">
        <f>IFERROR(__xludf.DUMMYFUNCTION("""COMPUTED_VALUE"""),FALSE)</f>
        <v>0</v>
      </c>
      <c r="Q1128" s="210" t="str">
        <f>IFERROR(__xludf.DUMMYFUNCTION("""COMPUTED_VALUE"""),"0825151128")</f>
        <v>0825151128</v>
      </c>
      <c r="R1128" s="210" t="str">
        <f>IFERROR(__xludf.DUMMYFUNCTION("""COMPUTED_VALUE"""),"0825151128")</f>
        <v>0825151128</v>
      </c>
      <c r="S1128" s="211" t="str">
        <f>IFERROR(__xludf.DUMMYFUNCTION("""COMPUTED_VALUE"""),"ec231cc9")</f>
        <v>ec231cc9</v>
      </c>
      <c r="T1128" s="211" t="str">
        <f>IFERROR(__xludf.DUMMYFUNCTION("""COMPUTED_VALUE"""),"Bpk. Kohir (Maintenance Velg)")</f>
        <v>Bpk. Kohir (Maintenance Velg)</v>
      </c>
      <c r="U1128" s="215">
        <f>IFERROR(__xludf.DUMMYFUNCTION("""COMPUTED_VALUE"""),45883.60422453703)</f>
        <v>45883.60422</v>
      </c>
      <c r="V1128" s="211" t="str">
        <f>IFERROR(__xludf.DUMMYFUNCTION("""COMPUTED_VALUE"""),"Jl. Lkr. Bypass Krian Timur, Sidogolong, Watugolong, Kec. Krian, Kabupaten Sidoarjo, Jawa Timur 61262")</f>
        <v>Jl. Lkr. Bypass Krian Timur, Sidogolong, Watugolong, Kec. Krian, Kabupaten Sidoarjo, Jawa Timur 61262</v>
      </c>
      <c r="W1128" s="211" t="str">
        <f>IFERROR(__xludf.DUMMYFUNCTION("""COMPUTED_VALUE"""),"OUT")</f>
        <v>OUT</v>
      </c>
      <c r="X1128" s="211"/>
      <c r="Z1128" s="211" t="str">
        <f>IFERROR(__xludf.DUMMYFUNCTION("""COMPUTED_VALUE"""),"04250349")</f>
        <v>04250349</v>
      </c>
      <c r="AL1128" s="211"/>
      <c r="AM1128" s="211"/>
      <c r="AN1128" s="211"/>
      <c r="AO1128" s="211"/>
      <c r="AP1128" s="215"/>
      <c r="AQ1128" s="218"/>
      <c r="AR1128" s="211"/>
    </row>
    <row r="1129">
      <c r="A1129" s="210" t="str">
        <f>IFERROR(__xludf.DUMMYFUNCTION("""COMPUTED_VALUE"""),"da69e183")</f>
        <v>da69e183</v>
      </c>
      <c r="B1129" s="210" t="str">
        <f>IFERROR(__xludf.DUMMYFUNCTION("""COMPUTED_VALUE"""),"da69e183")</f>
        <v>da69e183</v>
      </c>
      <c r="C1129" s="213">
        <f>IFERROR(__xludf.DUMMYFUNCTION("""COMPUTED_VALUE"""),45805.5625)</f>
        <v>45805.5625</v>
      </c>
      <c r="D1129" s="211" t="str">
        <f>IFERROR(__xludf.DUMMYFUNCTION("""COMPUTED_VALUE"""),"7b9d8eba")</f>
        <v>7b9d8eba</v>
      </c>
      <c r="E1129" s="211" t="str">
        <f>IFERROR(__xludf.DUMMYFUNCTION("""COMPUTED_VALUE"""),"PT PELANGI INDOKARYA")</f>
        <v>PT PELANGI INDOKARYA</v>
      </c>
      <c r="F1129" s="211" t="str">
        <f>IFERROR(__xludf.DUMMYFUNCTION("""COMPUTED_VALUE"""),"8bdbe149")</f>
        <v>8bdbe149</v>
      </c>
      <c r="G1129" s="211" t="str">
        <f>IFERROR(__xludf.DUMMYFUNCTION("""COMPUTED_VALUE"""),"Oksigen 6m3")</f>
        <v>Oksigen 6m3</v>
      </c>
      <c r="H1129" s="214" t="str">
        <f>IFERROR(__xludf.DUMMYFUNCTION("""COMPUTED_VALUE"""),"IN")</f>
        <v>IN</v>
      </c>
      <c r="I1129" s="214" t="str">
        <f>IFERROR(__xludf.DUMMYFUNCTION("""COMPUTED_VALUE"""),"EMPTY")</f>
        <v>EMPTY</v>
      </c>
      <c r="J1129" s="211">
        <f>IFERROR(__xludf.DUMMYFUNCTION("""COMPUTED_VALUE"""),3.0)</f>
        <v>3</v>
      </c>
      <c r="K1129" s="210" t="str">
        <f>IFERROR(__xludf.DUMMYFUNCTION("""COMPUTED_VALUE"""),"11290 11271 11288")</f>
        <v>11290 11271 11288</v>
      </c>
      <c r="L1129" s="211">
        <f>IFERROR(__xludf.DUMMYFUNCTION("""COMPUTED_VALUE"""),0.0)</f>
        <v>0</v>
      </c>
      <c r="M1129" s="211"/>
      <c r="N1129" s="211"/>
      <c r="O1129" s="211"/>
      <c r="Q1129" s="210" t="str">
        <f>IFERROR(__xludf.DUMMYFUNCTION("""COMPUTED_VALUE"""),"1250514")</f>
        <v>1250514</v>
      </c>
      <c r="R1129" s="210" t="str">
        <f>IFERROR(__xludf.DUMMYFUNCTION("""COMPUTED_VALUE"""),"1250514")</f>
        <v>1250514</v>
      </c>
      <c r="S1129" s="211" t="str">
        <f>IFERROR(__xludf.DUMMYFUNCTION("""COMPUTED_VALUE"""),"ec231cc9")</f>
        <v>ec231cc9</v>
      </c>
      <c r="T1129" s="211" t="str">
        <f>IFERROR(__xludf.DUMMYFUNCTION("""COMPUTED_VALUE"""),"Bpk. Kohir (Maintenance Velg)")</f>
        <v>Bpk. Kohir (Maintenance Velg)</v>
      </c>
      <c r="U1129" s="215">
        <f>IFERROR(__xludf.DUMMYFUNCTION("""COMPUTED_VALUE"""),45883.640694444446)</f>
        <v>45883.64069</v>
      </c>
      <c r="V1129" s="211" t="str">
        <f>IFERROR(__xludf.DUMMYFUNCTION("""COMPUTED_VALUE"""),"Jl. Lkr. Bypass Krian Timur, Sidogolong, Watugolong, Kec. Krian, Kabupaten Sidoarjo, Jawa Timur 61262")</f>
        <v>Jl. Lkr. Bypass Krian Timur, Sidogolong, Watugolong, Kec. Krian, Kabupaten Sidoarjo, Jawa Timur 61262</v>
      </c>
      <c r="W1129" s="211" t="str">
        <f>IFERROR(__xludf.DUMMYFUNCTION("""COMPUTED_VALUE"""),"IN")</f>
        <v>IN</v>
      </c>
      <c r="X1129" s="211"/>
      <c r="Z1129" s="211" t="str">
        <f>IFERROR(__xludf.DUMMYFUNCTION("""COMPUTED_VALUE"""),"04250348")</f>
        <v>04250348</v>
      </c>
      <c r="AL1129" s="211"/>
      <c r="AM1129" s="211"/>
      <c r="AN1129" s="211"/>
      <c r="AO1129" s="211"/>
      <c r="AP1129" s="215"/>
      <c r="AQ1129" s="218"/>
      <c r="AR1129" s="211"/>
    </row>
    <row r="1130">
      <c r="A1130" s="210" t="str">
        <f>IFERROR(__xludf.DUMMYFUNCTION("""COMPUTED_VALUE"""),"1ed8a44f")</f>
        <v>1ed8a44f</v>
      </c>
      <c r="B1130" s="210" t="str">
        <f>IFERROR(__xludf.DUMMYFUNCTION("""COMPUTED_VALUE"""),"1ed8a44f")</f>
        <v>1ed8a44f</v>
      </c>
      <c r="C1130" s="213">
        <f>IFERROR(__xludf.DUMMYFUNCTION("""COMPUTED_VALUE"""),45805.5625)</f>
        <v>45805.5625</v>
      </c>
      <c r="D1130" s="211" t="str">
        <f>IFERROR(__xludf.DUMMYFUNCTION("""COMPUTED_VALUE"""),"ec231cc9")</f>
        <v>ec231cc9</v>
      </c>
      <c r="E1130" s="211" t="str">
        <f>IFERROR(__xludf.DUMMYFUNCTION("""COMPUTED_VALUE"""),"Bpk. Kohir (Maintenance Velg)")</f>
        <v>Bpk. Kohir (Maintenance Velg)</v>
      </c>
      <c r="F1130" s="211" t="str">
        <f>IFERROR(__xludf.DUMMYFUNCTION("""COMPUTED_VALUE"""),"8bdbe149")</f>
        <v>8bdbe149</v>
      </c>
      <c r="G1130" s="211" t="str">
        <f>IFERROR(__xludf.DUMMYFUNCTION("""COMPUTED_VALUE"""),"Oksigen 6m3")</f>
        <v>Oksigen 6m3</v>
      </c>
      <c r="H1130" s="214" t="str">
        <f>IFERROR(__xludf.DUMMYFUNCTION("""COMPUTED_VALUE"""),"IN")</f>
        <v>IN</v>
      </c>
      <c r="I1130" s="214" t="str">
        <f>IFERROR(__xludf.DUMMYFUNCTION("""COMPUTED_VALUE"""),"EMPTY")</f>
        <v>EMPTY</v>
      </c>
      <c r="J1130" s="211">
        <f>IFERROR(__xludf.DUMMYFUNCTION("""COMPUTED_VALUE"""),3.0)</f>
        <v>3</v>
      </c>
      <c r="K1130" s="210" t="str">
        <f>IFERROR(__xludf.DUMMYFUNCTION("""COMPUTED_VALUE"""),"1151 1112 1107")</f>
        <v>1151 1112 1107</v>
      </c>
      <c r="L1130" s="211">
        <f>IFERROR(__xludf.DUMMYFUNCTION("""COMPUTED_VALUE"""),0.0)</f>
        <v>0</v>
      </c>
      <c r="M1130" s="211"/>
      <c r="N1130" s="211"/>
      <c r="O1130" s="211"/>
      <c r="Q1130" s="210" t="str">
        <f>IFERROR(__xludf.DUMMYFUNCTION("""COMPUTED_VALUE"""),"0825151129")</f>
        <v>0825151129</v>
      </c>
      <c r="R1130" s="210" t="str">
        <f>IFERROR(__xludf.DUMMYFUNCTION("""COMPUTED_VALUE"""),"0825151129")</f>
        <v>0825151129</v>
      </c>
      <c r="S1130" s="211" t="str">
        <f>IFERROR(__xludf.DUMMYFUNCTION("""COMPUTED_VALUE"""),"b2b5f2c5")</f>
        <v>b2b5f2c5</v>
      </c>
      <c r="T1130" s="211" t="str">
        <f>IFERROR(__xludf.DUMMYFUNCTION("""COMPUTED_VALUE"""),"Bengkel Las Bpk. Ari")</f>
        <v>Bengkel Las Bpk. Ari</v>
      </c>
      <c r="U1130" s="215">
        <f>IFERROR(__xludf.DUMMYFUNCTION("""COMPUTED_VALUE"""),45884.435949074075)</f>
        <v>45884.43595</v>
      </c>
      <c r="V1130" s="211" t="str">
        <f>IFERROR(__xludf.DUMMYFUNCTION("""COMPUTED_VALUE"""),"Sumber Kembar, Wonodadi, Kec. Kutorejo, Kabupaten Mojokerto, Jawa Timur")</f>
        <v>Sumber Kembar, Wonodadi, Kec. Kutorejo, Kabupaten Mojokerto, Jawa Timur</v>
      </c>
      <c r="W1130" s="211" t="str">
        <f>IFERROR(__xludf.DUMMYFUNCTION("""COMPUTED_VALUE"""),"OUT")</f>
        <v>OUT</v>
      </c>
      <c r="X1130" s="211"/>
      <c r="Z1130" s="211" t="str">
        <f>IFERROR(__xludf.DUMMYFUNCTION("""COMPUTED_VALUE"""),"03250347")</f>
        <v>03250347</v>
      </c>
      <c r="AL1130" s="211"/>
      <c r="AM1130" s="211"/>
      <c r="AN1130" s="211"/>
      <c r="AO1130" s="211"/>
      <c r="AP1130" s="215"/>
      <c r="AQ1130" s="218"/>
      <c r="AR1130" s="211"/>
    </row>
    <row r="1131">
      <c r="A1131" s="210" t="str">
        <f>IFERROR(__xludf.DUMMYFUNCTION("""COMPUTED_VALUE"""),"85f82373")</f>
        <v>85f82373</v>
      </c>
      <c r="B1131" s="210" t="str">
        <f>IFERROR(__xludf.DUMMYFUNCTION("""COMPUTED_VALUE"""),"85f82373")</f>
        <v>85f82373</v>
      </c>
      <c r="C1131" s="213">
        <f>IFERROR(__xludf.DUMMYFUNCTION("""COMPUTED_VALUE"""),45805.64722222222)</f>
        <v>45805.64722</v>
      </c>
      <c r="D1131" s="211" t="str">
        <f>IFERROR(__xludf.DUMMYFUNCTION("""COMPUTED_VALUE"""),"ce83e171")</f>
        <v>ce83e171</v>
      </c>
      <c r="E1131" s="211" t="str">
        <f>IFERROR(__xludf.DUMMYFUNCTION("""COMPUTED_VALUE"""),"Bpk. Sulaiman")</f>
        <v>Bpk. Sulaiman</v>
      </c>
      <c r="F1131" s="211" t="str">
        <f>IFERROR(__xludf.DUMMYFUNCTION("""COMPUTED_VALUE"""),"8bdbe149")</f>
        <v>8bdbe149</v>
      </c>
      <c r="G1131" s="211" t="str">
        <f>IFERROR(__xludf.DUMMYFUNCTION("""COMPUTED_VALUE"""),"Oksigen 6m3")</f>
        <v>Oksigen 6m3</v>
      </c>
      <c r="H1131" s="214" t="str">
        <f>IFERROR(__xludf.DUMMYFUNCTION("""COMPUTED_VALUE"""),"IN")</f>
        <v>IN</v>
      </c>
      <c r="I1131" s="214" t="str">
        <f>IFERROR(__xludf.DUMMYFUNCTION("""COMPUTED_VALUE"""),"EMPTY")</f>
        <v>EMPTY</v>
      </c>
      <c r="J1131" s="211">
        <f>IFERROR(__xludf.DUMMYFUNCTION("""COMPUTED_VALUE"""),16.0)</f>
        <v>16</v>
      </c>
      <c r="K1131" s="210" t="str">
        <f>IFERROR(__xludf.DUMMYFUNCTION("""COMPUTED_VALUE"""),"11213 11193 1181 11166 11188 11146 1114 1164 11220 1171 11167 11205 11287 11217 11279 11219")</f>
        <v>11213 11193 1181 11166 11188 11146 1114 1164 11220 1171 11167 11205 11287 11217 11279 11219</v>
      </c>
      <c r="L1131" s="211">
        <f>IFERROR(__xludf.DUMMYFUNCTION("""COMPUTED_VALUE"""),0.0)</f>
        <v>0</v>
      </c>
      <c r="M1131" s="211"/>
      <c r="N1131" s="211"/>
      <c r="O1131" s="211"/>
      <c r="Q1131" s="210" t="str">
        <f>IFERROR(__xludf.DUMMYFUNCTION("""COMPUTED_VALUE"""),"1250516")</f>
        <v>1250516</v>
      </c>
      <c r="R1131" s="210" t="str">
        <f>IFERROR(__xludf.DUMMYFUNCTION("""COMPUTED_VALUE"""),"1250516")</f>
        <v>1250516</v>
      </c>
      <c r="S1131" s="211" t="str">
        <f>IFERROR(__xludf.DUMMYFUNCTION("""COMPUTED_VALUE"""),"b2b5f2c5")</f>
        <v>b2b5f2c5</v>
      </c>
      <c r="T1131" s="211" t="str">
        <f>IFERROR(__xludf.DUMMYFUNCTION("""COMPUTED_VALUE"""),"Bengkel Las Bpk. Ari")</f>
        <v>Bengkel Las Bpk. Ari</v>
      </c>
      <c r="U1131" s="215">
        <f>IFERROR(__xludf.DUMMYFUNCTION("""COMPUTED_VALUE"""),45884.48370370371)</f>
        <v>45884.4837</v>
      </c>
      <c r="V1131" s="211" t="str">
        <f>IFERROR(__xludf.DUMMYFUNCTION("""COMPUTED_VALUE"""),"Sumber Kembar, Wonodadi, Kec. Kutorejo, Kabupaten Mojokerto, Jawa Timur")</f>
        <v>Sumber Kembar, Wonodadi, Kec. Kutorejo, Kabupaten Mojokerto, Jawa Timur</v>
      </c>
      <c r="W1131" s="211" t="str">
        <f>IFERROR(__xludf.DUMMYFUNCTION("""COMPUTED_VALUE"""),"IN")</f>
        <v>IN</v>
      </c>
      <c r="X1131" s="211"/>
      <c r="Z1131" s="211" t="str">
        <f>IFERROR(__xludf.DUMMYFUNCTION("""COMPUTED_VALUE"""),"03250345")</f>
        <v>03250345</v>
      </c>
      <c r="AL1131" s="211"/>
      <c r="AM1131" s="211"/>
      <c r="AN1131" s="211"/>
      <c r="AO1131" s="211"/>
      <c r="AP1131" s="215"/>
      <c r="AQ1131" s="218"/>
      <c r="AR1131" s="211"/>
    </row>
    <row r="1132">
      <c r="A1132" s="210" t="str">
        <f>IFERROR(__xludf.DUMMYFUNCTION("""COMPUTED_VALUE"""),"85f82373")</f>
        <v>85f82373</v>
      </c>
      <c r="B1132" s="210" t="str">
        <f>IFERROR(__xludf.DUMMYFUNCTION("""COMPUTED_VALUE"""),"85f82373")</f>
        <v>85f82373</v>
      </c>
      <c r="C1132" s="213">
        <f>IFERROR(__xludf.DUMMYFUNCTION("""COMPUTED_VALUE"""),45805.64861111111)</f>
        <v>45805.64861</v>
      </c>
      <c r="D1132" s="211" t="str">
        <f>IFERROR(__xludf.DUMMYFUNCTION("""COMPUTED_VALUE"""),"ce83e171")</f>
        <v>ce83e171</v>
      </c>
      <c r="E1132" s="211" t="str">
        <f>IFERROR(__xludf.DUMMYFUNCTION("""COMPUTED_VALUE"""),"Bpk. Sulaiman")</f>
        <v>Bpk. Sulaiman</v>
      </c>
      <c r="F1132" s="211" t="str">
        <f>IFERROR(__xludf.DUMMYFUNCTION("""COMPUTED_VALUE"""),"be525f3b")</f>
        <v>be525f3b</v>
      </c>
      <c r="G1132" s="211" t="str">
        <f>IFERROR(__xludf.DUMMYFUNCTION("""COMPUTED_VALUE"""),"LPG 12kg")</f>
        <v>LPG 12kg</v>
      </c>
      <c r="H1132" s="214" t="str">
        <f>IFERROR(__xludf.DUMMYFUNCTION("""COMPUTED_VALUE"""),"IN")</f>
        <v>IN</v>
      </c>
      <c r="I1132" s="214" t="str">
        <f>IFERROR(__xludf.DUMMYFUNCTION("""COMPUTED_VALUE"""),"EMPTY")</f>
        <v>EMPTY</v>
      </c>
      <c r="J1132" s="211">
        <f>IFERROR(__xludf.DUMMYFUNCTION("""COMPUTED_VALUE"""),1.0)</f>
        <v>1</v>
      </c>
      <c r="K1132" s="211"/>
      <c r="L1132" s="211">
        <f>IFERROR(__xludf.DUMMYFUNCTION("""COMPUTED_VALUE"""),0.0)</f>
        <v>0</v>
      </c>
      <c r="M1132" s="211"/>
      <c r="N1132" s="211"/>
      <c r="O1132" s="211"/>
      <c r="Q1132" s="210" t="str">
        <f>IFERROR(__xludf.DUMMYFUNCTION("""COMPUTED_VALUE"""),"1250515")</f>
        <v>1250515</v>
      </c>
      <c r="R1132" s="210" t="str">
        <f>IFERROR(__xludf.DUMMYFUNCTION("""COMPUTED_VALUE"""),"1250515")</f>
        <v>1250515</v>
      </c>
      <c r="S1132" s="211" t="str">
        <f>IFERROR(__xludf.DUMMYFUNCTION("""COMPUTED_VALUE"""),"b218b89b")</f>
        <v>b218b89b</v>
      </c>
      <c r="T1132" s="211" t="str">
        <f>IFERROR(__xludf.DUMMYFUNCTION("""COMPUTED_VALUE"""),"PT Harapan Sentosa")</f>
        <v>PT Harapan Sentosa</v>
      </c>
      <c r="U1132" s="215">
        <f>IFERROR(__xludf.DUMMYFUNCTION("""COMPUTED_VALUE"""),45884.48473379629)</f>
        <v>45884.48473</v>
      </c>
      <c r="V1132" s="211" t="str">
        <f>IFERROR(__xludf.DUMMYFUNCTION("""COMPUTED_VALUE"""),"Seketi, Jl. Purboyo II Selatan, RT.02/RW.02, Seketi, Kec. BalongBendo, Kabupaten Sidoarjo, Jawa Timur 61263")</f>
        <v>Seketi, Jl. Purboyo II Selatan, RT.02/RW.02, Seketi, Kec. BalongBendo, Kabupaten Sidoarjo, Jawa Timur 61263</v>
      </c>
      <c r="W1132" s="211" t="str">
        <f>IFERROR(__xludf.DUMMYFUNCTION("""COMPUTED_VALUE"""),"IN")</f>
        <v>IN</v>
      </c>
      <c r="X1132" s="211"/>
      <c r="Z1132" s="211" t="str">
        <f>IFERROR(__xludf.DUMMYFUNCTION("""COMPUTED_VALUE"""),"03250346")</f>
        <v>03250346</v>
      </c>
      <c r="AL1132" s="211"/>
      <c r="AM1132" s="211"/>
      <c r="AN1132" s="211"/>
      <c r="AO1132" s="211"/>
      <c r="AP1132" s="215"/>
      <c r="AQ1132" s="218"/>
      <c r="AR1132" s="211"/>
    </row>
    <row r="1133">
      <c r="A1133" s="210" t="str">
        <f>IFERROR(__xludf.DUMMYFUNCTION("""COMPUTED_VALUE"""),"05250473")</f>
        <v>05250473</v>
      </c>
      <c r="B1133" s="210" t="str">
        <f>IFERROR(__xludf.DUMMYFUNCTION("""COMPUTED_VALUE"""),"05250473")</f>
        <v>05250473</v>
      </c>
      <c r="C1133" s="213">
        <f>IFERROR(__xludf.DUMMYFUNCTION("""COMPUTED_VALUE"""),45807.36041666667)</f>
        <v>45807.36042</v>
      </c>
      <c r="D1133" s="211" t="str">
        <f>IFERROR(__xludf.DUMMYFUNCTION("""COMPUTED_VALUE"""),"ce83e171")</f>
        <v>ce83e171</v>
      </c>
      <c r="E1133" s="211" t="str">
        <f>IFERROR(__xludf.DUMMYFUNCTION("""COMPUTED_VALUE"""),"Bpk. Sulaiman")</f>
        <v>Bpk. Sulaiman</v>
      </c>
      <c r="F1133" s="211" t="str">
        <f>IFERROR(__xludf.DUMMYFUNCTION("""COMPUTED_VALUE"""),"8bdbe149")</f>
        <v>8bdbe149</v>
      </c>
      <c r="G1133" s="211" t="str">
        <f>IFERROR(__xludf.DUMMYFUNCTION("""COMPUTED_VALUE"""),"Oksigen 6m3")</f>
        <v>Oksigen 6m3</v>
      </c>
      <c r="H1133" s="214" t="str">
        <f>IFERROR(__xludf.DUMMYFUNCTION("""COMPUTED_VALUE"""),"OUT")</f>
        <v>OUT</v>
      </c>
      <c r="I1133" s="214" t="str">
        <f>IFERROR(__xludf.DUMMYFUNCTION("""COMPUTED_VALUE"""),"NORMAL")</f>
        <v>NORMAL</v>
      </c>
      <c r="J1133" s="211">
        <f>IFERROR(__xludf.DUMMYFUNCTION("""COMPUTED_VALUE"""),15.0)</f>
        <v>15</v>
      </c>
      <c r="K1133" s="210" t="str">
        <f>IFERROR(__xludf.DUMMYFUNCTION("""COMPUTED_VALUE"""),"1132 11142 11144 11159 11159 11174 11106 11258 11276 11108 11110 1126 1152 1125 1154")</f>
        <v>1132 11142 11144 11159 11159 11174 11106 11258 11276 11108 11110 1126 1152 1125 1154</v>
      </c>
      <c r="L1133" s="211">
        <f>IFERROR(__xludf.DUMMYFUNCTION("""COMPUTED_VALUE"""),55000.0)</f>
        <v>55000</v>
      </c>
      <c r="M1133" s="211"/>
      <c r="N1133" s="211"/>
      <c r="O1133" s="211"/>
      <c r="Q1133" s="210" t="str">
        <f>IFERROR(__xludf.DUMMYFUNCTION("""COMPUTED_VALUE"""),"0825391131")</f>
        <v>0825391131</v>
      </c>
      <c r="R1133" s="210" t="str">
        <f>IFERROR(__xludf.DUMMYFUNCTION("""COMPUTED_VALUE"""),"0825391131")</f>
        <v>0825391131</v>
      </c>
      <c r="S1133" s="211" t="str">
        <f>IFERROR(__xludf.DUMMYFUNCTION("""COMPUTED_VALUE"""),"e86baf3b")</f>
        <v>e86baf3b</v>
      </c>
      <c r="T1133" s="211" t="str">
        <f>IFERROR(__xludf.DUMMYFUNCTION("""COMPUTED_VALUE"""),"PT GEMILANG CIPTA WAWASAN")</f>
        <v>PT GEMILANG CIPTA WAWASAN</v>
      </c>
      <c r="U1133" s="215">
        <f>IFERROR(__xludf.DUMMYFUNCTION("""COMPUTED_VALUE"""),45885.34442129629)</f>
        <v>45885.34442</v>
      </c>
      <c r="V1133" s="211" t="str">
        <f>IFERROR(__xludf.DUMMYFUNCTION("""COMPUTED_VALUE"""),"JL TEBET RAYA, 2A, TEBET BARAT, TEBET, KOTA ADM, JAKARTA SELATAN, DKI JAKARTA")</f>
        <v>JL TEBET RAYA, 2A, TEBET BARAT, TEBET, KOTA ADM, JAKARTA SELATAN, DKI JAKARTA</v>
      </c>
      <c r="W1133" s="211" t="str">
        <f>IFERROR(__xludf.DUMMYFUNCTION("""COMPUTED_VALUE"""),"OUT")</f>
        <v>OUT</v>
      </c>
      <c r="X1133" s="211"/>
      <c r="Z1133" s="211" t="str">
        <f>IFERROR(__xludf.DUMMYFUNCTION("""COMPUTED_VALUE"""),"03250344")</f>
        <v>03250344</v>
      </c>
      <c r="AL1133" s="211"/>
      <c r="AM1133" s="211"/>
      <c r="AN1133" s="211"/>
      <c r="AO1133" s="211"/>
      <c r="AP1133" s="215"/>
      <c r="AQ1133" s="218"/>
      <c r="AR1133" s="211"/>
    </row>
    <row r="1134">
      <c r="A1134" s="210" t="str">
        <f>IFERROR(__xludf.DUMMYFUNCTION("""COMPUTED_VALUE"""),"05250473")</f>
        <v>05250473</v>
      </c>
      <c r="B1134" s="210" t="str">
        <f>IFERROR(__xludf.DUMMYFUNCTION("""COMPUTED_VALUE"""),"05250473")</f>
        <v>05250473</v>
      </c>
      <c r="C1134" s="213">
        <f>IFERROR(__xludf.DUMMYFUNCTION("""COMPUTED_VALUE"""),45807.36041666667)</f>
        <v>45807.36042</v>
      </c>
      <c r="D1134" s="211" t="str">
        <f>IFERROR(__xludf.DUMMYFUNCTION("""COMPUTED_VALUE"""),"ce83e171")</f>
        <v>ce83e171</v>
      </c>
      <c r="E1134" s="211" t="str">
        <f>IFERROR(__xludf.DUMMYFUNCTION("""COMPUTED_VALUE"""),"Bpk. Sulaiman")</f>
        <v>Bpk. Sulaiman</v>
      </c>
      <c r="F1134" s="211" t="str">
        <f>IFERROR(__xludf.DUMMYFUNCTION("""COMPUTED_VALUE"""),"be525f3b")</f>
        <v>be525f3b</v>
      </c>
      <c r="G1134" s="211" t="str">
        <f>IFERROR(__xludf.DUMMYFUNCTION("""COMPUTED_VALUE"""),"LPG 12kg")</f>
        <v>LPG 12kg</v>
      </c>
      <c r="H1134" s="214" t="str">
        <f>IFERROR(__xludf.DUMMYFUNCTION("""COMPUTED_VALUE"""),"OUT")</f>
        <v>OUT</v>
      </c>
      <c r="I1134" s="214" t="str">
        <f>IFERROR(__xludf.DUMMYFUNCTION("""COMPUTED_VALUE"""),"NORMAL")</f>
        <v>NORMAL</v>
      </c>
      <c r="J1134" s="211">
        <f>IFERROR(__xludf.DUMMYFUNCTION("""COMPUTED_VALUE"""),2.0)</f>
        <v>2</v>
      </c>
      <c r="K1134" s="211"/>
      <c r="L1134" s="211">
        <f>IFERROR(__xludf.DUMMYFUNCTION("""COMPUTED_VALUE"""),210000.0)</f>
        <v>210000</v>
      </c>
      <c r="M1134" s="211"/>
      <c r="N1134" s="211"/>
      <c r="O1134" s="211" t="b">
        <f>IFERROR(__xludf.DUMMYFUNCTION("""COMPUTED_VALUE"""),FALSE)</f>
        <v>0</v>
      </c>
      <c r="Q1134" s="210" t="str">
        <f>IFERROR(__xludf.DUMMYFUNCTION("""COMPUTED_VALUE"""),"1250517")</f>
        <v>1250517</v>
      </c>
      <c r="R1134" s="210" t="str">
        <f>IFERROR(__xludf.DUMMYFUNCTION("""COMPUTED_VALUE"""),"1250517")</f>
        <v>1250517</v>
      </c>
      <c r="S1134" s="211" t="str">
        <f>IFERROR(__xludf.DUMMYFUNCTION("""COMPUTED_VALUE"""),"01158be1")</f>
        <v>01158be1</v>
      </c>
      <c r="T1134" s="211" t="str">
        <f>IFERROR(__xludf.DUMMYFUNCTION("""COMPUTED_VALUE"""),"GYF")</f>
        <v>GYF</v>
      </c>
      <c r="U1134" s="215">
        <f>IFERROR(__xludf.DUMMYFUNCTION("""COMPUTED_VALUE"""),45885.45892361111)</f>
        <v>45885.45892</v>
      </c>
      <c r="V1134" s="211" t="str">
        <f>IFERROR(__xludf.DUMMYFUNCTION("""COMPUTED_VALUE"""),"Kangkungan, Lengkong, Kec. Mojoanyar, Kabupaten Mojokerto, Jawa Timur")</f>
        <v>Kangkungan, Lengkong, Kec. Mojoanyar, Kabupaten Mojokerto, Jawa Timur</v>
      </c>
      <c r="W1134" s="211" t="str">
        <f>IFERROR(__xludf.DUMMYFUNCTION("""COMPUTED_VALUE"""),"IN")</f>
        <v>IN</v>
      </c>
      <c r="X1134" s="211"/>
      <c r="Z1134" s="211" t="str">
        <f>IFERROR(__xludf.DUMMYFUNCTION("""COMPUTED_VALUE"""),"03250342")</f>
        <v>03250342</v>
      </c>
      <c r="AL1134" s="211"/>
      <c r="AM1134" s="211"/>
      <c r="AN1134" s="211"/>
      <c r="AO1134" s="211"/>
      <c r="AP1134" s="215"/>
      <c r="AQ1134" s="218"/>
      <c r="AR1134" s="211"/>
    </row>
    <row r="1135">
      <c r="A1135" s="210" t="str">
        <f>IFERROR(__xludf.DUMMYFUNCTION("""COMPUTED_VALUE"""),"05250473")</f>
        <v>05250473</v>
      </c>
      <c r="B1135" s="210" t="str">
        <f>IFERROR(__xludf.DUMMYFUNCTION("""COMPUTED_VALUE"""),"05250473")</f>
        <v>05250473</v>
      </c>
      <c r="C1135" s="213">
        <f>IFERROR(__xludf.DUMMYFUNCTION("""COMPUTED_VALUE"""),45807.36041666667)</f>
        <v>45807.36042</v>
      </c>
      <c r="D1135" s="211" t="str">
        <f>IFERROR(__xludf.DUMMYFUNCTION("""COMPUTED_VALUE"""),"ce83e171")</f>
        <v>ce83e171</v>
      </c>
      <c r="E1135" s="211" t="str">
        <f>IFERROR(__xludf.DUMMYFUNCTION("""COMPUTED_VALUE"""),"Bpk. Sulaiman")</f>
        <v>Bpk. Sulaiman</v>
      </c>
      <c r="F1135" s="211" t="str">
        <f>IFERROR(__xludf.DUMMYFUNCTION("""COMPUTED_VALUE"""),"8bdbe149")</f>
        <v>8bdbe149</v>
      </c>
      <c r="G1135" s="211" t="str">
        <f>IFERROR(__xludf.DUMMYFUNCTION("""COMPUTED_VALUE"""),"Oksigen 6m3")</f>
        <v>Oksigen 6m3</v>
      </c>
      <c r="H1135" s="214" t="str">
        <f>IFERROR(__xludf.DUMMYFUNCTION("""COMPUTED_VALUE"""),"OUT")</f>
        <v>OUT</v>
      </c>
      <c r="I1135" s="214" t="str">
        <f>IFERROR(__xludf.DUMMYFUNCTION("""COMPUTED_VALUE"""),"NORMAL")</f>
        <v>NORMAL</v>
      </c>
      <c r="J1135" s="211">
        <f>IFERROR(__xludf.DUMMYFUNCTION("""COMPUTED_VALUE"""),2.0)</f>
        <v>2</v>
      </c>
      <c r="K1135" s="210" t="str">
        <f>IFERROR(__xludf.DUMMYFUNCTION("""COMPUTED_VALUE"""),"11253 11238")</f>
        <v>11253 11238</v>
      </c>
      <c r="L1135" s="211">
        <f>IFERROR(__xludf.DUMMYFUNCTION("""COMPUTED_VALUE"""),55000.0)</f>
        <v>55000</v>
      </c>
      <c r="M1135" s="211"/>
      <c r="N1135" s="211"/>
      <c r="O1135" s="211"/>
      <c r="Q1135" s="211"/>
      <c r="R1135" s="211"/>
      <c r="S1135" s="211"/>
      <c r="T1135" s="211"/>
      <c r="U1135" s="211"/>
      <c r="V1135" s="211"/>
      <c r="W1135" s="211"/>
      <c r="X1135" s="211"/>
      <c r="Z1135" s="211" t="str">
        <f>IFERROR(__xludf.DUMMYFUNCTION("""COMPUTED_VALUE"""),"03250341")</f>
        <v>03250341</v>
      </c>
      <c r="AL1135" s="211"/>
      <c r="AM1135" s="211"/>
      <c r="AN1135" s="211"/>
      <c r="AO1135" s="211"/>
      <c r="AP1135" s="215"/>
      <c r="AQ1135" s="218"/>
      <c r="AR1135" s="211"/>
    </row>
    <row r="1136">
      <c r="A1136" s="210" t="str">
        <f>IFERROR(__xludf.DUMMYFUNCTION("""COMPUTED_VALUE"""),"05250473")</f>
        <v>05250473</v>
      </c>
      <c r="B1136" s="210" t="str">
        <f>IFERROR(__xludf.DUMMYFUNCTION("""COMPUTED_VALUE"""),"05250473")</f>
        <v>05250473</v>
      </c>
      <c r="C1136" s="213">
        <f>IFERROR(__xludf.DUMMYFUNCTION("""COMPUTED_VALUE"""),45807.36041666667)</f>
        <v>45807.36042</v>
      </c>
      <c r="D1136" s="211" t="str">
        <f>IFERROR(__xludf.DUMMYFUNCTION("""COMPUTED_VALUE"""),"ce83e171")</f>
        <v>ce83e171</v>
      </c>
      <c r="E1136" s="211" t="str">
        <f>IFERROR(__xludf.DUMMYFUNCTION("""COMPUTED_VALUE"""),"Bpk. Sulaiman")</f>
        <v>Bpk. Sulaiman</v>
      </c>
      <c r="F1136" s="211" t="str">
        <f>IFERROR(__xludf.DUMMYFUNCTION("""COMPUTED_VALUE"""),"f6aab7a9")</f>
        <v>f6aab7a9</v>
      </c>
      <c r="G1136" s="211" t="str">
        <f>IFERROR(__xludf.DUMMYFUNCTION("""COMPUTED_VALUE"""),"Oksigen 6m3 MR")</f>
        <v>Oksigen 6m3 MR</v>
      </c>
      <c r="H1136" s="214" t="str">
        <f>IFERROR(__xludf.DUMMYFUNCTION("""COMPUTED_VALUE"""),"OUT")</f>
        <v>OUT</v>
      </c>
      <c r="I1136" s="214" t="str">
        <f>IFERROR(__xludf.DUMMYFUNCTION("""COMPUTED_VALUE"""),"NORMAL")</f>
        <v>NORMAL</v>
      </c>
      <c r="J1136" s="211">
        <f>IFERROR(__xludf.DUMMYFUNCTION("""COMPUTED_VALUE"""),1.0)</f>
        <v>1</v>
      </c>
      <c r="K1136" s="211"/>
      <c r="L1136" s="211">
        <f>IFERROR(__xludf.DUMMYFUNCTION("""COMPUTED_VALUE"""),55000.0)</f>
        <v>55000</v>
      </c>
      <c r="M1136" s="211"/>
      <c r="N1136" s="211"/>
      <c r="O1136" s="211" t="b">
        <f>IFERROR(__xludf.DUMMYFUNCTION("""COMPUTED_VALUE"""),FALSE)</f>
        <v>0</v>
      </c>
      <c r="Q1136" s="210" t="str">
        <f>IFERROR(__xludf.DUMMYFUNCTION("""COMPUTED_VALUE"""),"082591134")</f>
        <v>082591134</v>
      </c>
      <c r="R1136" s="210" t="str">
        <f>IFERROR(__xludf.DUMMYFUNCTION("""COMPUTED_VALUE"""),"082591134")</f>
        <v>082591134</v>
      </c>
      <c r="S1136" s="211" t="str">
        <f>IFERROR(__xludf.DUMMYFUNCTION("""COMPUTED_VALUE"""),"1bf27092")</f>
        <v>1bf27092</v>
      </c>
      <c r="T1136" s="211" t="str">
        <f>IFERROR(__xludf.DUMMYFUNCTION("""COMPUTED_VALUE"""),"Bpk. Ari Budiarto")</f>
        <v>Bpk. Ari Budiarto</v>
      </c>
      <c r="U1136" s="215">
        <f>IFERROR(__xludf.DUMMYFUNCTION("""COMPUTED_VALUE"""),45888.34855324074)</f>
        <v>45888.34855</v>
      </c>
      <c r="V1136" s="211" t="str">
        <f>IFERROR(__xludf.DUMMYFUNCTION("""COMPUTED_VALUE"""),"Jl. Raya Balongbendo 232, Bakalan, Bakalan Wringinpitu, Kec. BalongBendo, Kabupaten Sidoarjo, Jawa Timur 61263")</f>
        <v>Jl. Raya Balongbendo 232, Bakalan, Bakalan Wringinpitu, Kec. BalongBendo, Kabupaten Sidoarjo, Jawa Timur 61263</v>
      </c>
      <c r="W1136" s="211" t="str">
        <f>IFERROR(__xludf.DUMMYFUNCTION("""COMPUTED_VALUE"""),"OUT")</f>
        <v>OUT</v>
      </c>
      <c r="X1136" s="211"/>
      <c r="Z1136" s="211" t="str">
        <f>IFERROR(__xludf.DUMMYFUNCTION("""COMPUTED_VALUE"""),"03250339")</f>
        <v>03250339</v>
      </c>
      <c r="AL1136" s="211"/>
      <c r="AM1136" s="211"/>
      <c r="AN1136" s="211"/>
      <c r="AO1136" s="211"/>
      <c r="AP1136" s="215"/>
      <c r="AQ1136" s="218"/>
      <c r="AR1136" s="211"/>
    </row>
    <row r="1137">
      <c r="A1137" s="210" t="str">
        <f>IFERROR(__xludf.DUMMYFUNCTION("""COMPUTED_VALUE"""),"05250477")</f>
        <v>05250477</v>
      </c>
      <c r="B1137" s="210" t="str">
        <f>IFERROR(__xludf.DUMMYFUNCTION("""COMPUTED_VALUE"""),"05250477")</f>
        <v>05250477</v>
      </c>
      <c r="C1137" s="213">
        <f>IFERROR(__xludf.DUMMYFUNCTION("""COMPUTED_VALUE"""),45807.379166666666)</f>
        <v>45807.37917</v>
      </c>
      <c r="D1137" s="211" t="str">
        <f>IFERROR(__xludf.DUMMYFUNCTION("""COMPUTED_VALUE"""),"ec231cc9")</f>
        <v>ec231cc9</v>
      </c>
      <c r="E1137" s="211" t="str">
        <f>IFERROR(__xludf.DUMMYFUNCTION("""COMPUTED_VALUE"""),"Bpk. Kohir (Maintenance Velg)")</f>
        <v>Bpk. Kohir (Maintenance Velg)</v>
      </c>
      <c r="F1137" s="211" t="str">
        <f>IFERROR(__xludf.DUMMYFUNCTION("""COMPUTED_VALUE"""),"8bdbe149")</f>
        <v>8bdbe149</v>
      </c>
      <c r="G1137" s="211" t="str">
        <f>IFERROR(__xludf.DUMMYFUNCTION("""COMPUTED_VALUE"""),"Oksigen 6m3")</f>
        <v>Oksigen 6m3</v>
      </c>
      <c r="H1137" s="214" t="str">
        <f>IFERROR(__xludf.DUMMYFUNCTION("""COMPUTED_VALUE"""),"OUT")</f>
        <v>OUT</v>
      </c>
      <c r="I1137" s="214" t="str">
        <f>IFERROR(__xludf.DUMMYFUNCTION("""COMPUTED_VALUE"""),"NORMAL")</f>
        <v>NORMAL</v>
      </c>
      <c r="J1137" s="211">
        <f>IFERROR(__xludf.DUMMYFUNCTION("""COMPUTED_VALUE"""),4.0)</f>
        <v>4</v>
      </c>
      <c r="K1137" s="210" t="str">
        <f>IFERROR(__xludf.DUMMYFUNCTION("""COMPUTED_VALUE"""),"11262 11163 11145 11226")</f>
        <v>11262 11163 11145 11226</v>
      </c>
      <c r="L1137" s="211">
        <f>IFERROR(__xludf.DUMMYFUNCTION("""COMPUTED_VALUE"""),55000.0)</f>
        <v>55000</v>
      </c>
      <c r="M1137" s="211"/>
      <c r="N1137" s="211"/>
      <c r="O1137" s="211"/>
      <c r="Q1137" s="210" t="str">
        <f>IFERROR(__xludf.DUMMYFUNCTION("""COMPUTED_VALUE"""),"082581137")</f>
        <v>082581137</v>
      </c>
      <c r="R1137" s="210" t="str">
        <f>IFERROR(__xludf.DUMMYFUNCTION("""COMPUTED_VALUE"""),"082581137")</f>
        <v>082581137</v>
      </c>
      <c r="S1137" s="211" t="str">
        <f>IFERROR(__xludf.DUMMYFUNCTION("""COMPUTED_VALUE"""),"b218b89b")</f>
        <v>b218b89b</v>
      </c>
      <c r="T1137" s="211" t="str">
        <f>IFERROR(__xludf.DUMMYFUNCTION("""COMPUTED_VALUE"""),"PT Harapan Sentosa")</f>
        <v>PT Harapan Sentosa</v>
      </c>
      <c r="U1137" s="215">
        <f>IFERROR(__xludf.DUMMYFUNCTION("""COMPUTED_VALUE"""),45888.36211805556)</f>
        <v>45888.36212</v>
      </c>
      <c r="V1137" s="211" t="str">
        <f>IFERROR(__xludf.DUMMYFUNCTION("""COMPUTED_VALUE"""),"Seketi, Jl. Purboyo II Selatan, RT.02/RW.02, Seketi, Kec. BalongBendo, Kabupaten Sidoarjo, Jawa Timur 61263")</f>
        <v>Seketi, Jl. Purboyo II Selatan, RT.02/RW.02, Seketi, Kec. BalongBendo, Kabupaten Sidoarjo, Jawa Timur 61263</v>
      </c>
      <c r="W1137" s="211" t="str">
        <f>IFERROR(__xludf.DUMMYFUNCTION("""COMPUTED_VALUE"""),"OUT")</f>
        <v>OUT</v>
      </c>
      <c r="X1137" s="211"/>
      <c r="Z1137" s="211" t="str">
        <f>IFERROR(__xludf.DUMMYFUNCTION("""COMPUTED_VALUE"""),"03250340")</f>
        <v>03250340</v>
      </c>
      <c r="AL1137" s="211"/>
      <c r="AM1137" s="211"/>
      <c r="AN1137" s="211"/>
      <c r="AO1137" s="211"/>
      <c r="AP1137" s="215"/>
      <c r="AQ1137" s="218"/>
      <c r="AR1137" s="211"/>
    </row>
    <row r="1138">
      <c r="A1138" s="210" t="str">
        <f>IFERROR(__xludf.DUMMYFUNCTION("""COMPUTED_VALUE"""),"e8268dc7")</f>
        <v>e8268dc7</v>
      </c>
      <c r="B1138" s="210" t="str">
        <f>IFERROR(__xludf.DUMMYFUNCTION("""COMPUTED_VALUE"""),"e8268dc7")</f>
        <v>e8268dc7</v>
      </c>
      <c r="C1138" s="213">
        <f>IFERROR(__xludf.DUMMYFUNCTION("""COMPUTED_VALUE"""),45808.48333333333)</f>
        <v>45808.48333</v>
      </c>
      <c r="D1138" s="211" t="str">
        <f>IFERROR(__xludf.DUMMYFUNCTION("""COMPUTED_VALUE"""),"ec231cc9")</f>
        <v>ec231cc9</v>
      </c>
      <c r="E1138" s="211" t="str">
        <f>IFERROR(__xludf.DUMMYFUNCTION("""COMPUTED_VALUE"""),"Bpk. Kohir (Maintenance Velg)")</f>
        <v>Bpk. Kohir (Maintenance Velg)</v>
      </c>
      <c r="F1138" s="211" t="str">
        <f>IFERROR(__xludf.DUMMYFUNCTION("""COMPUTED_VALUE"""),"8bdbe149")</f>
        <v>8bdbe149</v>
      </c>
      <c r="G1138" s="211" t="str">
        <f>IFERROR(__xludf.DUMMYFUNCTION("""COMPUTED_VALUE"""),"Oksigen 6m3")</f>
        <v>Oksigen 6m3</v>
      </c>
      <c r="H1138" s="214" t="str">
        <f>IFERROR(__xludf.DUMMYFUNCTION("""COMPUTED_VALUE"""),"IN")</f>
        <v>IN</v>
      </c>
      <c r="I1138" s="214" t="str">
        <f>IFERROR(__xludf.DUMMYFUNCTION("""COMPUTED_VALUE"""),"EMPTY")</f>
        <v>EMPTY</v>
      </c>
      <c r="J1138" s="211">
        <f>IFERROR(__xludf.DUMMYFUNCTION("""COMPUTED_VALUE"""),5.0)</f>
        <v>5</v>
      </c>
      <c r="K1138" s="210" t="str">
        <f>IFERROR(__xludf.DUMMYFUNCTION("""COMPUTED_VALUE"""),"11107 11118 11198 11177 1137")</f>
        <v>11107 11118 11198 11177 1137</v>
      </c>
      <c r="L1138" s="211">
        <f>IFERROR(__xludf.DUMMYFUNCTION("""COMPUTED_VALUE"""),0.0)</f>
        <v>0</v>
      </c>
      <c r="M1138" s="211"/>
      <c r="N1138" s="211"/>
      <c r="O1138" s="211"/>
      <c r="Q1138" s="210" t="str">
        <f>IFERROR(__xludf.DUMMYFUNCTION("""COMPUTED_VALUE"""),"0825101138")</f>
        <v>0825101138</v>
      </c>
      <c r="R1138" s="210" t="str">
        <f>IFERROR(__xludf.DUMMYFUNCTION("""COMPUTED_VALUE"""),"0825101138")</f>
        <v>0825101138</v>
      </c>
      <c r="S1138" s="211" t="str">
        <f>IFERROR(__xludf.DUMMYFUNCTION("""COMPUTED_VALUE"""),"182fb0fe")</f>
        <v>182fb0fe</v>
      </c>
      <c r="T1138" s="211" t="str">
        <f>IFERROR(__xludf.DUMMYFUNCTION("""COMPUTED_VALUE"""),"PT Amtech")</f>
        <v>PT Amtech</v>
      </c>
      <c r="U1138" s="215">
        <f>IFERROR(__xludf.DUMMYFUNCTION("""COMPUTED_VALUE"""),45888.363287037035)</f>
        <v>45888.36329</v>
      </c>
      <c r="V1138"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138" s="211" t="str">
        <f>IFERROR(__xludf.DUMMYFUNCTION("""COMPUTED_VALUE"""),"OUT")</f>
        <v>OUT</v>
      </c>
      <c r="X1138" s="211"/>
      <c r="Z1138" s="211" t="str">
        <f>IFERROR(__xludf.DUMMYFUNCTION("""COMPUTED_VALUE"""),"03250337")</f>
        <v>03250337</v>
      </c>
      <c r="AL1138" s="211"/>
      <c r="AM1138" s="211"/>
      <c r="AN1138" s="211"/>
      <c r="AO1138" s="211"/>
      <c r="AP1138" s="215"/>
      <c r="AQ1138" s="218"/>
      <c r="AR1138" s="211"/>
    </row>
    <row r="1139">
      <c r="A1139" s="210" t="str">
        <f>IFERROR(__xludf.DUMMYFUNCTION("""COMPUTED_VALUE"""),"460f0ae6")</f>
        <v>460f0ae6</v>
      </c>
      <c r="B1139" s="210" t="str">
        <f>IFERROR(__xludf.DUMMYFUNCTION("""COMPUTED_VALUE"""),"460f0ae6")</f>
        <v>460f0ae6</v>
      </c>
      <c r="C1139" s="213">
        <f>IFERROR(__xludf.DUMMYFUNCTION("""COMPUTED_VALUE"""),45808.48402777778)</f>
        <v>45808.48403</v>
      </c>
      <c r="D1139" s="211" t="str">
        <f>IFERROR(__xludf.DUMMYFUNCTION("""COMPUTED_VALUE"""),"ce83e171")</f>
        <v>ce83e171</v>
      </c>
      <c r="E1139" s="211" t="str">
        <f>IFERROR(__xludf.DUMMYFUNCTION("""COMPUTED_VALUE"""),"Bpk. Sulaiman")</f>
        <v>Bpk. Sulaiman</v>
      </c>
      <c r="F1139" s="211" t="str">
        <f>IFERROR(__xludf.DUMMYFUNCTION("""COMPUTED_VALUE"""),"8bdbe149")</f>
        <v>8bdbe149</v>
      </c>
      <c r="G1139" s="211" t="str">
        <f>IFERROR(__xludf.DUMMYFUNCTION("""COMPUTED_VALUE"""),"Oksigen 6m3")</f>
        <v>Oksigen 6m3</v>
      </c>
      <c r="H1139" s="214" t="str">
        <f>IFERROR(__xludf.DUMMYFUNCTION("""COMPUTED_VALUE"""),"IN")</f>
        <v>IN</v>
      </c>
      <c r="I1139" s="214" t="str">
        <f>IFERROR(__xludf.DUMMYFUNCTION("""COMPUTED_VALUE"""),"EMPTY")</f>
        <v>EMPTY</v>
      </c>
      <c r="J1139" s="211">
        <f>IFERROR(__xludf.DUMMYFUNCTION("""COMPUTED_VALUE"""),20.0)</f>
        <v>20</v>
      </c>
      <c r="K1139" s="210" t="str">
        <f>IFERROR(__xludf.DUMMYFUNCTION("""COMPUTED_VALUE"""),"11224 1113 11135 11136 11165 11116 11173 11229 11214 1173 11194 11117 11123 1191 11249 11105 11151 11241 1190 1140")</f>
        <v>11224 1113 11135 11136 11165 11116 11173 11229 11214 1173 11194 11117 11123 1191 11249 11105 11151 11241 1190 1140</v>
      </c>
      <c r="L1139" s="211">
        <f>IFERROR(__xludf.DUMMYFUNCTION("""COMPUTED_VALUE"""),0.0)</f>
        <v>0</v>
      </c>
      <c r="M1139" s="211"/>
      <c r="N1139" s="211"/>
      <c r="O1139" s="211"/>
      <c r="Q1139" s="211"/>
      <c r="R1139" s="211"/>
      <c r="S1139" s="211"/>
      <c r="T1139" s="211"/>
      <c r="U1139" s="211"/>
      <c r="V1139" s="211"/>
      <c r="W1139" s="211"/>
      <c r="X1139" s="211"/>
      <c r="Z1139" s="211" t="str">
        <f>IFERROR(__xludf.DUMMYFUNCTION("""COMPUTED_VALUE"""),"03250335")</f>
        <v>03250335</v>
      </c>
      <c r="AL1139" s="211"/>
      <c r="AM1139" s="211"/>
      <c r="AN1139" s="211"/>
      <c r="AO1139" s="211"/>
      <c r="AP1139" s="215"/>
      <c r="AQ1139" s="218"/>
      <c r="AR1139" s="211"/>
    </row>
    <row r="1140">
      <c r="A1140" s="210" t="str">
        <f>IFERROR(__xludf.DUMMYFUNCTION("""COMPUTED_VALUE"""),"460f0ae6")</f>
        <v>460f0ae6</v>
      </c>
      <c r="B1140" s="210" t="str">
        <f>IFERROR(__xludf.DUMMYFUNCTION("""COMPUTED_VALUE"""),"460f0ae6")</f>
        <v>460f0ae6</v>
      </c>
      <c r="C1140" s="213">
        <f>IFERROR(__xludf.DUMMYFUNCTION("""COMPUTED_VALUE"""),45808.48888888889)</f>
        <v>45808.48889</v>
      </c>
      <c r="D1140" s="211" t="str">
        <f>IFERROR(__xludf.DUMMYFUNCTION("""COMPUTED_VALUE"""),"ce83e171")</f>
        <v>ce83e171</v>
      </c>
      <c r="E1140" s="211" t="str">
        <f>IFERROR(__xludf.DUMMYFUNCTION("""COMPUTED_VALUE"""),"Bpk. Sulaiman")</f>
        <v>Bpk. Sulaiman</v>
      </c>
      <c r="F1140" s="211" t="str">
        <f>IFERROR(__xludf.DUMMYFUNCTION("""COMPUTED_VALUE"""),"be525f3b")</f>
        <v>be525f3b</v>
      </c>
      <c r="G1140" s="211" t="str">
        <f>IFERROR(__xludf.DUMMYFUNCTION("""COMPUTED_VALUE"""),"LPG 12kg")</f>
        <v>LPG 12kg</v>
      </c>
      <c r="H1140" s="214" t="str">
        <f>IFERROR(__xludf.DUMMYFUNCTION("""COMPUTED_VALUE"""),"IN")</f>
        <v>IN</v>
      </c>
      <c r="I1140" s="214" t="str">
        <f>IFERROR(__xludf.DUMMYFUNCTION("""COMPUTED_VALUE"""),"EMPTY")</f>
        <v>EMPTY</v>
      </c>
      <c r="J1140" s="211">
        <f>IFERROR(__xludf.DUMMYFUNCTION("""COMPUTED_VALUE"""),3.0)</f>
        <v>3</v>
      </c>
      <c r="K1140" s="211"/>
      <c r="L1140" s="211">
        <f>IFERROR(__xludf.DUMMYFUNCTION("""COMPUTED_VALUE"""),0.0)</f>
        <v>0</v>
      </c>
      <c r="M1140" s="211"/>
      <c r="N1140" s="211"/>
      <c r="O1140" s="211"/>
      <c r="Q1140" s="210" t="str">
        <f>IFERROR(__xludf.DUMMYFUNCTION("""COMPUTED_VALUE"""),"0825251140")</f>
        <v>0825251140</v>
      </c>
      <c r="R1140" s="210" t="str">
        <f>IFERROR(__xludf.DUMMYFUNCTION("""COMPUTED_VALUE"""),"0825251140")</f>
        <v>0825251140</v>
      </c>
      <c r="S1140" s="211" t="str">
        <f>IFERROR(__xludf.DUMMYFUNCTION("""COMPUTED_VALUE"""),"ce83e171")</f>
        <v>ce83e171</v>
      </c>
      <c r="T1140" s="211" t="str">
        <f>IFERROR(__xludf.DUMMYFUNCTION("""COMPUTED_VALUE"""),"Bpk. Sulaiman")</f>
        <v>Bpk. Sulaiman</v>
      </c>
      <c r="U1140" s="215">
        <f>IFERROR(__xludf.DUMMYFUNCTION("""COMPUTED_VALUE"""),45888.37018518519)</f>
        <v>45888.37019</v>
      </c>
      <c r="V1140" s="211" t="str">
        <f>IFERROR(__xludf.DUMMYFUNCTION("""COMPUTED_VALUE"""),"Jl. Raya Kramat Temenggung No.43, Kramat, Kramat Temenggung, Kec. Tarik, Kabupaten Sidoarjo, Jawa Timur 61265")</f>
        <v>Jl. Raya Kramat Temenggung No.43, Kramat, Kramat Temenggung, Kec. Tarik, Kabupaten Sidoarjo, Jawa Timur 61265</v>
      </c>
      <c r="W1140" s="211" t="str">
        <f>IFERROR(__xludf.DUMMYFUNCTION("""COMPUTED_VALUE"""),"OUT")</f>
        <v>OUT</v>
      </c>
      <c r="X1140" s="211"/>
      <c r="Z1140" s="211" t="str">
        <f>IFERROR(__xludf.DUMMYFUNCTION("""COMPUTED_VALUE"""),"03250334")</f>
        <v>03250334</v>
      </c>
      <c r="AL1140" s="211"/>
      <c r="AM1140" s="211"/>
      <c r="AN1140" s="211"/>
      <c r="AO1140" s="211"/>
      <c r="AP1140" s="215"/>
      <c r="AQ1140" s="218"/>
      <c r="AR1140" s="211"/>
    </row>
    <row r="1141">
      <c r="A1141" s="210" t="str">
        <f>IFERROR(__xludf.DUMMYFUNCTION("""COMPUTED_VALUE"""),"05250478")</f>
        <v>05250478</v>
      </c>
      <c r="B1141" s="210" t="str">
        <f>IFERROR(__xludf.DUMMYFUNCTION("""COMPUTED_VALUE"""),"05250478")</f>
        <v>05250478</v>
      </c>
      <c r="C1141" s="213">
        <f>IFERROR(__xludf.DUMMYFUNCTION("""COMPUTED_VALUE"""),45808.57986111111)</f>
        <v>45808.57986</v>
      </c>
      <c r="D1141" s="211" t="str">
        <f>IFERROR(__xludf.DUMMYFUNCTION("""COMPUTED_VALUE"""),"bdb5baf1")</f>
        <v>bdb5baf1</v>
      </c>
      <c r="E1141" s="211" t="str">
        <f>IFERROR(__xludf.DUMMYFUNCTION("""COMPUTED_VALUE"""),"Bpk. Abdul")</f>
        <v>Bpk. Abdul</v>
      </c>
      <c r="F1141" s="211" t="str">
        <f>IFERROR(__xludf.DUMMYFUNCTION("""COMPUTED_VALUE"""),"8bdbe149")</f>
        <v>8bdbe149</v>
      </c>
      <c r="G1141" s="211" t="str">
        <f>IFERROR(__xludf.DUMMYFUNCTION("""COMPUTED_VALUE"""),"Oksigen 6m3")</f>
        <v>Oksigen 6m3</v>
      </c>
      <c r="H1141" s="214" t="str">
        <f>IFERROR(__xludf.DUMMYFUNCTION("""COMPUTED_VALUE"""),"OUT")</f>
        <v>OUT</v>
      </c>
      <c r="I1141" s="214" t="str">
        <f>IFERROR(__xludf.DUMMYFUNCTION("""COMPUTED_VALUE"""),"NORMAL")</f>
        <v>NORMAL</v>
      </c>
      <c r="J1141" s="211">
        <f>IFERROR(__xludf.DUMMYFUNCTION("""COMPUTED_VALUE"""),1.0)</f>
        <v>1</v>
      </c>
      <c r="K1141" s="210" t="str">
        <f>IFERROR(__xludf.DUMMYFUNCTION("""COMPUTED_VALUE"""),"11290")</f>
        <v>11290</v>
      </c>
      <c r="L1141" s="211">
        <f>IFERROR(__xludf.DUMMYFUNCTION("""COMPUTED_VALUE"""),80000.0)</f>
        <v>80000</v>
      </c>
      <c r="M1141" s="211"/>
      <c r="N1141" s="211"/>
      <c r="O1141" s="211"/>
      <c r="Q1141" s="210" t="str">
        <f>IFERROR(__xludf.DUMMYFUNCTION("""COMPUTED_VALUE"""),"1250518")</f>
        <v>1250518</v>
      </c>
      <c r="R1141" s="210" t="str">
        <f>IFERROR(__xludf.DUMMYFUNCTION("""COMPUTED_VALUE"""),"1250518")</f>
        <v>1250518</v>
      </c>
      <c r="S1141" s="211" t="str">
        <f>IFERROR(__xludf.DUMMYFUNCTION("""COMPUTED_VALUE"""),"1bf27092")</f>
        <v>1bf27092</v>
      </c>
      <c r="T1141" s="211" t="str">
        <f>IFERROR(__xludf.DUMMYFUNCTION("""COMPUTED_VALUE"""),"Bpk. Ari Budiarto")</f>
        <v>Bpk. Ari Budiarto</v>
      </c>
      <c r="U1141" s="215">
        <f>IFERROR(__xludf.DUMMYFUNCTION("""COMPUTED_VALUE"""),45888.37793981482)</f>
        <v>45888.37794</v>
      </c>
      <c r="V1141" s="211" t="str">
        <f>IFERROR(__xludf.DUMMYFUNCTION("""COMPUTED_VALUE"""),"Jl. Raya Balongbendo 232, Bakalan, Bakalan Wringinpitu, Kec. BalongBendo, Kabupaten Sidoarjo, Jawa Timur 61263")</f>
        <v>Jl. Raya Balongbendo 232, Bakalan, Bakalan Wringinpitu, Kec. BalongBendo, Kabupaten Sidoarjo, Jawa Timur 61263</v>
      </c>
      <c r="W1141" s="211" t="str">
        <f>IFERROR(__xludf.DUMMYFUNCTION("""COMPUTED_VALUE"""),"IN")</f>
        <v>IN</v>
      </c>
      <c r="X1141" s="211"/>
      <c r="Z1141" s="211" t="str">
        <f>IFERROR(__xludf.DUMMYFUNCTION("""COMPUTED_VALUE"""),"03250333")</f>
        <v>03250333</v>
      </c>
      <c r="AL1141" s="211"/>
      <c r="AM1141" s="211"/>
      <c r="AN1141" s="211"/>
      <c r="AO1141" s="211"/>
      <c r="AP1141" s="215"/>
      <c r="AQ1141" s="218"/>
      <c r="AR1141" s="211"/>
    </row>
    <row r="1142">
      <c r="A1142" s="210" t="str">
        <f>IFERROR(__xludf.DUMMYFUNCTION("""COMPUTED_VALUE"""),"460f0ae6")</f>
        <v>460f0ae6</v>
      </c>
      <c r="B1142" s="210" t="str">
        <f>IFERROR(__xludf.DUMMYFUNCTION("""COMPUTED_VALUE"""),"460f0ae6")</f>
        <v>460f0ae6</v>
      </c>
      <c r="C1142" s="213">
        <f>IFERROR(__xludf.DUMMYFUNCTION("""COMPUTED_VALUE"""),45808.70416666667)</f>
        <v>45808.70417</v>
      </c>
      <c r="D1142" s="211" t="str">
        <f>IFERROR(__xludf.DUMMYFUNCTION("""COMPUTED_VALUE"""),"ce83e171")</f>
        <v>ce83e171</v>
      </c>
      <c r="E1142" s="211" t="str">
        <f>IFERROR(__xludf.DUMMYFUNCTION("""COMPUTED_VALUE"""),"Bpk. Sulaiman")</f>
        <v>Bpk. Sulaiman</v>
      </c>
      <c r="F1142" s="211" t="str">
        <f>IFERROR(__xludf.DUMMYFUNCTION("""COMPUTED_VALUE"""),"8bdbe149")</f>
        <v>8bdbe149</v>
      </c>
      <c r="G1142" s="211" t="str">
        <f>IFERROR(__xludf.DUMMYFUNCTION("""COMPUTED_VALUE"""),"Oksigen 6m3")</f>
        <v>Oksigen 6m3</v>
      </c>
      <c r="H1142" s="214" t="str">
        <f>IFERROR(__xludf.DUMMYFUNCTION("""COMPUTED_VALUE"""),"IN")</f>
        <v>IN</v>
      </c>
      <c r="I1142" s="214" t="str">
        <f>IFERROR(__xludf.DUMMYFUNCTION("""COMPUTED_VALUE"""),"EMPTY")</f>
        <v>EMPTY</v>
      </c>
      <c r="J1142" s="211">
        <f>IFERROR(__xludf.DUMMYFUNCTION("""COMPUTED_VALUE"""),18.0)</f>
        <v>18</v>
      </c>
      <c r="K1142" s="210" t="str">
        <f>IFERROR(__xludf.DUMMYFUNCTION("""COMPUTED_VALUE"""),"11157 11232 1106 1104 11228 11111 11164 1121 11144 1152 11276 11159 11155 11108 1154 1132 1125 11258")</f>
        <v>11157 11232 1106 1104 11228 11111 11164 1121 11144 1152 11276 11159 11155 11108 1154 1132 1125 11258</v>
      </c>
      <c r="L1142" s="211">
        <f>IFERROR(__xludf.DUMMYFUNCTION("""COMPUTED_VALUE"""),0.0)</f>
        <v>0</v>
      </c>
      <c r="M1142" s="211"/>
      <c r="N1142" s="211"/>
      <c r="O1142" s="211"/>
      <c r="Q1142" s="210" t="str">
        <f>IFERROR(__xludf.DUMMYFUNCTION("""COMPUTED_VALUE"""),"0825131141")</f>
        <v>0825131141</v>
      </c>
      <c r="R1142" s="210" t="str">
        <f>IFERROR(__xludf.DUMMYFUNCTION("""COMPUTED_VALUE"""),"0825131141")</f>
        <v>0825131141</v>
      </c>
      <c r="S1142" s="211" t="str">
        <f>IFERROR(__xludf.DUMMYFUNCTION("""COMPUTED_VALUE"""),"d78b2eaf")</f>
        <v>d78b2eaf</v>
      </c>
      <c r="T1142" s="211" t="str">
        <f>IFERROR(__xludf.DUMMYFUNCTION("""COMPUTED_VALUE"""),"PT Sinar Indogreen Kencana")</f>
        <v>PT Sinar Indogreen Kencana</v>
      </c>
      <c r="U1142" s="215">
        <f>IFERROR(__xludf.DUMMYFUNCTION("""COMPUTED_VALUE"""),45888.40789351852)</f>
        <v>45888.40789</v>
      </c>
      <c r="V1142" s="211" t="str">
        <f>IFERROR(__xludf.DUMMYFUNCTION("""COMPUTED_VALUE"""),"Jl. Raya Ponokawan 8b RT/001 RW/002, Ponokawan, Krian, Sidoarjo")</f>
        <v>Jl. Raya Ponokawan 8b RT/001 RW/002, Ponokawan, Krian, Sidoarjo</v>
      </c>
      <c r="W1142" s="211" t="str">
        <f>IFERROR(__xludf.DUMMYFUNCTION("""COMPUTED_VALUE"""),"OUT")</f>
        <v>OUT</v>
      </c>
      <c r="X1142" s="211"/>
      <c r="Z1142" s="211" t="str">
        <f>IFERROR(__xludf.DUMMYFUNCTION("""COMPUTED_VALUE"""),"03250332")</f>
        <v>03250332</v>
      </c>
      <c r="AL1142" s="211"/>
      <c r="AM1142" s="211"/>
      <c r="AN1142" s="211"/>
      <c r="AO1142" s="211"/>
      <c r="AP1142" s="215"/>
      <c r="AQ1142" s="218"/>
      <c r="AR1142" s="211"/>
    </row>
    <row r="1143">
      <c r="A1143" s="210" t="str">
        <f>IFERROR(__xludf.DUMMYFUNCTION("""COMPUTED_VALUE"""),"460f0ae6")</f>
        <v>460f0ae6</v>
      </c>
      <c r="B1143" s="210" t="str">
        <f>IFERROR(__xludf.DUMMYFUNCTION("""COMPUTED_VALUE"""),"460f0ae6")</f>
        <v>460f0ae6</v>
      </c>
      <c r="C1143" s="213">
        <f>IFERROR(__xludf.DUMMYFUNCTION("""COMPUTED_VALUE"""),45808.705555555556)</f>
        <v>45808.70556</v>
      </c>
      <c r="D1143" s="211" t="str">
        <f>IFERROR(__xludf.DUMMYFUNCTION("""COMPUTED_VALUE"""),"ce83e171")</f>
        <v>ce83e171</v>
      </c>
      <c r="E1143" s="211" t="str">
        <f>IFERROR(__xludf.DUMMYFUNCTION("""COMPUTED_VALUE"""),"Bpk. Sulaiman")</f>
        <v>Bpk. Sulaiman</v>
      </c>
      <c r="F1143" s="211" t="str">
        <f>IFERROR(__xludf.DUMMYFUNCTION("""COMPUTED_VALUE"""),"be525f3b")</f>
        <v>be525f3b</v>
      </c>
      <c r="G1143" s="211" t="str">
        <f>IFERROR(__xludf.DUMMYFUNCTION("""COMPUTED_VALUE"""),"LPG 12kg")</f>
        <v>LPG 12kg</v>
      </c>
      <c r="H1143" s="214" t="str">
        <f>IFERROR(__xludf.DUMMYFUNCTION("""COMPUTED_VALUE"""),"IN")</f>
        <v>IN</v>
      </c>
      <c r="I1143" s="214" t="str">
        <f>IFERROR(__xludf.DUMMYFUNCTION("""COMPUTED_VALUE"""),"EMPTY")</f>
        <v>EMPTY</v>
      </c>
      <c r="J1143" s="211">
        <f>IFERROR(__xludf.DUMMYFUNCTION("""COMPUTED_VALUE"""),2.0)</f>
        <v>2</v>
      </c>
      <c r="K1143" s="211"/>
      <c r="L1143" s="211">
        <f>IFERROR(__xludf.DUMMYFUNCTION("""COMPUTED_VALUE"""),0.0)</f>
        <v>0</v>
      </c>
      <c r="M1143" s="211"/>
      <c r="N1143" s="211"/>
      <c r="O1143" s="211"/>
      <c r="Q1143" s="210" t="str">
        <f>IFERROR(__xludf.DUMMYFUNCTION("""COMPUTED_VALUE"""),"1250530")</f>
        <v>1250530</v>
      </c>
      <c r="R1143" s="210" t="str">
        <f>IFERROR(__xludf.DUMMYFUNCTION("""COMPUTED_VALUE"""),"1250530")</f>
        <v>1250530</v>
      </c>
      <c r="S1143" s="211" t="str">
        <f>IFERROR(__xludf.DUMMYFUNCTION("""COMPUTED_VALUE"""),"0411d86e")</f>
        <v>0411d86e</v>
      </c>
      <c r="T1143" s="211" t="str">
        <f>IFERROR(__xludf.DUMMYFUNCTION("""COMPUTED_VALUE"""),"Bpk. Subiantoro (Parengan)")</f>
        <v>Bpk. Subiantoro (Parengan)</v>
      </c>
      <c r="U1143" s="215">
        <f>IFERROR(__xludf.DUMMYFUNCTION("""COMPUTED_VALUE"""),45888.413125)</f>
        <v>45888.41313</v>
      </c>
      <c r="V1143" s="211" t="str">
        <f>IFERROR(__xludf.DUMMYFUNCTION("""COMPUTED_VALUE"""),"Jl. Kraton, Sidomukti, Kraton, Kec. Krian, Kabupaten Sidoarjo, Jawa Timur 61262")</f>
        <v>Jl. Kraton, Sidomukti, Kraton, Kec. Krian, Kabupaten Sidoarjo, Jawa Timur 61262</v>
      </c>
      <c r="W1143" s="211" t="str">
        <f>IFERROR(__xludf.DUMMYFUNCTION("""COMPUTED_VALUE"""),"IN")</f>
        <v>IN</v>
      </c>
      <c r="X1143" s="211"/>
      <c r="Z1143" s="211" t="str">
        <f>IFERROR(__xludf.DUMMYFUNCTION("""COMPUTED_VALUE"""),"03250331")</f>
        <v>03250331</v>
      </c>
      <c r="AL1143" s="211"/>
      <c r="AM1143" s="211"/>
      <c r="AN1143" s="211"/>
      <c r="AO1143" s="211"/>
      <c r="AP1143" s="215"/>
      <c r="AQ1143" s="218"/>
      <c r="AR1143" s="211"/>
    </row>
    <row r="1144">
      <c r="A1144" s="210" t="str">
        <f>IFERROR(__xludf.DUMMYFUNCTION("""COMPUTED_VALUE"""),"06250479")</f>
        <v>06250479</v>
      </c>
      <c r="B1144" s="210" t="str">
        <f>IFERROR(__xludf.DUMMYFUNCTION("""COMPUTED_VALUE"""),"06250479")</f>
        <v>06250479</v>
      </c>
      <c r="C1144" s="213">
        <f>IFERROR(__xludf.DUMMYFUNCTION("""COMPUTED_VALUE"""),45810.33611111111)</f>
        <v>45810.33611</v>
      </c>
      <c r="D1144" s="211" t="str">
        <f>IFERROR(__xludf.DUMMYFUNCTION("""COMPUTED_VALUE"""),"5449a0b8")</f>
        <v>5449a0b8</v>
      </c>
      <c r="E1144" s="211" t="str">
        <f>IFERROR(__xludf.DUMMYFUNCTION("""COMPUTED_VALUE"""),"Bpk. Supar")</f>
        <v>Bpk. Supar</v>
      </c>
      <c r="F1144" s="211" t="str">
        <f>IFERROR(__xludf.DUMMYFUNCTION("""COMPUTED_VALUE"""),"8bdbe149")</f>
        <v>8bdbe149</v>
      </c>
      <c r="G1144" s="211" t="str">
        <f>IFERROR(__xludf.DUMMYFUNCTION("""COMPUTED_VALUE"""),"Oksigen 6m3")</f>
        <v>Oksigen 6m3</v>
      </c>
      <c r="H1144" s="214" t="str">
        <f>IFERROR(__xludf.DUMMYFUNCTION("""COMPUTED_VALUE"""),"OUT")</f>
        <v>OUT</v>
      </c>
      <c r="I1144" s="214" t="str">
        <f>IFERROR(__xludf.DUMMYFUNCTION("""COMPUTED_VALUE"""),"NORMAL")</f>
        <v>NORMAL</v>
      </c>
      <c r="J1144" s="211">
        <f>IFERROR(__xludf.DUMMYFUNCTION("""COMPUTED_VALUE"""),1.0)</f>
        <v>1</v>
      </c>
      <c r="K1144" s="210" t="str">
        <f>IFERROR(__xludf.DUMMYFUNCTION("""COMPUTED_VALUE"""),"11173")</f>
        <v>11173</v>
      </c>
      <c r="L1144" s="211">
        <f>IFERROR(__xludf.DUMMYFUNCTION("""COMPUTED_VALUE"""),70000.0)</f>
        <v>70000</v>
      </c>
      <c r="M1144" s="211"/>
      <c r="N1144" s="211"/>
      <c r="O1144" s="211"/>
      <c r="Q1144" s="210" t="str">
        <f>IFERROR(__xludf.DUMMYFUNCTION("""COMPUTED_VALUE"""),"1250519")</f>
        <v>1250519</v>
      </c>
      <c r="R1144" s="210" t="str">
        <f>IFERROR(__xludf.DUMMYFUNCTION("""COMPUTED_VALUE"""),"1250519")</f>
        <v>1250519</v>
      </c>
      <c r="S1144" s="211" t="str">
        <f>IFERROR(__xludf.DUMMYFUNCTION("""COMPUTED_VALUE"""),"b218b89b")</f>
        <v>b218b89b</v>
      </c>
      <c r="T1144" s="211" t="str">
        <f>IFERROR(__xludf.DUMMYFUNCTION("""COMPUTED_VALUE"""),"PT Harapan Sentosa")</f>
        <v>PT Harapan Sentosa</v>
      </c>
      <c r="U1144" s="215">
        <f>IFERROR(__xludf.DUMMYFUNCTION("""COMPUTED_VALUE"""),45888.429027777776)</f>
        <v>45888.42903</v>
      </c>
      <c r="V1144" s="211" t="str">
        <f>IFERROR(__xludf.DUMMYFUNCTION("""COMPUTED_VALUE"""),"Seketi, Jl. Purboyo II Selatan, RT.02/RW.02, Seketi, Kec. BalongBendo, Kabupaten Sidoarjo, Jawa Timur 61263")</f>
        <v>Seketi, Jl. Purboyo II Selatan, RT.02/RW.02, Seketi, Kec. BalongBendo, Kabupaten Sidoarjo, Jawa Timur 61263</v>
      </c>
      <c r="W1144" s="211" t="str">
        <f>IFERROR(__xludf.DUMMYFUNCTION("""COMPUTED_VALUE"""),"IN")</f>
        <v>IN</v>
      </c>
      <c r="X1144" s="211"/>
      <c r="Z1144" s="211" t="str">
        <f>IFERROR(__xludf.DUMMYFUNCTION("""COMPUTED_VALUE"""),"03250328")</f>
        <v>03250328</v>
      </c>
      <c r="AL1144" s="211"/>
      <c r="AM1144" s="211"/>
      <c r="AN1144" s="211"/>
      <c r="AO1144" s="211"/>
      <c r="AP1144" s="215"/>
      <c r="AQ1144" s="218"/>
      <c r="AR1144" s="211"/>
    </row>
    <row r="1145">
      <c r="A1145" s="210" t="str">
        <f>IFERROR(__xludf.DUMMYFUNCTION("""COMPUTED_VALUE"""),"06250480")</f>
        <v>06250480</v>
      </c>
      <c r="B1145" s="210" t="str">
        <f>IFERROR(__xludf.DUMMYFUNCTION("""COMPUTED_VALUE"""),"06250480")</f>
        <v>06250480</v>
      </c>
      <c r="C1145" s="213">
        <f>IFERROR(__xludf.DUMMYFUNCTION("""COMPUTED_VALUE"""),45810.34444444445)</f>
        <v>45810.34444</v>
      </c>
      <c r="D1145" s="211" t="str">
        <f>IFERROR(__xludf.DUMMYFUNCTION("""COMPUTED_VALUE"""),"3fec37df")</f>
        <v>3fec37df</v>
      </c>
      <c r="E1145" s="211" t="str">
        <f>IFERROR(__xludf.DUMMYFUNCTION("""COMPUTED_VALUE"""),"PT Jatim Abadi Perkasa Steel")</f>
        <v>PT Jatim Abadi Perkasa Steel</v>
      </c>
      <c r="F1145" s="211" t="str">
        <f>IFERROR(__xludf.DUMMYFUNCTION("""COMPUTED_VALUE"""),"b7a8fff1")</f>
        <v>b7a8fff1</v>
      </c>
      <c r="G1145" s="211" t="str">
        <f>IFERROR(__xludf.DUMMYFUNCTION("""COMPUTED_VALUE"""),"LPG 50kg")</f>
        <v>LPG 50kg</v>
      </c>
      <c r="H1145" s="214" t="str">
        <f>IFERROR(__xludf.DUMMYFUNCTION("""COMPUTED_VALUE"""),"OUT")</f>
        <v>OUT</v>
      </c>
      <c r="I1145" s="214" t="str">
        <f>IFERROR(__xludf.DUMMYFUNCTION("""COMPUTED_VALUE"""),"NORMAL")</f>
        <v>NORMAL</v>
      </c>
      <c r="J1145" s="211">
        <f>IFERROR(__xludf.DUMMYFUNCTION("""COMPUTED_VALUE"""),5.0)</f>
        <v>5</v>
      </c>
      <c r="K1145" s="211"/>
      <c r="L1145" s="211">
        <f>IFERROR(__xludf.DUMMYFUNCTION("""COMPUTED_VALUE"""),909909.9099)</f>
        <v>909909.9099</v>
      </c>
      <c r="M1145" s="211"/>
      <c r="N1145" s="211"/>
      <c r="O1145" s="211"/>
      <c r="Q1145" s="210" t="str">
        <f>IFERROR(__xludf.DUMMYFUNCTION("""COMPUTED_VALUE"""),"1250520")</f>
        <v>1250520</v>
      </c>
      <c r="R1145" s="210" t="str">
        <f>IFERROR(__xludf.DUMMYFUNCTION("""COMPUTED_VALUE"""),"1250520")</f>
        <v>1250520</v>
      </c>
      <c r="S1145" s="211" t="str">
        <f>IFERROR(__xludf.DUMMYFUNCTION("""COMPUTED_VALUE"""),"ce83e171")</f>
        <v>ce83e171</v>
      </c>
      <c r="T1145" s="211" t="str">
        <f>IFERROR(__xludf.DUMMYFUNCTION("""COMPUTED_VALUE"""),"Bpk. Sulaiman")</f>
        <v>Bpk. Sulaiman</v>
      </c>
      <c r="U1145" s="215">
        <f>IFERROR(__xludf.DUMMYFUNCTION("""COMPUTED_VALUE"""),45888.47076388889)</f>
        <v>45888.47076</v>
      </c>
      <c r="V1145" s="211" t="str">
        <f>IFERROR(__xludf.DUMMYFUNCTION("""COMPUTED_VALUE"""),"Jl. Raya Kramat Temenggung No.43, Kramat, Kramat Temenggung, Kec. Tarik, Kabupaten Sidoarjo, Jawa Timur 61265")</f>
        <v>Jl. Raya Kramat Temenggung No.43, Kramat, Kramat Temenggung, Kec. Tarik, Kabupaten Sidoarjo, Jawa Timur 61265</v>
      </c>
      <c r="W1145" s="211" t="str">
        <f>IFERROR(__xludf.DUMMYFUNCTION("""COMPUTED_VALUE"""),"IN")</f>
        <v>IN</v>
      </c>
      <c r="X1145" s="211"/>
      <c r="Z1145" s="211" t="str">
        <f>IFERROR(__xludf.DUMMYFUNCTION("""COMPUTED_VALUE"""),"0325201090")</f>
        <v>0325201090</v>
      </c>
      <c r="AL1145" s="211"/>
      <c r="AM1145" s="211"/>
      <c r="AN1145" s="211"/>
      <c r="AO1145" s="211"/>
      <c r="AP1145" s="215"/>
      <c r="AQ1145" s="218"/>
      <c r="AR1145" s="211"/>
    </row>
    <row r="1146">
      <c r="A1146" s="210" t="str">
        <f>IFERROR(__xludf.DUMMYFUNCTION("""COMPUTED_VALUE"""),"06250481")</f>
        <v>06250481</v>
      </c>
      <c r="B1146" s="210" t="str">
        <f>IFERROR(__xludf.DUMMYFUNCTION("""COMPUTED_VALUE"""),"06250481")</f>
        <v>06250481</v>
      </c>
      <c r="C1146" s="213">
        <f>IFERROR(__xludf.DUMMYFUNCTION("""COMPUTED_VALUE"""),45810.35486111111)</f>
        <v>45810.35486</v>
      </c>
      <c r="D1146" s="211" t="str">
        <f>IFERROR(__xludf.DUMMYFUNCTION("""COMPUTED_VALUE"""),"0411d86e")</f>
        <v>0411d86e</v>
      </c>
      <c r="E1146" s="211" t="str">
        <f>IFERROR(__xludf.DUMMYFUNCTION("""COMPUTED_VALUE"""),"Bpk. Subiantoro (Parengan)")</f>
        <v>Bpk. Subiantoro (Parengan)</v>
      </c>
      <c r="F1146" s="211" t="str">
        <f>IFERROR(__xludf.DUMMYFUNCTION("""COMPUTED_VALUE"""),"8bdbe149")</f>
        <v>8bdbe149</v>
      </c>
      <c r="G1146" s="211" t="str">
        <f>IFERROR(__xludf.DUMMYFUNCTION("""COMPUTED_VALUE"""),"Oksigen 6m3")</f>
        <v>Oksigen 6m3</v>
      </c>
      <c r="H1146" s="214" t="str">
        <f>IFERROR(__xludf.DUMMYFUNCTION("""COMPUTED_VALUE"""),"OUT")</f>
        <v>OUT</v>
      </c>
      <c r="I1146" s="214" t="str">
        <f>IFERROR(__xludf.DUMMYFUNCTION("""COMPUTED_VALUE"""),"NORMAL")</f>
        <v>NORMAL</v>
      </c>
      <c r="J1146" s="211">
        <f>IFERROR(__xludf.DUMMYFUNCTION("""COMPUTED_VALUE"""),20.0)</f>
        <v>20</v>
      </c>
      <c r="K1146" s="210" t="str">
        <f>IFERROR(__xludf.DUMMYFUNCTION("""COMPUTED_VALUE"""),"11279 1171 11287 11271 11288 11241 11263 11193 1169 11180 11249 11193 11207 11284 11211 11264 11197 1160 11283 11265")</f>
        <v>11279 1171 11287 11271 11288 11241 11263 11193 1169 11180 11249 11193 11207 11284 11211 11264 11197 1160 11283 11265</v>
      </c>
      <c r="L1146" s="211">
        <f>IFERROR(__xludf.DUMMYFUNCTION("""COMPUTED_VALUE"""),70000.0)</f>
        <v>70000</v>
      </c>
      <c r="M1146" s="211"/>
      <c r="N1146" s="211"/>
      <c r="O1146" s="211"/>
      <c r="Q1146" s="210" t="str">
        <f>IFERROR(__xludf.DUMMYFUNCTION("""COMPUTED_VALUE"""),"1250521")</f>
        <v>1250521</v>
      </c>
      <c r="R1146" s="210" t="str">
        <f>IFERROR(__xludf.DUMMYFUNCTION("""COMPUTED_VALUE"""),"1250521")</f>
        <v>1250521</v>
      </c>
      <c r="S1146" s="211" t="str">
        <f>IFERROR(__xludf.DUMMYFUNCTION("""COMPUTED_VALUE"""),"d78b2eaf")</f>
        <v>d78b2eaf</v>
      </c>
      <c r="T1146" s="211" t="str">
        <f>IFERROR(__xludf.DUMMYFUNCTION("""COMPUTED_VALUE"""),"PT Sinar Indogreen Kencana")</f>
        <v>PT Sinar Indogreen Kencana</v>
      </c>
      <c r="U1146" s="215">
        <f>IFERROR(__xludf.DUMMYFUNCTION("""COMPUTED_VALUE"""),45888.62630787037)</f>
        <v>45888.62631</v>
      </c>
      <c r="V1146" s="211" t="str">
        <f>IFERROR(__xludf.DUMMYFUNCTION("""COMPUTED_VALUE"""),"Jl. Raya Ponokawan 8b RT/001 RW/002, Ponokawan, Krian, Sidoarjo")</f>
        <v>Jl. Raya Ponokawan 8b RT/001 RW/002, Ponokawan, Krian, Sidoarjo</v>
      </c>
      <c r="W1146" s="211" t="str">
        <f>IFERROR(__xludf.DUMMYFUNCTION("""COMPUTED_VALUE"""),"IN")</f>
        <v>IN</v>
      </c>
      <c r="X1146" s="211"/>
      <c r="Z1146" s="211" t="str">
        <f>IFERROR(__xludf.DUMMYFUNCTION("""COMPUTED_VALUE"""),"03250327")</f>
        <v>03250327</v>
      </c>
      <c r="AL1146" s="211"/>
      <c r="AM1146" s="211"/>
      <c r="AN1146" s="211"/>
      <c r="AO1146" s="211"/>
      <c r="AP1146" s="215"/>
      <c r="AQ1146" s="218"/>
      <c r="AR1146" s="211"/>
    </row>
    <row r="1147">
      <c r="A1147" s="210" t="str">
        <f>IFERROR(__xludf.DUMMYFUNCTION("""COMPUTED_VALUE"""),"06250482")</f>
        <v>06250482</v>
      </c>
      <c r="B1147" s="210" t="str">
        <f>IFERROR(__xludf.DUMMYFUNCTION("""COMPUTED_VALUE"""),"06250482")</f>
        <v>06250482</v>
      </c>
      <c r="C1147" s="213">
        <f>IFERROR(__xludf.DUMMYFUNCTION("""COMPUTED_VALUE"""),45810.37708333333)</f>
        <v>45810.37708</v>
      </c>
      <c r="D1147" s="211" t="str">
        <f>IFERROR(__xludf.DUMMYFUNCTION("""COMPUTED_VALUE"""),"45d814b4")</f>
        <v>45d814b4</v>
      </c>
      <c r="E1147" s="211" t="str">
        <f>IFERROR(__xludf.DUMMYFUNCTION("""COMPUTED_VALUE"""),"Bpk. Joko (Ponokawan)")</f>
        <v>Bpk. Joko (Ponokawan)</v>
      </c>
      <c r="F1147" s="211" t="str">
        <f>IFERROR(__xludf.DUMMYFUNCTION("""COMPUTED_VALUE"""),"8bdbe149")</f>
        <v>8bdbe149</v>
      </c>
      <c r="G1147" s="211" t="str">
        <f>IFERROR(__xludf.DUMMYFUNCTION("""COMPUTED_VALUE"""),"Oksigen 6m3")</f>
        <v>Oksigen 6m3</v>
      </c>
      <c r="H1147" s="214" t="str">
        <f>IFERROR(__xludf.DUMMYFUNCTION("""COMPUTED_VALUE"""),"OUT")</f>
        <v>OUT</v>
      </c>
      <c r="I1147" s="214" t="str">
        <f>IFERROR(__xludf.DUMMYFUNCTION("""COMPUTED_VALUE"""),"NORMAL")</f>
        <v>NORMAL</v>
      </c>
      <c r="J1147" s="211">
        <f>IFERROR(__xludf.DUMMYFUNCTION("""COMPUTED_VALUE"""),1.0)</f>
        <v>1</v>
      </c>
      <c r="K1147" s="210" t="str">
        <f>IFERROR(__xludf.DUMMYFUNCTION("""COMPUTED_VALUE"""),"11123")</f>
        <v>11123</v>
      </c>
      <c r="L1147" s="211">
        <f>IFERROR(__xludf.DUMMYFUNCTION("""COMPUTED_VALUE"""),60000.0)</f>
        <v>60000</v>
      </c>
      <c r="M1147" s="211"/>
      <c r="N1147" s="211"/>
      <c r="O1147" s="211"/>
      <c r="Q1147" s="210" t="str">
        <f>IFERROR(__xludf.DUMMYFUNCTION("""COMPUTED_VALUE"""),"1250522")</f>
        <v>1250522</v>
      </c>
      <c r="R1147" s="210" t="str">
        <f>IFERROR(__xludf.DUMMYFUNCTION("""COMPUTED_VALUE"""),"1250522")</f>
        <v>1250522</v>
      </c>
      <c r="S1147" s="211" t="str">
        <f>IFERROR(__xludf.DUMMYFUNCTION("""COMPUTED_VALUE"""),"182fb0fe")</f>
        <v>182fb0fe</v>
      </c>
      <c r="T1147" s="211" t="str">
        <f>IFERROR(__xludf.DUMMYFUNCTION("""COMPUTED_VALUE"""),"PT Amtech")</f>
        <v>PT Amtech</v>
      </c>
      <c r="U1147" s="215">
        <f>IFERROR(__xludf.DUMMYFUNCTION("""COMPUTED_VALUE"""),45888.62787037037)</f>
        <v>45888.62787</v>
      </c>
      <c r="V1147" s="211" t="str">
        <f>IFERROR(__xludf.DUMMYFUNCTION("""COMPUTED_VALUE"""),"Jl. Morowudi, Ikerikergeger, Kabupaten Gresik, Jawa Timur")</f>
        <v>Jl. Morowudi, Ikerikergeger, Kabupaten Gresik, Jawa Timur</v>
      </c>
      <c r="W1147" s="211" t="str">
        <f>IFERROR(__xludf.DUMMYFUNCTION("""COMPUTED_VALUE"""),"IN")</f>
        <v>IN</v>
      </c>
      <c r="X1147" s="211"/>
      <c r="Z1147" s="211" t="str">
        <f>IFERROR(__xludf.DUMMYFUNCTION("""COMPUTED_VALUE"""),"03250326")</f>
        <v>03250326</v>
      </c>
      <c r="AL1147" s="211"/>
      <c r="AM1147" s="211"/>
      <c r="AN1147" s="211"/>
      <c r="AO1147" s="211"/>
      <c r="AP1147" s="215"/>
      <c r="AQ1147" s="218"/>
      <c r="AR1147" s="211"/>
    </row>
    <row r="1148">
      <c r="A1148" s="210" t="str">
        <f>IFERROR(__xludf.DUMMYFUNCTION("""COMPUTED_VALUE"""),"06250482")</f>
        <v>06250482</v>
      </c>
      <c r="B1148" s="210" t="str">
        <f>IFERROR(__xludf.DUMMYFUNCTION("""COMPUTED_VALUE"""),"06250482")</f>
        <v>06250482</v>
      </c>
      <c r="C1148" s="213">
        <f>IFERROR(__xludf.DUMMYFUNCTION("""COMPUTED_VALUE"""),45810.37777777778)</f>
        <v>45810.37778</v>
      </c>
      <c r="D1148" s="211" t="str">
        <f>IFERROR(__xludf.DUMMYFUNCTION("""COMPUTED_VALUE"""),"45d814b4")</f>
        <v>45d814b4</v>
      </c>
      <c r="E1148" s="211" t="str">
        <f>IFERROR(__xludf.DUMMYFUNCTION("""COMPUTED_VALUE"""),"Bpk. Joko (Ponokawan)")</f>
        <v>Bpk. Joko (Ponokawan)</v>
      </c>
      <c r="F1148" s="211" t="str">
        <f>IFERROR(__xludf.DUMMYFUNCTION("""COMPUTED_VALUE"""),"66af7c72")</f>
        <v>66af7c72</v>
      </c>
      <c r="G1148" s="211" t="str">
        <f>IFERROR(__xludf.DUMMYFUNCTION("""COMPUTED_VALUE"""),"Argon 6m3")</f>
        <v>Argon 6m3</v>
      </c>
      <c r="H1148" s="214" t="str">
        <f>IFERROR(__xludf.DUMMYFUNCTION("""COMPUTED_VALUE"""),"OUT")</f>
        <v>OUT</v>
      </c>
      <c r="I1148" s="214" t="str">
        <f>IFERROR(__xludf.DUMMYFUNCTION("""COMPUTED_VALUE"""),"NORMAL")</f>
        <v>NORMAL</v>
      </c>
      <c r="J1148" s="211">
        <f>IFERROR(__xludf.DUMMYFUNCTION("""COMPUTED_VALUE"""),1.0)</f>
        <v>1</v>
      </c>
      <c r="K1148" s="210" t="str">
        <f>IFERROR(__xludf.DUMMYFUNCTION("""COMPUTED_VALUE"""),"12016")</f>
        <v>12016</v>
      </c>
      <c r="L1148" s="211">
        <f>IFERROR(__xludf.DUMMYFUNCTION("""COMPUTED_VALUE"""),260000.0)</f>
        <v>260000</v>
      </c>
      <c r="M1148" s="211"/>
      <c r="N1148" s="211"/>
      <c r="O1148" s="211"/>
      <c r="Q1148" s="210" t="str">
        <f>IFERROR(__xludf.DUMMYFUNCTION("""COMPUTED_VALUE"""),"082511143")</f>
        <v>082511143</v>
      </c>
      <c r="R1148" s="210" t="str">
        <f>IFERROR(__xludf.DUMMYFUNCTION("""COMPUTED_VALUE"""),"082511143")</f>
        <v>082511143</v>
      </c>
      <c r="S1148" s="211" t="str">
        <f>IFERROR(__xludf.DUMMYFUNCTION("""COMPUTED_VALUE"""),"5f23ba17")</f>
        <v>5f23ba17</v>
      </c>
      <c r="T1148" s="211" t="str">
        <f>IFERROR(__xludf.DUMMYFUNCTION("""COMPUTED_VALUE"""),"Bpk. Joko (Gresik)")</f>
        <v>Bpk. Joko (Gresik)</v>
      </c>
      <c r="U1148" s="215">
        <f>IFERROR(__xludf.DUMMYFUNCTION("""COMPUTED_VALUE"""),45889.495092592595)</f>
        <v>45889.49509</v>
      </c>
      <c r="V1148" s="211" t="str">
        <f>IFERROR(__xludf.DUMMYFUNCTION("""COMPUTED_VALUE"""),"Tanggungan, Lebaniwaras, Kec. Wringinanom, Kabupaten Gresik, Jawa Timur")</f>
        <v>Tanggungan, Lebaniwaras, Kec. Wringinanom, Kabupaten Gresik, Jawa Timur</v>
      </c>
      <c r="W1148" s="211" t="str">
        <f>IFERROR(__xludf.DUMMYFUNCTION("""COMPUTED_VALUE"""),"OUT")</f>
        <v>OUT</v>
      </c>
      <c r="X1148" s="211"/>
      <c r="Z1148" s="211" t="str">
        <f>IFERROR(__xludf.DUMMYFUNCTION("""COMPUTED_VALUE"""),"03250325")</f>
        <v>03250325</v>
      </c>
      <c r="AL1148" s="211"/>
      <c r="AM1148" s="211"/>
      <c r="AN1148" s="211"/>
      <c r="AO1148" s="211"/>
      <c r="AP1148" s="215"/>
      <c r="AQ1148" s="218"/>
      <c r="AR1148" s="211"/>
    </row>
    <row r="1149">
      <c r="A1149" s="210" t="str">
        <f>IFERROR(__xludf.DUMMYFUNCTION("""COMPUTED_VALUE"""),"06250484")</f>
        <v>06250484</v>
      </c>
      <c r="B1149" s="210" t="str">
        <f>IFERROR(__xludf.DUMMYFUNCTION("""COMPUTED_VALUE"""),"06250484")</f>
        <v>06250484</v>
      </c>
      <c r="C1149" s="213">
        <f>IFERROR(__xludf.DUMMYFUNCTION("""COMPUTED_VALUE"""),45810.438888888886)</f>
        <v>45810.43889</v>
      </c>
      <c r="D1149" s="211" t="str">
        <f>IFERROR(__xludf.DUMMYFUNCTION("""COMPUTED_VALUE"""),"2d88931c")</f>
        <v>2d88931c</v>
      </c>
      <c r="E1149" s="211" t="str">
        <f>IFERROR(__xludf.DUMMYFUNCTION("""COMPUTED_VALUE"""),"PT Dunia Berkat Marga Mulya")</f>
        <v>PT Dunia Berkat Marga Mulya</v>
      </c>
      <c r="F1149" s="211" t="str">
        <f>IFERROR(__xludf.DUMMYFUNCTION("""COMPUTED_VALUE"""),"8bdbe149")</f>
        <v>8bdbe149</v>
      </c>
      <c r="G1149" s="211" t="str">
        <f>IFERROR(__xludf.DUMMYFUNCTION("""COMPUTED_VALUE"""),"Oksigen 6m3")</f>
        <v>Oksigen 6m3</v>
      </c>
      <c r="H1149" s="214" t="str">
        <f>IFERROR(__xludf.DUMMYFUNCTION("""COMPUTED_VALUE"""),"OUT")</f>
        <v>OUT</v>
      </c>
      <c r="I1149" s="214" t="str">
        <f>IFERROR(__xludf.DUMMYFUNCTION("""COMPUTED_VALUE"""),"NORMAL")</f>
        <v>NORMAL</v>
      </c>
      <c r="J1149" s="211">
        <f>IFERROR(__xludf.DUMMYFUNCTION("""COMPUTED_VALUE"""),5.0)</f>
        <v>5</v>
      </c>
      <c r="K1149" s="210" t="str">
        <f>IFERROR(__xludf.DUMMYFUNCTION("""COMPUTED_VALUE"""),"11205 11176 11127 11188 11177")</f>
        <v>11205 11176 11127 11188 11177</v>
      </c>
      <c r="L1149" s="211">
        <f>IFERROR(__xludf.DUMMYFUNCTION("""COMPUTED_VALUE"""),60000.0)</f>
        <v>60000</v>
      </c>
      <c r="M1149" s="211"/>
      <c r="N1149" s="211"/>
      <c r="O1149" s="211"/>
      <c r="Q1149" s="211"/>
      <c r="R1149" s="211"/>
      <c r="S1149" s="211"/>
      <c r="T1149" s="211"/>
      <c r="U1149" s="211"/>
      <c r="V1149" s="211"/>
      <c r="W1149" s="211"/>
      <c r="X1149" s="211"/>
      <c r="Z1149" s="211" t="str">
        <f>IFERROR(__xludf.DUMMYFUNCTION("""COMPUTED_VALUE"""),"03250324")</f>
        <v>03250324</v>
      </c>
      <c r="AL1149" s="211"/>
      <c r="AM1149" s="211"/>
      <c r="AN1149" s="211"/>
      <c r="AO1149" s="211"/>
      <c r="AP1149" s="215"/>
      <c r="AQ1149" s="218"/>
      <c r="AR1149" s="211"/>
    </row>
    <row r="1150">
      <c r="A1150" s="210" t="str">
        <f>IFERROR(__xludf.DUMMYFUNCTION("""COMPUTED_VALUE"""),"06250485")</f>
        <v>06250485</v>
      </c>
      <c r="B1150" s="210" t="str">
        <f>IFERROR(__xludf.DUMMYFUNCTION("""COMPUTED_VALUE"""),"06250485")</f>
        <v>06250485</v>
      </c>
      <c r="C1150" s="213">
        <f>IFERROR(__xludf.DUMMYFUNCTION("""COMPUTED_VALUE"""),45810.52777777778)</f>
        <v>45810.52778</v>
      </c>
      <c r="D1150" s="211" t="str">
        <f>IFERROR(__xludf.DUMMYFUNCTION("""COMPUTED_VALUE"""),"d78b2eaf")</f>
        <v>d78b2eaf</v>
      </c>
      <c r="E1150" s="211" t="str">
        <f>IFERROR(__xludf.DUMMYFUNCTION("""COMPUTED_VALUE"""),"PT Sinar Indogreen Kencana")</f>
        <v>PT Sinar Indogreen Kencana</v>
      </c>
      <c r="F1150" s="211" t="str">
        <f>IFERROR(__xludf.DUMMYFUNCTION("""COMPUTED_VALUE"""),"be525f3b")</f>
        <v>be525f3b</v>
      </c>
      <c r="G1150" s="211" t="str">
        <f>IFERROR(__xludf.DUMMYFUNCTION("""COMPUTED_VALUE"""),"LPG 12kg")</f>
        <v>LPG 12kg</v>
      </c>
      <c r="H1150" s="214" t="str">
        <f>IFERROR(__xludf.DUMMYFUNCTION("""COMPUTED_VALUE"""),"OUT")</f>
        <v>OUT</v>
      </c>
      <c r="I1150" s="214" t="str">
        <f>IFERROR(__xludf.DUMMYFUNCTION("""COMPUTED_VALUE"""),"NORMAL")</f>
        <v>NORMAL</v>
      </c>
      <c r="J1150" s="211">
        <f>IFERROR(__xludf.DUMMYFUNCTION("""COMPUTED_VALUE"""),1.0)</f>
        <v>1</v>
      </c>
      <c r="K1150" s="211"/>
      <c r="L1150" s="211">
        <f>IFERROR(__xludf.DUMMYFUNCTION("""COMPUTED_VALUE"""),189189.19)</f>
        <v>189189.19</v>
      </c>
      <c r="M1150" s="211"/>
      <c r="N1150" s="211"/>
      <c r="O1150" s="211"/>
      <c r="Q1150" s="210" t="str">
        <f>IFERROR(__xludf.DUMMYFUNCTION("""COMPUTED_VALUE"""),"1250523")</f>
        <v>1250523</v>
      </c>
      <c r="R1150" s="210" t="str">
        <f>IFERROR(__xludf.DUMMYFUNCTION("""COMPUTED_VALUE"""),"1250523")</f>
        <v>1250523</v>
      </c>
      <c r="S1150" s="211" t="str">
        <f>IFERROR(__xludf.DUMMYFUNCTION("""COMPUTED_VALUE"""),"5f23ba17")</f>
        <v>5f23ba17</v>
      </c>
      <c r="T1150" s="211" t="str">
        <f>IFERROR(__xludf.DUMMYFUNCTION("""COMPUTED_VALUE"""),"Bpk. Joko (Gresik)")</f>
        <v>Bpk. Joko (Gresik)</v>
      </c>
      <c r="U1150" s="215">
        <f>IFERROR(__xludf.DUMMYFUNCTION("""COMPUTED_VALUE"""),45889.625601851854)</f>
        <v>45889.6256</v>
      </c>
      <c r="V1150" s="211" t="str">
        <f>IFERROR(__xludf.DUMMYFUNCTION("""COMPUTED_VALUE"""),"Tanggungan, Lebaniwaras, Kec. Wringinanom, Kabupaten Gresik, Jawa Timur")</f>
        <v>Tanggungan, Lebaniwaras, Kec. Wringinanom, Kabupaten Gresik, Jawa Timur</v>
      </c>
      <c r="W1150" s="211" t="str">
        <f>IFERROR(__xludf.DUMMYFUNCTION("""COMPUTED_VALUE"""),"IN")</f>
        <v>IN</v>
      </c>
      <c r="X1150" s="211"/>
      <c r="Z1150" s="211" t="str">
        <f>IFERROR(__xludf.DUMMYFUNCTION("""COMPUTED_VALUE"""),"03250322")</f>
        <v>03250322</v>
      </c>
      <c r="AL1150" s="211"/>
      <c r="AM1150" s="211"/>
      <c r="AN1150" s="211"/>
      <c r="AO1150" s="211"/>
      <c r="AP1150" s="215"/>
      <c r="AQ1150" s="218"/>
      <c r="AR1150" s="211"/>
    </row>
    <row r="1151">
      <c r="A1151" s="210" t="str">
        <f>IFERROR(__xludf.DUMMYFUNCTION("""COMPUTED_VALUE"""),"f1f5f986")</f>
        <v>f1f5f986</v>
      </c>
      <c r="B1151" s="210" t="str">
        <f>IFERROR(__xludf.DUMMYFUNCTION("""COMPUTED_VALUE"""),"f1f5f986")</f>
        <v>f1f5f986</v>
      </c>
      <c r="C1151" s="213">
        <f>IFERROR(__xludf.DUMMYFUNCTION("""COMPUTED_VALUE"""),45810.57847222222)</f>
        <v>45810.57847</v>
      </c>
      <c r="D1151" s="211" t="str">
        <f>IFERROR(__xludf.DUMMYFUNCTION("""COMPUTED_VALUE"""),"slmt76")</f>
        <v>slmt76</v>
      </c>
      <c r="E1151" s="211" t="str">
        <f>IFERROR(__xludf.DUMMYFUNCTION("""COMPUTED_VALUE"""),"Bpk. Slamet")</f>
        <v>Bpk. Slamet</v>
      </c>
      <c r="F1151" s="211" t="str">
        <f>IFERROR(__xludf.DUMMYFUNCTION("""COMPUTED_VALUE"""),"8bdbe149")</f>
        <v>8bdbe149</v>
      </c>
      <c r="G1151" s="211" t="str">
        <f>IFERROR(__xludf.DUMMYFUNCTION("""COMPUTED_VALUE"""),"Oksigen 6m3")</f>
        <v>Oksigen 6m3</v>
      </c>
      <c r="H1151" s="214" t="str">
        <f>IFERROR(__xludf.DUMMYFUNCTION("""COMPUTED_VALUE"""),"IN")</f>
        <v>IN</v>
      </c>
      <c r="I1151" s="214" t="str">
        <f>IFERROR(__xludf.DUMMYFUNCTION("""COMPUTED_VALUE"""),"EMPTY")</f>
        <v>EMPTY</v>
      </c>
      <c r="J1151" s="211">
        <f>IFERROR(__xludf.DUMMYFUNCTION("""COMPUTED_VALUE"""),1.0)</f>
        <v>1</v>
      </c>
      <c r="K1151" s="210" t="str">
        <f>IFERROR(__xludf.DUMMYFUNCTION("""COMPUTED_VALUE"""),"11139")</f>
        <v>11139</v>
      </c>
      <c r="L1151" s="211">
        <f>IFERROR(__xludf.DUMMYFUNCTION("""COMPUTED_VALUE"""),0.0)</f>
        <v>0</v>
      </c>
      <c r="M1151" s="211"/>
      <c r="N1151" s="211"/>
      <c r="O1151" s="211"/>
      <c r="Q1151" s="210" t="str">
        <f>IFERROR(__xludf.DUMMYFUNCTION("""COMPUTED_VALUE"""),"0825181150")</f>
        <v>0825181150</v>
      </c>
      <c r="R1151" s="210" t="str">
        <f>IFERROR(__xludf.DUMMYFUNCTION("""COMPUTED_VALUE"""),"0825181150")</f>
        <v>0825181150</v>
      </c>
      <c r="S1151" s="211" t="str">
        <f>IFERROR(__xludf.DUMMYFUNCTION("""COMPUTED_VALUE"""),"7b9d8eba")</f>
        <v>7b9d8eba</v>
      </c>
      <c r="T1151" s="211" t="str">
        <f>IFERROR(__xludf.DUMMYFUNCTION("""COMPUTED_VALUE"""),"PT PELANGI INDOKARYA")</f>
        <v>PT PELANGI INDOKARYA</v>
      </c>
      <c r="U1151" s="215">
        <f>IFERROR(__xludf.DUMMYFUNCTION("""COMPUTED_VALUE"""),45890.3384375)</f>
        <v>45890.33844</v>
      </c>
      <c r="V115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151" s="211" t="str">
        <f>IFERROR(__xludf.DUMMYFUNCTION("""COMPUTED_VALUE"""),"OUT")</f>
        <v>OUT</v>
      </c>
      <c r="X1151" s="211"/>
      <c r="Z1151" s="211" t="str">
        <f>IFERROR(__xludf.DUMMYFUNCTION("""COMPUTED_VALUE"""),"03250321")</f>
        <v>03250321</v>
      </c>
      <c r="AL1151" s="211"/>
      <c r="AM1151" s="211"/>
      <c r="AN1151" s="211"/>
      <c r="AO1151" s="211"/>
      <c r="AP1151" s="215"/>
      <c r="AQ1151" s="218"/>
      <c r="AR1151" s="211"/>
    </row>
    <row r="1152">
      <c r="A1152" s="210" t="str">
        <f>IFERROR(__xludf.DUMMYFUNCTION("""COMPUTED_VALUE"""),"c215bfba")</f>
        <v>c215bfba</v>
      </c>
      <c r="B1152" s="210" t="str">
        <f>IFERROR(__xludf.DUMMYFUNCTION("""COMPUTED_VALUE"""),"c215bfba")</f>
        <v>c215bfba</v>
      </c>
      <c r="C1152" s="213">
        <f>IFERROR(__xludf.DUMMYFUNCTION("""COMPUTED_VALUE"""),45810.58125)</f>
        <v>45810.58125</v>
      </c>
      <c r="D1152" s="211" t="str">
        <f>IFERROR(__xludf.DUMMYFUNCTION("""COMPUTED_VALUE"""),"2d88931c")</f>
        <v>2d88931c</v>
      </c>
      <c r="E1152" s="211" t="str">
        <f>IFERROR(__xludf.DUMMYFUNCTION("""COMPUTED_VALUE"""),"PT Dunia Berkat Marga Mulya")</f>
        <v>PT Dunia Berkat Marga Mulya</v>
      </c>
      <c r="F1152" s="211" t="str">
        <f>IFERROR(__xludf.DUMMYFUNCTION("""COMPUTED_VALUE"""),"8bdbe149")</f>
        <v>8bdbe149</v>
      </c>
      <c r="G1152" s="211" t="str">
        <f>IFERROR(__xludf.DUMMYFUNCTION("""COMPUTED_VALUE"""),"Oksigen 6m3")</f>
        <v>Oksigen 6m3</v>
      </c>
      <c r="H1152" s="214" t="str">
        <f>IFERROR(__xludf.DUMMYFUNCTION("""COMPUTED_VALUE"""),"IN")</f>
        <v>IN</v>
      </c>
      <c r="I1152" s="214" t="str">
        <f>IFERROR(__xludf.DUMMYFUNCTION("""COMPUTED_VALUE"""),"EMPTY")</f>
        <v>EMPTY</v>
      </c>
      <c r="J1152" s="211">
        <f>IFERROR(__xludf.DUMMYFUNCTION("""COMPUTED_VALUE"""),2.0)</f>
        <v>2</v>
      </c>
      <c r="K1152" s="210" t="str">
        <f>IFERROR(__xludf.DUMMYFUNCTION("""COMPUTED_VALUE"""),"11137 11291")</f>
        <v>11137 11291</v>
      </c>
      <c r="L1152" s="211">
        <f>IFERROR(__xludf.DUMMYFUNCTION("""COMPUTED_VALUE"""),0.0)</f>
        <v>0</v>
      </c>
      <c r="M1152" s="211"/>
      <c r="N1152" s="211"/>
      <c r="O1152" s="211"/>
      <c r="Q1152" s="210" t="str">
        <f>IFERROR(__xludf.DUMMYFUNCTION("""COMPUTED_VALUE"""),"0825401152")</f>
        <v>0825401152</v>
      </c>
      <c r="R1152" s="210" t="str">
        <f>IFERROR(__xludf.DUMMYFUNCTION("""COMPUTED_VALUE"""),"0825401152")</f>
        <v>0825401152</v>
      </c>
      <c r="S1152" s="211" t="str">
        <f>IFERROR(__xludf.DUMMYFUNCTION("""COMPUTED_VALUE"""),"e86baf3b")</f>
        <v>e86baf3b</v>
      </c>
      <c r="T1152" s="211" t="str">
        <f>IFERROR(__xludf.DUMMYFUNCTION("""COMPUTED_VALUE"""),"PT GEMILANG CIPTA WAWASAN")</f>
        <v>PT GEMILANG CIPTA WAWASAN</v>
      </c>
      <c r="U1152" s="215">
        <f>IFERROR(__xludf.DUMMYFUNCTION("""COMPUTED_VALUE"""),45890.34763888889)</f>
        <v>45890.34764</v>
      </c>
      <c r="V1152" s="211" t="str">
        <f>IFERROR(__xludf.DUMMYFUNCTION("""COMPUTED_VALUE"""),"JL TEBET RAYA, 2A, TEBET BARAT, TEBET, KOTA ADM, JAKARTA SELATAN, DKI JAKARTA")</f>
        <v>JL TEBET RAYA, 2A, TEBET BARAT, TEBET, KOTA ADM, JAKARTA SELATAN, DKI JAKARTA</v>
      </c>
      <c r="W1152" s="211" t="str">
        <f>IFERROR(__xludf.DUMMYFUNCTION("""COMPUTED_VALUE"""),"OUT")</f>
        <v>OUT</v>
      </c>
      <c r="X1152" s="211"/>
      <c r="Z1152" s="211" t="str">
        <f>IFERROR(__xludf.DUMMYFUNCTION("""COMPUTED_VALUE"""),"03250320")</f>
        <v>03250320</v>
      </c>
      <c r="AL1152" s="211"/>
      <c r="AM1152" s="211"/>
      <c r="AN1152" s="211"/>
      <c r="AO1152" s="211"/>
      <c r="AP1152" s="215"/>
      <c r="AQ1152" s="218"/>
      <c r="AR1152" s="211"/>
    </row>
    <row r="1153">
      <c r="A1153" s="210" t="str">
        <f>IFERROR(__xludf.DUMMYFUNCTION("""COMPUTED_VALUE"""),"66b48efd")</f>
        <v>66b48efd</v>
      </c>
      <c r="B1153" s="210" t="str">
        <f>IFERROR(__xludf.DUMMYFUNCTION("""COMPUTED_VALUE"""),"66b48efd")</f>
        <v>66b48efd</v>
      </c>
      <c r="C1153" s="213">
        <f>IFERROR(__xludf.DUMMYFUNCTION("""COMPUTED_VALUE"""),45810.58125)</f>
        <v>45810.58125</v>
      </c>
      <c r="D1153" s="211" t="str">
        <f>IFERROR(__xludf.DUMMYFUNCTION("""COMPUTED_VALUE"""),"5f23ba17")</f>
        <v>5f23ba17</v>
      </c>
      <c r="E1153" s="211" t="str">
        <f>IFERROR(__xludf.DUMMYFUNCTION("""COMPUTED_VALUE"""),"Bpk. Joko (Gresik)")</f>
        <v>Bpk. Joko (Gresik)</v>
      </c>
      <c r="F1153" s="211" t="str">
        <f>IFERROR(__xludf.DUMMYFUNCTION("""COMPUTED_VALUE"""),"f6aab7a9")</f>
        <v>f6aab7a9</v>
      </c>
      <c r="G1153" s="211" t="str">
        <f>IFERROR(__xludf.DUMMYFUNCTION("""COMPUTED_VALUE"""),"Oksigen 6m3 MR")</f>
        <v>Oksigen 6m3 MR</v>
      </c>
      <c r="H1153" s="214" t="str">
        <f>IFERROR(__xludf.DUMMYFUNCTION("""COMPUTED_VALUE"""),"IN")</f>
        <v>IN</v>
      </c>
      <c r="I1153" s="214" t="str">
        <f>IFERROR(__xludf.DUMMYFUNCTION("""COMPUTED_VALUE"""),"EMPTY")</f>
        <v>EMPTY</v>
      </c>
      <c r="J1153" s="211">
        <f>IFERROR(__xludf.DUMMYFUNCTION("""COMPUTED_VALUE"""),10.0)</f>
        <v>10</v>
      </c>
      <c r="K1153" s="211"/>
      <c r="L1153" s="211">
        <f>IFERROR(__xludf.DUMMYFUNCTION("""COMPUTED_VALUE"""),0.0)</f>
        <v>0</v>
      </c>
      <c r="M1153" s="211"/>
      <c r="N1153" s="211"/>
      <c r="O1153" s="211"/>
      <c r="Q1153" s="210" t="str">
        <f>IFERROR(__xludf.DUMMYFUNCTION("""COMPUTED_VALUE"""),"1250525")</f>
        <v>1250525</v>
      </c>
      <c r="R1153" s="210" t="str">
        <f>IFERROR(__xludf.DUMMYFUNCTION("""COMPUTED_VALUE"""),"1250525")</f>
        <v>1250525</v>
      </c>
      <c r="S1153" s="211" t="str">
        <f>IFERROR(__xludf.DUMMYFUNCTION("""COMPUTED_VALUE"""),"b2b5f2c5")</f>
        <v>b2b5f2c5</v>
      </c>
      <c r="T1153" s="211" t="str">
        <f>IFERROR(__xludf.DUMMYFUNCTION("""COMPUTED_VALUE"""),"Bengkel Las Bpk. Ari")</f>
        <v>Bengkel Las Bpk. Ari</v>
      </c>
      <c r="U1153" s="215">
        <f>IFERROR(__xludf.DUMMYFUNCTION("""COMPUTED_VALUE"""),45890.48949074074)</f>
        <v>45890.48949</v>
      </c>
      <c r="V1153" s="211" t="str">
        <f>IFERROR(__xludf.DUMMYFUNCTION("""COMPUTED_VALUE"""),"Sumber Kembar, Wonodadi, Kec. Kutorejo, Kabupaten Mojokerto, Jawa Timur")</f>
        <v>Sumber Kembar, Wonodadi, Kec. Kutorejo, Kabupaten Mojokerto, Jawa Timur</v>
      </c>
      <c r="W1153" s="211" t="str">
        <f>IFERROR(__xludf.DUMMYFUNCTION("""COMPUTED_VALUE"""),"IN")</f>
        <v>IN</v>
      </c>
      <c r="X1153" s="211"/>
      <c r="Z1153" s="211" t="str">
        <f>IFERROR(__xludf.DUMMYFUNCTION("""COMPUTED_VALUE"""),"03250319")</f>
        <v>03250319</v>
      </c>
      <c r="AL1153" s="211"/>
      <c r="AM1153" s="211"/>
      <c r="AN1153" s="211"/>
      <c r="AO1153" s="211"/>
      <c r="AP1153" s="215"/>
      <c r="AQ1153" s="218"/>
      <c r="AR1153" s="211"/>
    </row>
    <row r="1154">
      <c r="A1154" s="210" t="str">
        <f>IFERROR(__xludf.DUMMYFUNCTION("""COMPUTED_VALUE"""),"66b48efd")</f>
        <v>66b48efd</v>
      </c>
      <c r="B1154" s="210" t="str">
        <f>IFERROR(__xludf.DUMMYFUNCTION("""COMPUTED_VALUE"""),"66b48efd")</f>
        <v>66b48efd</v>
      </c>
      <c r="C1154" s="213">
        <f>IFERROR(__xludf.DUMMYFUNCTION("""COMPUTED_VALUE"""),45810.58125)</f>
        <v>45810.58125</v>
      </c>
      <c r="D1154" s="211" t="str">
        <f>IFERROR(__xludf.DUMMYFUNCTION("""COMPUTED_VALUE"""),"5f23ba17")</f>
        <v>5f23ba17</v>
      </c>
      <c r="E1154" s="211" t="str">
        <f>IFERROR(__xludf.DUMMYFUNCTION("""COMPUTED_VALUE"""),"Bpk. Joko (Gresik)")</f>
        <v>Bpk. Joko (Gresik)</v>
      </c>
      <c r="F1154" s="211" t="str">
        <f>IFERROR(__xludf.DUMMYFUNCTION("""COMPUTED_VALUE"""),"439cf836")</f>
        <v>439cf836</v>
      </c>
      <c r="G1154" s="211" t="str">
        <f>IFERROR(__xludf.DUMMYFUNCTION("""COMPUTED_VALUE"""),"Karbondioksida MR")</f>
        <v>Karbondioksida MR</v>
      </c>
      <c r="H1154" s="214" t="str">
        <f>IFERROR(__xludf.DUMMYFUNCTION("""COMPUTED_VALUE"""),"IN")</f>
        <v>IN</v>
      </c>
      <c r="I1154" s="214" t="str">
        <f>IFERROR(__xludf.DUMMYFUNCTION("""COMPUTED_VALUE"""),"EMPTY")</f>
        <v>EMPTY</v>
      </c>
      <c r="J1154" s="211">
        <f>IFERROR(__xludf.DUMMYFUNCTION("""COMPUTED_VALUE"""),1.0)</f>
        <v>1</v>
      </c>
      <c r="K1154" s="211"/>
      <c r="L1154" s="211">
        <f>IFERROR(__xludf.DUMMYFUNCTION("""COMPUTED_VALUE"""),0.0)</f>
        <v>0</v>
      </c>
      <c r="M1154" s="211"/>
      <c r="N1154" s="211"/>
      <c r="O1154" s="211"/>
      <c r="Q1154" s="210" t="str">
        <f>IFERROR(__xludf.DUMMYFUNCTION("""COMPUTED_VALUE"""),"1250524")</f>
        <v>1250524</v>
      </c>
      <c r="R1154" s="210" t="str">
        <f>IFERROR(__xludf.DUMMYFUNCTION("""COMPUTED_VALUE"""),"1250524")</f>
        <v>1250524</v>
      </c>
      <c r="S1154" s="211" t="str">
        <f>IFERROR(__xludf.DUMMYFUNCTION("""COMPUTED_VALUE"""),"7b9d8eba")</f>
        <v>7b9d8eba</v>
      </c>
      <c r="T1154" s="211" t="str">
        <f>IFERROR(__xludf.DUMMYFUNCTION("""COMPUTED_VALUE"""),"PT PELANGI INDOKARYA")</f>
        <v>PT PELANGI INDOKARYA</v>
      </c>
      <c r="U1154" s="215">
        <f>IFERROR(__xludf.DUMMYFUNCTION("""COMPUTED_VALUE"""),45890.491435185184)</f>
        <v>45890.49144</v>
      </c>
      <c r="V115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154" s="211" t="str">
        <f>IFERROR(__xludf.DUMMYFUNCTION("""COMPUTED_VALUE"""),"IN")</f>
        <v>IN</v>
      </c>
      <c r="X1154" s="211"/>
      <c r="Z1154" s="211" t="str">
        <f>IFERROR(__xludf.DUMMYFUNCTION("""COMPUTED_VALUE"""),"03250317")</f>
        <v>03250317</v>
      </c>
      <c r="AL1154" s="211"/>
      <c r="AM1154" s="211"/>
      <c r="AN1154" s="211"/>
      <c r="AO1154" s="211"/>
      <c r="AP1154" s="215"/>
      <c r="AQ1154" s="218"/>
      <c r="AR1154" s="211"/>
    </row>
    <row r="1155">
      <c r="A1155" s="210" t="str">
        <f>IFERROR(__xludf.DUMMYFUNCTION("""COMPUTED_VALUE"""),"419130b7")</f>
        <v>419130b7</v>
      </c>
      <c r="B1155" s="210" t="str">
        <f>IFERROR(__xludf.DUMMYFUNCTION("""COMPUTED_VALUE"""),"419130b7")</f>
        <v>419130b7</v>
      </c>
      <c r="C1155" s="213">
        <f>IFERROR(__xludf.DUMMYFUNCTION("""COMPUTED_VALUE"""),45810.72083333333)</f>
        <v>45810.72083</v>
      </c>
      <c r="D1155" s="211" t="str">
        <f>IFERROR(__xludf.DUMMYFUNCTION("""COMPUTED_VALUE"""),"3fec37df")</f>
        <v>3fec37df</v>
      </c>
      <c r="E1155" s="211" t="str">
        <f>IFERROR(__xludf.DUMMYFUNCTION("""COMPUTED_VALUE"""),"PT Jatim Abadi Perkasa Steel")</f>
        <v>PT Jatim Abadi Perkasa Steel</v>
      </c>
      <c r="F1155" s="211" t="str">
        <f>IFERROR(__xludf.DUMMYFUNCTION("""COMPUTED_VALUE"""),"b7a8fff1")</f>
        <v>b7a8fff1</v>
      </c>
      <c r="G1155" s="211" t="str">
        <f>IFERROR(__xludf.DUMMYFUNCTION("""COMPUTED_VALUE"""),"LPG 50kg")</f>
        <v>LPG 50kg</v>
      </c>
      <c r="H1155" s="214" t="str">
        <f>IFERROR(__xludf.DUMMYFUNCTION("""COMPUTED_VALUE"""),"IN")</f>
        <v>IN</v>
      </c>
      <c r="I1155" s="214" t="str">
        <f>IFERROR(__xludf.DUMMYFUNCTION("""COMPUTED_VALUE"""),"EMPTY")</f>
        <v>EMPTY</v>
      </c>
      <c r="J1155" s="211">
        <f>IFERROR(__xludf.DUMMYFUNCTION("""COMPUTED_VALUE"""),5.0)</f>
        <v>5</v>
      </c>
      <c r="K1155" s="211"/>
      <c r="L1155" s="211">
        <f>IFERROR(__xludf.DUMMYFUNCTION("""COMPUTED_VALUE"""),0.0)</f>
        <v>0</v>
      </c>
      <c r="M1155" s="211"/>
      <c r="N1155" s="211"/>
      <c r="O1155" s="211"/>
      <c r="Q1155" s="210" t="str">
        <f>IFERROR(__xludf.DUMMYFUNCTION("""COMPUTED_VALUE"""),"0825251153")</f>
        <v>0825251153</v>
      </c>
      <c r="R1155" s="210" t="str">
        <f>IFERROR(__xludf.DUMMYFUNCTION("""COMPUTED_VALUE"""),"0825251153")</f>
        <v>0825251153</v>
      </c>
      <c r="S1155" s="211" t="str">
        <f>IFERROR(__xludf.DUMMYFUNCTION("""COMPUTED_VALUE"""),"ce83e171")</f>
        <v>ce83e171</v>
      </c>
      <c r="T1155" s="211" t="str">
        <f>IFERROR(__xludf.DUMMYFUNCTION("""COMPUTED_VALUE"""),"Bpk. Sulaiman")</f>
        <v>Bpk. Sulaiman</v>
      </c>
      <c r="U1155" s="215">
        <f>IFERROR(__xludf.DUMMYFUNCTION("""COMPUTED_VALUE"""),45891.40032407407)</f>
        <v>45891.40032</v>
      </c>
      <c r="V1155" s="211" t="str">
        <f>IFERROR(__xludf.DUMMYFUNCTION("""COMPUTED_VALUE"""),"Jl. Raya Kramat Temenggung No.43, Kramat, Kramat Temenggung, Kec. Tarik, Kabupaten Sidoarjo, Jawa Timur 61265")</f>
        <v>Jl. Raya Kramat Temenggung No.43, Kramat, Kramat Temenggung, Kec. Tarik, Kabupaten Sidoarjo, Jawa Timur 61265</v>
      </c>
      <c r="W1155" s="211" t="str">
        <f>IFERROR(__xludf.DUMMYFUNCTION("""COMPUTED_VALUE"""),"OUT")</f>
        <v>OUT</v>
      </c>
      <c r="X1155" s="211"/>
      <c r="Z1155" s="211" t="str">
        <f>IFERROR(__xludf.DUMMYFUNCTION("""COMPUTED_VALUE"""),"03250313")</f>
        <v>03250313</v>
      </c>
      <c r="AL1155" s="211"/>
      <c r="AM1155" s="211"/>
      <c r="AN1155" s="211"/>
      <c r="AO1155" s="211"/>
      <c r="AP1155" s="215"/>
      <c r="AQ1155" s="218"/>
      <c r="AR1155" s="211"/>
    </row>
    <row r="1156">
      <c r="A1156" s="210" t="str">
        <f>IFERROR(__xludf.DUMMYFUNCTION("""COMPUTED_VALUE"""),"a8f6093d")</f>
        <v>a8f6093d</v>
      </c>
      <c r="B1156" s="210" t="str">
        <f>IFERROR(__xludf.DUMMYFUNCTION("""COMPUTED_VALUE"""),"a8f6093d")</f>
        <v>a8f6093d</v>
      </c>
      <c r="C1156" s="213">
        <f>IFERROR(__xludf.DUMMYFUNCTION("""COMPUTED_VALUE"""),45810.72083333333)</f>
        <v>45810.72083</v>
      </c>
      <c r="D1156" s="211" t="str">
        <f>IFERROR(__xludf.DUMMYFUNCTION("""COMPUTED_VALUE"""),"d78b2eaf")</f>
        <v>d78b2eaf</v>
      </c>
      <c r="E1156" s="211" t="str">
        <f>IFERROR(__xludf.DUMMYFUNCTION("""COMPUTED_VALUE"""),"PT Sinar Indogreen Kencana")</f>
        <v>PT Sinar Indogreen Kencana</v>
      </c>
      <c r="F1156" s="211" t="str">
        <f>IFERROR(__xludf.DUMMYFUNCTION("""COMPUTED_VALUE"""),"be525f3b")</f>
        <v>be525f3b</v>
      </c>
      <c r="G1156" s="211" t="str">
        <f>IFERROR(__xludf.DUMMYFUNCTION("""COMPUTED_VALUE"""),"LPG 12kg")</f>
        <v>LPG 12kg</v>
      </c>
      <c r="H1156" s="214" t="str">
        <f>IFERROR(__xludf.DUMMYFUNCTION("""COMPUTED_VALUE"""),"IN")</f>
        <v>IN</v>
      </c>
      <c r="I1156" s="214" t="str">
        <f>IFERROR(__xludf.DUMMYFUNCTION("""COMPUTED_VALUE"""),"EMPTY")</f>
        <v>EMPTY</v>
      </c>
      <c r="J1156" s="211">
        <f>IFERROR(__xludf.DUMMYFUNCTION("""COMPUTED_VALUE"""),1.0)</f>
        <v>1</v>
      </c>
      <c r="K1156" s="211"/>
      <c r="L1156" s="211">
        <f>IFERROR(__xludf.DUMMYFUNCTION("""COMPUTED_VALUE"""),0.0)</f>
        <v>0</v>
      </c>
      <c r="M1156" s="211"/>
      <c r="N1156" s="211"/>
      <c r="O1156" s="211"/>
      <c r="Q1156" s="210" t="str">
        <f>IFERROR(__xludf.DUMMYFUNCTION("""COMPUTED_VALUE"""),"4082511108")</f>
        <v>4082511108</v>
      </c>
      <c r="R1156" s="210" t="str">
        <f>IFERROR(__xludf.DUMMYFUNCTION("""COMPUTED_VALUE"""),"4082511108")</f>
        <v>4082511108</v>
      </c>
      <c r="S1156" s="211" t="str">
        <f>IFERROR(__xludf.DUMMYFUNCTION("""COMPUTED_VALUE"""),"b218b89b")</f>
        <v>b218b89b</v>
      </c>
      <c r="T1156" s="211" t="str">
        <f>IFERROR(__xludf.DUMMYFUNCTION("""COMPUTED_VALUE"""),"PT Harapan Sentosa")</f>
        <v>PT Harapan Sentosa</v>
      </c>
      <c r="U1156" s="215">
        <f>IFERROR(__xludf.DUMMYFUNCTION("""COMPUTED_VALUE"""),45891.438680555555)</f>
        <v>45891.43868</v>
      </c>
      <c r="V1156" s="211" t="str">
        <f>IFERROR(__xludf.DUMMYFUNCTION("""COMPUTED_VALUE"""),"Seketi, Jl. Purboyo II Selatan, RT.02/RW.02, Seketi, Kec. BalongBendo, Kabupaten Sidoarjo, Jawa Timur 61263")</f>
        <v>Seketi, Jl. Purboyo II Selatan, RT.02/RW.02, Seketi, Kec. BalongBendo, Kabupaten Sidoarjo, Jawa Timur 61263</v>
      </c>
      <c r="W1156" s="211" t="str">
        <f>IFERROR(__xludf.DUMMYFUNCTION("""COMPUTED_VALUE"""),"OTHER")</f>
        <v>OTHER</v>
      </c>
      <c r="X1156" s="211"/>
      <c r="Z1156" s="211" t="str">
        <f>IFERROR(__xludf.DUMMYFUNCTION("""COMPUTED_VALUE"""),"03250315")</f>
        <v>03250315</v>
      </c>
      <c r="AL1156" s="211"/>
      <c r="AM1156" s="211"/>
      <c r="AN1156" s="211"/>
      <c r="AO1156" s="211"/>
      <c r="AP1156" s="215"/>
      <c r="AQ1156" s="218"/>
      <c r="AR1156" s="211"/>
    </row>
    <row r="1157">
      <c r="A1157" s="210" t="str">
        <f>IFERROR(__xludf.DUMMYFUNCTION("""COMPUTED_VALUE"""),"06250486")</f>
        <v>06250486</v>
      </c>
      <c r="B1157" s="210" t="str">
        <f>IFERROR(__xludf.DUMMYFUNCTION("""COMPUTED_VALUE"""),"06250486")</f>
        <v>06250486</v>
      </c>
      <c r="C1157" s="213">
        <f>IFERROR(__xludf.DUMMYFUNCTION("""COMPUTED_VALUE"""),45811.37291666667)</f>
        <v>45811.37292</v>
      </c>
      <c r="D1157" s="211" t="str">
        <f>IFERROR(__xludf.DUMMYFUNCTION("""COMPUTED_VALUE"""),"609d620d")</f>
        <v>609d620d</v>
      </c>
      <c r="E1157" s="211" t="str">
        <f>IFERROR(__xludf.DUMMYFUNCTION("""COMPUTED_VALUE"""),"PT Pandu Mulia Bersama")</f>
        <v>PT Pandu Mulia Bersama</v>
      </c>
      <c r="F1157" s="211" t="str">
        <f>IFERROR(__xludf.DUMMYFUNCTION("""COMPUTED_VALUE"""),"7d2764f1")</f>
        <v>7d2764f1</v>
      </c>
      <c r="G1157" s="211" t="str">
        <f>IFERROR(__xludf.DUMMYFUNCTION("""COMPUTED_VALUE"""),"Oksigen 7m3")</f>
        <v>Oksigen 7m3</v>
      </c>
      <c r="H1157" s="214" t="str">
        <f>IFERROR(__xludf.DUMMYFUNCTION("""COMPUTED_VALUE"""),"OUT")</f>
        <v>OUT</v>
      </c>
      <c r="I1157" s="214" t="str">
        <f>IFERROR(__xludf.DUMMYFUNCTION("""COMPUTED_VALUE"""),"NORMAL")</f>
        <v>NORMAL</v>
      </c>
      <c r="J1157" s="211">
        <f>IFERROR(__xludf.DUMMYFUNCTION("""COMPUTED_VALUE"""),10.0)</f>
        <v>10</v>
      </c>
      <c r="K1157" s="210" t="str">
        <f>IFERROR(__xludf.DUMMYFUNCTION("""COMPUTED_VALUE"""),"11139 11137 11291 11151 11135 11136 11167 11166 11146 11214")</f>
        <v>11139 11137 11291 11151 11135 11136 11167 11166 11146 11214</v>
      </c>
      <c r="L1157" s="211">
        <f>IFERROR(__xludf.DUMMYFUNCTION("""COMPUTED_VALUE"""),60000.0)</f>
        <v>60000</v>
      </c>
      <c r="M1157" s="211"/>
      <c r="N1157" s="211"/>
      <c r="O1157" s="211"/>
      <c r="Q1157" s="210" t="str">
        <f>IFERROR(__xludf.DUMMYFUNCTION("""COMPUTED_VALUE"""),"1250526")</f>
        <v>1250526</v>
      </c>
      <c r="R1157" s="210" t="str">
        <f>IFERROR(__xludf.DUMMYFUNCTION("""COMPUTED_VALUE"""),"1250526")</f>
        <v>1250526</v>
      </c>
      <c r="S1157" s="211" t="str">
        <f>IFERROR(__xludf.DUMMYFUNCTION("""COMPUTED_VALUE"""),"ce83e171")</f>
        <v>ce83e171</v>
      </c>
      <c r="T1157" s="211" t="str">
        <f>IFERROR(__xludf.DUMMYFUNCTION("""COMPUTED_VALUE"""),"Bpk. Sulaiman")</f>
        <v>Bpk. Sulaiman</v>
      </c>
      <c r="U1157" s="215">
        <f>IFERROR(__xludf.DUMMYFUNCTION("""COMPUTED_VALUE"""),45891.44976851852)</f>
        <v>45891.44977</v>
      </c>
      <c r="V1157" s="211" t="str">
        <f>IFERROR(__xludf.DUMMYFUNCTION("""COMPUTED_VALUE"""),"Jl. Raya Kramat Temenggung No.43, Kramat, Kramat Temenggung, Kec. Tarik, Kabupaten Sidoarjo, Jawa Timur 61265")</f>
        <v>Jl. Raya Kramat Temenggung No.43, Kramat, Kramat Temenggung, Kec. Tarik, Kabupaten Sidoarjo, Jawa Timur 61265</v>
      </c>
      <c r="W1157" s="211" t="str">
        <f>IFERROR(__xludf.DUMMYFUNCTION("""COMPUTED_VALUE"""),"IN")</f>
        <v>IN</v>
      </c>
      <c r="X1157" s="211"/>
      <c r="Z1157" s="211" t="str">
        <f>IFERROR(__xludf.DUMMYFUNCTION("""COMPUTED_VALUE"""),"03250314")</f>
        <v>03250314</v>
      </c>
      <c r="AL1157" s="211"/>
      <c r="AM1157" s="211"/>
      <c r="AN1157" s="211"/>
      <c r="AO1157" s="211"/>
      <c r="AP1157" s="215"/>
      <c r="AQ1157" s="218"/>
      <c r="AR1157" s="211"/>
    </row>
    <row r="1158">
      <c r="A1158" s="210" t="str">
        <f>IFERROR(__xludf.DUMMYFUNCTION("""COMPUTED_VALUE"""),"06250486")</f>
        <v>06250486</v>
      </c>
      <c r="B1158" s="210" t="str">
        <f>IFERROR(__xludf.DUMMYFUNCTION("""COMPUTED_VALUE"""),"06250486")</f>
        <v>06250486</v>
      </c>
      <c r="C1158" s="213">
        <f>IFERROR(__xludf.DUMMYFUNCTION("""COMPUTED_VALUE"""),45811.373611111114)</f>
        <v>45811.37361</v>
      </c>
      <c r="D1158" s="211" t="str">
        <f>IFERROR(__xludf.DUMMYFUNCTION("""COMPUTED_VALUE"""),"609d620d")</f>
        <v>609d620d</v>
      </c>
      <c r="E1158" s="211" t="str">
        <f>IFERROR(__xludf.DUMMYFUNCTION("""COMPUTED_VALUE"""),"PT Pandu Mulia Bersama")</f>
        <v>PT Pandu Mulia Bersama</v>
      </c>
      <c r="F1158" s="211" t="str">
        <f>IFERROR(__xludf.DUMMYFUNCTION("""COMPUTED_VALUE"""),"be525f3b")</f>
        <v>be525f3b</v>
      </c>
      <c r="G1158" s="211" t="str">
        <f>IFERROR(__xludf.DUMMYFUNCTION("""COMPUTED_VALUE"""),"LPG 12kg")</f>
        <v>LPG 12kg</v>
      </c>
      <c r="H1158" s="214" t="str">
        <f>IFERROR(__xludf.DUMMYFUNCTION("""COMPUTED_VALUE"""),"OUT")</f>
        <v>OUT</v>
      </c>
      <c r="I1158" s="214" t="str">
        <f>IFERROR(__xludf.DUMMYFUNCTION("""COMPUTED_VALUE"""),"NORMAL")</f>
        <v>NORMAL</v>
      </c>
      <c r="J1158" s="211">
        <f>IFERROR(__xludf.DUMMYFUNCTION("""COMPUTED_VALUE"""),2.0)</f>
        <v>2</v>
      </c>
      <c r="K1158" s="211"/>
      <c r="L1158" s="211">
        <f>IFERROR(__xludf.DUMMYFUNCTION("""COMPUTED_VALUE"""),200000.0)</f>
        <v>200000</v>
      </c>
      <c r="M1158" s="211"/>
      <c r="N1158" s="211"/>
      <c r="O1158" s="211"/>
      <c r="Q1158" s="210" t="str">
        <f>IFERROR(__xludf.DUMMYFUNCTION("""COMPUTED_VALUE"""),"082551156")</f>
        <v>082551156</v>
      </c>
      <c r="R1158" s="210" t="str">
        <f>IFERROR(__xludf.DUMMYFUNCTION("""COMPUTED_VALUE"""),"082551156")</f>
        <v>082551156</v>
      </c>
      <c r="S1158" s="211" t="str">
        <f>IFERROR(__xludf.DUMMYFUNCTION("""COMPUTED_VALUE"""),"8ea74d81")</f>
        <v>8ea74d81</v>
      </c>
      <c r="T1158" s="211" t="str">
        <f>IFERROR(__xludf.DUMMYFUNCTION("""COMPUTED_VALUE"""),"Bengkel Adi Putra")</f>
        <v>Bengkel Adi Putra</v>
      </c>
      <c r="U1158" s="215">
        <f>IFERROR(__xludf.DUMMYFUNCTION("""COMPUTED_VALUE"""),45891.55486111111)</f>
        <v>45891.55486</v>
      </c>
      <c r="V1158" s="211" t="str">
        <f>IFERROR(__xludf.DUMMYFUNCTION("""COMPUTED_VALUE"""),"Bypass Balongbendo")</f>
        <v>Bypass Balongbendo</v>
      </c>
      <c r="W1158" s="211" t="str">
        <f>IFERROR(__xludf.DUMMYFUNCTION("""COMPUTED_VALUE"""),"OUT")</f>
        <v>OUT</v>
      </c>
      <c r="X1158" s="211" t="str">
        <f>IFERROR(__xludf.DUMMYFUNCTION("""COMPUTED_VALUE"""),"documentLog_Images/082551156.customerSign.063548.png")</f>
        <v>documentLog_Images/082551156.customerSign.063548.png</v>
      </c>
      <c r="Z1158" s="211" t="str">
        <f>IFERROR(__xludf.DUMMYFUNCTION("""COMPUTED_VALUE"""),"03250312")</f>
        <v>03250312</v>
      </c>
      <c r="AL1158" s="211"/>
      <c r="AM1158" s="211"/>
      <c r="AN1158" s="211"/>
      <c r="AO1158" s="211"/>
      <c r="AP1158" s="215"/>
      <c r="AQ1158" s="218"/>
      <c r="AR1158" s="211"/>
    </row>
    <row r="1159">
      <c r="A1159" s="210" t="str">
        <f>IFERROR(__xludf.DUMMYFUNCTION("""COMPUTED_VALUE"""),"06250488")</f>
        <v>06250488</v>
      </c>
      <c r="B1159" s="210" t="str">
        <f>IFERROR(__xludf.DUMMYFUNCTION("""COMPUTED_VALUE"""),"06250488")</f>
        <v>06250488</v>
      </c>
      <c r="C1159" s="213">
        <f>IFERROR(__xludf.DUMMYFUNCTION("""COMPUTED_VALUE"""),45811.373611111114)</f>
        <v>45811.37361</v>
      </c>
      <c r="D1159" s="211" t="str">
        <f>IFERROR(__xludf.DUMMYFUNCTION("""COMPUTED_VALUE"""),"5f23ba17")</f>
        <v>5f23ba17</v>
      </c>
      <c r="E1159" s="211" t="str">
        <f>IFERROR(__xludf.DUMMYFUNCTION("""COMPUTED_VALUE"""),"Bpk. Joko (Gresik)")</f>
        <v>Bpk. Joko (Gresik)</v>
      </c>
      <c r="F1159" s="211" t="str">
        <f>IFERROR(__xludf.DUMMYFUNCTION("""COMPUTED_VALUE"""),"f6aab7a9")</f>
        <v>f6aab7a9</v>
      </c>
      <c r="G1159" s="211" t="str">
        <f>IFERROR(__xludf.DUMMYFUNCTION("""COMPUTED_VALUE"""),"Oksigen 6m3 MR")</f>
        <v>Oksigen 6m3 MR</v>
      </c>
      <c r="H1159" s="214" t="str">
        <f>IFERROR(__xludf.DUMMYFUNCTION("""COMPUTED_VALUE"""),"OUT")</f>
        <v>OUT</v>
      </c>
      <c r="I1159" s="214" t="str">
        <f>IFERROR(__xludf.DUMMYFUNCTION("""COMPUTED_VALUE"""),"NORMAL")</f>
        <v>NORMAL</v>
      </c>
      <c r="J1159" s="211">
        <f>IFERROR(__xludf.DUMMYFUNCTION("""COMPUTED_VALUE"""),10.0)</f>
        <v>10</v>
      </c>
      <c r="K1159" s="211"/>
      <c r="L1159" s="211">
        <f>IFERROR(__xludf.DUMMYFUNCTION("""COMPUTED_VALUE"""),55000.0)</f>
        <v>55000</v>
      </c>
      <c r="M1159" s="211"/>
      <c r="N1159" s="211"/>
      <c r="O1159" s="211"/>
      <c r="Q1159" s="210" t="str">
        <f>IFERROR(__xludf.DUMMYFUNCTION("""COMPUTED_VALUE"""),"1250527")</f>
        <v>1250527</v>
      </c>
      <c r="R1159" s="210" t="str">
        <f>IFERROR(__xludf.DUMMYFUNCTION("""COMPUTED_VALUE"""),"1250527")</f>
        <v>1250527</v>
      </c>
      <c r="S1159" s="211" t="str">
        <f>IFERROR(__xludf.DUMMYFUNCTION("""COMPUTED_VALUE"""),"8ea74d81")</f>
        <v>8ea74d81</v>
      </c>
      <c r="T1159" s="211" t="str">
        <f>IFERROR(__xludf.DUMMYFUNCTION("""COMPUTED_VALUE"""),"Bengkel Adi Putra")</f>
        <v>Bengkel Adi Putra</v>
      </c>
      <c r="U1159" s="215">
        <f>IFERROR(__xludf.DUMMYFUNCTION("""COMPUTED_VALUE"""),45891.5968287037)</f>
        <v>45891.59683</v>
      </c>
      <c r="V1159" s="211" t="str">
        <f>IFERROR(__xludf.DUMMYFUNCTION("""COMPUTED_VALUE"""),"Bypass Balongbendo")</f>
        <v>Bypass Balongbendo</v>
      </c>
      <c r="W1159" s="211" t="str">
        <f>IFERROR(__xludf.DUMMYFUNCTION("""COMPUTED_VALUE"""),"IN")</f>
        <v>IN</v>
      </c>
      <c r="X1159" s="211"/>
      <c r="Z1159" s="211" t="str">
        <f>IFERROR(__xludf.DUMMYFUNCTION("""COMPUTED_VALUE"""),"03250311")</f>
        <v>03250311</v>
      </c>
      <c r="AL1159" s="211"/>
      <c r="AM1159" s="211"/>
      <c r="AN1159" s="211"/>
      <c r="AO1159" s="211"/>
      <c r="AP1159" s="215"/>
      <c r="AQ1159" s="218"/>
      <c r="AR1159" s="211"/>
    </row>
    <row r="1160">
      <c r="A1160" s="210" t="str">
        <f>IFERROR(__xludf.DUMMYFUNCTION("""COMPUTED_VALUE"""),"06250488")</f>
        <v>06250488</v>
      </c>
      <c r="B1160" s="210" t="str">
        <f>IFERROR(__xludf.DUMMYFUNCTION("""COMPUTED_VALUE"""),"06250488")</f>
        <v>06250488</v>
      </c>
      <c r="C1160" s="213">
        <f>IFERROR(__xludf.DUMMYFUNCTION("""COMPUTED_VALUE"""),45811.373611111114)</f>
        <v>45811.37361</v>
      </c>
      <c r="D1160" s="211" t="str">
        <f>IFERROR(__xludf.DUMMYFUNCTION("""COMPUTED_VALUE"""),"5f23ba17")</f>
        <v>5f23ba17</v>
      </c>
      <c r="E1160" s="211" t="str">
        <f>IFERROR(__xludf.DUMMYFUNCTION("""COMPUTED_VALUE"""),"Bpk. Joko (Gresik)")</f>
        <v>Bpk. Joko (Gresik)</v>
      </c>
      <c r="F1160" s="211" t="str">
        <f>IFERROR(__xludf.DUMMYFUNCTION("""COMPUTED_VALUE"""),"439cf836")</f>
        <v>439cf836</v>
      </c>
      <c r="G1160" s="211" t="str">
        <f>IFERROR(__xludf.DUMMYFUNCTION("""COMPUTED_VALUE"""),"Karbondioksida MR")</f>
        <v>Karbondioksida MR</v>
      </c>
      <c r="H1160" s="214" t="str">
        <f>IFERROR(__xludf.DUMMYFUNCTION("""COMPUTED_VALUE"""),"OUT")</f>
        <v>OUT</v>
      </c>
      <c r="I1160" s="214" t="str">
        <f>IFERROR(__xludf.DUMMYFUNCTION("""COMPUTED_VALUE"""),"NORMAL")</f>
        <v>NORMAL</v>
      </c>
      <c r="J1160" s="211">
        <f>IFERROR(__xludf.DUMMYFUNCTION("""COMPUTED_VALUE"""),1.0)</f>
        <v>1</v>
      </c>
      <c r="K1160" s="211"/>
      <c r="L1160" s="211">
        <f>IFERROR(__xludf.DUMMYFUNCTION("""COMPUTED_VALUE"""),160000.0)</f>
        <v>160000</v>
      </c>
      <c r="M1160" s="211"/>
      <c r="N1160" s="211"/>
      <c r="O1160" s="211"/>
      <c r="Q1160" s="210" t="str">
        <f>IFERROR(__xludf.DUMMYFUNCTION("""COMPUTED_VALUE"""),"0825221159")</f>
        <v>0825221159</v>
      </c>
      <c r="R1160" s="210" t="str">
        <f>IFERROR(__xludf.DUMMYFUNCTION("""COMPUTED_VALUE"""),"0825221159")</f>
        <v>0825221159</v>
      </c>
      <c r="S1160" s="211" t="str">
        <f>IFERROR(__xludf.DUMMYFUNCTION("""COMPUTED_VALUE"""),"2d88931c")</f>
        <v>2d88931c</v>
      </c>
      <c r="T1160" s="211" t="str">
        <f>IFERROR(__xludf.DUMMYFUNCTION("""COMPUTED_VALUE"""),"PT Dunia Berkat Marga Mulya")</f>
        <v>PT Dunia Berkat Marga Mulya</v>
      </c>
      <c r="U1160" s="215">
        <f>IFERROR(__xludf.DUMMYFUNCTION("""COMPUTED_VALUE"""),45892.38193287037)</f>
        <v>45892.38193</v>
      </c>
      <c r="V1160" s="211" t="str">
        <f>IFERROR(__xludf.DUMMYFUNCTION("""COMPUTED_VALUE"""),"JL JABARAN, WATESARI, BALONGBENDO, SIDOARJO, JAWA TIMUR")</f>
        <v>JL JABARAN, WATESARI, BALONGBENDO, SIDOARJO, JAWA TIMUR</v>
      </c>
      <c r="W1160" s="211" t="str">
        <f>IFERROR(__xludf.DUMMYFUNCTION("""COMPUTED_VALUE"""),"OUT")</f>
        <v>OUT</v>
      </c>
      <c r="X1160" s="211"/>
      <c r="Z1160" s="211" t="str">
        <f>IFERROR(__xludf.DUMMYFUNCTION("""COMPUTED_VALUE"""),"03250310")</f>
        <v>03250310</v>
      </c>
      <c r="AL1160" s="211"/>
      <c r="AM1160" s="211"/>
      <c r="AN1160" s="211"/>
      <c r="AO1160" s="211"/>
      <c r="AP1160" s="215"/>
      <c r="AQ1160" s="218"/>
      <c r="AR1160" s="211"/>
    </row>
    <row r="1161">
      <c r="A1161" s="210" t="str">
        <f>IFERROR(__xludf.DUMMYFUNCTION("""COMPUTED_VALUE"""),"06250490")</f>
        <v>06250490</v>
      </c>
      <c r="B1161" s="210" t="str">
        <f>IFERROR(__xludf.DUMMYFUNCTION("""COMPUTED_VALUE"""),"06250490")</f>
        <v>06250490</v>
      </c>
      <c r="C1161" s="213">
        <f>IFERROR(__xludf.DUMMYFUNCTION("""COMPUTED_VALUE"""),45811.37569444445)</f>
        <v>45811.37569</v>
      </c>
      <c r="D1161" s="211" t="str">
        <f>IFERROR(__xludf.DUMMYFUNCTION("""COMPUTED_VALUE"""),"4bef3bbf")</f>
        <v>4bef3bbf</v>
      </c>
      <c r="E1161" s="211" t="str">
        <f>IFERROR(__xludf.DUMMYFUNCTION("""COMPUTED_VALUE"""),"PT Dingsheng Metal Indonesia (Ngoro)")</f>
        <v>PT Dingsheng Metal Indonesia (Ngoro)</v>
      </c>
      <c r="F1161" s="211" t="str">
        <f>IFERROR(__xludf.DUMMYFUNCTION("""COMPUTED_VALUE"""),"8bdbe149")</f>
        <v>8bdbe149</v>
      </c>
      <c r="G1161" s="211" t="str">
        <f>IFERROR(__xludf.DUMMYFUNCTION("""COMPUTED_VALUE"""),"Oksigen 6m3")</f>
        <v>Oksigen 6m3</v>
      </c>
      <c r="H1161" s="214" t="str">
        <f>IFERROR(__xludf.DUMMYFUNCTION("""COMPUTED_VALUE"""),"OUT")</f>
        <v>OUT</v>
      </c>
      <c r="I1161" s="214" t="str">
        <f>IFERROR(__xludf.DUMMYFUNCTION("""COMPUTED_VALUE"""),"NORMAL")</f>
        <v>NORMAL</v>
      </c>
      <c r="J1161" s="211">
        <f>IFERROR(__xludf.DUMMYFUNCTION("""COMPUTED_VALUE"""),5.0)</f>
        <v>5</v>
      </c>
      <c r="K1161" s="210" t="str">
        <f>IFERROR(__xludf.DUMMYFUNCTION("""COMPUTED_VALUE"""),"11198 11165 1175 11194 1140")</f>
        <v>11198 11165 1175 11194 1140</v>
      </c>
      <c r="L1161" s="211">
        <f>IFERROR(__xludf.DUMMYFUNCTION("""COMPUTED_VALUE"""),45045.045)</f>
        <v>45045.045</v>
      </c>
      <c r="M1161" s="211"/>
      <c r="N1161" s="211"/>
      <c r="O1161" s="211"/>
      <c r="Q1161" s="210" t="str">
        <f>IFERROR(__xludf.DUMMYFUNCTION("""COMPUTED_VALUE"""),"0825251161")</f>
        <v>0825251161</v>
      </c>
      <c r="R1161" s="210" t="str">
        <f>IFERROR(__xludf.DUMMYFUNCTION("""COMPUTED_VALUE"""),"0825251161")</f>
        <v>0825251161</v>
      </c>
      <c r="S1161" s="211" t="str">
        <f>IFERROR(__xludf.DUMMYFUNCTION("""COMPUTED_VALUE"""),"5f23ba17")</f>
        <v>5f23ba17</v>
      </c>
      <c r="T1161" s="211" t="str">
        <f>IFERROR(__xludf.DUMMYFUNCTION("""COMPUTED_VALUE"""),"Bpk. Joko (Gresik)")</f>
        <v>Bpk. Joko (Gresik)</v>
      </c>
      <c r="U1161" s="215">
        <f>IFERROR(__xludf.DUMMYFUNCTION("""COMPUTED_VALUE"""),45892.38521990741)</f>
        <v>45892.38522</v>
      </c>
      <c r="V1161" s="211" t="str">
        <f>IFERROR(__xludf.DUMMYFUNCTION("""COMPUTED_VALUE"""),"Tanggungan, Lebaniwaras, Kec. Wringinanom, Kabupaten Gresik, Jawa Timur")</f>
        <v>Tanggungan, Lebaniwaras, Kec. Wringinanom, Kabupaten Gresik, Jawa Timur</v>
      </c>
      <c r="W1161" s="211" t="str">
        <f>IFERROR(__xludf.DUMMYFUNCTION("""COMPUTED_VALUE"""),"OUT")</f>
        <v>OUT</v>
      </c>
      <c r="X1161" s="211"/>
      <c r="Z1161" s="211" t="str">
        <f>IFERROR(__xludf.DUMMYFUNCTION("""COMPUTED_VALUE"""),"03250308")</f>
        <v>03250308</v>
      </c>
      <c r="AL1161" s="211"/>
      <c r="AM1161" s="211"/>
      <c r="AN1161" s="211"/>
      <c r="AO1161" s="211"/>
      <c r="AP1161" s="215"/>
      <c r="AQ1161" s="218"/>
      <c r="AR1161" s="211"/>
    </row>
    <row r="1162">
      <c r="A1162" s="210" t="str">
        <f>IFERROR(__xludf.DUMMYFUNCTION("""COMPUTED_VALUE"""),"06250491")</f>
        <v>06250491</v>
      </c>
      <c r="B1162" s="210" t="str">
        <f>IFERROR(__xludf.DUMMYFUNCTION("""COMPUTED_VALUE"""),"06250491")</f>
        <v>06250491</v>
      </c>
      <c r="C1162" s="213">
        <f>IFERROR(__xludf.DUMMYFUNCTION("""COMPUTED_VALUE"""),45811.4625)</f>
        <v>45811.4625</v>
      </c>
      <c r="D1162" s="211" t="str">
        <f>IFERROR(__xludf.DUMMYFUNCTION("""COMPUTED_VALUE"""),"1bf27092")</f>
        <v>1bf27092</v>
      </c>
      <c r="E1162" s="211" t="str">
        <f>IFERROR(__xludf.DUMMYFUNCTION("""COMPUTED_VALUE"""),"Bpk. Ari Budiarto")</f>
        <v>Bpk. Ari Budiarto</v>
      </c>
      <c r="F1162" s="211" t="str">
        <f>IFERROR(__xludf.DUMMYFUNCTION("""COMPUTED_VALUE"""),"66af7c72")</f>
        <v>66af7c72</v>
      </c>
      <c r="G1162" s="211" t="str">
        <f>IFERROR(__xludf.DUMMYFUNCTION("""COMPUTED_VALUE"""),"Argon 6m3")</f>
        <v>Argon 6m3</v>
      </c>
      <c r="H1162" s="214" t="str">
        <f>IFERROR(__xludf.DUMMYFUNCTION("""COMPUTED_VALUE"""),"OUT")</f>
        <v>OUT</v>
      </c>
      <c r="I1162" s="214" t="str">
        <f>IFERROR(__xludf.DUMMYFUNCTION("""COMPUTED_VALUE"""),"NORMAL")</f>
        <v>NORMAL</v>
      </c>
      <c r="J1162" s="211">
        <f>IFERROR(__xludf.DUMMYFUNCTION("""COMPUTED_VALUE"""),1.0)</f>
        <v>1</v>
      </c>
      <c r="K1162" s="210" t="str">
        <f>IFERROR(__xludf.DUMMYFUNCTION("""COMPUTED_VALUE"""),"12018")</f>
        <v>12018</v>
      </c>
      <c r="L1162" s="211">
        <f>IFERROR(__xludf.DUMMYFUNCTION("""COMPUTED_VALUE"""),200000.0)</f>
        <v>200000</v>
      </c>
      <c r="M1162" s="211"/>
      <c r="N1162" s="211"/>
      <c r="O1162" s="211"/>
      <c r="Q1162" s="210" t="str">
        <f>IFERROR(__xludf.DUMMYFUNCTION("""COMPUTED_VALUE"""),"082571162")</f>
        <v>082571162</v>
      </c>
      <c r="R1162" s="210" t="str">
        <f>IFERROR(__xludf.DUMMYFUNCTION("""COMPUTED_VALUE"""),"082571162")</f>
        <v>082571162</v>
      </c>
      <c r="S1162" s="211" t="str">
        <f>IFERROR(__xludf.DUMMYFUNCTION("""COMPUTED_VALUE"""),"3bcd7fe6")</f>
        <v>3bcd7fe6</v>
      </c>
      <c r="T1162" s="211" t="str">
        <f>IFERROR(__xludf.DUMMYFUNCTION("""COMPUTED_VALUE"""),"Bpk. Alvin (LB Group)")</f>
        <v>Bpk. Alvin (LB Group)</v>
      </c>
      <c r="U1162" s="215">
        <f>IFERROR(__xludf.DUMMYFUNCTION("""COMPUTED_VALUE"""),45892.39827546296)</f>
        <v>45892.39828</v>
      </c>
      <c r="V1162" s="211" t="str">
        <f>IFERROR(__xludf.DUMMYFUNCTION("""COMPUTED_VALUE"""),"MFF9+XHC, Jalan, Tambakrejo, Temuireng, Kec. Dawar Blandong, Kabupaten Mojokerto, Jawa Timur 61354")</f>
        <v>MFF9+XHC, Jalan, Tambakrejo, Temuireng, Kec. Dawar Blandong, Kabupaten Mojokerto, Jawa Timur 61354</v>
      </c>
      <c r="W1162" s="211" t="str">
        <f>IFERROR(__xludf.DUMMYFUNCTION("""COMPUTED_VALUE"""),"OUT")</f>
        <v>OUT</v>
      </c>
      <c r="X1162" s="211"/>
      <c r="Z1162" s="211" t="str">
        <f>IFERROR(__xludf.DUMMYFUNCTION("""COMPUTED_VALUE"""),"03250307")</f>
        <v>03250307</v>
      </c>
      <c r="AL1162" s="211"/>
      <c r="AM1162" s="211"/>
      <c r="AN1162" s="211"/>
      <c r="AO1162" s="211"/>
      <c r="AP1162" s="215"/>
      <c r="AQ1162" s="218"/>
      <c r="AR1162" s="211"/>
    </row>
    <row r="1163">
      <c r="A1163" s="210" t="str">
        <f>IFERROR(__xludf.DUMMYFUNCTION("""COMPUTED_VALUE"""),"7a0f7e45")</f>
        <v>7a0f7e45</v>
      </c>
      <c r="B1163" s="210" t="str">
        <f>IFERROR(__xludf.DUMMYFUNCTION("""COMPUTED_VALUE"""),"7a0f7e45")</f>
        <v>7a0f7e45</v>
      </c>
      <c r="C1163" s="213">
        <f>IFERROR(__xludf.DUMMYFUNCTION("""COMPUTED_VALUE"""),45811.61041666667)</f>
        <v>45811.61042</v>
      </c>
      <c r="D1163" s="211" t="str">
        <f>IFERROR(__xludf.DUMMYFUNCTION("""COMPUTED_VALUE"""),"4bef3bbf")</f>
        <v>4bef3bbf</v>
      </c>
      <c r="E1163" s="211" t="str">
        <f>IFERROR(__xludf.DUMMYFUNCTION("""COMPUTED_VALUE"""),"PT Dingsheng Metal Indonesia (Ngoro)")</f>
        <v>PT Dingsheng Metal Indonesia (Ngoro)</v>
      </c>
      <c r="F1163" s="211" t="str">
        <f>IFERROR(__xludf.DUMMYFUNCTION("""COMPUTED_VALUE"""),"8bdbe149")</f>
        <v>8bdbe149</v>
      </c>
      <c r="G1163" s="211" t="str">
        <f>IFERROR(__xludf.DUMMYFUNCTION("""COMPUTED_VALUE"""),"Oksigen 6m3")</f>
        <v>Oksigen 6m3</v>
      </c>
      <c r="H1163" s="214" t="str">
        <f>IFERROR(__xludf.DUMMYFUNCTION("""COMPUTED_VALUE"""),"IN")</f>
        <v>IN</v>
      </c>
      <c r="I1163" s="214" t="str">
        <f>IFERROR(__xludf.DUMMYFUNCTION("""COMPUTED_VALUE"""),"EMPTY")</f>
        <v>EMPTY</v>
      </c>
      <c r="J1163" s="211">
        <f>IFERROR(__xludf.DUMMYFUNCTION("""COMPUTED_VALUE"""),10.0)</f>
        <v>10</v>
      </c>
      <c r="K1163" s="210" t="str">
        <f>IFERROR(__xludf.DUMMYFUNCTION("""COMPUTED_VALUE"""),"11248 11251 11272 11134 11250 11209 11195 11274 11186 11246")</f>
        <v>11248 11251 11272 11134 11250 11209 11195 11274 11186 11246</v>
      </c>
      <c r="L1163" s="211">
        <f>IFERROR(__xludf.DUMMYFUNCTION("""COMPUTED_VALUE"""),0.0)</f>
        <v>0</v>
      </c>
      <c r="M1163" s="211"/>
      <c r="N1163" s="211"/>
      <c r="O1163" s="211"/>
      <c r="Q1163" s="210" t="str">
        <f>IFERROR(__xludf.DUMMYFUNCTION("""COMPUTED_VALUE"""),"1250475")</f>
        <v>1250475</v>
      </c>
      <c r="R1163" s="210" t="str">
        <f>IFERROR(__xludf.DUMMYFUNCTION("""COMPUTED_VALUE"""),"1250475")</f>
        <v>1250475</v>
      </c>
      <c r="S1163" s="211" t="str">
        <f>IFERROR(__xludf.DUMMYFUNCTION("""COMPUTED_VALUE"""),"3bcd7fe6")</f>
        <v>3bcd7fe6</v>
      </c>
      <c r="T1163" s="211" t="str">
        <f>IFERROR(__xludf.DUMMYFUNCTION("""COMPUTED_VALUE"""),"Bpk. Alvin (LB Group)")</f>
        <v>Bpk. Alvin (LB Group)</v>
      </c>
      <c r="U1163" s="215">
        <f>IFERROR(__xludf.DUMMYFUNCTION("""COMPUTED_VALUE"""),45892.48930555556)</f>
        <v>45892.48931</v>
      </c>
      <c r="V1163" s="211" t="str">
        <f>IFERROR(__xludf.DUMMYFUNCTION("""COMPUTED_VALUE"""),"MFF9+XHC, Jalan, Tambakrejo, Temuireng, Kec. Dawar Blandong, Kabupaten Mojokerto, Jawa Timur 61354")</f>
        <v>MFF9+XHC, Jalan, Tambakrejo, Temuireng, Kec. Dawar Blandong, Kabupaten Mojokerto, Jawa Timur 61354</v>
      </c>
      <c r="W1163" s="211" t="str">
        <f>IFERROR(__xludf.DUMMYFUNCTION("""COMPUTED_VALUE"""),"IN")</f>
        <v>IN</v>
      </c>
      <c r="X1163" s="211"/>
      <c r="Z1163" s="211" t="str">
        <f>IFERROR(__xludf.DUMMYFUNCTION("""COMPUTED_VALUE"""),"03250305")</f>
        <v>03250305</v>
      </c>
      <c r="AL1163" s="211"/>
      <c r="AM1163" s="211"/>
      <c r="AN1163" s="211"/>
      <c r="AO1163" s="211"/>
      <c r="AP1163" s="215"/>
      <c r="AQ1163" s="218"/>
      <c r="AR1163" s="211"/>
    </row>
    <row r="1164">
      <c r="A1164" s="210" t="str">
        <f>IFERROR(__xludf.DUMMYFUNCTION("""COMPUTED_VALUE"""),"75324e8d")</f>
        <v>75324e8d</v>
      </c>
      <c r="B1164" s="210" t="str">
        <f>IFERROR(__xludf.DUMMYFUNCTION("""COMPUTED_VALUE"""),"75324e8d")</f>
        <v>75324e8d</v>
      </c>
      <c r="C1164" s="213">
        <f>IFERROR(__xludf.DUMMYFUNCTION("""COMPUTED_VALUE"""),45811.61111111111)</f>
        <v>45811.61111</v>
      </c>
      <c r="D1164" s="211" t="str">
        <f>IFERROR(__xludf.DUMMYFUNCTION("""COMPUTED_VALUE"""),"609d620d")</f>
        <v>609d620d</v>
      </c>
      <c r="E1164" s="211" t="str">
        <f>IFERROR(__xludf.DUMMYFUNCTION("""COMPUTED_VALUE"""),"PT Pandu Mulia Bersama")</f>
        <v>PT Pandu Mulia Bersama</v>
      </c>
      <c r="F1164" s="211" t="str">
        <f>IFERROR(__xludf.DUMMYFUNCTION("""COMPUTED_VALUE"""),"7d2764f1")</f>
        <v>7d2764f1</v>
      </c>
      <c r="G1164" s="211" t="str">
        <f>IFERROR(__xludf.DUMMYFUNCTION("""COMPUTED_VALUE"""),"Oksigen 7m3")</f>
        <v>Oksigen 7m3</v>
      </c>
      <c r="H1164" s="214" t="str">
        <f>IFERROR(__xludf.DUMMYFUNCTION("""COMPUTED_VALUE"""),"IN")</f>
        <v>IN</v>
      </c>
      <c r="I1164" s="214" t="str">
        <f>IFERROR(__xludf.DUMMYFUNCTION("""COMPUTED_VALUE"""),"EMPTY")</f>
        <v>EMPTY</v>
      </c>
      <c r="J1164" s="211">
        <f>IFERROR(__xludf.DUMMYFUNCTION("""COMPUTED_VALUE"""),7.0)</f>
        <v>7</v>
      </c>
      <c r="K1164" s="210" t="str">
        <f>IFERROR(__xludf.DUMMYFUNCTION("""COMPUTED_VALUE"""),"11245 11147 11170 11171 11141 11153 11150")</f>
        <v>11245 11147 11170 11171 11141 11153 11150</v>
      </c>
      <c r="L1164" s="211">
        <f>IFERROR(__xludf.DUMMYFUNCTION("""COMPUTED_VALUE"""),0.0)</f>
        <v>0</v>
      </c>
      <c r="M1164" s="211"/>
      <c r="N1164" s="211"/>
      <c r="O1164" s="211"/>
      <c r="Q1164" s="210" t="str">
        <f>IFERROR(__xludf.DUMMYFUNCTION("""COMPUTED_VALUE"""),"0825151163")</f>
        <v>0825151163</v>
      </c>
      <c r="R1164" s="210" t="str">
        <f>IFERROR(__xludf.DUMMYFUNCTION("""COMPUTED_VALUE"""),"0825151163")</f>
        <v>0825151163</v>
      </c>
      <c r="S1164" s="211" t="str">
        <f>IFERROR(__xludf.DUMMYFUNCTION("""COMPUTED_VALUE"""),"ec231cc9")</f>
        <v>ec231cc9</v>
      </c>
      <c r="T1164" s="211" t="str">
        <f>IFERROR(__xludf.DUMMYFUNCTION("""COMPUTED_VALUE"""),"Bpk. Kohir (Maintenance Velg)")</f>
        <v>Bpk. Kohir (Maintenance Velg)</v>
      </c>
      <c r="U1164" s="215">
        <f>IFERROR(__xludf.DUMMYFUNCTION("""COMPUTED_VALUE"""),45894.368414351855)</f>
        <v>45894.36841</v>
      </c>
      <c r="V1164" s="211" t="str">
        <f>IFERROR(__xludf.DUMMYFUNCTION("""COMPUTED_VALUE"""),"Jl. Lkr. Bypass Krian Timur, Sidogolong, Watugolong, Kec. Krian, Kabupaten Sidoarjo, Jawa Timur 61262")</f>
        <v>Jl. Lkr. Bypass Krian Timur, Sidogolong, Watugolong, Kec. Krian, Kabupaten Sidoarjo, Jawa Timur 61262</v>
      </c>
      <c r="W1164" s="211" t="str">
        <f>IFERROR(__xludf.DUMMYFUNCTION("""COMPUTED_VALUE"""),"OUT")</f>
        <v>OUT</v>
      </c>
      <c r="X1164" s="211"/>
      <c r="Z1164" s="211" t="str">
        <f>IFERROR(__xludf.DUMMYFUNCTION("""COMPUTED_VALUE"""),"03250303")</f>
        <v>03250303</v>
      </c>
      <c r="AL1164" s="211"/>
      <c r="AM1164" s="211"/>
      <c r="AN1164" s="211"/>
      <c r="AO1164" s="211"/>
      <c r="AP1164" s="215"/>
      <c r="AQ1164" s="218"/>
      <c r="AR1164" s="211"/>
    </row>
    <row r="1165">
      <c r="A1165" s="210" t="str">
        <f>IFERROR(__xludf.DUMMYFUNCTION("""COMPUTED_VALUE"""),"06250492")</f>
        <v>06250492</v>
      </c>
      <c r="B1165" s="210" t="str">
        <f>IFERROR(__xludf.DUMMYFUNCTION("""COMPUTED_VALUE"""),"06250492")</f>
        <v>06250492</v>
      </c>
      <c r="C1165" s="213">
        <f>IFERROR(__xludf.DUMMYFUNCTION("""COMPUTED_VALUE"""),45812.364583333336)</f>
        <v>45812.36458</v>
      </c>
      <c r="D1165" s="211" t="str">
        <f>IFERROR(__xludf.DUMMYFUNCTION("""COMPUTED_VALUE"""),"e86baf3b")</f>
        <v>e86baf3b</v>
      </c>
      <c r="E1165" s="211" t="str">
        <f>IFERROR(__xludf.DUMMYFUNCTION("""COMPUTED_VALUE"""),"PT GEMILANG CIPTA WAWASAN")</f>
        <v>PT GEMILANG CIPTA WAWASAN</v>
      </c>
      <c r="F1165" s="211" t="str">
        <f>IFERROR(__xludf.DUMMYFUNCTION("""COMPUTED_VALUE"""),"66af7c72")</f>
        <v>66af7c72</v>
      </c>
      <c r="G1165" s="211" t="str">
        <f>IFERROR(__xludf.DUMMYFUNCTION("""COMPUTED_VALUE"""),"Argon 6m3")</f>
        <v>Argon 6m3</v>
      </c>
      <c r="H1165" s="214" t="str">
        <f>IFERROR(__xludf.DUMMYFUNCTION("""COMPUTED_VALUE"""),"OUT")</f>
        <v>OUT</v>
      </c>
      <c r="I1165" s="214" t="str">
        <f>IFERROR(__xludf.DUMMYFUNCTION("""COMPUTED_VALUE"""),"NORMAL")</f>
        <v>NORMAL</v>
      </c>
      <c r="J1165" s="211">
        <f>IFERROR(__xludf.DUMMYFUNCTION("""COMPUTED_VALUE"""),10.0)</f>
        <v>10</v>
      </c>
      <c r="K1165" s="210" t="str">
        <f>IFERROR(__xludf.DUMMYFUNCTION("""COMPUTED_VALUE"""),"12014 12031 12044 12043 12013 12017 12015 12020 12011 12026")</f>
        <v>12014 12031 12044 12043 12013 12017 12015 12020 12011 12026</v>
      </c>
      <c r="L1165" s="211">
        <f>IFERROR(__xludf.DUMMYFUNCTION("""COMPUTED_VALUE"""),185000.0)</f>
        <v>185000</v>
      </c>
      <c r="M1165" s="211"/>
      <c r="N1165" s="211"/>
      <c r="O1165" s="211"/>
      <c r="Q1165" s="210" t="str">
        <f>IFERROR(__xludf.DUMMYFUNCTION("""COMPUTED_VALUE"""),"0825411165")</f>
        <v>0825411165</v>
      </c>
      <c r="R1165" s="210" t="str">
        <f>IFERROR(__xludf.DUMMYFUNCTION("""COMPUTED_VALUE"""),"0825411165")</f>
        <v>0825411165</v>
      </c>
      <c r="S1165" s="211" t="str">
        <f>IFERROR(__xludf.DUMMYFUNCTION("""COMPUTED_VALUE"""),"e86baf3b")</f>
        <v>e86baf3b</v>
      </c>
      <c r="T1165" s="211" t="str">
        <f>IFERROR(__xludf.DUMMYFUNCTION("""COMPUTED_VALUE"""),"PT GEMILANG CIPTA WAWASAN")</f>
        <v>PT GEMILANG CIPTA WAWASAN</v>
      </c>
      <c r="U1165" s="215">
        <f>IFERROR(__xludf.DUMMYFUNCTION("""COMPUTED_VALUE"""),45894.433287037034)</f>
        <v>45894.43329</v>
      </c>
      <c r="V1165" s="211" t="str">
        <f>IFERROR(__xludf.DUMMYFUNCTION("""COMPUTED_VALUE"""),"JL TEBET RAYA, 2A, TEBET BARAT, TEBET, KOTA ADM, JAKARTA SELATAN, DKI JAKARTA")</f>
        <v>JL TEBET RAYA, 2A, TEBET BARAT, TEBET, KOTA ADM, JAKARTA SELATAN, DKI JAKARTA</v>
      </c>
      <c r="W1165" s="211" t="str">
        <f>IFERROR(__xludf.DUMMYFUNCTION("""COMPUTED_VALUE"""),"OUT")</f>
        <v>OUT</v>
      </c>
      <c r="X1165" s="211"/>
      <c r="Z1165" s="211" t="str">
        <f>IFERROR(__xludf.DUMMYFUNCTION("""COMPUTED_VALUE"""),"03250302")</f>
        <v>03250302</v>
      </c>
      <c r="AL1165" s="211"/>
      <c r="AM1165" s="211"/>
      <c r="AN1165" s="211"/>
      <c r="AO1165" s="211"/>
      <c r="AP1165" s="215"/>
      <c r="AQ1165" s="218"/>
      <c r="AR1165" s="211"/>
    </row>
    <row r="1166">
      <c r="A1166" s="210" t="str">
        <f>IFERROR(__xludf.DUMMYFUNCTION("""COMPUTED_VALUE"""),"06250493")</f>
        <v>06250493</v>
      </c>
      <c r="B1166" s="210" t="str">
        <f>IFERROR(__xludf.DUMMYFUNCTION("""COMPUTED_VALUE"""),"06250493")</f>
        <v>06250493</v>
      </c>
      <c r="C1166" s="213">
        <f>IFERROR(__xludf.DUMMYFUNCTION("""COMPUTED_VALUE"""),45812.322222222225)</f>
        <v>45812.32222</v>
      </c>
      <c r="D1166" s="211" t="str">
        <f>IFERROR(__xludf.DUMMYFUNCTION("""COMPUTED_VALUE"""),"ce83e171")</f>
        <v>ce83e171</v>
      </c>
      <c r="E1166" s="211" t="str">
        <f>IFERROR(__xludf.DUMMYFUNCTION("""COMPUTED_VALUE"""),"Bpk. Sulaiman")</f>
        <v>Bpk. Sulaiman</v>
      </c>
      <c r="F1166" s="211" t="str">
        <f>IFERROR(__xludf.DUMMYFUNCTION("""COMPUTED_VALUE"""),"f6aab7a9")</f>
        <v>f6aab7a9</v>
      </c>
      <c r="G1166" s="211" t="str">
        <f>IFERROR(__xludf.DUMMYFUNCTION("""COMPUTED_VALUE"""),"Oksigen 6m3 MR")</f>
        <v>Oksigen 6m3 MR</v>
      </c>
      <c r="H1166" s="214" t="str">
        <f>IFERROR(__xludf.DUMMYFUNCTION("""COMPUTED_VALUE"""),"OUT")</f>
        <v>OUT</v>
      </c>
      <c r="I1166" s="214" t="str">
        <f>IFERROR(__xludf.DUMMYFUNCTION("""COMPUTED_VALUE"""),"NORMAL")</f>
        <v>NORMAL</v>
      </c>
      <c r="J1166" s="211">
        <f>IFERROR(__xludf.DUMMYFUNCTION("""COMPUTED_VALUE"""),1.0)</f>
        <v>1</v>
      </c>
      <c r="K1166" s="211"/>
      <c r="L1166" s="211">
        <f>IFERROR(__xludf.DUMMYFUNCTION("""COMPUTED_VALUE"""),55000.0)</f>
        <v>55000</v>
      </c>
      <c r="M1166" s="211"/>
      <c r="N1166" s="211"/>
      <c r="O1166" s="211"/>
      <c r="Q1166" s="210" t="str">
        <f>IFERROR(__xludf.DUMMYFUNCTION("""COMPUTED_VALUE"""),"1250529")</f>
        <v>1250529</v>
      </c>
      <c r="R1166" s="210" t="str">
        <f>IFERROR(__xludf.DUMMYFUNCTION("""COMPUTED_VALUE"""),"1250529")</f>
        <v>1250529</v>
      </c>
      <c r="S1166" s="211" t="str">
        <f>IFERROR(__xludf.DUMMYFUNCTION("""COMPUTED_VALUE"""),"ec231cc9")</f>
        <v>ec231cc9</v>
      </c>
      <c r="T1166" s="211" t="str">
        <f>IFERROR(__xludf.DUMMYFUNCTION("""COMPUTED_VALUE"""),"Bpk. Kohir (Maintenance Velg)")</f>
        <v>Bpk. Kohir (Maintenance Velg)</v>
      </c>
      <c r="U1166" s="215">
        <f>IFERROR(__xludf.DUMMYFUNCTION("""COMPUTED_VALUE"""),45894.45613425926)</f>
        <v>45894.45613</v>
      </c>
      <c r="V1166" s="211" t="str">
        <f>IFERROR(__xludf.DUMMYFUNCTION("""COMPUTED_VALUE"""),"Jl. Lkr. Bypass Krian Timur, Sidogolong, Watugolong, Kec. Krian, Kabupaten Sidoarjo, Jawa Timur 61262")</f>
        <v>Jl. Lkr. Bypass Krian Timur, Sidogolong, Watugolong, Kec. Krian, Kabupaten Sidoarjo, Jawa Timur 61262</v>
      </c>
      <c r="W1166" s="211" t="str">
        <f>IFERROR(__xludf.DUMMYFUNCTION("""COMPUTED_VALUE"""),"IN")</f>
        <v>IN</v>
      </c>
      <c r="X1166" s="211"/>
      <c r="Z1166" s="211" t="str">
        <f>IFERROR(__xludf.DUMMYFUNCTION("""COMPUTED_VALUE"""),"03250299")</f>
        <v>03250299</v>
      </c>
      <c r="AL1166" s="211"/>
      <c r="AM1166" s="211"/>
      <c r="AN1166" s="211"/>
      <c r="AO1166" s="211"/>
      <c r="AP1166" s="215"/>
      <c r="AQ1166" s="218"/>
      <c r="AR1166" s="211"/>
    </row>
    <row r="1167">
      <c r="A1167" s="210" t="str">
        <f>IFERROR(__xludf.DUMMYFUNCTION("""COMPUTED_VALUE"""),"06250494")</f>
        <v>06250494</v>
      </c>
      <c r="B1167" s="210" t="str">
        <f>IFERROR(__xludf.DUMMYFUNCTION("""COMPUTED_VALUE"""),"06250494")</f>
        <v>06250494</v>
      </c>
      <c r="C1167" s="213">
        <f>IFERROR(__xludf.DUMMYFUNCTION("""COMPUTED_VALUE"""),45812.37847222222)</f>
        <v>45812.37847</v>
      </c>
      <c r="D1167" s="211" t="str">
        <f>IFERROR(__xludf.DUMMYFUNCTION("""COMPUTED_VALUE"""),"b2b5f2c5")</f>
        <v>b2b5f2c5</v>
      </c>
      <c r="E1167" s="211" t="str">
        <f>IFERROR(__xludf.DUMMYFUNCTION("""COMPUTED_VALUE"""),"Bengkel Las Bpk. Ari")</f>
        <v>Bengkel Las Bpk. Ari</v>
      </c>
      <c r="F1167" s="211" t="str">
        <f>IFERROR(__xludf.DUMMYFUNCTION("""COMPUTED_VALUE"""),"8bdbe149")</f>
        <v>8bdbe149</v>
      </c>
      <c r="G1167" s="211" t="str">
        <f>IFERROR(__xludf.DUMMYFUNCTION("""COMPUTED_VALUE"""),"Oksigen 6m3")</f>
        <v>Oksigen 6m3</v>
      </c>
      <c r="H1167" s="214" t="str">
        <f>IFERROR(__xludf.DUMMYFUNCTION("""COMPUTED_VALUE"""),"OUT")</f>
        <v>OUT</v>
      </c>
      <c r="I1167" s="214" t="str">
        <f>IFERROR(__xludf.DUMMYFUNCTION("""COMPUTED_VALUE"""),"NORMAL")</f>
        <v>NORMAL</v>
      </c>
      <c r="J1167" s="211">
        <f>IFERROR(__xludf.DUMMYFUNCTION("""COMPUTED_VALUE"""),2.0)</f>
        <v>2</v>
      </c>
      <c r="K1167" s="210" t="str">
        <f>IFERROR(__xludf.DUMMYFUNCTION("""COMPUTED_VALUE"""),"11232 11228")</f>
        <v>11232 11228</v>
      </c>
      <c r="L1167" s="211">
        <f>IFERROR(__xludf.DUMMYFUNCTION("""COMPUTED_VALUE"""),60000.0)</f>
        <v>60000</v>
      </c>
      <c r="M1167" s="211"/>
      <c r="N1167" s="211"/>
      <c r="O1167" s="211"/>
      <c r="Q1167" s="210" t="str">
        <f>IFERROR(__xludf.DUMMYFUNCTION("""COMPUTED_VALUE"""),"082551166")</f>
        <v>082551166</v>
      </c>
      <c r="R1167" s="210" t="str">
        <f>IFERROR(__xludf.DUMMYFUNCTION("""COMPUTED_VALUE"""),"082551166")</f>
        <v>082551166</v>
      </c>
      <c r="S1167" s="211" t="str">
        <f>IFERROR(__xludf.DUMMYFUNCTION("""COMPUTED_VALUE"""),"196b24da")</f>
        <v>196b24da</v>
      </c>
      <c r="T1167" s="211" t="str">
        <f>IFERROR(__xludf.DUMMYFUNCTION("""COMPUTED_VALUE"""),"PT Samudra Cipta Enjineering")</f>
        <v>PT Samudra Cipta Enjineering</v>
      </c>
      <c r="U1167" s="215">
        <f>IFERROR(__xludf.DUMMYFUNCTION("""COMPUTED_VALUE"""),45894.579050925924)</f>
        <v>45894.57905</v>
      </c>
      <c r="V1167" s="211" t="str">
        <f>IFERROR(__xludf.DUMMYFUNCTION("""COMPUTED_VALUE"""),"Pergudangan Center Point Blok C4   Ds. Kemangsen  Balongbendo")</f>
        <v>Pergudangan Center Point Blok C4   Ds. Kemangsen  Balongbendo</v>
      </c>
      <c r="W1167" s="211" t="str">
        <f>IFERROR(__xludf.DUMMYFUNCTION("""COMPUTED_VALUE"""),"OUT")</f>
        <v>OUT</v>
      </c>
      <c r="X1167" s="211"/>
      <c r="Z1167" s="211" t="str">
        <f>IFERROR(__xludf.DUMMYFUNCTION("""COMPUTED_VALUE"""),"03250298")</f>
        <v>03250298</v>
      </c>
      <c r="AL1167" s="211"/>
      <c r="AM1167" s="211"/>
      <c r="AN1167" s="211"/>
      <c r="AO1167" s="211"/>
      <c r="AP1167" s="215"/>
      <c r="AQ1167" s="218"/>
      <c r="AR1167" s="211"/>
    </row>
    <row r="1168">
      <c r="A1168" s="210" t="str">
        <f>IFERROR(__xludf.DUMMYFUNCTION("""COMPUTED_VALUE"""),"fcc30418")</f>
        <v>fcc30418</v>
      </c>
      <c r="B1168" s="210" t="str">
        <f>IFERROR(__xludf.DUMMYFUNCTION("""COMPUTED_VALUE"""),"fcc30418")</f>
        <v>fcc30418</v>
      </c>
      <c r="C1168" s="213">
        <f>IFERROR(__xludf.DUMMYFUNCTION("""COMPUTED_VALUE"""),45812.42847222222)</f>
        <v>45812.42847</v>
      </c>
      <c r="D1168" s="211" t="str">
        <f>IFERROR(__xludf.DUMMYFUNCTION("""COMPUTED_VALUE"""),"e86baf3b")</f>
        <v>e86baf3b</v>
      </c>
      <c r="E1168" s="211" t="str">
        <f>IFERROR(__xludf.DUMMYFUNCTION("""COMPUTED_VALUE"""),"PT GEMILANG CIPTA WAWASAN")</f>
        <v>PT GEMILANG CIPTA WAWASAN</v>
      </c>
      <c r="F1168" s="211" t="str">
        <f>IFERROR(__xludf.DUMMYFUNCTION("""COMPUTED_VALUE"""),"8bdbe149")</f>
        <v>8bdbe149</v>
      </c>
      <c r="G1168" s="211" t="str">
        <f>IFERROR(__xludf.DUMMYFUNCTION("""COMPUTED_VALUE"""),"Oksigen 6m3")</f>
        <v>Oksigen 6m3</v>
      </c>
      <c r="H1168" s="214" t="str">
        <f>IFERROR(__xludf.DUMMYFUNCTION("""COMPUTED_VALUE"""),"IN")</f>
        <v>IN</v>
      </c>
      <c r="I1168" s="214" t="str">
        <f>IFERROR(__xludf.DUMMYFUNCTION("""COMPUTED_VALUE"""),"EMPTY")</f>
        <v>EMPTY</v>
      </c>
      <c r="J1168" s="211">
        <f>IFERROR(__xludf.DUMMYFUNCTION("""COMPUTED_VALUE"""),10.0)</f>
        <v>10</v>
      </c>
      <c r="K1168" s="210" t="str">
        <f>IFERROR(__xludf.DUMMYFUNCTION("""COMPUTED_VALUE"""),"11100 1117 1103 1120 11210 11109 1123 1199 11161 11152")</f>
        <v>11100 1117 1103 1120 11210 11109 1123 1199 11161 11152</v>
      </c>
      <c r="L1168" s="211">
        <f>IFERROR(__xludf.DUMMYFUNCTION("""COMPUTED_VALUE"""),0.0)</f>
        <v>0</v>
      </c>
      <c r="M1168" s="211"/>
      <c r="N1168" s="211"/>
      <c r="O1168" s="211"/>
      <c r="Q1168" s="210" t="str">
        <f>IFERROR(__xludf.DUMMYFUNCTION("""COMPUTED_VALUE"""),"1250532")</f>
        <v>1250532</v>
      </c>
      <c r="R1168" s="210" t="str">
        <f>IFERROR(__xludf.DUMMYFUNCTION("""COMPUTED_VALUE"""),"1250532")</f>
        <v>1250532</v>
      </c>
      <c r="S1168" s="211" t="str">
        <f>IFERROR(__xludf.DUMMYFUNCTION("""COMPUTED_VALUE"""),"196b24da")</f>
        <v>196b24da</v>
      </c>
      <c r="T1168" s="211" t="str">
        <f>IFERROR(__xludf.DUMMYFUNCTION("""COMPUTED_VALUE"""),"PT Samudra Cipta Enjineering")</f>
        <v>PT Samudra Cipta Enjineering</v>
      </c>
      <c r="U1168" s="215">
        <f>IFERROR(__xludf.DUMMYFUNCTION("""COMPUTED_VALUE"""),45894.60895833333)</f>
        <v>45894.60896</v>
      </c>
      <c r="V1168" s="211" t="str">
        <f>IFERROR(__xludf.DUMMYFUNCTION("""COMPUTED_VALUE"""),"Pergudangan Center Point Blok C4   Ds. Kemangsen  Balongbendo")</f>
        <v>Pergudangan Center Point Blok C4   Ds. Kemangsen  Balongbendo</v>
      </c>
      <c r="W1168" s="211" t="str">
        <f>IFERROR(__xludf.DUMMYFUNCTION("""COMPUTED_VALUE"""),"IN")</f>
        <v>IN</v>
      </c>
      <c r="X1168" s="211"/>
      <c r="Z1168" s="211" t="str">
        <f>IFERROR(__xludf.DUMMYFUNCTION("""COMPUTED_VALUE"""),"03250297")</f>
        <v>03250297</v>
      </c>
      <c r="AL1168" s="211"/>
      <c r="AM1168" s="211"/>
      <c r="AN1168" s="211"/>
      <c r="AO1168" s="211"/>
      <c r="AP1168" s="215"/>
      <c r="AQ1168" s="218"/>
      <c r="AR1168" s="211"/>
    </row>
    <row r="1169">
      <c r="A1169" s="210" t="str">
        <f>IFERROR(__xludf.DUMMYFUNCTION("""COMPUTED_VALUE"""),"fcc30418")</f>
        <v>fcc30418</v>
      </c>
      <c r="B1169" s="210" t="str">
        <f>IFERROR(__xludf.DUMMYFUNCTION("""COMPUTED_VALUE"""),"fcc30418")</f>
        <v>fcc30418</v>
      </c>
      <c r="C1169" s="213">
        <f>IFERROR(__xludf.DUMMYFUNCTION("""COMPUTED_VALUE"""),45812.42916666667)</f>
        <v>45812.42917</v>
      </c>
      <c r="D1169" s="211" t="str">
        <f>IFERROR(__xludf.DUMMYFUNCTION("""COMPUTED_VALUE"""),"e86baf3b")</f>
        <v>e86baf3b</v>
      </c>
      <c r="E1169" s="211" t="str">
        <f>IFERROR(__xludf.DUMMYFUNCTION("""COMPUTED_VALUE"""),"PT GEMILANG CIPTA WAWASAN")</f>
        <v>PT GEMILANG CIPTA WAWASAN</v>
      </c>
      <c r="F1169" s="211" t="str">
        <f>IFERROR(__xludf.DUMMYFUNCTION("""COMPUTED_VALUE"""),"66af7c72")</f>
        <v>66af7c72</v>
      </c>
      <c r="G1169" s="211" t="str">
        <f>IFERROR(__xludf.DUMMYFUNCTION("""COMPUTED_VALUE"""),"Argon 6m3")</f>
        <v>Argon 6m3</v>
      </c>
      <c r="H1169" s="214" t="str">
        <f>IFERROR(__xludf.DUMMYFUNCTION("""COMPUTED_VALUE"""),"IN")</f>
        <v>IN</v>
      </c>
      <c r="I1169" s="214" t="str">
        <f>IFERROR(__xludf.DUMMYFUNCTION("""COMPUTED_VALUE"""),"EMPTY")</f>
        <v>EMPTY</v>
      </c>
      <c r="J1169" s="211">
        <f>IFERROR(__xludf.DUMMYFUNCTION("""COMPUTED_VALUE"""),5.0)</f>
        <v>5</v>
      </c>
      <c r="K1169" s="210" t="str">
        <f>IFERROR(__xludf.DUMMYFUNCTION("""COMPUTED_VALUE"""),"12024 12019 12034 12029 12007")</f>
        <v>12024 12019 12034 12029 12007</v>
      </c>
      <c r="L1169" s="211">
        <f>IFERROR(__xludf.DUMMYFUNCTION("""COMPUTED_VALUE"""),0.0)</f>
        <v>0</v>
      </c>
      <c r="M1169" s="211"/>
      <c r="N1169" s="211"/>
      <c r="O1169" s="211"/>
      <c r="Q1169" s="210" t="str">
        <f>IFERROR(__xludf.DUMMYFUNCTION("""COMPUTED_VALUE"""),"0825421168")</f>
        <v>0825421168</v>
      </c>
      <c r="R1169" s="210" t="str">
        <f>IFERROR(__xludf.DUMMYFUNCTION("""COMPUTED_VALUE"""),"0825421168")</f>
        <v>0825421168</v>
      </c>
      <c r="S1169" s="211" t="str">
        <f>IFERROR(__xludf.DUMMYFUNCTION("""COMPUTED_VALUE"""),"e86baf3b")</f>
        <v>e86baf3b</v>
      </c>
      <c r="T1169" s="211" t="str">
        <f>IFERROR(__xludf.DUMMYFUNCTION("""COMPUTED_VALUE"""),"PT GEMILANG CIPTA WAWASAN")</f>
        <v>PT GEMILANG CIPTA WAWASAN</v>
      </c>
      <c r="U1169" s="215">
        <f>IFERROR(__xludf.DUMMYFUNCTION("""COMPUTED_VALUE"""),45895.4490625)</f>
        <v>45895.44906</v>
      </c>
      <c r="V1169" s="211" t="str">
        <f>IFERROR(__xludf.DUMMYFUNCTION("""COMPUTED_VALUE"""),"JL TEBET RAYA, 2A, TEBET BARAT, TEBET, KOTA ADM, JAKARTA SELATAN, DKI JAKARTA")</f>
        <v>JL TEBET RAYA, 2A, TEBET BARAT, TEBET, KOTA ADM, JAKARTA SELATAN, DKI JAKARTA</v>
      </c>
      <c r="W1169" s="211" t="str">
        <f>IFERROR(__xludf.DUMMYFUNCTION("""COMPUTED_VALUE"""),"OUT")</f>
        <v>OUT</v>
      </c>
      <c r="X1169" s="211"/>
      <c r="Z1169" s="211" t="str">
        <f>IFERROR(__xludf.DUMMYFUNCTION("""COMPUTED_VALUE"""),"03250295")</f>
        <v>03250295</v>
      </c>
      <c r="AL1169" s="211"/>
      <c r="AM1169" s="211"/>
      <c r="AN1169" s="211"/>
      <c r="AO1169" s="211"/>
      <c r="AP1169" s="215"/>
      <c r="AQ1169" s="218"/>
      <c r="AR1169" s="211"/>
    </row>
    <row r="1170">
      <c r="A1170" s="210" t="str">
        <f>IFERROR(__xludf.DUMMYFUNCTION("""COMPUTED_VALUE"""),"d8417487")</f>
        <v>d8417487</v>
      </c>
      <c r="B1170" s="210" t="str">
        <f>IFERROR(__xludf.DUMMYFUNCTION("""COMPUTED_VALUE"""),"d8417487")</f>
        <v>d8417487</v>
      </c>
      <c r="C1170" s="213">
        <f>IFERROR(__xludf.DUMMYFUNCTION("""COMPUTED_VALUE"""),45812.42986111111)</f>
        <v>45812.42986</v>
      </c>
      <c r="D1170" s="211" t="str">
        <f>IFERROR(__xludf.DUMMYFUNCTION("""COMPUTED_VALUE"""),"1bf27092")</f>
        <v>1bf27092</v>
      </c>
      <c r="E1170" s="211" t="str">
        <f>IFERROR(__xludf.DUMMYFUNCTION("""COMPUTED_VALUE"""),"Bpk. Ari Budiarto")</f>
        <v>Bpk. Ari Budiarto</v>
      </c>
      <c r="F1170" s="211" t="str">
        <f>IFERROR(__xludf.DUMMYFUNCTION("""COMPUTED_VALUE"""),"66af7c72")</f>
        <v>66af7c72</v>
      </c>
      <c r="G1170" s="211" t="str">
        <f>IFERROR(__xludf.DUMMYFUNCTION("""COMPUTED_VALUE"""),"Argon 6m3")</f>
        <v>Argon 6m3</v>
      </c>
      <c r="H1170" s="214" t="str">
        <f>IFERROR(__xludf.DUMMYFUNCTION("""COMPUTED_VALUE"""),"IN")</f>
        <v>IN</v>
      </c>
      <c r="I1170" s="214" t="str">
        <f>IFERROR(__xludf.DUMMYFUNCTION("""COMPUTED_VALUE"""),"EMPTY")</f>
        <v>EMPTY</v>
      </c>
      <c r="J1170" s="211">
        <f>IFERROR(__xludf.DUMMYFUNCTION("""COMPUTED_VALUE"""),1.0)</f>
        <v>1</v>
      </c>
      <c r="K1170" s="210" t="str">
        <f>IFERROR(__xludf.DUMMYFUNCTION("""COMPUTED_VALUE"""),"12041")</f>
        <v>12041</v>
      </c>
      <c r="L1170" s="211">
        <f>IFERROR(__xludf.DUMMYFUNCTION("""COMPUTED_VALUE"""),0.0)</f>
        <v>0</v>
      </c>
      <c r="M1170" s="211"/>
      <c r="N1170" s="211"/>
      <c r="O1170" s="211"/>
      <c r="Q1170" s="210" t="str">
        <f>IFERROR(__xludf.DUMMYFUNCTION("""COMPUTED_VALUE"""),"0825161170")</f>
        <v>0825161170</v>
      </c>
      <c r="R1170" s="210" t="str">
        <f>IFERROR(__xludf.DUMMYFUNCTION("""COMPUTED_VALUE"""),"0825161170")</f>
        <v>0825161170</v>
      </c>
      <c r="S1170" s="211" t="str">
        <f>IFERROR(__xludf.DUMMYFUNCTION("""COMPUTED_VALUE"""),"b2b5f2c5")</f>
        <v>b2b5f2c5</v>
      </c>
      <c r="T1170" s="211" t="str">
        <f>IFERROR(__xludf.DUMMYFUNCTION("""COMPUTED_VALUE"""),"Bengkel Las Bpk. Ari")</f>
        <v>Bengkel Las Bpk. Ari</v>
      </c>
      <c r="U1170" s="215">
        <f>IFERROR(__xludf.DUMMYFUNCTION("""COMPUTED_VALUE"""),45895.47479166667)</f>
        <v>45895.47479</v>
      </c>
      <c r="V1170" s="211" t="str">
        <f>IFERROR(__xludf.DUMMYFUNCTION("""COMPUTED_VALUE"""),"Sumber Kembar, Wonodadi, Kec. Kutorejo, Kabupaten Mojokerto, Jawa Timur")</f>
        <v>Sumber Kembar, Wonodadi, Kec. Kutorejo, Kabupaten Mojokerto, Jawa Timur</v>
      </c>
      <c r="W1170" s="211" t="str">
        <f>IFERROR(__xludf.DUMMYFUNCTION("""COMPUTED_VALUE"""),"OUT")</f>
        <v>OUT</v>
      </c>
      <c r="X1170" s="211" t="str">
        <f>IFERROR(__xludf.DUMMYFUNCTION("""COMPUTED_VALUE"""),"documentLog_Images/0825161170.customerSign.081031.png")</f>
        <v>documentLog_Images/0825161170.customerSign.081031.png</v>
      </c>
      <c r="Z1170" s="211" t="str">
        <f>IFERROR(__xludf.DUMMYFUNCTION("""COMPUTED_VALUE"""),"03250294")</f>
        <v>03250294</v>
      </c>
      <c r="AL1170" s="211"/>
      <c r="AM1170" s="211"/>
      <c r="AN1170" s="211"/>
      <c r="AO1170" s="211"/>
      <c r="AP1170" s="215"/>
      <c r="AQ1170" s="218"/>
      <c r="AR1170" s="211"/>
    </row>
    <row r="1171">
      <c r="A1171" s="210" t="str">
        <f>IFERROR(__xludf.DUMMYFUNCTION("""COMPUTED_VALUE"""),"8c0627b2")</f>
        <v>8c0627b2</v>
      </c>
      <c r="B1171" s="210" t="str">
        <f>IFERROR(__xludf.DUMMYFUNCTION("""COMPUTED_VALUE"""),"8c0627b2")</f>
        <v>8c0627b2</v>
      </c>
      <c r="C1171" s="213">
        <f>IFERROR(__xludf.DUMMYFUNCTION("""COMPUTED_VALUE"""),45812.42986111111)</f>
        <v>45812.42986</v>
      </c>
      <c r="D1171" s="211" t="str">
        <f>IFERROR(__xludf.DUMMYFUNCTION("""COMPUTED_VALUE"""),"785e0e07")</f>
        <v>785e0e07</v>
      </c>
      <c r="E1171" s="211" t="str">
        <f>IFERROR(__xludf.DUMMYFUNCTION("""COMPUTED_VALUE"""),"Bpk. Sukirno (Bejo)")</f>
        <v>Bpk. Sukirno (Bejo)</v>
      </c>
      <c r="F1171" s="211" t="str">
        <f>IFERROR(__xludf.DUMMYFUNCTION("""COMPUTED_VALUE"""),"8bdbe149")</f>
        <v>8bdbe149</v>
      </c>
      <c r="G1171" s="211" t="str">
        <f>IFERROR(__xludf.DUMMYFUNCTION("""COMPUTED_VALUE"""),"Oksigen 6m3")</f>
        <v>Oksigen 6m3</v>
      </c>
      <c r="H1171" s="214" t="str">
        <f>IFERROR(__xludf.DUMMYFUNCTION("""COMPUTED_VALUE"""),"IN")</f>
        <v>IN</v>
      </c>
      <c r="I1171" s="214" t="str">
        <f>IFERROR(__xludf.DUMMYFUNCTION("""COMPUTED_VALUE"""),"EMPTY")</f>
        <v>EMPTY</v>
      </c>
      <c r="J1171" s="211">
        <f>IFERROR(__xludf.DUMMYFUNCTION("""COMPUTED_VALUE"""),7.0)</f>
        <v>7</v>
      </c>
      <c r="K1171" s="210" t="str">
        <f>IFERROR(__xludf.DUMMYFUNCTION("""COMPUTED_VALUE"""),"11183 11190 11178 11292 11185 11257 1196")</f>
        <v>11183 11190 11178 11292 11185 11257 1196</v>
      </c>
      <c r="L1171" s="211">
        <f>IFERROR(__xludf.DUMMYFUNCTION("""COMPUTED_VALUE"""),0.0)</f>
        <v>0</v>
      </c>
      <c r="M1171" s="211"/>
      <c r="N1171" s="211"/>
      <c r="O1171" s="211"/>
      <c r="Q1171" s="210" t="str">
        <f>IFERROR(__xludf.DUMMYFUNCTION("""COMPUTED_VALUE"""),"1250531")</f>
        <v>1250531</v>
      </c>
      <c r="R1171" s="210" t="str">
        <f>IFERROR(__xludf.DUMMYFUNCTION("""COMPUTED_VALUE"""),"1250531")</f>
        <v>1250531</v>
      </c>
      <c r="S1171" s="211" t="str">
        <f>IFERROR(__xludf.DUMMYFUNCTION("""COMPUTED_VALUE"""),"e86baf3b")</f>
        <v>e86baf3b</v>
      </c>
      <c r="T1171" s="211" t="str">
        <f>IFERROR(__xludf.DUMMYFUNCTION("""COMPUTED_VALUE"""),"PT GEMILANG CIPTA WAWASAN")</f>
        <v>PT GEMILANG CIPTA WAWASAN</v>
      </c>
      <c r="U1171" s="215">
        <f>IFERROR(__xludf.DUMMYFUNCTION("""COMPUTED_VALUE"""),45895.59725694444)</f>
        <v>45895.59726</v>
      </c>
      <c r="V1171" s="211" t="str">
        <f>IFERROR(__xludf.DUMMYFUNCTION("""COMPUTED_VALUE"""),"JL TEBET RAYA, 2A, TEBET BARAT, TEBET, KOTA ADM, JAKARTA SELATAN, DKI JAKARTA")</f>
        <v>JL TEBET RAYA, 2A, TEBET BARAT, TEBET, KOTA ADM, JAKARTA SELATAN, DKI JAKARTA</v>
      </c>
      <c r="W1171" s="211" t="str">
        <f>IFERROR(__xludf.DUMMYFUNCTION("""COMPUTED_VALUE"""),"IN")</f>
        <v>IN</v>
      </c>
      <c r="X1171" s="211"/>
      <c r="Z1171" s="211" t="str">
        <f>IFERROR(__xludf.DUMMYFUNCTION("""COMPUTED_VALUE"""),"03250293")</f>
        <v>03250293</v>
      </c>
      <c r="AL1171" s="211"/>
      <c r="AM1171" s="211"/>
      <c r="AN1171" s="211"/>
      <c r="AO1171" s="211"/>
      <c r="AP1171" s="215"/>
      <c r="AQ1171" s="218"/>
      <c r="AR1171" s="211"/>
    </row>
    <row r="1172">
      <c r="A1172" s="210" t="str">
        <f>IFERROR(__xludf.DUMMYFUNCTION("""COMPUTED_VALUE"""),"3ced37c6")</f>
        <v>3ced37c6</v>
      </c>
      <c r="B1172" s="210" t="str">
        <f>IFERROR(__xludf.DUMMYFUNCTION("""COMPUTED_VALUE"""),"3ced37c6")</f>
        <v>3ced37c6</v>
      </c>
      <c r="C1172" s="213">
        <f>IFERROR(__xludf.DUMMYFUNCTION("""COMPUTED_VALUE"""),45812.43263888889)</f>
        <v>45812.43264</v>
      </c>
      <c r="D1172" s="211" t="str">
        <f>IFERROR(__xludf.DUMMYFUNCTION("""COMPUTED_VALUE"""),"5449a0b8")</f>
        <v>5449a0b8</v>
      </c>
      <c r="E1172" s="211" t="str">
        <f>IFERROR(__xludf.DUMMYFUNCTION("""COMPUTED_VALUE"""),"Bpk. Supar")</f>
        <v>Bpk. Supar</v>
      </c>
      <c r="F1172" s="211" t="str">
        <f>IFERROR(__xludf.DUMMYFUNCTION("""COMPUTED_VALUE"""),"8bdbe149")</f>
        <v>8bdbe149</v>
      </c>
      <c r="G1172" s="211" t="str">
        <f>IFERROR(__xludf.DUMMYFUNCTION("""COMPUTED_VALUE"""),"Oksigen 6m3")</f>
        <v>Oksigen 6m3</v>
      </c>
      <c r="H1172" s="214" t="str">
        <f>IFERROR(__xludf.DUMMYFUNCTION("""COMPUTED_VALUE"""),"IN")</f>
        <v>IN</v>
      </c>
      <c r="I1172" s="214" t="str">
        <f>IFERROR(__xludf.DUMMYFUNCTION("""COMPUTED_VALUE"""),"EMPTY")</f>
        <v>EMPTY</v>
      </c>
      <c r="J1172" s="211">
        <f>IFERROR(__xludf.DUMMYFUNCTION("""COMPUTED_VALUE"""),1.0)</f>
        <v>1</v>
      </c>
      <c r="K1172" s="210" t="str">
        <f>IFERROR(__xludf.DUMMYFUNCTION("""COMPUTED_VALUE"""),"11173")</f>
        <v>11173</v>
      </c>
      <c r="L1172" s="211">
        <f>IFERROR(__xludf.DUMMYFUNCTION("""COMPUTED_VALUE"""),0.0)</f>
        <v>0</v>
      </c>
      <c r="M1172" s="211"/>
      <c r="N1172" s="211"/>
      <c r="O1172" s="211"/>
      <c r="Q1172" s="210" t="str">
        <f>IFERROR(__xludf.DUMMYFUNCTION("""COMPUTED_VALUE"""),"1250533")</f>
        <v>1250533</v>
      </c>
      <c r="R1172" s="210" t="str">
        <f>IFERROR(__xludf.DUMMYFUNCTION("""COMPUTED_VALUE"""),"1250533")</f>
        <v>1250533</v>
      </c>
      <c r="S1172" s="211" t="str">
        <f>IFERROR(__xludf.DUMMYFUNCTION("""COMPUTED_VALUE"""),"b2b5f2c5")</f>
        <v>b2b5f2c5</v>
      </c>
      <c r="T1172" s="211" t="str">
        <f>IFERROR(__xludf.DUMMYFUNCTION("""COMPUTED_VALUE"""),"Bengkel Las Bpk. Ari")</f>
        <v>Bengkel Las Bpk. Ari</v>
      </c>
      <c r="U1172" s="215">
        <f>IFERROR(__xludf.DUMMYFUNCTION("""COMPUTED_VALUE"""),45896.34208333334)</f>
        <v>45896.34208</v>
      </c>
      <c r="V1172" s="211" t="str">
        <f>IFERROR(__xludf.DUMMYFUNCTION("""COMPUTED_VALUE"""),"Sumber Kembar, Wonodadi, Kec. Kutorejo, Kabupaten Mojokerto, Jawa Timur")</f>
        <v>Sumber Kembar, Wonodadi, Kec. Kutorejo, Kabupaten Mojokerto, Jawa Timur</v>
      </c>
      <c r="W1172" s="211" t="str">
        <f>IFERROR(__xludf.DUMMYFUNCTION("""COMPUTED_VALUE"""),"IN")</f>
        <v>IN</v>
      </c>
      <c r="X1172" s="211"/>
      <c r="Z1172" s="211" t="str">
        <f>IFERROR(__xludf.DUMMYFUNCTION("""COMPUTED_VALUE"""),"03250290")</f>
        <v>03250290</v>
      </c>
      <c r="AL1172" s="211"/>
      <c r="AM1172" s="211"/>
      <c r="AN1172" s="211"/>
      <c r="AO1172" s="211"/>
      <c r="AP1172" s="215"/>
      <c r="AQ1172" s="218"/>
      <c r="AR1172" s="211"/>
    </row>
    <row r="1173">
      <c r="A1173" s="210" t="str">
        <f>IFERROR(__xludf.DUMMYFUNCTION("""COMPUTED_VALUE"""),"5d22af18")</f>
        <v>5d22af18</v>
      </c>
      <c r="B1173" s="210" t="str">
        <f>IFERROR(__xludf.DUMMYFUNCTION("""COMPUTED_VALUE"""),"5d22af18")</f>
        <v>5d22af18</v>
      </c>
      <c r="C1173" s="213">
        <f>IFERROR(__xludf.DUMMYFUNCTION("""COMPUTED_VALUE"""),45812.46805555555)</f>
        <v>45812.46806</v>
      </c>
      <c r="D1173" s="211" t="str">
        <f>IFERROR(__xludf.DUMMYFUNCTION("""COMPUTED_VALUE"""),"4bef3bbf")</f>
        <v>4bef3bbf</v>
      </c>
      <c r="E1173" s="211" t="str">
        <f>IFERROR(__xludf.DUMMYFUNCTION("""COMPUTED_VALUE"""),"PT Dingsheng Metal Indonesia (Ngoro)")</f>
        <v>PT Dingsheng Metal Indonesia (Ngoro)</v>
      </c>
      <c r="F1173" s="211" t="str">
        <f>IFERROR(__xludf.DUMMYFUNCTION("""COMPUTED_VALUE"""),"66af7c72")</f>
        <v>66af7c72</v>
      </c>
      <c r="G1173" s="211" t="str">
        <f>IFERROR(__xludf.DUMMYFUNCTION("""COMPUTED_VALUE"""),"Argon 6m3")</f>
        <v>Argon 6m3</v>
      </c>
      <c r="H1173" s="214" t="str">
        <f>IFERROR(__xludf.DUMMYFUNCTION("""COMPUTED_VALUE"""),"IN")</f>
        <v>IN</v>
      </c>
      <c r="I1173" s="214" t="str">
        <f>IFERROR(__xludf.DUMMYFUNCTION("""COMPUTED_VALUE"""),"EMPTY")</f>
        <v>EMPTY</v>
      </c>
      <c r="J1173" s="211">
        <f>IFERROR(__xludf.DUMMYFUNCTION("""COMPUTED_VALUE"""),1.0)</f>
        <v>1</v>
      </c>
      <c r="K1173" s="210" t="str">
        <f>IFERROR(__xludf.DUMMYFUNCTION("""COMPUTED_VALUE"""),"8240")</f>
        <v>8240</v>
      </c>
      <c r="L1173" s="211">
        <f>IFERROR(__xludf.DUMMYFUNCTION("""COMPUTED_VALUE"""),0.0)</f>
        <v>0</v>
      </c>
      <c r="M1173" s="211"/>
      <c r="N1173" s="211"/>
      <c r="O1173" s="211"/>
      <c r="Q1173" s="210" t="str">
        <f>IFERROR(__xludf.DUMMYFUNCTION("""COMPUTED_VALUE"""),"082581171")</f>
        <v>082581171</v>
      </c>
      <c r="R1173" s="210" t="str">
        <f>IFERROR(__xludf.DUMMYFUNCTION("""COMPUTED_VALUE"""),"082581171")</f>
        <v>082581171</v>
      </c>
      <c r="S1173" s="211" t="str">
        <f>IFERROR(__xludf.DUMMYFUNCTION("""COMPUTED_VALUE"""),"3bcd7fe6")</f>
        <v>3bcd7fe6</v>
      </c>
      <c r="T1173" s="211" t="str">
        <f>IFERROR(__xludf.DUMMYFUNCTION("""COMPUTED_VALUE"""),"Bpk. Alvin (LB Group)")</f>
        <v>Bpk. Alvin (LB Group)</v>
      </c>
      <c r="U1173" s="215">
        <f>IFERROR(__xludf.DUMMYFUNCTION("""COMPUTED_VALUE"""),45896.402337962965)</f>
        <v>45896.40234</v>
      </c>
      <c r="V1173" s="211" t="str">
        <f>IFERROR(__xludf.DUMMYFUNCTION("""COMPUTED_VALUE"""),"MFF9+XHC, Jalan, Tambakrejo, Temuireng, Kec. Dawar Blandong, Kabupaten Mojokerto, Jawa Timur 61354")</f>
        <v>MFF9+XHC, Jalan, Tambakrejo, Temuireng, Kec. Dawar Blandong, Kabupaten Mojokerto, Jawa Timur 61354</v>
      </c>
      <c r="W1173" s="211" t="str">
        <f>IFERROR(__xludf.DUMMYFUNCTION("""COMPUTED_VALUE"""),"OUT")</f>
        <v>OUT</v>
      </c>
      <c r="X1173" s="211"/>
      <c r="Z1173" s="211" t="str">
        <f>IFERROR(__xludf.DUMMYFUNCTION("""COMPUTED_VALUE"""),"03250289")</f>
        <v>03250289</v>
      </c>
      <c r="AL1173" s="211"/>
      <c r="AM1173" s="211"/>
      <c r="AN1173" s="211"/>
      <c r="AO1173" s="211"/>
      <c r="AP1173" s="215"/>
      <c r="AQ1173" s="218"/>
      <c r="AR1173" s="211"/>
    </row>
    <row r="1174">
      <c r="A1174" s="210" t="str">
        <f>IFERROR(__xludf.DUMMYFUNCTION("""COMPUTED_VALUE"""),"b8129664")</f>
        <v>b8129664</v>
      </c>
      <c r="B1174" s="210" t="str">
        <f>IFERROR(__xludf.DUMMYFUNCTION("""COMPUTED_VALUE"""),"b8129664")</f>
        <v>b8129664</v>
      </c>
      <c r="C1174" s="213">
        <f>IFERROR(__xludf.DUMMYFUNCTION("""COMPUTED_VALUE"""),45812.56458333333)</f>
        <v>45812.56458</v>
      </c>
      <c r="D1174" s="211" t="str">
        <f>IFERROR(__xludf.DUMMYFUNCTION("""COMPUTED_VALUE"""),"103f3ae7")</f>
        <v>103f3ae7</v>
      </c>
      <c r="E1174" s="211" t="str">
        <f>IFERROR(__xludf.DUMMYFUNCTION("""COMPUTED_VALUE"""),"PT ARYANA CAKASANA")</f>
        <v>PT ARYANA CAKASANA</v>
      </c>
      <c r="F1174" s="211" t="str">
        <f>IFERROR(__xludf.DUMMYFUNCTION("""COMPUTED_VALUE"""),"8bdbe149")</f>
        <v>8bdbe149</v>
      </c>
      <c r="G1174" s="211" t="str">
        <f>IFERROR(__xludf.DUMMYFUNCTION("""COMPUTED_VALUE"""),"Oksigen 6m3")</f>
        <v>Oksigen 6m3</v>
      </c>
      <c r="H1174" s="214" t="str">
        <f>IFERROR(__xludf.DUMMYFUNCTION("""COMPUTED_VALUE"""),"IN")</f>
        <v>IN</v>
      </c>
      <c r="I1174" s="214" t="str">
        <f>IFERROR(__xludf.DUMMYFUNCTION("""COMPUTED_VALUE"""),"EMPTY")</f>
        <v>EMPTY</v>
      </c>
      <c r="J1174" s="211">
        <f>IFERROR(__xludf.DUMMYFUNCTION("""COMPUTED_VALUE"""),11.0)</f>
        <v>11</v>
      </c>
      <c r="K1174" s="210" t="str">
        <f>IFERROR(__xludf.DUMMYFUNCTION("""COMPUTED_VALUE"""),"1128 11103 1110 1144 1102 1182 1133 11133 11120 1119 1188")</f>
        <v>1128 11103 1110 1144 1102 1182 1133 11133 11120 1119 1188</v>
      </c>
      <c r="L1174" s="211">
        <f>IFERROR(__xludf.DUMMYFUNCTION("""COMPUTED_VALUE"""),0.0)</f>
        <v>0</v>
      </c>
      <c r="M1174" s="211"/>
      <c r="N1174" s="211"/>
      <c r="O1174" s="211"/>
      <c r="Q1174" s="210" t="str">
        <f>IFERROR(__xludf.DUMMYFUNCTION("""COMPUTED_VALUE"""),"082541174")</f>
        <v>082541174</v>
      </c>
      <c r="R1174" s="210" t="str">
        <f>IFERROR(__xludf.DUMMYFUNCTION("""COMPUTED_VALUE"""),"082541174")</f>
        <v>082541174</v>
      </c>
      <c r="S1174" s="211" t="str">
        <f>IFERROR(__xludf.DUMMYFUNCTION("""COMPUTED_VALUE"""),"dcdf8b31")</f>
        <v>dcdf8b31</v>
      </c>
      <c r="T1174" s="211" t="str">
        <f>IFERROR(__xludf.DUMMYFUNCTION("""COMPUTED_VALUE"""),"Bpk. Samsul (Jetis)")</f>
        <v>Bpk. Samsul (Jetis)</v>
      </c>
      <c r="U1174" s="215">
        <f>IFERROR(__xludf.DUMMYFUNCTION("""COMPUTED_VALUE"""),45896.404490740744)</f>
        <v>45896.40449</v>
      </c>
      <c r="V1174" s="211" t="str">
        <f>IFERROR(__xludf.DUMMYFUNCTION("""COMPUTED_VALUE"""),"HFWF+9FG, Sido Wangi, Paringan, Kec. Jetis, Kabupaten Mojokerto, Jawa Timur")</f>
        <v>HFWF+9FG, Sido Wangi, Paringan, Kec. Jetis, Kabupaten Mojokerto, Jawa Timur</v>
      </c>
      <c r="W1174" s="211" t="str">
        <f>IFERROR(__xludf.DUMMYFUNCTION("""COMPUTED_VALUE"""),"OUT")</f>
        <v>OUT</v>
      </c>
      <c r="X1174" s="211"/>
      <c r="Z1174" s="211" t="str">
        <f>IFERROR(__xludf.DUMMYFUNCTION("""COMPUTED_VALUE"""),"03250287")</f>
        <v>03250287</v>
      </c>
      <c r="AL1174" s="211"/>
      <c r="AM1174" s="211"/>
      <c r="AN1174" s="211"/>
      <c r="AO1174" s="211"/>
      <c r="AP1174" s="215"/>
      <c r="AQ1174" s="218"/>
      <c r="AR1174" s="211"/>
    </row>
    <row r="1175">
      <c r="A1175" s="210" t="str">
        <f>IFERROR(__xludf.DUMMYFUNCTION("""COMPUTED_VALUE"""),"00c0dbe9")</f>
        <v>00c0dbe9</v>
      </c>
      <c r="B1175" s="210" t="str">
        <f>IFERROR(__xludf.DUMMYFUNCTION("""COMPUTED_VALUE"""),"00c0dbe9")</f>
        <v>00c0dbe9</v>
      </c>
      <c r="C1175" s="213">
        <f>IFERROR(__xludf.DUMMYFUNCTION("""COMPUTED_VALUE"""),45812.56597222222)</f>
        <v>45812.56597</v>
      </c>
      <c r="D1175" s="211" t="str">
        <f>IFERROR(__xludf.DUMMYFUNCTION("""COMPUTED_VALUE"""),"b2b5f2c5")</f>
        <v>b2b5f2c5</v>
      </c>
      <c r="E1175" s="211" t="str">
        <f>IFERROR(__xludf.DUMMYFUNCTION("""COMPUTED_VALUE"""),"Bengkel Las Bpk. Ari")</f>
        <v>Bengkel Las Bpk. Ari</v>
      </c>
      <c r="F1175" s="211" t="str">
        <f>IFERROR(__xludf.DUMMYFUNCTION("""COMPUTED_VALUE"""),"8bdbe149")</f>
        <v>8bdbe149</v>
      </c>
      <c r="G1175" s="211" t="str">
        <f>IFERROR(__xludf.DUMMYFUNCTION("""COMPUTED_VALUE"""),"Oksigen 6m3")</f>
        <v>Oksigen 6m3</v>
      </c>
      <c r="H1175" s="214" t="str">
        <f>IFERROR(__xludf.DUMMYFUNCTION("""COMPUTED_VALUE"""),"IN")</f>
        <v>IN</v>
      </c>
      <c r="I1175" s="214" t="str">
        <f>IFERROR(__xludf.DUMMYFUNCTION("""COMPUTED_VALUE"""),"EMPTY")</f>
        <v>EMPTY</v>
      </c>
      <c r="J1175" s="211">
        <f>IFERROR(__xludf.DUMMYFUNCTION("""COMPUTED_VALUE"""),2.0)</f>
        <v>2</v>
      </c>
      <c r="K1175" s="210" t="str">
        <f>IFERROR(__xludf.DUMMYFUNCTION("""COMPUTED_VALUE"""),"11126 11270")</f>
        <v>11126 11270</v>
      </c>
      <c r="L1175" s="211">
        <f>IFERROR(__xludf.DUMMYFUNCTION("""COMPUTED_VALUE"""),0.0)</f>
        <v>0</v>
      </c>
      <c r="M1175" s="211"/>
      <c r="N1175" s="211"/>
      <c r="O1175" s="211"/>
      <c r="Q1175" s="210" t="str">
        <f>IFERROR(__xludf.DUMMYFUNCTION("""COMPUTED_VALUE"""),"082511175")</f>
        <v>082511175</v>
      </c>
      <c r="R1175" s="210" t="str">
        <f>IFERROR(__xludf.DUMMYFUNCTION("""COMPUTED_VALUE"""),"082511175")</f>
        <v>082511175</v>
      </c>
      <c r="S1175" s="211" t="str">
        <f>IFERROR(__xludf.DUMMYFUNCTION("""COMPUTED_VALUE"""),"f49860e4")</f>
        <v>f49860e4</v>
      </c>
      <c r="T1175" s="211" t="str">
        <f>IFERROR(__xludf.DUMMYFUNCTION("""COMPUTED_VALUE"""),"Mas Nur ( Jetis )")</f>
        <v>Mas Nur ( Jetis )</v>
      </c>
      <c r="U1175" s="215">
        <f>IFERROR(__xludf.DUMMYFUNCTION("""COMPUTED_VALUE"""),45896.4090162037)</f>
        <v>45896.40902</v>
      </c>
      <c r="V1175" s="211" t="str">
        <f>IFERROR(__xludf.DUMMYFUNCTION("""COMPUTED_VALUE"""),"HFVF+CCG, JL.Raya Jetis, jetis, Kec. Jetis Kabupaten Mojokerto Jawa Timur 61352")</f>
        <v>HFVF+CCG, JL.Raya Jetis, jetis, Kec. Jetis Kabupaten Mojokerto Jawa Timur 61352</v>
      </c>
      <c r="W1175" s="211" t="str">
        <f>IFERROR(__xludf.DUMMYFUNCTION("""COMPUTED_VALUE"""),"OUT")</f>
        <v>OUT</v>
      </c>
      <c r="X1175" s="211"/>
      <c r="Z1175" s="211" t="str">
        <f>IFERROR(__xludf.DUMMYFUNCTION("""COMPUTED_VALUE"""),"03250285")</f>
        <v>03250285</v>
      </c>
      <c r="AL1175" s="211"/>
      <c r="AM1175" s="211"/>
      <c r="AN1175" s="211"/>
      <c r="AO1175" s="211"/>
      <c r="AP1175" s="215"/>
      <c r="AQ1175" s="218"/>
      <c r="AR1175" s="211"/>
    </row>
    <row r="1176">
      <c r="A1176" s="210" t="str">
        <f>IFERROR(__xludf.DUMMYFUNCTION("""COMPUTED_VALUE"""),"00c0dbe9")</f>
        <v>00c0dbe9</v>
      </c>
      <c r="B1176" s="210" t="str">
        <f>IFERROR(__xludf.DUMMYFUNCTION("""COMPUTED_VALUE"""),"00c0dbe9")</f>
        <v>00c0dbe9</v>
      </c>
      <c r="C1176" s="213">
        <f>IFERROR(__xludf.DUMMYFUNCTION("""COMPUTED_VALUE"""),45812.56597222222)</f>
        <v>45812.56597</v>
      </c>
      <c r="D1176" s="211" t="str">
        <f>IFERROR(__xludf.DUMMYFUNCTION("""COMPUTED_VALUE"""),"b2b5f2c5")</f>
        <v>b2b5f2c5</v>
      </c>
      <c r="E1176" s="211" t="str">
        <f>IFERROR(__xludf.DUMMYFUNCTION("""COMPUTED_VALUE"""),"Bengkel Las Bpk. Ari")</f>
        <v>Bengkel Las Bpk. Ari</v>
      </c>
      <c r="F1176" s="211" t="str">
        <f>IFERROR(__xludf.DUMMYFUNCTION("""COMPUTED_VALUE"""),"ef306e54")</f>
        <v>ef306e54</v>
      </c>
      <c r="G1176" s="211" t="str">
        <f>IFERROR(__xludf.DUMMYFUNCTION("""COMPUTED_VALUE"""),"Karbondioksida")</f>
        <v>Karbondioksida</v>
      </c>
      <c r="H1176" s="214" t="str">
        <f>IFERROR(__xludf.DUMMYFUNCTION("""COMPUTED_VALUE"""),"IN")</f>
        <v>IN</v>
      </c>
      <c r="I1176" s="214" t="str">
        <f>IFERROR(__xludf.DUMMYFUNCTION("""COMPUTED_VALUE"""),"EMPTY")</f>
        <v>EMPTY</v>
      </c>
      <c r="J1176" s="211">
        <f>IFERROR(__xludf.DUMMYFUNCTION("""COMPUTED_VALUE"""),2.0)</f>
        <v>2</v>
      </c>
      <c r="K1176" s="210" t="str">
        <f>IFERROR(__xludf.DUMMYFUNCTION("""COMPUTED_VALUE"""),"13023 13020")</f>
        <v>13023 13020</v>
      </c>
      <c r="L1176" s="211">
        <f>IFERROR(__xludf.DUMMYFUNCTION("""COMPUTED_VALUE"""),0.0)</f>
        <v>0</v>
      </c>
      <c r="M1176" s="211"/>
      <c r="N1176" s="211"/>
      <c r="O1176" s="211"/>
      <c r="Q1176" s="210" t="str">
        <f>IFERROR(__xludf.DUMMYFUNCTION("""COMPUTED_VALUE"""),"1250477")</f>
        <v>1250477</v>
      </c>
      <c r="R1176" s="210" t="str">
        <f>IFERROR(__xludf.DUMMYFUNCTION("""COMPUTED_VALUE"""),"1250477")</f>
        <v>1250477</v>
      </c>
      <c r="S1176" s="211" t="str">
        <f>IFERROR(__xludf.DUMMYFUNCTION("""COMPUTED_VALUE"""),"2d88931c")</f>
        <v>2d88931c</v>
      </c>
      <c r="T1176" s="211" t="str">
        <f>IFERROR(__xludf.DUMMYFUNCTION("""COMPUTED_VALUE"""),"PT Dunia Berkat Marga Mulya")</f>
        <v>PT Dunia Berkat Marga Mulya</v>
      </c>
      <c r="U1176" s="215">
        <f>IFERROR(__xludf.DUMMYFUNCTION("""COMPUTED_VALUE"""),45896.48153935185)</f>
        <v>45896.48154</v>
      </c>
      <c r="V1176" s="211" t="str">
        <f>IFERROR(__xludf.DUMMYFUNCTION("""COMPUTED_VALUE"""),"JL JABARAN, WATESARI, BALONGBENDO, SIDOARJO, JAWA TIMUR")</f>
        <v>JL JABARAN, WATESARI, BALONGBENDO, SIDOARJO, JAWA TIMUR</v>
      </c>
      <c r="W1176" s="211" t="str">
        <f>IFERROR(__xludf.DUMMYFUNCTION("""COMPUTED_VALUE"""),"IN")</f>
        <v>IN</v>
      </c>
      <c r="X1176" s="211"/>
      <c r="Z1176" s="211" t="str">
        <f>IFERROR(__xludf.DUMMYFUNCTION("""COMPUTED_VALUE"""),"03250284")</f>
        <v>03250284</v>
      </c>
      <c r="AL1176" s="211"/>
      <c r="AM1176" s="211"/>
      <c r="AN1176" s="211"/>
      <c r="AO1176" s="211"/>
      <c r="AP1176" s="215"/>
      <c r="AQ1176" s="218"/>
      <c r="AR1176" s="211"/>
    </row>
    <row r="1177">
      <c r="A1177" s="211"/>
      <c r="B1177" s="211"/>
      <c r="C1177" s="211"/>
      <c r="D1177" s="211"/>
      <c r="E1177" s="211"/>
      <c r="F1177" s="211"/>
      <c r="G1177" s="211"/>
      <c r="H1177" s="211"/>
      <c r="I1177" s="211"/>
      <c r="J1177" s="211"/>
      <c r="K1177" s="211"/>
      <c r="L1177" s="211"/>
      <c r="M1177" s="211"/>
      <c r="N1177" s="211"/>
      <c r="O1177" s="211"/>
      <c r="Q1177" s="210" t="str">
        <f>IFERROR(__xludf.DUMMYFUNCTION("""COMPUTED_VALUE"""),"1250476")</f>
        <v>1250476</v>
      </c>
      <c r="R1177" s="210" t="str">
        <f>IFERROR(__xludf.DUMMYFUNCTION("""COMPUTED_VALUE"""),"1250476")</f>
        <v>1250476</v>
      </c>
      <c r="S1177" s="211" t="str">
        <f>IFERROR(__xludf.DUMMYFUNCTION("""COMPUTED_VALUE"""),"e968afef")</f>
        <v>e968afef</v>
      </c>
      <c r="T1177" s="211" t="str">
        <f>IFERROR(__xludf.DUMMYFUNCTION("""COMPUTED_VALUE"""),"Bpk. Agus")</f>
        <v>Bpk. Agus</v>
      </c>
      <c r="U1177" s="215">
        <f>IFERROR(__xludf.DUMMYFUNCTION("""COMPUTED_VALUE"""),45896.484560185185)</f>
        <v>45896.48456</v>
      </c>
      <c r="V1177" s="211" t="str">
        <f>IFERROR(__xludf.DUMMYFUNCTION("""COMPUTED_VALUE"""),"Jl. Parengan 13, Semawut, Balongbendo, Kec. BalongBendo, Kabupaten Sidoarjo, Jawa Timur 61263")</f>
        <v>Jl. Parengan 13, Semawut, Balongbendo, Kec. BalongBendo, Kabupaten Sidoarjo, Jawa Timur 61263</v>
      </c>
      <c r="W1177" s="211" t="str">
        <f>IFERROR(__xludf.DUMMYFUNCTION("""COMPUTED_VALUE"""),"IN")</f>
        <v>IN</v>
      </c>
      <c r="X1177" s="211"/>
      <c r="Z1177" s="211" t="str">
        <f>IFERROR(__xludf.DUMMYFUNCTION("""COMPUTED_VALUE"""),"02250283")</f>
        <v>02250283</v>
      </c>
      <c r="AL1177" s="211"/>
      <c r="AM1177" s="211"/>
      <c r="AN1177" s="211"/>
      <c r="AO1177" s="211"/>
      <c r="AP1177" s="215"/>
      <c r="AQ1177" s="218"/>
      <c r="AR1177" s="211"/>
    </row>
    <row r="1178">
      <c r="A1178" s="210" t="str">
        <f>IFERROR(__xludf.DUMMYFUNCTION("""COMPUTED_VALUE"""),"06250496")</f>
        <v>06250496</v>
      </c>
      <c r="B1178" s="210" t="str">
        <f>IFERROR(__xludf.DUMMYFUNCTION("""COMPUTED_VALUE"""),"06250496")</f>
        <v>06250496</v>
      </c>
      <c r="C1178" s="213">
        <f>IFERROR(__xludf.DUMMYFUNCTION("""COMPUTED_VALUE"""),45813.370833333334)</f>
        <v>45813.37083</v>
      </c>
      <c r="D1178" s="211" t="str">
        <f>IFERROR(__xludf.DUMMYFUNCTION("""COMPUTED_VALUE"""),"e86baf3b")</f>
        <v>e86baf3b</v>
      </c>
      <c r="E1178" s="211" t="str">
        <f>IFERROR(__xludf.DUMMYFUNCTION("""COMPUTED_VALUE"""),"PT GEMILANG CIPTA WAWASAN")</f>
        <v>PT GEMILANG CIPTA WAWASAN</v>
      </c>
      <c r="F1178" s="211" t="str">
        <f>IFERROR(__xludf.DUMMYFUNCTION("""COMPUTED_VALUE"""),"8bdbe149")</f>
        <v>8bdbe149</v>
      </c>
      <c r="G1178" s="211" t="str">
        <f>IFERROR(__xludf.DUMMYFUNCTION("""COMPUTED_VALUE"""),"Oksigen 6m3")</f>
        <v>Oksigen 6m3</v>
      </c>
      <c r="H1178" s="214" t="str">
        <f>IFERROR(__xludf.DUMMYFUNCTION("""COMPUTED_VALUE"""),"OUT")</f>
        <v>OUT</v>
      </c>
      <c r="I1178" s="214" t="str">
        <f>IFERROR(__xludf.DUMMYFUNCTION("""COMPUTED_VALUE"""),"NORMAL")</f>
        <v>NORMAL</v>
      </c>
      <c r="J1178" s="211">
        <f>IFERROR(__xludf.DUMMYFUNCTION("""COMPUTED_VALUE"""),5.0)</f>
        <v>5</v>
      </c>
      <c r="K1178" s="210" t="str">
        <f>IFERROR(__xludf.DUMMYFUNCTION("""COMPUTED_VALUE"""),"1164 11130 1181 11258 1154")</f>
        <v>1164 11130 1181 11258 1154</v>
      </c>
      <c r="L1178" s="211">
        <f>IFERROR(__xludf.DUMMYFUNCTION("""COMPUTED_VALUE"""),60000.0)</f>
        <v>60000</v>
      </c>
      <c r="M1178" s="211"/>
      <c r="N1178" s="211"/>
      <c r="O1178" s="211"/>
      <c r="Q1178" s="210" t="str">
        <f>IFERROR(__xludf.DUMMYFUNCTION("""COMPUTED_VALUE"""),"0825161176")</f>
        <v>0825161176</v>
      </c>
      <c r="R1178" s="210" t="str">
        <f>IFERROR(__xludf.DUMMYFUNCTION("""COMPUTED_VALUE"""),"0825161176")</f>
        <v>0825161176</v>
      </c>
      <c r="S1178" s="211" t="str">
        <f>IFERROR(__xludf.DUMMYFUNCTION("""COMPUTED_VALUE"""),"ec231cc9")</f>
        <v>ec231cc9</v>
      </c>
      <c r="T1178" s="211" t="str">
        <f>IFERROR(__xludf.DUMMYFUNCTION("""COMPUTED_VALUE"""),"Bpk. Kohir (Maintenance Velg)")</f>
        <v>Bpk. Kohir (Maintenance Velg)</v>
      </c>
      <c r="U1178" s="215">
        <f>IFERROR(__xludf.DUMMYFUNCTION("""COMPUTED_VALUE"""),45896.5330787037)</f>
        <v>45896.53308</v>
      </c>
      <c r="V1178" s="211" t="str">
        <f>IFERROR(__xludf.DUMMYFUNCTION("""COMPUTED_VALUE"""),"Jl. Lkr. Bypass Krian Timur, Sidogolong, Watugolong, Kec. Krian, Kabupaten Sidoarjo, Jawa Timur 61262")</f>
        <v>Jl. Lkr. Bypass Krian Timur, Sidogolong, Watugolong, Kec. Krian, Kabupaten Sidoarjo, Jawa Timur 61262</v>
      </c>
      <c r="W1178" s="211" t="str">
        <f>IFERROR(__xludf.DUMMYFUNCTION("""COMPUTED_VALUE"""),"OUT")</f>
        <v>OUT</v>
      </c>
      <c r="X1178" s="211"/>
      <c r="Z1178" s="211" t="str">
        <f>IFERROR(__xludf.DUMMYFUNCTION("""COMPUTED_VALUE"""),"02250282")</f>
        <v>02250282</v>
      </c>
      <c r="AL1178" s="211"/>
      <c r="AM1178" s="211"/>
      <c r="AN1178" s="211"/>
      <c r="AO1178" s="211"/>
      <c r="AP1178" s="215"/>
      <c r="AQ1178" s="218"/>
      <c r="AR1178" s="211"/>
    </row>
    <row r="1179">
      <c r="A1179" s="210" t="str">
        <f>IFERROR(__xludf.DUMMYFUNCTION("""COMPUTED_VALUE"""),"06250496")</f>
        <v>06250496</v>
      </c>
      <c r="B1179" s="210" t="str">
        <f>IFERROR(__xludf.DUMMYFUNCTION("""COMPUTED_VALUE"""),"06250496")</f>
        <v>06250496</v>
      </c>
      <c r="C1179" s="213">
        <f>IFERROR(__xludf.DUMMYFUNCTION("""COMPUTED_VALUE"""),45813.37152777778)</f>
        <v>45813.37153</v>
      </c>
      <c r="D1179" s="211" t="str">
        <f>IFERROR(__xludf.DUMMYFUNCTION("""COMPUTED_VALUE"""),"e86baf3b")</f>
        <v>e86baf3b</v>
      </c>
      <c r="E1179" s="211" t="str">
        <f>IFERROR(__xludf.DUMMYFUNCTION("""COMPUTED_VALUE"""),"PT GEMILANG CIPTA WAWASAN")</f>
        <v>PT GEMILANG CIPTA WAWASAN</v>
      </c>
      <c r="F1179" s="211" t="str">
        <f>IFERROR(__xludf.DUMMYFUNCTION("""COMPUTED_VALUE"""),"be525f3b")</f>
        <v>be525f3b</v>
      </c>
      <c r="G1179" s="211" t="str">
        <f>IFERROR(__xludf.DUMMYFUNCTION("""COMPUTED_VALUE"""),"LPG 12kg")</f>
        <v>LPG 12kg</v>
      </c>
      <c r="H1179" s="214" t="str">
        <f>IFERROR(__xludf.DUMMYFUNCTION("""COMPUTED_VALUE"""),"OUT")</f>
        <v>OUT</v>
      </c>
      <c r="I1179" s="214" t="str">
        <f>IFERROR(__xludf.DUMMYFUNCTION("""COMPUTED_VALUE"""),"NORMAL")</f>
        <v>NORMAL</v>
      </c>
      <c r="J1179" s="211">
        <f>IFERROR(__xludf.DUMMYFUNCTION("""COMPUTED_VALUE"""),5.0)</f>
        <v>5</v>
      </c>
      <c r="K1179" s="211"/>
      <c r="L1179" s="211">
        <f>IFERROR(__xludf.DUMMYFUNCTION("""COMPUTED_VALUE"""),210000.0)</f>
        <v>210000</v>
      </c>
      <c r="M1179" s="211"/>
      <c r="N1179" s="211"/>
      <c r="O1179" s="211"/>
      <c r="Q1179" s="210" t="str">
        <f>IFERROR(__xludf.DUMMYFUNCTION("""COMPUTED_VALUE"""),"1250534")</f>
        <v>1250534</v>
      </c>
      <c r="R1179" s="210" t="str">
        <f>IFERROR(__xludf.DUMMYFUNCTION("""COMPUTED_VALUE"""),"1250534")</f>
        <v>1250534</v>
      </c>
      <c r="S1179" s="211" t="str">
        <f>IFERROR(__xludf.DUMMYFUNCTION("""COMPUTED_VALUE"""),"dcdf8b31")</f>
        <v>dcdf8b31</v>
      </c>
      <c r="T1179" s="211" t="str">
        <f>IFERROR(__xludf.DUMMYFUNCTION("""COMPUTED_VALUE"""),"Bpk. Samsul (Jetis)")</f>
        <v>Bpk. Samsul (Jetis)</v>
      </c>
      <c r="U1179" s="215">
        <f>IFERROR(__xludf.DUMMYFUNCTION("""COMPUTED_VALUE"""),45896.580034722225)</f>
        <v>45896.58003</v>
      </c>
      <c r="V1179" s="211" t="str">
        <f>IFERROR(__xludf.DUMMYFUNCTION("""COMPUTED_VALUE"""),"HFWF+9FG, Sido Wangi, Paringan, Kec. Jetis, Kabupaten Mojokerto, Jawa Timur")</f>
        <v>HFWF+9FG, Sido Wangi, Paringan, Kec. Jetis, Kabupaten Mojokerto, Jawa Timur</v>
      </c>
      <c r="W1179" s="211" t="str">
        <f>IFERROR(__xludf.DUMMYFUNCTION("""COMPUTED_VALUE"""),"IN")</f>
        <v>IN</v>
      </c>
      <c r="X1179" s="211"/>
      <c r="Z1179" s="211" t="str">
        <f>IFERROR(__xludf.DUMMYFUNCTION("""COMPUTED_VALUE"""),"02250281")</f>
        <v>02250281</v>
      </c>
      <c r="AL1179" s="211"/>
      <c r="AM1179" s="211"/>
      <c r="AN1179" s="211"/>
      <c r="AO1179" s="211"/>
      <c r="AP1179" s="215"/>
      <c r="AQ1179" s="218"/>
      <c r="AR1179" s="211"/>
    </row>
    <row r="1180">
      <c r="A1180" s="210" t="str">
        <f>IFERROR(__xludf.DUMMYFUNCTION("""COMPUTED_VALUE"""),"d512605e")</f>
        <v>d512605e</v>
      </c>
      <c r="B1180" s="210" t="str">
        <f>IFERROR(__xludf.DUMMYFUNCTION("""COMPUTED_VALUE"""),"d512605e")</f>
        <v>d512605e</v>
      </c>
      <c r="C1180" s="213">
        <f>IFERROR(__xludf.DUMMYFUNCTION("""COMPUTED_VALUE"""),45813.50902777778)</f>
        <v>45813.50903</v>
      </c>
      <c r="D1180" s="211" t="str">
        <f>IFERROR(__xludf.DUMMYFUNCTION("""COMPUTED_VALUE"""),"ce83e171")</f>
        <v>ce83e171</v>
      </c>
      <c r="E1180" s="211" t="str">
        <f>IFERROR(__xludf.DUMMYFUNCTION("""COMPUTED_VALUE"""),"Bpk. Sulaiman")</f>
        <v>Bpk. Sulaiman</v>
      </c>
      <c r="F1180" s="211" t="str">
        <f>IFERROR(__xludf.DUMMYFUNCTION("""COMPUTED_VALUE"""),"8bdbe149")</f>
        <v>8bdbe149</v>
      </c>
      <c r="G1180" s="211" t="str">
        <f>IFERROR(__xludf.DUMMYFUNCTION("""COMPUTED_VALUE"""),"Oksigen 6m3")</f>
        <v>Oksigen 6m3</v>
      </c>
      <c r="H1180" s="214" t="str">
        <f>IFERROR(__xludf.DUMMYFUNCTION("""COMPUTED_VALUE"""),"IN")</f>
        <v>IN</v>
      </c>
      <c r="I1180" s="214" t="str">
        <f>IFERROR(__xludf.DUMMYFUNCTION("""COMPUTED_VALUE"""),"EMPTY")</f>
        <v>EMPTY</v>
      </c>
      <c r="J1180" s="211">
        <f>IFERROR(__xludf.DUMMYFUNCTION("""COMPUTED_VALUE"""),15.0)</f>
        <v>15</v>
      </c>
      <c r="K1180" s="210" t="str">
        <f>IFERROR(__xludf.DUMMYFUNCTION("""COMPUTED_VALUE"""),"1147 11106 11191 1114 1116 1135 11110 11174 11159 1141 1126 11261 11128 11253 11238")</f>
        <v>1147 11106 11191 1114 1116 1135 11110 11174 11159 1141 1126 11261 11128 11253 11238</v>
      </c>
      <c r="L1180" s="211">
        <f>IFERROR(__xludf.DUMMYFUNCTION("""COMPUTED_VALUE"""),0.0)</f>
        <v>0</v>
      </c>
      <c r="M1180" s="211"/>
      <c r="N1180" s="211"/>
      <c r="O1180" s="211"/>
      <c r="Q1180" s="210" t="str">
        <f>IFERROR(__xludf.DUMMYFUNCTION("""COMPUTED_VALUE"""),"1250536")</f>
        <v>1250536</v>
      </c>
      <c r="R1180" s="210" t="str">
        <f>IFERROR(__xludf.DUMMYFUNCTION("""COMPUTED_VALUE"""),"1250536")</f>
        <v>1250536</v>
      </c>
      <c r="S1180" s="211" t="str">
        <f>IFERROR(__xludf.DUMMYFUNCTION("""COMPUTED_VALUE"""),"ec231cc9")</f>
        <v>ec231cc9</v>
      </c>
      <c r="T1180" s="211" t="str">
        <f>IFERROR(__xludf.DUMMYFUNCTION("""COMPUTED_VALUE"""),"Bpk. Kohir (Maintenance Velg)")</f>
        <v>Bpk. Kohir (Maintenance Velg)</v>
      </c>
      <c r="U1180" s="215">
        <f>IFERROR(__xludf.DUMMYFUNCTION("""COMPUTED_VALUE"""),45896.61032407408)</f>
        <v>45896.61032</v>
      </c>
      <c r="V1180" s="211" t="str">
        <f>IFERROR(__xludf.DUMMYFUNCTION("""COMPUTED_VALUE"""),"Jl. Lkr. Bypass Krian Timur, Sidogolong, Watugolong, Kec. Krian, Kabupaten Sidoarjo, Jawa Timur 61262")</f>
        <v>Jl. Lkr. Bypass Krian Timur, Sidogolong, Watugolong, Kec. Krian, Kabupaten Sidoarjo, Jawa Timur 61262</v>
      </c>
      <c r="W1180" s="211" t="str">
        <f>IFERROR(__xludf.DUMMYFUNCTION("""COMPUTED_VALUE"""),"IN")</f>
        <v>IN</v>
      </c>
      <c r="X1180" s="211"/>
      <c r="Z1180" s="211" t="str">
        <f>IFERROR(__xludf.DUMMYFUNCTION("""COMPUTED_VALUE"""),"02250278")</f>
        <v>02250278</v>
      </c>
      <c r="AL1180" s="211"/>
      <c r="AM1180" s="211"/>
      <c r="AN1180" s="211"/>
      <c r="AO1180" s="211"/>
      <c r="AP1180" s="215"/>
      <c r="AQ1180" s="218"/>
      <c r="AR1180" s="211"/>
    </row>
    <row r="1181">
      <c r="A1181" s="210" t="str">
        <f>IFERROR(__xludf.DUMMYFUNCTION("""COMPUTED_VALUE"""),"900a2860")</f>
        <v>900a2860</v>
      </c>
      <c r="B1181" s="210" t="str">
        <f>IFERROR(__xludf.DUMMYFUNCTION("""COMPUTED_VALUE"""),"900a2860")</f>
        <v>900a2860</v>
      </c>
      <c r="C1181" s="213">
        <f>IFERROR(__xludf.DUMMYFUNCTION("""COMPUTED_VALUE"""),45777.51180555556)</f>
        <v>45777.51181</v>
      </c>
      <c r="D1181" s="211" t="str">
        <f>IFERROR(__xludf.DUMMYFUNCTION("""COMPUTED_VALUE"""),"ce83e171")</f>
        <v>ce83e171</v>
      </c>
      <c r="E1181" s="211" t="str">
        <f>IFERROR(__xludf.DUMMYFUNCTION("""COMPUTED_VALUE"""),"Bpk. Sulaiman")</f>
        <v>Bpk. Sulaiman</v>
      </c>
      <c r="F1181" s="211" t="str">
        <f>IFERROR(__xludf.DUMMYFUNCTION("""COMPUTED_VALUE"""),"f6aab7a9")</f>
        <v>f6aab7a9</v>
      </c>
      <c r="G1181" s="211" t="str">
        <f>IFERROR(__xludf.DUMMYFUNCTION("""COMPUTED_VALUE"""),"Oksigen 6m3 MR")</f>
        <v>Oksigen 6m3 MR</v>
      </c>
      <c r="H1181" s="214" t="str">
        <f>IFERROR(__xludf.DUMMYFUNCTION("""COMPUTED_VALUE"""),"IN")</f>
        <v>IN</v>
      </c>
      <c r="I1181" s="214" t="str">
        <f>IFERROR(__xludf.DUMMYFUNCTION("""COMPUTED_VALUE"""),"EMPTY")</f>
        <v>EMPTY</v>
      </c>
      <c r="J1181" s="211">
        <f>IFERROR(__xludf.DUMMYFUNCTION("""COMPUTED_VALUE"""),1.0)</f>
        <v>1</v>
      </c>
      <c r="K1181" s="211"/>
      <c r="L1181" s="211">
        <f>IFERROR(__xludf.DUMMYFUNCTION("""COMPUTED_VALUE"""),0.0)</f>
        <v>0</v>
      </c>
      <c r="M1181" s="211"/>
      <c r="N1181" s="211"/>
      <c r="O1181" s="211"/>
      <c r="Q1181" s="210" t="str">
        <f>IFERROR(__xludf.DUMMYFUNCTION("""COMPUTED_VALUE"""),"0825431179")</f>
        <v>0825431179</v>
      </c>
      <c r="R1181" s="210" t="str">
        <f>IFERROR(__xludf.DUMMYFUNCTION("""COMPUTED_VALUE"""),"0825431179")</f>
        <v>0825431179</v>
      </c>
      <c r="S1181" s="211" t="str">
        <f>IFERROR(__xludf.DUMMYFUNCTION("""COMPUTED_VALUE"""),"e86baf3b")</f>
        <v>e86baf3b</v>
      </c>
      <c r="T1181" s="211" t="str">
        <f>IFERROR(__xludf.DUMMYFUNCTION("""COMPUTED_VALUE"""),"PT GEMILANG CIPTA WAWASAN")</f>
        <v>PT GEMILANG CIPTA WAWASAN</v>
      </c>
      <c r="U1181" s="215">
        <f>IFERROR(__xludf.DUMMYFUNCTION("""COMPUTED_VALUE"""),45897.352638888886)</f>
        <v>45897.35264</v>
      </c>
      <c r="V1181" s="211" t="str">
        <f>IFERROR(__xludf.DUMMYFUNCTION("""COMPUTED_VALUE"""),"JL TEBET RAYA, 2A, TEBET BARAT, TEBET, KOTA ADM, JAKARTA SELATAN, DKI JAKARTA")</f>
        <v>JL TEBET RAYA, 2A, TEBET BARAT, TEBET, KOTA ADM, JAKARTA SELATAN, DKI JAKARTA</v>
      </c>
      <c r="W1181" s="211" t="str">
        <f>IFERROR(__xludf.DUMMYFUNCTION("""COMPUTED_VALUE"""),"OUT")</f>
        <v>OUT</v>
      </c>
      <c r="X1181" s="211"/>
      <c r="Z1181" s="211" t="str">
        <f>IFERROR(__xludf.DUMMYFUNCTION("""COMPUTED_VALUE"""),"02250277")</f>
        <v>02250277</v>
      </c>
      <c r="AL1181" s="211"/>
      <c r="AM1181" s="211"/>
      <c r="AN1181" s="211"/>
      <c r="AO1181" s="211"/>
      <c r="AP1181" s="215"/>
      <c r="AQ1181" s="218"/>
      <c r="AR1181" s="211"/>
    </row>
    <row r="1182">
      <c r="A1182" s="210" t="str">
        <f>IFERROR(__xludf.DUMMYFUNCTION("""COMPUTED_VALUE"""),"d512605e")</f>
        <v>d512605e</v>
      </c>
      <c r="B1182" s="210" t="str">
        <f>IFERROR(__xludf.DUMMYFUNCTION("""COMPUTED_VALUE"""),"d512605e")</f>
        <v>d512605e</v>
      </c>
      <c r="C1182" s="213">
        <f>IFERROR(__xludf.DUMMYFUNCTION("""COMPUTED_VALUE"""),45813.51597222222)</f>
        <v>45813.51597</v>
      </c>
      <c r="D1182" s="211" t="str">
        <f>IFERROR(__xludf.DUMMYFUNCTION("""COMPUTED_VALUE"""),"ce83e171")</f>
        <v>ce83e171</v>
      </c>
      <c r="E1182" s="211" t="str">
        <f>IFERROR(__xludf.DUMMYFUNCTION("""COMPUTED_VALUE"""),"Bpk. Sulaiman")</f>
        <v>Bpk. Sulaiman</v>
      </c>
      <c r="F1182" s="211" t="str">
        <f>IFERROR(__xludf.DUMMYFUNCTION("""COMPUTED_VALUE"""),"be525f3b")</f>
        <v>be525f3b</v>
      </c>
      <c r="G1182" s="211" t="str">
        <f>IFERROR(__xludf.DUMMYFUNCTION("""COMPUTED_VALUE"""),"LPG 12kg")</f>
        <v>LPG 12kg</v>
      </c>
      <c r="H1182" s="214" t="str">
        <f>IFERROR(__xludf.DUMMYFUNCTION("""COMPUTED_VALUE"""),"IN")</f>
        <v>IN</v>
      </c>
      <c r="I1182" s="214" t="str">
        <f>IFERROR(__xludf.DUMMYFUNCTION("""COMPUTED_VALUE"""),"EMPTY")</f>
        <v>EMPTY</v>
      </c>
      <c r="J1182" s="211">
        <f>IFERROR(__xludf.DUMMYFUNCTION("""COMPUTED_VALUE"""),2.0)</f>
        <v>2</v>
      </c>
      <c r="K1182" s="211"/>
      <c r="L1182" s="211">
        <f>IFERROR(__xludf.DUMMYFUNCTION("""COMPUTED_VALUE"""),0.0)</f>
        <v>0</v>
      </c>
      <c r="M1182" s="211"/>
      <c r="N1182" s="211"/>
      <c r="O1182" s="211"/>
      <c r="Q1182" s="210" t="str">
        <f>IFERROR(__xludf.DUMMYFUNCTION("""COMPUTED_VALUE"""),"082591182")</f>
        <v>082591182</v>
      </c>
      <c r="R1182" s="210" t="str">
        <f>IFERROR(__xludf.DUMMYFUNCTION("""COMPUTED_VALUE"""),"082591182")</f>
        <v>082591182</v>
      </c>
      <c r="S1182" s="211" t="str">
        <f>IFERROR(__xludf.DUMMYFUNCTION("""COMPUTED_VALUE"""),"b218b89b")</f>
        <v>b218b89b</v>
      </c>
      <c r="T1182" s="211" t="str">
        <f>IFERROR(__xludf.DUMMYFUNCTION("""COMPUTED_VALUE"""),"PT Harapan Sentosa")</f>
        <v>PT Harapan Sentosa</v>
      </c>
      <c r="U1182" s="215">
        <f>IFERROR(__xludf.DUMMYFUNCTION("""COMPUTED_VALUE"""),45897.35702546296)</f>
        <v>45897.35703</v>
      </c>
      <c r="V1182" s="211" t="str">
        <f>IFERROR(__xludf.DUMMYFUNCTION("""COMPUTED_VALUE"""),"Seketi, Jl. Purboyo II Selatan, RT.02/RW.02, Seketi, Kec. BalongBendo, Kabupaten Sidoarjo, Jawa Timur 61263")</f>
        <v>Seketi, Jl. Purboyo II Selatan, RT.02/RW.02, Seketi, Kec. BalongBendo, Kabupaten Sidoarjo, Jawa Timur 61263</v>
      </c>
      <c r="W1182" s="211" t="str">
        <f>IFERROR(__xludf.DUMMYFUNCTION("""COMPUTED_VALUE"""),"OUT")</f>
        <v>OUT</v>
      </c>
      <c r="X1182" s="211"/>
      <c r="Z1182" s="211" t="str">
        <f>IFERROR(__xludf.DUMMYFUNCTION("""COMPUTED_VALUE"""),"02250276")</f>
        <v>02250276</v>
      </c>
      <c r="AL1182" s="211"/>
      <c r="AM1182" s="211"/>
      <c r="AN1182" s="211"/>
      <c r="AO1182" s="211"/>
      <c r="AP1182" s="215"/>
      <c r="AQ1182" s="218"/>
      <c r="AR1182" s="211"/>
    </row>
    <row r="1183">
      <c r="A1183" s="210" t="str">
        <f>IFERROR(__xludf.DUMMYFUNCTION("""COMPUTED_VALUE"""),"06250498")</f>
        <v>06250498</v>
      </c>
      <c r="B1183" s="210" t="str">
        <f>IFERROR(__xludf.DUMMYFUNCTION("""COMPUTED_VALUE"""),"06250498")</f>
        <v>06250498</v>
      </c>
      <c r="C1183" s="213">
        <f>IFERROR(__xludf.DUMMYFUNCTION("""COMPUTED_VALUE"""),45813.57361111111)</f>
        <v>45813.57361</v>
      </c>
      <c r="D1183" s="211" t="str">
        <f>IFERROR(__xludf.DUMMYFUNCTION("""COMPUTED_VALUE"""),"ec231cc9")</f>
        <v>ec231cc9</v>
      </c>
      <c r="E1183" s="211" t="str">
        <f>IFERROR(__xludf.DUMMYFUNCTION("""COMPUTED_VALUE"""),"Bpk. Kohir (Maintenance Velg)")</f>
        <v>Bpk. Kohir (Maintenance Velg)</v>
      </c>
      <c r="F1183" s="211" t="str">
        <f>IFERROR(__xludf.DUMMYFUNCTION("""COMPUTED_VALUE"""),"8bdbe149")</f>
        <v>8bdbe149</v>
      </c>
      <c r="G1183" s="211" t="str">
        <f>IFERROR(__xludf.DUMMYFUNCTION("""COMPUTED_VALUE"""),"Oksigen 6m3")</f>
        <v>Oksigen 6m3</v>
      </c>
      <c r="H1183" s="214" t="str">
        <f>IFERROR(__xludf.DUMMYFUNCTION("""COMPUTED_VALUE"""),"OUT")</f>
        <v>OUT</v>
      </c>
      <c r="I1183" s="214" t="str">
        <f>IFERROR(__xludf.DUMMYFUNCTION("""COMPUTED_VALUE"""),"NORMAL")</f>
        <v>NORMAL</v>
      </c>
      <c r="J1183" s="211">
        <f>IFERROR(__xludf.DUMMYFUNCTION("""COMPUTED_VALUE"""),4.0)</f>
        <v>4</v>
      </c>
      <c r="K1183" s="210" t="str">
        <f>IFERROR(__xludf.DUMMYFUNCTION("""COMPUTED_VALUE"""),"11209 11100 11210 11132")</f>
        <v>11209 11100 11210 11132</v>
      </c>
      <c r="L1183" s="211">
        <f>IFERROR(__xludf.DUMMYFUNCTION("""COMPUTED_VALUE"""),55000.0)</f>
        <v>55000</v>
      </c>
      <c r="M1183" s="211"/>
      <c r="N1183" s="211"/>
      <c r="O1183" s="211"/>
      <c r="Q1183" s="210" t="str">
        <f>IFERROR(__xludf.DUMMYFUNCTION("""COMPUTED_VALUE"""),"1250537")</f>
        <v>1250537</v>
      </c>
      <c r="R1183" s="210" t="str">
        <f>IFERROR(__xludf.DUMMYFUNCTION("""COMPUTED_VALUE"""),"1250537")</f>
        <v>1250537</v>
      </c>
      <c r="S1183" s="211" t="str">
        <f>IFERROR(__xludf.DUMMYFUNCTION("""COMPUTED_VALUE"""),"b218b89b")</f>
        <v>b218b89b</v>
      </c>
      <c r="T1183" s="211" t="str">
        <f>IFERROR(__xludf.DUMMYFUNCTION("""COMPUTED_VALUE"""),"PT Harapan Sentosa")</f>
        <v>PT Harapan Sentosa</v>
      </c>
      <c r="U1183" s="215">
        <f>IFERROR(__xludf.DUMMYFUNCTION("""COMPUTED_VALUE"""),45897.44210648148)</f>
        <v>45897.44211</v>
      </c>
      <c r="V1183" s="211" t="str">
        <f>IFERROR(__xludf.DUMMYFUNCTION("""COMPUTED_VALUE"""),"Seketi, Jl. Purboyo II Selatan, RT.02/RW.02, Seketi, Kec. BalongBendo, Kabupaten Sidoarjo, Jawa Timur 61263")</f>
        <v>Seketi, Jl. Purboyo II Selatan, RT.02/RW.02, Seketi, Kec. BalongBendo, Kabupaten Sidoarjo, Jawa Timur 61263</v>
      </c>
      <c r="W1183" s="211" t="str">
        <f>IFERROR(__xludf.DUMMYFUNCTION("""COMPUTED_VALUE"""),"IN")</f>
        <v>IN</v>
      </c>
      <c r="X1183" s="211"/>
      <c r="Z1183" s="211" t="str">
        <f>IFERROR(__xludf.DUMMYFUNCTION("""COMPUTED_VALUE"""),"02250275")</f>
        <v>02250275</v>
      </c>
      <c r="AL1183" s="211"/>
      <c r="AM1183" s="211"/>
      <c r="AN1183" s="211"/>
      <c r="AO1183" s="211"/>
      <c r="AP1183" s="215"/>
      <c r="AQ1183" s="218"/>
      <c r="AR1183" s="211"/>
    </row>
    <row r="1184">
      <c r="A1184" s="210" t="str">
        <f>IFERROR(__xludf.DUMMYFUNCTION("""COMPUTED_VALUE"""),"ba18943f")</f>
        <v>ba18943f</v>
      </c>
      <c r="B1184" s="210" t="str">
        <f>IFERROR(__xludf.DUMMYFUNCTION("""COMPUTED_VALUE"""),"ba18943f")</f>
        <v>ba18943f</v>
      </c>
      <c r="C1184" s="213">
        <f>IFERROR(__xludf.DUMMYFUNCTION("""COMPUTED_VALUE"""),45813.61736111111)</f>
        <v>45813.61736</v>
      </c>
      <c r="D1184" s="211" t="str">
        <f>IFERROR(__xludf.DUMMYFUNCTION("""COMPUTED_VALUE"""),"ec231cc9")</f>
        <v>ec231cc9</v>
      </c>
      <c r="E1184" s="211" t="str">
        <f>IFERROR(__xludf.DUMMYFUNCTION("""COMPUTED_VALUE"""),"Bpk. Kohir (Maintenance Velg)")</f>
        <v>Bpk. Kohir (Maintenance Velg)</v>
      </c>
      <c r="F1184" s="211" t="str">
        <f>IFERROR(__xludf.DUMMYFUNCTION("""COMPUTED_VALUE"""),"8bdbe149")</f>
        <v>8bdbe149</v>
      </c>
      <c r="G1184" s="211" t="str">
        <f>IFERROR(__xludf.DUMMYFUNCTION("""COMPUTED_VALUE"""),"Oksigen 6m3")</f>
        <v>Oksigen 6m3</v>
      </c>
      <c r="H1184" s="214" t="str">
        <f>IFERROR(__xludf.DUMMYFUNCTION("""COMPUTED_VALUE"""),"IN")</f>
        <v>IN</v>
      </c>
      <c r="I1184" s="214" t="str">
        <f>IFERROR(__xludf.DUMMYFUNCTION("""COMPUTED_VALUE"""),"EMPTY")</f>
        <v>EMPTY</v>
      </c>
      <c r="J1184" s="211">
        <f>IFERROR(__xludf.DUMMYFUNCTION("""COMPUTED_VALUE"""),4.0)</f>
        <v>4</v>
      </c>
      <c r="K1184" s="210" t="str">
        <f>IFERROR(__xludf.DUMMYFUNCTION("""COMPUTED_VALUE"""),"11129 11145 11262 11163")</f>
        <v>11129 11145 11262 11163</v>
      </c>
      <c r="L1184" s="211">
        <f>IFERROR(__xludf.DUMMYFUNCTION("""COMPUTED_VALUE"""),0.0)</f>
        <v>0</v>
      </c>
      <c r="M1184" s="211"/>
      <c r="N1184" s="211"/>
      <c r="O1184" s="211"/>
      <c r="Q1184" s="210" t="str">
        <f>IFERROR(__xludf.DUMMYFUNCTION("""COMPUTED_VALUE"""),"0825111183")</f>
        <v>0825111183</v>
      </c>
      <c r="R1184" s="210" t="str">
        <f>IFERROR(__xludf.DUMMYFUNCTION("""COMPUTED_VALUE"""),"0825111183")</f>
        <v>0825111183</v>
      </c>
      <c r="S1184" s="211" t="str">
        <f>IFERROR(__xludf.DUMMYFUNCTION("""COMPUTED_VALUE"""),"182fb0fe")</f>
        <v>182fb0fe</v>
      </c>
      <c r="T1184" s="211" t="str">
        <f>IFERROR(__xludf.DUMMYFUNCTION("""COMPUTED_VALUE"""),"PT Amtech")</f>
        <v>PT Amtech</v>
      </c>
      <c r="U1184" s="215">
        <f>IFERROR(__xludf.DUMMYFUNCTION("""COMPUTED_VALUE"""),45897.46325231482)</f>
        <v>45897.46325</v>
      </c>
      <c r="V1184"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184" s="211" t="str">
        <f>IFERROR(__xludf.DUMMYFUNCTION("""COMPUTED_VALUE"""),"OUT")</f>
        <v>OUT</v>
      </c>
      <c r="X1184" s="211"/>
      <c r="Z1184" s="211" t="str">
        <f>IFERROR(__xludf.DUMMYFUNCTION("""COMPUTED_VALUE"""),"02250274")</f>
        <v>02250274</v>
      </c>
      <c r="AL1184" s="211"/>
      <c r="AM1184" s="211"/>
      <c r="AN1184" s="211"/>
      <c r="AO1184" s="211"/>
      <c r="AP1184" s="215"/>
      <c r="AQ1184" s="218"/>
      <c r="AR1184" s="211"/>
    </row>
    <row r="1185">
      <c r="A1185" s="210" t="str">
        <f>IFERROR(__xludf.DUMMYFUNCTION("""COMPUTED_VALUE"""),"ba18943f")</f>
        <v>ba18943f</v>
      </c>
      <c r="B1185" s="210" t="str">
        <f>IFERROR(__xludf.DUMMYFUNCTION("""COMPUTED_VALUE"""),"ba18943f")</f>
        <v>ba18943f</v>
      </c>
      <c r="C1185" s="213">
        <f>IFERROR(__xludf.DUMMYFUNCTION("""COMPUTED_VALUE"""),45813.618055555555)</f>
        <v>45813.61806</v>
      </c>
      <c r="D1185" s="211" t="str">
        <f>IFERROR(__xludf.DUMMYFUNCTION("""COMPUTED_VALUE"""),"ec231cc9")</f>
        <v>ec231cc9</v>
      </c>
      <c r="E1185" s="211" t="str">
        <f>IFERROR(__xludf.DUMMYFUNCTION("""COMPUTED_VALUE"""),"Bpk. Kohir (Maintenance Velg)")</f>
        <v>Bpk. Kohir (Maintenance Velg)</v>
      </c>
      <c r="F1185" s="211" t="str">
        <f>IFERROR(__xludf.DUMMYFUNCTION("""COMPUTED_VALUE"""),"ef306e54")</f>
        <v>ef306e54</v>
      </c>
      <c r="G1185" s="211" t="str">
        <f>IFERROR(__xludf.DUMMYFUNCTION("""COMPUTED_VALUE"""),"Karbondioksida")</f>
        <v>Karbondioksida</v>
      </c>
      <c r="H1185" s="214" t="str">
        <f>IFERROR(__xludf.DUMMYFUNCTION("""COMPUTED_VALUE"""),"IN")</f>
        <v>IN</v>
      </c>
      <c r="I1185" s="214" t="str">
        <f>IFERROR(__xludf.DUMMYFUNCTION("""COMPUTED_VALUE"""),"EMPTY")</f>
        <v>EMPTY</v>
      </c>
      <c r="J1185" s="211">
        <f>IFERROR(__xludf.DUMMYFUNCTION("""COMPUTED_VALUE"""),1.0)</f>
        <v>1</v>
      </c>
      <c r="K1185" s="210" t="str">
        <f>IFERROR(__xludf.DUMMYFUNCTION("""COMPUTED_VALUE"""),"13015")</f>
        <v>13015</v>
      </c>
      <c r="L1185" s="211">
        <f>IFERROR(__xludf.DUMMYFUNCTION("""COMPUTED_VALUE"""),0.0)</f>
        <v>0</v>
      </c>
      <c r="M1185" s="211"/>
      <c r="N1185" s="211"/>
      <c r="O1185" s="211"/>
      <c r="Q1185" s="210" t="str">
        <f>IFERROR(__xludf.DUMMYFUNCTION("""COMPUTED_VALUE"""),"1250478")</f>
        <v>1250478</v>
      </c>
      <c r="R1185" s="210" t="str">
        <f>IFERROR(__xludf.DUMMYFUNCTION("""COMPUTED_VALUE"""),"1250478")</f>
        <v>1250478</v>
      </c>
      <c r="S1185" s="211" t="str">
        <f>IFERROR(__xludf.DUMMYFUNCTION("""COMPUTED_VALUE"""),"a343b84d")</f>
        <v>a343b84d</v>
      </c>
      <c r="T1185" s="211" t="str">
        <f>IFERROR(__xludf.DUMMYFUNCTION("""COMPUTED_VALUE"""),"PT Utama Alim Sejahtera")</f>
        <v>PT Utama Alim Sejahtera</v>
      </c>
      <c r="U1185" s="215">
        <f>IFERROR(__xludf.DUMMYFUNCTION("""COMPUTED_VALUE"""),45897.46875)</f>
        <v>45897.46875</v>
      </c>
      <c r="V1185" s="211" t="str">
        <f>IFERROR(__xludf.DUMMYFUNCTION("""COMPUTED_VALUE"""),"JL. PURBOYO, SEKETI, BALONGBENDO, KAB.SIDOARJO, JAWA TIMUR, 61263")</f>
        <v>JL. PURBOYO, SEKETI, BALONGBENDO, KAB.SIDOARJO, JAWA TIMUR, 61263</v>
      </c>
      <c r="W1185" s="211" t="str">
        <f>IFERROR(__xludf.DUMMYFUNCTION("""COMPUTED_VALUE"""),"IN")</f>
        <v>IN</v>
      </c>
      <c r="X1185" s="211"/>
      <c r="Z1185" s="211" t="str">
        <f>IFERROR(__xludf.DUMMYFUNCTION("""COMPUTED_VALUE"""),"02250273")</f>
        <v>02250273</v>
      </c>
      <c r="AL1185" s="211"/>
      <c r="AM1185" s="211"/>
      <c r="AN1185" s="211"/>
      <c r="AO1185" s="211"/>
      <c r="AP1185" s="215"/>
      <c r="AQ1185" s="218"/>
      <c r="AR1185" s="211"/>
    </row>
    <row r="1186">
      <c r="A1186" s="210" t="str">
        <f>IFERROR(__xludf.DUMMYFUNCTION("""COMPUTED_VALUE"""),"06250499")</f>
        <v>06250499</v>
      </c>
      <c r="B1186" s="210" t="str">
        <f>IFERROR(__xludf.DUMMYFUNCTION("""COMPUTED_VALUE"""),"06250499")</f>
        <v>06250499</v>
      </c>
      <c r="C1186" s="213">
        <f>IFERROR(__xludf.DUMMYFUNCTION("""COMPUTED_VALUE"""),45817.46527777778)</f>
        <v>45817.46528</v>
      </c>
      <c r="D1186" s="211" t="str">
        <f>IFERROR(__xludf.DUMMYFUNCTION("""COMPUTED_VALUE"""),"ec231cc9")</f>
        <v>ec231cc9</v>
      </c>
      <c r="E1186" s="211" t="str">
        <f>IFERROR(__xludf.DUMMYFUNCTION("""COMPUTED_VALUE"""),"Bpk. Kohir (Maintenance Velg)")</f>
        <v>Bpk. Kohir (Maintenance Velg)</v>
      </c>
      <c r="F1186" s="211" t="str">
        <f>IFERROR(__xludf.DUMMYFUNCTION("""COMPUTED_VALUE"""),"8bdbe149")</f>
        <v>8bdbe149</v>
      </c>
      <c r="G1186" s="211" t="str">
        <f>IFERROR(__xludf.DUMMYFUNCTION("""COMPUTED_VALUE"""),"Oksigen 6m3")</f>
        <v>Oksigen 6m3</v>
      </c>
      <c r="H1186" s="214" t="str">
        <f>IFERROR(__xludf.DUMMYFUNCTION("""COMPUTED_VALUE"""),"OUT")</f>
        <v>OUT</v>
      </c>
      <c r="I1186" s="214" t="str">
        <f>IFERROR(__xludf.DUMMYFUNCTION("""COMPUTED_VALUE"""),"NORMAL")</f>
        <v>NORMAL</v>
      </c>
      <c r="J1186" s="211">
        <f>IFERROR(__xludf.DUMMYFUNCTION("""COMPUTED_VALUE"""),4.0)</f>
        <v>4</v>
      </c>
      <c r="K1186" s="210" t="str">
        <f>IFERROR(__xludf.DUMMYFUNCTION("""COMPUTED_VALUE"""),"11128 1196 11248 11190")</f>
        <v>11128 1196 11248 11190</v>
      </c>
      <c r="L1186" s="211">
        <f>IFERROR(__xludf.DUMMYFUNCTION("""COMPUTED_VALUE"""),55000.0)</f>
        <v>55000</v>
      </c>
      <c r="M1186" s="211"/>
      <c r="N1186" s="211"/>
      <c r="O1186" s="211"/>
      <c r="Q1186" s="210" t="str">
        <f>IFERROR(__xludf.DUMMYFUNCTION("""COMPUTED_VALUE"""),"1250550")</f>
        <v>1250550</v>
      </c>
      <c r="R1186" s="210" t="str">
        <f>IFERROR(__xludf.DUMMYFUNCTION("""COMPUTED_VALUE"""),"1250550")</f>
        <v>1250550</v>
      </c>
      <c r="S1186" s="211" t="str">
        <f>IFERROR(__xludf.DUMMYFUNCTION("""COMPUTED_VALUE"""),"182fb0fe")</f>
        <v>182fb0fe</v>
      </c>
      <c r="T1186" s="211" t="str">
        <f>IFERROR(__xludf.DUMMYFUNCTION("""COMPUTED_VALUE"""),"PT Amtech")</f>
        <v>PT Amtech</v>
      </c>
      <c r="U1186" s="215">
        <f>IFERROR(__xludf.DUMMYFUNCTION("""COMPUTED_VALUE"""),45897.60212962963)</f>
        <v>45897.60213</v>
      </c>
      <c r="V1186" s="211" t="str">
        <f>IFERROR(__xludf.DUMMYFUNCTION("""COMPUTED_VALUE"""),"Jl. Morowudi, Ikerikergeger, Kabupaten Gresik, Jawa Timur")</f>
        <v>Jl. Morowudi, Ikerikergeger, Kabupaten Gresik, Jawa Timur</v>
      </c>
      <c r="W1186" s="211" t="str">
        <f>IFERROR(__xludf.DUMMYFUNCTION("""COMPUTED_VALUE"""),"IN")</f>
        <v>IN</v>
      </c>
      <c r="X1186" s="211"/>
      <c r="Z1186" s="211" t="str">
        <f>IFERROR(__xludf.DUMMYFUNCTION("""COMPUTED_VALUE"""),"02250271")</f>
        <v>02250271</v>
      </c>
      <c r="AL1186" s="211"/>
      <c r="AM1186" s="211"/>
      <c r="AN1186" s="211"/>
      <c r="AO1186" s="211"/>
      <c r="AP1186" s="215"/>
      <c r="AQ1186" s="218"/>
      <c r="AR1186" s="211"/>
    </row>
    <row r="1187">
      <c r="A1187" s="210" t="str">
        <f>IFERROR(__xludf.DUMMYFUNCTION("""COMPUTED_VALUE"""),"06250499")</f>
        <v>06250499</v>
      </c>
      <c r="B1187" s="210" t="str">
        <f>IFERROR(__xludf.DUMMYFUNCTION("""COMPUTED_VALUE"""),"06250499")</f>
        <v>06250499</v>
      </c>
      <c r="C1187" s="213">
        <f>IFERROR(__xludf.DUMMYFUNCTION("""COMPUTED_VALUE"""),45817.46527777778)</f>
        <v>45817.46528</v>
      </c>
      <c r="D1187" s="211" t="str">
        <f>IFERROR(__xludf.DUMMYFUNCTION("""COMPUTED_VALUE"""),"ec231cc9")</f>
        <v>ec231cc9</v>
      </c>
      <c r="E1187" s="211" t="str">
        <f>IFERROR(__xludf.DUMMYFUNCTION("""COMPUTED_VALUE"""),"Bpk. Kohir (Maintenance Velg)")</f>
        <v>Bpk. Kohir (Maintenance Velg)</v>
      </c>
      <c r="F1187" s="211" t="str">
        <f>IFERROR(__xludf.DUMMYFUNCTION("""COMPUTED_VALUE"""),"ef306e54")</f>
        <v>ef306e54</v>
      </c>
      <c r="G1187" s="211" t="str">
        <f>IFERROR(__xludf.DUMMYFUNCTION("""COMPUTED_VALUE"""),"Karbondioksida")</f>
        <v>Karbondioksida</v>
      </c>
      <c r="H1187" s="214" t="str">
        <f>IFERROR(__xludf.DUMMYFUNCTION("""COMPUTED_VALUE"""),"OUT")</f>
        <v>OUT</v>
      </c>
      <c r="I1187" s="214" t="str">
        <f>IFERROR(__xludf.DUMMYFUNCTION("""COMPUTED_VALUE"""),"NORMAL")</f>
        <v>NORMAL</v>
      </c>
      <c r="J1187" s="211">
        <f>IFERROR(__xludf.DUMMYFUNCTION("""COMPUTED_VALUE"""),2.0)</f>
        <v>2</v>
      </c>
      <c r="K1187" s="210" t="str">
        <f>IFERROR(__xludf.DUMMYFUNCTION("""COMPUTED_VALUE"""),"13008 13002")</f>
        <v>13008 13002</v>
      </c>
      <c r="L1187" s="211">
        <f>IFERROR(__xludf.DUMMYFUNCTION("""COMPUTED_VALUE"""),165000.0)</f>
        <v>165000</v>
      </c>
      <c r="M1187" s="211"/>
      <c r="N1187" s="211"/>
      <c r="O1187" s="211"/>
      <c r="Q1187" s="210" t="str">
        <f>IFERROR(__xludf.DUMMYFUNCTION("""COMPUTED_VALUE"""),"1250538")</f>
        <v>1250538</v>
      </c>
      <c r="R1187" s="210" t="str">
        <f>IFERROR(__xludf.DUMMYFUNCTION("""COMPUTED_VALUE"""),"1250538")</f>
        <v>1250538</v>
      </c>
      <c r="S1187" s="211" t="str">
        <f>IFERROR(__xludf.DUMMYFUNCTION("""COMPUTED_VALUE"""),"01158be1")</f>
        <v>01158be1</v>
      </c>
      <c r="T1187" s="211" t="str">
        <f>IFERROR(__xludf.DUMMYFUNCTION("""COMPUTED_VALUE"""),"GYF")</f>
        <v>GYF</v>
      </c>
      <c r="U1187" s="215">
        <f>IFERROR(__xludf.DUMMYFUNCTION("""COMPUTED_VALUE"""),45897.62805555556)</f>
        <v>45897.62806</v>
      </c>
      <c r="V1187" s="211" t="str">
        <f>IFERROR(__xludf.DUMMYFUNCTION("""COMPUTED_VALUE"""),"Kangkungan, Lengkong, Kec. Mojoanyar, Kabupaten Mojokerto, Jawa Timur")</f>
        <v>Kangkungan, Lengkong, Kec. Mojoanyar, Kabupaten Mojokerto, Jawa Timur</v>
      </c>
      <c r="W1187" s="211" t="str">
        <f>IFERROR(__xludf.DUMMYFUNCTION("""COMPUTED_VALUE"""),"IN")</f>
        <v>IN</v>
      </c>
      <c r="X1187" s="211"/>
      <c r="Z1187" s="211" t="str">
        <f>IFERROR(__xludf.DUMMYFUNCTION("""COMPUTED_VALUE"""),"0225191090")</f>
        <v>0225191090</v>
      </c>
      <c r="AL1187" s="211"/>
      <c r="AM1187" s="211"/>
      <c r="AN1187" s="211"/>
      <c r="AO1187" s="211"/>
      <c r="AP1187" s="215"/>
      <c r="AQ1187" s="218"/>
      <c r="AR1187" s="211"/>
    </row>
    <row r="1188">
      <c r="A1188" s="210" t="str">
        <f>IFERROR(__xludf.DUMMYFUNCTION("""COMPUTED_VALUE"""),"c90c74d6")</f>
        <v>c90c74d6</v>
      </c>
      <c r="B1188" s="210" t="str">
        <f>IFERROR(__xludf.DUMMYFUNCTION("""COMPUTED_VALUE"""),"c90c74d6")</f>
        <v>c90c74d6</v>
      </c>
      <c r="C1188" s="213">
        <f>IFERROR(__xludf.DUMMYFUNCTION("""COMPUTED_VALUE"""),45817.625)</f>
        <v>45817.625</v>
      </c>
      <c r="D1188" s="211" t="str">
        <f>IFERROR(__xludf.DUMMYFUNCTION("""COMPUTED_VALUE"""),"8f5ebaea")</f>
        <v>8f5ebaea</v>
      </c>
      <c r="E1188" s="211" t="str">
        <f>IFERROR(__xludf.DUMMYFUNCTION("""COMPUTED_VALUE"""),"PT Hua Zong Mesindo")</f>
        <v>PT Hua Zong Mesindo</v>
      </c>
      <c r="F1188" s="211" t="str">
        <f>IFERROR(__xludf.DUMMYFUNCTION("""COMPUTED_VALUE"""),"8bdbe149")</f>
        <v>8bdbe149</v>
      </c>
      <c r="G1188" s="211" t="str">
        <f>IFERROR(__xludf.DUMMYFUNCTION("""COMPUTED_VALUE"""),"Oksigen 6m3")</f>
        <v>Oksigen 6m3</v>
      </c>
      <c r="H1188" s="214" t="str">
        <f>IFERROR(__xludf.DUMMYFUNCTION("""COMPUTED_VALUE"""),"IN")</f>
        <v>IN</v>
      </c>
      <c r="I1188" s="214" t="str">
        <f>IFERROR(__xludf.DUMMYFUNCTION("""COMPUTED_VALUE"""),"EMPTY")</f>
        <v>EMPTY</v>
      </c>
      <c r="J1188" s="211">
        <f>IFERROR(__xludf.DUMMYFUNCTION("""COMPUTED_VALUE"""),2.0)</f>
        <v>2</v>
      </c>
      <c r="K1188" s="210" t="str">
        <f>IFERROR(__xludf.DUMMYFUNCTION("""COMPUTED_VALUE"""),"11236 1146")</f>
        <v>11236 1146</v>
      </c>
      <c r="L1188" s="211">
        <f>IFERROR(__xludf.DUMMYFUNCTION("""COMPUTED_VALUE"""),0.0)</f>
        <v>0</v>
      </c>
      <c r="M1188" s="211"/>
      <c r="N1188" s="211"/>
      <c r="O1188" s="211"/>
      <c r="Q1188" s="210" t="str">
        <f>IFERROR(__xludf.DUMMYFUNCTION("""COMPUTED_VALUE"""),"1250551")</f>
        <v>1250551</v>
      </c>
      <c r="R1188" s="210" t="str">
        <f>IFERROR(__xludf.DUMMYFUNCTION("""COMPUTED_VALUE"""),"1250551")</f>
        <v>1250551</v>
      </c>
      <c r="S1188" s="211" t="str">
        <f>IFERROR(__xludf.DUMMYFUNCTION("""COMPUTED_VALUE"""),"0411d86e")</f>
        <v>0411d86e</v>
      </c>
      <c r="T1188" s="211" t="str">
        <f>IFERROR(__xludf.DUMMYFUNCTION("""COMPUTED_VALUE"""),"Bpk. Subiantoro (Parengan)")</f>
        <v>Bpk. Subiantoro (Parengan)</v>
      </c>
      <c r="U1188" s="215">
        <f>IFERROR(__xludf.DUMMYFUNCTION("""COMPUTED_VALUE"""),45897.652349537035)</f>
        <v>45897.65235</v>
      </c>
      <c r="V1188" s="211" t="str">
        <f>IFERROR(__xludf.DUMMYFUNCTION("""COMPUTED_VALUE"""),"Jl. Kraton, Sidomukti, Kraton, Kec. Krian, Kabupaten Sidoarjo, Jawa Timur 61262")</f>
        <v>Jl. Kraton, Sidomukti, Kraton, Kec. Krian, Kabupaten Sidoarjo, Jawa Timur 61262</v>
      </c>
      <c r="W1188" s="211" t="str">
        <f>IFERROR(__xludf.DUMMYFUNCTION("""COMPUTED_VALUE"""),"IN")</f>
        <v>IN</v>
      </c>
      <c r="X1188" s="211"/>
      <c r="Z1188" s="211" t="str">
        <f>IFERROR(__xludf.DUMMYFUNCTION("""COMPUTED_VALUE"""),"02250270")</f>
        <v>02250270</v>
      </c>
      <c r="AL1188" s="211"/>
      <c r="AM1188" s="211"/>
      <c r="AN1188" s="211"/>
      <c r="AO1188" s="211"/>
      <c r="AP1188" s="215"/>
      <c r="AQ1188" s="218"/>
      <c r="AR1188" s="211"/>
    </row>
    <row r="1189">
      <c r="A1189" s="210" t="str">
        <f>IFERROR(__xludf.DUMMYFUNCTION("""COMPUTED_VALUE"""),"c90c74d6")</f>
        <v>c90c74d6</v>
      </c>
      <c r="B1189" s="210" t="str">
        <f>IFERROR(__xludf.DUMMYFUNCTION("""COMPUTED_VALUE"""),"c90c74d6")</f>
        <v>c90c74d6</v>
      </c>
      <c r="C1189" s="213">
        <f>IFERROR(__xludf.DUMMYFUNCTION("""COMPUTED_VALUE"""),45817.625)</f>
        <v>45817.625</v>
      </c>
      <c r="D1189" s="211" t="str">
        <f>IFERROR(__xludf.DUMMYFUNCTION("""COMPUTED_VALUE"""),"8f5ebaea")</f>
        <v>8f5ebaea</v>
      </c>
      <c r="E1189" s="211" t="str">
        <f>IFERROR(__xludf.DUMMYFUNCTION("""COMPUTED_VALUE"""),"PT Hua Zong Mesindo")</f>
        <v>PT Hua Zong Mesindo</v>
      </c>
      <c r="F1189" s="211" t="str">
        <f>IFERROR(__xludf.DUMMYFUNCTION("""COMPUTED_VALUE"""),"66af7c72")</f>
        <v>66af7c72</v>
      </c>
      <c r="G1189" s="211" t="str">
        <f>IFERROR(__xludf.DUMMYFUNCTION("""COMPUTED_VALUE"""),"Argon 6m3")</f>
        <v>Argon 6m3</v>
      </c>
      <c r="H1189" s="214" t="str">
        <f>IFERROR(__xludf.DUMMYFUNCTION("""COMPUTED_VALUE"""),"IN")</f>
        <v>IN</v>
      </c>
      <c r="I1189" s="214" t="str">
        <f>IFERROR(__xludf.DUMMYFUNCTION("""COMPUTED_VALUE"""),"EMPTY")</f>
        <v>EMPTY</v>
      </c>
      <c r="J1189" s="211">
        <f>IFERROR(__xludf.DUMMYFUNCTION("""COMPUTED_VALUE"""),1.0)</f>
        <v>1</v>
      </c>
      <c r="K1189" s="210" t="str">
        <f>IFERROR(__xludf.DUMMYFUNCTION("""COMPUTED_VALUE"""),"12012")</f>
        <v>12012</v>
      </c>
      <c r="L1189" s="211">
        <f>IFERROR(__xludf.DUMMYFUNCTION("""COMPUTED_VALUE"""),0.0)</f>
        <v>0</v>
      </c>
      <c r="M1189" s="211"/>
      <c r="N1189" s="211"/>
      <c r="O1189" s="211"/>
      <c r="Q1189" s="210" t="str">
        <f>IFERROR(__xludf.DUMMYFUNCTION("""COMPUTED_VALUE"""),"0825261185")</f>
        <v>0825261185</v>
      </c>
      <c r="R1189" s="210" t="str">
        <f>IFERROR(__xludf.DUMMYFUNCTION("""COMPUTED_VALUE"""),"0825261185")</f>
        <v>0825261185</v>
      </c>
      <c r="S1189" s="211" t="str">
        <f>IFERROR(__xludf.DUMMYFUNCTION("""COMPUTED_VALUE"""),"01158be1")</f>
        <v>01158be1</v>
      </c>
      <c r="T1189" s="211" t="str">
        <f>IFERROR(__xludf.DUMMYFUNCTION("""COMPUTED_VALUE"""),"GYF")</f>
        <v>GYF</v>
      </c>
      <c r="U1189" s="215">
        <f>IFERROR(__xludf.DUMMYFUNCTION("""COMPUTED_VALUE"""),45898.37396990741)</f>
        <v>45898.37397</v>
      </c>
      <c r="V1189" s="211" t="str">
        <f>IFERROR(__xludf.DUMMYFUNCTION("""COMPUTED_VALUE"""),"Kangkungan, Lengkong, Kec. Mojoanyar, Kabupaten Mojokerto, Jawa Timur")</f>
        <v>Kangkungan, Lengkong, Kec. Mojoanyar, Kabupaten Mojokerto, Jawa Timur</v>
      </c>
      <c r="W1189" s="211" t="str">
        <f>IFERROR(__xludf.DUMMYFUNCTION("""COMPUTED_VALUE"""),"OUT")</f>
        <v>OUT</v>
      </c>
      <c r="X1189" s="211"/>
      <c r="Z1189" s="211" t="str">
        <f>IFERROR(__xludf.DUMMYFUNCTION("""COMPUTED_VALUE"""),"02250265")</f>
        <v>02250265</v>
      </c>
      <c r="AL1189" s="211"/>
      <c r="AM1189" s="211"/>
      <c r="AN1189" s="211"/>
      <c r="AO1189" s="211"/>
      <c r="AP1189" s="215"/>
      <c r="AQ1189" s="218"/>
      <c r="AR1189" s="211"/>
    </row>
    <row r="1190">
      <c r="A1190" s="210" t="str">
        <f>IFERROR(__xludf.DUMMYFUNCTION("""COMPUTED_VALUE"""),"c90c74d6")</f>
        <v>c90c74d6</v>
      </c>
      <c r="B1190" s="210" t="str">
        <f>IFERROR(__xludf.DUMMYFUNCTION("""COMPUTED_VALUE"""),"c90c74d6")</f>
        <v>c90c74d6</v>
      </c>
      <c r="C1190" s="213">
        <f>IFERROR(__xludf.DUMMYFUNCTION("""COMPUTED_VALUE"""),45817.625)</f>
        <v>45817.625</v>
      </c>
      <c r="D1190" s="211" t="str">
        <f>IFERROR(__xludf.DUMMYFUNCTION("""COMPUTED_VALUE"""),"8f5ebaea")</f>
        <v>8f5ebaea</v>
      </c>
      <c r="E1190" s="211" t="str">
        <f>IFERROR(__xludf.DUMMYFUNCTION("""COMPUTED_VALUE"""),"PT Hua Zong Mesindo")</f>
        <v>PT Hua Zong Mesindo</v>
      </c>
      <c r="F1190" s="211" t="str">
        <f>IFERROR(__xludf.DUMMYFUNCTION("""COMPUTED_VALUE"""),"ef306e54")</f>
        <v>ef306e54</v>
      </c>
      <c r="G1190" s="211" t="str">
        <f>IFERROR(__xludf.DUMMYFUNCTION("""COMPUTED_VALUE"""),"Karbondioksida")</f>
        <v>Karbondioksida</v>
      </c>
      <c r="H1190" s="214" t="str">
        <f>IFERROR(__xludf.DUMMYFUNCTION("""COMPUTED_VALUE"""),"IN")</f>
        <v>IN</v>
      </c>
      <c r="I1190" s="214" t="str">
        <f>IFERROR(__xludf.DUMMYFUNCTION("""COMPUTED_VALUE"""),"EMPTY")</f>
        <v>EMPTY</v>
      </c>
      <c r="J1190" s="211">
        <f>IFERROR(__xludf.DUMMYFUNCTION("""COMPUTED_VALUE"""),1.0)</f>
        <v>1</v>
      </c>
      <c r="K1190" s="210" t="str">
        <f>IFERROR(__xludf.DUMMYFUNCTION("""COMPUTED_VALUE"""),"13003")</f>
        <v>13003</v>
      </c>
      <c r="L1190" s="211">
        <f>IFERROR(__xludf.DUMMYFUNCTION("""COMPUTED_VALUE"""),0.0)</f>
        <v>0</v>
      </c>
      <c r="M1190" s="211"/>
      <c r="N1190" s="211"/>
      <c r="O1190" s="211"/>
      <c r="Q1190" s="210" t="str">
        <f>IFERROR(__xludf.DUMMYFUNCTION("""COMPUTED_VALUE"""),"082521190")</f>
        <v>082521190</v>
      </c>
      <c r="R1190" s="210" t="str">
        <f>IFERROR(__xludf.DUMMYFUNCTION("""COMPUTED_VALUE"""),"082521190")</f>
        <v>082521190</v>
      </c>
      <c r="S1190" s="211" t="str">
        <f>IFERROR(__xludf.DUMMYFUNCTION("""COMPUTED_VALUE"""),"eec2e801")</f>
        <v>eec2e801</v>
      </c>
      <c r="T1190" s="211" t="str">
        <f>IFERROR(__xludf.DUMMYFUNCTION("""COMPUTED_VALUE"""),"Mitra Wood Sejahtera")</f>
        <v>Mitra Wood Sejahtera</v>
      </c>
      <c r="U1190" s="215">
        <f>IFERROR(__xludf.DUMMYFUNCTION("""COMPUTED_VALUE"""),45898.38087962963)</f>
        <v>45898.38088</v>
      </c>
      <c r="V1190" s="211" t="str">
        <f>IFERROR(__xludf.DUMMYFUNCTION("""COMPUTED_VALUE"""),"Jl.cungkling, Jl. Tanggungan, Nanom Kidul, Lebaniwaras, Kec. Wringinanom, Kabupaten Gresik, Jawa Timur 61176")</f>
        <v>Jl.cungkling, Jl. Tanggungan, Nanom Kidul, Lebaniwaras, Kec. Wringinanom, Kabupaten Gresik, Jawa Timur 61176</v>
      </c>
      <c r="W1190" s="211" t="str">
        <f>IFERROR(__xludf.DUMMYFUNCTION("""COMPUTED_VALUE"""),"OUT")</f>
        <v>OUT</v>
      </c>
      <c r="X1190" s="211"/>
      <c r="Z1190" s="211" t="str">
        <f>IFERROR(__xludf.DUMMYFUNCTION("""COMPUTED_VALUE"""),"02250264")</f>
        <v>02250264</v>
      </c>
      <c r="AL1190" s="211"/>
      <c r="AM1190" s="211"/>
      <c r="AN1190" s="211"/>
      <c r="AO1190" s="211"/>
      <c r="AP1190" s="215"/>
      <c r="AQ1190" s="218"/>
      <c r="AR1190" s="211"/>
    </row>
    <row r="1191">
      <c r="A1191" s="210" t="str">
        <f>IFERROR(__xludf.DUMMYFUNCTION("""COMPUTED_VALUE"""),"f8d9129b")</f>
        <v>f8d9129b</v>
      </c>
      <c r="B1191" s="210" t="str">
        <f>IFERROR(__xludf.DUMMYFUNCTION("""COMPUTED_VALUE"""),"f8d9129b")</f>
        <v>f8d9129b</v>
      </c>
      <c r="C1191" s="213">
        <f>IFERROR(__xludf.DUMMYFUNCTION("""COMPUTED_VALUE"""),45817.625)</f>
        <v>45817.625</v>
      </c>
      <c r="D1191" s="211" t="str">
        <f>IFERROR(__xludf.DUMMYFUNCTION("""COMPUTED_VALUE"""),"ec231cc9")</f>
        <v>ec231cc9</v>
      </c>
      <c r="E1191" s="211" t="str">
        <f>IFERROR(__xludf.DUMMYFUNCTION("""COMPUTED_VALUE"""),"Bpk. Kohir (Maintenance Velg)")</f>
        <v>Bpk. Kohir (Maintenance Velg)</v>
      </c>
      <c r="F1191" s="211" t="str">
        <f>IFERROR(__xludf.DUMMYFUNCTION("""COMPUTED_VALUE"""),"8bdbe149")</f>
        <v>8bdbe149</v>
      </c>
      <c r="G1191" s="211" t="str">
        <f>IFERROR(__xludf.DUMMYFUNCTION("""COMPUTED_VALUE"""),"Oksigen 6m3")</f>
        <v>Oksigen 6m3</v>
      </c>
      <c r="H1191" s="214" t="str">
        <f>IFERROR(__xludf.DUMMYFUNCTION("""COMPUTED_VALUE"""),"IN")</f>
        <v>IN</v>
      </c>
      <c r="I1191" s="214" t="str">
        <f>IFERROR(__xludf.DUMMYFUNCTION("""COMPUTED_VALUE"""),"EMPTY")</f>
        <v>EMPTY</v>
      </c>
      <c r="J1191" s="211">
        <f>IFERROR(__xludf.DUMMYFUNCTION("""COMPUTED_VALUE"""),4.0)</f>
        <v>4</v>
      </c>
      <c r="K1191" s="210" t="str">
        <f>IFERROR(__xludf.DUMMYFUNCTION("""COMPUTED_VALUE"""),"11210 11132 11226 11209")</f>
        <v>11210 11132 11226 11209</v>
      </c>
      <c r="L1191" s="211">
        <f>IFERROR(__xludf.DUMMYFUNCTION("""COMPUTED_VALUE"""),0.0)</f>
        <v>0</v>
      </c>
      <c r="M1191" s="211"/>
      <c r="N1191" s="211"/>
      <c r="O1191" s="211"/>
      <c r="Q1191" s="210" t="str">
        <f>IFERROR(__xludf.DUMMYFUNCTION("""COMPUTED_VALUE"""),"1250552")</f>
        <v>1250552</v>
      </c>
      <c r="R1191" s="210" t="str">
        <f>IFERROR(__xludf.DUMMYFUNCTION("""COMPUTED_VALUE"""),"1250552")</f>
        <v>1250552</v>
      </c>
      <c r="S1191" s="211" t="str">
        <f>IFERROR(__xludf.DUMMYFUNCTION("""COMPUTED_VALUE"""),"8f5ebaea")</f>
        <v>8f5ebaea</v>
      </c>
      <c r="T1191" s="211" t="str">
        <f>IFERROR(__xludf.DUMMYFUNCTION("""COMPUTED_VALUE"""),"PT Hua Zong Mesindo")</f>
        <v>PT Hua Zong Mesindo</v>
      </c>
      <c r="U1191" s="215">
        <f>IFERROR(__xludf.DUMMYFUNCTION("""COMPUTED_VALUE"""),45898.47336805556)</f>
        <v>45898.47337</v>
      </c>
      <c r="V1191" s="211" t="str">
        <f>IFERROR(__xludf.DUMMYFUNCTION("""COMPUTED_VALUE"""),"Jl. Bypass Krian, Sidotemo, Sidomulyo, Kec. Krian, Kabupaten Sidoarjo, Jawa Timur 61262")</f>
        <v>Jl. Bypass Krian, Sidotemo, Sidomulyo, Kec. Krian, Kabupaten Sidoarjo, Jawa Timur 61262</v>
      </c>
      <c r="W1191" s="211" t="str">
        <f>IFERROR(__xludf.DUMMYFUNCTION("""COMPUTED_VALUE"""),"IN")</f>
        <v>IN</v>
      </c>
      <c r="X1191" s="211"/>
      <c r="Z1191" s="211" t="str">
        <f>IFERROR(__xludf.DUMMYFUNCTION("""COMPUTED_VALUE"""),"02250263")</f>
        <v>02250263</v>
      </c>
      <c r="AL1191" s="211"/>
      <c r="AM1191" s="211"/>
      <c r="AN1191" s="211"/>
      <c r="AO1191" s="211"/>
      <c r="AP1191" s="215"/>
      <c r="AQ1191" s="218"/>
      <c r="AR1191" s="211"/>
    </row>
    <row r="1192">
      <c r="A1192" s="210" t="str">
        <f>IFERROR(__xludf.DUMMYFUNCTION("""COMPUTED_VALUE"""),"f8d9129b")</f>
        <v>f8d9129b</v>
      </c>
      <c r="B1192" s="210" t="str">
        <f>IFERROR(__xludf.DUMMYFUNCTION("""COMPUTED_VALUE"""),"f8d9129b")</f>
        <v>f8d9129b</v>
      </c>
      <c r="C1192" s="213">
        <f>IFERROR(__xludf.DUMMYFUNCTION("""COMPUTED_VALUE"""),45817.62569444445)</f>
        <v>45817.62569</v>
      </c>
      <c r="D1192" s="211" t="str">
        <f>IFERROR(__xludf.DUMMYFUNCTION("""COMPUTED_VALUE"""),"ec231cc9")</f>
        <v>ec231cc9</v>
      </c>
      <c r="E1192" s="211" t="str">
        <f>IFERROR(__xludf.DUMMYFUNCTION("""COMPUTED_VALUE"""),"Bpk. Kohir (Maintenance Velg)")</f>
        <v>Bpk. Kohir (Maintenance Velg)</v>
      </c>
      <c r="F1192" s="211" t="str">
        <f>IFERROR(__xludf.DUMMYFUNCTION("""COMPUTED_VALUE"""),"ef306e54")</f>
        <v>ef306e54</v>
      </c>
      <c r="G1192" s="211" t="str">
        <f>IFERROR(__xludf.DUMMYFUNCTION("""COMPUTED_VALUE"""),"Karbondioksida")</f>
        <v>Karbondioksida</v>
      </c>
      <c r="H1192" s="214" t="str">
        <f>IFERROR(__xludf.DUMMYFUNCTION("""COMPUTED_VALUE"""),"IN")</f>
        <v>IN</v>
      </c>
      <c r="I1192" s="214" t="str">
        <f>IFERROR(__xludf.DUMMYFUNCTION("""COMPUTED_VALUE"""),"EMPTY")</f>
        <v>EMPTY</v>
      </c>
      <c r="J1192" s="211">
        <f>IFERROR(__xludf.DUMMYFUNCTION("""COMPUTED_VALUE"""),1.0)</f>
        <v>1</v>
      </c>
      <c r="K1192" s="210" t="str">
        <f>IFERROR(__xludf.DUMMYFUNCTION("""COMPUTED_VALUE"""),"13018")</f>
        <v>13018</v>
      </c>
      <c r="L1192" s="211">
        <f>IFERROR(__xludf.DUMMYFUNCTION("""COMPUTED_VALUE"""),0.0)</f>
        <v>0</v>
      </c>
      <c r="M1192" s="211"/>
      <c r="N1192" s="211"/>
      <c r="O1192" s="211"/>
      <c r="Q1192" s="210" t="str">
        <f>IFERROR(__xludf.DUMMYFUNCTION("""COMPUTED_VALUE"""),"1250539")</f>
        <v>1250539</v>
      </c>
      <c r="R1192" s="210" t="str">
        <f>IFERROR(__xludf.DUMMYFUNCTION("""COMPUTED_VALUE"""),"1250539")</f>
        <v>1250539</v>
      </c>
      <c r="S1192" s="211" t="str">
        <f>IFERROR(__xludf.DUMMYFUNCTION("""COMPUTED_VALUE"""),"eec2e801")</f>
        <v>eec2e801</v>
      </c>
      <c r="T1192" s="211" t="str">
        <f>IFERROR(__xludf.DUMMYFUNCTION("""COMPUTED_VALUE"""),"Mitra Wood Sejahtera")</f>
        <v>Mitra Wood Sejahtera</v>
      </c>
      <c r="U1192" s="215">
        <f>IFERROR(__xludf.DUMMYFUNCTION("""COMPUTED_VALUE"""),45898.60475694444)</f>
        <v>45898.60476</v>
      </c>
      <c r="V1192" s="211" t="str">
        <f>IFERROR(__xludf.DUMMYFUNCTION("""COMPUTED_VALUE"""),"Jl.cungkling, Jl. Tanggungan, Nanom Kidul, Lebaniwaras, Kec. Wringinanom, Kabupaten Gresik, Jawa Timur 61176")</f>
        <v>Jl.cungkling, Jl. Tanggungan, Nanom Kidul, Lebaniwaras, Kec. Wringinanom, Kabupaten Gresik, Jawa Timur 61176</v>
      </c>
      <c r="W1192" s="211" t="str">
        <f>IFERROR(__xludf.DUMMYFUNCTION("""COMPUTED_VALUE"""),"IN")</f>
        <v>IN</v>
      </c>
      <c r="X1192" s="211"/>
      <c r="Z1192" s="211" t="str">
        <f>IFERROR(__xludf.DUMMYFUNCTION("""COMPUTED_VALUE"""),"02250262")</f>
        <v>02250262</v>
      </c>
      <c r="AL1192" s="211"/>
      <c r="AM1192" s="211"/>
      <c r="AN1192" s="211"/>
      <c r="AO1192" s="211"/>
      <c r="AP1192" s="215"/>
      <c r="AQ1192" s="218"/>
      <c r="AR1192" s="211"/>
    </row>
    <row r="1193">
      <c r="A1193" s="210" t="str">
        <f>IFERROR(__xludf.DUMMYFUNCTION("""COMPUTED_VALUE"""),"06250501")</f>
        <v>06250501</v>
      </c>
      <c r="B1193" s="210" t="str">
        <f>IFERROR(__xludf.DUMMYFUNCTION("""COMPUTED_VALUE"""),"06250501")</f>
        <v>06250501</v>
      </c>
      <c r="C1193" s="213">
        <f>IFERROR(__xludf.DUMMYFUNCTION("""COMPUTED_VALUE"""),45818.35972222222)</f>
        <v>45818.35972</v>
      </c>
      <c r="D1193" s="211" t="str">
        <f>IFERROR(__xludf.DUMMYFUNCTION("""COMPUTED_VALUE"""),"3fec37df")</f>
        <v>3fec37df</v>
      </c>
      <c r="E1193" s="211" t="str">
        <f>IFERROR(__xludf.DUMMYFUNCTION("""COMPUTED_VALUE"""),"PT Jatim Abadi Perkasa Steel")</f>
        <v>PT Jatim Abadi Perkasa Steel</v>
      </c>
      <c r="F1193" s="211" t="str">
        <f>IFERROR(__xludf.DUMMYFUNCTION("""COMPUTED_VALUE"""),"b7a8fff1")</f>
        <v>b7a8fff1</v>
      </c>
      <c r="G1193" s="211" t="str">
        <f>IFERROR(__xludf.DUMMYFUNCTION("""COMPUTED_VALUE"""),"LPG 50kg")</f>
        <v>LPG 50kg</v>
      </c>
      <c r="H1193" s="214" t="str">
        <f>IFERROR(__xludf.DUMMYFUNCTION("""COMPUTED_VALUE"""),"OUT")</f>
        <v>OUT</v>
      </c>
      <c r="I1193" s="214" t="str">
        <f>IFERROR(__xludf.DUMMYFUNCTION("""COMPUTED_VALUE"""),"NORMAL")</f>
        <v>NORMAL</v>
      </c>
      <c r="J1193" s="211">
        <f>IFERROR(__xludf.DUMMYFUNCTION("""COMPUTED_VALUE"""),5.0)</f>
        <v>5</v>
      </c>
      <c r="K1193" s="211"/>
      <c r="L1193" s="211">
        <f>IFERROR(__xludf.DUMMYFUNCTION("""COMPUTED_VALUE"""),909909.9099)</f>
        <v>909909.9099</v>
      </c>
      <c r="M1193" s="211"/>
      <c r="N1193" s="211"/>
      <c r="O1193" s="211"/>
      <c r="Q1193" s="210" t="str">
        <f>IFERROR(__xludf.DUMMYFUNCTION("""COMPUTED_VALUE"""),"1250540")</f>
        <v>1250540</v>
      </c>
      <c r="R1193" s="210" t="str">
        <f>IFERROR(__xludf.DUMMYFUNCTION("""COMPUTED_VALUE"""),"1250540")</f>
        <v>1250540</v>
      </c>
      <c r="S1193" s="211" t="str">
        <f>IFERROR(__xludf.DUMMYFUNCTION("""COMPUTED_VALUE"""),"785e0e07")</f>
        <v>785e0e07</v>
      </c>
      <c r="T1193" s="211" t="str">
        <f>IFERROR(__xludf.DUMMYFUNCTION("""COMPUTED_VALUE"""),"Bpk. Sukirno (Bejo)")</f>
        <v>Bpk. Sukirno (Bejo)</v>
      </c>
      <c r="U1193" s="215">
        <f>IFERROR(__xludf.DUMMYFUNCTION("""COMPUTED_VALUE"""),45898.61517361111)</f>
        <v>45898.61517</v>
      </c>
      <c r="V1193" s="211" t="str">
        <f>IFERROR(__xludf.DUMMYFUNCTION("""COMPUTED_VALUE"""),"Krajan I, Wringinanom, Kec. Wringinanom, Kabupaten Gresik, Jawa Timur 61176")</f>
        <v>Krajan I, Wringinanom, Kec. Wringinanom, Kabupaten Gresik, Jawa Timur 61176</v>
      </c>
      <c r="W1193" s="211" t="str">
        <f>IFERROR(__xludf.DUMMYFUNCTION("""COMPUTED_VALUE"""),"IN")</f>
        <v>IN</v>
      </c>
      <c r="X1193" s="211"/>
      <c r="Z1193" s="211" t="str">
        <f>IFERROR(__xludf.DUMMYFUNCTION("""COMPUTED_VALUE"""),"02250261")</f>
        <v>02250261</v>
      </c>
      <c r="AL1193" s="211"/>
      <c r="AM1193" s="211"/>
      <c r="AN1193" s="211"/>
      <c r="AO1193" s="211"/>
      <c r="AP1193" s="215"/>
      <c r="AQ1193" s="218"/>
      <c r="AR1193" s="211"/>
    </row>
    <row r="1194">
      <c r="A1194" s="210" t="str">
        <f>IFERROR(__xludf.DUMMYFUNCTION("""COMPUTED_VALUE"""),"6a1dfde4")</f>
        <v>6a1dfde4</v>
      </c>
      <c r="B1194" s="210" t="str">
        <f>IFERROR(__xludf.DUMMYFUNCTION("""COMPUTED_VALUE"""),"6a1dfde4")</f>
        <v>6a1dfde4</v>
      </c>
      <c r="C1194" s="213">
        <f>IFERROR(__xludf.DUMMYFUNCTION("""COMPUTED_VALUE"""),45818.71527777778)</f>
        <v>45818.71528</v>
      </c>
      <c r="D1194" s="211" t="str">
        <f>IFERROR(__xludf.DUMMYFUNCTION("""COMPUTED_VALUE"""),"3fec37df")</f>
        <v>3fec37df</v>
      </c>
      <c r="E1194" s="211" t="str">
        <f>IFERROR(__xludf.DUMMYFUNCTION("""COMPUTED_VALUE"""),"PT Jatim Abadi Perkasa Steel")</f>
        <v>PT Jatim Abadi Perkasa Steel</v>
      </c>
      <c r="F1194" s="211" t="str">
        <f>IFERROR(__xludf.DUMMYFUNCTION("""COMPUTED_VALUE"""),"ef306e54")</f>
        <v>ef306e54</v>
      </c>
      <c r="G1194" s="211" t="str">
        <f>IFERROR(__xludf.DUMMYFUNCTION("""COMPUTED_VALUE"""),"Karbondioksida")</f>
        <v>Karbondioksida</v>
      </c>
      <c r="H1194" s="214" t="str">
        <f>IFERROR(__xludf.DUMMYFUNCTION("""COMPUTED_VALUE"""),"IN")</f>
        <v>IN</v>
      </c>
      <c r="I1194" s="214" t="str">
        <f>IFERROR(__xludf.DUMMYFUNCTION("""COMPUTED_VALUE"""),"EMPTY")</f>
        <v>EMPTY</v>
      </c>
      <c r="J1194" s="211">
        <f>IFERROR(__xludf.DUMMYFUNCTION("""COMPUTED_VALUE"""),4.0)</f>
        <v>4</v>
      </c>
      <c r="K1194" s="210" t="str">
        <f>IFERROR(__xludf.DUMMYFUNCTION("""COMPUTED_VALUE"""),"13010 13013 13014 13006")</f>
        <v>13010 13013 13014 13006</v>
      </c>
      <c r="L1194" s="211">
        <f>IFERROR(__xludf.DUMMYFUNCTION("""COMPUTED_VALUE"""),0.0)</f>
        <v>0</v>
      </c>
      <c r="M1194" s="211"/>
      <c r="N1194" s="211"/>
      <c r="O1194" s="211"/>
      <c r="Q1194" s="210" t="str">
        <f>IFERROR(__xludf.DUMMYFUNCTION("""COMPUTED_VALUE"""),"0825441191")</f>
        <v>0825441191</v>
      </c>
      <c r="R1194" s="210" t="str">
        <f>IFERROR(__xludf.DUMMYFUNCTION("""COMPUTED_VALUE"""),"0825441191")</f>
        <v>0825441191</v>
      </c>
      <c r="S1194" s="211" t="str">
        <f>IFERROR(__xludf.DUMMYFUNCTION("""COMPUTED_VALUE"""),"e86baf3b")</f>
        <v>e86baf3b</v>
      </c>
      <c r="T1194" s="211" t="str">
        <f>IFERROR(__xludf.DUMMYFUNCTION("""COMPUTED_VALUE"""),"PT GEMILANG CIPTA WAWASAN")</f>
        <v>PT GEMILANG CIPTA WAWASAN</v>
      </c>
      <c r="U1194" s="215">
        <f>IFERROR(__xludf.DUMMYFUNCTION("""COMPUTED_VALUE"""),45899.409525462965)</f>
        <v>45899.40953</v>
      </c>
      <c r="V1194" s="211" t="str">
        <f>IFERROR(__xludf.DUMMYFUNCTION("""COMPUTED_VALUE"""),"JL TEBET RAYA, 2A, TEBET BARAT, TEBET, KOTA ADM, JAKARTA SELATAN, DKI JAKARTA")</f>
        <v>JL TEBET RAYA, 2A, TEBET BARAT, TEBET, KOTA ADM, JAKARTA SELATAN, DKI JAKARTA</v>
      </c>
      <c r="W1194" s="211" t="str">
        <f>IFERROR(__xludf.DUMMYFUNCTION("""COMPUTED_VALUE"""),"OUT")</f>
        <v>OUT</v>
      </c>
      <c r="X1194" s="211"/>
      <c r="Z1194" s="211" t="str">
        <f>IFERROR(__xludf.DUMMYFUNCTION("""COMPUTED_VALUE"""),"02250260")</f>
        <v>02250260</v>
      </c>
      <c r="AL1194" s="211"/>
      <c r="AM1194" s="211"/>
      <c r="AN1194" s="211"/>
      <c r="AO1194" s="211"/>
      <c r="AP1194" s="215"/>
      <c r="AQ1194" s="218"/>
      <c r="AR1194" s="211"/>
    </row>
    <row r="1195">
      <c r="A1195" s="210" t="str">
        <f>IFERROR(__xludf.DUMMYFUNCTION("""COMPUTED_VALUE"""),"6a1dfde4")</f>
        <v>6a1dfde4</v>
      </c>
      <c r="B1195" s="210" t="str">
        <f>IFERROR(__xludf.DUMMYFUNCTION("""COMPUTED_VALUE"""),"6a1dfde4")</f>
        <v>6a1dfde4</v>
      </c>
      <c r="C1195" s="213">
        <f>IFERROR(__xludf.DUMMYFUNCTION("""COMPUTED_VALUE"""),45818.71666666667)</f>
        <v>45818.71667</v>
      </c>
      <c r="D1195" s="211" t="str">
        <f>IFERROR(__xludf.DUMMYFUNCTION("""COMPUTED_VALUE"""),"3fec37df")</f>
        <v>3fec37df</v>
      </c>
      <c r="E1195" s="211" t="str">
        <f>IFERROR(__xludf.DUMMYFUNCTION("""COMPUTED_VALUE"""),"PT Jatim Abadi Perkasa Steel")</f>
        <v>PT Jatim Abadi Perkasa Steel</v>
      </c>
      <c r="F1195" s="211" t="str">
        <f>IFERROR(__xludf.DUMMYFUNCTION("""COMPUTED_VALUE"""),"ef306e54")</f>
        <v>ef306e54</v>
      </c>
      <c r="G1195" s="211" t="str">
        <f>IFERROR(__xludf.DUMMYFUNCTION("""COMPUTED_VALUE"""),"Karbondioksida")</f>
        <v>Karbondioksida</v>
      </c>
      <c r="H1195" s="214" t="str">
        <f>IFERROR(__xludf.DUMMYFUNCTION("""COMPUTED_VALUE"""),"IN")</f>
        <v>IN</v>
      </c>
      <c r="I1195" s="214" t="str">
        <f>IFERROR(__xludf.DUMMYFUNCTION("""COMPUTED_VALUE"""),"CLAIM")</f>
        <v>CLAIM</v>
      </c>
      <c r="J1195" s="211">
        <f>IFERROR(__xludf.DUMMYFUNCTION("""COMPUTED_VALUE"""),2.0)</f>
        <v>2</v>
      </c>
      <c r="K1195" s="210" t="str">
        <f>IFERROR(__xludf.DUMMYFUNCTION("""COMPUTED_VALUE"""),"13011 13012")</f>
        <v>13011 13012</v>
      </c>
      <c r="L1195" s="211">
        <f>IFERROR(__xludf.DUMMYFUNCTION("""COMPUTED_VALUE"""),0.0)</f>
        <v>0</v>
      </c>
      <c r="M1195" s="211"/>
      <c r="N1195" s="211"/>
      <c r="O1195" s="211"/>
      <c r="Q1195" s="210" t="str">
        <f>IFERROR(__xludf.DUMMYFUNCTION("""COMPUTED_VALUE"""),"1250542")</f>
        <v>1250542</v>
      </c>
      <c r="R1195" s="210" t="str">
        <f>IFERROR(__xludf.DUMMYFUNCTION("""COMPUTED_VALUE"""),"1250542")</f>
        <v>1250542</v>
      </c>
      <c r="S1195" s="211" t="str">
        <f>IFERROR(__xludf.DUMMYFUNCTION("""COMPUTED_VALUE"""),"e76bc39c")</f>
        <v>e76bc39c</v>
      </c>
      <c r="T1195" s="211" t="str">
        <f>IFERROR(__xludf.DUMMYFUNCTION("""COMPUTED_VALUE"""),"Bpk. Irul")</f>
        <v>Bpk. Irul</v>
      </c>
      <c r="U1195" s="215">
        <f>IFERROR(__xludf.DUMMYFUNCTION("""COMPUTED_VALUE"""),45899.530694444446)</f>
        <v>45899.53069</v>
      </c>
      <c r="V1195" s="211" t="str">
        <f>IFERROR(__xludf.DUMMYFUNCTION("""COMPUTED_VALUE"""),"Jl. Mayjen Bambang Yuwono, Ciro Kulon, Bakungtemenggungan, Kec. BalongBendo, Kabupaten Sidoarjo, Jawa Timur 61263")</f>
        <v>Jl. Mayjen Bambang Yuwono, Ciro Kulon, Bakungtemenggungan, Kec. BalongBendo, Kabupaten Sidoarjo, Jawa Timur 61263</v>
      </c>
      <c r="W1195" s="211" t="str">
        <f>IFERROR(__xludf.DUMMYFUNCTION("""COMPUTED_VALUE"""),"IN")</f>
        <v>IN</v>
      </c>
      <c r="X1195" s="211"/>
      <c r="Z1195" s="211" t="str">
        <f>IFERROR(__xludf.DUMMYFUNCTION("""COMPUTED_VALUE"""),"02250258")</f>
        <v>02250258</v>
      </c>
      <c r="AL1195" s="211"/>
      <c r="AM1195" s="211"/>
      <c r="AN1195" s="211"/>
      <c r="AO1195" s="211"/>
      <c r="AP1195" s="215"/>
      <c r="AQ1195" s="218"/>
      <c r="AR1195" s="211"/>
    </row>
    <row r="1196">
      <c r="A1196" s="210" t="str">
        <f>IFERROR(__xludf.DUMMYFUNCTION("""COMPUTED_VALUE"""),"6a1dfde4")</f>
        <v>6a1dfde4</v>
      </c>
      <c r="B1196" s="210" t="str">
        <f>IFERROR(__xludf.DUMMYFUNCTION("""COMPUTED_VALUE"""),"6a1dfde4")</f>
        <v>6a1dfde4</v>
      </c>
      <c r="C1196" s="213">
        <f>IFERROR(__xludf.DUMMYFUNCTION("""COMPUTED_VALUE"""),45818.71666666667)</f>
        <v>45818.71667</v>
      </c>
      <c r="D1196" s="211" t="str">
        <f>IFERROR(__xludf.DUMMYFUNCTION("""COMPUTED_VALUE"""),"3fec37df")</f>
        <v>3fec37df</v>
      </c>
      <c r="E1196" s="211" t="str">
        <f>IFERROR(__xludf.DUMMYFUNCTION("""COMPUTED_VALUE"""),"PT Jatim Abadi Perkasa Steel")</f>
        <v>PT Jatim Abadi Perkasa Steel</v>
      </c>
      <c r="F1196" s="211" t="str">
        <f>IFERROR(__xludf.DUMMYFUNCTION("""COMPUTED_VALUE"""),"b7a8fff1")</f>
        <v>b7a8fff1</v>
      </c>
      <c r="G1196" s="211" t="str">
        <f>IFERROR(__xludf.DUMMYFUNCTION("""COMPUTED_VALUE"""),"LPG 50kg")</f>
        <v>LPG 50kg</v>
      </c>
      <c r="H1196" s="214" t="str">
        <f>IFERROR(__xludf.DUMMYFUNCTION("""COMPUTED_VALUE"""),"IN")</f>
        <v>IN</v>
      </c>
      <c r="I1196" s="214" t="str">
        <f>IFERROR(__xludf.DUMMYFUNCTION("""COMPUTED_VALUE"""),"EMPTY")</f>
        <v>EMPTY</v>
      </c>
      <c r="J1196" s="211">
        <f>IFERROR(__xludf.DUMMYFUNCTION("""COMPUTED_VALUE"""),5.0)</f>
        <v>5</v>
      </c>
      <c r="K1196" s="211"/>
      <c r="L1196" s="211">
        <f>IFERROR(__xludf.DUMMYFUNCTION("""COMPUTED_VALUE"""),0.0)</f>
        <v>0</v>
      </c>
      <c r="M1196" s="211"/>
      <c r="N1196" s="211"/>
      <c r="O1196" s="211"/>
      <c r="Q1196" s="210" t="str">
        <f>IFERROR(__xludf.DUMMYFUNCTION("""COMPUTED_VALUE"""),"1250543")</f>
        <v>1250543</v>
      </c>
      <c r="R1196" s="210" t="str">
        <f>IFERROR(__xludf.DUMMYFUNCTION("""COMPUTED_VALUE"""),"1250543")</f>
        <v>1250543</v>
      </c>
      <c r="S1196" s="211" t="str">
        <f>IFERROR(__xludf.DUMMYFUNCTION("""COMPUTED_VALUE"""),"ce83e171")</f>
        <v>ce83e171</v>
      </c>
      <c r="T1196" s="211" t="str">
        <f>IFERROR(__xludf.DUMMYFUNCTION("""COMPUTED_VALUE"""),"Bpk. Sulaiman")</f>
        <v>Bpk. Sulaiman</v>
      </c>
      <c r="U1196" s="215">
        <f>IFERROR(__xludf.DUMMYFUNCTION("""COMPUTED_VALUE"""),45899.531805555554)</f>
        <v>45899.53181</v>
      </c>
      <c r="V1196" s="211" t="str">
        <f>IFERROR(__xludf.DUMMYFUNCTION("""COMPUTED_VALUE"""),"Jl. Raya Kramat Temenggung No.43, Kramat, Kramat Temenggung, Kec. Tarik, Kabupaten Sidoarjo, Jawa Timur 61265")</f>
        <v>Jl. Raya Kramat Temenggung No.43, Kramat, Kramat Temenggung, Kec. Tarik, Kabupaten Sidoarjo, Jawa Timur 61265</v>
      </c>
      <c r="W1196" s="211" t="str">
        <f>IFERROR(__xludf.DUMMYFUNCTION("""COMPUTED_VALUE"""),"IN")</f>
        <v>IN</v>
      </c>
      <c r="X1196" s="211"/>
      <c r="Z1196" s="211" t="str">
        <f>IFERROR(__xludf.DUMMYFUNCTION("""COMPUTED_VALUE"""),"02250257")</f>
        <v>02250257</v>
      </c>
      <c r="AL1196" s="211"/>
      <c r="AM1196" s="211"/>
      <c r="AN1196" s="211"/>
      <c r="AO1196" s="211"/>
      <c r="AP1196" s="215"/>
      <c r="AQ1196" s="218"/>
      <c r="AR1196" s="211"/>
    </row>
    <row r="1197">
      <c r="A1197" s="210" t="str">
        <f>IFERROR(__xludf.DUMMYFUNCTION("""COMPUTED_VALUE"""),"06250502")</f>
        <v>06250502</v>
      </c>
      <c r="B1197" s="210" t="str">
        <f>IFERROR(__xludf.DUMMYFUNCTION("""COMPUTED_VALUE"""),"06250502")</f>
        <v>06250502</v>
      </c>
      <c r="C1197" s="213">
        <f>IFERROR(__xludf.DUMMYFUNCTION("""COMPUTED_VALUE"""),45819.540972222225)</f>
        <v>45819.54097</v>
      </c>
      <c r="D1197" s="211" t="str">
        <f>IFERROR(__xludf.DUMMYFUNCTION("""COMPUTED_VALUE"""),"d78b2eaf")</f>
        <v>d78b2eaf</v>
      </c>
      <c r="E1197" s="211" t="str">
        <f>IFERROR(__xludf.DUMMYFUNCTION("""COMPUTED_VALUE"""),"PT Sinar Indogreen Kencana")</f>
        <v>PT Sinar Indogreen Kencana</v>
      </c>
      <c r="F1197" s="211" t="str">
        <f>IFERROR(__xludf.DUMMYFUNCTION("""COMPUTED_VALUE"""),"be525f3b")</f>
        <v>be525f3b</v>
      </c>
      <c r="G1197" s="211" t="str">
        <f>IFERROR(__xludf.DUMMYFUNCTION("""COMPUTED_VALUE"""),"LPG 12kg")</f>
        <v>LPG 12kg</v>
      </c>
      <c r="H1197" s="214" t="str">
        <f>IFERROR(__xludf.DUMMYFUNCTION("""COMPUTED_VALUE"""),"OUT")</f>
        <v>OUT</v>
      </c>
      <c r="I1197" s="214" t="str">
        <f>IFERROR(__xludf.DUMMYFUNCTION("""COMPUTED_VALUE"""),"NORMAL")</f>
        <v>NORMAL</v>
      </c>
      <c r="J1197" s="211">
        <f>IFERROR(__xludf.DUMMYFUNCTION("""COMPUTED_VALUE"""),1.0)</f>
        <v>1</v>
      </c>
      <c r="K1197" s="211"/>
      <c r="L1197" s="211">
        <f>IFERROR(__xludf.DUMMYFUNCTION("""COMPUTED_VALUE"""),189189.19)</f>
        <v>189189.19</v>
      </c>
      <c r="M1197" s="211"/>
      <c r="N1197" s="211"/>
      <c r="O1197" s="211"/>
      <c r="Q1197" s="210" t="str">
        <f>IFERROR(__xludf.DUMMYFUNCTION("""COMPUTED_VALUE"""),"1250544")</f>
        <v>1250544</v>
      </c>
      <c r="R1197" s="210" t="str">
        <f>IFERROR(__xludf.DUMMYFUNCTION("""COMPUTED_VALUE"""),"1250544")</f>
        <v>1250544</v>
      </c>
      <c r="S1197" s="211" t="str">
        <f>IFERROR(__xludf.DUMMYFUNCTION("""COMPUTED_VALUE"""),"609d620d")</f>
        <v>609d620d</v>
      </c>
      <c r="T1197" s="211" t="str">
        <f>IFERROR(__xludf.DUMMYFUNCTION("""COMPUTED_VALUE"""),"PT Pandu Mulia Bersama")</f>
        <v>PT Pandu Mulia Bersama</v>
      </c>
      <c r="U1197" s="215">
        <f>IFERROR(__xludf.DUMMYFUNCTION("""COMPUTED_VALUE"""),45899.5328125)</f>
        <v>45899.53281</v>
      </c>
      <c r="V1197" s="211" t="str">
        <f>IFERROR(__xludf.DUMMYFUNCTION("""COMPUTED_VALUE"""),"Jl. Songgat RT 12 RW 05, Kec. Tarik, Sidoarjo, Jawa Timur")</f>
        <v>Jl. Songgat RT 12 RW 05, Kec. Tarik, Sidoarjo, Jawa Timur</v>
      </c>
      <c r="W1197" s="211" t="str">
        <f>IFERROR(__xludf.DUMMYFUNCTION("""COMPUTED_VALUE"""),"IN")</f>
        <v>IN</v>
      </c>
      <c r="X1197" s="211"/>
      <c r="Z1197" s="211" t="str">
        <f>IFERROR(__xludf.DUMMYFUNCTION("""COMPUTED_VALUE"""),"02250256")</f>
        <v>02250256</v>
      </c>
      <c r="AL1197" s="211"/>
      <c r="AM1197" s="211"/>
      <c r="AN1197" s="211"/>
      <c r="AO1197" s="211"/>
      <c r="AP1197" s="215"/>
      <c r="AQ1197" s="218"/>
      <c r="AR1197" s="211"/>
    </row>
    <row r="1198">
      <c r="A1198" s="210" t="str">
        <f>IFERROR(__xludf.DUMMYFUNCTION("""COMPUTED_VALUE"""),"da48b68f")</f>
        <v>da48b68f</v>
      </c>
      <c r="B1198" s="210" t="str">
        <f>IFERROR(__xludf.DUMMYFUNCTION("""COMPUTED_VALUE"""),"da48b68f")</f>
        <v>da48b68f</v>
      </c>
      <c r="C1198" s="213">
        <f>IFERROR(__xludf.DUMMYFUNCTION("""COMPUTED_VALUE"""),45819.60763888889)</f>
        <v>45819.60764</v>
      </c>
      <c r="D1198" s="211" t="str">
        <f>IFERROR(__xludf.DUMMYFUNCTION("""COMPUTED_VALUE"""),"d78b2eaf")</f>
        <v>d78b2eaf</v>
      </c>
      <c r="E1198" s="211" t="str">
        <f>IFERROR(__xludf.DUMMYFUNCTION("""COMPUTED_VALUE"""),"PT Sinar Indogreen Kencana")</f>
        <v>PT Sinar Indogreen Kencana</v>
      </c>
      <c r="F1198" s="211" t="str">
        <f>IFERROR(__xludf.DUMMYFUNCTION("""COMPUTED_VALUE"""),"be525f3b")</f>
        <v>be525f3b</v>
      </c>
      <c r="G1198" s="211" t="str">
        <f>IFERROR(__xludf.DUMMYFUNCTION("""COMPUTED_VALUE"""),"LPG 12kg")</f>
        <v>LPG 12kg</v>
      </c>
      <c r="H1198" s="214" t="str">
        <f>IFERROR(__xludf.DUMMYFUNCTION("""COMPUTED_VALUE"""),"IN")</f>
        <v>IN</v>
      </c>
      <c r="I1198" s="214" t="str">
        <f>IFERROR(__xludf.DUMMYFUNCTION("""COMPUTED_VALUE"""),"EMPTY")</f>
        <v>EMPTY</v>
      </c>
      <c r="J1198" s="211">
        <f>IFERROR(__xludf.DUMMYFUNCTION("""COMPUTED_VALUE"""),1.0)</f>
        <v>1</v>
      </c>
      <c r="K1198" s="211"/>
      <c r="L1198" s="211">
        <f>IFERROR(__xludf.DUMMYFUNCTION("""COMPUTED_VALUE"""),0.0)</f>
        <v>0</v>
      </c>
      <c r="M1198" s="211"/>
      <c r="N1198" s="211"/>
      <c r="O1198" s="211"/>
      <c r="Q1198" s="210" t="str">
        <f>IFERROR(__xludf.DUMMYFUNCTION("""COMPUTED_VALUE"""),"1250545")</f>
        <v>1250545</v>
      </c>
      <c r="R1198" s="210" t="str">
        <f>IFERROR(__xludf.DUMMYFUNCTION("""COMPUTED_VALUE"""),"1250545")</f>
        <v>1250545</v>
      </c>
      <c r="S1198" s="211" t="str">
        <f>IFERROR(__xludf.DUMMYFUNCTION("""COMPUTED_VALUE"""),"1bf27092")</f>
        <v>1bf27092</v>
      </c>
      <c r="T1198" s="211" t="str">
        <f>IFERROR(__xludf.DUMMYFUNCTION("""COMPUTED_VALUE"""),"Bpk. Ari Budiarto")</f>
        <v>Bpk. Ari Budiarto</v>
      </c>
      <c r="U1198" s="215">
        <f>IFERROR(__xludf.DUMMYFUNCTION("""COMPUTED_VALUE"""),45899.533472222225)</f>
        <v>45899.53347</v>
      </c>
      <c r="V1198" s="211" t="str">
        <f>IFERROR(__xludf.DUMMYFUNCTION("""COMPUTED_VALUE"""),"Jl. Raya Balongbendo 232, Bakalan, Bakalan Wringinpitu, Kec. BalongBendo, Kabupaten Sidoarjo, Jawa Timur 61263")</f>
        <v>Jl. Raya Balongbendo 232, Bakalan, Bakalan Wringinpitu, Kec. BalongBendo, Kabupaten Sidoarjo, Jawa Timur 61263</v>
      </c>
      <c r="W1198" s="211" t="str">
        <f>IFERROR(__xludf.DUMMYFUNCTION("""COMPUTED_VALUE"""),"IN")</f>
        <v>IN</v>
      </c>
      <c r="X1198" s="211"/>
      <c r="Z1198" s="211" t="str">
        <f>IFERROR(__xludf.DUMMYFUNCTION("""COMPUTED_VALUE"""),"02250254")</f>
        <v>02250254</v>
      </c>
      <c r="AL1198" s="211"/>
      <c r="AM1198" s="211"/>
      <c r="AN1198" s="211"/>
      <c r="AO1198" s="211"/>
      <c r="AP1198" s="215"/>
      <c r="AQ1198" s="218"/>
      <c r="AR1198" s="211"/>
    </row>
    <row r="1199">
      <c r="A1199" s="210" t="str">
        <f>IFERROR(__xludf.DUMMYFUNCTION("""COMPUTED_VALUE"""),"435e9bac")</f>
        <v>435e9bac</v>
      </c>
      <c r="B1199" s="210" t="str">
        <f>IFERROR(__xludf.DUMMYFUNCTION("""COMPUTED_VALUE"""),"435e9bac")</f>
        <v>435e9bac</v>
      </c>
      <c r="C1199" s="213">
        <f>IFERROR(__xludf.DUMMYFUNCTION("""COMPUTED_VALUE"""),45819.60763888889)</f>
        <v>45819.60764</v>
      </c>
      <c r="D1199" s="211" t="str">
        <f>IFERROR(__xludf.DUMMYFUNCTION("""COMPUTED_VALUE"""),"103f3ae7")</f>
        <v>103f3ae7</v>
      </c>
      <c r="E1199" s="211" t="str">
        <f>IFERROR(__xludf.DUMMYFUNCTION("""COMPUTED_VALUE"""),"PT ARYANA CAKASANA")</f>
        <v>PT ARYANA CAKASANA</v>
      </c>
      <c r="F1199" s="211" t="str">
        <f>IFERROR(__xludf.DUMMYFUNCTION("""COMPUTED_VALUE"""),"8bdbe149")</f>
        <v>8bdbe149</v>
      </c>
      <c r="G1199" s="211" t="str">
        <f>IFERROR(__xludf.DUMMYFUNCTION("""COMPUTED_VALUE"""),"Oksigen 6m3")</f>
        <v>Oksigen 6m3</v>
      </c>
      <c r="H1199" s="214" t="str">
        <f>IFERROR(__xludf.DUMMYFUNCTION("""COMPUTED_VALUE"""),"IN")</f>
        <v>IN</v>
      </c>
      <c r="I1199" s="214" t="str">
        <f>IFERROR(__xludf.DUMMYFUNCTION("""COMPUTED_VALUE"""),"EMPTY")</f>
        <v>EMPTY</v>
      </c>
      <c r="J1199" s="211">
        <f>IFERROR(__xludf.DUMMYFUNCTION("""COMPUTED_VALUE"""),9.0)</f>
        <v>9</v>
      </c>
      <c r="K1199" s="210" t="str">
        <f>IFERROR(__xludf.DUMMYFUNCTION("""COMPUTED_VALUE"""),"1186 1136 1170 1101 1138 1194 1153 1134 1105")</f>
        <v>1186 1136 1170 1101 1138 1194 1153 1134 1105</v>
      </c>
      <c r="L1199" s="211">
        <f>IFERROR(__xludf.DUMMYFUNCTION("""COMPUTED_VALUE"""),0.0)</f>
        <v>0</v>
      </c>
      <c r="M1199" s="211"/>
      <c r="N1199" s="211"/>
      <c r="O1199" s="211"/>
      <c r="Q1199" s="210" t="str">
        <f>IFERROR(__xludf.DUMMYFUNCTION("""COMPUTED_VALUE"""),"0825101195")</f>
        <v>0825101195</v>
      </c>
      <c r="R1199" s="210" t="str">
        <f>IFERROR(__xludf.DUMMYFUNCTION("""COMPUTED_VALUE"""),"0825101195")</f>
        <v>0825101195</v>
      </c>
      <c r="S1199" s="211" t="str">
        <f>IFERROR(__xludf.DUMMYFUNCTION("""COMPUTED_VALUE"""),"1bf27092")</f>
        <v>1bf27092</v>
      </c>
      <c r="T1199" s="211" t="str">
        <f>IFERROR(__xludf.DUMMYFUNCTION("""COMPUTED_VALUE"""),"Bpk. Ari Budiarto")</f>
        <v>Bpk. Ari Budiarto</v>
      </c>
      <c r="U1199" s="215">
        <f>IFERROR(__xludf.DUMMYFUNCTION("""COMPUTED_VALUE"""),45899.602175925924)</f>
        <v>45899.60218</v>
      </c>
      <c r="V1199" s="211" t="str">
        <f>IFERROR(__xludf.DUMMYFUNCTION("""COMPUTED_VALUE"""),"Jl. Raya Balongbendo 232, Bakalan, Bakalan Wringinpitu, Kec. BalongBendo, Kabupaten Sidoarjo, Jawa Timur 61263")</f>
        <v>Jl. Raya Balongbendo 232, Bakalan, Bakalan Wringinpitu, Kec. BalongBendo, Kabupaten Sidoarjo, Jawa Timur 61263</v>
      </c>
      <c r="W1199" s="211" t="str">
        <f>IFERROR(__xludf.DUMMYFUNCTION("""COMPUTED_VALUE"""),"OUT")</f>
        <v>OUT</v>
      </c>
      <c r="X1199" s="211"/>
      <c r="Z1199" s="211" t="str">
        <f>IFERROR(__xludf.DUMMYFUNCTION("""COMPUTED_VALUE"""),"02250253")</f>
        <v>02250253</v>
      </c>
      <c r="AL1199" s="211"/>
      <c r="AM1199" s="211"/>
      <c r="AN1199" s="211"/>
      <c r="AO1199" s="211"/>
      <c r="AP1199" s="215"/>
      <c r="AQ1199" s="218"/>
      <c r="AR1199" s="211"/>
    </row>
    <row r="1200">
      <c r="A1200" s="210" t="str">
        <f>IFERROR(__xludf.DUMMYFUNCTION("""COMPUTED_VALUE"""),"06250503")</f>
        <v>06250503</v>
      </c>
      <c r="B1200" s="210" t="str">
        <f>IFERROR(__xludf.DUMMYFUNCTION("""COMPUTED_VALUE"""),"06250503")</f>
        <v>06250503</v>
      </c>
      <c r="C1200" s="213">
        <f>IFERROR(__xludf.DUMMYFUNCTION("""COMPUTED_VALUE"""),45820.365277777775)</f>
        <v>45820.36528</v>
      </c>
      <c r="D1200" s="211" t="str">
        <f>IFERROR(__xludf.DUMMYFUNCTION("""COMPUTED_VALUE"""),"ed2cc96a")</f>
        <v>ed2cc96a</v>
      </c>
      <c r="E1200" s="211" t="str">
        <f>IFERROR(__xludf.DUMMYFUNCTION("""COMPUTED_VALUE"""),"Bengkel Dian Jaya")</f>
        <v>Bengkel Dian Jaya</v>
      </c>
      <c r="F1200" s="211" t="str">
        <f>IFERROR(__xludf.DUMMYFUNCTION("""COMPUTED_VALUE"""),"8bdbe149")</f>
        <v>8bdbe149</v>
      </c>
      <c r="G1200" s="211" t="str">
        <f>IFERROR(__xludf.DUMMYFUNCTION("""COMPUTED_VALUE"""),"Oksigen 6m3")</f>
        <v>Oksigen 6m3</v>
      </c>
      <c r="H1200" s="214" t="str">
        <f>IFERROR(__xludf.DUMMYFUNCTION("""COMPUTED_VALUE"""),"OUT")</f>
        <v>OUT</v>
      </c>
      <c r="I1200" s="214" t="str">
        <f>IFERROR(__xludf.DUMMYFUNCTION("""COMPUTED_VALUE"""),"NORMAL")</f>
        <v>NORMAL</v>
      </c>
      <c r="J1200" s="211">
        <f>IFERROR(__xludf.DUMMYFUNCTION("""COMPUTED_VALUE"""),10.0)</f>
        <v>10</v>
      </c>
      <c r="K1200" s="210" t="str">
        <f>IFERROR(__xludf.DUMMYFUNCTION("""COMPUTED_VALUE"""),"11132 11209 11236 1146 1147 11110 1135 1116 11114 11106")</f>
        <v>11132 11209 11236 1146 1147 11110 1135 1116 11114 11106</v>
      </c>
      <c r="L1200" s="211">
        <f>IFERROR(__xludf.DUMMYFUNCTION("""COMPUTED_VALUE"""),50000.0)</f>
        <v>50000</v>
      </c>
      <c r="M1200" s="211"/>
      <c r="N1200" s="211"/>
      <c r="O1200" s="211"/>
      <c r="Q1200" s="210" t="str">
        <f>IFERROR(__xludf.DUMMYFUNCTION("""COMPUTED_VALUE"""),"082511200")</f>
        <v>082511200</v>
      </c>
      <c r="R1200" s="210" t="str">
        <f>IFERROR(__xludf.DUMMYFUNCTION("""COMPUTED_VALUE"""),"082511200")</f>
        <v>082511200</v>
      </c>
      <c r="S1200" s="211" t="str">
        <f>IFERROR(__xludf.DUMMYFUNCTION("""COMPUTED_VALUE"""),"56828503")</f>
        <v>56828503</v>
      </c>
      <c r="T1200" s="211" t="str">
        <f>IFERROR(__xludf.DUMMYFUNCTION("""COMPUTED_VALUE"""),"Bpk. Widodo (Wringinanom)")</f>
        <v>Bpk. Widodo (Wringinanom)</v>
      </c>
      <c r="U1200" s="215">
        <f>IFERROR(__xludf.DUMMYFUNCTION("""COMPUTED_VALUE"""),45899.64346064815)</f>
        <v>45899.64346</v>
      </c>
      <c r="V1200" s="211" t="str">
        <f>IFERROR(__xludf.DUMMYFUNCTION("""COMPUTED_VALUE"""),"JG4H+3J Area Sawah/Kebun, Lebaniwaras, Kec. Wringinanom, Kabupaten Gresik, Jawa Timur, Indonesia")</f>
        <v>JG4H+3J Area Sawah/Kebun, Lebaniwaras, Kec. Wringinanom, Kabupaten Gresik, Jawa Timur, Indonesia</v>
      </c>
      <c r="W1200" s="211" t="str">
        <f>IFERROR(__xludf.DUMMYFUNCTION("""COMPUTED_VALUE"""),"OUT")</f>
        <v>OUT</v>
      </c>
      <c r="X1200" s="211"/>
      <c r="Z1200" s="211" t="str">
        <f>IFERROR(__xludf.DUMMYFUNCTION("""COMPUTED_VALUE"""),"02250252")</f>
        <v>02250252</v>
      </c>
      <c r="AL1200" s="211"/>
      <c r="AM1200" s="211"/>
      <c r="AN1200" s="211"/>
      <c r="AO1200" s="211"/>
      <c r="AP1200" s="215"/>
      <c r="AQ1200" s="218"/>
      <c r="AR1200" s="211"/>
    </row>
    <row r="1201">
      <c r="A1201" s="210" t="str">
        <f>IFERROR(__xludf.DUMMYFUNCTION("""COMPUTED_VALUE"""),"06250504")</f>
        <v>06250504</v>
      </c>
      <c r="B1201" s="210" t="str">
        <f>IFERROR(__xludf.DUMMYFUNCTION("""COMPUTED_VALUE"""),"06250504")</f>
        <v>06250504</v>
      </c>
      <c r="C1201" s="213">
        <f>IFERROR(__xludf.DUMMYFUNCTION("""COMPUTED_VALUE"""),45820.419444444444)</f>
        <v>45820.41944</v>
      </c>
      <c r="D1201" s="211" t="str">
        <f>IFERROR(__xludf.DUMMYFUNCTION("""COMPUTED_VALUE"""),"785e0e07")</f>
        <v>785e0e07</v>
      </c>
      <c r="E1201" s="211" t="str">
        <f>IFERROR(__xludf.DUMMYFUNCTION("""COMPUTED_VALUE"""),"Bpk. Sukirno (Bejo)")</f>
        <v>Bpk. Sukirno (Bejo)</v>
      </c>
      <c r="F1201" s="211" t="str">
        <f>IFERROR(__xludf.DUMMYFUNCTION("""COMPUTED_VALUE"""),"8bdbe149")</f>
        <v>8bdbe149</v>
      </c>
      <c r="G1201" s="211" t="str">
        <f>IFERROR(__xludf.DUMMYFUNCTION("""COMPUTED_VALUE"""),"Oksigen 6m3")</f>
        <v>Oksigen 6m3</v>
      </c>
      <c r="H1201" s="214" t="str">
        <f>IFERROR(__xludf.DUMMYFUNCTION("""COMPUTED_VALUE"""),"OUT")</f>
        <v>OUT</v>
      </c>
      <c r="I1201" s="214" t="str">
        <f>IFERROR(__xludf.DUMMYFUNCTION("""COMPUTED_VALUE"""),"NORMAL")</f>
        <v>NORMAL</v>
      </c>
      <c r="J1201" s="211">
        <f>IFERROR(__xludf.DUMMYFUNCTION("""COMPUTED_VALUE"""),10.0)</f>
        <v>10</v>
      </c>
      <c r="K1201" s="210" t="str">
        <f>IFERROR(__xludf.DUMMYFUNCTION("""COMPUTED_VALUE"""),"11210 11126 11119 11257 11191 1120 11183 11133 1144 1199")</f>
        <v>11210 11126 11119 11257 11191 1120 11183 11133 1144 1199</v>
      </c>
      <c r="L1201" s="211">
        <f>IFERROR(__xludf.DUMMYFUNCTION("""COMPUTED_VALUE"""),60000.0)</f>
        <v>60000</v>
      </c>
      <c r="M1201" s="211"/>
      <c r="N1201" s="211"/>
      <c r="O1201" s="211"/>
      <c r="Q1201" s="210" t="str">
        <f>IFERROR(__xludf.DUMMYFUNCTION("""COMPUTED_VALUE"""),"0925101201")</f>
        <v>0925101201</v>
      </c>
      <c r="R1201" s="210" t="str">
        <f>IFERROR(__xludf.DUMMYFUNCTION("""COMPUTED_VALUE"""),"0925101201")</f>
        <v>0925101201</v>
      </c>
      <c r="S1201" s="211" t="str">
        <f>IFERROR(__xludf.DUMMYFUNCTION("""COMPUTED_VALUE"""),"b218b89b")</f>
        <v>b218b89b</v>
      </c>
      <c r="T1201" s="211" t="str">
        <f>IFERROR(__xludf.DUMMYFUNCTION("""COMPUTED_VALUE"""),"PT Harapan Sentosa")</f>
        <v>PT Harapan Sentosa</v>
      </c>
      <c r="U1201" s="215">
        <f>IFERROR(__xludf.DUMMYFUNCTION("""COMPUTED_VALUE"""),45901.3503125)</f>
        <v>45901.35031</v>
      </c>
      <c r="V1201" s="211" t="str">
        <f>IFERROR(__xludf.DUMMYFUNCTION("""COMPUTED_VALUE"""),"Seketi, Jl. Purboyo II Selatan, RT.02/RW.02, Seketi, Kec. BalongBendo, Kabupaten Sidoarjo, Jawa Timur 61263")</f>
        <v>Seketi, Jl. Purboyo II Selatan, RT.02/RW.02, Seketi, Kec. BalongBendo, Kabupaten Sidoarjo, Jawa Timur 61263</v>
      </c>
      <c r="W1201" s="211" t="str">
        <f>IFERROR(__xludf.DUMMYFUNCTION("""COMPUTED_VALUE"""),"OUT")</f>
        <v>OUT</v>
      </c>
      <c r="X1201" s="211"/>
      <c r="Z1201" s="211" t="str">
        <f>IFERROR(__xludf.DUMMYFUNCTION("""COMPUTED_VALUE"""),"02250251")</f>
        <v>02250251</v>
      </c>
      <c r="AL1201" s="211"/>
      <c r="AM1201" s="211"/>
      <c r="AN1201" s="211"/>
      <c r="AO1201" s="211"/>
      <c r="AP1201" s="215"/>
      <c r="AQ1201" s="218"/>
      <c r="AR1201" s="211"/>
    </row>
    <row r="1202">
      <c r="A1202" s="210" t="str">
        <f>IFERROR(__xludf.DUMMYFUNCTION("""COMPUTED_VALUE"""),"cd306d30")</f>
        <v>cd306d30</v>
      </c>
      <c r="B1202" s="210" t="str">
        <f>IFERROR(__xludf.DUMMYFUNCTION("""COMPUTED_VALUE"""),"cd306d30")</f>
        <v>cd306d30</v>
      </c>
      <c r="C1202" s="213">
        <f>IFERROR(__xludf.DUMMYFUNCTION("""COMPUTED_VALUE"""),45820.81319444445)</f>
        <v>45820.81319</v>
      </c>
      <c r="D1202" s="211" t="str">
        <f>IFERROR(__xludf.DUMMYFUNCTION("""COMPUTED_VALUE"""),"785e0e07")</f>
        <v>785e0e07</v>
      </c>
      <c r="E1202" s="211" t="str">
        <f>IFERROR(__xludf.DUMMYFUNCTION("""COMPUTED_VALUE"""),"Bpk. Sukirno (Bejo)")</f>
        <v>Bpk. Sukirno (Bejo)</v>
      </c>
      <c r="F1202" s="211" t="str">
        <f>IFERROR(__xludf.DUMMYFUNCTION("""COMPUTED_VALUE"""),"8bdbe149")</f>
        <v>8bdbe149</v>
      </c>
      <c r="G1202" s="211" t="str">
        <f>IFERROR(__xludf.DUMMYFUNCTION("""COMPUTED_VALUE"""),"Oksigen 6m3")</f>
        <v>Oksigen 6m3</v>
      </c>
      <c r="H1202" s="214" t="str">
        <f>IFERROR(__xludf.DUMMYFUNCTION("""COMPUTED_VALUE"""),"IN")</f>
        <v>IN</v>
      </c>
      <c r="I1202" s="214" t="str">
        <f>IFERROR(__xludf.DUMMYFUNCTION("""COMPUTED_VALUE"""),"EMPTY")</f>
        <v>EMPTY</v>
      </c>
      <c r="J1202" s="211">
        <f>IFERROR(__xludf.DUMMYFUNCTION("""COMPUTED_VALUE"""),3.0)</f>
        <v>3</v>
      </c>
      <c r="K1202" s="210" t="str">
        <f>IFERROR(__xludf.DUMMYFUNCTION("""COMPUTED_VALUE"""),"76 11212 11289")</f>
        <v>76 11212 11289</v>
      </c>
      <c r="L1202" s="211">
        <f>IFERROR(__xludf.DUMMYFUNCTION("""COMPUTED_VALUE"""),0.0)</f>
        <v>0</v>
      </c>
      <c r="M1202" s="211"/>
      <c r="N1202" s="211"/>
      <c r="O1202" s="211"/>
      <c r="Q1202" s="210" t="str">
        <f>IFERROR(__xludf.DUMMYFUNCTION("""COMPUTED_VALUE"""),"4092521157")</f>
        <v>4092521157</v>
      </c>
      <c r="R1202" s="210" t="str">
        <f>IFERROR(__xludf.DUMMYFUNCTION("""COMPUTED_VALUE"""),"4092521157")</f>
        <v>4092521157</v>
      </c>
      <c r="S1202" s="211" t="str">
        <f>IFERROR(__xludf.DUMMYFUNCTION("""COMPUTED_VALUE"""),"b218b89b")</f>
        <v>b218b89b</v>
      </c>
      <c r="T1202" s="211" t="str">
        <f>IFERROR(__xludf.DUMMYFUNCTION("""COMPUTED_VALUE"""),"PT Harapan Sentosa")</f>
        <v>PT Harapan Sentosa</v>
      </c>
      <c r="U1202" s="215">
        <f>IFERROR(__xludf.DUMMYFUNCTION("""COMPUTED_VALUE"""),45901.35319444445)</f>
        <v>45901.35319</v>
      </c>
      <c r="V1202" s="211" t="str">
        <f>IFERROR(__xludf.DUMMYFUNCTION("""COMPUTED_VALUE"""),"Seketi, Jl. Purboyo II Selatan, RT.02/RW.02, Seketi, Kec. BalongBendo, Kabupaten Sidoarjo, Jawa Timur 61263")</f>
        <v>Seketi, Jl. Purboyo II Selatan, RT.02/RW.02, Seketi, Kec. BalongBendo, Kabupaten Sidoarjo, Jawa Timur 61263</v>
      </c>
      <c r="W1202" s="211" t="str">
        <f>IFERROR(__xludf.DUMMYFUNCTION("""COMPUTED_VALUE"""),"OTHER")</f>
        <v>OTHER</v>
      </c>
      <c r="X1202" s="211"/>
      <c r="Z1202" s="211" t="str">
        <f>IFERROR(__xludf.DUMMYFUNCTION("""COMPUTED_VALUE"""),"02250249")</f>
        <v>02250249</v>
      </c>
      <c r="AL1202" s="211"/>
      <c r="AM1202" s="211"/>
      <c r="AN1202" s="211"/>
      <c r="AO1202" s="211"/>
      <c r="AP1202" s="215"/>
      <c r="AQ1202" s="218"/>
      <c r="AR1202" s="211"/>
    </row>
    <row r="1203">
      <c r="A1203" s="210" t="str">
        <f>IFERROR(__xludf.DUMMYFUNCTION("""COMPUTED_VALUE"""),"b8d22ccc")</f>
        <v>b8d22ccc</v>
      </c>
      <c r="B1203" s="210" t="str">
        <f>IFERROR(__xludf.DUMMYFUNCTION("""COMPUTED_VALUE"""),"b8d22ccc")</f>
        <v>b8d22ccc</v>
      </c>
      <c r="C1203" s="213">
        <f>IFERROR(__xludf.DUMMYFUNCTION("""COMPUTED_VALUE"""),45820.813888888886)</f>
        <v>45820.81389</v>
      </c>
      <c r="D1203" s="211" t="str">
        <f>IFERROR(__xludf.DUMMYFUNCTION("""COMPUTED_VALUE"""),"ed2cc96a")</f>
        <v>ed2cc96a</v>
      </c>
      <c r="E1203" s="211" t="str">
        <f>IFERROR(__xludf.DUMMYFUNCTION("""COMPUTED_VALUE"""),"Bengkel Dian Jaya")</f>
        <v>Bengkel Dian Jaya</v>
      </c>
      <c r="F1203" s="211" t="str">
        <f>IFERROR(__xludf.DUMMYFUNCTION("""COMPUTED_VALUE"""),"8bdbe149")</f>
        <v>8bdbe149</v>
      </c>
      <c r="G1203" s="211" t="str">
        <f>IFERROR(__xludf.DUMMYFUNCTION("""COMPUTED_VALUE"""),"Oksigen 6m3")</f>
        <v>Oksigen 6m3</v>
      </c>
      <c r="H1203" s="214" t="str">
        <f>IFERROR(__xludf.DUMMYFUNCTION("""COMPUTED_VALUE"""),"IN")</f>
        <v>IN</v>
      </c>
      <c r="I1203" s="214" t="str">
        <f>IFERROR(__xludf.DUMMYFUNCTION("""COMPUTED_VALUE"""),"EMPTY")</f>
        <v>EMPTY</v>
      </c>
      <c r="J1203" s="211">
        <f>IFERROR(__xludf.DUMMYFUNCTION("""COMPUTED_VALUE"""),9.0)</f>
        <v>9</v>
      </c>
      <c r="K1203" s="210" t="str">
        <f>IFERROR(__xludf.DUMMYFUNCTION("""COMPUTED_VALUE"""),"1139 11196 1195 11101 11203 1192 11122 1189 1118")</f>
        <v>1139 11196 1195 11101 11203 1192 11122 1189 1118</v>
      </c>
      <c r="L1203" s="211">
        <f>IFERROR(__xludf.DUMMYFUNCTION("""COMPUTED_VALUE"""),0.0)</f>
        <v>0</v>
      </c>
      <c r="M1203" s="211"/>
      <c r="N1203" s="211"/>
      <c r="O1203" s="211"/>
      <c r="Q1203" s="210" t="str">
        <f>IFERROR(__xludf.DUMMYFUNCTION("""COMPUTED_VALUE"""),"092591202")</f>
        <v>092591202</v>
      </c>
      <c r="R1203" s="210" t="str">
        <f>IFERROR(__xludf.DUMMYFUNCTION("""COMPUTED_VALUE"""),"092591202")</f>
        <v>092591202</v>
      </c>
      <c r="S1203" s="211" t="str">
        <f>IFERROR(__xludf.DUMMYFUNCTION("""COMPUTED_VALUE"""),"ed2cc96a")</f>
        <v>ed2cc96a</v>
      </c>
      <c r="T1203" s="211" t="str">
        <f>IFERROR(__xludf.DUMMYFUNCTION("""COMPUTED_VALUE"""),"Bengkel Dian Jaya")</f>
        <v>Bengkel Dian Jaya</v>
      </c>
      <c r="U1203" s="215">
        <f>IFERROR(__xludf.DUMMYFUNCTION("""COMPUTED_VALUE"""),45901.361284722225)</f>
        <v>45901.36128</v>
      </c>
      <c r="V1203" s="211" t="str">
        <f>IFERROR(__xludf.DUMMYFUNCTION("""COMPUTED_VALUE"""),"Gg. 2, Kejagan, Kec. Trowulan, Kabupaten Mojokerto, Jawa Timur 61362")</f>
        <v>Gg. 2, Kejagan, Kec. Trowulan, Kabupaten Mojokerto, Jawa Timur 61362</v>
      </c>
      <c r="W1203" s="211" t="str">
        <f>IFERROR(__xludf.DUMMYFUNCTION("""COMPUTED_VALUE"""),"OUT")</f>
        <v>OUT</v>
      </c>
      <c r="X1203" s="211"/>
      <c r="Z1203" s="211" t="str">
        <f>IFERROR(__xludf.DUMMYFUNCTION("""COMPUTED_VALUE"""),"02250248")</f>
        <v>02250248</v>
      </c>
      <c r="AL1203" s="211"/>
      <c r="AM1203" s="211"/>
      <c r="AN1203" s="211"/>
      <c r="AO1203" s="211"/>
      <c r="AP1203" s="215"/>
      <c r="AQ1203" s="218"/>
      <c r="AR1203" s="211"/>
    </row>
    <row r="1204">
      <c r="A1204" s="210" t="str">
        <f>IFERROR(__xludf.DUMMYFUNCTION("""COMPUTED_VALUE"""),"b8d22ccc")</f>
        <v>b8d22ccc</v>
      </c>
      <c r="B1204" s="210" t="str">
        <f>IFERROR(__xludf.DUMMYFUNCTION("""COMPUTED_VALUE"""),"b8d22ccc")</f>
        <v>b8d22ccc</v>
      </c>
      <c r="C1204" s="213">
        <f>IFERROR(__xludf.DUMMYFUNCTION("""COMPUTED_VALUE"""),45820.813888888886)</f>
        <v>45820.81389</v>
      </c>
      <c r="D1204" s="211" t="str">
        <f>IFERROR(__xludf.DUMMYFUNCTION("""COMPUTED_VALUE"""),"ed2cc96a")</f>
        <v>ed2cc96a</v>
      </c>
      <c r="E1204" s="211" t="str">
        <f>IFERROR(__xludf.DUMMYFUNCTION("""COMPUTED_VALUE"""),"Bengkel Dian Jaya")</f>
        <v>Bengkel Dian Jaya</v>
      </c>
      <c r="F1204" s="211" t="str">
        <f>IFERROR(__xludf.DUMMYFUNCTION("""COMPUTED_VALUE"""),"be525f3b")</f>
        <v>be525f3b</v>
      </c>
      <c r="G1204" s="211" t="str">
        <f>IFERROR(__xludf.DUMMYFUNCTION("""COMPUTED_VALUE"""),"LPG 12kg")</f>
        <v>LPG 12kg</v>
      </c>
      <c r="H1204" s="214" t="str">
        <f>IFERROR(__xludf.DUMMYFUNCTION("""COMPUTED_VALUE"""),"IN")</f>
        <v>IN</v>
      </c>
      <c r="I1204" s="214" t="str">
        <f>IFERROR(__xludf.DUMMYFUNCTION("""COMPUTED_VALUE"""),"EMPTY")</f>
        <v>EMPTY</v>
      </c>
      <c r="J1204" s="211">
        <f>IFERROR(__xludf.DUMMYFUNCTION("""COMPUTED_VALUE"""),1.0)</f>
        <v>1</v>
      </c>
      <c r="K1204" s="211"/>
      <c r="L1204" s="211">
        <f>IFERROR(__xludf.DUMMYFUNCTION("""COMPUTED_VALUE"""),0.0)</f>
        <v>0</v>
      </c>
      <c r="M1204" s="211"/>
      <c r="N1204" s="211"/>
      <c r="O1204" s="211"/>
      <c r="Q1204" s="210" t="str">
        <f>IFERROR(__xludf.DUMMYFUNCTION("""COMPUTED_VALUE"""),"092511204")</f>
        <v>092511204</v>
      </c>
      <c r="R1204" s="210" t="str">
        <f>IFERROR(__xludf.DUMMYFUNCTION("""COMPUTED_VALUE"""),"092511204")</f>
        <v>092511204</v>
      </c>
      <c r="S1204" s="211" t="str">
        <f>IFERROR(__xludf.DUMMYFUNCTION("""COMPUTED_VALUE"""),"e3268699")</f>
        <v>e3268699</v>
      </c>
      <c r="T1204" s="211" t="str">
        <f>IFERROR(__xludf.DUMMYFUNCTION("""COMPUTED_VALUE"""),"Bpk Jainul")</f>
        <v>Bpk Jainul</v>
      </c>
      <c r="U1204" s="215">
        <f>IFERROR(__xludf.DUMMYFUNCTION("""COMPUTED_VALUE"""),45901.36375)</f>
        <v>45901.36375</v>
      </c>
      <c r="V1204" s="211" t="str">
        <f>IFERROR(__xludf.DUMMYFUNCTION("""COMPUTED_VALUE"""),"JL.Morowudi, Ikerikergeger, Kabupaten Gresik, Jawa Timur")</f>
        <v>JL.Morowudi, Ikerikergeger, Kabupaten Gresik, Jawa Timur</v>
      </c>
      <c r="W1204" s="211" t="str">
        <f>IFERROR(__xludf.DUMMYFUNCTION("""COMPUTED_VALUE"""),"OUT")</f>
        <v>OUT</v>
      </c>
      <c r="X1204" s="211"/>
      <c r="Z1204" s="211" t="str">
        <f>IFERROR(__xludf.DUMMYFUNCTION("""COMPUTED_VALUE"""),"02250247")</f>
        <v>02250247</v>
      </c>
      <c r="AL1204" s="211"/>
      <c r="AM1204" s="211"/>
      <c r="AN1204" s="211"/>
      <c r="AO1204" s="211"/>
      <c r="AP1204" s="215"/>
      <c r="AQ1204" s="218"/>
      <c r="AR1204" s="211"/>
    </row>
    <row r="1205">
      <c r="A1205" s="210" t="str">
        <f>IFERROR(__xludf.DUMMYFUNCTION("""COMPUTED_VALUE"""),"06250505")</f>
        <v>06250505</v>
      </c>
      <c r="B1205" s="210" t="str">
        <f>IFERROR(__xludf.DUMMYFUNCTION("""COMPUTED_VALUE"""),"06250505")</f>
        <v>06250505</v>
      </c>
      <c r="C1205" s="213">
        <f>IFERROR(__xludf.DUMMYFUNCTION("""COMPUTED_VALUE"""),45821.350694444445)</f>
        <v>45821.35069</v>
      </c>
      <c r="D1205" s="211" t="str">
        <f>IFERROR(__xludf.DUMMYFUNCTION("""COMPUTED_VALUE"""),"1bf27092")</f>
        <v>1bf27092</v>
      </c>
      <c r="E1205" s="211" t="str">
        <f>IFERROR(__xludf.DUMMYFUNCTION("""COMPUTED_VALUE"""),"Bpk. Ari Budiarto")</f>
        <v>Bpk. Ari Budiarto</v>
      </c>
      <c r="F1205" s="211" t="str">
        <f>IFERROR(__xludf.DUMMYFUNCTION("""COMPUTED_VALUE"""),"66af7c72")</f>
        <v>66af7c72</v>
      </c>
      <c r="G1205" s="211" t="str">
        <f>IFERROR(__xludf.DUMMYFUNCTION("""COMPUTED_VALUE"""),"Argon 6m3")</f>
        <v>Argon 6m3</v>
      </c>
      <c r="H1205" s="214" t="str">
        <f>IFERROR(__xludf.DUMMYFUNCTION("""COMPUTED_VALUE"""),"OUT")</f>
        <v>OUT</v>
      </c>
      <c r="I1205" s="214" t="str">
        <f>IFERROR(__xludf.DUMMYFUNCTION("""COMPUTED_VALUE"""),"NORMAL")</f>
        <v>NORMAL</v>
      </c>
      <c r="J1205" s="211">
        <f>IFERROR(__xludf.DUMMYFUNCTION("""COMPUTED_VALUE"""),1.0)</f>
        <v>1</v>
      </c>
      <c r="K1205" s="210" t="str">
        <f>IFERROR(__xludf.DUMMYFUNCTION("""COMPUTED_VALUE"""),"12019")</f>
        <v>12019</v>
      </c>
      <c r="L1205" s="211">
        <f>IFERROR(__xludf.DUMMYFUNCTION("""COMPUTED_VALUE"""),200000.0)</f>
        <v>200000</v>
      </c>
      <c r="M1205" s="211"/>
      <c r="N1205" s="211"/>
      <c r="O1205" s="211"/>
      <c r="Q1205" s="210" t="str">
        <f>IFERROR(__xludf.DUMMYFUNCTION("""COMPUTED_VALUE"""),"0925261205")</f>
        <v>0925261205</v>
      </c>
      <c r="R1205" s="210" t="str">
        <f>IFERROR(__xludf.DUMMYFUNCTION("""COMPUTED_VALUE"""),"0925261205")</f>
        <v>0925261205</v>
      </c>
      <c r="S1205" s="211" t="str">
        <f>IFERROR(__xludf.DUMMYFUNCTION("""COMPUTED_VALUE"""),"ce83e171")</f>
        <v>ce83e171</v>
      </c>
      <c r="T1205" s="211" t="str">
        <f>IFERROR(__xludf.DUMMYFUNCTION("""COMPUTED_VALUE"""),"Bpk. Sulaiman")</f>
        <v>Bpk. Sulaiman</v>
      </c>
      <c r="U1205" s="215">
        <f>IFERROR(__xludf.DUMMYFUNCTION("""COMPUTED_VALUE"""),45901.44354166667)</f>
        <v>45901.44354</v>
      </c>
      <c r="V1205" s="211" t="str">
        <f>IFERROR(__xludf.DUMMYFUNCTION("""COMPUTED_VALUE"""),"Jl. Raya Kramat Temenggung No.43, Kramat, Kramat Temenggung, Kec. Tarik, Kabupaten Sidoarjo, Jawa Timur 61265")</f>
        <v>Jl. Raya Kramat Temenggung No.43, Kramat, Kramat Temenggung, Kec. Tarik, Kabupaten Sidoarjo, Jawa Timur 61265</v>
      </c>
      <c r="W1205" s="211" t="str">
        <f>IFERROR(__xludf.DUMMYFUNCTION("""COMPUTED_VALUE"""),"OUT")</f>
        <v>OUT</v>
      </c>
      <c r="X1205" s="211"/>
      <c r="Z1205" s="211" t="str">
        <f>IFERROR(__xludf.DUMMYFUNCTION("""COMPUTED_VALUE"""),"02250246")</f>
        <v>02250246</v>
      </c>
      <c r="AL1205" s="211"/>
      <c r="AM1205" s="211"/>
      <c r="AN1205" s="211"/>
      <c r="AO1205" s="211"/>
      <c r="AP1205" s="215"/>
      <c r="AQ1205" s="218"/>
      <c r="AR1205" s="211"/>
    </row>
    <row r="1206">
      <c r="A1206" s="210" t="str">
        <f>IFERROR(__xludf.DUMMYFUNCTION("""COMPUTED_VALUE"""),"e88ec3e4")</f>
        <v>e88ec3e4</v>
      </c>
      <c r="B1206" s="210" t="str">
        <f>IFERROR(__xludf.DUMMYFUNCTION("""COMPUTED_VALUE"""),"e88ec3e4")</f>
        <v>e88ec3e4</v>
      </c>
      <c r="C1206" s="213">
        <f>IFERROR(__xludf.DUMMYFUNCTION("""COMPUTED_VALUE"""),45821.48541666667)</f>
        <v>45821.48542</v>
      </c>
      <c r="D1206" s="211" t="str">
        <f>IFERROR(__xludf.DUMMYFUNCTION("""COMPUTED_VALUE"""),"1bf27092")</f>
        <v>1bf27092</v>
      </c>
      <c r="E1206" s="211" t="str">
        <f>IFERROR(__xludf.DUMMYFUNCTION("""COMPUTED_VALUE"""),"Bpk. Ari Budiarto")</f>
        <v>Bpk. Ari Budiarto</v>
      </c>
      <c r="F1206" s="211" t="str">
        <f>IFERROR(__xludf.DUMMYFUNCTION("""COMPUTED_VALUE"""),"66af7c72")</f>
        <v>66af7c72</v>
      </c>
      <c r="G1206" s="211" t="str">
        <f>IFERROR(__xludf.DUMMYFUNCTION("""COMPUTED_VALUE"""),"Argon 6m3")</f>
        <v>Argon 6m3</v>
      </c>
      <c r="H1206" s="214" t="str">
        <f>IFERROR(__xludf.DUMMYFUNCTION("""COMPUTED_VALUE"""),"IN")</f>
        <v>IN</v>
      </c>
      <c r="I1206" s="214" t="str">
        <f>IFERROR(__xludf.DUMMYFUNCTION("""COMPUTED_VALUE"""),"EMPTY")</f>
        <v>EMPTY</v>
      </c>
      <c r="J1206" s="211">
        <f>IFERROR(__xludf.DUMMYFUNCTION("""COMPUTED_VALUE"""),1.0)</f>
        <v>1</v>
      </c>
      <c r="K1206" s="210" t="str">
        <f>IFERROR(__xludf.DUMMYFUNCTION("""COMPUTED_VALUE"""),"12003")</f>
        <v>12003</v>
      </c>
      <c r="L1206" s="211">
        <f>IFERROR(__xludf.DUMMYFUNCTION("""COMPUTED_VALUE"""),0.0)</f>
        <v>0</v>
      </c>
      <c r="M1206" s="211"/>
      <c r="N1206" s="211"/>
      <c r="O1206" s="211"/>
      <c r="Q1206" s="210" t="str">
        <f>IFERROR(__xludf.DUMMYFUNCTION("""COMPUTED_VALUE"""),"1250546")</f>
        <v>1250546</v>
      </c>
      <c r="R1206" s="210" t="str">
        <f>IFERROR(__xludf.DUMMYFUNCTION("""COMPUTED_VALUE"""),"1250546")</f>
        <v>1250546</v>
      </c>
      <c r="S1206" s="211" t="str">
        <f>IFERROR(__xludf.DUMMYFUNCTION("""COMPUTED_VALUE"""),"b218b89b")</f>
        <v>b218b89b</v>
      </c>
      <c r="T1206" s="211" t="str">
        <f>IFERROR(__xludf.DUMMYFUNCTION("""COMPUTED_VALUE"""),"PT Harapan Sentosa")</f>
        <v>PT Harapan Sentosa</v>
      </c>
      <c r="U1206" s="215">
        <f>IFERROR(__xludf.DUMMYFUNCTION("""COMPUTED_VALUE"""),45901.44537037037)</f>
        <v>45901.44537</v>
      </c>
      <c r="V1206" s="211" t="str">
        <f>IFERROR(__xludf.DUMMYFUNCTION("""COMPUTED_VALUE"""),"Seketi, Jl. Purboyo II Selatan, RT.02/RW.02, Seketi, Kec. BalongBendo, Kabupaten Sidoarjo, Jawa Timur 61263")</f>
        <v>Seketi, Jl. Purboyo II Selatan, RT.02/RW.02, Seketi, Kec. BalongBendo, Kabupaten Sidoarjo, Jawa Timur 61263</v>
      </c>
      <c r="W1206" s="211" t="str">
        <f>IFERROR(__xludf.DUMMYFUNCTION("""COMPUTED_VALUE"""),"IN")</f>
        <v>IN</v>
      </c>
      <c r="X1206" s="211"/>
      <c r="Z1206" s="211" t="str">
        <f>IFERROR(__xludf.DUMMYFUNCTION("""COMPUTED_VALUE"""),"02250245")</f>
        <v>02250245</v>
      </c>
      <c r="AL1206" s="211"/>
      <c r="AM1206" s="211"/>
      <c r="AN1206" s="211"/>
      <c r="AO1206" s="211"/>
      <c r="AP1206" s="215"/>
      <c r="AQ1206" s="218"/>
      <c r="AR1206" s="211"/>
    </row>
    <row r="1207">
      <c r="A1207" s="210" t="str">
        <f>IFERROR(__xludf.DUMMYFUNCTION("""COMPUTED_VALUE"""),"06250506")</f>
        <v>06250506</v>
      </c>
      <c r="B1207" s="210" t="str">
        <f>IFERROR(__xludf.DUMMYFUNCTION("""COMPUTED_VALUE"""),"06250506")</f>
        <v>06250506</v>
      </c>
      <c r="C1207" s="213">
        <f>IFERROR(__xludf.DUMMYFUNCTION("""COMPUTED_VALUE"""),45821.61319444444)</f>
        <v>45821.61319</v>
      </c>
      <c r="D1207" s="211" t="str">
        <f>IFERROR(__xludf.DUMMYFUNCTION("""COMPUTED_VALUE"""),"4bef3bbf")</f>
        <v>4bef3bbf</v>
      </c>
      <c r="E1207" s="211" t="str">
        <f>IFERROR(__xludf.DUMMYFUNCTION("""COMPUTED_VALUE"""),"PT Dingsheng Metal Indonesia (Ngoro)")</f>
        <v>PT Dingsheng Metal Indonesia (Ngoro)</v>
      </c>
      <c r="F1207" s="211" t="str">
        <f>IFERROR(__xludf.DUMMYFUNCTION("""COMPUTED_VALUE"""),"8bdbe149")</f>
        <v>8bdbe149</v>
      </c>
      <c r="G1207" s="211" t="str">
        <f>IFERROR(__xludf.DUMMYFUNCTION("""COMPUTED_VALUE"""),"Oksigen 6m3")</f>
        <v>Oksigen 6m3</v>
      </c>
      <c r="H1207" s="214" t="str">
        <f>IFERROR(__xludf.DUMMYFUNCTION("""COMPUTED_VALUE"""),"OUT")</f>
        <v>OUT</v>
      </c>
      <c r="I1207" s="214" t="str">
        <f>IFERROR(__xludf.DUMMYFUNCTION("""COMPUTED_VALUE"""),"NORMAL")</f>
        <v>NORMAL</v>
      </c>
      <c r="J1207" s="211">
        <f>IFERROR(__xludf.DUMMYFUNCTION("""COMPUTED_VALUE"""),10.0)</f>
        <v>10</v>
      </c>
      <c r="K1207" s="210" t="str">
        <f>IFERROR(__xludf.DUMMYFUNCTION("""COMPUTED_VALUE"""),"11270 1188 11261 11253 1123 11185 1133 1102 1128 11103")</f>
        <v>11270 1188 11261 11253 1123 11185 1133 1102 1128 11103</v>
      </c>
      <c r="L1207" s="211">
        <f>IFERROR(__xludf.DUMMYFUNCTION("""COMPUTED_VALUE"""),45045.045)</f>
        <v>45045.045</v>
      </c>
      <c r="M1207" s="211"/>
      <c r="N1207" s="211"/>
      <c r="O1207" s="211"/>
      <c r="Q1207" s="210" t="str">
        <f>IFERROR(__xludf.DUMMYFUNCTION("""COMPUTED_VALUE"""),"1250553")</f>
        <v>1250553</v>
      </c>
      <c r="R1207" s="210" t="str">
        <f>IFERROR(__xludf.DUMMYFUNCTION("""COMPUTED_VALUE"""),"1250553")</f>
        <v>1250553</v>
      </c>
      <c r="S1207" s="211" t="str">
        <f>IFERROR(__xludf.DUMMYFUNCTION("""COMPUTED_VALUE"""),"182fb0fe")</f>
        <v>182fb0fe</v>
      </c>
      <c r="T1207" s="211" t="str">
        <f>IFERROR(__xludf.DUMMYFUNCTION("""COMPUTED_VALUE"""),"PT Amtech")</f>
        <v>PT Amtech</v>
      </c>
      <c r="U1207" s="215">
        <f>IFERROR(__xludf.DUMMYFUNCTION("""COMPUTED_VALUE"""),45901.46844907408)</f>
        <v>45901.46845</v>
      </c>
      <c r="V1207" s="211" t="str">
        <f>IFERROR(__xludf.DUMMYFUNCTION("""COMPUTED_VALUE"""),"Jl. Morowudi, Ikerikergeger, Kabupaten Gresik, Jawa Timur")</f>
        <v>Jl. Morowudi, Ikerikergeger, Kabupaten Gresik, Jawa Timur</v>
      </c>
      <c r="W1207" s="211" t="str">
        <f>IFERROR(__xludf.DUMMYFUNCTION("""COMPUTED_VALUE"""),"IN")</f>
        <v>IN</v>
      </c>
      <c r="X1207" s="211"/>
      <c r="Z1207" s="211" t="str">
        <f>IFERROR(__xludf.DUMMYFUNCTION("""COMPUTED_VALUE"""),"02250243")</f>
        <v>02250243</v>
      </c>
      <c r="AL1207" s="211"/>
      <c r="AM1207" s="211"/>
      <c r="AN1207" s="211"/>
      <c r="AO1207" s="211"/>
      <c r="AP1207" s="215"/>
      <c r="AQ1207" s="218"/>
      <c r="AR1207" s="211"/>
    </row>
    <row r="1208">
      <c r="A1208" s="210" t="str">
        <f>IFERROR(__xludf.DUMMYFUNCTION("""COMPUTED_VALUE"""),"06250507")</f>
        <v>06250507</v>
      </c>
      <c r="B1208" s="210" t="str">
        <f>IFERROR(__xludf.DUMMYFUNCTION("""COMPUTED_VALUE"""),"06250507")</f>
        <v>06250507</v>
      </c>
      <c r="C1208" s="213">
        <f>IFERROR(__xludf.DUMMYFUNCTION("""COMPUTED_VALUE"""),45821.652083333334)</f>
        <v>45821.65208</v>
      </c>
      <c r="D1208" s="211" t="str">
        <f>IFERROR(__xludf.DUMMYFUNCTION("""COMPUTED_VALUE"""),"8f5ebaea")</f>
        <v>8f5ebaea</v>
      </c>
      <c r="E1208" s="211" t="str">
        <f>IFERROR(__xludf.DUMMYFUNCTION("""COMPUTED_VALUE"""),"PT Hua Zong Mesindo")</f>
        <v>PT Hua Zong Mesindo</v>
      </c>
      <c r="F1208" s="211" t="str">
        <f>IFERROR(__xludf.DUMMYFUNCTION("""COMPUTED_VALUE"""),"ef306e54")</f>
        <v>ef306e54</v>
      </c>
      <c r="G1208" s="211" t="str">
        <f>IFERROR(__xludf.DUMMYFUNCTION("""COMPUTED_VALUE"""),"Karbondioksida")</f>
        <v>Karbondioksida</v>
      </c>
      <c r="H1208" s="214" t="str">
        <f>IFERROR(__xludf.DUMMYFUNCTION("""COMPUTED_VALUE"""),"OUT")</f>
        <v>OUT</v>
      </c>
      <c r="I1208" s="214" t="str">
        <f>IFERROR(__xludf.DUMMYFUNCTION("""COMPUTED_VALUE"""),"NORMAL")</f>
        <v>NORMAL</v>
      </c>
      <c r="J1208" s="211">
        <f>IFERROR(__xludf.DUMMYFUNCTION("""COMPUTED_VALUE"""),7.0)</f>
        <v>7</v>
      </c>
      <c r="K1208" s="210" t="str">
        <f>IFERROR(__xludf.DUMMYFUNCTION("""COMPUTED_VALUE"""),"13020 13012 13011 13014 13005 13004 13023")</f>
        <v>13020 13012 13011 13014 13005 13004 13023</v>
      </c>
      <c r="L1208" s="211">
        <f>IFERROR(__xludf.DUMMYFUNCTION("""COMPUTED_VALUE"""),160000.0)</f>
        <v>160000</v>
      </c>
      <c r="M1208" s="211"/>
      <c r="N1208" s="211"/>
      <c r="O1208" s="211"/>
      <c r="Q1208" s="210" t="str">
        <f>IFERROR(__xludf.DUMMYFUNCTION("""COMPUTED_VALUE"""),"1250547")</f>
        <v>1250547</v>
      </c>
      <c r="R1208" s="210" t="str">
        <f>IFERROR(__xludf.DUMMYFUNCTION("""COMPUTED_VALUE"""),"1250547")</f>
        <v>1250547</v>
      </c>
      <c r="S1208" s="211" t="str">
        <f>IFERROR(__xludf.DUMMYFUNCTION("""COMPUTED_VALUE"""),"ce83e171")</f>
        <v>ce83e171</v>
      </c>
      <c r="T1208" s="211" t="str">
        <f>IFERROR(__xludf.DUMMYFUNCTION("""COMPUTED_VALUE"""),"Bpk. Sulaiman")</f>
        <v>Bpk. Sulaiman</v>
      </c>
      <c r="U1208" s="215">
        <f>IFERROR(__xludf.DUMMYFUNCTION("""COMPUTED_VALUE"""),45901.624976851854)</f>
        <v>45901.62498</v>
      </c>
      <c r="V1208" s="211" t="str">
        <f>IFERROR(__xludf.DUMMYFUNCTION("""COMPUTED_VALUE"""),"Jl. Raya Kramat Temenggung No.43, Kramat, Kramat Temenggung, Kec. Tarik, Kabupaten Sidoarjo, Jawa Timur 61265")</f>
        <v>Jl. Raya Kramat Temenggung No.43, Kramat, Kramat Temenggung, Kec. Tarik, Kabupaten Sidoarjo, Jawa Timur 61265</v>
      </c>
      <c r="W1208" s="211" t="str">
        <f>IFERROR(__xludf.DUMMYFUNCTION("""COMPUTED_VALUE"""),"IN")</f>
        <v>IN</v>
      </c>
      <c r="X1208" s="211"/>
      <c r="Z1208" s="211" t="str">
        <f>IFERROR(__xludf.DUMMYFUNCTION("""COMPUTED_VALUE"""),"02250242")</f>
        <v>02250242</v>
      </c>
      <c r="AL1208" s="211"/>
      <c r="AM1208" s="211"/>
      <c r="AN1208" s="211"/>
      <c r="AO1208" s="211"/>
      <c r="AP1208" s="215"/>
      <c r="AQ1208" s="218"/>
      <c r="AR1208" s="211"/>
    </row>
    <row r="1209">
      <c r="A1209" s="210" t="str">
        <f>IFERROR(__xludf.DUMMYFUNCTION("""COMPUTED_VALUE"""),"06250507")</f>
        <v>06250507</v>
      </c>
      <c r="B1209" s="210" t="str">
        <f>IFERROR(__xludf.DUMMYFUNCTION("""COMPUTED_VALUE"""),"06250507")</f>
        <v>06250507</v>
      </c>
      <c r="C1209" s="213">
        <f>IFERROR(__xludf.DUMMYFUNCTION("""COMPUTED_VALUE"""),45821.65277777778)</f>
        <v>45821.65278</v>
      </c>
      <c r="D1209" s="211" t="str">
        <f>IFERROR(__xludf.DUMMYFUNCTION("""COMPUTED_VALUE"""),"8f5ebaea")</f>
        <v>8f5ebaea</v>
      </c>
      <c r="E1209" s="211" t="str">
        <f>IFERROR(__xludf.DUMMYFUNCTION("""COMPUTED_VALUE"""),"PT Hua Zong Mesindo")</f>
        <v>PT Hua Zong Mesindo</v>
      </c>
      <c r="F1209" s="211" t="str">
        <f>IFERROR(__xludf.DUMMYFUNCTION("""COMPUTED_VALUE"""),"8bdbe149")</f>
        <v>8bdbe149</v>
      </c>
      <c r="G1209" s="211" t="str">
        <f>IFERROR(__xludf.DUMMYFUNCTION("""COMPUTED_VALUE"""),"Oksigen 6m3")</f>
        <v>Oksigen 6m3</v>
      </c>
      <c r="H1209" s="214" t="str">
        <f>IFERROR(__xludf.DUMMYFUNCTION("""COMPUTED_VALUE"""),"OUT")</f>
        <v>OUT</v>
      </c>
      <c r="I1209" s="214" t="str">
        <f>IFERROR(__xludf.DUMMYFUNCTION("""COMPUTED_VALUE"""),"NORMAL")</f>
        <v>NORMAL</v>
      </c>
      <c r="J1209" s="211">
        <f>IFERROR(__xludf.DUMMYFUNCTION("""COMPUTED_VALUE"""),3.0)</f>
        <v>3</v>
      </c>
      <c r="K1209" s="210" t="str">
        <f>IFERROR(__xludf.DUMMYFUNCTION("""COMPUTED_VALUE"""),"1152 1110 1126")</f>
        <v>1152 1110 1126</v>
      </c>
      <c r="L1209" s="211">
        <f>IFERROR(__xludf.DUMMYFUNCTION("""COMPUTED_VALUE"""),60000.0)</f>
        <v>60000</v>
      </c>
      <c r="M1209" s="211"/>
      <c r="N1209" s="211"/>
      <c r="O1209" s="211"/>
      <c r="Q1209" s="210" t="str">
        <f>IFERROR(__xludf.DUMMYFUNCTION("""COMPUTED_VALUE"""),"1250549")</f>
        <v>1250549</v>
      </c>
      <c r="R1209" s="210" t="str">
        <f>IFERROR(__xludf.DUMMYFUNCTION("""COMPUTED_VALUE"""),"1250549")</f>
        <v>1250549</v>
      </c>
      <c r="S1209" s="211" t="str">
        <f>IFERROR(__xludf.DUMMYFUNCTION("""COMPUTED_VALUE"""),"01158be1")</f>
        <v>01158be1</v>
      </c>
      <c r="T1209" s="211" t="str">
        <f>IFERROR(__xludf.DUMMYFUNCTION("""COMPUTED_VALUE"""),"GYF")</f>
        <v>GYF</v>
      </c>
      <c r="U1209" s="215">
        <f>IFERROR(__xludf.DUMMYFUNCTION("""COMPUTED_VALUE"""),45901.625868055555)</f>
        <v>45901.62587</v>
      </c>
      <c r="V1209" s="211" t="str">
        <f>IFERROR(__xludf.DUMMYFUNCTION("""COMPUTED_VALUE"""),"Kangkungan, Lengkong, Kec. Mojoanyar, Kabupaten Mojokerto, Jawa Timur")</f>
        <v>Kangkungan, Lengkong, Kec. Mojoanyar, Kabupaten Mojokerto, Jawa Timur</v>
      </c>
      <c r="W1209" s="211" t="str">
        <f>IFERROR(__xludf.DUMMYFUNCTION("""COMPUTED_VALUE"""),"IN")</f>
        <v>IN</v>
      </c>
      <c r="X1209" s="211"/>
      <c r="Z1209" s="211" t="str">
        <f>IFERROR(__xludf.DUMMYFUNCTION("""COMPUTED_VALUE"""),"02250241")</f>
        <v>02250241</v>
      </c>
      <c r="AL1209" s="211"/>
      <c r="AM1209" s="211"/>
      <c r="AN1209" s="211"/>
      <c r="AO1209" s="211"/>
      <c r="AP1209" s="215"/>
      <c r="AQ1209" s="218"/>
      <c r="AR1209" s="211"/>
    </row>
    <row r="1210">
      <c r="A1210" s="210" t="str">
        <f>IFERROR(__xludf.DUMMYFUNCTION("""COMPUTED_VALUE"""),"bfe223d7")</f>
        <v>bfe223d7</v>
      </c>
      <c r="B1210" s="210" t="str">
        <f>IFERROR(__xludf.DUMMYFUNCTION("""COMPUTED_VALUE"""),"bfe223d7")</f>
        <v>bfe223d7</v>
      </c>
      <c r="C1210" s="213">
        <f>IFERROR(__xludf.DUMMYFUNCTION("""COMPUTED_VALUE"""),45821.67986111111)</f>
        <v>45821.67986</v>
      </c>
      <c r="D1210" s="211" t="str">
        <f>IFERROR(__xludf.DUMMYFUNCTION("""COMPUTED_VALUE"""),"8f5ebaea")</f>
        <v>8f5ebaea</v>
      </c>
      <c r="E1210" s="211" t="str">
        <f>IFERROR(__xludf.DUMMYFUNCTION("""COMPUTED_VALUE"""),"PT Hua Zong Mesindo")</f>
        <v>PT Hua Zong Mesindo</v>
      </c>
      <c r="F1210" s="211" t="str">
        <f>IFERROR(__xludf.DUMMYFUNCTION("""COMPUTED_VALUE"""),"8bdbe149")</f>
        <v>8bdbe149</v>
      </c>
      <c r="G1210" s="211" t="str">
        <f>IFERROR(__xludf.DUMMYFUNCTION("""COMPUTED_VALUE"""),"Oksigen 6m3")</f>
        <v>Oksigen 6m3</v>
      </c>
      <c r="H1210" s="214" t="str">
        <f>IFERROR(__xludf.DUMMYFUNCTION("""COMPUTED_VALUE"""),"IN")</f>
        <v>IN</v>
      </c>
      <c r="I1210" s="214" t="str">
        <f>IFERROR(__xludf.DUMMYFUNCTION("""COMPUTED_VALUE"""),"EMPTY")</f>
        <v>EMPTY</v>
      </c>
      <c r="J1210" s="211">
        <f>IFERROR(__xludf.DUMMYFUNCTION("""COMPUTED_VALUE"""),2.0)</f>
        <v>2</v>
      </c>
      <c r="K1210" s="210" t="str">
        <f>IFERROR(__xludf.DUMMYFUNCTION("""COMPUTED_VALUE"""),"1193 1127")</f>
        <v>1193 1127</v>
      </c>
      <c r="L1210" s="211">
        <f>IFERROR(__xludf.DUMMYFUNCTION("""COMPUTED_VALUE"""),0.0)</f>
        <v>0</v>
      </c>
      <c r="M1210" s="211"/>
      <c r="N1210" s="211"/>
      <c r="O1210" s="211"/>
      <c r="Q1210" s="210" t="str">
        <f>IFERROR(__xludf.DUMMYFUNCTION("""COMPUTED_VALUE"""),"1250548")</f>
        <v>1250548</v>
      </c>
      <c r="R1210" s="210" t="str">
        <f>IFERROR(__xludf.DUMMYFUNCTION("""COMPUTED_VALUE"""),"1250548")</f>
        <v>1250548</v>
      </c>
      <c r="S1210" s="211" t="str">
        <f>IFERROR(__xludf.DUMMYFUNCTION("""COMPUTED_VALUE"""),"ed2cc96a")</f>
        <v>ed2cc96a</v>
      </c>
      <c r="T1210" s="211" t="str">
        <f>IFERROR(__xludf.DUMMYFUNCTION("""COMPUTED_VALUE"""),"Bengkel Dian Jaya")</f>
        <v>Bengkel Dian Jaya</v>
      </c>
      <c r="U1210" s="215">
        <f>IFERROR(__xludf.DUMMYFUNCTION("""COMPUTED_VALUE"""),45901.664606481485)</f>
        <v>45901.66461</v>
      </c>
      <c r="V1210" s="211" t="str">
        <f>IFERROR(__xludf.DUMMYFUNCTION("""COMPUTED_VALUE"""),"Gg. 2, Kejagan, Kec. Trowulan, Kabupaten Mojokerto, Jawa Timur 61362")</f>
        <v>Gg. 2, Kejagan, Kec. Trowulan, Kabupaten Mojokerto, Jawa Timur 61362</v>
      </c>
      <c r="W1210" s="211" t="str">
        <f>IFERROR(__xludf.DUMMYFUNCTION("""COMPUTED_VALUE"""),"IN")</f>
        <v>IN</v>
      </c>
      <c r="X1210" s="211"/>
      <c r="Z1210" s="211" t="str">
        <f>IFERROR(__xludf.DUMMYFUNCTION("""COMPUTED_VALUE"""),"02250240")</f>
        <v>02250240</v>
      </c>
      <c r="AL1210" s="211"/>
      <c r="AM1210" s="211"/>
      <c r="AN1210" s="211"/>
      <c r="AO1210" s="211"/>
      <c r="AP1210" s="215"/>
      <c r="AQ1210" s="218"/>
      <c r="AR1210" s="211"/>
    </row>
    <row r="1211">
      <c r="A1211" s="210" t="str">
        <f>IFERROR(__xludf.DUMMYFUNCTION("""COMPUTED_VALUE"""),"06250509")</f>
        <v>06250509</v>
      </c>
      <c r="B1211" s="210" t="str">
        <f>IFERROR(__xludf.DUMMYFUNCTION("""COMPUTED_VALUE"""),"06250509")</f>
        <v>06250509</v>
      </c>
      <c r="C1211" s="213">
        <f>IFERROR(__xludf.DUMMYFUNCTION("""COMPUTED_VALUE"""),45822.35763888889)</f>
        <v>45822.35764</v>
      </c>
      <c r="D1211" s="211" t="str">
        <f>IFERROR(__xludf.DUMMYFUNCTION("""COMPUTED_VALUE"""),"01158be1")</f>
        <v>01158be1</v>
      </c>
      <c r="E1211" s="211" t="str">
        <f>IFERROR(__xludf.DUMMYFUNCTION("""COMPUTED_VALUE"""),"GYF")</f>
        <v>GYF</v>
      </c>
      <c r="F1211" s="211" t="str">
        <f>IFERROR(__xludf.DUMMYFUNCTION("""COMPUTED_VALUE"""),"8bdbe149")</f>
        <v>8bdbe149</v>
      </c>
      <c r="G1211" s="211" t="str">
        <f>IFERROR(__xludf.DUMMYFUNCTION("""COMPUTED_VALUE"""),"Oksigen 6m3")</f>
        <v>Oksigen 6m3</v>
      </c>
      <c r="H1211" s="214" t="str">
        <f>IFERROR(__xludf.DUMMYFUNCTION("""COMPUTED_VALUE"""),"OUT")</f>
        <v>OUT</v>
      </c>
      <c r="I1211" s="214" t="str">
        <f>IFERROR(__xludf.DUMMYFUNCTION("""COMPUTED_VALUE"""),"NORMAL")</f>
        <v>NORMAL</v>
      </c>
      <c r="J1211" s="211">
        <f>IFERROR(__xludf.DUMMYFUNCTION("""COMPUTED_VALUE"""),15.0)</f>
        <v>15</v>
      </c>
      <c r="K1211" s="210" t="str">
        <f>IFERROR(__xludf.DUMMYFUNCTION("""COMPUTED_VALUE"""),"11186 11251 1106 11245 11143 1121 11117 11116 11124 1113 1137 1190 11107 11246 11274")</f>
        <v>11186 11251 1106 11245 11143 1121 11117 11116 11124 1113 1137 1190 11107 11246 11274</v>
      </c>
      <c r="L1211" s="211">
        <f>IFERROR(__xludf.DUMMYFUNCTION("""COMPUTED_VALUE"""),45000.0)</f>
        <v>45000</v>
      </c>
      <c r="M1211" s="211"/>
      <c r="N1211" s="211"/>
      <c r="O1211" s="211"/>
      <c r="Q1211" s="210" t="str">
        <f>IFERROR(__xludf.DUMMYFUNCTION("""COMPUTED_VALUE"""),"0925351206")</f>
        <v>0925351206</v>
      </c>
      <c r="R1211" s="210" t="str">
        <f>IFERROR(__xludf.DUMMYFUNCTION("""COMPUTED_VALUE"""),"0925351206")</f>
        <v>0925351206</v>
      </c>
      <c r="S1211" s="211" t="str">
        <f>IFERROR(__xludf.DUMMYFUNCTION("""COMPUTED_VALUE"""),"785e0e07")</f>
        <v>785e0e07</v>
      </c>
      <c r="T1211" s="211" t="str">
        <f>IFERROR(__xludf.DUMMYFUNCTION("""COMPUTED_VALUE"""),"Bpk. Sukirno (Bejo)")</f>
        <v>Bpk. Sukirno (Bejo)</v>
      </c>
      <c r="U1211" s="215">
        <f>IFERROR(__xludf.DUMMYFUNCTION("""COMPUTED_VALUE"""),45902.384305555555)</f>
        <v>45902.38431</v>
      </c>
      <c r="V1211" s="211" t="str">
        <f>IFERROR(__xludf.DUMMYFUNCTION("""COMPUTED_VALUE"""),"Krajan I, Wringinanom, Kec. Wringinanom, Kabupaten Gresik, Jawa Timur 61176")</f>
        <v>Krajan I, Wringinanom, Kec. Wringinanom, Kabupaten Gresik, Jawa Timur 61176</v>
      </c>
      <c r="W1211" s="211" t="str">
        <f>IFERROR(__xludf.DUMMYFUNCTION("""COMPUTED_VALUE"""),"OUT")</f>
        <v>OUT</v>
      </c>
      <c r="X1211" s="211"/>
      <c r="Z1211" s="211" t="str">
        <f>IFERROR(__xludf.DUMMYFUNCTION("""COMPUTED_VALUE"""),"02250239")</f>
        <v>02250239</v>
      </c>
      <c r="AL1211" s="211"/>
      <c r="AM1211" s="211"/>
      <c r="AN1211" s="211"/>
      <c r="AO1211" s="211"/>
      <c r="AP1211" s="215"/>
      <c r="AQ1211" s="218"/>
      <c r="AR1211" s="211"/>
    </row>
    <row r="1212">
      <c r="A1212" s="210" t="str">
        <f>IFERROR(__xludf.DUMMYFUNCTION("""COMPUTED_VALUE"""),"c210f9af")</f>
        <v>c210f9af</v>
      </c>
      <c r="B1212" s="210" t="str">
        <f>IFERROR(__xludf.DUMMYFUNCTION("""COMPUTED_VALUE"""),"c210f9af")</f>
        <v>c210f9af</v>
      </c>
      <c r="C1212" s="213">
        <f>IFERROR(__xludf.DUMMYFUNCTION("""COMPUTED_VALUE"""),45821.73472222222)</f>
        <v>45821.73472</v>
      </c>
      <c r="D1212" s="211" t="str">
        <f>IFERROR(__xludf.DUMMYFUNCTION("""COMPUTED_VALUE"""),"4bef3bbf")</f>
        <v>4bef3bbf</v>
      </c>
      <c r="E1212" s="211" t="str">
        <f>IFERROR(__xludf.DUMMYFUNCTION("""COMPUTED_VALUE"""),"PT Dingsheng Metal Indonesia (Ngoro)")</f>
        <v>PT Dingsheng Metal Indonesia (Ngoro)</v>
      </c>
      <c r="F1212" s="211" t="str">
        <f>IFERROR(__xludf.DUMMYFUNCTION("""COMPUTED_VALUE"""),"8bdbe149")</f>
        <v>8bdbe149</v>
      </c>
      <c r="G1212" s="211" t="str">
        <f>IFERROR(__xludf.DUMMYFUNCTION("""COMPUTED_VALUE"""),"Oksigen 6m3")</f>
        <v>Oksigen 6m3</v>
      </c>
      <c r="H1212" s="214" t="str">
        <f>IFERROR(__xludf.DUMMYFUNCTION("""COMPUTED_VALUE"""),"IN")</f>
        <v>IN</v>
      </c>
      <c r="I1212" s="214" t="str">
        <f>IFERROR(__xludf.DUMMYFUNCTION("""COMPUTED_VALUE"""),"EMPTY")</f>
        <v>EMPTY</v>
      </c>
      <c r="J1212" s="211">
        <f>IFERROR(__xludf.DUMMYFUNCTION("""COMPUTED_VALUE"""),2.0)</f>
        <v>2</v>
      </c>
      <c r="K1212" s="210" t="str">
        <f>IFERROR(__xludf.DUMMYFUNCTION("""COMPUTED_VALUE"""),"11115 11198")</f>
        <v>11115 11198</v>
      </c>
      <c r="L1212" s="211">
        <f>IFERROR(__xludf.DUMMYFUNCTION("""COMPUTED_VALUE"""),0.0)</f>
        <v>0</v>
      </c>
      <c r="M1212" s="211"/>
      <c r="N1212" s="211"/>
      <c r="O1212" s="211"/>
      <c r="Q1212" s="210" t="str">
        <f>IFERROR(__xludf.DUMMYFUNCTION("""COMPUTED_VALUE"""),"0925171212")</f>
        <v>0925171212</v>
      </c>
      <c r="R1212" s="210" t="str">
        <f>IFERROR(__xludf.DUMMYFUNCTION("""COMPUTED_VALUE"""),"0925171212")</f>
        <v>0925171212</v>
      </c>
      <c r="S1212" s="211" t="str">
        <f>IFERROR(__xludf.DUMMYFUNCTION("""COMPUTED_VALUE"""),"ec231cc9")</f>
        <v>ec231cc9</v>
      </c>
      <c r="T1212" s="211" t="str">
        <f>IFERROR(__xludf.DUMMYFUNCTION("""COMPUTED_VALUE"""),"Bpk. Kohir (Maintenance Velg)")</f>
        <v>Bpk. Kohir (Maintenance Velg)</v>
      </c>
      <c r="U1212" s="215">
        <f>IFERROR(__xludf.DUMMYFUNCTION("""COMPUTED_VALUE"""),45902.38717592593)</f>
        <v>45902.38718</v>
      </c>
      <c r="V1212" s="211" t="str">
        <f>IFERROR(__xludf.DUMMYFUNCTION("""COMPUTED_VALUE"""),"Jl. Lkr. Bypass Krian Timur, Sidogolong, Watugolong, Kec. Krian, Kabupaten Sidoarjo, Jawa Timur 61262")</f>
        <v>Jl. Lkr. Bypass Krian Timur, Sidogolong, Watugolong, Kec. Krian, Kabupaten Sidoarjo, Jawa Timur 61262</v>
      </c>
      <c r="W1212" s="211" t="str">
        <f>IFERROR(__xludf.DUMMYFUNCTION("""COMPUTED_VALUE"""),"OUT")</f>
        <v>OUT</v>
      </c>
      <c r="X1212" s="211"/>
      <c r="Z1212" s="211" t="str">
        <f>IFERROR(__xludf.DUMMYFUNCTION("""COMPUTED_VALUE"""),"02250238")</f>
        <v>02250238</v>
      </c>
      <c r="AL1212" s="211"/>
      <c r="AM1212" s="211"/>
      <c r="AN1212" s="211"/>
      <c r="AO1212" s="211"/>
      <c r="AP1212" s="215"/>
      <c r="AQ1212" s="218"/>
      <c r="AR1212" s="211"/>
    </row>
    <row r="1213">
      <c r="A1213" s="210" t="str">
        <f>IFERROR(__xludf.DUMMYFUNCTION("""COMPUTED_VALUE"""),"06250510")</f>
        <v>06250510</v>
      </c>
      <c r="B1213" s="210" t="str">
        <f>IFERROR(__xludf.DUMMYFUNCTION("""COMPUTED_VALUE"""),"06250510")</f>
        <v>06250510</v>
      </c>
      <c r="C1213" s="213">
        <f>IFERROR(__xludf.DUMMYFUNCTION("""COMPUTED_VALUE"""),45822.37986111111)</f>
        <v>45822.37986</v>
      </c>
      <c r="D1213" s="211" t="str">
        <f>IFERROR(__xludf.DUMMYFUNCTION("""COMPUTED_VALUE"""),"8ea74d81")</f>
        <v>8ea74d81</v>
      </c>
      <c r="E1213" s="211" t="str">
        <f>IFERROR(__xludf.DUMMYFUNCTION("""COMPUTED_VALUE"""),"Bengkel Adi Putra")</f>
        <v>Bengkel Adi Putra</v>
      </c>
      <c r="F1213" s="211" t="str">
        <f>IFERROR(__xludf.DUMMYFUNCTION("""COMPUTED_VALUE"""),"8bdbe149")</f>
        <v>8bdbe149</v>
      </c>
      <c r="G1213" s="211" t="str">
        <f>IFERROR(__xludf.DUMMYFUNCTION("""COMPUTED_VALUE"""),"Oksigen 6m3")</f>
        <v>Oksigen 6m3</v>
      </c>
      <c r="H1213" s="214" t="str">
        <f>IFERROR(__xludf.DUMMYFUNCTION("""COMPUTED_VALUE"""),"OUT")</f>
        <v>OUT</v>
      </c>
      <c r="I1213" s="214" t="str">
        <f>IFERROR(__xludf.DUMMYFUNCTION("""COMPUTED_VALUE"""),"NORMAL")</f>
        <v>NORMAL</v>
      </c>
      <c r="J1213" s="211">
        <f>IFERROR(__xludf.DUMMYFUNCTION("""COMPUTED_VALUE"""),1.0)</f>
        <v>1</v>
      </c>
      <c r="K1213" s="210" t="str">
        <f>IFERROR(__xludf.DUMMYFUNCTION("""COMPUTED_VALUE"""),"11178")</f>
        <v>11178</v>
      </c>
      <c r="L1213" s="211">
        <f>IFERROR(__xludf.DUMMYFUNCTION("""COMPUTED_VALUE"""),70000.0)</f>
        <v>70000</v>
      </c>
      <c r="M1213" s="211"/>
      <c r="N1213" s="211"/>
      <c r="O1213" s="211"/>
      <c r="Q1213" s="210" t="str">
        <f>IFERROR(__xludf.DUMMYFUNCTION("""COMPUTED_VALUE"""),"0925451213")</f>
        <v>0925451213</v>
      </c>
      <c r="R1213" s="210" t="str">
        <f>IFERROR(__xludf.DUMMYFUNCTION("""COMPUTED_VALUE"""),"0925451213")</f>
        <v>0925451213</v>
      </c>
      <c r="S1213" s="211" t="str">
        <f>IFERROR(__xludf.DUMMYFUNCTION("""COMPUTED_VALUE"""),"e86baf3b")</f>
        <v>e86baf3b</v>
      </c>
      <c r="T1213" s="211" t="str">
        <f>IFERROR(__xludf.DUMMYFUNCTION("""COMPUTED_VALUE"""),"PT GEMILANG CIPTA WAWASAN")</f>
        <v>PT GEMILANG CIPTA WAWASAN</v>
      </c>
      <c r="U1213" s="215">
        <f>IFERROR(__xludf.DUMMYFUNCTION("""COMPUTED_VALUE"""),45902.658217592594)</f>
        <v>45902.65822</v>
      </c>
      <c r="V1213" s="211" t="str">
        <f>IFERROR(__xludf.DUMMYFUNCTION("""COMPUTED_VALUE"""),"JL TEBET RAYA, 2A, TEBET BARAT, TEBET, KOTA ADM, JAKARTA SELATAN, DKI JAKARTA")</f>
        <v>JL TEBET RAYA, 2A, TEBET BARAT, TEBET, KOTA ADM, JAKARTA SELATAN, DKI JAKARTA</v>
      </c>
      <c r="W1213" s="211" t="str">
        <f>IFERROR(__xludf.DUMMYFUNCTION("""COMPUTED_VALUE"""),"OUT")</f>
        <v>OUT</v>
      </c>
      <c r="X1213" s="211"/>
      <c r="Z1213" s="211" t="str">
        <f>IFERROR(__xludf.DUMMYFUNCTION("""COMPUTED_VALUE"""),"01250237")</f>
        <v>01250237</v>
      </c>
      <c r="AL1213" s="211"/>
      <c r="AM1213" s="211"/>
      <c r="AN1213" s="211"/>
      <c r="AO1213" s="211"/>
      <c r="AP1213" s="215"/>
      <c r="AQ1213" s="218"/>
      <c r="AR1213" s="211"/>
    </row>
    <row r="1214">
      <c r="A1214" s="210" t="str">
        <f>IFERROR(__xludf.DUMMYFUNCTION("""COMPUTED_VALUE"""),"06250511")</f>
        <v>06250511</v>
      </c>
      <c r="B1214" s="210" t="str">
        <f>IFERROR(__xludf.DUMMYFUNCTION("""COMPUTED_VALUE"""),"06250511")</f>
        <v>06250511</v>
      </c>
      <c r="C1214" s="213">
        <f>IFERROR(__xludf.DUMMYFUNCTION("""COMPUTED_VALUE"""),45822.49236111111)</f>
        <v>45822.49236</v>
      </c>
      <c r="D1214" s="211" t="str">
        <f>IFERROR(__xludf.DUMMYFUNCTION("""COMPUTED_VALUE"""),"3bcd7fe6")</f>
        <v>3bcd7fe6</v>
      </c>
      <c r="E1214" s="211" t="str">
        <f>IFERROR(__xludf.DUMMYFUNCTION("""COMPUTED_VALUE"""),"Bpk. Alvin (LB Group)")</f>
        <v>Bpk. Alvin (LB Group)</v>
      </c>
      <c r="F1214" s="211" t="str">
        <f>IFERROR(__xludf.DUMMYFUNCTION("""COMPUTED_VALUE"""),"7d2764f1")</f>
        <v>7d2764f1</v>
      </c>
      <c r="G1214" s="211" t="str">
        <f>IFERROR(__xludf.DUMMYFUNCTION("""COMPUTED_VALUE"""),"Oksigen 7m3")</f>
        <v>Oksigen 7m3</v>
      </c>
      <c r="H1214" s="214" t="str">
        <f>IFERROR(__xludf.DUMMYFUNCTION("""COMPUTED_VALUE"""),"OUT")</f>
        <v>OUT</v>
      </c>
      <c r="I1214" s="214" t="str">
        <f>IFERROR(__xludf.DUMMYFUNCTION("""COMPUTED_VALUE"""),"NORMAL")</f>
        <v>NORMAL</v>
      </c>
      <c r="J1214" s="211">
        <f>IFERROR(__xludf.DUMMYFUNCTION("""COMPUTED_VALUE"""),2.0)</f>
        <v>2</v>
      </c>
      <c r="K1214" s="210" t="str">
        <f>IFERROR(__xludf.DUMMYFUNCTION("""COMPUTED_VALUE"""),"11163 11145")</f>
        <v>11163 11145</v>
      </c>
      <c r="L1214" s="211">
        <f>IFERROR(__xludf.DUMMYFUNCTION("""COMPUTED_VALUE"""),55000.0)</f>
        <v>55000</v>
      </c>
      <c r="M1214" s="211"/>
      <c r="N1214" s="211"/>
      <c r="O1214" s="211"/>
      <c r="Q1214" s="210" t="str">
        <f>IFERROR(__xludf.DUMMYFUNCTION("""COMPUTED_VALUE"""),"1250560")</f>
        <v>1250560</v>
      </c>
      <c r="R1214" s="210" t="str">
        <f>IFERROR(__xludf.DUMMYFUNCTION("""COMPUTED_VALUE"""),"1250560")</f>
        <v>1250560</v>
      </c>
      <c r="S1214" s="211" t="str">
        <f>IFERROR(__xludf.DUMMYFUNCTION("""COMPUTED_VALUE"""),"ec231cc9")</f>
        <v>ec231cc9</v>
      </c>
      <c r="T1214" s="211" t="str">
        <f>IFERROR(__xludf.DUMMYFUNCTION("""COMPUTED_VALUE"""),"Bpk. Kohir (Maintenance Velg)")</f>
        <v>Bpk. Kohir (Maintenance Velg)</v>
      </c>
      <c r="U1214" s="215">
        <f>IFERROR(__xludf.DUMMYFUNCTION("""COMPUTED_VALUE"""),45902.66574074074)</f>
        <v>45902.66574</v>
      </c>
      <c r="V1214" s="211" t="str">
        <f>IFERROR(__xludf.DUMMYFUNCTION("""COMPUTED_VALUE"""),"Jl. Lkr. Bypass Krian Timur, Sidogolong, Watugolong, Kec. Krian, Kabupaten Sidoarjo, Jawa Timur 61262")</f>
        <v>Jl. Lkr. Bypass Krian Timur, Sidogolong, Watugolong, Kec. Krian, Kabupaten Sidoarjo, Jawa Timur 61262</v>
      </c>
      <c r="W1214" s="211" t="str">
        <f>IFERROR(__xludf.DUMMYFUNCTION("""COMPUTED_VALUE"""),"IN")</f>
        <v>IN</v>
      </c>
      <c r="X1214" s="211"/>
      <c r="Z1214" s="211" t="str">
        <f>IFERROR(__xludf.DUMMYFUNCTION("""COMPUTED_VALUE"""),"01250236")</f>
        <v>01250236</v>
      </c>
      <c r="AL1214" s="211"/>
      <c r="AM1214" s="211"/>
      <c r="AN1214" s="211"/>
      <c r="AO1214" s="211"/>
      <c r="AP1214" s="215"/>
      <c r="AQ1214" s="218"/>
      <c r="AR1214" s="211"/>
    </row>
    <row r="1215">
      <c r="A1215" s="210" t="str">
        <f>IFERROR(__xludf.DUMMYFUNCTION("""COMPUTED_VALUE"""),"06250511")</f>
        <v>06250511</v>
      </c>
      <c r="B1215" s="210" t="str">
        <f>IFERROR(__xludf.DUMMYFUNCTION("""COMPUTED_VALUE"""),"06250511")</f>
        <v>06250511</v>
      </c>
      <c r="C1215" s="213">
        <f>IFERROR(__xludf.DUMMYFUNCTION("""COMPUTED_VALUE"""),45822.49236111111)</f>
        <v>45822.49236</v>
      </c>
      <c r="D1215" s="211" t="str">
        <f>IFERROR(__xludf.DUMMYFUNCTION("""COMPUTED_VALUE"""),"3bcd7fe6")</f>
        <v>3bcd7fe6</v>
      </c>
      <c r="E1215" s="211" t="str">
        <f>IFERROR(__xludf.DUMMYFUNCTION("""COMPUTED_VALUE"""),"Bpk. Alvin (LB Group)")</f>
        <v>Bpk. Alvin (LB Group)</v>
      </c>
      <c r="F1215" s="211" t="str">
        <f>IFERROR(__xludf.DUMMYFUNCTION("""COMPUTED_VALUE"""),"ef306e54")</f>
        <v>ef306e54</v>
      </c>
      <c r="G1215" s="211" t="str">
        <f>IFERROR(__xludf.DUMMYFUNCTION("""COMPUTED_VALUE"""),"Karbondioksida")</f>
        <v>Karbondioksida</v>
      </c>
      <c r="H1215" s="214" t="str">
        <f>IFERROR(__xludf.DUMMYFUNCTION("""COMPUTED_VALUE"""),"OUT")</f>
        <v>OUT</v>
      </c>
      <c r="I1215" s="214" t="str">
        <f>IFERROR(__xludf.DUMMYFUNCTION("""COMPUTED_VALUE"""),"NORMAL")</f>
        <v>NORMAL</v>
      </c>
      <c r="J1215" s="211">
        <f>IFERROR(__xludf.DUMMYFUNCTION("""COMPUTED_VALUE"""),1.0)</f>
        <v>1</v>
      </c>
      <c r="K1215" s="210" t="str">
        <f>IFERROR(__xludf.DUMMYFUNCTION("""COMPUTED_VALUE"""),"13013")</f>
        <v>13013</v>
      </c>
      <c r="L1215" s="211">
        <f>IFERROR(__xludf.DUMMYFUNCTION("""COMPUTED_VALUE"""),165000.0)</f>
        <v>165000</v>
      </c>
      <c r="M1215" s="211"/>
      <c r="N1215" s="211"/>
      <c r="O1215" s="211"/>
      <c r="Q1215" s="210" t="str">
        <f>IFERROR(__xludf.DUMMYFUNCTION("""COMPUTED_VALUE"""),"1250562")</f>
        <v>1250562</v>
      </c>
      <c r="R1215" s="210" t="str">
        <f>IFERROR(__xludf.DUMMYFUNCTION("""COMPUTED_VALUE"""),"1250562")</f>
        <v>1250562</v>
      </c>
      <c r="S1215" s="211" t="str">
        <f>IFERROR(__xludf.DUMMYFUNCTION("""COMPUTED_VALUE"""),"7b9d8eba")</f>
        <v>7b9d8eba</v>
      </c>
      <c r="T1215" s="211" t="str">
        <f>IFERROR(__xludf.DUMMYFUNCTION("""COMPUTED_VALUE"""),"PT PELANGI INDOKARYA")</f>
        <v>PT PELANGI INDOKARYA</v>
      </c>
      <c r="U1215" s="215">
        <f>IFERROR(__xludf.DUMMYFUNCTION("""COMPUTED_VALUE"""),45903.3993287037)</f>
        <v>45903.39933</v>
      </c>
      <c r="V1215"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215" s="211" t="str">
        <f>IFERROR(__xludf.DUMMYFUNCTION("""COMPUTED_VALUE"""),"IN")</f>
        <v>IN</v>
      </c>
      <c r="X1215" s="211"/>
      <c r="Z1215" s="211" t="str">
        <f>IFERROR(__xludf.DUMMYFUNCTION("""COMPUTED_VALUE"""),"01250235")</f>
        <v>01250235</v>
      </c>
      <c r="AL1215" s="211"/>
      <c r="AM1215" s="211"/>
      <c r="AN1215" s="211"/>
      <c r="AO1215" s="211"/>
      <c r="AP1215" s="215"/>
      <c r="AQ1215" s="218"/>
      <c r="AR1215" s="211"/>
    </row>
    <row r="1216">
      <c r="A1216" s="210" t="str">
        <f>IFERROR(__xludf.DUMMYFUNCTION("""COMPUTED_VALUE"""),"06250511")</f>
        <v>06250511</v>
      </c>
      <c r="B1216" s="210" t="str">
        <f>IFERROR(__xludf.DUMMYFUNCTION("""COMPUTED_VALUE"""),"06250511")</f>
        <v>06250511</v>
      </c>
      <c r="C1216" s="213">
        <f>IFERROR(__xludf.DUMMYFUNCTION("""COMPUTED_VALUE"""),45822.49236111111)</f>
        <v>45822.49236</v>
      </c>
      <c r="D1216" s="211" t="str">
        <f>IFERROR(__xludf.DUMMYFUNCTION("""COMPUTED_VALUE"""),"3bcd7fe6")</f>
        <v>3bcd7fe6</v>
      </c>
      <c r="E1216" s="211" t="str">
        <f>IFERROR(__xludf.DUMMYFUNCTION("""COMPUTED_VALUE"""),"Bpk. Alvin (LB Group)")</f>
        <v>Bpk. Alvin (LB Group)</v>
      </c>
      <c r="F1216" s="211" t="str">
        <f>IFERROR(__xludf.DUMMYFUNCTION("""COMPUTED_VALUE"""),"66af7c72")</f>
        <v>66af7c72</v>
      </c>
      <c r="G1216" s="211" t="str">
        <f>IFERROR(__xludf.DUMMYFUNCTION("""COMPUTED_VALUE"""),"Argon 6m3")</f>
        <v>Argon 6m3</v>
      </c>
      <c r="H1216" s="214" t="str">
        <f>IFERROR(__xludf.DUMMYFUNCTION("""COMPUTED_VALUE"""),"OUT")</f>
        <v>OUT</v>
      </c>
      <c r="I1216" s="214" t="str">
        <f>IFERROR(__xludf.DUMMYFUNCTION("""COMPUTED_VALUE"""),"NORMAL")</f>
        <v>NORMAL</v>
      </c>
      <c r="J1216" s="211">
        <f>IFERROR(__xludf.DUMMYFUNCTION("""COMPUTED_VALUE"""),1.0)</f>
        <v>1</v>
      </c>
      <c r="K1216" s="210" t="str">
        <f>IFERROR(__xludf.DUMMYFUNCTION("""COMPUTED_VALUE"""),"12012")</f>
        <v>12012</v>
      </c>
      <c r="L1216" s="211">
        <f>IFERROR(__xludf.DUMMYFUNCTION("""COMPUTED_VALUE"""),190000.0)</f>
        <v>190000</v>
      </c>
      <c r="M1216" s="211"/>
      <c r="N1216" s="211"/>
      <c r="O1216" s="211"/>
      <c r="Q1216" s="210" t="str">
        <f>IFERROR(__xludf.DUMMYFUNCTION("""COMPUTED_VALUE"""),"092561214")</f>
        <v>092561214</v>
      </c>
      <c r="R1216" s="210" t="str">
        <f>IFERROR(__xludf.DUMMYFUNCTION("""COMPUTED_VALUE"""),"092561214")</f>
        <v>092561214</v>
      </c>
      <c r="S1216" s="211" t="str">
        <f>IFERROR(__xludf.DUMMYFUNCTION("""COMPUTED_VALUE"""),"196b24da")</f>
        <v>196b24da</v>
      </c>
      <c r="T1216" s="211" t="str">
        <f>IFERROR(__xludf.DUMMYFUNCTION("""COMPUTED_VALUE"""),"PT Samudra Cipta Enjineering")</f>
        <v>PT Samudra Cipta Enjineering</v>
      </c>
      <c r="U1216" s="215">
        <f>IFERROR(__xludf.DUMMYFUNCTION("""COMPUTED_VALUE"""),45903.49108796296)</f>
        <v>45903.49109</v>
      </c>
      <c r="V1216" s="211" t="str">
        <f>IFERROR(__xludf.DUMMYFUNCTION("""COMPUTED_VALUE"""),"Pergudangan Center Point Blok C4   Ds. Kemangsen  Balongbendo")</f>
        <v>Pergudangan Center Point Blok C4   Ds. Kemangsen  Balongbendo</v>
      </c>
      <c r="W1216" s="211" t="str">
        <f>IFERROR(__xludf.DUMMYFUNCTION("""COMPUTED_VALUE"""),"OUT")</f>
        <v>OUT</v>
      </c>
      <c r="X1216" s="211"/>
      <c r="Z1216" s="211" t="str">
        <f>IFERROR(__xludf.DUMMYFUNCTION("""COMPUTED_VALUE"""),"01250234")</f>
        <v>01250234</v>
      </c>
      <c r="AL1216" s="211"/>
      <c r="AM1216" s="211"/>
      <c r="AN1216" s="211"/>
      <c r="AO1216" s="211"/>
      <c r="AP1216" s="215"/>
      <c r="AQ1216" s="218"/>
      <c r="AR1216" s="211"/>
    </row>
    <row r="1217">
      <c r="A1217" s="210" t="str">
        <f>IFERROR(__xludf.DUMMYFUNCTION("""COMPUTED_VALUE"""),"06250514")</f>
        <v>06250514</v>
      </c>
      <c r="B1217" s="210" t="str">
        <f>IFERROR(__xludf.DUMMYFUNCTION("""COMPUTED_VALUE"""),"06250514")</f>
        <v>06250514</v>
      </c>
      <c r="C1217" s="213">
        <f>IFERROR(__xludf.DUMMYFUNCTION("""COMPUTED_VALUE"""),45822.51180555556)</f>
        <v>45822.51181</v>
      </c>
      <c r="D1217" s="211" t="str">
        <f>IFERROR(__xludf.DUMMYFUNCTION("""COMPUTED_VALUE"""),"bdb5baf0")</f>
        <v>bdb5baf0</v>
      </c>
      <c r="E1217" s="211" t="str">
        <f>IFERROR(__xludf.DUMMYFUNCTION("""COMPUTED_VALUE"""),"Bpk. Abdul")</f>
        <v>Bpk. Abdul</v>
      </c>
      <c r="F1217" s="211" t="str">
        <f>IFERROR(__xludf.DUMMYFUNCTION("""COMPUTED_VALUE"""),"8bdbe149")</f>
        <v>8bdbe149</v>
      </c>
      <c r="G1217" s="211" t="str">
        <f>IFERROR(__xludf.DUMMYFUNCTION("""COMPUTED_VALUE"""),"Oksigen 6m3")</f>
        <v>Oksigen 6m3</v>
      </c>
      <c r="H1217" s="214" t="str">
        <f>IFERROR(__xludf.DUMMYFUNCTION("""COMPUTED_VALUE"""),"OUT")</f>
        <v>OUT</v>
      </c>
      <c r="I1217" s="214" t="str">
        <f>IFERROR(__xludf.DUMMYFUNCTION("""COMPUTED_VALUE"""),"NORMAL")</f>
        <v>NORMAL</v>
      </c>
      <c r="J1217" s="211">
        <f>IFERROR(__xludf.DUMMYFUNCTION("""COMPUTED_VALUE"""),1.0)</f>
        <v>1</v>
      </c>
      <c r="K1217" s="210" t="str">
        <f>IFERROR(__xludf.DUMMYFUNCTION("""COMPUTED_VALUE"""),"11292")</f>
        <v>11292</v>
      </c>
      <c r="L1217" s="211">
        <f>IFERROR(__xludf.DUMMYFUNCTION("""COMPUTED_VALUE"""),80000.0)</f>
        <v>80000</v>
      </c>
      <c r="M1217" s="211"/>
      <c r="N1217" s="211"/>
      <c r="O1217" s="211"/>
      <c r="Q1217" s="210" t="str">
        <f>IFERROR(__xludf.DUMMYFUNCTION("""COMPUTED_VALUE"""),"0925191214")</f>
        <v>0925191214</v>
      </c>
      <c r="R1217" s="210" t="str">
        <f>IFERROR(__xludf.DUMMYFUNCTION("""COMPUTED_VALUE"""),"0925191214")</f>
        <v>0925191214</v>
      </c>
      <c r="S1217" s="211" t="str">
        <f>IFERROR(__xludf.DUMMYFUNCTION("""COMPUTED_VALUE"""),"7b9d8eba")</f>
        <v>7b9d8eba</v>
      </c>
      <c r="T1217" s="211" t="str">
        <f>IFERROR(__xludf.DUMMYFUNCTION("""COMPUTED_VALUE"""),"PT PELANGI INDOKARYA")</f>
        <v>PT PELANGI INDOKARYA</v>
      </c>
      <c r="U1217" s="215">
        <f>IFERROR(__xludf.DUMMYFUNCTION("""COMPUTED_VALUE"""),45903.513761574075)</f>
        <v>45903.51376</v>
      </c>
      <c r="V121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217" s="211" t="str">
        <f>IFERROR(__xludf.DUMMYFUNCTION("""COMPUTED_VALUE"""),"OUT")</f>
        <v>OUT</v>
      </c>
      <c r="X1217" s="211"/>
      <c r="Z1217" s="211" t="str">
        <f>IFERROR(__xludf.DUMMYFUNCTION("""COMPUTED_VALUE"""),"01250233")</f>
        <v>01250233</v>
      </c>
      <c r="AL1217" s="211"/>
      <c r="AM1217" s="211"/>
      <c r="AN1217" s="211"/>
      <c r="AO1217" s="211"/>
      <c r="AP1217" s="215"/>
      <c r="AQ1217" s="218"/>
      <c r="AR1217" s="211"/>
    </row>
    <row r="1218">
      <c r="A1218" s="210" t="str">
        <f>IFERROR(__xludf.DUMMYFUNCTION("""COMPUTED_VALUE"""),"b7d830b6")</f>
        <v>b7d830b6</v>
      </c>
      <c r="B1218" s="210" t="str">
        <f>IFERROR(__xludf.DUMMYFUNCTION("""COMPUTED_VALUE"""),"b7d830b6")</f>
        <v>b7d830b6</v>
      </c>
      <c r="C1218" s="213">
        <f>IFERROR(__xludf.DUMMYFUNCTION("""COMPUTED_VALUE"""),45822.606944444444)</f>
        <v>45822.60694</v>
      </c>
      <c r="D1218" s="211" t="str">
        <f>IFERROR(__xludf.DUMMYFUNCTION("""COMPUTED_VALUE"""),"3bcd7fe6")</f>
        <v>3bcd7fe6</v>
      </c>
      <c r="E1218" s="211" t="str">
        <f>IFERROR(__xludf.DUMMYFUNCTION("""COMPUTED_VALUE"""),"Bpk. Alvin (LB Group)")</f>
        <v>Bpk. Alvin (LB Group)</v>
      </c>
      <c r="F1218" s="211" t="str">
        <f>IFERROR(__xludf.DUMMYFUNCTION("""COMPUTED_VALUE"""),"7d2764f1")</f>
        <v>7d2764f1</v>
      </c>
      <c r="G1218" s="211" t="str">
        <f>IFERROR(__xludf.DUMMYFUNCTION("""COMPUTED_VALUE"""),"Oksigen 7m3")</f>
        <v>Oksigen 7m3</v>
      </c>
      <c r="H1218" s="214" t="str">
        <f>IFERROR(__xludf.DUMMYFUNCTION("""COMPUTED_VALUE"""),"IN")</f>
        <v>IN</v>
      </c>
      <c r="I1218" s="214" t="str">
        <f>IFERROR(__xludf.DUMMYFUNCTION("""COMPUTED_VALUE"""),"EMPTY")</f>
        <v>EMPTY</v>
      </c>
      <c r="J1218" s="211">
        <f>IFERROR(__xludf.DUMMYFUNCTION("""COMPUTED_VALUE"""),2.0)</f>
        <v>2</v>
      </c>
      <c r="K1218" s="210" t="str">
        <f>IFERROR(__xludf.DUMMYFUNCTION("""COMPUTED_VALUE"""),"11222 11230")</f>
        <v>11222 11230</v>
      </c>
      <c r="L1218" s="211">
        <f>IFERROR(__xludf.DUMMYFUNCTION("""COMPUTED_VALUE"""),0.0)</f>
        <v>0</v>
      </c>
      <c r="M1218" s="211"/>
      <c r="N1218" s="211"/>
      <c r="O1218" s="211"/>
      <c r="Q1218" s="211"/>
      <c r="R1218" s="211"/>
      <c r="S1218" s="211"/>
      <c r="T1218" s="211"/>
      <c r="U1218" s="211"/>
      <c r="V1218" s="211"/>
      <c r="W1218" s="211"/>
      <c r="X1218" s="211"/>
      <c r="Z1218" s="211" t="str">
        <f>IFERROR(__xludf.DUMMYFUNCTION("""COMPUTED_VALUE"""),"01250232")</f>
        <v>01250232</v>
      </c>
      <c r="AL1218" s="211"/>
      <c r="AM1218" s="211"/>
      <c r="AN1218" s="211"/>
      <c r="AO1218" s="211"/>
      <c r="AP1218" s="215"/>
      <c r="AQ1218" s="218"/>
      <c r="AR1218" s="211"/>
    </row>
    <row r="1219">
      <c r="A1219" s="210" t="str">
        <f>IFERROR(__xludf.DUMMYFUNCTION("""COMPUTED_VALUE"""),"a0bc1a65")</f>
        <v>a0bc1a65</v>
      </c>
      <c r="B1219" s="210" t="str">
        <f>IFERROR(__xludf.DUMMYFUNCTION("""COMPUTED_VALUE"""),"a0bc1a65")</f>
        <v>a0bc1a65</v>
      </c>
      <c r="C1219" s="213">
        <f>IFERROR(__xludf.DUMMYFUNCTION("""COMPUTED_VALUE"""),45822.606944444444)</f>
        <v>45822.60694</v>
      </c>
      <c r="D1219" s="211" t="str">
        <f>IFERROR(__xludf.DUMMYFUNCTION("""COMPUTED_VALUE"""),"01158be1")</f>
        <v>01158be1</v>
      </c>
      <c r="E1219" s="211" t="str">
        <f>IFERROR(__xludf.DUMMYFUNCTION("""COMPUTED_VALUE"""),"GYF")</f>
        <v>GYF</v>
      </c>
      <c r="F1219" s="211" t="str">
        <f>IFERROR(__xludf.DUMMYFUNCTION("""COMPUTED_VALUE"""),"8bdbe149")</f>
        <v>8bdbe149</v>
      </c>
      <c r="G1219" s="211" t="str">
        <f>IFERROR(__xludf.DUMMYFUNCTION("""COMPUTED_VALUE"""),"Oksigen 6m3")</f>
        <v>Oksigen 6m3</v>
      </c>
      <c r="H1219" s="214" t="str">
        <f>IFERROR(__xludf.DUMMYFUNCTION("""COMPUTED_VALUE"""),"IN")</f>
        <v>IN</v>
      </c>
      <c r="I1219" s="214" t="str">
        <f>IFERROR(__xludf.DUMMYFUNCTION("""COMPUTED_VALUE"""),"EMPTY")</f>
        <v>EMPTY</v>
      </c>
      <c r="J1219" s="211">
        <f>IFERROR(__xludf.DUMMYFUNCTION("""COMPUTED_VALUE"""),12.0)</f>
        <v>12</v>
      </c>
      <c r="K1219" s="210" t="str">
        <f>IFERROR(__xludf.DUMMYFUNCTION("""COMPUTED_VALUE"""),"11234 1150 1175 1185 11102 11200 11204 11244 11125 11269 11178 11285")</f>
        <v>11234 1150 1175 1185 11102 11200 11204 11244 11125 11269 11178 11285</v>
      </c>
      <c r="L1219" s="211">
        <f>IFERROR(__xludf.DUMMYFUNCTION("""COMPUTED_VALUE"""),0.0)</f>
        <v>0</v>
      </c>
      <c r="M1219" s="211"/>
      <c r="N1219" s="211"/>
      <c r="O1219" s="211"/>
      <c r="Q1219" s="210" t="str">
        <f>IFERROR(__xludf.DUMMYFUNCTION("""COMPUTED_VALUE"""),"0925101219")</f>
        <v>0925101219</v>
      </c>
      <c r="R1219" s="210" t="str">
        <f>IFERROR(__xludf.DUMMYFUNCTION("""COMPUTED_VALUE"""),"0925101219")</f>
        <v>0925101219</v>
      </c>
      <c r="S1219" s="211" t="str">
        <f>IFERROR(__xludf.DUMMYFUNCTION("""COMPUTED_VALUE"""),"3bcd7fe6")</f>
        <v>3bcd7fe6</v>
      </c>
      <c r="T1219" s="211" t="str">
        <f>IFERROR(__xludf.DUMMYFUNCTION("""COMPUTED_VALUE"""),"Bpk. Alvin (LB Group)")</f>
        <v>Bpk. Alvin (LB Group)</v>
      </c>
      <c r="U1219" s="215">
        <f>IFERROR(__xludf.DUMMYFUNCTION("""COMPUTED_VALUE"""),45904.36384259259)</f>
        <v>45904.36384</v>
      </c>
      <c r="V1219" s="211" t="str">
        <f>IFERROR(__xludf.DUMMYFUNCTION("""COMPUTED_VALUE"""),"MFF9+XHC, Jalan, Tambakrejo, Temuireng, Kec. Dawar Blandong, Kabupaten Mojokerto, Jawa Timur 61354")</f>
        <v>MFF9+XHC, Jalan, Tambakrejo, Temuireng, Kec. Dawar Blandong, Kabupaten Mojokerto, Jawa Timur 61354</v>
      </c>
      <c r="W1219" s="211" t="str">
        <f>IFERROR(__xludf.DUMMYFUNCTION("""COMPUTED_VALUE"""),"OUT")</f>
        <v>OUT</v>
      </c>
      <c r="X1219" s="211"/>
      <c r="Z1219" s="211" t="str">
        <f>IFERROR(__xludf.DUMMYFUNCTION("""COMPUTED_VALUE"""),"01250231")</f>
        <v>01250231</v>
      </c>
      <c r="AL1219" s="211"/>
      <c r="AM1219" s="211"/>
      <c r="AN1219" s="211"/>
      <c r="AO1219" s="211"/>
      <c r="AP1219" s="215"/>
      <c r="AQ1219" s="218"/>
      <c r="AR1219" s="211"/>
    </row>
    <row r="1220">
      <c r="A1220" s="210" t="str">
        <f>IFERROR(__xludf.DUMMYFUNCTION("""COMPUTED_VALUE"""),"001b70e0")</f>
        <v>001b70e0</v>
      </c>
      <c r="B1220" s="210" t="str">
        <f>IFERROR(__xludf.DUMMYFUNCTION("""COMPUTED_VALUE"""),"001b70e0")</f>
        <v>001b70e0</v>
      </c>
      <c r="C1220" s="213">
        <f>IFERROR(__xludf.DUMMYFUNCTION("""COMPUTED_VALUE"""),45822.60833333333)</f>
        <v>45822.60833</v>
      </c>
      <c r="D1220" s="211" t="str">
        <f>IFERROR(__xludf.DUMMYFUNCTION("""COMPUTED_VALUE"""),"8ea74d81")</f>
        <v>8ea74d81</v>
      </c>
      <c r="E1220" s="211" t="str">
        <f>IFERROR(__xludf.DUMMYFUNCTION("""COMPUTED_VALUE"""),"Bengkel Adi Putra")</f>
        <v>Bengkel Adi Putra</v>
      </c>
      <c r="F1220" s="211" t="str">
        <f>IFERROR(__xludf.DUMMYFUNCTION("""COMPUTED_VALUE"""),"8bdbe149")</f>
        <v>8bdbe149</v>
      </c>
      <c r="G1220" s="211" t="str">
        <f>IFERROR(__xludf.DUMMYFUNCTION("""COMPUTED_VALUE"""),"Oksigen 6m3")</f>
        <v>Oksigen 6m3</v>
      </c>
      <c r="H1220" s="214" t="str">
        <f>IFERROR(__xludf.DUMMYFUNCTION("""COMPUTED_VALUE"""),"IN")</f>
        <v>IN</v>
      </c>
      <c r="I1220" s="214" t="str">
        <f>IFERROR(__xludf.DUMMYFUNCTION("""COMPUTED_VALUE"""),"EMPTY")</f>
        <v>EMPTY</v>
      </c>
      <c r="J1220" s="211">
        <f>IFERROR(__xludf.DUMMYFUNCTION("""COMPUTED_VALUE"""),1.0)</f>
        <v>1</v>
      </c>
      <c r="K1220" s="210" t="str">
        <f>IFERROR(__xludf.DUMMYFUNCTION("""COMPUTED_VALUE"""),"1161")</f>
        <v>1161</v>
      </c>
      <c r="L1220" s="211">
        <f>IFERROR(__xludf.DUMMYFUNCTION("""COMPUTED_VALUE"""),0.0)</f>
        <v>0</v>
      </c>
      <c r="M1220" s="211"/>
      <c r="N1220" s="211"/>
      <c r="O1220" s="211"/>
      <c r="Q1220" s="210" t="str">
        <f>IFERROR(__xludf.DUMMYFUNCTION("""COMPUTED_VALUE"""),"1250554")</f>
        <v>1250554</v>
      </c>
      <c r="R1220" s="210" t="str">
        <f>IFERROR(__xludf.DUMMYFUNCTION("""COMPUTED_VALUE"""),"1250554")</f>
        <v>1250554</v>
      </c>
      <c r="S1220" s="211" t="str">
        <f>IFERROR(__xludf.DUMMYFUNCTION("""COMPUTED_VALUE"""),"196b24da")</f>
        <v>196b24da</v>
      </c>
      <c r="T1220" s="211" t="str">
        <f>IFERROR(__xludf.DUMMYFUNCTION("""COMPUTED_VALUE"""),"PT Samudra Cipta Enjineering")</f>
        <v>PT Samudra Cipta Enjineering</v>
      </c>
      <c r="U1220" s="215">
        <f>IFERROR(__xludf.DUMMYFUNCTION("""COMPUTED_VALUE"""),45904.366215277776)</f>
        <v>45904.36622</v>
      </c>
      <c r="V1220" s="211" t="str">
        <f>IFERROR(__xludf.DUMMYFUNCTION("""COMPUTED_VALUE"""),"Pergudangan Center Point Blok C4   Ds. Kemangsen  Balongbendo")</f>
        <v>Pergudangan Center Point Blok C4   Ds. Kemangsen  Balongbendo</v>
      </c>
      <c r="W1220" s="211" t="str">
        <f>IFERROR(__xludf.DUMMYFUNCTION("""COMPUTED_VALUE"""),"IN")</f>
        <v>IN</v>
      </c>
      <c r="X1220" s="211"/>
      <c r="Z1220" s="211" t="str">
        <f>IFERROR(__xludf.DUMMYFUNCTION("""COMPUTED_VALUE"""),"01250230")</f>
        <v>01250230</v>
      </c>
      <c r="AL1220" s="211"/>
      <c r="AM1220" s="211"/>
      <c r="AN1220" s="211"/>
      <c r="AO1220" s="211"/>
      <c r="AP1220" s="215"/>
      <c r="AQ1220" s="218"/>
      <c r="AR1220" s="211"/>
    </row>
    <row r="1221">
      <c r="A1221" s="211"/>
      <c r="B1221" s="211"/>
      <c r="C1221" s="211"/>
      <c r="D1221" s="211"/>
      <c r="E1221" s="211"/>
      <c r="F1221" s="211"/>
      <c r="G1221" s="211"/>
      <c r="H1221" s="211"/>
      <c r="I1221" s="211"/>
      <c r="J1221" s="211"/>
      <c r="K1221" s="211"/>
      <c r="L1221" s="211"/>
      <c r="M1221" s="211"/>
      <c r="N1221" s="211"/>
      <c r="O1221" s="211"/>
      <c r="Q1221" s="210" t="str">
        <f>IFERROR(__xludf.DUMMYFUNCTION("""COMPUTED_VALUE"""),"1250563")</f>
        <v>1250563</v>
      </c>
      <c r="R1221" s="210" t="str">
        <f>IFERROR(__xludf.DUMMYFUNCTION("""COMPUTED_VALUE"""),"1250563")</f>
        <v>1250563</v>
      </c>
      <c r="S1221" s="211" t="str">
        <f>IFERROR(__xludf.DUMMYFUNCTION("""COMPUTED_VALUE"""),"3bcd7fe6")</f>
        <v>3bcd7fe6</v>
      </c>
      <c r="T1221" s="211" t="str">
        <f>IFERROR(__xludf.DUMMYFUNCTION("""COMPUTED_VALUE"""),"Bpk. Alvin (LB Group)")</f>
        <v>Bpk. Alvin (LB Group)</v>
      </c>
      <c r="U1221" s="215">
        <f>IFERROR(__xludf.DUMMYFUNCTION("""COMPUTED_VALUE"""),45904.54890046296)</f>
        <v>45904.5489</v>
      </c>
      <c r="V1221" s="211" t="str">
        <f>IFERROR(__xludf.DUMMYFUNCTION("""COMPUTED_VALUE"""),"MFF9+XHC, Jalan, Tambakrejo, Temuireng, Kec. Dawar Blandong, Kabupaten Mojokerto, Jawa Timur 61354")</f>
        <v>MFF9+XHC, Jalan, Tambakrejo, Temuireng, Kec. Dawar Blandong, Kabupaten Mojokerto, Jawa Timur 61354</v>
      </c>
      <c r="W1221" s="211" t="str">
        <f>IFERROR(__xludf.DUMMYFUNCTION("""COMPUTED_VALUE"""),"IN")</f>
        <v>IN</v>
      </c>
      <c r="X1221" s="211"/>
      <c r="Z1221" s="211" t="str">
        <f>IFERROR(__xludf.DUMMYFUNCTION("""COMPUTED_VALUE"""),"01250229")</f>
        <v>01250229</v>
      </c>
      <c r="AL1221" s="211"/>
      <c r="AM1221" s="211"/>
      <c r="AN1221" s="211"/>
      <c r="AO1221" s="211"/>
      <c r="AP1221" s="215"/>
      <c r="AQ1221" s="218"/>
      <c r="AR1221" s="211"/>
    </row>
    <row r="1222">
      <c r="A1222" s="210" t="str">
        <f>IFERROR(__xludf.DUMMYFUNCTION("""COMPUTED_VALUE"""),"06250516")</f>
        <v>06250516</v>
      </c>
      <c r="B1222" s="210" t="str">
        <f>IFERROR(__xludf.DUMMYFUNCTION("""COMPUTED_VALUE"""),"06250516")</f>
        <v>06250516</v>
      </c>
      <c r="C1222" s="213">
        <f>IFERROR(__xludf.DUMMYFUNCTION("""COMPUTED_VALUE"""),45824.4625)</f>
        <v>45824.4625</v>
      </c>
      <c r="D1222" s="211" t="str">
        <f>IFERROR(__xludf.DUMMYFUNCTION("""COMPUTED_VALUE"""),"182fb0fe")</f>
        <v>182fb0fe</v>
      </c>
      <c r="E1222" s="211" t="str">
        <f>IFERROR(__xludf.DUMMYFUNCTION("""COMPUTED_VALUE"""),"PT Amtech")</f>
        <v>PT Amtech</v>
      </c>
      <c r="F1222" s="211" t="str">
        <f>IFERROR(__xludf.DUMMYFUNCTION("""COMPUTED_VALUE"""),"66af7c72")</f>
        <v>66af7c72</v>
      </c>
      <c r="G1222" s="211" t="str">
        <f>IFERROR(__xludf.DUMMYFUNCTION("""COMPUTED_VALUE"""),"Argon 6m3")</f>
        <v>Argon 6m3</v>
      </c>
      <c r="H1222" s="214" t="str">
        <f>IFERROR(__xludf.DUMMYFUNCTION("""COMPUTED_VALUE"""),"OUT")</f>
        <v>OUT</v>
      </c>
      <c r="I1222" s="214" t="str">
        <f>IFERROR(__xludf.DUMMYFUNCTION("""COMPUTED_VALUE"""),"NORMAL")</f>
        <v>NORMAL</v>
      </c>
      <c r="J1222" s="211">
        <f>IFERROR(__xludf.DUMMYFUNCTION("""COMPUTED_VALUE"""),8.0)</f>
        <v>8</v>
      </c>
      <c r="K1222" s="210" t="str">
        <f>IFERROR(__xludf.DUMMYFUNCTION("""COMPUTED_VALUE"""),"12003 12024 12042 12021 12029 12025 12034 12041")</f>
        <v>12003 12024 12042 12021 12029 12025 12034 12041</v>
      </c>
      <c r="L1222" s="211">
        <f>IFERROR(__xludf.DUMMYFUNCTION("""COMPUTED_VALUE"""),190000.0)</f>
        <v>190000</v>
      </c>
      <c r="M1222" s="211"/>
      <c r="N1222" s="211"/>
      <c r="O1222" s="211"/>
      <c r="Q1222" s="210" t="str">
        <f>IFERROR(__xludf.DUMMYFUNCTION("""COMPUTED_VALUE"""),"1250564")</f>
        <v>1250564</v>
      </c>
      <c r="R1222" s="210" t="str">
        <f>IFERROR(__xludf.DUMMYFUNCTION("""COMPUTED_VALUE"""),"1250564")</f>
        <v>1250564</v>
      </c>
      <c r="S1222" s="211" t="str">
        <f>IFERROR(__xludf.DUMMYFUNCTION("""COMPUTED_VALUE"""),"01158be1")</f>
        <v>01158be1</v>
      </c>
      <c r="T1222" s="211" t="str">
        <f>IFERROR(__xludf.DUMMYFUNCTION("""COMPUTED_VALUE"""),"GYF")</f>
        <v>GYF</v>
      </c>
      <c r="U1222" s="215">
        <f>IFERROR(__xludf.DUMMYFUNCTION("""COMPUTED_VALUE"""),45904.55064814815)</f>
        <v>45904.55065</v>
      </c>
      <c r="V1222" s="211" t="str">
        <f>IFERROR(__xludf.DUMMYFUNCTION("""COMPUTED_VALUE"""),"Kangkungan, Lengkong, Kec. Mojoanyar, Kabupaten Mojokerto, Jawa Timur")</f>
        <v>Kangkungan, Lengkong, Kec. Mojoanyar, Kabupaten Mojokerto, Jawa Timur</v>
      </c>
      <c r="W1222" s="211" t="str">
        <f>IFERROR(__xludf.DUMMYFUNCTION("""COMPUTED_VALUE"""),"IN")</f>
        <v>IN</v>
      </c>
      <c r="X1222" s="211"/>
      <c r="Z1222" s="211" t="str">
        <f>IFERROR(__xludf.DUMMYFUNCTION("""COMPUTED_VALUE"""),"01250228")</f>
        <v>01250228</v>
      </c>
      <c r="AL1222" s="211"/>
      <c r="AM1222" s="211"/>
      <c r="AN1222" s="211"/>
      <c r="AO1222" s="211"/>
      <c r="AP1222" s="215"/>
      <c r="AQ1222" s="218"/>
      <c r="AR1222" s="211"/>
    </row>
    <row r="1223">
      <c r="A1223" s="210" t="str">
        <f>IFERROR(__xludf.DUMMYFUNCTION("""COMPUTED_VALUE"""),"06250517")</f>
        <v>06250517</v>
      </c>
      <c r="B1223" s="210" t="str">
        <f>IFERROR(__xludf.DUMMYFUNCTION("""COMPUTED_VALUE"""),"06250517")</f>
        <v>06250517</v>
      </c>
      <c r="C1223" s="213">
        <f>IFERROR(__xludf.DUMMYFUNCTION("""COMPUTED_VALUE"""),45824.49097222222)</f>
        <v>45824.49097</v>
      </c>
      <c r="D1223" s="211" t="str">
        <f>IFERROR(__xludf.DUMMYFUNCTION("""COMPUTED_VALUE"""),"3fec37df")</f>
        <v>3fec37df</v>
      </c>
      <c r="E1223" s="211" t="str">
        <f>IFERROR(__xludf.DUMMYFUNCTION("""COMPUTED_VALUE"""),"PT Jatim Abadi Perkasa Steel")</f>
        <v>PT Jatim Abadi Perkasa Steel</v>
      </c>
      <c r="F1223" s="211" t="str">
        <f>IFERROR(__xludf.DUMMYFUNCTION("""COMPUTED_VALUE"""),"b7a8fff1")</f>
        <v>b7a8fff1</v>
      </c>
      <c r="G1223" s="211" t="str">
        <f>IFERROR(__xludf.DUMMYFUNCTION("""COMPUTED_VALUE"""),"LPG 50kg")</f>
        <v>LPG 50kg</v>
      </c>
      <c r="H1223" s="214" t="str">
        <f>IFERROR(__xludf.DUMMYFUNCTION("""COMPUTED_VALUE"""),"OUT")</f>
        <v>OUT</v>
      </c>
      <c r="I1223" s="214" t="str">
        <f>IFERROR(__xludf.DUMMYFUNCTION("""COMPUTED_VALUE"""),"NORMAL")</f>
        <v>NORMAL</v>
      </c>
      <c r="J1223" s="211">
        <f>IFERROR(__xludf.DUMMYFUNCTION("""COMPUTED_VALUE"""),4.0)</f>
        <v>4</v>
      </c>
      <c r="K1223" s="211"/>
      <c r="L1223" s="211">
        <f>IFERROR(__xludf.DUMMYFUNCTION("""COMPUTED_VALUE"""),909909.9099)</f>
        <v>909909.9099</v>
      </c>
      <c r="M1223" s="211"/>
      <c r="N1223" s="211"/>
      <c r="O1223" s="211"/>
      <c r="Q1223" s="210" t="str">
        <f>IFERROR(__xludf.DUMMYFUNCTION("""COMPUTED_VALUE"""),"1250566")</f>
        <v>1250566</v>
      </c>
      <c r="R1223" s="210" t="str">
        <f>IFERROR(__xludf.DUMMYFUNCTION("""COMPUTED_VALUE"""),"1250566")</f>
        <v>1250566</v>
      </c>
      <c r="S1223" s="211" t="str">
        <f>IFERROR(__xludf.DUMMYFUNCTION("""COMPUTED_VALUE"""),"b218b89b")</f>
        <v>b218b89b</v>
      </c>
      <c r="T1223" s="211" t="str">
        <f>IFERROR(__xludf.DUMMYFUNCTION("""COMPUTED_VALUE"""),"PT Harapan Sentosa")</f>
        <v>PT Harapan Sentosa</v>
      </c>
      <c r="U1223" s="215">
        <f>IFERROR(__xludf.DUMMYFUNCTION("""COMPUTED_VALUE"""),45906.348391203705)</f>
        <v>45906.34839</v>
      </c>
      <c r="V1223" s="211" t="str">
        <f>IFERROR(__xludf.DUMMYFUNCTION("""COMPUTED_VALUE"""),"Seketi, Jl. Purboyo II Selatan, RT.02/RW.02, Seketi, Kec. BalongBendo, Kabupaten Sidoarjo, Jawa Timur 61263")</f>
        <v>Seketi, Jl. Purboyo II Selatan, RT.02/RW.02, Seketi, Kec. BalongBendo, Kabupaten Sidoarjo, Jawa Timur 61263</v>
      </c>
      <c r="W1223" s="211" t="str">
        <f>IFERROR(__xludf.DUMMYFUNCTION("""COMPUTED_VALUE"""),"IN")</f>
        <v>IN</v>
      </c>
      <c r="X1223" s="211"/>
      <c r="Z1223" s="211" t="str">
        <f>IFERROR(__xludf.DUMMYFUNCTION("""COMPUTED_VALUE"""),"01250227")</f>
        <v>01250227</v>
      </c>
      <c r="AL1223" s="211"/>
      <c r="AM1223" s="211"/>
      <c r="AN1223" s="211"/>
      <c r="AO1223" s="211"/>
      <c r="AP1223" s="215"/>
      <c r="AQ1223" s="218"/>
      <c r="AR1223" s="211"/>
    </row>
    <row r="1224">
      <c r="A1224" s="210" t="str">
        <f>IFERROR(__xludf.DUMMYFUNCTION("""COMPUTED_VALUE"""),"406250017")</f>
        <v>406250017</v>
      </c>
      <c r="B1224" s="210" t="str">
        <f>IFERROR(__xludf.DUMMYFUNCTION("""COMPUTED_VALUE"""),"406250017")</f>
        <v>406250017</v>
      </c>
      <c r="C1224" s="213">
        <f>IFERROR(__xludf.DUMMYFUNCTION("""COMPUTED_VALUE"""),45824.49097222222)</f>
        <v>45824.49097</v>
      </c>
      <c r="D1224" s="211" t="str">
        <f>IFERROR(__xludf.DUMMYFUNCTION("""COMPUTED_VALUE"""),"3fec37df")</f>
        <v>3fec37df</v>
      </c>
      <c r="E1224" s="211" t="str">
        <f>IFERROR(__xludf.DUMMYFUNCTION("""COMPUTED_VALUE"""),"PT Jatim Abadi Perkasa Steel")</f>
        <v>PT Jatim Abadi Perkasa Steel</v>
      </c>
      <c r="F1224" s="211" t="str">
        <f>IFERROR(__xludf.DUMMYFUNCTION("""COMPUTED_VALUE"""),"b7a8fff1")</f>
        <v>b7a8fff1</v>
      </c>
      <c r="G1224" s="211" t="str">
        <f>IFERROR(__xludf.DUMMYFUNCTION("""COMPUTED_VALUE"""),"LPG 50kg")</f>
        <v>LPG 50kg</v>
      </c>
      <c r="H1224" s="214" t="str">
        <f>IFERROR(__xludf.DUMMYFUNCTION("""COMPUTED_VALUE"""),"OTHER")</f>
        <v>OTHER</v>
      </c>
      <c r="I1224" s="214" t="str">
        <f>IFERROR(__xludf.DUMMYFUNCTION("""COMPUTED_VALUE"""),"RETUR CLAIM")</f>
        <v>RETUR CLAIM</v>
      </c>
      <c r="J1224" s="211">
        <f>IFERROR(__xludf.DUMMYFUNCTION("""COMPUTED_VALUE"""),1.0)</f>
        <v>1</v>
      </c>
      <c r="K1224" s="211"/>
      <c r="L1224" s="211">
        <f>IFERROR(__xludf.DUMMYFUNCTION("""COMPUTED_VALUE"""),0.0)</f>
        <v>0</v>
      </c>
      <c r="M1224" s="211"/>
      <c r="N1224" s="211"/>
      <c r="O1224" s="211"/>
      <c r="Q1224" s="210" t="str">
        <f>IFERROR(__xludf.DUMMYFUNCTION("""COMPUTED_VALUE"""),"1250567")</f>
        <v>1250567</v>
      </c>
      <c r="R1224" s="210" t="str">
        <f>IFERROR(__xludf.DUMMYFUNCTION("""COMPUTED_VALUE"""),"1250567")</f>
        <v>1250567</v>
      </c>
      <c r="S1224" s="211" t="str">
        <f>IFERROR(__xludf.DUMMYFUNCTION("""COMPUTED_VALUE"""),"a343b84d")</f>
        <v>a343b84d</v>
      </c>
      <c r="T1224" s="211" t="str">
        <f>IFERROR(__xludf.DUMMYFUNCTION("""COMPUTED_VALUE"""),"PT Utama Alim Sejahtera")</f>
        <v>PT Utama Alim Sejahtera</v>
      </c>
      <c r="U1224" s="215">
        <f>IFERROR(__xludf.DUMMYFUNCTION("""COMPUTED_VALUE"""),45906.35597222222)</f>
        <v>45906.35597</v>
      </c>
      <c r="V1224" s="211" t="str">
        <f>IFERROR(__xludf.DUMMYFUNCTION("""COMPUTED_VALUE"""),"JL. PURBOYO, SEKETI, BALONGBENDO, KAB.SIDOARJO, JAWA TIMUR, 61263")</f>
        <v>JL. PURBOYO, SEKETI, BALONGBENDO, KAB.SIDOARJO, JAWA TIMUR, 61263</v>
      </c>
      <c r="W1224" s="211" t="str">
        <f>IFERROR(__xludf.DUMMYFUNCTION("""COMPUTED_VALUE"""),"IN")</f>
        <v>IN</v>
      </c>
      <c r="X1224" s="211"/>
      <c r="Z1224" s="211" t="str">
        <f>IFERROR(__xludf.DUMMYFUNCTION("""COMPUTED_VALUE"""),"01250226")</f>
        <v>01250226</v>
      </c>
      <c r="AL1224" s="211"/>
      <c r="AM1224" s="211"/>
      <c r="AN1224" s="211"/>
      <c r="AO1224" s="211"/>
      <c r="AP1224" s="215"/>
      <c r="AQ1224" s="218"/>
      <c r="AR1224" s="211"/>
    </row>
    <row r="1225">
      <c r="A1225" s="210" t="str">
        <f>IFERROR(__xludf.DUMMYFUNCTION("""COMPUTED_VALUE"""),"06250518")</f>
        <v>06250518</v>
      </c>
      <c r="B1225" s="210" t="str">
        <f>IFERROR(__xludf.DUMMYFUNCTION("""COMPUTED_VALUE"""),"06250518")</f>
        <v>06250518</v>
      </c>
      <c r="C1225" s="213">
        <f>IFERROR(__xludf.DUMMYFUNCTION("""COMPUTED_VALUE"""),45824.563888888886)</f>
        <v>45824.56389</v>
      </c>
      <c r="D1225" s="211" t="str">
        <f>IFERROR(__xludf.DUMMYFUNCTION("""COMPUTED_VALUE"""),"4bef3bbf")</f>
        <v>4bef3bbf</v>
      </c>
      <c r="E1225" s="211" t="str">
        <f>IFERROR(__xludf.DUMMYFUNCTION("""COMPUTED_VALUE"""),"PT Dingsheng Metal Indonesia (Ngoro)")</f>
        <v>PT Dingsheng Metal Indonesia (Ngoro)</v>
      </c>
      <c r="F1225" s="211" t="str">
        <f>IFERROR(__xludf.DUMMYFUNCTION("""COMPUTED_VALUE"""),"8bdbe149")</f>
        <v>8bdbe149</v>
      </c>
      <c r="G1225" s="211" t="str">
        <f>IFERROR(__xludf.DUMMYFUNCTION("""COMPUTED_VALUE"""),"Oksigen 6m3")</f>
        <v>Oksigen 6m3</v>
      </c>
      <c r="H1225" s="214" t="str">
        <f>IFERROR(__xludf.DUMMYFUNCTION("""COMPUTED_VALUE"""),"OUT")</f>
        <v>OUT</v>
      </c>
      <c r="I1225" s="214" t="str">
        <f>IFERROR(__xludf.DUMMYFUNCTION("""COMPUTED_VALUE"""),"NORMAL")</f>
        <v>NORMAL</v>
      </c>
      <c r="J1225" s="211">
        <f>IFERROR(__xludf.DUMMYFUNCTION("""COMPUTED_VALUE"""),10.0)</f>
        <v>10</v>
      </c>
      <c r="K1225" s="210" t="str">
        <f>IFERROR(__xludf.DUMMYFUNCTION("""COMPUTED_VALUE"""),"1134 1186 11272 11238 1117 1138 1153 11250 11262 11120")</f>
        <v>1134 1186 11272 11238 1117 1138 1153 11250 11262 11120</v>
      </c>
      <c r="L1225" s="211">
        <f>IFERROR(__xludf.DUMMYFUNCTION("""COMPUTED_VALUE"""),45045.045)</f>
        <v>45045.045</v>
      </c>
      <c r="M1225" s="211"/>
      <c r="N1225" s="211"/>
      <c r="O1225" s="211"/>
      <c r="Q1225" s="210" t="str">
        <f>IFERROR(__xludf.DUMMYFUNCTION("""COMPUTED_VALUE"""),"1250565")</f>
        <v>1250565</v>
      </c>
      <c r="R1225" s="210" t="str">
        <f>IFERROR(__xludf.DUMMYFUNCTION("""COMPUTED_VALUE"""),"1250565")</f>
        <v>1250565</v>
      </c>
      <c r="S1225" s="211" t="str">
        <f>IFERROR(__xludf.DUMMYFUNCTION("""COMPUTED_VALUE"""),"2d88931c")</f>
        <v>2d88931c</v>
      </c>
      <c r="T1225" s="211" t="str">
        <f>IFERROR(__xludf.DUMMYFUNCTION("""COMPUTED_VALUE"""),"PT Dunia Berkat Marga Mulya")</f>
        <v>PT Dunia Berkat Marga Mulya</v>
      </c>
      <c r="U1225" s="215">
        <f>IFERROR(__xludf.DUMMYFUNCTION("""COMPUTED_VALUE"""),45906.36127314815)</f>
        <v>45906.36127</v>
      </c>
      <c r="V1225" s="211" t="str">
        <f>IFERROR(__xludf.DUMMYFUNCTION("""COMPUTED_VALUE"""),"JL JABARAN, WATESARI, BALONGBENDO, SIDOARJO, JAWA TIMUR")</f>
        <v>JL JABARAN, WATESARI, BALONGBENDO, SIDOARJO, JAWA TIMUR</v>
      </c>
      <c r="W1225" s="211" t="str">
        <f>IFERROR(__xludf.DUMMYFUNCTION("""COMPUTED_VALUE"""),"IN")</f>
        <v>IN</v>
      </c>
      <c r="X1225" s="211"/>
      <c r="Z1225" s="211" t="str">
        <f>IFERROR(__xludf.DUMMYFUNCTION("""COMPUTED_VALUE"""),"01250225")</f>
        <v>01250225</v>
      </c>
      <c r="AL1225" s="211"/>
      <c r="AM1225" s="211"/>
      <c r="AN1225" s="211"/>
      <c r="AO1225" s="211"/>
      <c r="AP1225" s="215"/>
      <c r="AQ1225" s="218"/>
      <c r="AR1225" s="211"/>
    </row>
    <row r="1226">
      <c r="A1226" s="210" t="str">
        <f>IFERROR(__xludf.DUMMYFUNCTION("""COMPUTED_VALUE"""),"3d4dc704")</f>
        <v>3d4dc704</v>
      </c>
      <c r="B1226" s="210" t="str">
        <f>IFERROR(__xludf.DUMMYFUNCTION("""COMPUTED_VALUE"""),"3d4dc704")</f>
        <v>3d4dc704</v>
      </c>
      <c r="C1226" s="213">
        <f>IFERROR(__xludf.DUMMYFUNCTION("""COMPUTED_VALUE"""),45824.75069444445)</f>
        <v>45824.75069</v>
      </c>
      <c r="D1226" s="211" t="str">
        <f>IFERROR(__xludf.DUMMYFUNCTION("""COMPUTED_VALUE"""),"3fec37df")</f>
        <v>3fec37df</v>
      </c>
      <c r="E1226" s="211" t="str">
        <f>IFERROR(__xludf.DUMMYFUNCTION("""COMPUTED_VALUE"""),"PT Jatim Abadi Perkasa Steel")</f>
        <v>PT Jatim Abadi Perkasa Steel</v>
      </c>
      <c r="F1226" s="211" t="str">
        <f>IFERROR(__xludf.DUMMYFUNCTION("""COMPUTED_VALUE"""),"b7a8fff1")</f>
        <v>b7a8fff1</v>
      </c>
      <c r="G1226" s="211" t="str">
        <f>IFERROR(__xludf.DUMMYFUNCTION("""COMPUTED_VALUE"""),"LPG 50kg")</f>
        <v>LPG 50kg</v>
      </c>
      <c r="H1226" s="214" t="str">
        <f>IFERROR(__xludf.DUMMYFUNCTION("""COMPUTED_VALUE"""),"IN")</f>
        <v>IN</v>
      </c>
      <c r="I1226" s="214" t="str">
        <f>IFERROR(__xludf.DUMMYFUNCTION("""COMPUTED_VALUE"""),"EMPTY")</f>
        <v>EMPTY</v>
      </c>
      <c r="J1226" s="211">
        <f>IFERROR(__xludf.DUMMYFUNCTION("""COMPUTED_VALUE"""),4.0)</f>
        <v>4</v>
      </c>
      <c r="K1226" s="211"/>
      <c r="L1226" s="211">
        <f>IFERROR(__xludf.DUMMYFUNCTION("""COMPUTED_VALUE"""),0.0)</f>
        <v>0</v>
      </c>
      <c r="M1226" s="211"/>
      <c r="N1226" s="211"/>
      <c r="O1226" s="211"/>
      <c r="Q1226" s="210" t="str">
        <f>IFERROR(__xludf.DUMMYFUNCTION("""COMPUTED_VALUE"""),"0925171220")</f>
        <v>0925171220</v>
      </c>
      <c r="R1226" s="210" t="str">
        <f>IFERROR(__xludf.DUMMYFUNCTION("""COMPUTED_VALUE"""),"0925171220")</f>
        <v>0925171220</v>
      </c>
      <c r="S1226" s="211" t="str">
        <f>IFERROR(__xludf.DUMMYFUNCTION("""COMPUTED_VALUE"""),"b2b5f2c5")</f>
        <v>b2b5f2c5</v>
      </c>
      <c r="T1226" s="211" t="str">
        <f>IFERROR(__xludf.DUMMYFUNCTION("""COMPUTED_VALUE"""),"Bengkel Las Bpk. Ari")</f>
        <v>Bengkel Las Bpk. Ari</v>
      </c>
      <c r="U1226" s="215">
        <f>IFERROR(__xludf.DUMMYFUNCTION("""COMPUTED_VALUE"""),45906.382048611114)</f>
        <v>45906.38205</v>
      </c>
      <c r="V1226" s="211" t="str">
        <f>IFERROR(__xludf.DUMMYFUNCTION("""COMPUTED_VALUE"""),"Sumber Kembar, Wonodadi, Kec. Kutorejo, Kabupaten Mojokerto, Jawa Timur")</f>
        <v>Sumber Kembar, Wonodadi, Kec. Kutorejo, Kabupaten Mojokerto, Jawa Timur</v>
      </c>
      <c r="W1226" s="211" t="str">
        <f>IFERROR(__xludf.DUMMYFUNCTION("""COMPUTED_VALUE"""),"OUT")</f>
        <v>OUT</v>
      </c>
      <c r="X1226" s="211"/>
      <c r="Z1226" s="211" t="str">
        <f>IFERROR(__xludf.DUMMYFUNCTION("""COMPUTED_VALUE"""),"01250224")</f>
        <v>01250224</v>
      </c>
      <c r="AL1226" s="211"/>
      <c r="AM1226" s="211"/>
      <c r="AN1226" s="211"/>
      <c r="AO1226" s="211"/>
      <c r="AP1226" s="215"/>
      <c r="AQ1226" s="218"/>
      <c r="AR1226" s="211"/>
    </row>
    <row r="1227">
      <c r="A1227" s="210" t="str">
        <f>IFERROR(__xludf.DUMMYFUNCTION("""COMPUTED_VALUE"""),"3d4dc704")</f>
        <v>3d4dc704</v>
      </c>
      <c r="B1227" s="210" t="str">
        <f>IFERROR(__xludf.DUMMYFUNCTION("""COMPUTED_VALUE"""),"3d4dc704")</f>
        <v>3d4dc704</v>
      </c>
      <c r="C1227" s="213">
        <f>IFERROR(__xludf.DUMMYFUNCTION("""COMPUTED_VALUE"""),45824.751388888886)</f>
        <v>45824.75139</v>
      </c>
      <c r="D1227" s="211" t="str">
        <f>IFERROR(__xludf.DUMMYFUNCTION("""COMPUTED_VALUE"""),"3fec37df")</f>
        <v>3fec37df</v>
      </c>
      <c r="E1227" s="211" t="str">
        <f>IFERROR(__xludf.DUMMYFUNCTION("""COMPUTED_VALUE"""),"PT Jatim Abadi Perkasa Steel")</f>
        <v>PT Jatim Abadi Perkasa Steel</v>
      </c>
      <c r="F1227" s="211" t="str">
        <f>IFERROR(__xludf.DUMMYFUNCTION("""COMPUTED_VALUE"""),"b7a8fff1")</f>
        <v>b7a8fff1</v>
      </c>
      <c r="G1227" s="211" t="str">
        <f>IFERROR(__xludf.DUMMYFUNCTION("""COMPUTED_VALUE"""),"LPG 50kg")</f>
        <v>LPG 50kg</v>
      </c>
      <c r="H1227" s="214" t="str">
        <f>IFERROR(__xludf.DUMMYFUNCTION("""COMPUTED_VALUE"""),"IN")</f>
        <v>IN</v>
      </c>
      <c r="I1227" s="214" t="str">
        <f>IFERROR(__xludf.DUMMYFUNCTION("""COMPUTED_VALUE"""),"CLAIM")</f>
        <v>CLAIM</v>
      </c>
      <c r="J1227" s="211">
        <f>IFERROR(__xludf.DUMMYFUNCTION("""COMPUTED_VALUE"""),1.0)</f>
        <v>1</v>
      </c>
      <c r="K1227" s="211"/>
      <c r="L1227" s="211">
        <f>IFERROR(__xludf.DUMMYFUNCTION("""COMPUTED_VALUE"""),0.0)</f>
        <v>0</v>
      </c>
      <c r="M1227" s="211"/>
      <c r="N1227" s="211"/>
      <c r="O1227" s="211"/>
      <c r="Q1227" s="210" t="str">
        <f>IFERROR(__xludf.DUMMYFUNCTION("""COMPUTED_VALUE"""),"092521227")</f>
        <v>092521227</v>
      </c>
      <c r="R1227" s="210" t="str">
        <f>IFERROR(__xludf.DUMMYFUNCTION("""COMPUTED_VALUE"""),"092521227")</f>
        <v>092521227</v>
      </c>
      <c r="S1227" s="211" t="str">
        <f>IFERROR(__xludf.DUMMYFUNCTION("""COMPUTED_VALUE"""),"bdb5baf3")</f>
        <v>bdb5baf3</v>
      </c>
      <c r="T1227" s="211" t="str">
        <f>IFERROR(__xludf.DUMMYFUNCTION("""COMPUTED_VALUE"""),"Bpk. Abdul")</f>
        <v>Bpk. Abdul</v>
      </c>
      <c r="U1227" s="215">
        <f>IFERROR(__xludf.DUMMYFUNCTION("""COMPUTED_VALUE"""),45906.383622685185)</f>
        <v>45906.38362</v>
      </c>
      <c r="V1227" s="211" t="str">
        <f>IFERROR(__xludf.DUMMYFUNCTION("""COMPUTED_VALUE"""),"Bypass Krian")</f>
        <v>Bypass Krian</v>
      </c>
      <c r="W1227" s="211" t="str">
        <f>IFERROR(__xludf.DUMMYFUNCTION("""COMPUTED_VALUE"""),"OUT")</f>
        <v>OUT</v>
      </c>
      <c r="X1227" s="211"/>
      <c r="Z1227" s="211" t="str">
        <f>IFERROR(__xludf.DUMMYFUNCTION("""COMPUTED_VALUE"""),"01250223")</f>
        <v>01250223</v>
      </c>
      <c r="AL1227" s="211"/>
      <c r="AM1227" s="211"/>
      <c r="AN1227" s="211"/>
      <c r="AO1227" s="211"/>
      <c r="AP1227" s="215"/>
      <c r="AQ1227" s="218"/>
      <c r="AR1227" s="211"/>
    </row>
    <row r="1228">
      <c r="A1228" s="210" t="str">
        <f>IFERROR(__xludf.DUMMYFUNCTION("""COMPUTED_VALUE"""),"28af2106")</f>
        <v>28af2106</v>
      </c>
      <c r="B1228" s="210" t="str">
        <f>IFERROR(__xludf.DUMMYFUNCTION("""COMPUTED_VALUE"""),"28af2106")</f>
        <v>28af2106</v>
      </c>
      <c r="C1228" s="213">
        <f>IFERROR(__xludf.DUMMYFUNCTION("""COMPUTED_VALUE"""),45824.751388888886)</f>
        <v>45824.75139</v>
      </c>
      <c r="D1228" s="211" t="str">
        <f>IFERROR(__xludf.DUMMYFUNCTION("""COMPUTED_VALUE"""),"4bef3bbf")</f>
        <v>4bef3bbf</v>
      </c>
      <c r="E1228" s="211" t="str">
        <f>IFERROR(__xludf.DUMMYFUNCTION("""COMPUTED_VALUE"""),"PT Dingsheng Metal Indonesia (Ngoro)")</f>
        <v>PT Dingsheng Metal Indonesia (Ngoro)</v>
      </c>
      <c r="F1228" s="211" t="str">
        <f>IFERROR(__xludf.DUMMYFUNCTION("""COMPUTED_VALUE"""),"8bdbe149")</f>
        <v>8bdbe149</v>
      </c>
      <c r="G1228" s="211" t="str">
        <f>IFERROR(__xludf.DUMMYFUNCTION("""COMPUTED_VALUE"""),"Oksigen 6m3")</f>
        <v>Oksigen 6m3</v>
      </c>
      <c r="H1228" s="214" t="str">
        <f>IFERROR(__xludf.DUMMYFUNCTION("""COMPUTED_VALUE"""),"IN")</f>
        <v>IN</v>
      </c>
      <c r="I1228" s="214" t="str">
        <f>IFERROR(__xludf.DUMMYFUNCTION("""COMPUTED_VALUE"""),"EMPTY")</f>
        <v>EMPTY</v>
      </c>
      <c r="J1228" s="211">
        <f>IFERROR(__xludf.DUMMYFUNCTION("""COMPUTED_VALUE"""),11.0)</f>
        <v>11</v>
      </c>
      <c r="K1228" s="210" t="str">
        <f>IFERROR(__xludf.DUMMYFUNCTION("""COMPUTED_VALUE"""),"1140 1128 11281 1137 1154 11192 11253 11202 11194 1123 1102")</f>
        <v>1140 1128 11281 1137 1154 11192 11253 11202 11194 1123 1102</v>
      </c>
      <c r="L1228" s="211">
        <f>IFERROR(__xludf.DUMMYFUNCTION("""COMPUTED_VALUE"""),0.0)</f>
        <v>0</v>
      </c>
      <c r="M1228" s="211"/>
      <c r="N1228" s="211"/>
      <c r="O1228" s="211"/>
      <c r="Q1228" s="210" t="str">
        <f>IFERROR(__xludf.DUMMYFUNCTION("""COMPUTED_VALUE"""),"092521228")</f>
        <v>092521228</v>
      </c>
      <c r="R1228" s="210" t="str">
        <f>IFERROR(__xludf.DUMMYFUNCTION("""COMPUTED_VALUE"""),"092521228")</f>
        <v>092521228</v>
      </c>
      <c r="S1228" s="211" t="str">
        <f>IFERROR(__xludf.DUMMYFUNCTION("""COMPUTED_VALUE"""),"9e31e9f4")</f>
        <v>9e31e9f4</v>
      </c>
      <c r="T1228" s="211" t="str">
        <f>IFERROR(__xludf.DUMMYFUNCTION("""COMPUTED_VALUE"""),"Bpk. Eko Iswantoro")</f>
        <v>Bpk. Eko Iswantoro</v>
      </c>
      <c r="U1228" s="215">
        <f>IFERROR(__xludf.DUMMYFUNCTION("""COMPUTED_VALUE"""),45906.4278587963)</f>
        <v>45906.42786</v>
      </c>
      <c r="V1228" s="211" t="str">
        <f>IFERROR(__xludf.DUMMYFUNCTION("""COMPUTED_VALUE"""),"HHWW+8J Kemasan, Kec. Krian, Kabupaten Sidoarjo, Jawa Timur, Indonesia")</f>
        <v>HHWW+8J Kemasan, Kec. Krian, Kabupaten Sidoarjo, Jawa Timur, Indonesia</v>
      </c>
      <c r="W1228" s="211" t="str">
        <f>IFERROR(__xludf.DUMMYFUNCTION("""COMPUTED_VALUE"""),"OUT")</f>
        <v>OUT</v>
      </c>
      <c r="X1228" s="211"/>
      <c r="Z1228" s="211" t="str">
        <f>IFERROR(__xludf.DUMMYFUNCTION("""COMPUTED_VALUE"""),"01250222")</f>
        <v>01250222</v>
      </c>
      <c r="AL1228" s="211"/>
      <c r="AM1228" s="211"/>
      <c r="AN1228" s="211"/>
      <c r="AO1228" s="211"/>
      <c r="AP1228" s="215"/>
      <c r="AQ1228" s="218"/>
      <c r="AR1228" s="211"/>
    </row>
    <row r="1229">
      <c r="A1229" s="210" t="str">
        <f>IFERROR(__xludf.DUMMYFUNCTION("""COMPUTED_VALUE"""),"06250519")</f>
        <v>06250519</v>
      </c>
      <c r="B1229" s="210" t="str">
        <f>IFERROR(__xludf.DUMMYFUNCTION("""COMPUTED_VALUE"""),"06250519")</f>
        <v>06250519</v>
      </c>
      <c r="C1229" s="213">
        <f>IFERROR(__xludf.DUMMYFUNCTION("""COMPUTED_VALUE"""),45825.504166666666)</f>
        <v>45825.50417</v>
      </c>
      <c r="D1229" s="211" t="str">
        <f>IFERROR(__xludf.DUMMYFUNCTION("""COMPUTED_VALUE"""),"1bf27092")</f>
        <v>1bf27092</v>
      </c>
      <c r="E1229" s="211" t="str">
        <f>IFERROR(__xludf.DUMMYFUNCTION("""COMPUTED_VALUE"""),"Bpk. Ari Budiarto")</f>
        <v>Bpk. Ari Budiarto</v>
      </c>
      <c r="F1229" s="211" t="str">
        <f>IFERROR(__xludf.DUMMYFUNCTION("""COMPUTED_VALUE"""),"66af7c72")</f>
        <v>66af7c72</v>
      </c>
      <c r="G1229" s="211" t="str">
        <f>IFERROR(__xludf.DUMMYFUNCTION("""COMPUTED_VALUE"""),"Argon 6m3")</f>
        <v>Argon 6m3</v>
      </c>
      <c r="H1229" s="214" t="str">
        <f>IFERROR(__xludf.DUMMYFUNCTION("""COMPUTED_VALUE"""),"OUT")</f>
        <v>OUT</v>
      </c>
      <c r="I1229" s="214" t="str">
        <f>IFERROR(__xludf.DUMMYFUNCTION("""COMPUTED_VALUE"""),"NORMAL")</f>
        <v>NORMAL</v>
      </c>
      <c r="J1229" s="211">
        <f>IFERROR(__xludf.DUMMYFUNCTION("""COMPUTED_VALUE"""),1.0)</f>
        <v>1</v>
      </c>
      <c r="K1229" s="210" t="str">
        <f>IFERROR(__xludf.DUMMYFUNCTION("""COMPUTED_VALUE"""),"12007")</f>
        <v>12007</v>
      </c>
      <c r="L1229" s="211">
        <f>IFERROR(__xludf.DUMMYFUNCTION("""COMPUTED_VALUE"""),200000.0)</f>
        <v>200000</v>
      </c>
      <c r="M1229" s="211"/>
      <c r="N1229" s="211"/>
      <c r="O1229" s="211"/>
      <c r="Q1229" s="210" t="str">
        <f>IFERROR(__xludf.DUMMYFUNCTION("""COMPUTED_VALUE"""),"1250555")</f>
        <v>1250555</v>
      </c>
      <c r="R1229" s="210" t="str">
        <f>IFERROR(__xludf.DUMMYFUNCTION("""COMPUTED_VALUE"""),"1250555")</f>
        <v>1250555</v>
      </c>
      <c r="S1229" s="211" t="str">
        <f>IFERROR(__xludf.DUMMYFUNCTION("""COMPUTED_VALUE"""),"9e31e9f4")</f>
        <v>9e31e9f4</v>
      </c>
      <c r="T1229" s="211" t="str">
        <f>IFERROR(__xludf.DUMMYFUNCTION("""COMPUTED_VALUE"""),"Bpk. Eko Iswantoro")</f>
        <v>Bpk. Eko Iswantoro</v>
      </c>
      <c r="U1229" s="215">
        <f>IFERROR(__xludf.DUMMYFUNCTION("""COMPUTED_VALUE"""),45906.461909722224)</f>
        <v>45906.46191</v>
      </c>
      <c r="V1229" s="211" t="str">
        <f>IFERROR(__xludf.DUMMYFUNCTION("""COMPUTED_VALUE"""),"HHWW+8J Kemasan, Kec. Krian, Kabupaten Sidoarjo, Jawa Timur, Indonesia")</f>
        <v>HHWW+8J Kemasan, Kec. Krian, Kabupaten Sidoarjo, Jawa Timur, Indonesia</v>
      </c>
      <c r="W1229" s="211" t="str">
        <f>IFERROR(__xludf.DUMMYFUNCTION("""COMPUTED_VALUE"""),"IN")</f>
        <v>IN</v>
      </c>
      <c r="X1229" s="211"/>
      <c r="Z1229" s="211" t="str">
        <f>IFERROR(__xludf.DUMMYFUNCTION("""COMPUTED_VALUE"""),"01250221")</f>
        <v>01250221</v>
      </c>
      <c r="AL1229" s="211"/>
      <c r="AM1229" s="211"/>
      <c r="AN1229" s="211"/>
      <c r="AO1229" s="211"/>
      <c r="AP1229" s="215"/>
      <c r="AQ1229" s="218"/>
      <c r="AR1229" s="211"/>
    </row>
    <row r="1230">
      <c r="A1230" s="210" t="str">
        <f>IFERROR(__xludf.DUMMYFUNCTION("""COMPUTED_VALUE"""),"f5232b43")</f>
        <v>f5232b43</v>
      </c>
      <c r="B1230" s="210" t="str">
        <f>IFERROR(__xludf.DUMMYFUNCTION("""COMPUTED_VALUE"""),"f5232b43")</f>
        <v>f5232b43</v>
      </c>
      <c r="C1230" s="213">
        <f>IFERROR(__xludf.DUMMYFUNCTION("""COMPUTED_VALUE"""),45825.56736111111)</f>
        <v>45825.56736</v>
      </c>
      <c r="D1230" s="211" t="str">
        <f>IFERROR(__xludf.DUMMYFUNCTION("""COMPUTED_VALUE"""),"1bf27092")</f>
        <v>1bf27092</v>
      </c>
      <c r="E1230" s="211" t="str">
        <f>IFERROR(__xludf.DUMMYFUNCTION("""COMPUTED_VALUE"""),"Bpk. Ari Budiarto")</f>
        <v>Bpk. Ari Budiarto</v>
      </c>
      <c r="F1230" s="211" t="str">
        <f>IFERROR(__xludf.DUMMYFUNCTION("""COMPUTED_VALUE"""),"66af7c72")</f>
        <v>66af7c72</v>
      </c>
      <c r="G1230" s="211" t="str">
        <f>IFERROR(__xludf.DUMMYFUNCTION("""COMPUTED_VALUE"""),"Argon 6m3")</f>
        <v>Argon 6m3</v>
      </c>
      <c r="H1230" s="214" t="str">
        <f>IFERROR(__xludf.DUMMYFUNCTION("""COMPUTED_VALUE"""),"IN")</f>
        <v>IN</v>
      </c>
      <c r="I1230" s="214" t="str">
        <f>IFERROR(__xludf.DUMMYFUNCTION("""COMPUTED_VALUE"""),"EMPTY")</f>
        <v>EMPTY</v>
      </c>
      <c r="J1230" s="211">
        <f>IFERROR(__xludf.DUMMYFUNCTION("""COMPUTED_VALUE"""),1.0)</f>
        <v>1</v>
      </c>
      <c r="K1230" s="210" t="str">
        <f>IFERROR(__xludf.DUMMYFUNCTION("""COMPUTED_VALUE"""),"12018")</f>
        <v>12018</v>
      </c>
      <c r="L1230" s="211">
        <f>IFERROR(__xludf.DUMMYFUNCTION("""COMPUTED_VALUE"""),0.0)</f>
        <v>0</v>
      </c>
      <c r="M1230" s="211"/>
      <c r="N1230" s="211"/>
      <c r="O1230" s="211"/>
      <c r="Q1230" s="210" t="str">
        <f>IFERROR(__xludf.DUMMYFUNCTION("""COMPUTED_VALUE"""),"1250568")</f>
        <v>1250568</v>
      </c>
      <c r="R1230" s="210" t="str">
        <f>IFERROR(__xludf.DUMMYFUNCTION("""COMPUTED_VALUE"""),"1250568")</f>
        <v>1250568</v>
      </c>
      <c r="S1230" s="211" t="str">
        <f>IFERROR(__xludf.DUMMYFUNCTION("""COMPUTED_VALUE"""),"bdb5baf3")</f>
        <v>bdb5baf3</v>
      </c>
      <c r="T1230" s="211" t="str">
        <f>IFERROR(__xludf.DUMMYFUNCTION("""COMPUTED_VALUE"""),"Bpk. Abdul")</f>
        <v>Bpk. Abdul</v>
      </c>
      <c r="U1230" s="215">
        <f>IFERROR(__xludf.DUMMYFUNCTION("""COMPUTED_VALUE"""),45906.52075231481)</f>
        <v>45906.52075</v>
      </c>
      <c r="V1230" s="211" t="str">
        <f>IFERROR(__xludf.DUMMYFUNCTION("""COMPUTED_VALUE"""),"Bypass Krian")</f>
        <v>Bypass Krian</v>
      </c>
      <c r="W1230" s="211" t="str">
        <f>IFERROR(__xludf.DUMMYFUNCTION("""COMPUTED_VALUE"""),"IN")</f>
        <v>IN</v>
      </c>
      <c r="X1230" s="211"/>
      <c r="Z1230" s="211" t="str">
        <f>IFERROR(__xludf.DUMMYFUNCTION("""COMPUTED_VALUE"""),"01250220")</f>
        <v>01250220</v>
      </c>
      <c r="AL1230" s="211"/>
      <c r="AM1230" s="211"/>
      <c r="AN1230" s="211"/>
      <c r="AO1230" s="211"/>
      <c r="AP1230" s="215"/>
      <c r="AQ1230" s="218"/>
      <c r="AR1230" s="211"/>
    </row>
    <row r="1231">
      <c r="A1231" s="210" t="str">
        <f>IFERROR(__xludf.DUMMYFUNCTION("""COMPUTED_VALUE"""),"06250520")</f>
        <v>06250520</v>
      </c>
      <c r="B1231" s="210" t="str">
        <f>IFERROR(__xludf.DUMMYFUNCTION("""COMPUTED_VALUE"""),"06250520")</f>
        <v>06250520</v>
      </c>
      <c r="C1231" s="213">
        <f>IFERROR(__xludf.DUMMYFUNCTION("""COMPUTED_VALUE"""),45826.55138888889)</f>
        <v>45826.55139</v>
      </c>
      <c r="D1231" s="211" t="str">
        <f>IFERROR(__xludf.DUMMYFUNCTION("""COMPUTED_VALUE"""),"b218b89b")</f>
        <v>b218b89b</v>
      </c>
      <c r="E1231" s="211" t="str">
        <f>IFERROR(__xludf.DUMMYFUNCTION("""COMPUTED_VALUE"""),"PT Harapan Sentosa")</f>
        <v>PT Harapan Sentosa</v>
      </c>
      <c r="F1231" s="211" t="str">
        <f>IFERROR(__xludf.DUMMYFUNCTION("""COMPUTED_VALUE"""),"7d2764f1")</f>
        <v>7d2764f1</v>
      </c>
      <c r="G1231" s="211" t="str">
        <f>IFERROR(__xludf.DUMMYFUNCTION("""COMPUTED_VALUE"""),"Oksigen 7m3")</f>
        <v>Oksigen 7m3</v>
      </c>
      <c r="H1231" s="214" t="str">
        <f>IFERROR(__xludf.DUMMYFUNCTION("""COMPUTED_VALUE"""),"OUT")</f>
        <v>OUT</v>
      </c>
      <c r="I1231" s="214" t="str">
        <f>IFERROR(__xludf.DUMMYFUNCTION("""COMPUTED_VALUE"""),"NORMAL")</f>
        <v>NORMAL</v>
      </c>
      <c r="J1231" s="211">
        <f>IFERROR(__xludf.DUMMYFUNCTION("""COMPUTED_VALUE"""),20.0)</f>
        <v>20</v>
      </c>
      <c r="K1231" s="210" t="str">
        <f>IFERROR(__xludf.DUMMYFUNCTION("""COMPUTED_VALUE"""),"11195 11141 11117 11147 11161 11173 11150 11153 11164 11212 11174 11213 11226 11170 11229 11217 11220 11224 11219 1161")</f>
        <v>11195 11141 11117 11147 11161 11173 11150 11153 11164 11212 11174 11213 11226 11170 11229 11217 11220 11224 11219 1161</v>
      </c>
      <c r="L1231" s="211">
        <f>IFERROR(__xludf.DUMMYFUNCTION("""COMPUTED_VALUE"""),70000.0)</f>
        <v>70000</v>
      </c>
      <c r="M1231" s="211"/>
      <c r="N1231" s="211"/>
      <c r="O1231" s="211"/>
      <c r="Q1231" s="210" t="str">
        <f>IFERROR(__xludf.DUMMYFUNCTION("""COMPUTED_VALUE"""),"1250569")</f>
        <v>1250569</v>
      </c>
      <c r="R1231" s="210" t="str">
        <f>IFERROR(__xludf.DUMMYFUNCTION("""COMPUTED_VALUE"""),"1250569")</f>
        <v>1250569</v>
      </c>
      <c r="S1231" s="211" t="str">
        <f>IFERROR(__xludf.DUMMYFUNCTION("""COMPUTED_VALUE"""),"b2b5f2c5")</f>
        <v>b2b5f2c5</v>
      </c>
      <c r="T1231" s="211" t="str">
        <f>IFERROR(__xludf.DUMMYFUNCTION("""COMPUTED_VALUE"""),"Bengkel Las Bpk. Ari")</f>
        <v>Bengkel Las Bpk. Ari</v>
      </c>
      <c r="U1231" s="215">
        <f>IFERROR(__xludf.DUMMYFUNCTION("""COMPUTED_VALUE"""),45906.52202546296)</f>
        <v>45906.52203</v>
      </c>
      <c r="V1231" s="211" t="str">
        <f>IFERROR(__xludf.DUMMYFUNCTION("""COMPUTED_VALUE"""),"Sumber Kembar, Wonodadi, Kec. Kutorejo, Kabupaten Mojokerto, Jawa Timur")</f>
        <v>Sumber Kembar, Wonodadi, Kec. Kutorejo, Kabupaten Mojokerto, Jawa Timur</v>
      </c>
      <c r="W1231" s="211" t="str">
        <f>IFERROR(__xludf.DUMMYFUNCTION("""COMPUTED_VALUE"""),"IN")</f>
        <v>IN</v>
      </c>
      <c r="X1231" s="211"/>
      <c r="Z1231" s="211" t="str">
        <f>IFERROR(__xludf.DUMMYFUNCTION("""COMPUTED_VALUE"""),"01250218")</f>
        <v>01250218</v>
      </c>
      <c r="AL1231" s="211"/>
      <c r="AM1231" s="211"/>
      <c r="AN1231" s="211"/>
      <c r="AO1231" s="211"/>
      <c r="AP1231" s="215"/>
      <c r="AQ1231" s="218"/>
      <c r="AR1231" s="211"/>
    </row>
    <row r="1232">
      <c r="A1232" s="210" t="str">
        <f>IFERROR(__xludf.DUMMYFUNCTION("""COMPUTED_VALUE"""),"06250521")</f>
        <v>06250521</v>
      </c>
      <c r="B1232" s="210" t="str">
        <f>IFERROR(__xludf.DUMMYFUNCTION("""COMPUTED_VALUE"""),"06250521")</f>
        <v>06250521</v>
      </c>
      <c r="C1232" s="213">
        <f>IFERROR(__xludf.DUMMYFUNCTION("""COMPUTED_VALUE"""),45827.354166666664)</f>
        <v>45827.35417</v>
      </c>
      <c r="D1232" s="211" t="str">
        <f>IFERROR(__xludf.DUMMYFUNCTION("""COMPUTED_VALUE"""),"4edfe755")</f>
        <v>4edfe755</v>
      </c>
      <c r="E1232" s="211" t="str">
        <f>IFERROR(__xludf.DUMMYFUNCTION("""COMPUTED_VALUE"""),"Bpk. Ibnu")</f>
        <v>Bpk. Ibnu</v>
      </c>
      <c r="F1232" s="211" t="str">
        <f>IFERROR(__xludf.DUMMYFUNCTION("""COMPUTED_VALUE"""),"7d2764f1")</f>
        <v>7d2764f1</v>
      </c>
      <c r="G1232" s="211" t="str">
        <f>IFERROR(__xludf.DUMMYFUNCTION("""COMPUTED_VALUE"""),"Oksigen 7m3")</f>
        <v>Oksigen 7m3</v>
      </c>
      <c r="H1232" s="214" t="str">
        <f>IFERROR(__xludf.DUMMYFUNCTION("""COMPUTED_VALUE"""),"OUT")</f>
        <v>OUT</v>
      </c>
      <c r="I1232" s="214" t="str">
        <f>IFERROR(__xludf.DUMMYFUNCTION("""COMPUTED_VALUE"""),"NORMAL")</f>
        <v>NORMAL</v>
      </c>
      <c r="J1232" s="211">
        <f>IFERROR(__xludf.DUMMYFUNCTION("""COMPUTED_VALUE"""),3.0)</f>
        <v>3</v>
      </c>
      <c r="K1232" s="210" t="str">
        <f>IFERROR(__xludf.DUMMYFUNCTION("""COMPUTED_VALUE"""),"11159 11144 11155")</f>
        <v>11159 11144 11155</v>
      </c>
      <c r="L1232" s="211">
        <f>IFERROR(__xludf.DUMMYFUNCTION("""COMPUTED_VALUE"""),50000.0)</f>
        <v>50000</v>
      </c>
      <c r="M1232" s="211"/>
      <c r="N1232" s="211"/>
      <c r="O1232" s="211"/>
      <c r="Q1232" s="210" t="str">
        <f>IFERROR(__xludf.DUMMYFUNCTION("""COMPUTED_VALUE"""),"1250570")</f>
        <v>1250570</v>
      </c>
      <c r="R1232" s="210" t="str">
        <f>IFERROR(__xludf.DUMMYFUNCTION("""COMPUTED_VALUE"""),"1250570")</f>
        <v>1250570</v>
      </c>
      <c r="S1232" s="211" t="str">
        <f>IFERROR(__xludf.DUMMYFUNCTION("""COMPUTED_VALUE"""),"01158be1")</f>
        <v>01158be1</v>
      </c>
      <c r="T1232" s="211" t="str">
        <f>IFERROR(__xludf.DUMMYFUNCTION("""COMPUTED_VALUE"""),"GYF")</f>
        <v>GYF</v>
      </c>
      <c r="U1232" s="215">
        <f>IFERROR(__xludf.DUMMYFUNCTION("""COMPUTED_VALUE"""),45906.52744212963)</f>
        <v>45906.52744</v>
      </c>
      <c r="V1232" s="211" t="str">
        <f>IFERROR(__xludf.DUMMYFUNCTION("""COMPUTED_VALUE"""),"Kangkungan, Lengkong, Kec. Mojoanyar, Kabupaten Mojokerto, Jawa Timur")</f>
        <v>Kangkungan, Lengkong, Kec. Mojoanyar, Kabupaten Mojokerto, Jawa Timur</v>
      </c>
      <c r="W1232" s="211" t="str">
        <f>IFERROR(__xludf.DUMMYFUNCTION("""COMPUTED_VALUE"""),"IN")</f>
        <v>IN</v>
      </c>
      <c r="X1232" s="211"/>
      <c r="Z1232" s="211" t="str">
        <f>IFERROR(__xludf.DUMMYFUNCTION("""COMPUTED_VALUE"""),"01250219")</f>
        <v>01250219</v>
      </c>
      <c r="AL1232" s="211"/>
      <c r="AM1232" s="211"/>
      <c r="AN1232" s="211"/>
      <c r="AO1232" s="211"/>
      <c r="AP1232" s="215"/>
      <c r="AQ1232" s="218"/>
      <c r="AR1232" s="211"/>
    </row>
    <row r="1233">
      <c r="A1233" s="210" t="str">
        <f>IFERROR(__xludf.DUMMYFUNCTION("""COMPUTED_VALUE"""),"5d883971")</f>
        <v>5d883971</v>
      </c>
      <c r="B1233" s="210" t="str">
        <f>IFERROR(__xludf.DUMMYFUNCTION("""COMPUTED_VALUE"""),"5d883971")</f>
        <v>5d883971</v>
      </c>
      <c r="C1233" s="213">
        <f>IFERROR(__xludf.DUMMYFUNCTION("""COMPUTED_VALUE"""),45826.688888888886)</f>
        <v>45826.68889</v>
      </c>
      <c r="D1233" s="211" t="str">
        <f>IFERROR(__xludf.DUMMYFUNCTION("""COMPUTED_VALUE"""),"2d88931c")</f>
        <v>2d88931c</v>
      </c>
      <c r="E1233" s="211" t="str">
        <f>IFERROR(__xludf.DUMMYFUNCTION("""COMPUTED_VALUE"""),"PT Dunia Berkat Marga Mulya")</f>
        <v>PT Dunia Berkat Marga Mulya</v>
      </c>
      <c r="F1233" s="211" t="str">
        <f>IFERROR(__xludf.DUMMYFUNCTION("""COMPUTED_VALUE"""),"8bdbe149")</f>
        <v>8bdbe149</v>
      </c>
      <c r="G1233" s="211" t="str">
        <f>IFERROR(__xludf.DUMMYFUNCTION("""COMPUTED_VALUE"""),"Oksigen 6m3")</f>
        <v>Oksigen 6m3</v>
      </c>
      <c r="H1233" s="214" t="str">
        <f>IFERROR(__xludf.DUMMYFUNCTION("""COMPUTED_VALUE"""),"IN")</f>
        <v>IN</v>
      </c>
      <c r="I1233" s="214" t="str">
        <f>IFERROR(__xludf.DUMMYFUNCTION("""COMPUTED_VALUE"""),"EMPTY")</f>
        <v>EMPTY</v>
      </c>
      <c r="J1233" s="211">
        <f>IFERROR(__xludf.DUMMYFUNCTION("""COMPUTED_VALUE"""),6.0)</f>
        <v>6</v>
      </c>
      <c r="K1233" s="210" t="str">
        <f>IFERROR(__xludf.DUMMYFUNCTION("""COMPUTED_VALUE"""),"11188 11138 11182 11208 11177 1115")</f>
        <v>11188 11138 11182 11208 11177 1115</v>
      </c>
      <c r="L1233" s="211">
        <f>IFERROR(__xludf.DUMMYFUNCTION("""COMPUTED_VALUE"""),0.0)</f>
        <v>0</v>
      </c>
      <c r="M1233" s="211"/>
      <c r="N1233" s="211"/>
      <c r="O1233" s="211"/>
      <c r="Q1233" s="210" t="str">
        <f>IFERROR(__xludf.DUMMYFUNCTION("""COMPUTED_VALUE"""),"07250604")</f>
        <v>07250604</v>
      </c>
      <c r="R1233" s="210" t="str">
        <f>IFERROR(__xludf.DUMMYFUNCTION("""COMPUTED_VALUE"""),"07250604")</f>
        <v>07250604</v>
      </c>
      <c r="S1233" s="211" t="str">
        <f>IFERROR(__xludf.DUMMYFUNCTION("""COMPUTED_VALUE"""),"eec2e801")</f>
        <v>eec2e801</v>
      </c>
      <c r="T1233" s="211" t="str">
        <f>IFERROR(__xludf.DUMMYFUNCTION("""COMPUTED_VALUE"""),"Mitra Wood Sejahtera")</f>
        <v>Mitra Wood Sejahtera</v>
      </c>
      <c r="U1233" s="215">
        <f>IFERROR(__xludf.DUMMYFUNCTION("""COMPUTED_VALUE"""),45861.54027777778)</f>
        <v>45861.54028</v>
      </c>
      <c r="V1233" s="211" t="str">
        <f>IFERROR(__xludf.DUMMYFUNCTION("""COMPUTED_VALUE"""),"Jl.cungkling, Jl. Tanggungan, Nanom Kidul, Lebaniwaras, Kec. Wringinanom, Kabupaten Gresik, Jawa Timur 61176")</f>
        <v>Jl.cungkling, Jl. Tanggungan, Nanom Kidul, Lebaniwaras, Kec. Wringinanom, Kabupaten Gresik, Jawa Timur 61176</v>
      </c>
      <c r="W1233" s="211" t="str">
        <f>IFERROR(__xludf.DUMMYFUNCTION("""COMPUTED_VALUE"""),"OUT")</f>
        <v>OUT</v>
      </c>
      <c r="X1233" s="211"/>
      <c r="Z1233" s="211" t="str">
        <f>IFERROR(__xludf.DUMMYFUNCTION("""COMPUTED_VALUE"""),"01250216")</f>
        <v>01250216</v>
      </c>
      <c r="AL1233" s="211"/>
      <c r="AM1233" s="211"/>
      <c r="AN1233" s="211"/>
      <c r="AO1233" s="211"/>
      <c r="AP1233" s="215"/>
      <c r="AQ1233" s="218"/>
      <c r="AR1233" s="211"/>
    </row>
    <row r="1234">
      <c r="A1234" s="210" t="str">
        <f>IFERROR(__xludf.DUMMYFUNCTION("""COMPUTED_VALUE"""),"06250522")</f>
        <v>06250522</v>
      </c>
      <c r="B1234" s="210" t="str">
        <f>IFERROR(__xludf.DUMMYFUNCTION("""COMPUTED_VALUE"""),"06250522")</f>
        <v>06250522</v>
      </c>
      <c r="C1234" s="213">
        <f>IFERROR(__xludf.DUMMYFUNCTION("""COMPUTED_VALUE"""),45827.495833333334)</f>
        <v>45827.49583</v>
      </c>
      <c r="D1234" s="211" t="str">
        <f>IFERROR(__xludf.DUMMYFUNCTION("""COMPUTED_VALUE"""),"182fb0fe")</f>
        <v>182fb0fe</v>
      </c>
      <c r="E1234" s="211" t="str">
        <f>IFERROR(__xludf.DUMMYFUNCTION("""COMPUTED_VALUE"""),"PT Amtech")</f>
        <v>PT Amtech</v>
      </c>
      <c r="F1234" s="211" t="str">
        <f>IFERROR(__xludf.DUMMYFUNCTION("""COMPUTED_VALUE"""),"8bdbe149")</f>
        <v>8bdbe149</v>
      </c>
      <c r="G1234" s="211" t="str">
        <f>IFERROR(__xludf.DUMMYFUNCTION("""COMPUTED_VALUE"""),"Oksigen 6m3")</f>
        <v>Oksigen 6m3</v>
      </c>
      <c r="H1234" s="214" t="str">
        <f>IFERROR(__xludf.DUMMYFUNCTION("""COMPUTED_VALUE"""),"OUT")</f>
        <v>OUT</v>
      </c>
      <c r="I1234" s="214" t="str">
        <f>IFERROR(__xludf.DUMMYFUNCTION("""COMPUTED_VALUE"""),"NORMAL")</f>
        <v>NORMAL</v>
      </c>
      <c r="J1234" s="211">
        <f>IFERROR(__xludf.DUMMYFUNCTION("""COMPUTED_VALUE"""),5.0)</f>
        <v>5</v>
      </c>
      <c r="K1234" s="210" t="str">
        <f>IFERROR(__xludf.DUMMYFUNCTION("""COMPUTED_VALUE"""),"1105 11105 1114 1132 11108")</f>
        <v>1105 11105 1114 1132 11108</v>
      </c>
      <c r="L1234" s="211">
        <f>IFERROR(__xludf.DUMMYFUNCTION("""COMPUTED_VALUE"""),60000.0)</f>
        <v>60000</v>
      </c>
      <c r="M1234" s="211"/>
      <c r="N1234" s="211"/>
      <c r="O1234" s="211"/>
      <c r="Q1234" s="210" t="str">
        <f>IFERROR(__xludf.DUMMYFUNCTION("""COMPUTED_VALUE"""),"0925271234")</f>
        <v>0925271234</v>
      </c>
      <c r="R1234" s="210" t="str">
        <f>IFERROR(__xludf.DUMMYFUNCTION("""COMPUTED_VALUE"""),"0925271234")</f>
        <v>0925271234</v>
      </c>
      <c r="S1234" s="211" t="str">
        <f>IFERROR(__xludf.DUMMYFUNCTION("""COMPUTED_VALUE"""),"01158be1")</f>
        <v>01158be1</v>
      </c>
      <c r="T1234" s="211" t="str">
        <f>IFERROR(__xludf.DUMMYFUNCTION("""COMPUTED_VALUE"""),"GYF")</f>
        <v>GYF</v>
      </c>
      <c r="U1234" s="215">
        <f>IFERROR(__xludf.DUMMYFUNCTION("""COMPUTED_VALUE"""),45908.34265046296)</f>
        <v>45908.34265</v>
      </c>
      <c r="V1234" s="211" t="str">
        <f>IFERROR(__xludf.DUMMYFUNCTION("""COMPUTED_VALUE"""),"Kangkungan, Lengkong, Kec. Mojoanyar, Kabupaten Mojokerto, Jawa Timur")</f>
        <v>Kangkungan, Lengkong, Kec. Mojoanyar, Kabupaten Mojokerto, Jawa Timur</v>
      </c>
      <c r="W1234" s="211" t="str">
        <f>IFERROR(__xludf.DUMMYFUNCTION("""COMPUTED_VALUE"""),"OUT")</f>
        <v>OUT</v>
      </c>
      <c r="X1234" s="211"/>
      <c r="Z1234" s="211" t="str">
        <f>IFERROR(__xludf.DUMMYFUNCTION("""COMPUTED_VALUE"""),"01250217")</f>
        <v>01250217</v>
      </c>
      <c r="AL1234" s="211"/>
      <c r="AM1234" s="211"/>
      <c r="AN1234" s="211"/>
      <c r="AO1234" s="211"/>
      <c r="AP1234" s="215"/>
      <c r="AQ1234" s="218"/>
      <c r="AR1234" s="211"/>
    </row>
    <row r="1235">
      <c r="A1235" s="210" t="str">
        <f>IFERROR(__xludf.DUMMYFUNCTION("""COMPUTED_VALUE"""),"06250522")</f>
        <v>06250522</v>
      </c>
      <c r="B1235" s="210" t="str">
        <f>IFERROR(__xludf.DUMMYFUNCTION("""COMPUTED_VALUE"""),"06250522")</f>
        <v>06250522</v>
      </c>
      <c r="C1235" s="213">
        <f>IFERROR(__xludf.DUMMYFUNCTION("""COMPUTED_VALUE"""),45827.49722222222)</f>
        <v>45827.49722</v>
      </c>
      <c r="D1235" s="211" t="str">
        <f>IFERROR(__xludf.DUMMYFUNCTION("""COMPUTED_VALUE"""),"182fb0fe")</f>
        <v>182fb0fe</v>
      </c>
      <c r="E1235" s="211" t="str">
        <f>IFERROR(__xludf.DUMMYFUNCTION("""COMPUTED_VALUE"""),"PT Amtech")</f>
        <v>PT Amtech</v>
      </c>
      <c r="F1235" s="211" t="str">
        <f>IFERROR(__xludf.DUMMYFUNCTION("""COMPUTED_VALUE"""),"66af7c72")</f>
        <v>66af7c72</v>
      </c>
      <c r="G1235" s="211" t="str">
        <f>IFERROR(__xludf.DUMMYFUNCTION("""COMPUTED_VALUE"""),"Argon 6m3")</f>
        <v>Argon 6m3</v>
      </c>
      <c r="H1235" s="214" t="str">
        <f>IFERROR(__xludf.DUMMYFUNCTION("""COMPUTED_VALUE"""),"OUT")</f>
        <v>OUT</v>
      </c>
      <c r="I1235" s="214" t="str">
        <f>IFERROR(__xludf.DUMMYFUNCTION("""COMPUTED_VALUE"""),"NORMAL")</f>
        <v>NORMAL</v>
      </c>
      <c r="J1235" s="211">
        <f>IFERROR(__xludf.DUMMYFUNCTION("""COMPUTED_VALUE"""),5.0)</f>
        <v>5</v>
      </c>
      <c r="K1235" s="210" t="str">
        <f>IFERROR(__xludf.DUMMYFUNCTION("""COMPUTED_VALUE"""),"12049 12048 12047 12046 12045")</f>
        <v>12049 12048 12047 12046 12045</v>
      </c>
      <c r="L1235" s="211">
        <f>IFERROR(__xludf.DUMMYFUNCTION("""COMPUTED_VALUE"""),190000.0)</f>
        <v>190000</v>
      </c>
      <c r="M1235" s="211"/>
      <c r="N1235" s="211"/>
      <c r="O1235" s="211"/>
      <c r="Q1235" s="210" t="str">
        <f>IFERROR(__xludf.DUMMYFUNCTION("""COMPUTED_VALUE"""),"0925101235")</f>
        <v>0925101235</v>
      </c>
      <c r="R1235" s="210" t="str">
        <f>IFERROR(__xludf.DUMMYFUNCTION("""COMPUTED_VALUE"""),"0925101235")</f>
        <v>0925101235</v>
      </c>
      <c r="S1235" s="211" t="str">
        <f>IFERROR(__xludf.DUMMYFUNCTION("""COMPUTED_VALUE"""),"3bcd7fe6")</f>
        <v>3bcd7fe6</v>
      </c>
      <c r="T1235" s="211" t="str">
        <f>IFERROR(__xludf.DUMMYFUNCTION("""COMPUTED_VALUE"""),"Bpk. Alvin (LB Group)")</f>
        <v>Bpk. Alvin (LB Group)</v>
      </c>
      <c r="U1235" s="215">
        <f>IFERROR(__xludf.DUMMYFUNCTION("""COMPUTED_VALUE"""),45908.34410879629)</f>
        <v>45908.34411</v>
      </c>
      <c r="V1235" s="211" t="str">
        <f>IFERROR(__xludf.DUMMYFUNCTION("""COMPUTED_VALUE"""),"MFF9+XHC, Jalan, Tambakrejo, Temuireng, Kec. Dawar Blandong, Kabupaten Mojokerto, Jawa Timur 61354")</f>
        <v>MFF9+XHC, Jalan, Tambakrejo, Temuireng, Kec. Dawar Blandong, Kabupaten Mojokerto, Jawa Timur 61354</v>
      </c>
      <c r="W1235" s="211" t="str">
        <f>IFERROR(__xludf.DUMMYFUNCTION("""COMPUTED_VALUE"""),"OUT")</f>
        <v>OUT</v>
      </c>
      <c r="X1235" s="211"/>
      <c r="Z1235" s="211" t="str">
        <f>IFERROR(__xludf.DUMMYFUNCTION("""COMPUTED_VALUE"""),"01250215")</f>
        <v>01250215</v>
      </c>
      <c r="AL1235" s="211"/>
      <c r="AM1235" s="211"/>
      <c r="AN1235" s="211"/>
      <c r="AO1235" s="211"/>
      <c r="AP1235" s="215"/>
      <c r="AQ1235" s="218"/>
      <c r="AR1235" s="211"/>
    </row>
    <row r="1236">
      <c r="A1236" s="210" t="str">
        <f>IFERROR(__xludf.DUMMYFUNCTION("""COMPUTED_VALUE"""),"06250522")</f>
        <v>06250522</v>
      </c>
      <c r="B1236" s="210" t="str">
        <f>IFERROR(__xludf.DUMMYFUNCTION("""COMPUTED_VALUE"""),"06250522")</f>
        <v>06250522</v>
      </c>
      <c r="C1236" s="213">
        <f>IFERROR(__xludf.DUMMYFUNCTION("""COMPUTED_VALUE"""),45827.49791666667)</f>
        <v>45827.49792</v>
      </c>
      <c r="D1236" s="211" t="str">
        <f>IFERROR(__xludf.DUMMYFUNCTION("""COMPUTED_VALUE"""),"182fb0fe")</f>
        <v>182fb0fe</v>
      </c>
      <c r="E1236" s="211" t="str">
        <f>IFERROR(__xludf.DUMMYFUNCTION("""COMPUTED_VALUE"""),"PT Amtech")</f>
        <v>PT Amtech</v>
      </c>
      <c r="F1236" s="211" t="str">
        <f>IFERROR(__xludf.DUMMYFUNCTION("""COMPUTED_VALUE"""),"be525f3b")</f>
        <v>be525f3b</v>
      </c>
      <c r="G1236" s="211" t="str">
        <f>IFERROR(__xludf.DUMMYFUNCTION("""COMPUTED_VALUE"""),"LPG 12kg")</f>
        <v>LPG 12kg</v>
      </c>
      <c r="H1236" s="214" t="str">
        <f>IFERROR(__xludf.DUMMYFUNCTION("""COMPUTED_VALUE"""),"OUT")</f>
        <v>OUT</v>
      </c>
      <c r="I1236" s="214" t="str">
        <f>IFERROR(__xludf.DUMMYFUNCTION("""COMPUTED_VALUE"""),"NORMAL")</f>
        <v>NORMAL</v>
      </c>
      <c r="J1236" s="211">
        <f>IFERROR(__xludf.DUMMYFUNCTION("""COMPUTED_VALUE"""),3.0)</f>
        <v>3</v>
      </c>
      <c r="K1236" s="211"/>
      <c r="L1236" s="211">
        <f>IFERROR(__xludf.DUMMYFUNCTION("""COMPUTED_VALUE"""),210000.0)</f>
        <v>210000</v>
      </c>
      <c r="M1236" s="211"/>
      <c r="N1236" s="211"/>
      <c r="O1236" s="211"/>
      <c r="Q1236" s="210" t="str">
        <f>IFERROR(__xludf.DUMMYFUNCTION("""COMPUTED_VALUE"""),"092531236")</f>
        <v>092531236</v>
      </c>
      <c r="R1236" s="210" t="str">
        <f>IFERROR(__xludf.DUMMYFUNCTION("""COMPUTED_VALUE"""),"092531236")</f>
        <v>092531236</v>
      </c>
      <c r="S1236" s="211" t="str">
        <f>IFERROR(__xludf.DUMMYFUNCTION("""COMPUTED_VALUE"""),"dfas2312")</f>
        <v>dfas2312</v>
      </c>
      <c r="T1236" s="211" t="str">
        <f>IFERROR(__xludf.DUMMYFUNCTION("""COMPUTED_VALUE"""),"Bpk. Fuad (Parengan)")</f>
        <v>Bpk. Fuad (Parengan)</v>
      </c>
      <c r="U1236" s="215">
        <f>IFERROR(__xludf.DUMMYFUNCTION("""COMPUTED_VALUE"""),45908.34452546296)</f>
        <v>45908.34453</v>
      </c>
      <c r="V1236" s="211" t="str">
        <f>IFERROR(__xludf.DUMMYFUNCTION("""COMPUTED_VALUE"""),"Masjid Parengan")</f>
        <v>Masjid Parengan</v>
      </c>
      <c r="W1236" s="211" t="str">
        <f>IFERROR(__xludf.DUMMYFUNCTION("""COMPUTED_VALUE"""),"OUT")</f>
        <v>OUT</v>
      </c>
      <c r="X1236" s="211"/>
      <c r="Z1236" s="211" t="str">
        <f>IFERROR(__xludf.DUMMYFUNCTION("""COMPUTED_VALUE"""),"01250214")</f>
        <v>01250214</v>
      </c>
      <c r="AL1236" s="211"/>
      <c r="AM1236" s="211"/>
      <c r="AN1236" s="211"/>
      <c r="AO1236" s="211"/>
      <c r="AP1236" s="215"/>
      <c r="AQ1236" s="218"/>
      <c r="AR1236" s="211"/>
    </row>
    <row r="1237">
      <c r="A1237" s="210" t="str">
        <f>IFERROR(__xludf.DUMMYFUNCTION("""COMPUTED_VALUE"""),"06250525")</f>
        <v>06250525</v>
      </c>
      <c r="B1237" s="210" t="str">
        <f>IFERROR(__xludf.DUMMYFUNCTION("""COMPUTED_VALUE"""),"06250525")</f>
        <v>06250525</v>
      </c>
      <c r="C1237" s="213">
        <f>IFERROR(__xludf.DUMMYFUNCTION("""COMPUTED_VALUE"""),45827.51736111111)</f>
        <v>45827.51736</v>
      </c>
      <c r="D1237" s="211" t="str">
        <f>IFERROR(__xludf.DUMMYFUNCTION("""COMPUTED_VALUE"""),"e86baf3b")</f>
        <v>e86baf3b</v>
      </c>
      <c r="E1237" s="211" t="str">
        <f>IFERROR(__xludf.DUMMYFUNCTION("""COMPUTED_VALUE"""),"PT GEMILANG CIPTA WAWASAN")</f>
        <v>PT GEMILANG CIPTA WAWASAN</v>
      </c>
      <c r="F1237" s="211" t="str">
        <f>IFERROR(__xludf.DUMMYFUNCTION("""COMPUTED_VALUE"""),"8bdbe149")</f>
        <v>8bdbe149</v>
      </c>
      <c r="G1237" s="211" t="str">
        <f>IFERROR(__xludf.DUMMYFUNCTION("""COMPUTED_VALUE"""),"Oksigen 6m3")</f>
        <v>Oksigen 6m3</v>
      </c>
      <c r="H1237" s="214" t="str">
        <f>IFERROR(__xludf.DUMMYFUNCTION("""COMPUTED_VALUE"""),"OUT")</f>
        <v>OUT</v>
      </c>
      <c r="I1237" s="214" t="str">
        <f>IFERROR(__xludf.DUMMYFUNCTION("""COMPUTED_VALUE"""),"NORMAL")</f>
        <v>NORMAL</v>
      </c>
      <c r="J1237" s="211">
        <f>IFERROR(__xludf.DUMMYFUNCTION("""COMPUTED_VALUE"""),5.0)</f>
        <v>5</v>
      </c>
      <c r="K1237" s="210" t="str">
        <f>IFERROR(__xludf.DUMMYFUNCTION("""COMPUTED_VALUE"""),"1151 1194 1170 1195 1104")</f>
        <v>1151 1194 1170 1195 1104</v>
      </c>
      <c r="L1237" s="211">
        <f>IFERROR(__xludf.DUMMYFUNCTION("""COMPUTED_VALUE"""),60000.0)</f>
        <v>60000</v>
      </c>
      <c r="M1237" s="211"/>
      <c r="N1237" s="211"/>
      <c r="O1237" s="211"/>
      <c r="Q1237" s="210" t="str">
        <f>IFERROR(__xludf.DUMMYFUNCTION("""COMPUTED_VALUE"""),"0925111237")</f>
        <v>0925111237</v>
      </c>
      <c r="R1237" s="210" t="str">
        <f>IFERROR(__xludf.DUMMYFUNCTION("""COMPUTED_VALUE"""),"0925111237")</f>
        <v>0925111237</v>
      </c>
      <c r="S1237" s="211" t="str">
        <f>IFERROR(__xludf.DUMMYFUNCTION("""COMPUTED_VALUE"""),"b218b89b")</f>
        <v>b218b89b</v>
      </c>
      <c r="T1237" s="211" t="str">
        <f>IFERROR(__xludf.DUMMYFUNCTION("""COMPUTED_VALUE"""),"PT Harapan Sentosa")</f>
        <v>PT Harapan Sentosa</v>
      </c>
      <c r="U1237" s="215">
        <f>IFERROR(__xludf.DUMMYFUNCTION("""COMPUTED_VALUE"""),45908.37688657407)</f>
        <v>45908.37689</v>
      </c>
      <c r="V1237" s="211" t="str">
        <f>IFERROR(__xludf.DUMMYFUNCTION("""COMPUTED_VALUE"""),"Seketi, Jl. Purboyo II Selatan, RT.02/RW.02, Seketi, Kec. BalongBendo, Kabupaten Sidoarjo, Jawa Timur 61263")</f>
        <v>Seketi, Jl. Purboyo II Selatan, RT.02/RW.02, Seketi, Kec. BalongBendo, Kabupaten Sidoarjo, Jawa Timur 61263</v>
      </c>
      <c r="W1237" s="211" t="str">
        <f>IFERROR(__xludf.DUMMYFUNCTION("""COMPUTED_VALUE"""),"OUT")</f>
        <v>OUT</v>
      </c>
      <c r="X1237" s="211"/>
      <c r="Z1237" s="211" t="str">
        <f>IFERROR(__xludf.DUMMYFUNCTION("""COMPUTED_VALUE"""),"01250213")</f>
        <v>01250213</v>
      </c>
      <c r="AL1237" s="211"/>
      <c r="AM1237" s="211"/>
      <c r="AN1237" s="211"/>
      <c r="AO1237" s="211"/>
      <c r="AP1237" s="215"/>
      <c r="AQ1237" s="218"/>
      <c r="AR1237" s="211"/>
    </row>
    <row r="1238">
      <c r="A1238" s="210" t="str">
        <f>IFERROR(__xludf.DUMMYFUNCTION("""COMPUTED_VALUE"""),"06250525")</f>
        <v>06250525</v>
      </c>
      <c r="B1238" s="210" t="str">
        <f>IFERROR(__xludf.DUMMYFUNCTION("""COMPUTED_VALUE"""),"06250525")</f>
        <v>06250525</v>
      </c>
      <c r="C1238" s="213">
        <f>IFERROR(__xludf.DUMMYFUNCTION("""COMPUTED_VALUE"""),45827.518055555556)</f>
        <v>45827.51806</v>
      </c>
      <c r="D1238" s="211" t="str">
        <f>IFERROR(__xludf.DUMMYFUNCTION("""COMPUTED_VALUE"""),"e86baf3b")</f>
        <v>e86baf3b</v>
      </c>
      <c r="E1238" s="211" t="str">
        <f>IFERROR(__xludf.DUMMYFUNCTION("""COMPUTED_VALUE"""),"PT GEMILANG CIPTA WAWASAN")</f>
        <v>PT GEMILANG CIPTA WAWASAN</v>
      </c>
      <c r="F1238" s="211" t="str">
        <f>IFERROR(__xludf.DUMMYFUNCTION("""COMPUTED_VALUE"""),"66af7c72")</f>
        <v>66af7c72</v>
      </c>
      <c r="G1238" s="211" t="str">
        <f>IFERROR(__xludf.DUMMYFUNCTION("""COMPUTED_VALUE"""),"Argon 6m3")</f>
        <v>Argon 6m3</v>
      </c>
      <c r="H1238" s="214" t="str">
        <f>IFERROR(__xludf.DUMMYFUNCTION("""COMPUTED_VALUE"""),"OUT")</f>
        <v>OUT</v>
      </c>
      <c r="I1238" s="214" t="str">
        <f>IFERROR(__xludf.DUMMYFUNCTION("""COMPUTED_VALUE"""),"NORMAL")</f>
        <v>NORMAL</v>
      </c>
      <c r="J1238" s="211">
        <f>IFERROR(__xludf.DUMMYFUNCTION("""COMPUTED_VALUE"""),5.0)</f>
        <v>5</v>
      </c>
      <c r="K1238" s="210" t="str">
        <f>IFERROR(__xludf.DUMMYFUNCTION("""COMPUTED_VALUE"""),"12052 12053 12054 12051 12050")</f>
        <v>12052 12053 12054 12051 12050</v>
      </c>
      <c r="L1238" s="211">
        <f>IFERROR(__xludf.DUMMYFUNCTION("""COMPUTED_VALUE"""),185000.0)</f>
        <v>185000</v>
      </c>
      <c r="M1238" s="211"/>
      <c r="N1238" s="211"/>
      <c r="O1238" s="211"/>
      <c r="Q1238" s="210" t="str">
        <f>IFERROR(__xludf.DUMMYFUNCTION("""COMPUTED_VALUE"""),"1250556")</f>
        <v>1250556</v>
      </c>
      <c r="R1238" s="210" t="str">
        <f>IFERROR(__xludf.DUMMYFUNCTION("""COMPUTED_VALUE"""),"1250556")</f>
        <v>1250556</v>
      </c>
      <c r="S1238" s="211" t="str">
        <f>IFERROR(__xludf.DUMMYFUNCTION("""COMPUTED_VALUE"""),"b218b89b")</f>
        <v>b218b89b</v>
      </c>
      <c r="T1238" s="211" t="str">
        <f>IFERROR(__xludf.DUMMYFUNCTION("""COMPUTED_VALUE"""),"PT Harapan Sentosa")</f>
        <v>PT Harapan Sentosa</v>
      </c>
      <c r="U1238" s="215">
        <f>IFERROR(__xludf.DUMMYFUNCTION("""COMPUTED_VALUE"""),45908.451516203706)</f>
        <v>45908.45152</v>
      </c>
      <c r="V1238" s="211" t="str">
        <f>IFERROR(__xludf.DUMMYFUNCTION("""COMPUTED_VALUE"""),"Seketi, Jl. Purboyo II Selatan, RT.02/RW.02, Seketi, Kec. BalongBendo, Kabupaten Sidoarjo, Jawa Timur 61263")</f>
        <v>Seketi, Jl. Purboyo II Selatan, RT.02/RW.02, Seketi, Kec. BalongBendo, Kabupaten Sidoarjo, Jawa Timur 61263</v>
      </c>
      <c r="W1238" s="211" t="str">
        <f>IFERROR(__xludf.DUMMYFUNCTION("""COMPUTED_VALUE"""),"IN")</f>
        <v>IN</v>
      </c>
      <c r="X1238" s="211"/>
      <c r="Z1238" s="211" t="str">
        <f>IFERROR(__xludf.DUMMYFUNCTION("""COMPUTED_VALUE"""),"01250212")</f>
        <v>01250212</v>
      </c>
      <c r="AL1238" s="211"/>
      <c r="AM1238" s="211"/>
      <c r="AN1238" s="211"/>
      <c r="AO1238" s="211"/>
      <c r="AP1238" s="215"/>
      <c r="AQ1238" s="218"/>
      <c r="AR1238" s="211"/>
    </row>
    <row r="1239">
      <c r="A1239" s="210" t="str">
        <f>IFERROR(__xludf.DUMMYFUNCTION("""COMPUTED_VALUE"""),"84ebf01d")</f>
        <v>84ebf01d</v>
      </c>
      <c r="B1239" s="210" t="str">
        <f>IFERROR(__xludf.DUMMYFUNCTION("""COMPUTED_VALUE"""),"84ebf01d")</f>
        <v>84ebf01d</v>
      </c>
      <c r="C1239" s="213">
        <f>IFERROR(__xludf.DUMMYFUNCTION("""COMPUTED_VALUE"""),45827.60763888889)</f>
        <v>45827.60764</v>
      </c>
      <c r="D1239" s="211" t="str">
        <f>IFERROR(__xludf.DUMMYFUNCTION("""COMPUTED_VALUE"""),"4edfe755")</f>
        <v>4edfe755</v>
      </c>
      <c r="E1239" s="211" t="str">
        <f>IFERROR(__xludf.DUMMYFUNCTION("""COMPUTED_VALUE"""),"Bpk. Ibnu")</f>
        <v>Bpk. Ibnu</v>
      </c>
      <c r="F1239" s="211" t="str">
        <f>IFERROR(__xludf.DUMMYFUNCTION("""COMPUTED_VALUE"""),"7d2764f1")</f>
        <v>7d2764f1</v>
      </c>
      <c r="G1239" s="211" t="str">
        <f>IFERROR(__xludf.DUMMYFUNCTION("""COMPUTED_VALUE"""),"Oksigen 7m3")</f>
        <v>Oksigen 7m3</v>
      </c>
      <c r="H1239" s="214" t="str">
        <f>IFERROR(__xludf.DUMMYFUNCTION("""COMPUTED_VALUE"""),"IN")</f>
        <v>IN</v>
      </c>
      <c r="I1239" s="214" t="str">
        <f>IFERROR(__xludf.DUMMYFUNCTION("""COMPUTED_VALUE"""),"EMPTY")</f>
        <v>EMPTY</v>
      </c>
      <c r="J1239" s="211">
        <f>IFERROR(__xludf.DUMMYFUNCTION("""COMPUTED_VALUE"""),3.0)</f>
        <v>3</v>
      </c>
      <c r="K1239" s="210" t="str">
        <f>IFERROR(__xludf.DUMMYFUNCTION("""COMPUTED_VALUE"""),"11278 11175 11229")</f>
        <v>11278 11175 11229</v>
      </c>
      <c r="L1239" s="211">
        <f>IFERROR(__xludf.DUMMYFUNCTION("""COMPUTED_VALUE"""),0.0)</f>
        <v>0</v>
      </c>
      <c r="M1239" s="211"/>
      <c r="N1239" s="211"/>
      <c r="O1239" s="211"/>
      <c r="Q1239" s="210" t="str">
        <f>IFERROR(__xludf.DUMMYFUNCTION("""COMPUTED_VALUE"""),"0925181238")</f>
        <v>0925181238</v>
      </c>
      <c r="R1239" s="210" t="str">
        <f>IFERROR(__xludf.DUMMYFUNCTION("""COMPUTED_VALUE"""),"0925181238")</f>
        <v>0925181238</v>
      </c>
      <c r="S1239" s="211" t="str">
        <f>IFERROR(__xludf.DUMMYFUNCTION("""COMPUTED_VALUE"""),"ec231cc9")</f>
        <v>ec231cc9</v>
      </c>
      <c r="T1239" s="211" t="str">
        <f>IFERROR(__xludf.DUMMYFUNCTION("""COMPUTED_VALUE"""),"Bpk. Kohir (Maintenance Velg)")</f>
        <v>Bpk. Kohir (Maintenance Velg)</v>
      </c>
      <c r="U1239" s="215">
        <f>IFERROR(__xludf.DUMMYFUNCTION("""COMPUTED_VALUE"""),45908.45606481482)</f>
        <v>45908.45606</v>
      </c>
      <c r="V1239" s="211" t="str">
        <f>IFERROR(__xludf.DUMMYFUNCTION("""COMPUTED_VALUE"""),"Jl. Lkr. Bypass Krian Timur, Sidogolong, Watugolong, Kec. Krian, Kabupaten Sidoarjo, Jawa Timur 61262")</f>
        <v>Jl. Lkr. Bypass Krian Timur, Sidogolong, Watugolong, Kec. Krian, Kabupaten Sidoarjo, Jawa Timur 61262</v>
      </c>
      <c r="W1239" s="211" t="str">
        <f>IFERROR(__xludf.DUMMYFUNCTION("""COMPUTED_VALUE"""),"OUT")</f>
        <v>OUT</v>
      </c>
      <c r="X1239" s="211"/>
      <c r="Z1239" s="211" t="str">
        <f>IFERROR(__xludf.DUMMYFUNCTION("""COMPUTED_VALUE"""),"01250210")</f>
        <v>01250210</v>
      </c>
      <c r="AL1239" s="211"/>
      <c r="AM1239" s="211"/>
      <c r="AN1239" s="211"/>
      <c r="AO1239" s="211"/>
      <c r="AP1239" s="215"/>
      <c r="AQ1239" s="218"/>
      <c r="AR1239" s="211"/>
    </row>
    <row r="1240">
      <c r="A1240" s="210" t="str">
        <f>IFERROR(__xludf.DUMMYFUNCTION("""COMPUTED_VALUE"""),"06250527")</f>
        <v>06250527</v>
      </c>
      <c r="B1240" s="210" t="str">
        <f>IFERROR(__xludf.DUMMYFUNCTION("""COMPUTED_VALUE"""),"06250527")</f>
        <v>06250527</v>
      </c>
      <c r="C1240" s="213">
        <f>IFERROR(__xludf.DUMMYFUNCTION("""COMPUTED_VALUE"""),45828.39513888889)</f>
        <v>45828.39514</v>
      </c>
      <c r="D1240" s="211" t="str">
        <f>IFERROR(__xludf.DUMMYFUNCTION("""COMPUTED_VALUE"""),"ec231cc9")</f>
        <v>ec231cc9</v>
      </c>
      <c r="E1240" s="211" t="str">
        <f>IFERROR(__xludf.DUMMYFUNCTION("""COMPUTED_VALUE"""),"Bpk. Kohir (Maintenance Velg)")</f>
        <v>Bpk. Kohir (Maintenance Velg)</v>
      </c>
      <c r="F1240" s="211" t="str">
        <f>IFERROR(__xludf.DUMMYFUNCTION("""COMPUTED_VALUE"""),"8bdbe149")</f>
        <v>8bdbe149</v>
      </c>
      <c r="G1240" s="211" t="str">
        <f>IFERROR(__xludf.DUMMYFUNCTION("""COMPUTED_VALUE"""),"Oksigen 6m3")</f>
        <v>Oksigen 6m3</v>
      </c>
      <c r="H1240" s="214" t="str">
        <f>IFERROR(__xludf.DUMMYFUNCTION("""COMPUTED_VALUE"""),"OUT")</f>
        <v>OUT</v>
      </c>
      <c r="I1240" s="214" t="str">
        <f>IFERROR(__xludf.DUMMYFUNCTION("""COMPUTED_VALUE"""),"NORMAL")</f>
        <v>NORMAL</v>
      </c>
      <c r="J1240" s="211">
        <f>IFERROR(__xludf.DUMMYFUNCTION("""COMPUTED_VALUE"""),5.0)</f>
        <v>5</v>
      </c>
      <c r="K1240" s="210" t="str">
        <f>IFERROR(__xludf.DUMMYFUNCTION("""COMPUTED_VALUE"""),"11129 11269 11188 11182 11208")</f>
        <v>11129 11269 11188 11182 11208</v>
      </c>
      <c r="L1240" s="211">
        <f>IFERROR(__xludf.DUMMYFUNCTION("""COMPUTED_VALUE"""),55000.0)</f>
        <v>55000</v>
      </c>
      <c r="M1240" s="211"/>
      <c r="N1240" s="211"/>
      <c r="O1240" s="211"/>
      <c r="Q1240" s="210" t="str">
        <f>IFERROR(__xludf.DUMMYFUNCTION("""COMPUTED_VALUE"""),"1250557")</f>
        <v>1250557</v>
      </c>
      <c r="R1240" s="210" t="str">
        <f>IFERROR(__xludf.DUMMYFUNCTION("""COMPUTED_VALUE"""),"1250557")</f>
        <v>1250557</v>
      </c>
      <c r="S1240" s="211" t="str">
        <f>IFERROR(__xludf.DUMMYFUNCTION("""COMPUTED_VALUE"""),"ec231cc9")</f>
        <v>ec231cc9</v>
      </c>
      <c r="T1240" s="211" t="str">
        <f>IFERROR(__xludf.DUMMYFUNCTION("""COMPUTED_VALUE"""),"Bpk. Kohir (Maintenance Velg)")</f>
        <v>Bpk. Kohir (Maintenance Velg)</v>
      </c>
      <c r="U1240" s="215">
        <f>IFERROR(__xludf.DUMMYFUNCTION("""COMPUTED_VALUE"""),45908.49046296296)</f>
        <v>45908.49046</v>
      </c>
      <c r="V1240" s="211" t="str">
        <f>IFERROR(__xludf.DUMMYFUNCTION("""COMPUTED_VALUE"""),"Jl. Lkr. Bypass Krian Timur, Sidogolong, Watugolong, Kec. Krian, Kabupaten Sidoarjo, Jawa Timur 61262")</f>
        <v>Jl. Lkr. Bypass Krian Timur, Sidogolong, Watugolong, Kec. Krian, Kabupaten Sidoarjo, Jawa Timur 61262</v>
      </c>
      <c r="W1240" s="211" t="str">
        <f>IFERROR(__xludf.DUMMYFUNCTION("""COMPUTED_VALUE"""),"IN")</f>
        <v>IN</v>
      </c>
      <c r="X1240" s="211"/>
      <c r="Z1240" s="211" t="str">
        <f>IFERROR(__xludf.DUMMYFUNCTION("""COMPUTED_VALUE"""),"01250209")</f>
        <v>01250209</v>
      </c>
      <c r="AL1240" s="211"/>
      <c r="AM1240" s="211"/>
      <c r="AN1240" s="211"/>
      <c r="AO1240" s="211"/>
      <c r="AP1240" s="215"/>
      <c r="AQ1240" s="218"/>
      <c r="AR1240" s="211"/>
    </row>
    <row r="1241">
      <c r="A1241" s="210" t="str">
        <f>IFERROR(__xludf.DUMMYFUNCTION("""COMPUTED_VALUE"""),"36a785b7")</f>
        <v>36a785b7</v>
      </c>
      <c r="B1241" s="210" t="str">
        <f>IFERROR(__xludf.DUMMYFUNCTION("""COMPUTED_VALUE"""),"36a785b7")</f>
        <v>36a785b7</v>
      </c>
      <c r="C1241" s="213">
        <f>IFERROR(__xludf.DUMMYFUNCTION("""COMPUTED_VALUE"""),45828.74375)</f>
        <v>45828.74375</v>
      </c>
      <c r="D1241" s="211" t="str">
        <f>IFERROR(__xludf.DUMMYFUNCTION("""COMPUTED_VALUE"""),"ec231cc9")</f>
        <v>ec231cc9</v>
      </c>
      <c r="E1241" s="211" t="str">
        <f>IFERROR(__xludf.DUMMYFUNCTION("""COMPUTED_VALUE"""),"Bpk. Kohir (Maintenance Velg)")</f>
        <v>Bpk. Kohir (Maintenance Velg)</v>
      </c>
      <c r="F1241" s="211" t="str">
        <f>IFERROR(__xludf.DUMMYFUNCTION("""COMPUTED_VALUE"""),"8bdbe149")</f>
        <v>8bdbe149</v>
      </c>
      <c r="G1241" s="211" t="str">
        <f>IFERROR(__xludf.DUMMYFUNCTION("""COMPUTED_VALUE"""),"Oksigen 6m3")</f>
        <v>Oksigen 6m3</v>
      </c>
      <c r="H1241" s="214" t="str">
        <f>IFERROR(__xludf.DUMMYFUNCTION("""COMPUTED_VALUE"""),"IN")</f>
        <v>IN</v>
      </c>
      <c r="I1241" s="214" t="str">
        <f>IFERROR(__xludf.DUMMYFUNCTION("""COMPUTED_VALUE"""),"EMPTY")</f>
        <v>EMPTY</v>
      </c>
      <c r="J1241" s="211">
        <f>IFERROR(__xludf.DUMMYFUNCTION("""COMPUTED_VALUE"""),5.0)</f>
        <v>5</v>
      </c>
      <c r="K1241" s="210" t="str">
        <f>IFERROR(__xludf.DUMMYFUNCTION("""COMPUTED_VALUE"""),"11248 11109 11190 1196 11128")</f>
        <v>11248 11109 11190 1196 11128</v>
      </c>
      <c r="L1241" s="211">
        <f>IFERROR(__xludf.DUMMYFUNCTION("""COMPUTED_VALUE"""),0.0)</f>
        <v>0</v>
      </c>
      <c r="M1241" s="211"/>
      <c r="N1241" s="211"/>
      <c r="O1241" s="211"/>
      <c r="Q1241" s="210" t="str">
        <f>IFERROR(__xludf.DUMMYFUNCTION("""COMPUTED_VALUE"""),"1250572")</f>
        <v>1250572</v>
      </c>
      <c r="R1241" s="210" t="str">
        <f>IFERROR(__xludf.DUMMYFUNCTION("""COMPUTED_VALUE"""),"1250572")</f>
        <v>1250572</v>
      </c>
      <c r="S1241" s="211" t="str">
        <f>IFERROR(__xludf.DUMMYFUNCTION("""COMPUTED_VALUE"""),"785e0e07")</f>
        <v>785e0e07</v>
      </c>
      <c r="T1241" s="211" t="str">
        <f>IFERROR(__xludf.DUMMYFUNCTION("""COMPUTED_VALUE"""),"Bpk. Sukirno (Bejo)")</f>
        <v>Bpk. Sukirno (Bejo)</v>
      </c>
      <c r="U1241" s="215">
        <f>IFERROR(__xludf.DUMMYFUNCTION("""COMPUTED_VALUE"""),45908.5221875)</f>
        <v>45908.52219</v>
      </c>
      <c r="V1241" s="211" t="str">
        <f>IFERROR(__xludf.DUMMYFUNCTION("""COMPUTED_VALUE"""),"Krajan I, Wringinanom, Kec. Wringinanom, Kabupaten Gresik, Jawa Timur 61176")</f>
        <v>Krajan I, Wringinanom, Kec. Wringinanom, Kabupaten Gresik, Jawa Timur 61176</v>
      </c>
      <c r="W1241" s="211" t="str">
        <f>IFERROR(__xludf.DUMMYFUNCTION("""COMPUTED_VALUE"""),"IN")</f>
        <v>IN</v>
      </c>
      <c r="X1241" s="211"/>
      <c r="Z1241" s="211" t="str">
        <f>IFERROR(__xludf.DUMMYFUNCTION("""COMPUTED_VALUE"""),"01250208")</f>
        <v>01250208</v>
      </c>
      <c r="AL1241" s="211"/>
      <c r="AM1241" s="211"/>
      <c r="AN1241" s="211"/>
      <c r="AO1241" s="211"/>
      <c r="AP1241" s="215"/>
      <c r="AQ1241" s="218"/>
      <c r="AR1241" s="211"/>
    </row>
    <row r="1242">
      <c r="A1242" s="210" t="str">
        <f>IFERROR(__xludf.DUMMYFUNCTION("""COMPUTED_VALUE"""),"75445ff8")</f>
        <v>75445ff8</v>
      </c>
      <c r="B1242" s="210" t="str">
        <f>IFERROR(__xludf.DUMMYFUNCTION("""COMPUTED_VALUE"""),"75445ff8")</f>
        <v>75445ff8</v>
      </c>
      <c r="C1242" s="213">
        <f>IFERROR(__xludf.DUMMYFUNCTION("""COMPUTED_VALUE"""),45828.74444444444)</f>
        <v>45828.74444</v>
      </c>
      <c r="D1242" s="211" t="str">
        <f>IFERROR(__xludf.DUMMYFUNCTION("""COMPUTED_VALUE"""),"e86baf3b")</f>
        <v>e86baf3b</v>
      </c>
      <c r="E1242" s="211" t="str">
        <f>IFERROR(__xludf.DUMMYFUNCTION("""COMPUTED_VALUE"""),"PT GEMILANG CIPTA WAWASAN")</f>
        <v>PT GEMILANG CIPTA WAWASAN</v>
      </c>
      <c r="F1242" s="211" t="str">
        <f>IFERROR(__xludf.DUMMYFUNCTION("""COMPUTED_VALUE"""),"8bdbe149")</f>
        <v>8bdbe149</v>
      </c>
      <c r="G1242" s="211" t="str">
        <f>IFERROR(__xludf.DUMMYFUNCTION("""COMPUTED_VALUE"""),"Oksigen 6m3")</f>
        <v>Oksigen 6m3</v>
      </c>
      <c r="H1242" s="214" t="str">
        <f>IFERROR(__xludf.DUMMYFUNCTION("""COMPUTED_VALUE"""),"IN")</f>
        <v>IN</v>
      </c>
      <c r="I1242" s="214" t="str">
        <f>IFERROR(__xludf.DUMMYFUNCTION("""COMPUTED_VALUE"""),"EMPTY")</f>
        <v>EMPTY</v>
      </c>
      <c r="J1242" s="211">
        <f>IFERROR(__xludf.DUMMYFUNCTION("""COMPUTED_VALUE"""),12.0)</f>
        <v>12</v>
      </c>
      <c r="K1242" s="210" t="str">
        <f>IFERROR(__xludf.DUMMYFUNCTION("""COMPUTED_VALUE"""),"1197 11130 11206 11277 1122 1181 11149 11148 1154 11104 1124 11280")</f>
        <v>1197 11130 11206 11277 1122 1181 11149 11148 1154 11104 1124 11280</v>
      </c>
      <c r="L1242" s="211">
        <f>IFERROR(__xludf.DUMMYFUNCTION("""COMPUTED_VALUE"""),0.0)</f>
        <v>0</v>
      </c>
      <c r="M1242" s="211"/>
      <c r="N1242" s="211"/>
      <c r="O1242" s="211"/>
      <c r="Q1242" s="210" t="str">
        <f>IFERROR(__xludf.DUMMYFUNCTION("""COMPUTED_VALUE"""),"1250571")</f>
        <v>1250571</v>
      </c>
      <c r="R1242" s="210" t="str">
        <f>IFERROR(__xludf.DUMMYFUNCTION("""COMPUTED_VALUE"""),"1250571")</f>
        <v>1250571</v>
      </c>
      <c r="S1242" s="211" t="str">
        <f>IFERROR(__xludf.DUMMYFUNCTION("""COMPUTED_VALUE"""),"eec2e801")</f>
        <v>eec2e801</v>
      </c>
      <c r="T1242" s="211" t="str">
        <f>IFERROR(__xludf.DUMMYFUNCTION("""COMPUTED_VALUE"""),"Mitra Wood Sejahtera")</f>
        <v>Mitra Wood Sejahtera</v>
      </c>
      <c r="U1242" s="215">
        <f>IFERROR(__xludf.DUMMYFUNCTION("""COMPUTED_VALUE"""),45908.52940972222)</f>
        <v>45908.52941</v>
      </c>
      <c r="V1242" s="211" t="str">
        <f>IFERROR(__xludf.DUMMYFUNCTION("""COMPUTED_VALUE"""),"Jl.cungkling, Jl. Tanggungan, Nanom Kidul, Lebaniwaras, Kec. Wringinanom, Kabupaten Gresik, Jawa Timur 61176")</f>
        <v>Jl.cungkling, Jl. Tanggungan, Nanom Kidul, Lebaniwaras, Kec. Wringinanom, Kabupaten Gresik, Jawa Timur 61176</v>
      </c>
      <c r="W1242" s="211" t="str">
        <f>IFERROR(__xludf.DUMMYFUNCTION("""COMPUTED_VALUE"""),"IN")</f>
        <v>IN</v>
      </c>
      <c r="X1242" s="211"/>
      <c r="Z1242" s="211" t="str">
        <f>IFERROR(__xludf.DUMMYFUNCTION("""COMPUTED_VALUE"""),"01250207")</f>
        <v>01250207</v>
      </c>
      <c r="AL1242" s="211"/>
      <c r="AM1242" s="211"/>
      <c r="AN1242" s="211"/>
      <c r="AO1242" s="211"/>
      <c r="AP1242" s="215"/>
      <c r="AQ1242" s="218"/>
      <c r="AR1242" s="211"/>
    </row>
    <row r="1243">
      <c r="A1243" s="210" t="str">
        <f>IFERROR(__xludf.DUMMYFUNCTION("""COMPUTED_VALUE"""),"75445ff8")</f>
        <v>75445ff8</v>
      </c>
      <c r="B1243" s="210" t="str">
        <f>IFERROR(__xludf.DUMMYFUNCTION("""COMPUTED_VALUE"""),"75445ff8")</f>
        <v>75445ff8</v>
      </c>
      <c r="C1243" s="213">
        <f>IFERROR(__xludf.DUMMYFUNCTION("""COMPUTED_VALUE"""),45828.74513888889)</f>
        <v>45828.74514</v>
      </c>
      <c r="D1243" s="211" t="str">
        <f>IFERROR(__xludf.DUMMYFUNCTION("""COMPUTED_VALUE"""),"e86baf3b")</f>
        <v>e86baf3b</v>
      </c>
      <c r="E1243" s="211" t="str">
        <f>IFERROR(__xludf.DUMMYFUNCTION("""COMPUTED_VALUE"""),"PT GEMILANG CIPTA WAWASAN")</f>
        <v>PT GEMILANG CIPTA WAWASAN</v>
      </c>
      <c r="F1243" s="211" t="str">
        <f>IFERROR(__xludf.DUMMYFUNCTION("""COMPUTED_VALUE"""),"66af7c72")</f>
        <v>66af7c72</v>
      </c>
      <c r="G1243" s="211" t="str">
        <f>IFERROR(__xludf.DUMMYFUNCTION("""COMPUTED_VALUE"""),"Argon 6m3")</f>
        <v>Argon 6m3</v>
      </c>
      <c r="H1243" s="214" t="str">
        <f>IFERROR(__xludf.DUMMYFUNCTION("""COMPUTED_VALUE"""),"IN")</f>
        <v>IN</v>
      </c>
      <c r="I1243" s="214" t="str">
        <f>IFERROR(__xludf.DUMMYFUNCTION("""COMPUTED_VALUE"""),"EMPTY")</f>
        <v>EMPTY</v>
      </c>
      <c r="J1243" s="211">
        <f>IFERROR(__xludf.DUMMYFUNCTION("""COMPUTED_VALUE"""),3.0)</f>
        <v>3</v>
      </c>
      <c r="K1243" s="210" t="str">
        <f>IFERROR(__xludf.DUMMYFUNCTION("""COMPUTED_VALUE"""),"12036 12023 12039")</f>
        <v>12036 12023 12039</v>
      </c>
      <c r="L1243" s="211">
        <f>IFERROR(__xludf.DUMMYFUNCTION("""COMPUTED_VALUE"""),0.0)</f>
        <v>0</v>
      </c>
      <c r="M1243" s="211"/>
      <c r="N1243" s="211"/>
      <c r="O1243" s="211"/>
      <c r="Q1243" s="210" t="str">
        <f>IFERROR(__xludf.DUMMYFUNCTION("""COMPUTED_VALUE"""),"0925121240")</f>
        <v>0925121240</v>
      </c>
      <c r="R1243" s="210" t="str">
        <f>IFERROR(__xludf.DUMMYFUNCTION("""COMPUTED_VALUE"""),"0925121240")</f>
        <v>0925121240</v>
      </c>
      <c r="S1243" s="211" t="str">
        <f>IFERROR(__xludf.DUMMYFUNCTION("""COMPUTED_VALUE"""),"b218b89b")</f>
        <v>b218b89b</v>
      </c>
      <c r="T1243" s="211" t="str">
        <f>IFERROR(__xludf.DUMMYFUNCTION("""COMPUTED_VALUE"""),"PT Harapan Sentosa")</f>
        <v>PT Harapan Sentosa</v>
      </c>
      <c r="U1243" s="215">
        <f>IFERROR(__xludf.DUMMYFUNCTION("""COMPUTED_VALUE"""),45909.40738425926)</f>
        <v>45909.40738</v>
      </c>
      <c r="V1243" s="211" t="str">
        <f>IFERROR(__xludf.DUMMYFUNCTION("""COMPUTED_VALUE"""),"Seketi, Jl. Purboyo II Selatan, RT.02/RW.02, Seketi, Kec. BalongBendo, Kabupaten Sidoarjo, Jawa Timur 61263")</f>
        <v>Seketi, Jl. Purboyo II Selatan, RT.02/RW.02, Seketi, Kec. BalongBendo, Kabupaten Sidoarjo, Jawa Timur 61263</v>
      </c>
      <c r="W1243" s="211" t="str">
        <f>IFERROR(__xludf.DUMMYFUNCTION("""COMPUTED_VALUE"""),"OUT")</f>
        <v>OUT</v>
      </c>
      <c r="X1243" s="211"/>
      <c r="Z1243" s="211" t="str">
        <f>IFERROR(__xludf.DUMMYFUNCTION("""COMPUTED_VALUE"""),"01250205")</f>
        <v>01250205</v>
      </c>
      <c r="AL1243" s="211"/>
      <c r="AM1243" s="211"/>
      <c r="AN1243" s="211"/>
      <c r="AO1243" s="211"/>
      <c r="AP1243" s="215"/>
      <c r="AQ1243" s="218"/>
      <c r="AR1243" s="211"/>
    </row>
    <row r="1244">
      <c r="A1244" s="210" t="str">
        <f>IFERROR(__xludf.DUMMYFUNCTION("""COMPUTED_VALUE"""),"2668c0e9")</f>
        <v>2668c0e9</v>
      </c>
      <c r="B1244" s="210" t="str">
        <f>IFERROR(__xludf.DUMMYFUNCTION("""COMPUTED_VALUE"""),"2668c0e9")</f>
        <v>2668c0e9</v>
      </c>
      <c r="C1244" s="213">
        <f>IFERROR(__xludf.DUMMYFUNCTION("""COMPUTED_VALUE"""),45828.74513888889)</f>
        <v>45828.74514</v>
      </c>
      <c r="D1244" s="211" t="str">
        <f>IFERROR(__xludf.DUMMYFUNCTION("""COMPUTED_VALUE"""),"103f3ae7")</f>
        <v>103f3ae7</v>
      </c>
      <c r="E1244" s="211" t="str">
        <f>IFERROR(__xludf.DUMMYFUNCTION("""COMPUTED_VALUE"""),"PT ARYANA CAKASANA")</f>
        <v>PT ARYANA CAKASANA</v>
      </c>
      <c r="F1244" s="211" t="str">
        <f>IFERROR(__xludf.DUMMYFUNCTION("""COMPUTED_VALUE"""),"8bdbe149")</f>
        <v>8bdbe149</v>
      </c>
      <c r="G1244" s="211" t="str">
        <f>IFERROR(__xludf.DUMMYFUNCTION("""COMPUTED_VALUE"""),"Oksigen 6m3")</f>
        <v>Oksigen 6m3</v>
      </c>
      <c r="H1244" s="214" t="str">
        <f>IFERROR(__xludf.DUMMYFUNCTION("""COMPUTED_VALUE"""),"IN")</f>
        <v>IN</v>
      </c>
      <c r="I1244" s="214" t="str">
        <f>IFERROR(__xludf.DUMMYFUNCTION("""COMPUTED_VALUE"""),"EMPTY")</f>
        <v>EMPTY</v>
      </c>
      <c r="J1244" s="211">
        <f>IFERROR(__xludf.DUMMYFUNCTION("""COMPUTED_VALUE"""),11.0)</f>
        <v>11</v>
      </c>
      <c r="K1244" s="210" t="str">
        <f>IFERROR(__xludf.DUMMYFUNCTION("""COMPUTED_VALUE"""),"1108 1113 1130 1155 1145 1142 11247 1148 1149 11112 1111")</f>
        <v>1108 1113 1130 1155 1145 1142 11247 1148 1149 11112 1111</v>
      </c>
      <c r="L1244" s="211">
        <f>IFERROR(__xludf.DUMMYFUNCTION("""COMPUTED_VALUE"""),0.0)</f>
        <v>0</v>
      </c>
      <c r="M1244" s="211"/>
      <c r="N1244" s="211"/>
      <c r="O1244" s="211"/>
      <c r="Q1244" s="210" t="str">
        <f>IFERROR(__xludf.DUMMYFUNCTION("""COMPUTED_VALUE"""),"0925461244")</f>
        <v>0925461244</v>
      </c>
      <c r="R1244" s="210" t="str">
        <f>IFERROR(__xludf.DUMMYFUNCTION("""COMPUTED_VALUE"""),"0925461244")</f>
        <v>0925461244</v>
      </c>
      <c r="S1244" s="211" t="str">
        <f>IFERROR(__xludf.DUMMYFUNCTION("""COMPUTED_VALUE"""),"e86baf3b")</f>
        <v>e86baf3b</v>
      </c>
      <c r="T1244" s="211" t="str">
        <f>IFERROR(__xludf.DUMMYFUNCTION("""COMPUTED_VALUE"""),"PT GEMILANG CIPTA WAWASAN")</f>
        <v>PT GEMILANG CIPTA WAWASAN</v>
      </c>
      <c r="U1244" s="215">
        <f>IFERROR(__xludf.DUMMYFUNCTION("""COMPUTED_VALUE"""),45909.41106481481)</f>
        <v>45909.41106</v>
      </c>
      <c r="V1244" s="211" t="str">
        <f>IFERROR(__xludf.DUMMYFUNCTION("""COMPUTED_VALUE"""),"JL TEBET RAYA, 2A, TEBET BARAT, TEBET, KOTA ADM, JAKARTA SELATAN, DKI JAKARTA")</f>
        <v>JL TEBET RAYA, 2A, TEBET BARAT, TEBET, KOTA ADM, JAKARTA SELATAN, DKI JAKARTA</v>
      </c>
      <c r="W1244" s="211" t="str">
        <f>IFERROR(__xludf.DUMMYFUNCTION("""COMPUTED_VALUE"""),"OUT")</f>
        <v>OUT</v>
      </c>
      <c r="X1244" s="211"/>
      <c r="Z1244" s="211" t="str">
        <f>IFERROR(__xludf.DUMMYFUNCTION("""COMPUTED_VALUE"""),"01250204")</f>
        <v>01250204</v>
      </c>
      <c r="AL1244" s="211"/>
      <c r="AM1244" s="211"/>
      <c r="AN1244" s="211"/>
      <c r="AO1244" s="211"/>
      <c r="AP1244" s="215"/>
      <c r="AQ1244" s="218"/>
      <c r="AR1244" s="211"/>
    </row>
    <row r="1245">
      <c r="A1245" s="210" t="str">
        <f>IFERROR(__xludf.DUMMYFUNCTION("""COMPUTED_VALUE"""),"06250528")</f>
        <v>06250528</v>
      </c>
      <c r="B1245" s="210" t="str">
        <f>IFERROR(__xludf.DUMMYFUNCTION("""COMPUTED_VALUE"""),"06250528")</f>
        <v>06250528</v>
      </c>
      <c r="C1245" s="213">
        <f>IFERROR(__xludf.DUMMYFUNCTION("""COMPUTED_VALUE"""),45831.38888888889)</f>
        <v>45831.38889</v>
      </c>
      <c r="D1245" s="211" t="str">
        <f>IFERROR(__xludf.DUMMYFUNCTION("""COMPUTED_VALUE"""),"b2b5f2c5")</f>
        <v>b2b5f2c5</v>
      </c>
      <c r="E1245" s="211" t="str">
        <f>IFERROR(__xludf.DUMMYFUNCTION("""COMPUTED_VALUE"""),"Bengkel Las Bpk. Ari")</f>
        <v>Bengkel Las Bpk. Ari</v>
      </c>
      <c r="F1245" s="211" t="str">
        <f>IFERROR(__xludf.DUMMYFUNCTION("""COMPUTED_VALUE"""),"8bdbe149")</f>
        <v>8bdbe149</v>
      </c>
      <c r="G1245" s="211" t="str">
        <f>IFERROR(__xludf.DUMMYFUNCTION("""COMPUTED_VALUE"""),"Oksigen 6m3")</f>
        <v>Oksigen 6m3</v>
      </c>
      <c r="H1245" s="214" t="str">
        <f>IFERROR(__xludf.DUMMYFUNCTION("""COMPUTED_VALUE"""),"OUT")</f>
        <v>OUT</v>
      </c>
      <c r="I1245" s="214" t="str">
        <f>IFERROR(__xludf.DUMMYFUNCTION("""COMPUTED_VALUE"""),"NORMAL")</f>
        <v>NORMAL</v>
      </c>
      <c r="J1245" s="211">
        <f>IFERROR(__xludf.DUMMYFUNCTION("""COMPUTED_VALUE"""),3.0)</f>
        <v>3</v>
      </c>
      <c r="K1245" s="210" t="str">
        <f>IFERROR(__xludf.DUMMYFUNCTION("""COMPUTED_VALUE"""),"1122 1113 11277")</f>
        <v>1122 1113 11277</v>
      </c>
      <c r="L1245" s="211">
        <f>IFERROR(__xludf.DUMMYFUNCTION("""COMPUTED_VALUE"""),60000.0)</f>
        <v>60000</v>
      </c>
      <c r="M1245" s="211"/>
      <c r="N1245" s="211"/>
      <c r="O1245" s="211"/>
      <c r="Q1245" s="210" t="str">
        <f>IFERROR(__xludf.DUMMYFUNCTION("""COMPUTED_VALUE"""),"1250573")</f>
        <v>1250573</v>
      </c>
      <c r="R1245" s="210" t="str">
        <f>IFERROR(__xludf.DUMMYFUNCTION("""COMPUTED_VALUE"""),"1250573")</f>
        <v>1250573</v>
      </c>
      <c r="S1245" s="211" t="str">
        <f>IFERROR(__xludf.DUMMYFUNCTION("""COMPUTED_VALUE"""),"e86baf3b")</f>
        <v>e86baf3b</v>
      </c>
      <c r="T1245" s="211" t="str">
        <f>IFERROR(__xludf.DUMMYFUNCTION("""COMPUTED_VALUE"""),"PT GEMILANG CIPTA WAWASAN")</f>
        <v>PT GEMILANG CIPTA WAWASAN</v>
      </c>
      <c r="U1245" s="215">
        <f>IFERROR(__xludf.DUMMYFUNCTION("""COMPUTED_VALUE"""),45909.67020833334)</f>
        <v>45909.67021</v>
      </c>
      <c r="V1245" s="211" t="str">
        <f>IFERROR(__xludf.DUMMYFUNCTION("""COMPUTED_VALUE"""),"JL TEBET RAYA, 2A, TEBET BARAT, TEBET, KOTA ADM, JAKARTA SELATAN, DKI JAKARTA")</f>
        <v>JL TEBET RAYA, 2A, TEBET BARAT, TEBET, KOTA ADM, JAKARTA SELATAN, DKI JAKARTA</v>
      </c>
      <c r="W1245" s="211" t="str">
        <f>IFERROR(__xludf.DUMMYFUNCTION("""COMPUTED_VALUE"""),"IN")</f>
        <v>IN</v>
      </c>
      <c r="X1245" s="211"/>
      <c r="Z1245" s="211" t="str">
        <f>IFERROR(__xludf.DUMMYFUNCTION("""COMPUTED_VALUE"""),"01250203")</f>
        <v>01250203</v>
      </c>
      <c r="AL1245" s="211"/>
      <c r="AM1245" s="211"/>
      <c r="AN1245" s="211"/>
      <c r="AO1245" s="211"/>
      <c r="AP1245" s="215"/>
      <c r="AQ1245" s="218"/>
      <c r="AR1245" s="211"/>
    </row>
    <row r="1246">
      <c r="A1246" s="210" t="str">
        <f>IFERROR(__xludf.DUMMYFUNCTION("""COMPUTED_VALUE"""),"06250529")</f>
        <v>06250529</v>
      </c>
      <c r="B1246" s="210" t="str">
        <f>IFERROR(__xludf.DUMMYFUNCTION("""COMPUTED_VALUE"""),"06250529")</f>
        <v>06250529</v>
      </c>
      <c r="C1246" s="213">
        <f>IFERROR(__xludf.DUMMYFUNCTION("""COMPUTED_VALUE"""),45831.40069444444)</f>
        <v>45831.40069</v>
      </c>
      <c r="D1246" s="211" t="str">
        <f>IFERROR(__xludf.DUMMYFUNCTION("""COMPUTED_VALUE"""),"e86baf3b")</f>
        <v>e86baf3b</v>
      </c>
      <c r="E1246" s="211" t="str">
        <f>IFERROR(__xludf.DUMMYFUNCTION("""COMPUTED_VALUE"""),"PT GEMILANG CIPTA WAWASAN")</f>
        <v>PT GEMILANG CIPTA WAWASAN</v>
      </c>
      <c r="F1246" s="211" t="str">
        <f>IFERROR(__xludf.DUMMYFUNCTION("""COMPUTED_VALUE"""),"66af7c72")</f>
        <v>66af7c72</v>
      </c>
      <c r="G1246" s="211" t="str">
        <f>IFERROR(__xludf.DUMMYFUNCTION("""COMPUTED_VALUE"""),"Argon 6m3")</f>
        <v>Argon 6m3</v>
      </c>
      <c r="H1246" s="214" t="str">
        <f>IFERROR(__xludf.DUMMYFUNCTION("""COMPUTED_VALUE"""),"OUT")</f>
        <v>OUT</v>
      </c>
      <c r="I1246" s="214" t="str">
        <f>IFERROR(__xludf.DUMMYFUNCTION("""COMPUTED_VALUE"""),"NORMAL")</f>
        <v>NORMAL</v>
      </c>
      <c r="J1246" s="211">
        <f>IFERROR(__xludf.DUMMYFUNCTION("""COMPUTED_VALUE"""),5.0)</f>
        <v>5</v>
      </c>
      <c r="K1246" s="210" t="str">
        <f>IFERROR(__xludf.DUMMYFUNCTION("""COMPUTED_VALUE"""),"12023 12057 12039 12056 12018")</f>
        <v>12023 12057 12039 12056 12018</v>
      </c>
      <c r="L1246" s="211">
        <f>IFERROR(__xludf.DUMMYFUNCTION("""COMPUTED_VALUE"""),185000.0)</f>
        <v>185000</v>
      </c>
      <c r="M1246" s="211"/>
      <c r="N1246" s="211"/>
      <c r="O1246" s="211"/>
      <c r="Q1246" s="210" t="str">
        <f>IFERROR(__xludf.DUMMYFUNCTION("""COMPUTED_VALUE"""),"092571245")</f>
        <v>092571245</v>
      </c>
      <c r="R1246" s="210" t="str">
        <f>IFERROR(__xludf.DUMMYFUNCTION("""COMPUTED_VALUE"""),"092571245")</f>
        <v>092571245</v>
      </c>
      <c r="S1246" s="211" t="str">
        <f>IFERROR(__xludf.DUMMYFUNCTION("""COMPUTED_VALUE"""),"a9fe1bea")</f>
        <v>a9fe1bea</v>
      </c>
      <c r="T1246" s="211" t="str">
        <f>IFERROR(__xludf.DUMMYFUNCTION("""COMPUTED_VALUE"""),"H. Suheiri")</f>
        <v>H. Suheiri</v>
      </c>
      <c r="U1246" s="215">
        <f>IFERROR(__xludf.DUMMYFUNCTION("""COMPUTED_VALUE"""),45910.37024305556)</f>
        <v>45910.37024</v>
      </c>
      <c r="V1246"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1246" s="211" t="str">
        <f>IFERROR(__xludf.DUMMYFUNCTION("""COMPUTED_VALUE"""),"OUT")</f>
        <v>OUT</v>
      </c>
      <c r="X1246" s="211"/>
      <c r="Z1246" s="211" t="str">
        <f>IFERROR(__xludf.DUMMYFUNCTION("""COMPUTED_VALUE"""),"01250202")</f>
        <v>01250202</v>
      </c>
      <c r="AL1246" s="211"/>
      <c r="AM1246" s="211"/>
      <c r="AN1246" s="211"/>
      <c r="AO1246" s="211"/>
      <c r="AP1246" s="215"/>
      <c r="AQ1246" s="218"/>
      <c r="AR1246" s="211"/>
    </row>
    <row r="1247">
      <c r="A1247" s="210" t="str">
        <f>IFERROR(__xludf.DUMMYFUNCTION("""COMPUTED_VALUE"""),"06250529")</f>
        <v>06250529</v>
      </c>
      <c r="B1247" s="210" t="str">
        <f>IFERROR(__xludf.DUMMYFUNCTION("""COMPUTED_VALUE"""),"06250529")</f>
        <v>06250529</v>
      </c>
      <c r="C1247" s="213">
        <f>IFERROR(__xludf.DUMMYFUNCTION("""COMPUTED_VALUE"""),45831.40138888889)</f>
        <v>45831.40139</v>
      </c>
      <c r="D1247" s="211" t="str">
        <f>IFERROR(__xludf.DUMMYFUNCTION("""COMPUTED_VALUE"""),"e86baf3b")</f>
        <v>e86baf3b</v>
      </c>
      <c r="E1247" s="211" t="str">
        <f>IFERROR(__xludf.DUMMYFUNCTION("""COMPUTED_VALUE"""),"PT GEMILANG CIPTA WAWASAN")</f>
        <v>PT GEMILANG CIPTA WAWASAN</v>
      </c>
      <c r="F1247" s="211" t="str">
        <f>IFERROR(__xludf.DUMMYFUNCTION("""COMPUTED_VALUE"""),"8bdbe149")</f>
        <v>8bdbe149</v>
      </c>
      <c r="G1247" s="211" t="str">
        <f>IFERROR(__xludf.DUMMYFUNCTION("""COMPUTED_VALUE"""),"Oksigen 6m3")</f>
        <v>Oksigen 6m3</v>
      </c>
      <c r="H1247" s="214" t="str">
        <f>IFERROR(__xludf.DUMMYFUNCTION("""COMPUTED_VALUE"""),"OUT")</f>
        <v>OUT</v>
      </c>
      <c r="I1247" s="214" t="str">
        <f>IFERROR(__xludf.DUMMYFUNCTION("""COMPUTED_VALUE"""),"NORMAL")</f>
        <v>NORMAL</v>
      </c>
      <c r="J1247" s="211">
        <f>IFERROR(__xludf.DUMMYFUNCTION("""COMPUTED_VALUE"""),10.0)</f>
        <v>10</v>
      </c>
      <c r="K1247" s="210" t="str">
        <f>IFERROR(__xludf.DUMMYFUNCTION("""COMPUTED_VALUE"""),"1145 1149 1124 11112 1130 11109 1155 1197 1111 11130")</f>
        <v>1145 1149 1124 11112 1130 11109 1155 1197 1111 11130</v>
      </c>
      <c r="L1247" s="211">
        <f>IFERROR(__xludf.DUMMYFUNCTION("""COMPUTED_VALUE"""),60000.0)</f>
        <v>60000</v>
      </c>
      <c r="M1247" s="211"/>
      <c r="N1247" s="211"/>
      <c r="O1247" s="211"/>
      <c r="Q1247" s="210" t="str">
        <f>IFERROR(__xludf.DUMMYFUNCTION("""COMPUTED_VALUE"""),"1250574")</f>
        <v>1250574</v>
      </c>
      <c r="R1247" s="210" t="str">
        <f>IFERROR(__xludf.DUMMYFUNCTION("""COMPUTED_VALUE"""),"1250574")</f>
        <v>1250574</v>
      </c>
      <c r="S1247" s="211" t="str">
        <f>IFERROR(__xludf.DUMMYFUNCTION("""COMPUTED_VALUE"""),"e86baf3b")</f>
        <v>e86baf3b</v>
      </c>
      <c r="T1247" s="211" t="str">
        <f>IFERROR(__xludf.DUMMYFUNCTION("""COMPUTED_VALUE"""),"PT GEMILANG CIPTA WAWASAN")</f>
        <v>PT GEMILANG CIPTA WAWASAN</v>
      </c>
      <c r="U1247" s="215">
        <f>IFERROR(__xludf.DUMMYFUNCTION("""COMPUTED_VALUE"""),45910.46359953703)</f>
        <v>45910.4636</v>
      </c>
      <c r="V1247" s="211" t="str">
        <f>IFERROR(__xludf.DUMMYFUNCTION("""COMPUTED_VALUE"""),"JL TEBET RAYA, 2A, TEBET BARAT, TEBET, KOTA ADM, JAKARTA SELATAN, DKI JAKARTA")</f>
        <v>JL TEBET RAYA, 2A, TEBET BARAT, TEBET, KOTA ADM, JAKARTA SELATAN, DKI JAKARTA</v>
      </c>
      <c r="W1247" s="211" t="str">
        <f>IFERROR(__xludf.DUMMYFUNCTION("""COMPUTED_VALUE"""),"IN")</f>
        <v>IN</v>
      </c>
      <c r="X1247" s="211"/>
      <c r="Z1247" s="211" t="str">
        <f>IFERROR(__xludf.DUMMYFUNCTION("""COMPUTED_VALUE"""),"01250200")</f>
        <v>01250200</v>
      </c>
      <c r="AL1247" s="211"/>
      <c r="AM1247" s="211"/>
      <c r="AN1247" s="211"/>
      <c r="AO1247" s="211"/>
      <c r="AP1247" s="215"/>
      <c r="AQ1247" s="218"/>
      <c r="AR1247" s="211"/>
    </row>
    <row r="1248">
      <c r="A1248" s="210" t="str">
        <f>IFERROR(__xludf.DUMMYFUNCTION("""COMPUTED_VALUE"""),"06250531")</f>
        <v>06250531</v>
      </c>
      <c r="B1248" s="210" t="str">
        <f>IFERROR(__xludf.DUMMYFUNCTION("""COMPUTED_VALUE"""),"06250531")</f>
        <v>06250531</v>
      </c>
      <c r="C1248" s="213">
        <f>IFERROR(__xludf.DUMMYFUNCTION("""COMPUTED_VALUE"""),45831.52013888889)</f>
        <v>45831.52014</v>
      </c>
      <c r="D1248" s="211" t="str">
        <f>IFERROR(__xludf.DUMMYFUNCTION("""COMPUTED_VALUE"""),"3bcd7fe6")</f>
        <v>3bcd7fe6</v>
      </c>
      <c r="E1248" s="211" t="str">
        <f>IFERROR(__xludf.DUMMYFUNCTION("""COMPUTED_VALUE"""),"Bpk. Alvin (LB Group)")</f>
        <v>Bpk. Alvin (LB Group)</v>
      </c>
      <c r="F1248" s="211" t="str">
        <f>IFERROR(__xludf.DUMMYFUNCTION("""COMPUTED_VALUE"""),"66af7c72")</f>
        <v>66af7c72</v>
      </c>
      <c r="G1248" s="211" t="str">
        <f>IFERROR(__xludf.DUMMYFUNCTION("""COMPUTED_VALUE"""),"Argon 6m3")</f>
        <v>Argon 6m3</v>
      </c>
      <c r="H1248" s="214" t="str">
        <f>IFERROR(__xludf.DUMMYFUNCTION("""COMPUTED_VALUE"""),"OUT")</f>
        <v>OUT</v>
      </c>
      <c r="I1248" s="214" t="str">
        <f>IFERROR(__xludf.DUMMYFUNCTION("""COMPUTED_VALUE"""),"NORMAL")</f>
        <v>NORMAL</v>
      </c>
      <c r="J1248" s="211">
        <f>IFERROR(__xludf.DUMMYFUNCTION("""COMPUTED_VALUE"""),1.0)</f>
        <v>1</v>
      </c>
      <c r="K1248" s="210" t="str">
        <f>IFERROR(__xludf.DUMMYFUNCTION("""COMPUTED_VALUE"""),"12036")</f>
        <v>12036</v>
      </c>
      <c r="L1248" s="211">
        <f>IFERROR(__xludf.DUMMYFUNCTION("""COMPUTED_VALUE"""),190000.0)</f>
        <v>190000</v>
      </c>
      <c r="M1248" s="211"/>
      <c r="N1248" s="211"/>
      <c r="O1248" s="211"/>
      <c r="Q1248" s="210" t="str">
        <f>IFERROR(__xludf.DUMMYFUNCTION("""COMPUTED_VALUE"""),"0925361247")</f>
        <v>0925361247</v>
      </c>
      <c r="R1248" s="210" t="str">
        <f>IFERROR(__xludf.DUMMYFUNCTION("""COMPUTED_VALUE"""),"0925361247")</f>
        <v>0925361247</v>
      </c>
      <c r="S1248" s="211" t="str">
        <f>IFERROR(__xludf.DUMMYFUNCTION("""COMPUTED_VALUE"""),"785e0e07")</f>
        <v>785e0e07</v>
      </c>
      <c r="T1248" s="211" t="str">
        <f>IFERROR(__xludf.DUMMYFUNCTION("""COMPUTED_VALUE"""),"Bpk. Sukirno (Bejo)")</f>
        <v>Bpk. Sukirno (Bejo)</v>
      </c>
      <c r="U1248" s="215">
        <f>IFERROR(__xludf.DUMMYFUNCTION("""COMPUTED_VALUE"""),45911.33715277778)</f>
        <v>45911.33715</v>
      </c>
      <c r="V1248" s="211" t="str">
        <f>IFERROR(__xludf.DUMMYFUNCTION("""COMPUTED_VALUE"""),"Krajan I, Wringinanom, Kec. Wringinanom, Kabupaten Gresik, Jawa Timur 61176")</f>
        <v>Krajan I, Wringinanom, Kec. Wringinanom, Kabupaten Gresik, Jawa Timur 61176</v>
      </c>
      <c r="W1248" s="211" t="str">
        <f>IFERROR(__xludf.DUMMYFUNCTION("""COMPUTED_VALUE"""),"OUT")</f>
        <v>OUT</v>
      </c>
      <c r="X1248" s="211"/>
      <c r="Z1248" s="211" t="str">
        <f>IFERROR(__xludf.DUMMYFUNCTION("""COMPUTED_VALUE"""),"01250199")</f>
        <v>01250199</v>
      </c>
      <c r="AL1248" s="211"/>
      <c r="AM1248" s="211"/>
      <c r="AN1248" s="211"/>
      <c r="AO1248" s="211"/>
      <c r="AP1248" s="215"/>
      <c r="AQ1248" s="218"/>
      <c r="AR1248" s="211"/>
    </row>
    <row r="1249">
      <c r="A1249" s="210" t="str">
        <f>IFERROR(__xludf.DUMMYFUNCTION("""COMPUTED_VALUE"""),"11594276")</f>
        <v>11594276</v>
      </c>
      <c r="B1249" s="210" t="str">
        <f>IFERROR(__xludf.DUMMYFUNCTION("""COMPUTED_VALUE"""),"11594276")</f>
        <v>11594276</v>
      </c>
      <c r="C1249" s="213">
        <f>IFERROR(__xludf.DUMMYFUNCTION("""COMPUTED_VALUE"""),45832.436111111114)</f>
        <v>45832.43611</v>
      </c>
      <c r="D1249" s="211" t="str">
        <f>IFERROR(__xludf.DUMMYFUNCTION("""COMPUTED_VALUE"""),"01158be1")</f>
        <v>01158be1</v>
      </c>
      <c r="E1249" s="211" t="str">
        <f>IFERROR(__xludf.DUMMYFUNCTION("""COMPUTED_VALUE"""),"GYF")</f>
        <v>GYF</v>
      </c>
      <c r="F1249" s="211" t="str">
        <f>IFERROR(__xludf.DUMMYFUNCTION("""COMPUTED_VALUE"""),"8bdbe149")</f>
        <v>8bdbe149</v>
      </c>
      <c r="G1249" s="211" t="str">
        <f>IFERROR(__xludf.DUMMYFUNCTION("""COMPUTED_VALUE"""),"Oksigen 6m3")</f>
        <v>Oksigen 6m3</v>
      </c>
      <c r="H1249" s="214" t="str">
        <f>IFERROR(__xludf.DUMMYFUNCTION("""COMPUTED_VALUE"""),"IN")</f>
        <v>IN</v>
      </c>
      <c r="I1249" s="214" t="str">
        <f>IFERROR(__xludf.DUMMYFUNCTION("""COMPUTED_VALUE"""),"EMPTY")</f>
        <v>EMPTY</v>
      </c>
      <c r="J1249" s="211">
        <f>IFERROR(__xludf.DUMMYFUNCTION("""COMPUTED_VALUE"""),12.0)</f>
        <v>12</v>
      </c>
      <c r="K1249" s="210" t="str">
        <f>IFERROR(__xludf.DUMMYFUNCTION("""COMPUTED_VALUE"""),"11124 11259 1167 11134 11274 11107 1137 11121 11286 11113 11246 11116")</f>
        <v>11124 11259 1167 11134 11274 11107 1137 11121 11286 11113 11246 11116</v>
      </c>
      <c r="L1249" s="211">
        <f>IFERROR(__xludf.DUMMYFUNCTION("""COMPUTED_VALUE"""),0.0)</f>
        <v>0</v>
      </c>
      <c r="M1249" s="211"/>
      <c r="N1249" s="211"/>
      <c r="O1249" s="211"/>
      <c r="Q1249" s="210" t="str">
        <f>IFERROR(__xludf.DUMMYFUNCTION("""COMPUTED_VALUE"""),"0925471248")</f>
        <v>0925471248</v>
      </c>
      <c r="R1249" s="210" t="str">
        <f>IFERROR(__xludf.DUMMYFUNCTION("""COMPUTED_VALUE"""),"0925471248")</f>
        <v>0925471248</v>
      </c>
      <c r="S1249" s="211" t="str">
        <f>IFERROR(__xludf.DUMMYFUNCTION("""COMPUTED_VALUE"""),"e86baf3b")</f>
        <v>e86baf3b</v>
      </c>
      <c r="T1249" s="211" t="str">
        <f>IFERROR(__xludf.DUMMYFUNCTION("""COMPUTED_VALUE"""),"PT GEMILANG CIPTA WAWASAN")</f>
        <v>PT GEMILANG CIPTA WAWASAN</v>
      </c>
      <c r="U1249" s="215">
        <f>IFERROR(__xludf.DUMMYFUNCTION("""COMPUTED_VALUE"""),45911.33866898148)</f>
        <v>45911.33867</v>
      </c>
      <c r="V1249" s="211" t="str">
        <f>IFERROR(__xludf.DUMMYFUNCTION("""COMPUTED_VALUE"""),"JL TEBET RAYA, 2A, TEBET BARAT, TEBET, KOTA ADM, JAKARTA SELATAN, DKI JAKARTA")</f>
        <v>JL TEBET RAYA, 2A, TEBET BARAT, TEBET, KOTA ADM, JAKARTA SELATAN, DKI JAKARTA</v>
      </c>
      <c r="W1249" s="211" t="str">
        <f>IFERROR(__xludf.DUMMYFUNCTION("""COMPUTED_VALUE"""),"OUT")</f>
        <v>OUT</v>
      </c>
      <c r="X1249" s="211"/>
      <c r="Z1249" s="211" t="str">
        <f>IFERROR(__xludf.DUMMYFUNCTION("""COMPUTED_VALUE"""),"01250198")</f>
        <v>01250198</v>
      </c>
      <c r="AL1249" s="211"/>
      <c r="AM1249" s="211"/>
      <c r="AN1249" s="211"/>
      <c r="AO1249" s="211"/>
      <c r="AP1249" s="215"/>
      <c r="AQ1249" s="218"/>
      <c r="AR1249" s="211"/>
    </row>
    <row r="1250">
      <c r="A1250" s="211"/>
      <c r="B1250" s="211"/>
      <c r="C1250" s="211"/>
      <c r="D1250" s="211"/>
      <c r="E1250" s="211"/>
      <c r="F1250" s="211"/>
      <c r="G1250" s="211"/>
      <c r="H1250" s="211"/>
      <c r="I1250" s="211"/>
      <c r="J1250" s="211"/>
      <c r="K1250" s="211"/>
      <c r="L1250" s="211"/>
      <c r="M1250" s="211"/>
      <c r="N1250" s="211"/>
      <c r="O1250" s="211"/>
      <c r="Q1250" s="210" t="str">
        <f>IFERROR(__xludf.DUMMYFUNCTION("""COMPUTED_VALUE"""),"0925201249")</f>
        <v>0925201249</v>
      </c>
      <c r="R1250" s="210" t="str">
        <f>IFERROR(__xludf.DUMMYFUNCTION("""COMPUTED_VALUE"""),"0925201249")</f>
        <v>0925201249</v>
      </c>
      <c r="S1250" s="211" t="str">
        <f>IFERROR(__xludf.DUMMYFUNCTION("""COMPUTED_VALUE"""),"8f5ebaea")</f>
        <v>8f5ebaea</v>
      </c>
      <c r="T1250" s="211" t="str">
        <f>IFERROR(__xludf.DUMMYFUNCTION("""COMPUTED_VALUE"""),"PT Hua Zong Mesindo")</f>
        <v>PT Hua Zong Mesindo</v>
      </c>
      <c r="U1250" s="215">
        <f>IFERROR(__xludf.DUMMYFUNCTION("""COMPUTED_VALUE"""),45911.3593287037)</f>
        <v>45911.35933</v>
      </c>
      <c r="V1250" s="211" t="str">
        <f>IFERROR(__xludf.DUMMYFUNCTION("""COMPUTED_VALUE"""),"Jl. Bypass Krian, Sidotemo, Sidomulyo, Kec. Krian, Kabupaten Sidoarjo, Jawa Timur 61262")</f>
        <v>Jl. Bypass Krian, Sidotemo, Sidomulyo, Kec. Krian, Kabupaten Sidoarjo, Jawa Timur 61262</v>
      </c>
      <c r="W1250" s="211" t="str">
        <f>IFERROR(__xludf.DUMMYFUNCTION("""COMPUTED_VALUE"""),"OUT")</f>
        <v>OUT</v>
      </c>
      <c r="X1250" s="211"/>
      <c r="Z1250" s="211" t="str">
        <f>IFERROR(__xludf.DUMMYFUNCTION("""COMPUTED_VALUE"""),"01250197")</f>
        <v>01250197</v>
      </c>
      <c r="AL1250" s="211"/>
      <c r="AM1250" s="211"/>
      <c r="AN1250" s="211"/>
      <c r="AO1250" s="211"/>
      <c r="AP1250" s="215"/>
      <c r="AQ1250" s="218"/>
      <c r="AR1250" s="211"/>
    </row>
    <row r="1251">
      <c r="A1251" s="210" t="str">
        <f>IFERROR(__xludf.DUMMYFUNCTION("""COMPUTED_VALUE"""),"518e58cc")</f>
        <v>518e58cc</v>
      </c>
      <c r="B1251" s="210" t="str">
        <f>IFERROR(__xludf.DUMMYFUNCTION("""COMPUTED_VALUE"""),"518e58cc")</f>
        <v>518e58cc</v>
      </c>
      <c r="C1251" s="213">
        <f>IFERROR(__xludf.DUMMYFUNCTION("""COMPUTED_VALUE"""),45832.43958333333)</f>
        <v>45832.43958</v>
      </c>
      <c r="D1251" s="211" t="str">
        <f>IFERROR(__xludf.DUMMYFUNCTION("""COMPUTED_VALUE"""),"785e0e07")</f>
        <v>785e0e07</v>
      </c>
      <c r="E1251" s="211" t="str">
        <f>IFERROR(__xludf.DUMMYFUNCTION("""COMPUTED_VALUE"""),"Bpk. Sukirno (Bejo)")</f>
        <v>Bpk. Sukirno (Bejo)</v>
      </c>
      <c r="F1251" s="211" t="str">
        <f>IFERROR(__xludf.DUMMYFUNCTION("""COMPUTED_VALUE"""),"8bdbe149")</f>
        <v>8bdbe149</v>
      </c>
      <c r="G1251" s="211" t="str">
        <f>IFERROR(__xludf.DUMMYFUNCTION("""COMPUTED_VALUE"""),"Oksigen 6m3")</f>
        <v>Oksigen 6m3</v>
      </c>
      <c r="H1251" s="214" t="str">
        <f>IFERROR(__xludf.DUMMYFUNCTION("""COMPUTED_VALUE"""),"IN")</f>
        <v>IN</v>
      </c>
      <c r="I1251" s="214" t="str">
        <f>IFERROR(__xludf.DUMMYFUNCTION("""COMPUTED_VALUE"""),"EMPTY")</f>
        <v>EMPTY</v>
      </c>
      <c r="J1251" s="211">
        <f>IFERROR(__xludf.DUMMYFUNCTION("""COMPUTED_VALUE"""),3.0)</f>
        <v>3</v>
      </c>
      <c r="K1251" s="210" t="str">
        <f>IFERROR(__xludf.DUMMYFUNCTION("""COMPUTED_VALUE"""),"11191 1144 11183")</f>
        <v>11191 1144 11183</v>
      </c>
      <c r="L1251" s="211">
        <f>IFERROR(__xludf.DUMMYFUNCTION("""COMPUTED_VALUE"""),0.0)</f>
        <v>0</v>
      </c>
      <c r="M1251" s="211"/>
      <c r="N1251" s="211"/>
      <c r="O1251" s="211"/>
      <c r="Q1251" s="210" t="str">
        <f>IFERROR(__xludf.DUMMYFUNCTION("""COMPUTED_VALUE"""),"0925121250")</f>
        <v>0925121250</v>
      </c>
      <c r="R1251" s="210" t="str">
        <f>IFERROR(__xludf.DUMMYFUNCTION("""COMPUTED_VALUE"""),"0925121250")</f>
        <v>0925121250</v>
      </c>
      <c r="S1251" s="211" t="str">
        <f>IFERROR(__xludf.DUMMYFUNCTION("""COMPUTED_VALUE"""),"182fb0fe")</f>
        <v>182fb0fe</v>
      </c>
      <c r="T1251" s="211" t="str">
        <f>IFERROR(__xludf.DUMMYFUNCTION("""COMPUTED_VALUE"""),"PT Amtech")</f>
        <v>PT Amtech</v>
      </c>
      <c r="U1251" s="215">
        <f>IFERROR(__xludf.DUMMYFUNCTION("""COMPUTED_VALUE"""),45911.3612037037)</f>
        <v>45911.3612</v>
      </c>
      <c r="V1251"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251" s="211" t="str">
        <f>IFERROR(__xludf.DUMMYFUNCTION("""COMPUTED_VALUE"""),"OUT")</f>
        <v>OUT</v>
      </c>
      <c r="X1251" s="211"/>
      <c r="Z1251" s="211" t="str">
        <f>IFERROR(__xludf.DUMMYFUNCTION("""COMPUTED_VALUE"""),"01250196")</f>
        <v>01250196</v>
      </c>
      <c r="AL1251" s="211"/>
      <c r="AM1251" s="211"/>
      <c r="AN1251" s="211"/>
      <c r="AO1251" s="211"/>
      <c r="AP1251" s="215"/>
      <c r="AQ1251" s="218"/>
      <c r="AR1251" s="211"/>
    </row>
    <row r="1252">
      <c r="A1252" s="210" t="str">
        <f>IFERROR(__xludf.DUMMYFUNCTION("""COMPUTED_VALUE"""),"06250532")</f>
        <v>06250532</v>
      </c>
      <c r="B1252" s="210" t="str">
        <f>IFERROR(__xludf.DUMMYFUNCTION("""COMPUTED_VALUE"""),"06250532")</f>
        <v>06250532</v>
      </c>
      <c r="C1252" s="213">
        <f>IFERROR(__xludf.DUMMYFUNCTION("""COMPUTED_VALUE"""),45832.555555555555)</f>
        <v>45832.55556</v>
      </c>
      <c r="D1252" s="211" t="str">
        <f>IFERROR(__xludf.DUMMYFUNCTION("""COMPUTED_VALUE"""),"01158be1")</f>
        <v>01158be1</v>
      </c>
      <c r="E1252" s="211" t="str">
        <f>IFERROR(__xludf.DUMMYFUNCTION("""COMPUTED_VALUE"""),"GYF")</f>
        <v>GYF</v>
      </c>
      <c r="F1252" s="211" t="str">
        <f>IFERROR(__xludf.DUMMYFUNCTION("""COMPUTED_VALUE"""),"8bdbe149")</f>
        <v>8bdbe149</v>
      </c>
      <c r="G1252" s="211" t="str">
        <f>IFERROR(__xludf.DUMMYFUNCTION("""COMPUTED_VALUE"""),"Oksigen 6m3")</f>
        <v>Oksigen 6m3</v>
      </c>
      <c r="H1252" s="214" t="str">
        <f>IFERROR(__xludf.DUMMYFUNCTION("""COMPUTED_VALUE"""),"OUT")</f>
        <v>OUT</v>
      </c>
      <c r="I1252" s="214" t="str">
        <f>IFERROR(__xludf.DUMMYFUNCTION("""COMPUTED_VALUE"""),"NORMAL")</f>
        <v>NORMAL</v>
      </c>
      <c r="J1252" s="211">
        <f>IFERROR(__xludf.DUMMYFUNCTION("""COMPUTED_VALUE"""),15.0)</f>
        <v>15</v>
      </c>
      <c r="K1252" s="210" t="str">
        <f>IFERROR(__xludf.DUMMYFUNCTION("""COMPUTED_VALUE"""),"1141 11280 11128 1108 1196 11190 1148 1154 11206 1181 11248 11247 11278 11175 11229")</f>
        <v>1141 11280 11128 1108 1196 11190 1148 1154 11206 1181 11248 11247 11278 11175 11229</v>
      </c>
      <c r="L1252" s="211">
        <f>IFERROR(__xludf.DUMMYFUNCTION("""COMPUTED_VALUE"""),45000.0)</f>
        <v>45000</v>
      </c>
      <c r="M1252" s="211"/>
      <c r="N1252" s="211"/>
      <c r="O1252" s="211"/>
      <c r="Q1252" s="210" t="str">
        <f>IFERROR(__xludf.DUMMYFUNCTION("""COMPUTED_VALUE"""),"1250558")</f>
        <v>1250558</v>
      </c>
      <c r="R1252" s="210" t="str">
        <f>IFERROR(__xludf.DUMMYFUNCTION("""COMPUTED_VALUE"""),"1250558")</f>
        <v>1250558</v>
      </c>
      <c r="S1252" s="211" t="str">
        <f>IFERROR(__xludf.DUMMYFUNCTION("""COMPUTED_VALUE"""),"a9fe1bea")</f>
        <v>a9fe1bea</v>
      </c>
      <c r="T1252" s="211" t="str">
        <f>IFERROR(__xludf.DUMMYFUNCTION("""COMPUTED_VALUE"""),"H. Suheiri")</f>
        <v>H. Suheiri</v>
      </c>
      <c r="U1252" s="215">
        <f>IFERROR(__xludf.DUMMYFUNCTION("""COMPUTED_VALUE"""),45911.40394675926)</f>
        <v>45911.40395</v>
      </c>
      <c r="V1252"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1252" s="211" t="str">
        <f>IFERROR(__xludf.DUMMYFUNCTION("""COMPUTED_VALUE"""),"IN")</f>
        <v>IN</v>
      </c>
      <c r="X1252" s="211"/>
      <c r="Z1252" s="211" t="str">
        <f>IFERROR(__xludf.DUMMYFUNCTION("""COMPUTED_VALUE"""),"01250195")</f>
        <v>01250195</v>
      </c>
      <c r="AL1252" s="211"/>
      <c r="AM1252" s="211"/>
      <c r="AN1252" s="211"/>
      <c r="AO1252" s="211"/>
      <c r="AP1252" s="215"/>
      <c r="AQ1252" s="218"/>
      <c r="AR1252" s="211"/>
    </row>
    <row r="1253">
      <c r="A1253" s="210" t="str">
        <f>IFERROR(__xludf.DUMMYFUNCTION("""COMPUTED_VALUE"""),"bf8e67f3")</f>
        <v>bf8e67f3</v>
      </c>
      <c r="B1253" s="210" t="str">
        <f>IFERROR(__xludf.DUMMYFUNCTION("""COMPUTED_VALUE"""),"bf8e67f3")</f>
        <v>bf8e67f3</v>
      </c>
      <c r="C1253" s="213">
        <f>IFERROR(__xludf.DUMMYFUNCTION("""COMPUTED_VALUE"""),45832.69513888889)</f>
        <v>45832.69514</v>
      </c>
      <c r="D1253" s="211" t="str">
        <f>IFERROR(__xludf.DUMMYFUNCTION("""COMPUTED_VALUE"""),"5f23ba17")</f>
        <v>5f23ba17</v>
      </c>
      <c r="E1253" s="211" t="str">
        <f>IFERROR(__xludf.DUMMYFUNCTION("""COMPUTED_VALUE"""),"Bpk. Joko (Gresik)")</f>
        <v>Bpk. Joko (Gresik)</v>
      </c>
      <c r="F1253" s="211" t="str">
        <f>IFERROR(__xludf.DUMMYFUNCTION("""COMPUTED_VALUE"""),"f6aab7a9")</f>
        <v>f6aab7a9</v>
      </c>
      <c r="G1253" s="211" t="str">
        <f>IFERROR(__xludf.DUMMYFUNCTION("""COMPUTED_VALUE"""),"Oksigen 6m3 MR")</f>
        <v>Oksigen 6m3 MR</v>
      </c>
      <c r="H1253" s="214" t="str">
        <f>IFERROR(__xludf.DUMMYFUNCTION("""COMPUTED_VALUE"""),"IN")</f>
        <v>IN</v>
      </c>
      <c r="I1253" s="214" t="str">
        <f>IFERROR(__xludf.DUMMYFUNCTION("""COMPUTED_VALUE"""),"EMPTY")</f>
        <v>EMPTY</v>
      </c>
      <c r="J1253" s="211">
        <f>IFERROR(__xludf.DUMMYFUNCTION("""COMPUTED_VALUE"""),4.0)</f>
        <v>4</v>
      </c>
      <c r="K1253" s="211"/>
      <c r="L1253" s="211">
        <f>IFERROR(__xludf.DUMMYFUNCTION("""COMPUTED_VALUE"""),0.0)</f>
        <v>0</v>
      </c>
      <c r="M1253" s="211"/>
      <c r="N1253" s="211"/>
      <c r="O1253" s="211"/>
      <c r="Q1253" s="210" t="str">
        <f>IFERROR(__xludf.DUMMYFUNCTION("""COMPUTED_VALUE"""),"1250575")</f>
        <v>1250575</v>
      </c>
      <c r="R1253" s="210" t="str">
        <f>IFERROR(__xludf.DUMMYFUNCTION("""COMPUTED_VALUE"""),"1250575")</f>
        <v>1250575</v>
      </c>
      <c r="S1253" s="211" t="str">
        <f>IFERROR(__xludf.DUMMYFUNCTION("""COMPUTED_VALUE"""),"785e0e07")</f>
        <v>785e0e07</v>
      </c>
      <c r="T1253" s="211" t="str">
        <f>IFERROR(__xludf.DUMMYFUNCTION("""COMPUTED_VALUE"""),"Bpk. Sukirno (Bejo)")</f>
        <v>Bpk. Sukirno (Bejo)</v>
      </c>
      <c r="U1253" s="215">
        <f>IFERROR(__xludf.DUMMYFUNCTION("""COMPUTED_VALUE"""),45911.489849537036)</f>
        <v>45911.48985</v>
      </c>
      <c r="V1253" s="211" t="str">
        <f>IFERROR(__xludf.DUMMYFUNCTION("""COMPUTED_VALUE"""),"Krajan I, Wringinanom, Kec. Wringinanom, Kabupaten Gresik, Jawa Timur 61176")</f>
        <v>Krajan I, Wringinanom, Kec. Wringinanom, Kabupaten Gresik, Jawa Timur 61176</v>
      </c>
      <c r="W1253" s="211" t="str">
        <f>IFERROR(__xludf.DUMMYFUNCTION("""COMPUTED_VALUE"""),"IN")</f>
        <v>IN</v>
      </c>
      <c r="X1253" s="211"/>
      <c r="Z1253" s="211" t="str">
        <f>IFERROR(__xludf.DUMMYFUNCTION("""COMPUTED_VALUE"""),"12240194")</f>
        <v>12240194</v>
      </c>
      <c r="AL1253" s="211"/>
      <c r="AM1253" s="211"/>
      <c r="AN1253" s="211"/>
      <c r="AO1253" s="211"/>
      <c r="AP1253" s="215"/>
      <c r="AQ1253" s="218"/>
      <c r="AR1253" s="211"/>
    </row>
    <row r="1254">
      <c r="A1254" s="210" t="str">
        <f>IFERROR(__xludf.DUMMYFUNCTION("""COMPUTED_VALUE"""),"bf8e67f3")</f>
        <v>bf8e67f3</v>
      </c>
      <c r="B1254" s="210" t="str">
        <f>IFERROR(__xludf.DUMMYFUNCTION("""COMPUTED_VALUE"""),"bf8e67f3")</f>
        <v>bf8e67f3</v>
      </c>
      <c r="C1254" s="213">
        <f>IFERROR(__xludf.DUMMYFUNCTION("""COMPUTED_VALUE"""),45832.69513888889)</f>
        <v>45832.69514</v>
      </c>
      <c r="D1254" s="211" t="str">
        <f>IFERROR(__xludf.DUMMYFUNCTION("""COMPUTED_VALUE"""),"5f23ba17")</f>
        <v>5f23ba17</v>
      </c>
      <c r="E1254" s="211" t="str">
        <f>IFERROR(__xludf.DUMMYFUNCTION("""COMPUTED_VALUE"""),"Bpk. Joko (Gresik)")</f>
        <v>Bpk. Joko (Gresik)</v>
      </c>
      <c r="F1254" s="211" t="str">
        <f>IFERROR(__xludf.DUMMYFUNCTION("""COMPUTED_VALUE"""),"439cf836")</f>
        <v>439cf836</v>
      </c>
      <c r="G1254" s="211" t="str">
        <f>IFERROR(__xludf.DUMMYFUNCTION("""COMPUTED_VALUE"""),"Karbondioksida MR")</f>
        <v>Karbondioksida MR</v>
      </c>
      <c r="H1254" s="214" t="str">
        <f>IFERROR(__xludf.DUMMYFUNCTION("""COMPUTED_VALUE"""),"IN")</f>
        <v>IN</v>
      </c>
      <c r="I1254" s="214" t="str">
        <f>IFERROR(__xludf.DUMMYFUNCTION("""COMPUTED_VALUE"""),"EMPTY")</f>
        <v>EMPTY</v>
      </c>
      <c r="J1254" s="211">
        <f>IFERROR(__xludf.DUMMYFUNCTION("""COMPUTED_VALUE"""),1.0)</f>
        <v>1</v>
      </c>
      <c r="K1254" s="211"/>
      <c r="L1254" s="211">
        <f>IFERROR(__xludf.DUMMYFUNCTION("""COMPUTED_VALUE"""),0.0)</f>
        <v>0</v>
      </c>
      <c r="M1254" s="211"/>
      <c r="N1254" s="211"/>
      <c r="O1254" s="211"/>
      <c r="Q1254" s="210" t="str">
        <f>IFERROR(__xludf.DUMMYFUNCTION("""COMPUTED_VALUE"""),"1250580")</f>
        <v>1250580</v>
      </c>
      <c r="R1254" s="210" t="str">
        <f>IFERROR(__xludf.DUMMYFUNCTION("""COMPUTED_VALUE"""),"1250580")</f>
        <v>1250580</v>
      </c>
      <c r="S1254" s="211" t="str">
        <f>IFERROR(__xludf.DUMMYFUNCTION("""COMPUTED_VALUE"""),"182fb0fe")</f>
        <v>182fb0fe</v>
      </c>
      <c r="T1254" s="211" t="str">
        <f>IFERROR(__xludf.DUMMYFUNCTION("""COMPUTED_VALUE"""),"PT Amtech")</f>
        <v>PT Amtech</v>
      </c>
      <c r="U1254" s="215">
        <f>IFERROR(__xludf.DUMMYFUNCTION("""COMPUTED_VALUE"""),45911.49130787037)</f>
        <v>45911.49131</v>
      </c>
      <c r="V1254"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254" s="211" t="str">
        <f>IFERROR(__xludf.DUMMYFUNCTION("""COMPUTED_VALUE"""),"IN")</f>
        <v>IN</v>
      </c>
      <c r="X1254" s="211"/>
      <c r="Z1254" s="211" t="str">
        <f>IFERROR(__xludf.DUMMYFUNCTION("""COMPUTED_VALUE"""),"12240193")</f>
        <v>12240193</v>
      </c>
      <c r="AL1254" s="211"/>
      <c r="AM1254" s="211"/>
      <c r="AN1254" s="211"/>
      <c r="AO1254" s="211"/>
      <c r="AP1254" s="215"/>
      <c r="AQ1254" s="218"/>
      <c r="AR1254" s="211"/>
    </row>
    <row r="1255">
      <c r="A1255" s="210" t="str">
        <f>IFERROR(__xludf.DUMMYFUNCTION("""COMPUTED_VALUE"""),"06250533")</f>
        <v>06250533</v>
      </c>
      <c r="B1255" s="210" t="str">
        <f>IFERROR(__xludf.DUMMYFUNCTION("""COMPUTED_VALUE"""),"06250533")</f>
        <v>06250533</v>
      </c>
      <c r="C1255" s="213">
        <f>IFERROR(__xludf.DUMMYFUNCTION("""COMPUTED_VALUE"""),45833.35972222222)</f>
        <v>45833.35972</v>
      </c>
      <c r="D1255" s="211" t="str">
        <f>IFERROR(__xludf.DUMMYFUNCTION("""COMPUTED_VALUE"""),"ec231cc9")</f>
        <v>ec231cc9</v>
      </c>
      <c r="E1255" s="211" t="str">
        <f>IFERROR(__xludf.DUMMYFUNCTION("""COMPUTED_VALUE"""),"Bpk. Kohir (Maintenance Velg)")</f>
        <v>Bpk. Kohir (Maintenance Velg)</v>
      </c>
      <c r="F1255" s="211" t="str">
        <f>IFERROR(__xludf.DUMMYFUNCTION("""COMPUTED_VALUE"""),"8bdbe149")</f>
        <v>8bdbe149</v>
      </c>
      <c r="G1255" s="211" t="str">
        <f>IFERROR(__xludf.DUMMYFUNCTION("""COMPUTED_VALUE"""),"Oksigen 6m3")</f>
        <v>Oksigen 6m3</v>
      </c>
      <c r="H1255" s="214" t="str">
        <f>IFERROR(__xludf.DUMMYFUNCTION("""COMPUTED_VALUE"""),"OUT")</f>
        <v>OUT</v>
      </c>
      <c r="I1255" s="214" t="str">
        <f>IFERROR(__xludf.DUMMYFUNCTION("""COMPUTED_VALUE"""),"NORMAL")</f>
        <v>NORMAL</v>
      </c>
      <c r="J1255" s="211">
        <f>IFERROR(__xludf.DUMMYFUNCTION("""COMPUTED_VALUE"""),5.0)</f>
        <v>5</v>
      </c>
      <c r="K1255" s="210" t="str">
        <f>IFERROR(__xludf.DUMMYFUNCTION("""COMPUTED_VALUE"""),"1182 1193 1101 1125 11111")</f>
        <v>1182 1193 1101 1125 11111</v>
      </c>
      <c r="L1255" s="211">
        <f>IFERROR(__xludf.DUMMYFUNCTION("""COMPUTED_VALUE"""),55000.0)</f>
        <v>55000</v>
      </c>
      <c r="M1255" s="211"/>
      <c r="N1255" s="211"/>
      <c r="O1255" s="211"/>
      <c r="Q1255" s="210" t="str">
        <f>IFERROR(__xludf.DUMMYFUNCTION("""COMPUTED_VALUE"""),"1250559")</f>
        <v>1250559</v>
      </c>
      <c r="R1255" s="210" t="str">
        <f>IFERROR(__xludf.DUMMYFUNCTION("""COMPUTED_VALUE"""),"1250559")</f>
        <v>1250559</v>
      </c>
      <c r="S1255" s="211" t="str">
        <f>IFERROR(__xludf.DUMMYFUNCTION("""COMPUTED_VALUE"""),"8f5ebaea")</f>
        <v>8f5ebaea</v>
      </c>
      <c r="T1255" s="211" t="str">
        <f>IFERROR(__xludf.DUMMYFUNCTION("""COMPUTED_VALUE"""),"PT Hua Zong Mesindo")</f>
        <v>PT Hua Zong Mesindo</v>
      </c>
      <c r="U1255" s="215">
        <f>IFERROR(__xludf.DUMMYFUNCTION("""COMPUTED_VALUE"""),45911.49490740741)</f>
        <v>45911.49491</v>
      </c>
      <c r="V1255" s="211" t="str">
        <f>IFERROR(__xludf.DUMMYFUNCTION("""COMPUTED_VALUE"""),"Jl. Bypass Krian, Sidotemo, Sidomulyo, Kec. Krian, Kabupaten Sidoarjo, Jawa Timur 61262")</f>
        <v>Jl. Bypass Krian, Sidotemo, Sidomulyo, Kec. Krian, Kabupaten Sidoarjo, Jawa Timur 61262</v>
      </c>
      <c r="W1255" s="211" t="str">
        <f>IFERROR(__xludf.DUMMYFUNCTION("""COMPUTED_VALUE"""),"IN")</f>
        <v>IN</v>
      </c>
      <c r="X1255" s="211"/>
      <c r="Z1255" s="211" t="str">
        <f>IFERROR(__xludf.DUMMYFUNCTION("""COMPUTED_VALUE"""),"12240192")</f>
        <v>12240192</v>
      </c>
      <c r="AL1255" s="211"/>
      <c r="AM1255" s="211"/>
      <c r="AN1255" s="211"/>
      <c r="AO1255" s="211"/>
      <c r="AP1255" s="215"/>
      <c r="AQ1255" s="218"/>
      <c r="AR1255" s="211"/>
    </row>
    <row r="1256">
      <c r="A1256" s="210" t="str">
        <f>IFERROR(__xludf.DUMMYFUNCTION("""COMPUTED_VALUE"""),"06250534")</f>
        <v>06250534</v>
      </c>
      <c r="B1256" s="210" t="str">
        <f>IFERROR(__xludf.DUMMYFUNCTION("""COMPUTED_VALUE"""),"06250534")</f>
        <v>06250534</v>
      </c>
      <c r="C1256" s="213">
        <f>IFERROR(__xludf.DUMMYFUNCTION("""COMPUTED_VALUE"""),45833.370833333334)</f>
        <v>45833.37083</v>
      </c>
      <c r="D1256" s="211" t="str">
        <f>IFERROR(__xludf.DUMMYFUNCTION("""COMPUTED_VALUE"""),"785e0e07")</f>
        <v>785e0e07</v>
      </c>
      <c r="E1256" s="211" t="str">
        <f>IFERROR(__xludf.DUMMYFUNCTION("""COMPUTED_VALUE"""),"Bpk. Sukirno (Bejo)")</f>
        <v>Bpk. Sukirno (Bejo)</v>
      </c>
      <c r="F1256" s="211" t="str">
        <f>IFERROR(__xludf.DUMMYFUNCTION("""COMPUTED_VALUE"""),"8bdbe149")</f>
        <v>8bdbe149</v>
      </c>
      <c r="G1256" s="211" t="str">
        <f>IFERROR(__xludf.DUMMYFUNCTION("""COMPUTED_VALUE"""),"Oksigen 6m3")</f>
        <v>Oksigen 6m3</v>
      </c>
      <c r="H1256" s="214" t="str">
        <f>IFERROR(__xludf.DUMMYFUNCTION("""COMPUTED_VALUE"""),"OUT")</f>
        <v>OUT</v>
      </c>
      <c r="I1256" s="214" t="str">
        <f>IFERROR(__xludf.DUMMYFUNCTION("""COMPUTED_VALUE"""),"NORMAL")</f>
        <v>NORMAL</v>
      </c>
      <c r="J1256" s="211">
        <f>IFERROR(__xludf.DUMMYFUNCTION("""COMPUTED_VALUE"""),10.0)</f>
        <v>10</v>
      </c>
      <c r="K1256" s="210" t="str">
        <f>IFERROR(__xludf.DUMMYFUNCTION("""COMPUTED_VALUE"""),"11203 1142 11104 1107 11177 11276 11118 11100 1191 11244")</f>
        <v>11203 1142 11104 1107 11177 11276 11118 11100 1191 11244</v>
      </c>
      <c r="L1256" s="211">
        <f>IFERROR(__xludf.DUMMYFUNCTION("""COMPUTED_VALUE"""),60000.0)</f>
        <v>60000</v>
      </c>
      <c r="M1256" s="211"/>
      <c r="N1256" s="211"/>
      <c r="O1256" s="211"/>
      <c r="Q1256" s="210" t="str">
        <f>IFERROR(__xludf.DUMMYFUNCTION("""COMPUTED_VALUE"""),"1250576")</f>
        <v>1250576</v>
      </c>
      <c r="R1256" s="210" t="str">
        <f>IFERROR(__xludf.DUMMYFUNCTION("""COMPUTED_VALUE"""),"1250576")</f>
        <v>1250576</v>
      </c>
      <c r="S1256" s="211" t="str">
        <f>IFERROR(__xludf.DUMMYFUNCTION("""COMPUTED_VALUE"""),"182fb0fe")</f>
        <v>182fb0fe</v>
      </c>
      <c r="T1256" s="211" t="str">
        <f>IFERROR(__xludf.DUMMYFUNCTION("""COMPUTED_VALUE"""),"PT Amtech")</f>
        <v>PT Amtech</v>
      </c>
      <c r="U1256" s="215">
        <f>IFERROR(__xludf.DUMMYFUNCTION("""COMPUTED_VALUE"""),45911.653182870374)</f>
        <v>45911.65318</v>
      </c>
      <c r="V1256" s="211" t="str">
        <f>IFERROR(__xludf.DUMMYFUNCTION("""COMPUTED_VALUE"""),"Jl. Morowudi, Ikerikergeger, Kabupaten Gresik, Jawa Timur")</f>
        <v>Jl. Morowudi, Ikerikergeger, Kabupaten Gresik, Jawa Timur</v>
      </c>
      <c r="W1256" s="211" t="str">
        <f>IFERROR(__xludf.DUMMYFUNCTION("""COMPUTED_VALUE"""),"IN")</f>
        <v>IN</v>
      </c>
      <c r="X1256" s="211"/>
      <c r="Z1256" s="211" t="str">
        <f>IFERROR(__xludf.DUMMYFUNCTION("""COMPUTED_VALUE"""),"12240190")</f>
        <v>12240190</v>
      </c>
      <c r="AL1256" s="211"/>
      <c r="AM1256" s="211"/>
      <c r="AN1256" s="211"/>
      <c r="AO1256" s="211"/>
      <c r="AP1256" s="215"/>
      <c r="AQ1256" s="218"/>
      <c r="AR1256" s="211"/>
    </row>
    <row r="1257">
      <c r="A1257" s="210" t="str">
        <f>IFERROR(__xludf.DUMMYFUNCTION("""COMPUTED_VALUE"""),"06250535")</f>
        <v>06250535</v>
      </c>
      <c r="B1257" s="210" t="str">
        <f>IFERROR(__xludf.DUMMYFUNCTION("""COMPUTED_VALUE"""),"06250535")</f>
        <v>06250535</v>
      </c>
      <c r="C1257" s="213">
        <f>IFERROR(__xludf.DUMMYFUNCTION("""COMPUTED_VALUE"""),45833.42222222222)</f>
        <v>45833.42222</v>
      </c>
      <c r="D1257" s="211" t="str">
        <f>IFERROR(__xludf.DUMMYFUNCTION("""COMPUTED_VALUE"""),"2d88931c")</f>
        <v>2d88931c</v>
      </c>
      <c r="E1257" s="211" t="str">
        <f>IFERROR(__xludf.DUMMYFUNCTION("""COMPUTED_VALUE"""),"PT Dunia Berkat Marga Mulya")</f>
        <v>PT Dunia Berkat Marga Mulya</v>
      </c>
      <c r="F1257" s="211" t="str">
        <f>IFERROR(__xludf.DUMMYFUNCTION("""COMPUTED_VALUE"""),"8bdbe149")</f>
        <v>8bdbe149</v>
      </c>
      <c r="G1257" s="211" t="str">
        <f>IFERROR(__xludf.DUMMYFUNCTION("""COMPUTED_VALUE"""),"Oksigen 6m3")</f>
        <v>Oksigen 6m3</v>
      </c>
      <c r="H1257" s="214" t="str">
        <f>IFERROR(__xludf.DUMMYFUNCTION("""COMPUTED_VALUE"""),"OUT")</f>
        <v>OUT</v>
      </c>
      <c r="I1257" s="214" t="str">
        <f>IFERROR(__xludf.DUMMYFUNCTION("""COMPUTED_VALUE"""),"NORMAL")</f>
        <v>NORMAL</v>
      </c>
      <c r="J1257" s="211">
        <f>IFERROR(__xludf.DUMMYFUNCTION("""COMPUTED_VALUE"""),5.0)</f>
        <v>5</v>
      </c>
      <c r="K1257" s="210" t="str">
        <f>IFERROR(__xludf.DUMMYFUNCTION("""COMPUTED_VALUE"""),"11198 11122 11101 1185 1118")</f>
        <v>11198 11122 11101 1185 1118</v>
      </c>
      <c r="L1257" s="211">
        <f>IFERROR(__xludf.DUMMYFUNCTION("""COMPUTED_VALUE"""),60000.0)</f>
        <v>60000</v>
      </c>
      <c r="M1257" s="211"/>
      <c r="N1257" s="211"/>
      <c r="O1257" s="211"/>
      <c r="Q1257" s="210" t="str">
        <f>IFERROR(__xludf.DUMMYFUNCTION("""COMPUTED_VALUE"""),"1250579")</f>
        <v>1250579</v>
      </c>
      <c r="R1257" s="210" t="str">
        <f>IFERROR(__xludf.DUMMYFUNCTION("""COMPUTED_VALUE"""),"1250579")</f>
        <v>1250579</v>
      </c>
      <c r="S1257" s="211" t="str">
        <f>IFERROR(__xludf.DUMMYFUNCTION("""COMPUTED_VALUE"""),"06d600f6")</f>
        <v>06d600f6</v>
      </c>
      <c r="T1257" s="211" t="str">
        <f>IFERROR(__xludf.DUMMYFUNCTION("""COMPUTED_VALUE"""),"Ibu Ida")</f>
        <v>Ibu Ida</v>
      </c>
      <c r="U1257" s="215">
        <f>IFERROR(__xludf.DUMMYFUNCTION("""COMPUTED_VALUE"""),45911.668078703704)</f>
        <v>45911.66808</v>
      </c>
      <c r="V1257" s="211" t="str">
        <f>IFERROR(__xludf.DUMMYFUNCTION("""COMPUTED_VALUE"""),"Wonoayu rt 1 rw 4, Kec wonoayu, Kab. Sidoarjo")</f>
        <v>Wonoayu rt 1 rw 4, Kec wonoayu, Kab. Sidoarjo</v>
      </c>
      <c r="W1257" s="211" t="str">
        <f>IFERROR(__xludf.DUMMYFUNCTION("""COMPUTED_VALUE"""),"IN")</f>
        <v>IN</v>
      </c>
      <c r="X1257" s="211"/>
      <c r="Z1257" s="211" t="str">
        <f>IFERROR(__xludf.DUMMYFUNCTION("""COMPUTED_VALUE"""),"12240189")</f>
        <v>12240189</v>
      </c>
      <c r="AL1257" s="211"/>
      <c r="AM1257" s="211"/>
      <c r="AN1257" s="211"/>
      <c r="AO1257" s="211"/>
      <c r="AP1257" s="215"/>
      <c r="AQ1257" s="218"/>
      <c r="AR1257" s="211"/>
    </row>
    <row r="1258">
      <c r="A1258" s="210" t="str">
        <f>IFERROR(__xludf.DUMMYFUNCTION("""COMPUTED_VALUE"""),"06250536")</f>
        <v>06250536</v>
      </c>
      <c r="B1258" s="210" t="str">
        <f>IFERROR(__xludf.DUMMYFUNCTION("""COMPUTED_VALUE"""),"06250536")</f>
        <v>06250536</v>
      </c>
      <c r="C1258" s="213">
        <f>IFERROR(__xludf.DUMMYFUNCTION("""COMPUTED_VALUE"""),45833.42291666667)</f>
        <v>45833.42292</v>
      </c>
      <c r="D1258" s="211" t="str">
        <f>IFERROR(__xludf.DUMMYFUNCTION("""COMPUTED_VALUE"""),"d78b2eaf")</f>
        <v>d78b2eaf</v>
      </c>
      <c r="E1258" s="211" t="str">
        <f>IFERROR(__xludf.DUMMYFUNCTION("""COMPUTED_VALUE"""),"PT Sinar Indogreen Kencana")</f>
        <v>PT Sinar Indogreen Kencana</v>
      </c>
      <c r="F1258" s="211" t="str">
        <f>IFERROR(__xludf.DUMMYFUNCTION("""COMPUTED_VALUE"""),"be525f3b")</f>
        <v>be525f3b</v>
      </c>
      <c r="G1258" s="211" t="str">
        <f>IFERROR(__xludf.DUMMYFUNCTION("""COMPUTED_VALUE"""),"LPG 12kg")</f>
        <v>LPG 12kg</v>
      </c>
      <c r="H1258" s="214" t="str">
        <f>IFERROR(__xludf.DUMMYFUNCTION("""COMPUTED_VALUE"""),"OUT")</f>
        <v>OUT</v>
      </c>
      <c r="I1258" s="214" t="str">
        <f>IFERROR(__xludf.DUMMYFUNCTION("""COMPUTED_VALUE"""),"NORMAL")</f>
        <v>NORMAL</v>
      </c>
      <c r="J1258" s="211">
        <f>IFERROR(__xludf.DUMMYFUNCTION("""COMPUTED_VALUE"""),1.0)</f>
        <v>1</v>
      </c>
      <c r="K1258" s="211"/>
      <c r="L1258" s="211">
        <f>IFERROR(__xludf.DUMMYFUNCTION("""COMPUTED_VALUE"""),189189.19)</f>
        <v>189189.19</v>
      </c>
      <c r="M1258" s="211"/>
      <c r="N1258" s="211"/>
      <c r="O1258" s="211"/>
      <c r="Q1258" s="210" t="str">
        <f>IFERROR(__xludf.DUMMYFUNCTION("""COMPUTED_VALUE"""),"092541252")</f>
        <v>092541252</v>
      </c>
      <c r="R1258" s="210" t="str">
        <f>IFERROR(__xludf.DUMMYFUNCTION("""COMPUTED_VALUE"""),"092541252")</f>
        <v>092541252</v>
      </c>
      <c r="S1258" s="211" t="str">
        <f>IFERROR(__xludf.DUMMYFUNCTION("""COMPUTED_VALUE"""),"eec2e801")</f>
        <v>eec2e801</v>
      </c>
      <c r="T1258" s="211" t="str">
        <f>IFERROR(__xludf.DUMMYFUNCTION("""COMPUTED_VALUE"""),"Mitra Wood Sejahtera")</f>
        <v>Mitra Wood Sejahtera</v>
      </c>
      <c r="U1258" s="215">
        <f>IFERROR(__xludf.DUMMYFUNCTION("""COMPUTED_VALUE"""),45912.3794212963)</f>
        <v>45912.37942</v>
      </c>
      <c r="V1258" s="211" t="str">
        <f>IFERROR(__xludf.DUMMYFUNCTION("""COMPUTED_VALUE"""),"Jl.cungkling, Jl. Tanggungan, Nanom Kidul, Lebaniwaras, Kec. Wringinanom, Kabupaten Gresik, Jawa Timur 61176")</f>
        <v>Jl.cungkling, Jl. Tanggungan, Nanom Kidul, Lebaniwaras, Kec. Wringinanom, Kabupaten Gresik, Jawa Timur 61176</v>
      </c>
      <c r="W1258" s="211" t="str">
        <f>IFERROR(__xludf.DUMMYFUNCTION("""COMPUTED_VALUE"""),"OUT")</f>
        <v>OUT</v>
      </c>
      <c r="X1258" s="211"/>
      <c r="Z1258" s="211" t="str">
        <f>IFERROR(__xludf.DUMMYFUNCTION("""COMPUTED_VALUE"""),"12240187")</f>
        <v>12240187</v>
      </c>
      <c r="AL1258" s="211"/>
      <c r="AM1258" s="211"/>
      <c r="AN1258" s="211"/>
      <c r="AO1258" s="211"/>
      <c r="AP1258" s="215"/>
      <c r="AQ1258" s="218"/>
      <c r="AR1258" s="211"/>
    </row>
    <row r="1259">
      <c r="A1259" s="210" t="str">
        <f>IFERROR(__xludf.DUMMYFUNCTION("""COMPUTED_VALUE"""),"596bb75d")</f>
        <v>596bb75d</v>
      </c>
      <c r="B1259" s="210" t="str">
        <f>IFERROR(__xludf.DUMMYFUNCTION("""COMPUTED_VALUE"""),"596bb75d")</f>
        <v>596bb75d</v>
      </c>
      <c r="C1259" s="213">
        <f>IFERROR(__xludf.DUMMYFUNCTION("""COMPUTED_VALUE"""),45833.552777777775)</f>
        <v>45833.55278</v>
      </c>
      <c r="D1259" s="211" t="str">
        <f>IFERROR(__xludf.DUMMYFUNCTION("""COMPUTED_VALUE"""),"d78b2eaf")</f>
        <v>d78b2eaf</v>
      </c>
      <c r="E1259" s="211" t="str">
        <f>IFERROR(__xludf.DUMMYFUNCTION("""COMPUTED_VALUE"""),"PT Sinar Indogreen Kencana")</f>
        <v>PT Sinar Indogreen Kencana</v>
      </c>
      <c r="F1259" s="211" t="str">
        <f>IFERROR(__xludf.DUMMYFUNCTION("""COMPUTED_VALUE"""),"be525f3b")</f>
        <v>be525f3b</v>
      </c>
      <c r="G1259" s="211" t="str">
        <f>IFERROR(__xludf.DUMMYFUNCTION("""COMPUTED_VALUE"""),"LPG 12kg")</f>
        <v>LPG 12kg</v>
      </c>
      <c r="H1259" s="214" t="str">
        <f>IFERROR(__xludf.DUMMYFUNCTION("""COMPUTED_VALUE"""),"IN")</f>
        <v>IN</v>
      </c>
      <c r="I1259" s="214" t="str">
        <f>IFERROR(__xludf.DUMMYFUNCTION("""COMPUTED_VALUE"""),"EMPTY")</f>
        <v>EMPTY</v>
      </c>
      <c r="J1259" s="211">
        <f>IFERROR(__xludf.DUMMYFUNCTION("""COMPUTED_VALUE"""),1.0)</f>
        <v>1</v>
      </c>
      <c r="K1259" s="211"/>
      <c r="L1259" s="211">
        <f>IFERROR(__xludf.DUMMYFUNCTION("""COMPUTED_VALUE"""),0.0)</f>
        <v>0</v>
      </c>
      <c r="M1259" s="211"/>
      <c r="N1259" s="211"/>
      <c r="O1259" s="211"/>
      <c r="Q1259" s="210" t="str">
        <f>IFERROR(__xludf.DUMMYFUNCTION("""COMPUTED_VALUE"""),"0925281259")</f>
        <v>0925281259</v>
      </c>
      <c r="R1259" s="210" t="str">
        <f>IFERROR(__xludf.DUMMYFUNCTION("""COMPUTED_VALUE"""),"0925281259")</f>
        <v>0925281259</v>
      </c>
      <c r="S1259" s="211" t="str">
        <f>IFERROR(__xludf.DUMMYFUNCTION("""COMPUTED_VALUE"""),"01158be1")</f>
        <v>01158be1</v>
      </c>
      <c r="T1259" s="211" t="str">
        <f>IFERROR(__xludf.DUMMYFUNCTION("""COMPUTED_VALUE"""),"GYF")</f>
        <v>GYF</v>
      </c>
      <c r="U1259" s="215">
        <f>IFERROR(__xludf.DUMMYFUNCTION("""COMPUTED_VALUE"""),45912.38028935185)</f>
        <v>45912.38029</v>
      </c>
      <c r="V1259" s="211" t="str">
        <f>IFERROR(__xludf.DUMMYFUNCTION("""COMPUTED_VALUE"""),"Kangkungan, Lengkong, Kec. Mojoanyar, Kabupaten Mojokerto, Jawa Timur")</f>
        <v>Kangkungan, Lengkong, Kec. Mojoanyar, Kabupaten Mojokerto, Jawa Timur</v>
      </c>
      <c r="W1259" s="211" t="str">
        <f>IFERROR(__xludf.DUMMYFUNCTION("""COMPUTED_VALUE"""),"OUT")</f>
        <v>OUT</v>
      </c>
      <c r="X1259" s="211"/>
      <c r="Z1259" s="211" t="str">
        <f>IFERROR(__xludf.DUMMYFUNCTION("""COMPUTED_VALUE"""),"12240186")</f>
        <v>12240186</v>
      </c>
      <c r="AL1259" s="211"/>
      <c r="AM1259" s="211"/>
      <c r="AN1259" s="211"/>
      <c r="AO1259" s="211"/>
      <c r="AP1259" s="215"/>
      <c r="AQ1259" s="218"/>
      <c r="AR1259" s="211"/>
    </row>
    <row r="1260">
      <c r="A1260" s="210" t="str">
        <f>IFERROR(__xludf.DUMMYFUNCTION("""COMPUTED_VALUE"""),"6d0dab5a")</f>
        <v>6d0dab5a</v>
      </c>
      <c r="B1260" s="210" t="str">
        <f>IFERROR(__xludf.DUMMYFUNCTION("""COMPUTED_VALUE"""),"6d0dab5a")</f>
        <v>6d0dab5a</v>
      </c>
      <c r="C1260" s="213">
        <f>IFERROR(__xludf.DUMMYFUNCTION("""COMPUTED_VALUE"""),45833.55347222222)</f>
        <v>45833.55347</v>
      </c>
      <c r="D1260" s="211" t="str">
        <f>IFERROR(__xludf.DUMMYFUNCTION("""COMPUTED_VALUE"""),"ec231cc9")</f>
        <v>ec231cc9</v>
      </c>
      <c r="E1260" s="211" t="str">
        <f>IFERROR(__xludf.DUMMYFUNCTION("""COMPUTED_VALUE"""),"Bpk. Kohir (Maintenance Velg)")</f>
        <v>Bpk. Kohir (Maintenance Velg)</v>
      </c>
      <c r="F1260" s="211" t="str">
        <f>IFERROR(__xludf.DUMMYFUNCTION("""COMPUTED_VALUE"""),"8bdbe149")</f>
        <v>8bdbe149</v>
      </c>
      <c r="G1260" s="211" t="str">
        <f>IFERROR(__xludf.DUMMYFUNCTION("""COMPUTED_VALUE"""),"Oksigen 6m3")</f>
        <v>Oksigen 6m3</v>
      </c>
      <c r="H1260" s="214" t="str">
        <f>IFERROR(__xludf.DUMMYFUNCTION("""COMPUTED_VALUE"""),"IN")</f>
        <v>IN</v>
      </c>
      <c r="I1260" s="214" t="str">
        <f>IFERROR(__xludf.DUMMYFUNCTION("""COMPUTED_VALUE"""),"EMPTY")</f>
        <v>EMPTY</v>
      </c>
      <c r="J1260" s="211">
        <f>IFERROR(__xludf.DUMMYFUNCTION("""COMPUTED_VALUE"""),5.0)</f>
        <v>5</v>
      </c>
      <c r="K1260" s="210" t="str">
        <f>IFERROR(__xludf.DUMMYFUNCTION("""COMPUTED_VALUE"""),"11188 11208 11182 11129 11269")</f>
        <v>11188 11208 11182 11129 11269</v>
      </c>
      <c r="L1260" s="211">
        <f>IFERROR(__xludf.DUMMYFUNCTION("""COMPUTED_VALUE"""),0.0)</f>
        <v>0</v>
      </c>
      <c r="M1260" s="211"/>
      <c r="N1260" s="211"/>
      <c r="O1260" s="211"/>
      <c r="Q1260" s="210" t="str">
        <f>IFERROR(__xludf.DUMMYFUNCTION("""COMPUTED_VALUE"""),"092531260")</f>
        <v>092531260</v>
      </c>
      <c r="R1260" s="210" t="str">
        <f>IFERROR(__xludf.DUMMYFUNCTION("""COMPUTED_VALUE"""),"092531260")</f>
        <v>092531260</v>
      </c>
      <c r="S1260" s="211" t="str">
        <f>IFERROR(__xludf.DUMMYFUNCTION("""COMPUTED_VALUE"""),"17a8e612")</f>
        <v>17a8e612</v>
      </c>
      <c r="T1260" s="211" t="str">
        <f>IFERROR(__xludf.DUMMYFUNCTION("""COMPUTED_VALUE"""),"Flashtech Machinery")</f>
        <v>Flashtech Machinery</v>
      </c>
      <c r="U1260" s="215">
        <f>IFERROR(__xludf.DUMMYFUNCTION("""COMPUTED_VALUE"""),45912.38164351852)</f>
        <v>45912.38164</v>
      </c>
      <c r="V1260" s="211" t="str">
        <f>IFERROR(__xludf.DUMMYFUNCTION("""COMPUTED_VALUE"""),"Pergudangan Point Center blok A no.4, Kemangsen")</f>
        <v>Pergudangan Point Center blok A no.4, Kemangsen</v>
      </c>
      <c r="W1260" s="211" t="str">
        <f>IFERROR(__xludf.DUMMYFUNCTION("""COMPUTED_VALUE"""),"OUT")</f>
        <v>OUT</v>
      </c>
      <c r="X1260" s="211"/>
      <c r="Z1260" s="211" t="str">
        <f>IFERROR(__xludf.DUMMYFUNCTION("""COMPUTED_VALUE"""),"12240185")</f>
        <v>12240185</v>
      </c>
      <c r="AL1260" s="211"/>
      <c r="AM1260" s="211"/>
      <c r="AN1260" s="211"/>
      <c r="AO1260" s="211"/>
      <c r="AP1260" s="215"/>
      <c r="AQ1260" s="218"/>
      <c r="AR1260" s="211"/>
    </row>
    <row r="1261">
      <c r="A1261" s="210" t="str">
        <f>IFERROR(__xludf.DUMMYFUNCTION("""COMPUTED_VALUE"""),"9a004795")</f>
        <v>9a004795</v>
      </c>
      <c r="B1261" s="210" t="str">
        <f>IFERROR(__xludf.DUMMYFUNCTION("""COMPUTED_VALUE"""),"9a004795")</f>
        <v>9a004795</v>
      </c>
      <c r="C1261" s="213">
        <f>IFERROR(__xludf.DUMMYFUNCTION("""COMPUTED_VALUE"""),45833.55416666667)</f>
        <v>45833.55417</v>
      </c>
      <c r="D1261" s="211" t="str">
        <f>IFERROR(__xludf.DUMMYFUNCTION("""COMPUTED_VALUE"""),"785e0e07")</f>
        <v>785e0e07</v>
      </c>
      <c r="E1261" s="211" t="str">
        <f>IFERROR(__xludf.DUMMYFUNCTION("""COMPUTED_VALUE"""),"Bpk. Sukirno (Bejo)")</f>
        <v>Bpk. Sukirno (Bejo)</v>
      </c>
      <c r="F1261" s="211" t="str">
        <f>IFERROR(__xludf.DUMMYFUNCTION("""COMPUTED_VALUE"""),"8bdbe149")</f>
        <v>8bdbe149</v>
      </c>
      <c r="G1261" s="211" t="str">
        <f>IFERROR(__xludf.DUMMYFUNCTION("""COMPUTED_VALUE"""),"Oksigen 6m3")</f>
        <v>Oksigen 6m3</v>
      </c>
      <c r="H1261" s="214" t="str">
        <f>IFERROR(__xludf.DUMMYFUNCTION("""COMPUTED_VALUE"""),"IN")</f>
        <v>IN</v>
      </c>
      <c r="I1261" s="214" t="str">
        <f>IFERROR(__xludf.DUMMYFUNCTION("""COMPUTED_VALUE"""),"EMPTY")</f>
        <v>EMPTY</v>
      </c>
      <c r="J1261" s="211">
        <f>IFERROR(__xludf.DUMMYFUNCTION("""COMPUTED_VALUE"""),5.0)</f>
        <v>5</v>
      </c>
      <c r="K1261" s="210" t="str">
        <f>IFERROR(__xludf.DUMMYFUNCTION("""COMPUTED_VALUE"""),"11119 1199 11133 11237 1120")</f>
        <v>11119 1199 11133 11237 1120</v>
      </c>
      <c r="L1261" s="211">
        <f>IFERROR(__xludf.DUMMYFUNCTION("""COMPUTED_VALUE"""),0.0)</f>
        <v>0</v>
      </c>
      <c r="M1261" s="211"/>
      <c r="N1261" s="211"/>
      <c r="O1261" s="211"/>
      <c r="Q1261" s="210" t="str">
        <f>IFERROR(__xludf.DUMMYFUNCTION("""COMPUTED_VALUE"""),"092551261")</f>
        <v>092551261</v>
      </c>
      <c r="R1261" s="210" t="str">
        <f>IFERROR(__xludf.DUMMYFUNCTION("""COMPUTED_VALUE"""),"092551261")</f>
        <v>092551261</v>
      </c>
      <c r="S1261" s="211" t="str">
        <f>IFERROR(__xludf.DUMMYFUNCTION("""COMPUTED_VALUE"""),"dcdf8b31")</f>
        <v>dcdf8b31</v>
      </c>
      <c r="T1261" s="211" t="str">
        <f>IFERROR(__xludf.DUMMYFUNCTION("""COMPUTED_VALUE"""),"Bpk. Samsul (Jetis)")</f>
        <v>Bpk. Samsul (Jetis)</v>
      </c>
      <c r="U1261" s="215">
        <f>IFERROR(__xludf.DUMMYFUNCTION("""COMPUTED_VALUE"""),45912.38248842592)</f>
        <v>45912.38249</v>
      </c>
      <c r="V1261" s="211" t="str">
        <f>IFERROR(__xludf.DUMMYFUNCTION("""COMPUTED_VALUE"""),"HFWF+9FG, Sido Wangi, Paringan, Kec. Jetis, Kabupaten Mojokerto, Jawa Timur")</f>
        <v>HFWF+9FG, Sido Wangi, Paringan, Kec. Jetis, Kabupaten Mojokerto, Jawa Timur</v>
      </c>
      <c r="W1261" s="211" t="str">
        <f>IFERROR(__xludf.DUMMYFUNCTION("""COMPUTED_VALUE"""),"OUT")</f>
        <v>OUT</v>
      </c>
      <c r="X1261" s="211"/>
      <c r="Z1261" s="211" t="str">
        <f>IFERROR(__xludf.DUMMYFUNCTION("""COMPUTED_VALUE"""),"12240180")</f>
        <v>12240180</v>
      </c>
      <c r="AL1261" s="211"/>
      <c r="AM1261" s="211"/>
      <c r="AN1261" s="211"/>
      <c r="AO1261" s="211"/>
      <c r="AP1261" s="215"/>
      <c r="AQ1261" s="218"/>
      <c r="AR1261" s="211"/>
    </row>
    <row r="1262">
      <c r="A1262" s="210" t="str">
        <f>IFERROR(__xludf.DUMMYFUNCTION("""COMPUTED_VALUE"""),"06250537")</f>
        <v>06250537</v>
      </c>
      <c r="B1262" s="210" t="str">
        <f>IFERROR(__xludf.DUMMYFUNCTION("""COMPUTED_VALUE"""),"06250537")</f>
        <v>06250537</v>
      </c>
      <c r="C1262" s="213">
        <f>IFERROR(__xludf.DUMMYFUNCTION("""COMPUTED_VALUE"""),45833.59930555556)</f>
        <v>45833.59931</v>
      </c>
      <c r="D1262" s="211" t="str">
        <f>IFERROR(__xludf.DUMMYFUNCTION("""COMPUTED_VALUE"""),"5f23ba17")</f>
        <v>5f23ba17</v>
      </c>
      <c r="E1262" s="211" t="str">
        <f>IFERROR(__xludf.DUMMYFUNCTION("""COMPUTED_VALUE"""),"Bpk. Joko (Gresik)")</f>
        <v>Bpk. Joko (Gresik)</v>
      </c>
      <c r="F1262" s="211" t="str">
        <f>IFERROR(__xludf.DUMMYFUNCTION("""COMPUTED_VALUE"""),"f6aab7a9")</f>
        <v>f6aab7a9</v>
      </c>
      <c r="G1262" s="211" t="str">
        <f>IFERROR(__xludf.DUMMYFUNCTION("""COMPUTED_VALUE"""),"Oksigen 6m3 MR")</f>
        <v>Oksigen 6m3 MR</v>
      </c>
      <c r="H1262" s="214" t="str">
        <f>IFERROR(__xludf.DUMMYFUNCTION("""COMPUTED_VALUE"""),"OUT")</f>
        <v>OUT</v>
      </c>
      <c r="I1262" s="214" t="str">
        <f>IFERROR(__xludf.DUMMYFUNCTION("""COMPUTED_VALUE"""),"NORMAL")</f>
        <v>NORMAL</v>
      </c>
      <c r="J1262" s="211">
        <f>IFERROR(__xludf.DUMMYFUNCTION("""COMPUTED_VALUE"""),5.0)</f>
        <v>5</v>
      </c>
      <c r="K1262" s="211"/>
      <c r="L1262" s="211">
        <f>IFERROR(__xludf.DUMMYFUNCTION("""COMPUTED_VALUE"""),55000.0)</f>
        <v>55000</v>
      </c>
      <c r="M1262" s="211"/>
      <c r="N1262" s="211"/>
      <c r="O1262" s="211"/>
      <c r="Q1262" s="210" t="str">
        <f>IFERROR(__xludf.DUMMYFUNCTION("""COMPUTED_VALUE"""),"1250577")</f>
        <v>1250577</v>
      </c>
      <c r="R1262" s="210" t="str">
        <f>IFERROR(__xludf.DUMMYFUNCTION("""COMPUTED_VALUE"""),"1250577")</f>
        <v>1250577</v>
      </c>
      <c r="S1262" s="211" t="str">
        <f>IFERROR(__xludf.DUMMYFUNCTION("""COMPUTED_VALUE"""),"17a8e612")</f>
        <v>17a8e612</v>
      </c>
      <c r="T1262" s="211" t="str">
        <f>IFERROR(__xludf.DUMMYFUNCTION("""COMPUTED_VALUE"""),"Flashtech Machinery")</f>
        <v>Flashtech Machinery</v>
      </c>
      <c r="U1262" s="215">
        <f>IFERROR(__xludf.DUMMYFUNCTION("""COMPUTED_VALUE"""),45912.584085648145)</f>
        <v>45912.58409</v>
      </c>
      <c r="V1262" s="211" t="str">
        <f>IFERROR(__xludf.DUMMYFUNCTION("""COMPUTED_VALUE"""),"Pergudangan Point Center blok A no.4, Kemangsen")</f>
        <v>Pergudangan Point Center blok A no.4, Kemangsen</v>
      </c>
      <c r="W1262" s="211" t="str">
        <f>IFERROR(__xludf.DUMMYFUNCTION("""COMPUTED_VALUE"""),"IN")</f>
        <v>IN</v>
      </c>
      <c r="X1262" s="211"/>
      <c r="Z1262" s="211" t="str">
        <f>IFERROR(__xludf.DUMMYFUNCTION("""COMPUTED_VALUE"""),"12240183")</f>
        <v>12240183</v>
      </c>
      <c r="AL1262" s="211"/>
      <c r="AM1262" s="211"/>
      <c r="AN1262" s="211"/>
      <c r="AO1262" s="211"/>
      <c r="AP1262" s="215"/>
      <c r="AQ1262" s="218"/>
      <c r="AR1262" s="211"/>
    </row>
    <row r="1263">
      <c r="A1263" s="210" t="str">
        <f>IFERROR(__xludf.DUMMYFUNCTION("""COMPUTED_VALUE"""),"06250537")</f>
        <v>06250537</v>
      </c>
      <c r="B1263" s="210" t="str">
        <f>IFERROR(__xludf.DUMMYFUNCTION("""COMPUTED_VALUE"""),"06250537")</f>
        <v>06250537</v>
      </c>
      <c r="C1263" s="213">
        <f>IFERROR(__xludf.DUMMYFUNCTION("""COMPUTED_VALUE"""),45833.6)</f>
        <v>45833.6</v>
      </c>
      <c r="D1263" s="211" t="str">
        <f>IFERROR(__xludf.DUMMYFUNCTION("""COMPUTED_VALUE"""),"5f23ba17")</f>
        <v>5f23ba17</v>
      </c>
      <c r="E1263" s="211" t="str">
        <f>IFERROR(__xludf.DUMMYFUNCTION("""COMPUTED_VALUE"""),"Bpk. Joko (Gresik)")</f>
        <v>Bpk. Joko (Gresik)</v>
      </c>
      <c r="F1263" s="211" t="str">
        <f>IFERROR(__xludf.DUMMYFUNCTION("""COMPUTED_VALUE"""),"439cf836")</f>
        <v>439cf836</v>
      </c>
      <c r="G1263" s="211" t="str">
        <f>IFERROR(__xludf.DUMMYFUNCTION("""COMPUTED_VALUE"""),"Karbondioksida MR")</f>
        <v>Karbondioksida MR</v>
      </c>
      <c r="H1263" s="214" t="str">
        <f>IFERROR(__xludf.DUMMYFUNCTION("""COMPUTED_VALUE"""),"OUT")</f>
        <v>OUT</v>
      </c>
      <c r="I1263" s="214" t="str">
        <f>IFERROR(__xludf.DUMMYFUNCTION("""COMPUTED_VALUE"""),"NORMAL")</f>
        <v>NORMAL</v>
      </c>
      <c r="J1263" s="211">
        <f>IFERROR(__xludf.DUMMYFUNCTION("""COMPUTED_VALUE"""),1.0)</f>
        <v>1</v>
      </c>
      <c r="K1263" s="211"/>
      <c r="L1263" s="211">
        <f>IFERROR(__xludf.DUMMYFUNCTION("""COMPUTED_VALUE"""),160000.0)</f>
        <v>160000</v>
      </c>
      <c r="M1263" s="211"/>
      <c r="N1263" s="211"/>
      <c r="O1263" s="211"/>
      <c r="Q1263" s="210" t="str">
        <f>IFERROR(__xludf.DUMMYFUNCTION("""COMPUTED_VALUE"""),"1250578")</f>
        <v>1250578</v>
      </c>
      <c r="R1263" s="210" t="str">
        <f>IFERROR(__xludf.DUMMYFUNCTION("""COMPUTED_VALUE"""),"1250578")</f>
        <v>1250578</v>
      </c>
      <c r="S1263" s="211" t="str">
        <f>IFERROR(__xludf.DUMMYFUNCTION("""COMPUTED_VALUE"""),"01158be1")</f>
        <v>01158be1</v>
      </c>
      <c r="T1263" s="211" t="str">
        <f>IFERROR(__xludf.DUMMYFUNCTION("""COMPUTED_VALUE"""),"GYF")</f>
        <v>GYF</v>
      </c>
      <c r="U1263" s="215">
        <f>IFERROR(__xludf.DUMMYFUNCTION("""COMPUTED_VALUE"""),45912.59519675926)</f>
        <v>45912.5952</v>
      </c>
      <c r="V1263" s="211" t="str">
        <f>IFERROR(__xludf.DUMMYFUNCTION("""COMPUTED_VALUE"""),"Kangkungan, Lengkong, Kec. Mojoanyar, Kabupaten Mojokerto, Jawa Timur")</f>
        <v>Kangkungan, Lengkong, Kec. Mojoanyar, Kabupaten Mojokerto, Jawa Timur</v>
      </c>
      <c r="W1263" s="211" t="str">
        <f>IFERROR(__xludf.DUMMYFUNCTION("""COMPUTED_VALUE"""),"IN")</f>
        <v>IN</v>
      </c>
      <c r="X1263" s="211"/>
      <c r="Z1263" s="211" t="str">
        <f>IFERROR(__xludf.DUMMYFUNCTION("""COMPUTED_VALUE"""),"12240181")</f>
        <v>12240181</v>
      </c>
      <c r="AL1263" s="211"/>
      <c r="AM1263" s="211"/>
      <c r="AN1263" s="211"/>
      <c r="AO1263" s="211"/>
      <c r="AP1263" s="215"/>
      <c r="AQ1263" s="218"/>
      <c r="AR1263" s="211"/>
    </row>
    <row r="1264">
      <c r="A1264" s="210" t="str">
        <f>IFERROR(__xludf.DUMMYFUNCTION("""COMPUTED_VALUE"""),"d1e4a939")</f>
        <v>d1e4a939</v>
      </c>
      <c r="B1264" s="210" t="str">
        <f>IFERROR(__xludf.DUMMYFUNCTION("""COMPUTED_VALUE"""),"d1e4a939")</f>
        <v>d1e4a939</v>
      </c>
      <c r="C1264" s="213">
        <f>IFERROR(__xludf.DUMMYFUNCTION("""COMPUTED_VALUE"""),45833.6125)</f>
        <v>45833.6125</v>
      </c>
      <c r="D1264" s="211" t="str">
        <f>IFERROR(__xludf.DUMMYFUNCTION("""COMPUTED_VALUE"""),"2d88931c")</f>
        <v>2d88931c</v>
      </c>
      <c r="E1264" s="211" t="str">
        <f>IFERROR(__xludf.DUMMYFUNCTION("""COMPUTED_VALUE"""),"PT Dunia Berkat Marga Mulya")</f>
        <v>PT Dunia Berkat Marga Mulya</v>
      </c>
      <c r="F1264" s="211" t="str">
        <f>IFERROR(__xludf.DUMMYFUNCTION("""COMPUTED_VALUE"""),"8bdbe149")</f>
        <v>8bdbe149</v>
      </c>
      <c r="G1264" s="211" t="str">
        <f>IFERROR(__xludf.DUMMYFUNCTION("""COMPUTED_VALUE"""),"Oksigen 6m3")</f>
        <v>Oksigen 6m3</v>
      </c>
      <c r="H1264" s="214" t="str">
        <f>IFERROR(__xludf.DUMMYFUNCTION("""COMPUTED_VALUE"""),"IN")</f>
        <v>IN</v>
      </c>
      <c r="I1264" s="214" t="str">
        <f>IFERROR(__xludf.DUMMYFUNCTION("""COMPUTED_VALUE"""),"EMPTY")</f>
        <v>EMPTY</v>
      </c>
      <c r="J1264" s="211">
        <f>IFERROR(__xludf.DUMMYFUNCTION("""COMPUTED_VALUE"""),1.0)</f>
        <v>1</v>
      </c>
      <c r="K1264" s="210" t="str">
        <f>IFERROR(__xludf.DUMMYFUNCTION("""COMPUTED_VALUE"""),"11176")</f>
        <v>11176</v>
      </c>
      <c r="L1264" s="211">
        <f>IFERROR(__xludf.DUMMYFUNCTION("""COMPUTED_VALUE"""),0.0)</f>
        <v>0</v>
      </c>
      <c r="M1264" s="211"/>
      <c r="N1264" s="211"/>
      <c r="O1264" s="211"/>
      <c r="Q1264" s="210" t="str">
        <f>IFERROR(__xludf.DUMMYFUNCTION("""COMPUTED_VALUE"""),"092541262")</f>
        <v>092541262</v>
      </c>
      <c r="R1264" s="210" t="str">
        <f>IFERROR(__xludf.DUMMYFUNCTION("""COMPUTED_VALUE"""),"092541262")</f>
        <v>092541262</v>
      </c>
      <c r="S1264" s="211" t="str">
        <f>IFERROR(__xludf.DUMMYFUNCTION("""COMPUTED_VALUE"""),"06d600f6")</f>
        <v>06d600f6</v>
      </c>
      <c r="T1264" s="211" t="str">
        <f>IFERROR(__xludf.DUMMYFUNCTION("""COMPUTED_VALUE"""),"Ibu Ida")</f>
        <v>Ibu Ida</v>
      </c>
      <c r="U1264" s="215">
        <f>IFERROR(__xludf.DUMMYFUNCTION("""COMPUTED_VALUE"""),45912.62982638889)</f>
        <v>45912.62983</v>
      </c>
      <c r="V1264" s="211" t="str">
        <f>IFERROR(__xludf.DUMMYFUNCTION("""COMPUTED_VALUE"""),"Wonoayu rt 1 rw 4, Kec wonoayu, Kab. Sidoarjo")</f>
        <v>Wonoayu rt 1 rw 4, Kec wonoayu, Kab. Sidoarjo</v>
      </c>
      <c r="W1264" s="211" t="str">
        <f>IFERROR(__xludf.DUMMYFUNCTION("""COMPUTED_VALUE"""),"OUT")</f>
        <v>OUT</v>
      </c>
      <c r="X1264" s="211"/>
      <c r="Z1264" s="211" t="str">
        <f>IFERROR(__xludf.DUMMYFUNCTION("""COMPUTED_VALUE"""),"12240182")</f>
        <v>12240182</v>
      </c>
      <c r="AL1264" s="211"/>
      <c r="AM1264" s="211"/>
      <c r="AN1264" s="211"/>
      <c r="AO1264" s="211"/>
      <c r="AP1264" s="215"/>
      <c r="AQ1264" s="218"/>
      <c r="AR1264" s="211"/>
    </row>
    <row r="1265">
      <c r="A1265" s="210" t="str">
        <f>IFERROR(__xludf.DUMMYFUNCTION("""COMPUTED_VALUE"""),"06250539")</f>
        <v>06250539</v>
      </c>
      <c r="B1265" s="210" t="str">
        <f>IFERROR(__xludf.DUMMYFUNCTION("""COMPUTED_VALUE"""),"06250539")</f>
        <v>06250539</v>
      </c>
      <c r="C1265" s="213">
        <f>IFERROR(__xludf.DUMMYFUNCTION("""COMPUTED_VALUE"""),45834.35555555556)</f>
        <v>45834.35556</v>
      </c>
      <c r="D1265" s="211" t="str">
        <f>IFERROR(__xludf.DUMMYFUNCTION("""COMPUTED_VALUE"""),"e968afef")</f>
        <v>e968afef</v>
      </c>
      <c r="E1265" s="211" t="str">
        <f>IFERROR(__xludf.DUMMYFUNCTION("""COMPUTED_VALUE"""),"Bpk. Agus")</f>
        <v>Bpk. Agus</v>
      </c>
      <c r="F1265" s="211" t="str">
        <f>IFERROR(__xludf.DUMMYFUNCTION("""COMPUTED_VALUE"""),"8bdbe149")</f>
        <v>8bdbe149</v>
      </c>
      <c r="G1265" s="211" t="str">
        <f>IFERROR(__xludf.DUMMYFUNCTION("""COMPUTED_VALUE"""),"Oksigen 6m3")</f>
        <v>Oksigen 6m3</v>
      </c>
      <c r="H1265" s="214" t="str">
        <f>IFERROR(__xludf.DUMMYFUNCTION("""COMPUTED_VALUE"""),"OUT")</f>
        <v>OUT</v>
      </c>
      <c r="I1265" s="214" t="str">
        <f>IFERROR(__xludf.DUMMYFUNCTION("""COMPUTED_VALUE"""),"NORMAL")</f>
        <v>NORMAL</v>
      </c>
      <c r="J1265" s="211">
        <f>IFERROR(__xludf.DUMMYFUNCTION("""COMPUTED_VALUE"""),5.0)</f>
        <v>5</v>
      </c>
      <c r="K1265" s="210" t="str">
        <f>IFERROR(__xludf.DUMMYFUNCTION("""COMPUTED_VALUE"""),"11115 1192 1127 11234 11196")</f>
        <v>11115 1192 1127 11234 11196</v>
      </c>
      <c r="L1265" s="211">
        <f>IFERROR(__xludf.DUMMYFUNCTION("""COMPUTED_VALUE"""),60000.0)</f>
        <v>60000</v>
      </c>
      <c r="M1265" s="211"/>
      <c r="N1265" s="211"/>
      <c r="O1265" s="211"/>
      <c r="Q1265" s="210" t="str">
        <f>IFERROR(__xludf.DUMMYFUNCTION("""COMPUTED_VALUE"""),"0925481265")</f>
        <v>0925481265</v>
      </c>
      <c r="R1265" s="210" t="str">
        <f>IFERROR(__xludf.DUMMYFUNCTION("""COMPUTED_VALUE"""),"0925481265")</f>
        <v>0925481265</v>
      </c>
      <c r="S1265" s="211" t="str">
        <f>IFERROR(__xludf.DUMMYFUNCTION("""COMPUTED_VALUE"""),"e86baf3b")</f>
        <v>e86baf3b</v>
      </c>
      <c r="T1265" s="211" t="str">
        <f>IFERROR(__xludf.DUMMYFUNCTION("""COMPUTED_VALUE"""),"PT GEMILANG CIPTA WAWASAN")</f>
        <v>PT GEMILANG CIPTA WAWASAN</v>
      </c>
      <c r="U1265" s="215">
        <f>IFERROR(__xludf.DUMMYFUNCTION("""COMPUTED_VALUE"""),45913.34074074074)</f>
        <v>45913.34074</v>
      </c>
      <c r="V1265" s="211" t="str">
        <f>IFERROR(__xludf.DUMMYFUNCTION("""COMPUTED_VALUE"""),"JL TEBET RAYA, 2A, TEBET BARAT, TEBET, KOTA ADM, JAKARTA SELATAN, DKI JAKARTA")</f>
        <v>JL TEBET RAYA, 2A, TEBET BARAT, TEBET, KOTA ADM, JAKARTA SELATAN, DKI JAKARTA</v>
      </c>
      <c r="W1265" s="211" t="str">
        <f>IFERROR(__xludf.DUMMYFUNCTION("""COMPUTED_VALUE"""),"OUT")</f>
        <v>OUT</v>
      </c>
      <c r="X1265" s="211"/>
      <c r="Z1265" s="211" t="str">
        <f>IFERROR(__xludf.DUMMYFUNCTION("""COMPUTED_VALUE"""),"12240178")</f>
        <v>12240178</v>
      </c>
      <c r="AL1265" s="211"/>
      <c r="AM1265" s="211"/>
      <c r="AN1265" s="211"/>
      <c r="AO1265" s="211"/>
      <c r="AP1265" s="215"/>
      <c r="AQ1265" s="218"/>
      <c r="AR1265" s="211"/>
    </row>
    <row r="1266">
      <c r="A1266" s="210" t="str">
        <f>IFERROR(__xludf.DUMMYFUNCTION("""COMPUTED_VALUE"""),"06250539")</f>
        <v>06250539</v>
      </c>
      <c r="B1266" s="210" t="str">
        <f>IFERROR(__xludf.DUMMYFUNCTION("""COMPUTED_VALUE"""),"06250539")</f>
        <v>06250539</v>
      </c>
      <c r="C1266" s="213">
        <f>IFERROR(__xludf.DUMMYFUNCTION("""COMPUTED_VALUE"""),45834.35625)</f>
        <v>45834.35625</v>
      </c>
      <c r="D1266" s="211" t="str">
        <f>IFERROR(__xludf.DUMMYFUNCTION("""COMPUTED_VALUE"""),"e968afef")</f>
        <v>e968afef</v>
      </c>
      <c r="E1266" s="211" t="str">
        <f>IFERROR(__xludf.DUMMYFUNCTION("""COMPUTED_VALUE"""),"Bpk. Agus")</f>
        <v>Bpk. Agus</v>
      </c>
      <c r="F1266" s="211" t="str">
        <f>IFERROR(__xludf.DUMMYFUNCTION("""COMPUTED_VALUE"""),"be525f3b")</f>
        <v>be525f3b</v>
      </c>
      <c r="G1266" s="211" t="str">
        <f>IFERROR(__xludf.DUMMYFUNCTION("""COMPUTED_VALUE"""),"LPG 12kg")</f>
        <v>LPG 12kg</v>
      </c>
      <c r="H1266" s="214" t="str">
        <f>IFERROR(__xludf.DUMMYFUNCTION("""COMPUTED_VALUE"""),"OUT")</f>
        <v>OUT</v>
      </c>
      <c r="I1266" s="214" t="str">
        <f>IFERROR(__xludf.DUMMYFUNCTION("""COMPUTED_VALUE"""),"NORMAL")</f>
        <v>NORMAL</v>
      </c>
      <c r="J1266" s="211">
        <f>IFERROR(__xludf.DUMMYFUNCTION("""COMPUTED_VALUE"""),1.0)</f>
        <v>1</v>
      </c>
      <c r="K1266" s="211"/>
      <c r="L1266" s="211">
        <f>IFERROR(__xludf.DUMMYFUNCTION("""COMPUTED_VALUE"""),210000.0)</f>
        <v>210000</v>
      </c>
      <c r="M1266" s="211"/>
      <c r="N1266" s="211"/>
      <c r="O1266" s="211"/>
      <c r="Q1266" s="210" t="str">
        <f>IFERROR(__xludf.DUMMYFUNCTION("""COMPUTED_VALUE"""),"0925181266")</f>
        <v>0925181266</v>
      </c>
      <c r="R1266" s="210" t="str">
        <f>IFERROR(__xludf.DUMMYFUNCTION("""COMPUTED_VALUE"""),"0925181266")</f>
        <v>0925181266</v>
      </c>
      <c r="S1266" s="211" t="str">
        <f>IFERROR(__xludf.DUMMYFUNCTION("""COMPUTED_VALUE"""),"b2b5f2c5")</f>
        <v>b2b5f2c5</v>
      </c>
      <c r="T1266" s="211" t="str">
        <f>IFERROR(__xludf.DUMMYFUNCTION("""COMPUTED_VALUE"""),"Bengkel Las Bpk. Ari")</f>
        <v>Bengkel Las Bpk. Ari</v>
      </c>
      <c r="U1266" s="215">
        <f>IFERROR(__xludf.DUMMYFUNCTION("""COMPUTED_VALUE"""),45913.35074074074)</f>
        <v>45913.35074</v>
      </c>
      <c r="V1266" s="211" t="str">
        <f>IFERROR(__xludf.DUMMYFUNCTION("""COMPUTED_VALUE"""),"Sumber Kembar, Wonodadi, Kec. Kutorejo, Kabupaten Mojokerto, Jawa Timur")</f>
        <v>Sumber Kembar, Wonodadi, Kec. Kutorejo, Kabupaten Mojokerto, Jawa Timur</v>
      </c>
      <c r="W1266" s="211" t="str">
        <f>IFERROR(__xludf.DUMMYFUNCTION("""COMPUTED_VALUE"""),"OUT")</f>
        <v>OUT</v>
      </c>
      <c r="X1266" s="211"/>
      <c r="Z1266" s="211" t="str">
        <f>IFERROR(__xludf.DUMMYFUNCTION("""COMPUTED_VALUE"""),"12240177")</f>
        <v>12240177</v>
      </c>
      <c r="AL1266" s="211"/>
      <c r="AM1266" s="211"/>
      <c r="AN1266" s="211"/>
      <c r="AO1266" s="211"/>
      <c r="AP1266" s="215"/>
      <c r="AQ1266" s="218"/>
      <c r="AR1266" s="211"/>
    </row>
    <row r="1267">
      <c r="A1267" s="210" t="str">
        <f>IFERROR(__xludf.DUMMYFUNCTION("""COMPUTED_VALUE"""),"06250541")</f>
        <v>06250541</v>
      </c>
      <c r="B1267" s="210" t="str">
        <f>IFERROR(__xludf.DUMMYFUNCTION("""COMPUTED_VALUE"""),"06250541")</f>
        <v>06250541</v>
      </c>
      <c r="C1267" s="213">
        <f>IFERROR(__xludf.DUMMYFUNCTION("""COMPUTED_VALUE"""),45834.37291666667)</f>
        <v>45834.37292</v>
      </c>
      <c r="D1267" s="211" t="str">
        <f>IFERROR(__xludf.DUMMYFUNCTION("""COMPUTED_VALUE"""),"dcdf8b31")</f>
        <v>dcdf8b31</v>
      </c>
      <c r="E1267" s="211" t="str">
        <f>IFERROR(__xludf.DUMMYFUNCTION("""COMPUTED_VALUE"""),"Bpk. Samsul (Jetis)")</f>
        <v>Bpk. Samsul (Jetis)</v>
      </c>
      <c r="F1267" s="211" t="str">
        <f>IFERROR(__xludf.DUMMYFUNCTION("""COMPUTED_VALUE"""),"7d2764f1")</f>
        <v>7d2764f1</v>
      </c>
      <c r="G1267" s="211" t="str">
        <f>IFERROR(__xludf.DUMMYFUNCTION("""COMPUTED_VALUE"""),"Oksigen 7m3")</f>
        <v>Oksigen 7m3</v>
      </c>
      <c r="H1267" s="214" t="str">
        <f>IFERROR(__xludf.DUMMYFUNCTION("""COMPUTED_VALUE"""),"OUT")</f>
        <v>OUT</v>
      </c>
      <c r="I1267" s="214" t="str">
        <f>IFERROR(__xludf.DUMMYFUNCTION("""COMPUTED_VALUE"""),"NORMAL")</f>
        <v>NORMAL</v>
      </c>
      <c r="J1267" s="211">
        <f>IFERROR(__xludf.DUMMYFUNCTION("""COMPUTED_VALUE"""),3.0)</f>
        <v>3</v>
      </c>
      <c r="K1267" s="210" t="str">
        <f>IFERROR(__xludf.DUMMYFUNCTION("""COMPUTED_VALUE"""),"11125 1139 1189")</f>
        <v>11125 1139 1189</v>
      </c>
      <c r="L1267" s="211">
        <f>IFERROR(__xludf.DUMMYFUNCTION("""COMPUTED_VALUE"""),75000.0)</f>
        <v>75000</v>
      </c>
      <c r="M1267" s="211"/>
      <c r="N1267" s="211"/>
      <c r="O1267" s="211"/>
      <c r="Q1267" s="210" t="str">
        <f>IFERROR(__xludf.DUMMYFUNCTION("""COMPUTED_VALUE"""),"092541267")</f>
        <v>092541267</v>
      </c>
      <c r="R1267" s="210" t="str">
        <f>IFERROR(__xludf.DUMMYFUNCTION("""COMPUTED_VALUE"""),"092541267")</f>
        <v>092541267</v>
      </c>
      <c r="S1267" s="211" t="str">
        <f>IFERROR(__xludf.DUMMYFUNCTION("""COMPUTED_VALUE"""),"17a8e612")</f>
        <v>17a8e612</v>
      </c>
      <c r="T1267" s="211" t="str">
        <f>IFERROR(__xludf.DUMMYFUNCTION("""COMPUTED_VALUE"""),"Flashtech Machinery")</f>
        <v>Flashtech Machinery</v>
      </c>
      <c r="U1267" s="215">
        <f>IFERROR(__xludf.DUMMYFUNCTION("""COMPUTED_VALUE"""),45913.358298611114)</f>
        <v>45913.3583</v>
      </c>
      <c r="V1267" s="211" t="str">
        <f>IFERROR(__xludf.DUMMYFUNCTION("""COMPUTED_VALUE"""),"Pergudangan Point Center blok A no.4, Kemangsen")</f>
        <v>Pergudangan Point Center blok A no.4, Kemangsen</v>
      </c>
      <c r="W1267" s="211" t="str">
        <f>IFERROR(__xludf.DUMMYFUNCTION("""COMPUTED_VALUE"""),"OUT")</f>
        <v>OUT</v>
      </c>
      <c r="X1267" s="211"/>
      <c r="Z1267" s="211" t="str">
        <f>IFERROR(__xludf.DUMMYFUNCTION("""COMPUTED_VALUE"""),"12240175")</f>
        <v>12240175</v>
      </c>
      <c r="AL1267" s="211"/>
      <c r="AM1267" s="211"/>
      <c r="AN1267" s="211"/>
      <c r="AO1267" s="211"/>
      <c r="AP1267" s="215"/>
      <c r="AQ1267" s="218"/>
      <c r="AR1267" s="211"/>
    </row>
    <row r="1268">
      <c r="A1268" s="210" t="str">
        <f>IFERROR(__xludf.DUMMYFUNCTION("""COMPUTED_VALUE"""),"06250542")</f>
        <v>06250542</v>
      </c>
      <c r="B1268" s="210" t="str">
        <f>IFERROR(__xludf.DUMMYFUNCTION("""COMPUTED_VALUE"""),"06250542")</f>
        <v>06250542</v>
      </c>
      <c r="C1268" s="213">
        <f>IFERROR(__xludf.DUMMYFUNCTION("""COMPUTED_VALUE"""),45834.44861111111)</f>
        <v>45834.44861</v>
      </c>
      <c r="D1268" s="211" t="str">
        <f>IFERROR(__xludf.DUMMYFUNCTION("""COMPUTED_VALUE"""),"b2b5f2c5")</f>
        <v>b2b5f2c5</v>
      </c>
      <c r="E1268" s="211" t="str">
        <f>IFERROR(__xludf.DUMMYFUNCTION("""COMPUTED_VALUE"""),"Bengkel Las Bpk. Ari")</f>
        <v>Bengkel Las Bpk. Ari</v>
      </c>
      <c r="F1268" s="211" t="str">
        <f>IFERROR(__xludf.DUMMYFUNCTION("""COMPUTED_VALUE"""),"8bdbe149")</f>
        <v>8bdbe149</v>
      </c>
      <c r="G1268" s="211" t="str">
        <f>IFERROR(__xludf.DUMMYFUNCTION("""COMPUTED_VALUE"""),"Oksigen 6m3")</f>
        <v>Oksigen 6m3</v>
      </c>
      <c r="H1268" s="214" t="str">
        <f>IFERROR(__xludf.DUMMYFUNCTION("""COMPUTED_VALUE"""),"OUT")</f>
        <v>OUT</v>
      </c>
      <c r="I1268" s="214" t="str">
        <f>IFERROR(__xludf.DUMMYFUNCTION("""COMPUTED_VALUE"""),"NORMAL")</f>
        <v>NORMAL</v>
      </c>
      <c r="J1268" s="211">
        <f>IFERROR(__xludf.DUMMYFUNCTION("""COMPUTED_VALUE"""),2.0)</f>
        <v>2</v>
      </c>
      <c r="K1268" s="210" t="str">
        <f>IFERROR(__xludf.DUMMYFUNCTION("""COMPUTED_VALUE"""),"11191 1136")</f>
        <v>11191 1136</v>
      </c>
      <c r="L1268" s="211">
        <f>IFERROR(__xludf.DUMMYFUNCTION("""COMPUTED_VALUE"""),60000.0)</f>
        <v>60000</v>
      </c>
      <c r="M1268" s="211"/>
      <c r="N1268" s="211"/>
      <c r="O1268" s="211"/>
      <c r="Q1268" s="211"/>
      <c r="R1268" s="211"/>
      <c r="S1268" s="211"/>
      <c r="T1268" s="211"/>
      <c r="U1268" s="211"/>
      <c r="V1268" s="211"/>
      <c r="W1268" s="211"/>
      <c r="X1268" s="211"/>
      <c r="Z1268" s="211" t="str">
        <f>IFERROR(__xludf.DUMMYFUNCTION("""COMPUTED_VALUE"""),"12240174")</f>
        <v>12240174</v>
      </c>
      <c r="AL1268" s="211"/>
      <c r="AM1268" s="211"/>
      <c r="AN1268" s="211"/>
      <c r="AO1268" s="211"/>
      <c r="AP1268" s="215"/>
      <c r="AQ1268" s="218"/>
      <c r="AR1268" s="211"/>
    </row>
    <row r="1269">
      <c r="A1269" s="210" t="str">
        <f>IFERROR(__xludf.DUMMYFUNCTION("""COMPUTED_VALUE"""),"c875aed0")</f>
        <v>c875aed0</v>
      </c>
      <c r="B1269" s="210" t="str">
        <f>IFERROR(__xludf.DUMMYFUNCTION("""COMPUTED_VALUE"""),"c875aed0")</f>
        <v>c875aed0</v>
      </c>
      <c r="C1269" s="213">
        <f>IFERROR(__xludf.DUMMYFUNCTION("""COMPUTED_VALUE"""),45834.55416666667)</f>
        <v>45834.55417</v>
      </c>
      <c r="D1269" s="211" t="str">
        <f>IFERROR(__xludf.DUMMYFUNCTION("""COMPUTED_VALUE"""),"dcdf8b31")</f>
        <v>dcdf8b31</v>
      </c>
      <c r="E1269" s="211" t="str">
        <f>IFERROR(__xludf.DUMMYFUNCTION("""COMPUTED_VALUE"""),"Bpk. Samsul (Jetis)")</f>
        <v>Bpk. Samsul (Jetis)</v>
      </c>
      <c r="F1269" s="211" t="str">
        <f>IFERROR(__xludf.DUMMYFUNCTION("""COMPUTED_VALUE"""),"7d2764f1")</f>
        <v>7d2764f1</v>
      </c>
      <c r="G1269" s="211" t="str">
        <f>IFERROR(__xludf.DUMMYFUNCTION("""COMPUTED_VALUE"""),"Oksigen 7m3")</f>
        <v>Oksigen 7m3</v>
      </c>
      <c r="H1269" s="214" t="str">
        <f>IFERROR(__xludf.DUMMYFUNCTION("""COMPUTED_VALUE"""),"IN")</f>
        <v>IN</v>
      </c>
      <c r="I1269" s="214" t="str">
        <f>IFERROR(__xludf.DUMMYFUNCTION("""COMPUTED_VALUE"""),"EMPTY")</f>
        <v>EMPTY</v>
      </c>
      <c r="J1269" s="211">
        <f>IFERROR(__xludf.DUMMYFUNCTION("""COMPUTED_VALUE"""),2.0)</f>
        <v>2</v>
      </c>
      <c r="K1269" s="210" t="str">
        <f>IFERROR(__xludf.DUMMYFUNCTION("""COMPUTED_VALUE"""),"11223 11227")</f>
        <v>11223 11227</v>
      </c>
      <c r="L1269" s="211">
        <f>IFERROR(__xludf.DUMMYFUNCTION("""COMPUTED_VALUE"""),0.0)</f>
        <v>0</v>
      </c>
      <c r="M1269" s="211"/>
      <c r="N1269" s="211"/>
      <c r="O1269" s="211"/>
      <c r="Q1269" s="210" t="str">
        <f>IFERROR(__xludf.DUMMYFUNCTION("""COMPUTED_VALUE"""),"1250590")</f>
        <v>1250590</v>
      </c>
      <c r="R1269" s="210" t="str">
        <f>IFERROR(__xludf.DUMMYFUNCTION("""COMPUTED_VALUE"""),"1250590")</f>
        <v>1250590</v>
      </c>
      <c r="S1269" s="211" t="str">
        <f>IFERROR(__xludf.DUMMYFUNCTION("""COMPUTED_VALUE"""),"e86baf3b")</f>
        <v>e86baf3b</v>
      </c>
      <c r="T1269" s="211" t="str">
        <f>IFERROR(__xludf.DUMMYFUNCTION("""COMPUTED_VALUE"""),"PT GEMILANG CIPTA WAWASAN")</f>
        <v>PT GEMILANG CIPTA WAWASAN</v>
      </c>
      <c r="U1269" s="215">
        <f>IFERROR(__xludf.DUMMYFUNCTION("""COMPUTED_VALUE"""),45913.48409722222)</f>
        <v>45913.4841</v>
      </c>
      <c r="V1269" s="211" t="str">
        <f>IFERROR(__xludf.DUMMYFUNCTION("""COMPUTED_VALUE"""),"JL TEBET RAYA, 2A, TEBET BARAT, TEBET, KOTA ADM, JAKARTA SELATAN, DKI JAKARTA")</f>
        <v>JL TEBET RAYA, 2A, TEBET BARAT, TEBET, KOTA ADM, JAKARTA SELATAN, DKI JAKARTA</v>
      </c>
      <c r="W1269" s="211" t="str">
        <f>IFERROR(__xludf.DUMMYFUNCTION("""COMPUTED_VALUE"""),"IN")</f>
        <v>IN</v>
      </c>
      <c r="X1269" s="211"/>
      <c r="Z1269" s="211" t="str">
        <f>IFERROR(__xludf.DUMMYFUNCTION("""COMPUTED_VALUE"""),"12240173")</f>
        <v>12240173</v>
      </c>
      <c r="AL1269" s="211"/>
      <c r="AM1269" s="211"/>
      <c r="AN1269" s="211"/>
      <c r="AO1269" s="211"/>
      <c r="AP1269" s="215"/>
      <c r="AQ1269" s="218"/>
      <c r="AR1269" s="211"/>
    </row>
    <row r="1270">
      <c r="A1270" s="210" t="str">
        <f>IFERROR(__xludf.DUMMYFUNCTION("""COMPUTED_VALUE"""),"06250543")</f>
        <v>06250543</v>
      </c>
      <c r="B1270" s="210" t="str">
        <f>IFERROR(__xludf.DUMMYFUNCTION("""COMPUTED_VALUE"""),"06250543")</f>
        <v>06250543</v>
      </c>
      <c r="C1270" s="213">
        <f>IFERROR(__xludf.DUMMYFUNCTION("""COMPUTED_VALUE"""),45834.56041666667)</f>
        <v>45834.56042</v>
      </c>
      <c r="D1270" s="211" t="str">
        <f>IFERROR(__xludf.DUMMYFUNCTION("""COMPUTED_VALUE"""),"182fb0fe")</f>
        <v>182fb0fe</v>
      </c>
      <c r="E1270" s="211" t="str">
        <f>IFERROR(__xludf.DUMMYFUNCTION("""COMPUTED_VALUE"""),"PT Amtech")</f>
        <v>PT Amtech</v>
      </c>
      <c r="F1270" s="211" t="str">
        <f>IFERROR(__xludf.DUMMYFUNCTION("""COMPUTED_VALUE"""),"8bdbe149")</f>
        <v>8bdbe149</v>
      </c>
      <c r="G1270" s="211" t="str">
        <f>IFERROR(__xludf.DUMMYFUNCTION("""COMPUTED_VALUE"""),"Oksigen 6m3")</f>
        <v>Oksigen 6m3</v>
      </c>
      <c r="H1270" s="214" t="str">
        <f>IFERROR(__xludf.DUMMYFUNCTION("""COMPUTED_VALUE"""),"OUT")</f>
        <v>OUT</v>
      </c>
      <c r="I1270" s="214" t="str">
        <f>IFERROR(__xludf.DUMMYFUNCTION("""COMPUTED_VALUE"""),"NORMAL")</f>
        <v>NORMAL</v>
      </c>
      <c r="J1270" s="211">
        <f>IFERROR(__xludf.DUMMYFUNCTION("""COMPUTED_VALUE"""),10.0)</f>
        <v>10</v>
      </c>
      <c r="K1270" s="210" t="str">
        <f>IFERROR(__xludf.DUMMYFUNCTION("""COMPUTED_VALUE"""),"1175 1115 1144 11285 11178 11102 11289 11183 11204 11200")</f>
        <v>1175 1115 1144 11285 11178 11102 11289 11183 11204 11200</v>
      </c>
      <c r="L1270" s="211">
        <f>IFERROR(__xludf.DUMMYFUNCTION("""COMPUTED_VALUE"""),55000.0)</f>
        <v>55000</v>
      </c>
      <c r="M1270" s="211"/>
      <c r="N1270" s="211"/>
      <c r="O1270" s="211"/>
      <c r="Q1270" s="210" t="str">
        <f>IFERROR(__xludf.DUMMYFUNCTION("""COMPUTED_VALUE"""),"1250591")</f>
        <v>1250591</v>
      </c>
      <c r="R1270" s="210" t="str">
        <f>IFERROR(__xludf.DUMMYFUNCTION("""COMPUTED_VALUE"""),"1250591")</f>
        <v>1250591</v>
      </c>
      <c r="S1270" s="211" t="str">
        <f>IFERROR(__xludf.DUMMYFUNCTION("""COMPUTED_VALUE"""),"b2b5f2c5")</f>
        <v>b2b5f2c5</v>
      </c>
      <c r="T1270" s="211" t="str">
        <f>IFERROR(__xludf.DUMMYFUNCTION("""COMPUTED_VALUE"""),"Bengkel Las Bpk. Ari")</f>
        <v>Bengkel Las Bpk. Ari</v>
      </c>
      <c r="U1270" s="215">
        <f>IFERROR(__xludf.DUMMYFUNCTION("""COMPUTED_VALUE"""),45913.48479166667)</f>
        <v>45913.48479</v>
      </c>
      <c r="V1270" s="211" t="str">
        <f>IFERROR(__xludf.DUMMYFUNCTION("""COMPUTED_VALUE"""),"Sumber Kembar, Wonodadi, Kec. Kutorejo, Kabupaten Mojokerto, Jawa Timur")</f>
        <v>Sumber Kembar, Wonodadi, Kec. Kutorejo, Kabupaten Mojokerto, Jawa Timur</v>
      </c>
      <c r="W1270" s="211" t="str">
        <f>IFERROR(__xludf.DUMMYFUNCTION("""COMPUTED_VALUE"""),"IN")</f>
        <v>IN</v>
      </c>
      <c r="X1270" s="211"/>
      <c r="Z1270" s="211" t="str">
        <f>IFERROR(__xludf.DUMMYFUNCTION("""COMPUTED_VALUE"""),"12240172")</f>
        <v>12240172</v>
      </c>
      <c r="AL1270" s="211"/>
      <c r="AM1270" s="211"/>
      <c r="AN1270" s="211"/>
      <c r="AO1270" s="211"/>
      <c r="AP1270" s="215"/>
      <c r="AQ1270" s="218"/>
      <c r="AR1270" s="211"/>
    </row>
    <row r="1271">
      <c r="A1271" s="210" t="str">
        <f>IFERROR(__xludf.DUMMYFUNCTION("""COMPUTED_VALUE"""),"06250543")</f>
        <v>06250543</v>
      </c>
      <c r="B1271" s="210" t="str">
        <f>IFERROR(__xludf.DUMMYFUNCTION("""COMPUTED_VALUE"""),"06250543")</f>
        <v>06250543</v>
      </c>
      <c r="C1271" s="213">
        <f>IFERROR(__xludf.DUMMYFUNCTION("""COMPUTED_VALUE"""),45834.57013888889)</f>
        <v>45834.57014</v>
      </c>
      <c r="D1271" s="211" t="str">
        <f>IFERROR(__xludf.DUMMYFUNCTION("""COMPUTED_VALUE"""),"182fb0fe")</f>
        <v>182fb0fe</v>
      </c>
      <c r="E1271" s="211" t="str">
        <f>IFERROR(__xludf.DUMMYFUNCTION("""COMPUTED_VALUE"""),"PT Amtech")</f>
        <v>PT Amtech</v>
      </c>
      <c r="F1271" s="211" t="str">
        <f>IFERROR(__xludf.DUMMYFUNCTION("""COMPUTED_VALUE"""),"be525f3b")</f>
        <v>be525f3b</v>
      </c>
      <c r="G1271" s="211" t="str">
        <f>IFERROR(__xludf.DUMMYFUNCTION("""COMPUTED_VALUE"""),"LPG 12kg")</f>
        <v>LPG 12kg</v>
      </c>
      <c r="H1271" s="214" t="str">
        <f>IFERROR(__xludf.DUMMYFUNCTION("""COMPUTED_VALUE"""),"OUT")</f>
        <v>OUT</v>
      </c>
      <c r="I1271" s="214" t="str">
        <f>IFERROR(__xludf.DUMMYFUNCTION("""COMPUTED_VALUE"""),"NORMAL")</f>
        <v>NORMAL</v>
      </c>
      <c r="J1271" s="211">
        <f>IFERROR(__xludf.DUMMYFUNCTION("""COMPUTED_VALUE"""),1.0)</f>
        <v>1</v>
      </c>
      <c r="K1271" s="211"/>
      <c r="L1271" s="211">
        <f>IFERROR(__xludf.DUMMYFUNCTION("""COMPUTED_VALUE"""),210000.0)</f>
        <v>210000</v>
      </c>
      <c r="M1271" s="211"/>
      <c r="N1271" s="211"/>
      <c r="O1271" s="211"/>
      <c r="Q1271" s="210" t="str">
        <f>IFERROR(__xludf.DUMMYFUNCTION("""COMPUTED_VALUE"""),"1250581")</f>
        <v>1250581</v>
      </c>
      <c r="R1271" s="210" t="str">
        <f>IFERROR(__xludf.DUMMYFUNCTION("""COMPUTED_VALUE"""),"1250581")</f>
        <v>1250581</v>
      </c>
      <c r="S1271" s="211" t="str">
        <f>IFERROR(__xludf.DUMMYFUNCTION("""COMPUTED_VALUE"""),"dcdf8b31")</f>
        <v>dcdf8b31</v>
      </c>
      <c r="T1271" s="211" t="str">
        <f>IFERROR(__xludf.DUMMYFUNCTION("""COMPUTED_VALUE"""),"Bpk. Samsul (Jetis)")</f>
        <v>Bpk. Samsul (Jetis)</v>
      </c>
      <c r="U1271" s="215">
        <f>IFERROR(__xludf.DUMMYFUNCTION("""COMPUTED_VALUE"""),45913.48877314815)</f>
        <v>45913.48877</v>
      </c>
      <c r="V1271" s="211" t="str">
        <f>IFERROR(__xludf.DUMMYFUNCTION("""COMPUTED_VALUE"""),"HFWF+9FG, Sido Wangi, Paringan, Kec. Jetis, Kabupaten Mojokerto, Jawa Timur")</f>
        <v>HFWF+9FG, Sido Wangi, Paringan, Kec. Jetis, Kabupaten Mojokerto, Jawa Timur</v>
      </c>
      <c r="W1271" s="211" t="str">
        <f>IFERROR(__xludf.DUMMYFUNCTION("""COMPUTED_VALUE"""),"IN")</f>
        <v>IN</v>
      </c>
      <c r="X1271" s="211"/>
      <c r="Z1271" s="211" t="str">
        <f>IFERROR(__xludf.DUMMYFUNCTION("""COMPUTED_VALUE"""),"12240171")</f>
        <v>12240171</v>
      </c>
      <c r="AL1271" s="211"/>
      <c r="AM1271" s="211"/>
      <c r="AN1271" s="211"/>
      <c r="AO1271" s="211"/>
      <c r="AP1271" s="215"/>
      <c r="AQ1271" s="218"/>
      <c r="AR1271" s="211"/>
    </row>
    <row r="1272">
      <c r="A1272" s="210" t="str">
        <f>IFERROR(__xludf.DUMMYFUNCTION("""COMPUTED_VALUE"""),"06250543")</f>
        <v>06250543</v>
      </c>
      <c r="B1272" s="210" t="str">
        <f>IFERROR(__xludf.DUMMYFUNCTION("""COMPUTED_VALUE"""),"06250543")</f>
        <v>06250543</v>
      </c>
      <c r="C1272" s="213">
        <f>IFERROR(__xludf.DUMMYFUNCTION("""COMPUTED_VALUE"""),45834.57013888889)</f>
        <v>45834.57014</v>
      </c>
      <c r="D1272" s="211" t="str">
        <f>IFERROR(__xludf.DUMMYFUNCTION("""COMPUTED_VALUE"""),"182fb0fe")</f>
        <v>182fb0fe</v>
      </c>
      <c r="E1272" s="211" t="str">
        <f>IFERROR(__xludf.DUMMYFUNCTION("""COMPUTED_VALUE"""),"PT Amtech")</f>
        <v>PT Amtech</v>
      </c>
      <c r="F1272" s="211" t="str">
        <f>IFERROR(__xludf.DUMMYFUNCTION("""COMPUTED_VALUE"""),"3b9d6a30")</f>
        <v>3b9d6a30</v>
      </c>
      <c r="G1272" s="211" t="str">
        <f>IFERROR(__xludf.DUMMYFUNCTION("""COMPUTED_VALUE"""),"Acetyline")</f>
        <v>Acetyline</v>
      </c>
      <c r="H1272" s="214" t="str">
        <f>IFERROR(__xludf.DUMMYFUNCTION("""COMPUTED_VALUE"""),"OUT")</f>
        <v>OUT</v>
      </c>
      <c r="I1272" s="214" t="str">
        <f>IFERROR(__xludf.DUMMYFUNCTION("""COMPUTED_VALUE"""),"NORMAL")</f>
        <v>NORMAL</v>
      </c>
      <c r="J1272" s="211">
        <f>IFERROR(__xludf.DUMMYFUNCTION("""COMPUTED_VALUE"""),5.0)</f>
        <v>5</v>
      </c>
      <c r="K1272" s="210" t="str">
        <f>IFERROR(__xludf.DUMMYFUNCTION("""COMPUTED_VALUE"""),"7843 7929 7905 7818 7955")</f>
        <v>7843 7929 7905 7818 7955</v>
      </c>
      <c r="L1272" s="211">
        <f>IFERROR(__xludf.DUMMYFUNCTION("""COMPUTED_VALUE"""),435000.0)</f>
        <v>435000</v>
      </c>
      <c r="M1272" s="211"/>
      <c r="N1272" s="211"/>
      <c r="O1272" s="211"/>
      <c r="Q1272" s="210" t="str">
        <f>IFERROR(__xludf.DUMMYFUNCTION("""COMPUTED_VALUE"""),"092511269")</f>
        <v>092511269</v>
      </c>
      <c r="R1272" s="210" t="str">
        <f>IFERROR(__xludf.DUMMYFUNCTION("""COMPUTED_VALUE"""),"092511269")</f>
        <v>092511269</v>
      </c>
      <c r="S1272" s="211" t="str">
        <f>IFERROR(__xludf.DUMMYFUNCTION("""COMPUTED_VALUE"""),"3a48ba8b")</f>
        <v>3a48ba8b</v>
      </c>
      <c r="T1272" s="211" t="str">
        <f>IFERROR(__xludf.DUMMYFUNCTION("""COMPUTED_VALUE"""),"Bpk. Kacung")</f>
        <v>Bpk. Kacung</v>
      </c>
      <c r="U1272" s="215">
        <f>IFERROR(__xludf.DUMMYFUNCTION("""COMPUTED_VALUE"""),45913.49836805555)</f>
        <v>45913.49837</v>
      </c>
      <c r="V1272" s="211" t="str">
        <f>IFERROR(__xludf.DUMMYFUNCTION("""COMPUTED_VALUE"""),"Parengan RT. 17 RW 04 Kraton Krian Sidoarjo")</f>
        <v>Parengan RT. 17 RW 04 Kraton Krian Sidoarjo</v>
      </c>
      <c r="W1272" s="211" t="str">
        <f>IFERROR(__xludf.DUMMYFUNCTION("""COMPUTED_VALUE"""),"OUT")</f>
        <v>OUT</v>
      </c>
      <c r="X1272" s="211"/>
      <c r="Z1272" s="211" t="str">
        <f>IFERROR(__xludf.DUMMYFUNCTION("""COMPUTED_VALUE"""),"12240170")</f>
        <v>12240170</v>
      </c>
      <c r="AL1272" s="211"/>
      <c r="AM1272" s="211"/>
      <c r="AN1272" s="211"/>
      <c r="AO1272" s="211"/>
      <c r="AP1272" s="215"/>
      <c r="AQ1272" s="218"/>
      <c r="AR1272" s="211"/>
    </row>
    <row r="1273">
      <c r="A1273" s="210" t="str">
        <f>IFERROR(__xludf.DUMMYFUNCTION("""COMPUTED_VALUE"""),"06250546")</f>
        <v>06250546</v>
      </c>
      <c r="B1273" s="210" t="str">
        <f>IFERROR(__xludf.DUMMYFUNCTION("""COMPUTED_VALUE"""),"06250546")</f>
        <v>06250546</v>
      </c>
      <c r="C1273" s="213">
        <f>IFERROR(__xludf.DUMMYFUNCTION("""COMPUTED_VALUE"""),45836.32152777778)</f>
        <v>45836.32153</v>
      </c>
      <c r="D1273" s="211" t="str">
        <f>IFERROR(__xludf.DUMMYFUNCTION("""COMPUTED_VALUE"""),"ec231cc9")</f>
        <v>ec231cc9</v>
      </c>
      <c r="E1273" s="211" t="str">
        <f>IFERROR(__xludf.DUMMYFUNCTION("""COMPUTED_VALUE"""),"Bpk. Kohir (Maintenance Velg)")</f>
        <v>Bpk. Kohir (Maintenance Velg)</v>
      </c>
      <c r="F1273" s="211" t="str">
        <f>IFERROR(__xludf.DUMMYFUNCTION("""COMPUTED_VALUE"""),"8bdbe149")</f>
        <v>8bdbe149</v>
      </c>
      <c r="G1273" s="211" t="str">
        <f>IFERROR(__xludf.DUMMYFUNCTION("""COMPUTED_VALUE"""),"Oksigen 6m3")</f>
        <v>Oksigen 6m3</v>
      </c>
      <c r="H1273" s="214" t="str">
        <f>IFERROR(__xludf.DUMMYFUNCTION("""COMPUTED_VALUE"""),"OUT")</f>
        <v>OUT</v>
      </c>
      <c r="I1273" s="214" t="str">
        <f>IFERROR(__xludf.DUMMYFUNCTION("""COMPUTED_VALUE"""),"NORMAL")</f>
        <v>NORMAL</v>
      </c>
      <c r="J1273" s="211">
        <f>IFERROR(__xludf.DUMMYFUNCTION("""COMPUTED_VALUE"""),5.0)</f>
        <v>5</v>
      </c>
      <c r="K1273" s="210" t="str">
        <f>IFERROR(__xludf.DUMMYFUNCTION("""COMPUTED_VALUE"""),"1150 11208 11176 1120 1199")</f>
        <v>1150 11208 11176 1120 1199</v>
      </c>
      <c r="L1273" s="211">
        <f>IFERROR(__xludf.DUMMYFUNCTION("""COMPUTED_VALUE"""),55000.0)</f>
        <v>55000</v>
      </c>
      <c r="M1273" s="211"/>
      <c r="N1273" s="211"/>
      <c r="O1273" s="211"/>
      <c r="Q1273" s="210" t="str">
        <f>IFERROR(__xludf.DUMMYFUNCTION("""COMPUTED_VALUE"""),"0925191273")</f>
        <v>0925191273</v>
      </c>
      <c r="R1273" s="210" t="str">
        <f>IFERROR(__xludf.DUMMYFUNCTION("""COMPUTED_VALUE"""),"0925191273")</f>
        <v>0925191273</v>
      </c>
      <c r="S1273" s="211" t="str">
        <f>IFERROR(__xludf.DUMMYFUNCTION("""COMPUTED_VALUE"""),"ec231cc9")</f>
        <v>ec231cc9</v>
      </c>
      <c r="T1273" s="211" t="str">
        <f>IFERROR(__xludf.DUMMYFUNCTION("""COMPUTED_VALUE"""),"Bpk. Kohir (Maintenance Velg)")</f>
        <v>Bpk. Kohir (Maintenance Velg)</v>
      </c>
      <c r="U1273" s="215">
        <f>IFERROR(__xludf.DUMMYFUNCTION("""COMPUTED_VALUE"""),45913.66913194444)</f>
        <v>45913.66913</v>
      </c>
      <c r="V1273" s="211" t="str">
        <f>IFERROR(__xludf.DUMMYFUNCTION("""COMPUTED_VALUE"""),"Jl. Lkr. Bypass Krian Timur, Sidogolong, Watugolong, Kec. Krian, Kabupaten Sidoarjo, Jawa Timur 61262")</f>
        <v>Jl. Lkr. Bypass Krian Timur, Sidogolong, Watugolong, Kec. Krian, Kabupaten Sidoarjo, Jawa Timur 61262</v>
      </c>
      <c r="W1273" s="211" t="str">
        <f>IFERROR(__xludf.DUMMYFUNCTION("""COMPUTED_VALUE"""),"OUT")</f>
        <v>OUT</v>
      </c>
      <c r="X1273" s="211"/>
      <c r="Z1273" s="211" t="str">
        <f>IFERROR(__xludf.DUMMYFUNCTION("""COMPUTED_VALUE"""),"12240169")</f>
        <v>12240169</v>
      </c>
      <c r="AL1273" s="211"/>
      <c r="AM1273" s="211"/>
      <c r="AN1273" s="211"/>
      <c r="AO1273" s="211"/>
      <c r="AP1273" s="215"/>
      <c r="AQ1273" s="218"/>
      <c r="AR1273" s="211"/>
    </row>
    <row r="1274">
      <c r="A1274" s="210" t="str">
        <f>IFERROR(__xludf.DUMMYFUNCTION("""COMPUTED_VALUE"""),"06250546")</f>
        <v>06250546</v>
      </c>
      <c r="B1274" s="210" t="str">
        <f>IFERROR(__xludf.DUMMYFUNCTION("""COMPUTED_VALUE"""),"06250546")</f>
        <v>06250546</v>
      </c>
      <c r="C1274" s="213">
        <f>IFERROR(__xludf.DUMMYFUNCTION("""COMPUTED_VALUE"""),45836.32152777778)</f>
        <v>45836.32153</v>
      </c>
      <c r="D1274" s="211" t="str">
        <f>IFERROR(__xludf.DUMMYFUNCTION("""COMPUTED_VALUE"""),"ec231cc9")</f>
        <v>ec231cc9</v>
      </c>
      <c r="E1274" s="211" t="str">
        <f>IFERROR(__xludf.DUMMYFUNCTION("""COMPUTED_VALUE"""),"Bpk. Kohir (Maintenance Velg)")</f>
        <v>Bpk. Kohir (Maintenance Velg)</v>
      </c>
      <c r="F1274" s="211" t="str">
        <f>IFERROR(__xludf.DUMMYFUNCTION("""COMPUTED_VALUE"""),"ef306e54")</f>
        <v>ef306e54</v>
      </c>
      <c r="G1274" s="211" t="str">
        <f>IFERROR(__xludf.DUMMYFUNCTION("""COMPUTED_VALUE"""),"Karbondioksida")</f>
        <v>Karbondioksida</v>
      </c>
      <c r="H1274" s="214" t="str">
        <f>IFERROR(__xludf.DUMMYFUNCTION("""COMPUTED_VALUE"""),"OUT")</f>
        <v>OUT</v>
      </c>
      <c r="I1274" s="214" t="str">
        <f>IFERROR(__xludf.DUMMYFUNCTION("""COMPUTED_VALUE"""),"NORMAL")</f>
        <v>NORMAL</v>
      </c>
      <c r="J1274" s="211">
        <f>IFERROR(__xludf.DUMMYFUNCTION("""COMPUTED_VALUE"""),1.0)</f>
        <v>1</v>
      </c>
      <c r="K1274" s="210" t="str">
        <f>IFERROR(__xludf.DUMMYFUNCTION("""COMPUTED_VALUE"""),"13001")</f>
        <v>13001</v>
      </c>
      <c r="L1274" s="211">
        <f>IFERROR(__xludf.DUMMYFUNCTION("""COMPUTED_VALUE"""),165000.0)</f>
        <v>165000</v>
      </c>
      <c r="M1274" s="211"/>
      <c r="N1274" s="211"/>
      <c r="O1274" s="211"/>
      <c r="Q1274" s="210" t="str">
        <f>IFERROR(__xludf.DUMMYFUNCTION("""COMPUTED_VALUE"""),"1250592")</f>
        <v>1250592</v>
      </c>
      <c r="R1274" s="210" t="str">
        <f>IFERROR(__xludf.DUMMYFUNCTION("""COMPUTED_VALUE"""),"1250592")</f>
        <v>1250592</v>
      </c>
      <c r="S1274" s="211" t="str">
        <f>IFERROR(__xludf.DUMMYFUNCTION("""COMPUTED_VALUE"""),"ec231cc9")</f>
        <v>ec231cc9</v>
      </c>
      <c r="T1274" s="211" t="str">
        <f>IFERROR(__xludf.DUMMYFUNCTION("""COMPUTED_VALUE"""),"Bpk. Kohir (Maintenance Velg)")</f>
        <v>Bpk. Kohir (Maintenance Velg)</v>
      </c>
      <c r="U1274" s="215">
        <f>IFERROR(__xludf.DUMMYFUNCTION("""COMPUTED_VALUE"""),45915.34680555556)</f>
        <v>45915.34681</v>
      </c>
      <c r="V1274" s="211" t="str">
        <f>IFERROR(__xludf.DUMMYFUNCTION("""COMPUTED_VALUE"""),"Jl. Lkr. Bypass Krian Timur, Sidogolong, Watugolong, Kec. Krian, Kabupaten Sidoarjo, Jawa Timur 61262")</f>
        <v>Jl. Lkr. Bypass Krian Timur, Sidogolong, Watugolong, Kec. Krian, Kabupaten Sidoarjo, Jawa Timur 61262</v>
      </c>
      <c r="W1274" s="211" t="str">
        <f>IFERROR(__xludf.DUMMYFUNCTION("""COMPUTED_VALUE"""),"IN")</f>
        <v>IN</v>
      </c>
      <c r="X1274" s="211"/>
      <c r="Z1274" s="211" t="str">
        <f>IFERROR(__xludf.DUMMYFUNCTION("""COMPUTED_VALUE"""),"12240168")</f>
        <v>12240168</v>
      </c>
      <c r="AL1274" s="211"/>
      <c r="AM1274" s="211"/>
      <c r="AN1274" s="211"/>
      <c r="AO1274" s="211"/>
      <c r="AP1274" s="215"/>
      <c r="AQ1274" s="218"/>
      <c r="AR1274" s="211"/>
    </row>
    <row r="1275">
      <c r="A1275" s="210" t="str">
        <f>IFERROR(__xludf.DUMMYFUNCTION("""COMPUTED_VALUE"""),"06250548")</f>
        <v>06250548</v>
      </c>
      <c r="B1275" s="210" t="str">
        <f>IFERROR(__xludf.DUMMYFUNCTION("""COMPUTED_VALUE"""),"06250548")</f>
        <v>06250548</v>
      </c>
      <c r="C1275" s="213">
        <f>IFERROR(__xludf.DUMMYFUNCTION("""COMPUTED_VALUE"""),45836.33888888889)</f>
        <v>45836.33889</v>
      </c>
      <c r="D1275" s="211" t="str">
        <f>IFERROR(__xludf.DUMMYFUNCTION("""COMPUTED_VALUE"""),"e968afef")</f>
        <v>e968afef</v>
      </c>
      <c r="E1275" s="211" t="str">
        <f>IFERROR(__xludf.DUMMYFUNCTION("""COMPUTED_VALUE"""),"Bpk. Agus")</f>
        <v>Bpk. Agus</v>
      </c>
      <c r="F1275" s="211" t="str">
        <f>IFERROR(__xludf.DUMMYFUNCTION("""COMPUTED_VALUE"""),"8bdbe149")</f>
        <v>8bdbe149</v>
      </c>
      <c r="G1275" s="211" t="str">
        <f>IFERROR(__xludf.DUMMYFUNCTION("""COMPUTED_VALUE"""),"Oksigen 6m3")</f>
        <v>Oksigen 6m3</v>
      </c>
      <c r="H1275" s="214" t="str">
        <f>IFERROR(__xludf.DUMMYFUNCTION("""COMPUTED_VALUE"""),"OUT")</f>
        <v>OUT</v>
      </c>
      <c r="I1275" s="214" t="str">
        <f>IFERROR(__xludf.DUMMYFUNCTION("""COMPUTED_VALUE"""),"NORMAL")</f>
        <v>NORMAL</v>
      </c>
      <c r="J1275" s="211">
        <f>IFERROR(__xludf.DUMMYFUNCTION("""COMPUTED_VALUE"""),5.0)</f>
        <v>5</v>
      </c>
      <c r="K1275" s="210" t="str">
        <f>IFERROR(__xludf.DUMMYFUNCTION("""COMPUTED_VALUE"""),"11286 11113 11119 11133 11257")</f>
        <v>11286 11113 11119 11133 11257</v>
      </c>
      <c r="L1275" s="211">
        <f>IFERROR(__xludf.DUMMYFUNCTION("""COMPUTED_VALUE"""),60000.0)</f>
        <v>60000</v>
      </c>
      <c r="M1275" s="211"/>
      <c r="N1275" s="211"/>
      <c r="O1275" s="211"/>
      <c r="Q1275" s="210" t="str">
        <f>IFERROR(__xludf.DUMMYFUNCTION("""COMPUTED_VALUE"""),"0925231274")</f>
        <v>0925231274</v>
      </c>
      <c r="R1275" s="210" t="str">
        <f>IFERROR(__xludf.DUMMYFUNCTION("""COMPUTED_VALUE"""),"0925231274")</f>
        <v>0925231274</v>
      </c>
      <c r="S1275" s="211" t="str">
        <f>IFERROR(__xludf.DUMMYFUNCTION("""COMPUTED_VALUE"""),"2d88931c")</f>
        <v>2d88931c</v>
      </c>
      <c r="T1275" s="211" t="str">
        <f>IFERROR(__xludf.DUMMYFUNCTION("""COMPUTED_VALUE"""),"PT Dunia Berkat Marga Mulya")</f>
        <v>PT Dunia Berkat Marga Mulya</v>
      </c>
      <c r="U1275" s="215">
        <f>IFERROR(__xludf.DUMMYFUNCTION("""COMPUTED_VALUE"""),45915.36953703704)</f>
        <v>45915.36954</v>
      </c>
      <c r="V1275" s="211" t="str">
        <f>IFERROR(__xludf.DUMMYFUNCTION("""COMPUTED_VALUE"""),"JL JABARAN, WATESARI, BALONGBENDO, SIDOARJO, JAWA TIMUR")</f>
        <v>JL JABARAN, WATESARI, BALONGBENDO, SIDOARJO, JAWA TIMUR</v>
      </c>
      <c r="W1275" s="211" t="str">
        <f>IFERROR(__xludf.DUMMYFUNCTION("""COMPUTED_VALUE"""),"OUT")</f>
        <v>OUT</v>
      </c>
      <c r="X1275" s="211"/>
      <c r="Z1275" s="211" t="str">
        <f>IFERROR(__xludf.DUMMYFUNCTION("""COMPUTED_VALUE"""),"12240167")</f>
        <v>12240167</v>
      </c>
      <c r="AL1275" s="211"/>
      <c r="AM1275" s="211"/>
      <c r="AN1275" s="211"/>
      <c r="AO1275" s="211"/>
      <c r="AP1275" s="215"/>
      <c r="AQ1275" s="218"/>
      <c r="AR1275" s="211"/>
    </row>
    <row r="1276">
      <c r="A1276" s="210" t="str">
        <f>IFERROR(__xludf.DUMMYFUNCTION("""COMPUTED_VALUE"""),"06250549")</f>
        <v>06250549</v>
      </c>
      <c r="B1276" s="210" t="str">
        <f>IFERROR(__xludf.DUMMYFUNCTION("""COMPUTED_VALUE"""),"06250549")</f>
        <v>06250549</v>
      </c>
      <c r="C1276" s="213">
        <f>IFERROR(__xludf.DUMMYFUNCTION("""COMPUTED_VALUE"""),45838.35138888889)</f>
        <v>45838.35139</v>
      </c>
      <c r="D1276" s="211" t="str">
        <f>IFERROR(__xludf.DUMMYFUNCTION("""COMPUTED_VALUE"""),"b218b89b")</f>
        <v>b218b89b</v>
      </c>
      <c r="E1276" s="211" t="str">
        <f>IFERROR(__xludf.DUMMYFUNCTION("""COMPUTED_VALUE"""),"PT Harapan Sentosa")</f>
        <v>PT Harapan Sentosa</v>
      </c>
      <c r="F1276" s="211" t="str">
        <f>IFERROR(__xludf.DUMMYFUNCTION("""COMPUTED_VALUE"""),"ef306e54")</f>
        <v>ef306e54</v>
      </c>
      <c r="G1276" s="211" t="str">
        <f>IFERROR(__xludf.DUMMYFUNCTION("""COMPUTED_VALUE"""),"Karbondioksida")</f>
        <v>Karbondioksida</v>
      </c>
      <c r="H1276" s="214" t="str">
        <f>IFERROR(__xludf.DUMMYFUNCTION("""COMPUTED_VALUE"""),"OUT")</f>
        <v>OUT</v>
      </c>
      <c r="I1276" s="214" t="str">
        <f>IFERROR(__xludf.DUMMYFUNCTION("""COMPUTED_VALUE"""),"NORMAL")</f>
        <v>NORMAL</v>
      </c>
      <c r="J1276" s="211">
        <f>IFERROR(__xludf.DUMMYFUNCTION("""COMPUTED_VALUE"""),5.0)</f>
        <v>5</v>
      </c>
      <c r="K1276" s="210" t="str">
        <f>IFERROR(__xludf.DUMMYFUNCTION("""COMPUTED_VALUE"""),"13003 13007 13006 13010 13015")</f>
        <v>13003 13007 13006 13010 13015</v>
      </c>
      <c r="L1276" s="211">
        <f>IFERROR(__xludf.DUMMYFUNCTION("""COMPUTED_VALUE"""),210000.0)</f>
        <v>210000</v>
      </c>
      <c r="M1276" s="211"/>
      <c r="N1276" s="211"/>
      <c r="O1276" s="211"/>
      <c r="Q1276" s="210" t="str">
        <f>IFERROR(__xludf.DUMMYFUNCTION("""COMPUTED_VALUE"""),"1250593")</f>
        <v>1250593</v>
      </c>
      <c r="R1276" s="210" t="str">
        <f>IFERROR(__xludf.DUMMYFUNCTION("""COMPUTED_VALUE"""),"1250593")</f>
        <v>1250593</v>
      </c>
      <c r="S1276" s="211" t="str">
        <f>IFERROR(__xludf.DUMMYFUNCTION("""COMPUTED_VALUE"""),"2d88931c")</f>
        <v>2d88931c</v>
      </c>
      <c r="T1276" s="211" t="str">
        <f>IFERROR(__xludf.DUMMYFUNCTION("""COMPUTED_VALUE"""),"PT Dunia Berkat Marga Mulya")</f>
        <v>PT Dunia Berkat Marga Mulya</v>
      </c>
      <c r="U1276" s="215">
        <f>IFERROR(__xludf.DUMMYFUNCTION("""COMPUTED_VALUE"""),45915.40625)</f>
        <v>45915.40625</v>
      </c>
      <c r="V1276" s="211" t="str">
        <f>IFERROR(__xludf.DUMMYFUNCTION("""COMPUTED_VALUE"""),"JL JABARAN, WATESARI, BALONGBENDO, SIDOARJO, JAWA TIMUR")</f>
        <v>JL JABARAN, WATESARI, BALONGBENDO, SIDOARJO, JAWA TIMUR</v>
      </c>
      <c r="W1276" s="211" t="str">
        <f>IFERROR(__xludf.DUMMYFUNCTION("""COMPUTED_VALUE"""),"IN")</f>
        <v>IN</v>
      </c>
      <c r="X1276" s="211"/>
      <c r="Z1276" s="211" t="str">
        <f>IFERROR(__xludf.DUMMYFUNCTION("""COMPUTED_VALUE"""),"12240166")</f>
        <v>12240166</v>
      </c>
      <c r="AL1276" s="211"/>
      <c r="AM1276" s="211"/>
      <c r="AN1276" s="211"/>
      <c r="AO1276" s="211"/>
      <c r="AP1276" s="215"/>
      <c r="AQ1276" s="218"/>
      <c r="AR1276" s="211"/>
    </row>
    <row r="1277">
      <c r="A1277" s="210" t="str">
        <f>IFERROR(__xludf.DUMMYFUNCTION("""COMPUTED_VALUE"""),"9483f2cb")</f>
        <v>9483f2cb</v>
      </c>
      <c r="B1277" s="210" t="str">
        <f>IFERROR(__xludf.DUMMYFUNCTION("""COMPUTED_VALUE"""),"9483f2cb")</f>
        <v>9483f2cb</v>
      </c>
      <c r="C1277" s="213">
        <f>IFERROR(__xludf.DUMMYFUNCTION("""COMPUTED_VALUE"""),45838.455555555556)</f>
        <v>45838.45556</v>
      </c>
      <c r="D1277" s="211" t="str">
        <f>IFERROR(__xludf.DUMMYFUNCTION("""COMPUTED_VALUE"""),"b218b89b")</f>
        <v>b218b89b</v>
      </c>
      <c r="E1277" s="211" t="str">
        <f>IFERROR(__xludf.DUMMYFUNCTION("""COMPUTED_VALUE"""),"PT Harapan Sentosa")</f>
        <v>PT Harapan Sentosa</v>
      </c>
      <c r="F1277" s="211" t="str">
        <f>IFERROR(__xludf.DUMMYFUNCTION("""COMPUTED_VALUE"""),"7d2764f1")</f>
        <v>7d2764f1</v>
      </c>
      <c r="G1277" s="211" t="str">
        <f>IFERROR(__xludf.DUMMYFUNCTION("""COMPUTED_VALUE"""),"Oksigen 7m3")</f>
        <v>Oksigen 7m3</v>
      </c>
      <c r="H1277" s="214" t="str">
        <f>IFERROR(__xludf.DUMMYFUNCTION("""COMPUTED_VALUE"""),"IN")</f>
        <v>IN</v>
      </c>
      <c r="I1277" s="214" t="str">
        <f>IFERROR(__xludf.DUMMYFUNCTION("""COMPUTED_VALUE"""),"EMPTY")</f>
        <v>EMPTY</v>
      </c>
      <c r="J1277" s="211">
        <f>IFERROR(__xludf.DUMMYFUNCTION("""COMPUTED_VALUE"""),2.0)</f>
        <v>2</v>
      </c>
      <c r="K1277" s="210" t="str">
        <f>IFERROR(__xludf.DUMMYFUNCTION("""COMPUTED_VALUE"""),"11195 11153")</f>
        <v>11195 11153</v>
      </c>
      <c r="L1277" s="211">
        <f>IFERROR(__xludf.DUMMYFUNCTION("""COMPUTED_VALUE"""),0.0)</f>
        <v>0</v>
      </c>
      <c r="M1277" s="211"/>
      <c r="N1277" s="211"/>
      <c r="O1277" s="211"/>
      <c r="Q1277" s="210" t="str">
        <f>IFERROR(__xludf.DUMMYFUNCTION("""COMPUTED_VALUE"""),"0925491276")</f>
        <v>0925491276</v>
      </c>
      <c r="R1277" s="210" t="str">
        <f>IFERROR(__xludf.DUMMYFUNCTION("""COMPUTED_VALUE"""),"0925491276")</f>
        <v>0925491276</v>
      </c>
      <c r="S1277" s="211" t="str">
        <f>IFERROR(__xludf.DUMMYFUNCTION("""COMPUTED_VALUE"""),"e86baf3b")</f>
        <v>e86baf3b</v>
      </c>
      <c r="T1277" s="211" t="str">
        <f>IFERROR(__xludf.DUMMYFUNCTION("""COMPUTED_VALUE"""),"PT GEMILANG CIPTA WAWASAN")</f>
        <v>PT GEMILANG CIPTA WAWASAN</v>
      </c>
      <c r="U1277" s="215">
        <f>IFERROR(__xludf.DUMMYFUNCTION("""COMPUTED_VALUE"""),45915.56512731482)</f>
        <v>45915.56513</v>
      </c>
      <c r="V1277" s="211" t="str">
        <f>IFERROR(__xludf.DUMMYFUNCTION("""COMPUTED_VALUE"""),"JL TEBET RAYA, 2A, TEBET BARAT, TEBET, KOTA ADM, JAKARTA SELATAN, DKI JAKARTA")</f>
        <v>JL TEBET RAYA, 2A, TEBET BARAT, TEBET, KOTA ADM, JAKARTA SELATAN, DKI JAKARTA</v>
      </c>
      <c r="W1277" s="211" t="str">
        <f>IFERROR(__xludf.DUMMYFUNCTION("""COMPUTED_VALUE"""),"OUT")</f>
        <v>OUT</v>
      </c>
      <c r="X1277" s="211"/>
      <c r="Z1277" s="211" t="str">
        <f>IFERROR(__xludf.DUMMYFUNCTION("""COMPUTED_VALUE"""),"12240163")</f>
        <v>12240163</v>
      </c>
      <c r="AL1277" s="211"/>
      <c r="AM1277" s="211"/>
      <c r="AN1277" s="211"/>
      <c r="AO1277" s="211"/>
      <c r="AP1277" s="215"/>
      <c r="AQ1277" s="218"/>
      <c r="AR1277" s="211"/>
    </row>
    <row r="1278">
      <c r="A1278" s="210" t="str">
        <f>IFERROR(__xludf.DUMMYFUNCTION("""COMPUTED_VALUE"""),"fd7a3f9f")</f>
        <v>fd7a3f9f</v>
      </c>
      <c r="B1278" s="210" t="str">
        <f>IFERROR(__xludf.DUMMYFUNCTION("""COMPUTED_VALUE"""),"fd7a3f9f")</f>
        <v>fd7a3f9f</v>
      </c>
      <c r="C1278" s="213">
        <f>IFERROR(__xludf.DUMMYFUNCTION("""COMPUTED_VALUE"""),45838.455555555556)</f>
        <v>45838.45556</v>
      </c>
      <c r="D1278" s="211" t="str">
        <f>IFERROR(__xludf.DUMMYFUNCTION("""COMPUTED_VALUE"""),"e968afef")</f>
        <v>e968afef</v>
      </c>
      <c r="E1278" s="211" t="str">
        <f>IFERROR(__xludf.DUMMYFUNCTION("""COMPUTED_VALUE"""),"Bpk. Agus")</f>
        <v>Bpk. Agus</v>
      </c>
      <c r="F1278" s="211" t="str">
        <f>IFERROR(__xludf.DUMMYFUNCTION("""COMPUTED_VALUE"""),"8bdbe149")</f>
        <v>8bdbe149</v>
      </c>
      <c r="G1278" s="211" t="str">
        <f>IFERROR(__xludf.DUMMYFUNCTION("""COMPUTED_VALUE"""),"Oksigen 6m3")</f>
        <v>Oksigen 6m3</v>
      </c>
      <c r="H1278" s="214" t="str">
        <f>IFERROR(__xludf.DUMMYFUNCTION("""COMPUTED_VALUE"""),"IN")</f>
        <v>IN</v>
      </c>
      <c r="I1278" s="214" t="str">
        <f>IFERROR(__xludf.DUMMYFUNCTION("""COMPUTED_VALUE"""),"EMPTY")</f>
        <v>EMPTY</v>
      </c>
      <c r="J1278" s="211">
        <f>IFERROR(__xludf.DUMMYFUNCTION("""COMPUTED_VALUE"""),5.0)</f>
        <v>5</v>
      </c>
      <c r="K1278" s="210" t="str">
        <f>IFERROR(__xludf.DUMMYFUNCTION("""COMPUTED_VALUE"""),"11115 1192 1127 11196 11234")</f>
        <v>11115 1192 1127 11196 11234</v>
      </c>
      <c r="L1278" s="211">
        <f>IFERROR(__xludf.DUMMYFUNCTION("""COMPUTED_VALUE"""),0.0)</f>
        <v>0</v>
      </c>
      <c r="M1278" s="211"/>
      <c r="N1278" s="211"/>
      <c r="O1278" s="211"/>
      <c r="Q1278" s="210" t="str">
        <f>IFERROR(__xludf.DUMMYFUNCTION("""COMPUTED_VALUE"""),"1250594")</f>
        <v>1250594</v>
      </c>
      <c r="R1278" s="210" t="str">
        <f>IFERROR(__xludf.DUMMYFUNCTION("""COMPUTED_VALUE"""),"1250594")</f>
        <v>1250594</v>
      </c>
      <c r="S1278" s="211" t="str">
        <f>IFERROR(__xludf.DUMMYFUNCTION("""COMPUTED_VALUE"""),"e86baf3b")</f>
        <v>e86baf3b</v>
      </c>
      <c r="T1278" s="211" t="str">
        <f>IFERROR(__xludf.DUMMYFUNCTION("""COMPUTED_VALUE"""),"PT GEMILANG CIPTA WAWASAN")</f>
        <v>PT GEMILANG CIPTA WAWASAN</v>
      </c>
      <c r="U1278" s="215">
        <f>IFERROR(__xludf.DUMMYFUNCTION("""COMPUTED_VALUE"""),45916.343773148146)</f>
        <v>45916.34377</v>
      </c>
      <c r="V1278" s="211" t="str">
        <f>IFERROR(__xludf.DUMMYFUNCTION("""COMPUTED_VALUE"""),"JL TEBET RAYA, 2A, TEBET BARAT, TEBET, KOTA ADM, JAKARTA SELATAN, DKI JAKARTA")</f>
        <v>JL TEBET RAYA, 2A, TEBET BARAT, TEBET, KOTA ADM, JAKARTA SELATAN, DKI JAKARTA</v>
      </c>
      <c r="W1278" s="211" t="str">
        <f>IFERROR(__xludf.DUMMYFUNCTION("""COMPUTED_VALUE"""),"IN")</f>
        <v>IN</v>
      </c>
      <c r="X1278" s="211"/>
      <c r="Z1278" s="211" t="str">
        <f>IFERROR(__xludf.DUMMYFUNCTION("""COMPUTED_VALUE"""),"12240161")</f>
        <v>12240161</v>
      </c>
      <c r="AL1278" s="211"/>
      <c r="AM1278" s="211"/>
      <c r="AN1278" s="211"/>
      <c r="AO1278" s="211"/>
      <c r="AP1278" s="215"/>
      <c r="AQ1278" s="218"/>
      <c r="AR1278" s="211"/>
    </row>
    <row r="1279">
      <c r="A1279" s="210" t="str">
        <f>IFERROR(__xludf.DUMMYFUNCTION("""COMPUTED_VALUE"""),"624023cb")</f>
        <v>624023cb</v>
      </c>
      <c r="B1279" s="210" t="str">
        <f>IFERROR(__xludf.DUMMYFUNCTION("""COMPUTED_VALUE"""),"624023cb")</f>
        <v>624023cb</v>
      </c>
      <c r="C1279" s="213">
        <f>IFERROR(__xludf.DUMMYFUNCTION("""COMPUTED_VALUE"""),45838.45625)</f>
        <v>45838.45625</v>
      </c>
      <c r="D1279" s="211" t="str">
        <f>IFERROR(__xludf.DUMMYFUNCTION("""COMPUTED_VALUE"""),"ec231cc9")</f>
        <v>ec231cc9</v>
      </c>
      <c r="E1279" s="211" t="str">
        <f>IFERROR(__xludf.DUMMYFUNCTION("""COMPUTED_VALUE"""),"Bpk. Kohir (Maintenance Velg)")</f>
        <v>Bpk. Kohir (Maintenance Velg)</v>
      </c>
      <c r="F1279" s="211" t="str">
        <f>IFERROR(__xludf.DUMMYFUNCTION("""COMPUTED_VALUE"""),"8bdbe149")</f>
        <v>8bdbe149</v>
      </c>
      <c r="G1279" s="211" t="str">
        <f>IFERROR(__xludf.DUMMYFUNCTION("""COMPUTED_VALUE"""),"Oksigen 6m3")</f>
        <v>Oksigen 6m3</v>
      </c>
      <c r="H1279" s="214" t="str">
        <f>IFERROR(__xludf.DUMMYFUNCTION("""COMPUTED_VALUE"""),"IN")</f>
        <v>IN</v>
      </c>
      <c r="I1279" s="214" t="str">
        <f>IFERROR(__xludf.DUMMYFUNCTION("""COMPUTED_VALUE"""),"EMPTY")</f>
        <v>EMPTY</v>
      </c>
      <c r="J1279" s="211">
        <f>IFERROR(__xludf.DUMMYFUNCTION("""COMPUTED_VALUE"""),5.0)</f>
        <v>5</v>
      </c>
      <c r="K1279" s="210" t="str">
        <f>IFERROR(__xludf.DUMMYFUNCTION("""COMPUTED_VALUE"""),"1125 1193 1182 11111 1101")</f>
        <v>1125 1193 1182 11111 1101</v>
      </c>
      <c r="L1279" s="211">
        <f>IFERROR(__xludf.DUMMYFUNCTION("""COMPUTED_VALUE"""),0.0)</f>
        <v>0</v>
      </c>
      <c r="M1279" s="211"/>
      <c r="N1279" s="211"/>
      <c r="O1279" s="211"/>
      <c r="Q1279" s="210" t="str">
        <f>IFERROR(__xludf.DUMMYFUNCTION("""COMPUTED_VALUE"""),"0925501278")</f>
        <v>0925501278</v>
      </c>
      <c r="R1279" s="210" t="str">
        <f>IFERROR(__xludf.DUMMYFUNCTION("""COMPUTED_VALUE"""),"0925501278")</f>
        <v>0925501278</v>
      </c>
      <c r="S1279" s="211" t="str">
        <f>IFERROR(__xludf.DUMMYFUNCTION("""COMPUTED_VALUE"""),"e86baf3b")</f>
        <v>e86baf3b</v>
      </c>
      <c r="T1279" s="211" t="str">
        <f>IFERROR(__xludf.DUMMYFUNCTION("""COMPUTED_VALUE"""),"PT GEMILANG CIPTA WAWASAN")</f>
        <v>PT GEMILANG CIPTA WAWASAN</v>
      </c>
      <c r="U1279" s="215">
        <f>IFERROR(__xludf.DUMMYFUNCTION("""COMPUTED_VALUE"""),45916.35209490741)</f>
        <v>45916.35209</v>
      </c>
      <c r="V1279" s="211" t="str">
        <f>IFERROR(__xludf.DUMMYFUNCTION("""COMPUTED_VALUE"""),"JL TEBET RAYA, 2A, TEBET BARAT, TEBET, KOTA ADM, JAKARTA SELATAN, DKI JAKARTA")</f>
        <v>JL TEBET RAYA, 2A, TEBET BARAT, TEBET, KOTA ADM, JAKARTA SELATAN, DKI JAKARTA</v>
      </c>
      <c r="W1279" s="211" t="str">
        <f>IFERROR(__xludf.DUMMYFUNCTION("""COMPUTED_VALUE"""),"OUT")</f>
        <v>OUT</v>
      </c>
      <c r="X1279" s="211"/>
      <c r="Z1279" s="211" t="str">
        <f>IFERROR(__xludf.DUMMYFUNCTION("""COMPUTED_VALUE"""),"12240160")</f>
        <v>12240160</v>
      </c>
      <c r="AL1279" s="211"/>
      <c r="AM1279" s="211"/>
      <c r="AN1279" s="211"/>
      <c r="AO1279" s="211"/>
      <c r="AP1279" s="215"/>
      <c r="AQ1279" s="218"/>
      <c r="AR1279" s="211"/>
    </row>
    <row r="1280">
      <c r="A1280" s="210" t="str">
        <f>IFERROR(__xludf.DUMMYFUNCTION("""COMPUTED_VALUE"""),"624023cb")</f>
        <v>624023cb</v>
      </c>
      <c r="B1280" s="210" t="str">
        <f>IFERROR(__xludf.DUMMYFUNCTION("""COMPUTED_VALUE"""),"624023cb")</f>
        <v>624023cb</v>
      </c>
      <c r="C1280" s="213">
        <f>IFERROR(__xludf.DUMMYFUNCTION("""COMPUTED_VALUE"""),45838.45763888889)</f>
        <v>45838.45764</v>
      </c>
      <c r="D1280" s="211" t="str">
        <f>IFERROR(__xludf.DUMMYFUNCTION("""COMPUTED_VALUE"""),"ec231cc9")</f>
        <v>ec231cc9</v>
      </c>
      <c r="E1280" s="211" t="str">
        <f>IFERROR(__xludf.DUMMYFUNCTION("""COMPUTED_VALUE"""),"Bpk. Kohir (Maintenance Velg)")</f>
        <v>Bpk. Kohir (Maintenance Velg)</v>
      </c>
      <c r="F1280" s="211" t="str">
        <f>IFERROR(__xludf.DUMMYFUNCTION("""COMPUTED_VALUE"""),"ef306e54")</f>
        <v>ef306e54</v>
      </c>
      <c r="G1280" s="211" t="str">
        <f>IFERROR(__xludf.DUMMYFUNCTION("""COMPUTED_VALUE"""),"Karbondioksida")</f>
        <v>Karbondioksida</v>
      </c>
      <c r="H1280" s="214" t="str">
        <f>IFERROR(__xludf.DUMMYFUNCTION("""COMPUTED_VALUE"""),"IN")</f>
        <v>IN</v>
      </c>
      <c r="I1280" s="214" t="str">
        <f>IFERROR(__xludf.DUMMYFUNCTION("""COMPUTED_VALUE"""),"EMPTY")</f>
        <v>EMPTY</v>
      </c>
      <c r="J1280" s="211">
        <f>IFERROR(__xludf.DUMMYFUNCTION("""COMPUTED_VALUE"""),1.0)</f>
        <v>1</v>
      </c>
      <c r="K1280" s="210" t="str">
        <f>IFERROR(__xludf.DUMMYFUNCTION("""COMPUTED_VALUE"""),"13002")</f>
        <v>13002</v>
      </c>
      <c r="L1280" s="211">
        <f>IFERROR(__xludf.DUMMYFUNCTION("""COMPUTED_VALUE"""),0.0)</f>
        <v>0</v>
      </c>
      <c r="M1280" s="211"/>
      <c r="N1280" s="211"/>
      <c r="O1280" s="211"/>
      <c r="Q1280" s="210" t="str">
        <f>IFERROR(__xludf.DUMMYFUNCTION("""COMPUTED_VALUE"""),"1250596")</f>
        <v>1250596</v>
      </c>
      <c r="R1280" s="210" t="str">
        <f>IFERROR(__xludf.DUMMYFUNCTION("""COMPUTED_VALUE"""),"1250596")</f>
        <v>1250596</v>
      </c>
      <c r="S1280" s="211" t="str">
        <f>IFERROR(__xludf.DUMMYFUNCTION("""COMPUTED_VALUE"""),"785e0e07")</f>
        <v>785e0e07</v>
      </c>
      <c r="T1280" s="211" t="str">
        <f>IFERROR(__xludf.DUMMYFUNCTION("""COMPUTED_VALUE"""),"Bpk. Sukirno (Bejo)")</f>
        <v>Bpk. Sukirno (Bejo)</v>
      </c>
      <c r="U1280" s="215">
        <f>IFERROR(__xludf.DUMMYFUNCTION("""COMPUTED_VALUE"""),45916.454305555555)</f>
        <v>45916.45431</v>
      </c>
      <c r="V1280" s="211" t="str">
        <f>IFERROR(__xludf.DUMMYFUNCTION("""COMPUTED_VALUE"""),"Krajan I, Wringinanom, Kec. Wringinanom, Kabupaten Gresik, Jawa Timur 61176")</f>
        <v>Krajan I, Wringinanom, Kec. Wringinanom, Kabupaten Gresik, Jawa Timur 61176</v>
      </c>
      <c r="W1280" s="211" t="str">
        <f>IFERROR(__xludf.DUMMYFUNCTION("""COMPUTED_VALUE"""),"IN")</f>
        <v>IN</v>
      </c>
      <c r="X1280" s="211"/>
      <c r="Z1280" s="211" t="str">
        <f>IFERROR(__xludf.DUMMYFUNCTION("""COMPUTED_VALUE"""),"12240158")</f>
        <v>12240158</v>
      </c>
      <c r="AL1280" s="211"/>
      <c r="AM1280" s="211"/>
      <c r="AN1280" s="211"/>
      <c r="AO1280" s="211"/>
      <c r="AP1280" s="215"/>
      <c r="AQ1280" s="218"/>
      <c r="AR1280" s="211"/>
    </row>
    <row r="1281">
      <c r="A1281" s="210" t="str">
        <f>IFERROR(__xludf.DUMMYFUNCTION("""COMPUTED_VALUE"""),"c70c93ad")</f>
        <v>c70c93ad</v>
      </c>
      <c r="B1281" s="210" t="str">
        <f>IFERROR(__xludf.DUMMYFUNCTION("""COMPUTED_VALUE"""),"c70c93ad")</f>
        <v>c70c93ad</v>
      </c>
      <c r="C1281" s="213">
        <f>IFERROR(__xludf.DUMMYFUNCTION("""COMPUTED_VALUE"""),45838.461805555555)</f>
        <v>45838.46181</v>
      </c>
      <c r="D1281" s="211" t="str">
        <f>IFERROR(__xludf.DUMMYFUNCTION("""COMPUTED_VALUE"""),"b2b5f2c5")</f>
        <v>b2b5f2c5</v>
      </c>
      <c r="E1281" s="211" t="str">
        <f>IFERROR(__xludf.DUMMYFUNCTION("""COMPUTED_VALUE"""),"Bengkel Las Bpk. Ari")</f>
        <v>Bengkel Las Bpk. Ari</v>
      </c>
      <c r="F1281" s="211" t="str">
        <f>IFERROR(__xludf.DUMMYFUNCTION("""COMPUTED_VALUE"""),"8bdbe149")</f>
        <v>8bdbe149</v>
      </c>
      <c r="G1281" s="211" t="str">
        <f>IFERROR(__xludf.DUMMYFUNCTION("""COMPUTED_VALUE"""),"Oksigen 6m3")</f>
        <v>Oksigen 6m3</v>
      </c>
      <c r="H1281" s="214" t="str">
        <f>IFERROR(__xludf.DUMMYFUNCTION("""COMPUTED_VALUE"""),"IN")</f>
        <v>IN</v>
      </c>
      <c r="I1281" s="214" t="str">
        <f>IFERROR(__xludf.DUMMYFUNCTION("""COMPUTED_VALUE"""),"EMPTY")</f>
        <v>EMPTY</v>
      </c>
      <c r="J1281" s="211">
        <f>IFERROR(__xludf.DUMMYFUNCTION("""COMPUTED_VALUE"""),3.0)</f>
        <v>3</v>
      </c>
      <c r="K1281" s="210" t="str">
        <f>IFERROR(__xludf.DUMMYFUNCTION("""COMPUTED_VALUE"""),"1122 11228 11232")</f>
        <v>1122 11228 11232</v>
      </c>
      <c r="L1281" s="211">
        <f>IFERROR(__xludf.DUMMYFUNCTION("""COMPUTED_VALUE"""),0.0)</f>
        <v>0</v>
      </c>
      <c r="M1281" s="211"/>
      <c r="N1281" s="211"/>
      <c r="O1281" s="211"/>
      <c r="Q1281" s="210" t="str">
        <f>IFERROR(__xludf.DUMMYFUNCTION("""COMPUTED_VALUE"""),"1250595")</f>
        <v>1250595</v>
      </c>
      <c r="R1281" s="210" t="str">
        <f>IFERROR(__xludf.DUMMYFUNCTION("""COMPUTED_VALUE"""),"1250595")</f>
        <v>1250595</v>
      </c>
      <c r="S1281" s="211" t="str">
        <f>IFERROR(__xludf.DUMMYFUNCTION("""COMPUTED_VALUE"""),"e86baf3b")</f>
        <v>e86baf3b</v>
      </c>
      <c r="T1281" s="211" t="str">
        <f>IFERROR(__xludf.DUMMYFUNCTION("""COMPUTED_VALUE"""),"PT GEMILANG CIPTA WAWASAN")</f>
        <v>PT GEMILANG CIPTA WAWASAN</v>
      </c>
      <c r="U1281" s="215">
        <f>IFERROR(__xludf.DUMMYFUNCTION("""COMPUTED_VALUE"""),45916.45773148148)</f>
        <v>45916.45773</v>
      </c>
      <c r="V1281" s="211" t="str">
        <f>IFERROR(__xludf.DUMMYFUNCTION("""COMPUTED_VALUE"""),"JL TEBET RAYA, 2A, TEBET BARAT, TEBET, KOTA ADM, JAKARTA SELATAN, DKI JAKARTA")</f>
        <v>JL TEBET RAYA, 2A, TEBET BARAT, TEBET, KOTA ADM, JAKARTA SELATAN, DKI JAKARTA</v>
      </c>
      <c r="W1281" s="211" t="str">
        <f>IFERROR(__xludf.DUMMYFUNCTION("""COMPUTED_VALUE"""),"IN")</f>
        <v>IN</v>
      </c>
      <c r="X1281" s="211"/>
      <c r="Z1281" s="211" t="str">
        <f>IFERROR(__xludf.DUMMYFUNCTION("""COMPUTED_VALUE"""),"12240156")</f>
        <v>12240156</v>
      </c>
      <c r="AL1281" s="211"/>
      <c r="AM1281" s="211"/>
      <c r="AN1281" s="211"/>
      <c r="AO1281" s="211"/>
      <c r="AP1281" s="215"/>
      <c r="AQ1281" s="218"/>
      <c r="AR1281" s="211"/>
    </row>
    <row r="1282">
      <c r="A1282" s="210" t="str">
        <f>IFERROR(__xludf.DUMMYFUNCTION("""COMPUTED_VALUE"""),"f45a5cc7")</f>
        <v>f45a5cc7</v>
      </c>
      <c r="B1282" s="210" t="str">
        <f>IFERROR(__xludf.DUMMYFUNCTION("""COMPUTED_VALUE"""),"f45a5cc7")</f>
        <v>f45a5cc7</v>
      </c>
      <c r="C1282" s="213">
        <f>IFERROR(__xludf.DUMMYFUNCTION("""COMPUTED_VALUE"""),45838.70486111111)</f>
        <v>45838.70486</v>
      </c>
      <c r="D1282" s="211" t="str">
        <f>IFERROR(__xludf.DUMMYFUNCTION("""COMPUTED_VALUE"""),"103f3ae7")</f>
        <v>103f3ae7</v>
      </c>
      <c r="E1282" s="211" t="str">
        <f>IFERROR(__xludf.DUMMYFUNCTION("""COMPUTED_VALUE"""),"PT ARYANA CAKASANA")</f>
        <v>PT ARYANA CAKASANA</v>
      </c>
      <c r="F1282" s="211" t="str">
        <f>IFERROR(__xludf.DUMMYFUNCTION("""COMPUTED_VALUE"""),"8bdbe149")</f>
        <v>8bdbe149</v>
      </c>
      <c r="G1282" s="211" t="str">
        <f>IFERROR(__xludf.DUMMYFUNCTION("""COMPUTED_VALUE"""),"Oksigen 6m3")</f>
        <v>Oksigen 6m3</v>
      </c>
      <c r="H1282" s="214" t="str">
        <f>IFERROR(__xludf.DUMMYFUNCTION("""COMPUTED_VALUE"""),"IN")</f>
        <v>IN</v>
      </c>
      <c r="I1282" s="214" t="str">
        <f>IFERROR(__xludf.DUMMYFUNCTION("""COMPUTED_VALUE"""),"EMPTY")</f>
        <v>EMPTY</v>
      </c>
      <c r="J1282" s="211">
        <f>IFERROR(__xludf.DUMMYFUNCTION("""COMPUTED_VALUE"""),3.0)</f>
        <v>3</v>
      </c>
      <c r="K1282" s="210" t="str">
        <f>IFERROR(__xludf.DUMMYFUNCTION("""COMPUTED_VALUE"""),"1143 1184 1162")</f>
        <v>1143 1184 1162</v>
      </c>
      <c r="L1282" s="211">
        <f>IFERROR(__xludf.DUMMYFUNCTION("""COMPUTED_VALUE"""),0.0)</f>
        <v>0</v>
      </c>
      <c r="M1282" s="211"/>
      <c r="N1282" s="211"/>
      <c r="O1282" s="211"/>
      <c r="Q1282" s="210" t="str">
        <f>IFERROR(__xludf.DUMMYFUNCTION("""COMPUTED_VALUE"""),"0925111280")</f>
        <v>0925111280</v>
      </c>
      <c r="R1282" s="210" t="str">
        <f>IFERROR(__xludf.DUMMYFUNCTION("""COMPUTED_VALUE"""),"0925111280")</f>
        <v>0925111280</v>
      </c>
      <c r="S1282" s="211" t="str">
        <f>IFERROR(__xludf.DUMMYFUNCTION("""COMPUTED_VALUE"""),"3bcd7fe6")</f>
        <v>3bcd7fe6</v>
      </c>
      <c r="T1282" s="211" t="str">
        <f>IFERROR(__xludf.DUMMYFUNCTION("""COMPUTED_VALUE"""),"Bpk. Alvin (LB Group)")</f>
        <v>Bpk. Alvin (LB Group)</v>
      </c>
      <c r="U1282" s="215">
        <f>IFERROR(__xludf.DUMMYFUNCTION("""COMPUTED_VALUE"""),45917.361226851855)</f>
        <v>45917.36123</v>
      </c>
      <c r="V1282" s="211" t="str">
        <f>IFERROR(__xludf.DUMMYFUNCTION("""COMPUTED_VALUE"""),"MFF9+XHC, Jalan, Tambakrejo, Temuireng, Kec. Dawar Blandong, Kabupaten Mojokerto, Jawa Timur 61354")</f>
        <v>MFF9+XHC, Jalan, Tambakrejo, Temuireng, Kec. Dawar Blandong, Kabupaten Mojokerto, Jawa Timur 61354</v>
      </c>
      <c r="W1282" s="211" t="str">
        <f>IFERROR(__xludf.DUMMYFUNCTION("""COMPUTED_VALUE"""),"OUT")</f>
        <v>OUT</v>
      </c>
      <c r="X1282" s="211"/>
      <c r="Z1282" s="211" t="str">
        <f>IFERROR(__xludf.DUMMYFUNCTION("""COMPUTED_VALUE"""),"12240155")</f>
        <v>12240155</v>
      </c>
      <c r="AL1282" s="211"/>
      <c r="AM1282" s="211"/>
      <c r="AN1282" s="211"/>
      <c r="AO1282" s="211"/>
      <c r="AP1282" s="215"/>
      <c r="AQ1282" s="218"/>
      <c r="AR1282" s="211"/>
    </row>
    <row r="1283">
      <c r="A1283" s="210" t="str">
        <f>IFERROR(__xludf.DUMMYFUNCTION("""COMPUTED_VALUE"""),"07250550")</f>
        <v>07250550</v>
      </c>
      <c r="B1283" s="210" t="str">
        <f>IFERROR(__xludf.DUMMYFUNCTION("""COMPUTED_VALUE"""),"07250550")</f>
        <v>07250550</v>
      </c>
      <c r="C1283" s="213">
        <f>IFERROR(__xludf.DUMMYFUNCTION("""COMPUTED_VALUE"""),45839.368055555555)</f>
        <v>45839.36806</v>
      </c>
      <c r="D1283" s="211" t="str">
        <f>IFERROR(__xludf.DUMMYFUNCTION("""COMPUTED_VALUE"""),"e968afef")</f>
        <v>e968afef</v>
      </c>
      <c r="E1283" s="211" t="str">
        <f>IFERROR(__xludf.DUMMYFUNCTION("""COMPUTED_VALUE"""),"Bpk. Agus")</f>
        <v>Bpk. Agus</v>
      </c>
      <c r="F1283" s="211" t="str">
        <f>IFERROR(__xludf.DUMMYFUNCTION("""COMPUTED_VALUE"""),"8bdbe149")</f>
        <v>8bdbe149</v>
      </c>
      <c r="G1283" s="211" t="str">
        <f>IFERROR(__xludf.DUMMYFUNCTION("""COMPUTED_VALUE"""),"Oksigen 6m3")</f>
        <v>Oksigen 6m3</v>
      </c>
      <c r="H1283" s="214" t="str">
        <f>IFERROR(__xludf.DUMMYFUNCTION("""COMPUTED_VALUE"""),"OUT")</f>
        <v>OUT</v>
      </c>
      <c r="I1283" s="214" t="str">
        <f>IFERROR(__xludf.DUMMYFUNCTION("""COMPUTED_VALUE"""),"NORMAL")</f>
        <v>NORMAL</v>
      </c>
      <c r="J1283" s="211">
        <f>IFERROR(__xludf.DUMMYFUNCTION("""COMPUTED_VALUE"""),5.0)</f>
        <v>5</v>
      </c>
      <c r="K1283" s="210" t="str">
        <f>IFERROR(__xludf.DUMMYFUNCTION("""COMPUTED_VALUE"""),"1192 11196 11232 11115 1127")</f>
        <v>1192 11196 11232 11115 1127</v>
      </c>
      <c r="L1283" s="211">
        <f>IFERROR(__xludf.DUMMYFUNCTION("""COMPUTED_VALUE"""),60000.0)</f>
        <v>60000</v>
      </c>
      <c r="M1283" s="211"/>
      <c r="N1283" s="211"/>
      <c r="O1283" s="211"/>
      <c r="Q1283" s="210" t="str">
        <f>IFERROR(__xludf.DUMMYFUNCTION("""COMPUTED_VALUE"""),"0925201283")</f>
        <v>0925201283</v>
      </c>
      <c r="R1283" s="210" t="str">
        <f>IFERROR(__xludf.DUMMYFUNCTION("""COMPUTED_VALUE"""),"0925201283")</f>
        <v>0925201283</v>
      </c>
      <c r="S1283" s="211" t="str">
        <f>IFERROR(__xludf.DUMMYFUNCTION("""COMPUTED_VALUE"""),"ec231cc9")</f>
        <v>ec231cc9</v>
      </c>
      <c r="T1283" s="211" t="str">
        <f>IFERROR(__xludf.DUMMYFUNCTION("""COMPUTED_VALUE"""),"Bpk. Kohir (Maintenance Velg)")</f>
        <v>Bpk. Kohir (Maintenance Velg)</v>
      </c>
      <c r="U1283" s="215">
        <f>IFERROR(__xludf.DUMMYFUNCTION("""COMPUTED_VALUE"""),45916.68015046296)</f>
        <v>45916.68015</v>
      </c>
      <c r="V1283" s="211" t="str">
        <f>IFERROR(__xludf.DUMMYFUNCTION("""COMPUTED_VALUE"""),"Jl. Lkr. Bypass Krian Timur, Sidogolong, Watugolong, Kec. Krian, Kabupaten Sidoarjo, Jawa Timur 61262")</f>
        <v>Jl. Lkr. Bypass Krian Timur, Sidogolong, Watugolong, Kec. Krian, Kabupaten Sidoarjo, Jawa Timur 61262</v>
      </c>
      <c r="W1283" s="211" t="str">
        <f>IFERROR(__xludf.DUMMYFUNCTION("""COMPUTED_VALUE"""),"OUT")</f>
        <v>OUT</v>
      </c>
      <c r="X1283" s="211"/>
      <c r="Z1283" s="211" t="str">
        <f>IFERROR(__xludf.DUMMYFUNCTION("""COMPUTED_VALUE"""),"12240154")</f>
        <v>12240154</v>
      </c>
      <c r="AL1283" s="211"/>
      <c r="AM1283" s="211"/>
      <c r="AN1283" s="211"/>
      <c r="AO1283" s="211"/>
      <c r="AP1283" s="215"/>
      <c r="AQ1283" s="218"/>
      <c r="AR1283" s="211"/>
    </row>
    <row r="1284">
      <c r="A1284" s="210" t="str">
        <f>IFERROR(__xludf.DUMMYFUNCTION("""COMPUTED_VALUE"""),"07250551")</f>
        <v>07250551</v>
      </c>
      <c r="B1284" s="210" t="str">
        <f>IFERROR(__xludf.DUMMYFUNCTION("""COMPUTED_VALUE"""),"07250551")</f>
        <v>07250551</v>
      </c>
      <c r="C1284" s="213">
        <f>IFERROR(__xludf.DUMMYFUNCTION("""COMPUTED_VALUE"""),45839.36944444444)</f>
        <v>45839.36944</v>
      </c>
      <c r="D1284" s="211" t="str">
        <f>IFERROR(__xludf.DUMMYFUNCTION("""COMPUTED_VALUE"""),"e76bc39c")</f>
        <v>e76bc39c</v>
      </c>
      <c r="E1284" s="211" t="str">
        <f>IFERROR(__xludf.DUMMYFUNCTION("""COMPUTED_VALUE"""),"Bpk. Irul")</f>
        <v>Bpk. Irul</v>
      </c>
      <c r="F1284" s="211" t="str">
        <f>IFERROR(__xludf.DUMMYFUNCTION("""COMPUTED_VALUE"""),"8bdbe149")</f>
        <v>8bdbe149</v>
      </c>
      <c r="G1284" s="211" t="str">
        <f>IFERROR(__xludf.DUMMYFUNCTION("""COMPUTED_VALUE"""),"Oksigen 6m3")</f>
        <v>Oksigen 6m3</v>
      </c>
      <c r="H1284" s="214" t="str">
        <f>IFERROR(__xludf.DUMMYFUNCTION("""COMPUTED_VALUE"""),"OUT")</f>
        <v>OUT</v>
      </c>
      <c r="I1284" s="214" t="str">
        <f>IFERROR(__xludf.DUMMYFUNCTION("""COMPUTED_VALUE"""),"NORMAL")</f>
        <v>NORMAL</v>
      </c>
      <c r="J1284" s="211">
        <f>IFERROR(__xludf.DUMMYFUNCTION("""COMPUTED_VALUE"""),2.0)</f>
        <v>2</v>
      </c>
      <c r="K1284" s="210" t="str">
        <f>IFERROR(__xludf.DUMMYFUNCTION("""COMPUTED_VALUE"""),"11111 1182")</f>
        <v>11111 1182</v>
      </c>
      <c r="L1284" s="211">
        <f>IFERROR(__xludf.DUMMYFUNCTION("""COMPUTED_VALUE"""),65000.0)</f>
        <v>65000</v>
      </c>
      <c r="M1284" s="211"/>
      <c r="N1284" s="211"/>
      <c r="O1284" s="211"/>
      <c r="Q1284" s="210" t="str">
        <f>IFERROR(__xludf.DUMMYFUNCTION("""COMPUTED_VALUE"""),"1250597")</f>
        <v>1250597</v>
      </c>
      <c r="R1284" s="210" t="str">
        <f>IFERROR(__xludf.DUMMYFUNCTION("""COMPUTED_VALUE"""),"1250597")</f>
        <v>1250597</v>
      </c>
      <c r="S1284" s="211" t="str">
        <f>IFERROR(__xludf.DUMMYFUNCTION("""COMPUTED_VALUE"""),"ec231cc9")</f>
        <v>ec231cc9</v>
      </c>
      <c r="T1284" s="211" t="str">
        <f>IFERROR(__xludf.DUMMYFUNCTION("""COMPUTED_VALUE"""),"Bpk. Kohir (Maintenance Velg)")</f>
        <v>Bpk. Kohir (Maintenance Velg)</v>
      </c>
      <c r="U1284" s="215">
        <f>IFERROR(__xludf.DUMMYFUNCTION("""COMPUTED_VALUE"""),45917.365381944444)</f>
        <v>45917.36538</v>
      </c>
      <c r="V1284" s="211" t="str">
        <f>IFERROR(__xludf.DUMMYFUNCTION("""COMPUTED_VALUE"""),"Jl. Lkr. Bypass Krian Timur, Sidogolong, Watugolong, Kec. Krian, Kabupaten Sidoarjo, Jawa Timur 61262")</f>
        <v>Jl. Lkr. Bypass Krian Timur, Sidogolong, Watugolong, Kec. Krian, Kabupaten Sidoarjo, Jawa Timur 61262</v>
      </c>
      <c r="W1284" s="211" t="str">
        <f>IFERROR(__xludf.DUMMYFUNCTION("""COMPUTED_VALUE"""),"IN")</f>
        <v>IN</v>
      </c>
      <c r="X1284" s="211"/>
      <c r="Z1284" s="211" t="str">
        <f>IFERROR(__xludf.DUMMYFUNCTION("""COMPUTED_VALUE"""),"12240153")</f>
        <v>12240153</v>
      </c>
      <c r="AL1284" s="211"/>
      <c r="AM1284" s="211"/>
      <c r="AN1284" s="211"/>
      <c r="AO1284" s="211"/>
      <c r="AP1284" s="215"/>
      <c r="AQ1284" s="218"/>
      <c r="AR1284" s="211"/>
    </row>
    <row r="1285">
      <c r="A1285" s="210" t="str">
        <f>IFERROR(__xludf.DUMMYFUNCTION("""COMPUTED_VALUE"""),"07250552")</f>
        <v>07250552</v>
      </c>
      <c r="B1285" s="210" t="str">
        <f>IFERROR(__xludf.DUMMYFUNCTION("""COMPUTED_VALUE"""),"07250552")</f>
        <v>07250552</v>
      </c>
      <c r="C1285" s="213">
        <f>IFERROR(__xludf.DUMMYFUNCTION("""COMPUTED_VALUE"""),45839.40555555555)</f>
        <v>45839.40556</v>
      </c>
      <c r="D1285" s="211" t="str">
        <f>IFERROR(__xludf.DUMMYFUNCTION("""COMPUTED_VALUE"""),"01158be1")</f>
        <v>01158be1</v>
      </c>
      <c r="E1285" s="211" t="str">
        <f>IFERROR(__xludf.DUMMYFUNCTION("""COMPUTED_VALUE"""),"GYF")</f>
        <v>GYF</v>
      </c>
      <c r="F1285" s="211" t="str">
        <f>IFERROR(__xludf.DUMMYFUNCTION("""COMPUTED_VALUE"""),"8bdbe149")</f>
        <v>8bdbe149</v>
      </c>
      <c r="G1285" s="211" t="str">
        <f>IFERROR(__xludf.DUMMYFUNCTION("""COMPUTED_VALUE"""),"Oksigen 6m3")</f>
        <v>Oksigen 6m3</v>
      </c>
      <c r="H1285" s="214" t="str">
        <f>IFERROR(__xludf.DUMMYFUNCTION("""COMPUTED_VALUE"""),"OUT")</f>
        <v>OUT</v>
      </c>
      <c r="I1285" s="214" t="str">
        <f>IFERROR(__xludf.DUMMYFUNCTION("""COMPUTED_VALUE"""),"NORMAL")</f>
        <v>NORMAL</v>
      </c>
      <c r="J1285" s="211">
        <f>IFERROR(__xludf.DUMMYFUNCTION("""COMPUTED_VALUE"""),15.0)</f>
        <v>15</v>
      </c>
      <c r="K1285" s="210" t="str">
        <f>IFERROR(__xludf.DUMMYFUNCTION("""COMPUTED_VALUE"""),"11152 11157 11148 11138 11142 11149 11228 11269 11188 11129 11234 1122 1125 1101 1193")</f>
        <v>11152 11157 11148 11138 11142 11149 11228 11269 11188 11129 11234 1122 1125 1101 1193</v>
      </c>
      <c r="L1285" s="211">
        <f>IFERROR(__xludf.DUMMYFUNCTION("""COMPUTED_VALUE"""),45000.0)</f>
        <v>45000</v>
      </c>
      <c r="M1285" s="211"/>
      <c r="N1285" s="211"/>
      <c r="O1285" s="211"/>
      <c r="Q1285" s="210" t="str">
        <f>IFERROR(__xludf.DUMMYFUNCTION("""COMPUTED_VALUE"""),"1250598")</f>
        <v>1250598</v>
      </c>
      <c r="R1285" s="210" t="str">
        <f>IFERROR(__xludf.DUMMYFUNCTION("""COMPUTED_VALUE"""),"1250598")</f>
        <v>1250598</v>
      </c>
      <c r="S1285" s="211" t="str">
        <f>IFERROR(__xludf.DUMMYFUNCTION("""COMPUTED_VALUE"""),"3bcd7fe6")</f>
        <v>3bcd7fe6</v>
      </c>
      <c r="T1285" s="211" t="str">
        <f>IFERROR(__xludf.DUMMYFUNCTION("""COMPUTED_VALUE"""),"Bpk. Alvin (LB Group)")</f>
        <v>Bpk. Alvin (LB Group)</v>
      </c>
      <c r="U1285" s="215">
        <f>IFERROR(__xludf.DUMMYFUNCTION("""COMPUTED_VALUE"""),45917.518055555556)</f>
        <v>45917.51806</v>
      </c>
      <c r="V1285" s="211" t="str">
        <f>IFERROR(__xludf.DUMMYFUNCTION("""COMPUTED_VALUE"""),"MFF9+XHC, Jalan, Tambakrejo, Temuireng, Kec. Dawar Blandong, Kabupaten Mojokerto, Jawa Timur 61354")</f>
        <v>MFF9+XHC, Jalan, Tambakrejo, Temuireng, Kec. Dawar Blandong, Kabupaten Mojokerto, Jawa Timur 61354</v>
      </c>
      <c r="W1285" s="211" t="str">
        <f>IFERROR(__xludf.DUMMYFUNCTION("""COMPUTED_VALUE"""),"IN")</f>
        <v>IN</v>
      </c>
      <c r="X1285" s="211"/>
      <c r="Z1285" s="211" t="str">
        <f>IFERROR(__xludf.DUMMYFUNCTION("""COMPUTED_VALUE"""),"12240152")</f>
        <v>12240152</v>
      </c>
      <c r="AL1285" s="211"/>
      <c r="AM1285" s="211"/>
      <c r="AN1285" s="211"/>
      <c r="AO1285" s="211"/>
      <c r="AP1285" s="215"/>
      <c r="AQ1285" s="218"/>
      <c r="AR1285" s="211"/>
    </row>
    <row r="1286">
      <c r="A1286" s="210" t="str">
        <f>IFERROR(__xludf.DUMMYFUNCTION("""COMPUTED_VALUE"""),"68f0d65c")</f>
        <v>68f0d65c</v>
      </c>
      <c r="B1286" s="210" t="str">
        <f>IFERROR(__xludf.DUMMYFUNCTION("""COMPUTED_VALUE"""),"68f0d65c")</f>
        <v>68f0d65c</v>
      </c>
      <c r="C1286" s="213">
        <f>IFERROR(__xludf.DUMMYFUNCTION("""COMPUTED_VALUE"""),45839.48125)</f>
        <v>45839.48125</v>
      </c>
      <c r="D1286" s="211" t="str">
        <f>IFERROR(__xludf.DUMMYFUNCTION("""COMPUTED_VALUE"""),"e968afef")</f>
        <v>e968afef</v>
      </c>
      <c r="E1286" s="211" t="str">
        <f>IFERROR(__xludf.DUMMYFUNCTION("""COMPUTED_VALUE"""),"Bpk. Agus")</f>
        <v>Bpk. Agus</v>
      </c>
      <c r="F1286" s="211" t="str">
        <f>IFERROR(__xludf.DUMMYFUNCTION("""COMPUTED_VALUE"""),"8bdbe149")</f>
        <v>8bdbe149</v>
      </c>
      <c r="G1286" s="211" t="str">
        <f>IFERROR(__xludf.DUMMYFUNCTION("""COMPUTED_VALUE"""),"Oksigen 6m3")</f>
        <v>Oksigen 6m3</v>
      </c>
      <c r="H1286" s="214" t="str">
        <f>IFERROR(__xludf.DUMMYFUNCTION("""COMPUTED_VALUE"""),"IN")</f>
        <v>IN</v>
      </c>
      <c r="I1286" s="214" t="str">
        <f>IFERROR(__xludf.DUMMYFUNCTION("""COMPUTED_VALUE"""),"EMPTY")</f>
        <v>EMPTY</v>
      </c>
      <c r="J1286" s="211">
        <f>IFERROR(__xludf.DUMMYFUNCTION("""COMPUTED_VALUE"""),2.0)</f>
        <v>2</v>
      </c>
      <c r="K1286" s="210" t="str">
        <f>IFERROR(__xludf.DUMMYFUNCTION("""COMPUTED_VALUE"""),"11286 11133")</f>
        <v>11286 11133</v>
      </c>
      <c r="L1286" s="211">
        <f>IFERROR(__xludf.DUMMYFUNCTION("""COMPUTED_VALUE"""),0.0)</f>
        <v>0</v>
      </c>
      <c r="M1286" s="211"/>
      <c r="N1286" s="211"/>
      <c r="O1286" s="211"/>
      <c r="Q1286" s="210" t="str">
        <f>IFERROR(__xludf.DUMMYFUNCTION("""COMPUTED_VALUE"""),"1250599")</f>
        <v>1250599</v>
      </c>
      <c r="R1286" s="210" t="str">
        <f>IFERROR(__xludf.DUMMYFUNCTION("""COMPUTED_VALUE"""),"1250599")</f>
        <v>1250599</v>
      </c>
      <c r="S1286" s="211" t="str">
        <f>IFERROR(__xludf.DUMMYFUNCTION("""COMPUTED_VALUE"""),"ed4307f6")</f>
        <v>ed4307f6</v>
      </c>
      <c r="T1286" s="211" t="str">
        <f>IFERROR(__xludf.DUMMYFUNCTION("""COMPUTED_VALUE"""),"Bpk. Andi (Jetis)")</f>
        <v>Bpk. Andi (Jetis)</v>
      </c>
      <c r="U1286" s="215">
        <f>IFERROR(__xludf.DUMMYFUNCTION("""COMPUTED_VALUE"""),45917.51900462963)</f>
        <v>45917.519</v>
      </c>
      <c r="V1286" s="211" t="str">
        <f>IFERROR(__xludf.DUMMYFUNCTION("""COMPUTED_VALUE"""),"HFH9+P7 Pelabuhan Kidul, Jetis, Kec. Jetis, Kabupaten Mojokerto, Jawa Timur, Indonesia")</f>
        <v>HFH9+P7 Pelabuhan Kidul, Jetis, Kec. Jetis, Kabupaten Mojokerto, Jawa Timur, Indonesia</v>
      </c>
      <c r="W1286" s="211" t="str">
        <f>IFERROR(__xludf.DUMMYFUNCTION("""COMPUTED_VALUE"""),"IN")</f>
        <v>IN</v>
      </c>
      <c r="X1286" s="211"/>
      <c r="Z1286" s="211" t="str">
        <f>IFERROR(__xludf.DUMMYFUNCTION("""COMPUTED_VALUE"""),"12240151")</f>
        <v>12240151</v>
      </c>
      <c r="AL1286" s="211"/>
      <c r="AM1286" s="211"/>
      <c r="AN1286" s="211"/>
      <c r="AO1286" s="211"/>
      <c r="AP1286" s="215"/>
      <c r="AQ1286" s="218"/>
      <c r="AR1286" s="211"/>
    </row>
    <row r="1287">
      <c r="A1287" s="210" t="str">
        <f>IFERROR(__xludf.DUMMYFUNCTION("""COMPUTED_VALUE"""),"f885618d")</f>
        <v>f885618d</v>
      </c>
      <c r="B1287" s="210" t="str">
        <f>IFERROR(__xludf.DUMMYFUNCTION("""COMPUTED_VALUE"""),"f885618d")</f>
        <v>f885618d</v>
      </c>
      <c r="C1287" s="213">
        <f>IFERROR(__xludf.DUMMYFUNCTION("""COMPUTED_VALUE"""),45839.61041666667)</f>
        <v>45839.61042</v>
      </c>
      <c r="D1287" s="211" t="str">
        <f>IFERROR(__xludf.DUMMYFUNCTION("""COMPUTED_VALUE"""),"4bef3bbf")</f>
        <v>4bef3bbf</v>
      </c>
      <c r="E1287" s="211" t="str">
        <f>IFERROR(__xludf.DUMMYFUNCTION("""COMPUTED_VALUE"""),"PT Dingsheng Metal Indonesia (Ngoro)")</f>
        <v>PT Dingsheng Metal Indonesia (Ngoro)</v>
      </c>
      <c r="F1287" s="211" t="str">
        <f>IFERROR(__xludf.DUMMYFUNCTION("""COMPUTED_VALUE"""),"8bdbe149")</f>
        <v>8bdbe149</v>
      </c>
      <c r="G1287" s="211" t="str">
        <f>IFERROR(__xludf.DUMMYFUNCTION("""COMPUTED_VALUE"""),"Oksigen 6m3")</f>
        <v>Oksigen 6m3</v>
      </c>
      <c r="H1287" s="214" t="str">
        <f>IFERROR(__xludf.DUMMYFUNCTION("""COMPUTED_VALUE"""),"IN")</f>
        <v>IN</v>
      </c>
      <c r="I1287" s="214" t="str">
        <f>IFERROR(__xludf.DUMMYFUNCTION("""COMPUTED_VALUE"""),"EMPTY")</f>
        <v>EMPTY</v>
      </c>
      <c r="J1287" s="211">
        <f>IFERROR(__xludf.DUMMYFUNCTION("""COMPUTED_VALUE"""),17.0)</f>
        <v>17</v>
      </c>
      <c r="K1287" s="210" t="str">
        <f>IFERROR(__xludf.DUMMYFUNCTION("""COMPUTED_VALUE"""),"11165 1134 1133 1138 1117 1153 1186 1188 11120 11103 11185 11261 11238 11270 11250 11272 11262")</f>
        <v>11165 1134 1133 1138 1117 1153 1186 1188 11120 11103 11185 11261 11238 11270 11250 11272 11262</v>
      </c>
      <c r="L1287" s="211">
        <f>IFERROR(__xludf.DUMMYFUNCTION("""COMPUTED_VALUE"""),0.0)</f>
        <v>0</v>
      </c>
      <c r="M1287" s="211"/>
      <c r="N1287" s="211"/>
      <c r="O1287" s="211"/>
      <c r="Q1287" s="210" t="str">
        <f>IFERROR(__xludf.DUMMYFUNCTION("""COMPUTED_VALUE"""),"0925291284")</f>
        <v>0925291284</v>
      </c>
      <c r="R1287" s="210" t="str">
        <f>IFERROR(__xludf.DUMMYFUNCTION("""COMPUTED_VALUE"""),"0925291284")</f>
        <v>0925291284</v>
      </c>
      <c r="S1287" s="211" t="str">
        <f>IFERROR(__xludf.DUMMYFUNCTION("""COMPUTED_VALUE"""),"01158be1")</f>
        <v>01158be1</v>
      </c>
      <c r="T1287" s="211" t="str">
        <f>IFERROR(__xludf.DUMMYFUNCTION("""COMPUTED_VALUE"""),"GYF")</f>
        <v>GYF</v>
      </c>
      <c r="U1287" s="215">
        <f>IFERROR(__xludf.DUMMYFUNCTION("""COMPUTED_VALUE"""),45918.38240740741)</f>
        <v>45918.38241</v>
      </c>
      <c r="V1287" s="211" t="str">
        <f>IFERROR(__xludf.DUMMYFUNCTION("""COMPUTED_VALUE"""),"Kangkungan, Lengkong, Kec. Mojoanyar, Kabupaten Mojokerto, Jawa Timur")</f>
        <v>Kangkungan, Lengkong, Kec. Mojoanyar, Kabupaten Mojokerto, Jawa Timur</v>
      </c>
      <c r="W1287" s="211" t="str">
        <f>IFERROR(__xludf.DUMMYFUNCTION("""COMPUTED_VALUE"""),"OUT")</f>
        <v>OUT</v>
      </c>
      <c r="X1287" s="211"/>
      <c r="Z1287" s="211" t="str">
        <f>IFERROR(__xludf.DUMMYFUNCTION("""COMPUTED_VALUE"""),"12240150")</f>
        <v>12240150</v>
      </c>
      <c r="AL1287" s="211"/>
      <c r="AM1287" s="211"/>
      <c r="AN1287" s="211"/>
      <c r="AO1287" s="211"/>
      <c r="AP1287" s="215"/>
      <c r="AQ1287" s="218"/>
      <c r="AR1287" s="211"/>
    </row>
    <row r="1288">
      <c r="A1288" s="210" t="str">
        <f>IFERROR(__xludf.DUMMYFUNCTION("""COMPUTED_VALUE"""),"4f4cb182")</f>
        <v>4f4cb182</v>
      </c>
      <c r="B1288" s="210" t="str">
        <f>IFERROR(__xludf.DUMMYFUNCTION("""COMPUTED_VALUE"""),"4f4cb182")</f>
        <v>4f4cb182</v>
      </c>
      <c r="C1288" s="213">
        <f>IFERROR(__xludf.DUMMYFUNCTION("""COMPUTED_VALUE"""),45839.6125)</f>
        <v>45839.6125</v>
      </c>
      <c r="D1288" s="211" t="str">
        <f>IFERROR(__xludf.DUMMYFUNCTION("""COMPUTED_VALUE"""),"01158be1")</f>
        <v>01158be1</v>
      </c>
      <c r="E1288" s="211" t="str">
        <f>IFERROR(__xludf.DUMMYFUNCTION("""COMPUTED_VALUE"""),"GYF")</f>
        <v>GYF</v>
      </c>
      <c r="F1288" s="211" t="str">
        <f>IFERROR(__xludf.DUMMYFUNCTION("""COMPUTED_VALUE"""),"8bdbe149")</f>
        <v>8bdbe149</v>
      </c>
      <c r="G1288" s="211" t="str">
        <f>IFERROR(__xludf.DUMMYFUNCTION("""COMPUTED_VALUE"""),"Oksigen 6m3")</f>
        <v>Oksigen 6m3</v>
      </c>
      <c r="H1288" s="214" t="str">
        <f>IFERROR(__xludf.DUMMYFUNCTION("""COMPUTED_VALUE"""),"IN")</f>
        <v>IN</v>
      </c>
      <c r="I1288" s="214" t="str">
        <f>IFERROR(__xludf.DUMMYFUNCTION("""COMPUTED_VALUE"""),"EMPTY")</f>
        <v>EMPTY</v>
      </c>
      <c r="J1288" s="211">
        <f>IFERROR(__xludf.DUMMYFUNCTION("""COMPUTED_VALUE"""),16.0)</f>
        <v>16</v>
      </c>
      <c r="K1288" s="210" t="str">
        <f>IFERROR(__xludf.DUMMYFUNCTION("""COMPUTED_VALUE"""),"1190 11190 11117 11251 1131 11186 1113 1198 1141 1121 1148 11280 1196 11245 11248 1108")</f>
        <v>1190 11190 11117 11251 1131 11186 1113 1198 1141 1121 1148 11280 1196 11245 11248 1108</v>
      </c>
      <c r="L1288" s="211">
        <f>IFERROR(__xludf.DUMMYFUNCTION("""COMPUTED_VALUE"""),0.0)</f>
        <v>0</v>
      </c>
      <c r="M1288" s="211"/>
      <c r="N1288" s="211"/>
      <c r="O1288" s="211"/>
      <c r="Q1288" s="210" t="str">
        <f>IFERROR(__xludf.DUMMYFUNCTION("""COMPUTED_VALUE"""),"092511288")</f>
        <v>092511288</v>
      </c>
      <c r="R1288" s="210" t="str">
        <f>IFERROR(__xludf.DUMMYFUNCTION("""COMPUTED_VALUE"""),"092511288")</f>
        <v>092511288</v>
      </c>
      <c r="S1288" s="211" t="str">
        <f>IFERROR(__xludf.DUMMYFUNCTION("""COMPUTED_VALUE"""),"ed4307f6")</f>
        <v>ed4307f6</v>
      </c>
      <c r="T1288" s="211" t="str">
        <f>IFERROR(__xludf.DUMMYFUNCTION("""COMPUTED_VALUE"""),"Bpk. Andi (Jetis)")</f>
        <v>Bpk. Andi (Jetis)</v>
      </c>
      <c r="U1288" s="215">
        <f>IFERROR(__xludf.DUMMYFUNCTION("""COMPUTED_VALUE"""),45918.368310185186)</f>
        <v>45918.36831</v>
      </c>
      <c r="V1288" s="211" t="str">
        <f>IFERROR(__xludf.DUMMYFUNCTION("""COMPUTED_VALUE"""),"HFH9+P7 Pelabuhan Kidul, Jetis, Kec. Jetis, Kabupaten Mojokerto, Jawa Timur, Indonesia")</f>
        <v>HFH9+P7 Pelabuhan Kidul, Jetis, Kec. Jetis, Kabupaten Mojokerto, Jawa Timur, Indonesia</v>
      </c>
      <c r="W1288" s="211" t="str">
        <f>IFERROR(__xludf.DUMMYFUNCTION("""COMPUTED_VALUE"""),"OUT")</f>
        <v>OUT</v>
      </c>
      <c r="X1288" s="211"/>
      <c r="Z1288" s="211" t="str">
        <f>IFERROR(__xludf.DUMMYFUNCTION("""COMPUTED_VALUE"""),"12240149")</f>
        <v>12240149</v>
      </c>
      <c r="AL1288" s="211"/>
      <c r="AM1288" s="211"/>
      <c r="AN1288" s="211"/>
      <c r="AO1288" s="211"/>
      <c r="AP1288" s="215"/>
      <c r="AQ1288" s="218"/>
      <c r="AR1288" s="211"/>
    </row>
    <row r="1289">
      <c r="A1289" s="210" t="str">
        <f>IFERROR(__xludf.DUMMYFUNCTION("""COMPUTED_VALUE"""),"f27f601a")</f>
        <v>f27f601a</v>
      </c>
      <c r="B1289" s="210" t="str">
        <f>IFERROR(__xludf.DUMMYFUNCTION("""COMPUTED_VALUE"""),"f27f601a")</f>
        <v>f27f601a</v>
      </c>
      <c r="C1289" s="213">
        <f>IFERROR(__xludf.DUMMYFUNCTION("""COMPUTED_VALUE"""),45839.84861111111)</f>
        <v>45839.84861</v>
      </c>
      <c r="D1289" s="211" t="str">
        <f>IFERROR(__xludf.DUMMYFUNCTION("""COMPUTED_VALUE"""),"06d600f6")</f>
        <v>06d600f6</v>
      </c>
      <c r="E1289" s="211" t="str">
        <f>IFERROR(__xludf.DUMMYFUNCTION("""COMPUTED_VALUE"""),"Ibu Ida")</f>
        <v>Ibu Ida</v>
      </c>
      <c r="F1289" s="211" t="str">
        <f>IFERROR(__xludf.DUMMYFUNCTION("""COMPUTED_VALUE"""),"f6aab7a9")</f>
        <v>f6aab7a9</v>
      </c>
      <c r="G1289" s="211" t="str">
        <f>IFERROR(__xludf.DUMMYFUNCTION("""COMPUTED_VALUE"""),"Oksigen 6m3 MR")</f>
        <v>Oksigen 6m3 MR</v>
      </c>
      <c r="H1289" s="214" t="str">
        <f>IFERROR(__xludf.DUMMYFUNCTION("""COMPUTED_VALUE"""),"IN")</f>
        <v>IN</v>
      </c>
      <c r="I1289" s="214" t="str">
        <f>IFERROR(__xludf.DUMMYFUNCTION("""COMPUTED_VALUE"""),"EMPTY")</f>
        <v>EMPTY</v>
      </c>
      <c r="J1289" s="211">
        <f>IFERROR(__xludf.DUMMYFUNCTION("""COMPUTED_VALUE"""),5.0)</f>
        <v>5</v>
      </c>
      <c r="K1289" s="211"/>
      <c r="L1289" s="211">
        <f>IFERROR(__xludf.DUMMYFUNCTION("""COMPUTED_VALUE"""),0.0)</f>
        <v>0</v>
      </c>
      <c r="M1289" s="211"/>
      <c r="N1289" s="211"/>
      <c r="O1289" s="211"/>
      <c r="Q1289" s="210" t="str">
        <f>IFERROR(__xludf.DUMMYFUNCTION("""COMPUTED_VALUE"""),"1250600")</f>
        <v>1250600</v>
      </c>
      <c r="R1289" s="210" t="str">
        <f>IFERROR(__xludf.DUMMYFUNCTION("""COMPUTED_VALUE"""),"1250600")</f>
        <v>1250600</v>
      </c>
      <c r="S1289" s="211" t="str">
        <f>IFERROR(__xludf.DUMMYFUNCTION("""COMPUTED_VALUE"""),"b218b89b")</f>
        <v>b218b89b</v>
      </c>
      <c r="T1289" s="211" t="str">
        <f>IFERROR(__xludf.DUMMYFUNCTION("""COMPUTED_VALUE"""),"PT Harapan Sentosa")</f>
        <v>PT Harapan Sentosa</v>
      </c>
      <c r="U1289" s="215">
        <f>IFERROR(__xludf.DUMMYFUNCTION("""COMPUTED_VALUE"""),45918.35894675926)</f>
        <v>45918.35895</v>
      </c>
      <c r="V1289" s="211" t="str">
        <f>IFERROR(__xludf.DUMMYFUNCTION("""COMPUTED_VALUE"""),"Seketi, Jl. Purboyo II Selatan, RT.02/RW.02, Seketi, Kec. BalongBendo, Kabupaten Sidoarjo, Jawa Timur 61263")</f>
        <v>Seketi, Jl. Purboyo II Selatan, RT.02/RW.02, Seketi, Kec. BalongBendo, Kabupaten Sidoarjo, Jawa Timur 61263</v>
      </c>
      <c r="W1289" s="211" t="str">
        <f>IFERROR(__xludf.DUMMYFUNCTION("""COMPUTED_VALUE"""),"IN")</f>
        <v>IN</v>
      </c>
      <c r="X1289" s="211"/>
      <c r="Z1289" s="211" t="str">
        <f>IFERROR(__xludf.DUMMYFUNCTION("""COMPUTED_VALUE"""),"12240148")</f>
        <v>12240148</v>
      </c>
      <c r="AL1289" s="211"/>
      <c r="AM1289" s="211"/>
      <c r="AN1289" s="211"/>
      <c r="AO1289" s="211"/>
      <c r="AP1289" s="215"/>
      <c r="AQ1289" s="218"/>
      <c r="AR1289" s="211"/>
    </row>
    <row r="1290">
      <c r="A1290" s="210" t="str">
        <f>IFERROR(__xludf.DUMMYFUNCTION("""COMPUTED_VALUE"""),"07250553")</f>
        <v>07250553</v>
      </c>
      <c r="B1290" s="210" t="str">
        <f>IFERROR(__xludf.DUMMYFUNCTION("""COMPUTED_VALUE"""),"07250553")</f>
        <v>07250553</v>
      </c>
      <c r="C1290" s="213">
        <f>IFERROR(__xludf.DUMMYFUNCTION("""COMPUTED_VALUE"""),45840.34861111111)</f>
        <v>45840.34861</v>
      </c>
      <c r="D1290" s="211" t="str">
        <f>IFERROR(__xludf.DUMMYFUNCTION("""COMPUTED_VALUE"""),"06d600f6")</f>
        <v>06d600f6</v>
      </c>
      <c r="E1290" s="211" t="str">
        <f>IFERROR(__xludf.DUMMYFUNCTION("""COMPUTED_VALUE"""),"Ibu Ida")</f>
        <v>Ibu Ida</v>
      </c>
      <c r="F1290" s="211" t="str">
        <f>IFERROR(__xludf.DUMMYFUNCTION("""COMPUTED_VALUE"""),"f6aab7a9")</f>
        <v>f6aab7a9</v>
      </c>
      <c r="G1290" s="211" t="str">
        <f>IFERROR(__xludf.DUMMYFUNCTION("""COMPUTED_VALUE"""),"Oksigen 6m3 MR")</f>
        <v>Oksigen 6m3 MR</v>
      </c>
      <c r="H1290" s="214" t="str">
        <f>IFERROR(__xludf.DUMMYFUNCTION("""COMPUTED_VALUE"""),"OUT")</f>
        <v>OUT</v>
      </c>
      <c r="I1290" s="214" t="str">
        <f>IFERROR(__xludf.DUMMYFUNCTION("""COMPUTED_VALUE"""),"NORMAL")</f>
        <v>NORMAL</v>
      </c>
      <c r="J1290" s="211">
        <f>IFERROR(__xludf.DUMMYFUNCTION("""COMPUTED_VALUE"""),4.0)</f>
        <v>4</v>
      </c>
      <c r="K1290" s="211"/>
      <c r="L1290" s="211">
        <f>IFERROR(__xludf.DUMMYFUNCTION("""COMPUTED_VALUE"""),50000.0)</f>
        <v>50000</v>
      </c>
      <c r="M1290" s="211"/>
      <c r="N1290" s="211"/>
      <c r="O1290" s="211"/>
      <c r="Q1290" s="210" t="str">
        <f>IFERROR(__xludf.DUMMYFUNCTION("""COMPUTED_VALUE"""),"0925371289")</f>
        <v>0925371289</v>
      </c>
      <c r="R1290" s="210" t="str">
        <f>IFERROR(__xludf.DUMMYFUNCTION("""COMPUTED_VALUE"""),"0925371289")</f>
        <v>0925371289</v>
      </c>
      <c r="S1290" s="211" t="str">
        <f>IFERROR(__xludf.DUMMYFUNCTION("""COMPUTED_VALUE"""),"785e0e07")</f>
        <v>785e0e07</v>
      </c>
      <c r="T1290" s="211" t="str">
        <f>IFERROR(__xludf.DUMMYFUNCTION("""COMPUTED_VALUE"""),"Bpk. Sukirno (Bejo)")</f>
        <v>Bpk. Sukirno (Bejo)</v>
      </c>
      <c r="U1290" s="215">
        <f>IFERROR(__xludf.DUMMYFUNCTION("""COMPUTED_VALUE"""),45918.36730324074)</f>
        <v>45918.3673</v>
      </c>
      <c r="V1290" s="211" t="str">
        <f>IFERROR(__xludf.DUMMYFUNCTION("""COMPUTED_VALUE"""),"Krajan I, Wringinanom, Kec. Wringinanom, Kabupaten Gresik, Jawa Timur 61176")</f>
        <v>Krajan I, Wringinanom, Kec. Wringinanom, Kabupaten Gresik, Jawa Timur 61176</v>
      </c>
      <c r="W1290" s="211" t="str">
        <f>IFERROR(__xludf.DUMMYFUNCTION("""COMPUTED_VALUE"""),"OUT")</f>
        <v>OUT</v>
      </c>
      <c r="X1290" s="211"/>
      <c r="Z1290" s="211" t="str">
        <f>IFERROR(__xludf.DUMMYFUNCTION("""COMPUTED_VALUE"""),"12240147")</f>
        <v>12240147</v>
      </c>
      <c r="AL1290" s="211"/>
      <c r="AM1290" s="211"/>
      <c r="AN1290" s="211"/>
      <c r="AO1290" s="211"/>
      <c r="AP1290" s="215"/>
      <c r="AQ1290" s="218"/>
      <c r="AR1290" s="211"/>
    </row>
    <row r="1291">
      <c r="A1291" s="210" t="str">
        <f>IFERROR(__xludf.DUMMYFUNCTION("""COMPUTED_VALUE"""),"07250554")</f>
        <v>07250554</v>
      </c>
      <c r="B1291" s="210" t="str">
        <f>IFERROR(__xludf.DUMMYFUNCTION("""COMPUTED_VALUE"""),"07250554")</f>
        <v>07250554</v>
      </c>
      <c r="C1291" s="213">
        <f>IFERROR(__xludf.DUMMYFUNCTION("""COMPUTED_VALUE"""),45840.51180555556)</f>
        <v>45840.51181</v>
      </c>
      <c r="D1291" s="211" t="str">
        <f>IFERROR(__xludf.DUMMYFUNCTION("""COMPUTED_VALUE"""),"182fb0fe")</f>
        <v>182fb0fe</v>
      </c>
      <c r="E1291" s="211" t="str">
        <f>IFERROR(__xludf.DUMMYFUNCTION("""COMPUTED_VALUE"""),"PT Amtech")</f>
        <v>PT Amtech</v>
      </c>
      <c r="F1291" s="211" t="str">
        <f>IFERROR(__xludf.DUMMYFUNCTION("""COMPUTED_VALUE"""),"8bdbe149")</f>
        <v>8bdbe149</v>
      </c>
      <c r="G1291" s="211" t="str">
        <f>IFERROR(__xludf.DUMMYFUNCTION("""COMPUTED_VALUE"""),"Oksigen 6m3")</f>
        <v>Oksigen 6m3</v>
      </c>
      <c r="H1291" s="214" t="str">
        <f>IFERROR(__xludf.DUMMYFUNCTION("""COMPUTED_VALUE"""),"OUT")</f>
        <v>OUT</v>
      </c>
      <c r="I1291" s="214" t="str">
        <f>IFERROR(__xludf.DUMMYFUNCTION("""COMPUTED_VALUE"""),"NORMAL")</f>
        <v>NORMAL</v>
      </c>
      <c r="J1291" s="211">
        <f>IFERROR(__xludf.DUMMYFUNCTION("""COMPUTED_VALUE"""),5.0)</f>
        <v>5</v>
      </c>
      <c r="K1291" s="210" t="str">
        <f>IFERROR(__xludf.DUMMYFUNCTION("""COMPUTED_VALUE"""),"11262 11190 11185 11286 1196")</f>
        <v>11262 11190 11185 11286 1196</v>
      </c>
      <c r="L1291" s="211">
        <f>IFERROR(__xludf.DUMMYFUNCTION("""COMPUTED_VALUE"""),60000.0)</f>
        <v>60000</v>
      </c>
      <c r="M1291" s="211"/>
      <c r="N1291" s="211"/>
      <c r="O1291" s="211"/>
      <c r="Q1291" s="211"/>
      <c r="R1291" s="211"/>
      <c r="S1291" s="211"/>
      <c r="T1291" s="211"/>
      <c r="U1291" s="211"/>
      <c r="V1291" s="211"/>
      <c r="W1291" s="211"/>
      <c r="X1291" s="211"/>
      <c r="Z1291" s="211" t="str">
        <f>IFERROR(__xludf.DUMMYFUNCTION("""COMPUTED_VALUE"""),"12240143")</f>
        <v>12240143</v>
      </c>
      <c r="AL1291" s="211"/>
      <c r="AM1291" s="211"/>
      <c r="AN1291" s="211"/>
      <c r="AO1291" s="211"/>
      <c r="AP1291" s="215"/>
      <c r="AQ1291" s="218"/>
      <c r="AR1291" s="211"/>
    </row>
    <row r="1292">
      <c r="A1292" s="210" t="str">
        <f>IFERROR(__xludf.DUMMYFUNCTION("""COMPUTED_VALUE"""),"bfe223d7")</f>
        <v>bfe223d7</v>
      </c>
      <c r="B1292" s="210" t="str">
        <f>IFERROR(__xludf.DUMMYFUNCTION("""COMPUTED_VALUE"""),"bfe223d7")</f>
        <v>bfe223d7</v>
      </c>
      <c r="C1292" s="213">
        <f>IFERROR(__xludf.DUMMYFUNCTION("""COMPUTED_VALUE"""),45821.69583333333)</f>
        <v>45821.69583</v>
      </c>
      <c r="D1292" s="211" t="str">
        <f>IFERROR(__xludf.DUMMYFUNCTION("""COMPUTED_VALUE"""),"8f5ebaea")</f>
        <v>8f5ebaea</v>
      </c>
      <c r="E1292" s="211" t="str">
        <f>IFERROR(__xludf.DUMMYFUNCTION("""COMPUTED_VALUE"""),"PT Hua Zong Mesindo")</f>
        <v>PT Hua Zong Mesindo</v>
      </c>
      <c r="F1292" s="211" t="str">
        <f>IFERROR(__xludf.DUMMYFUNCTION("""COMPUTED_VALUE"""),"ef306e54")</f>
        <v>ef306e54</v>
      </c>
      <c r="G1292" s="211" t="str">
        <f>IFERROR(__xludf.DUMMYFUNCTION("""COMPUTED_VALUE"""),"Karbondioksida")</f>
        <v>Karbondioksida</v>
      </c>
      <c r="H1292" s="214" t="str">
        <f>IFERROR(__xludf.DUMMYFUNCTION("""COMPUTED_VALUE"""),"IN")</f>
        <v>IN</v>
      </c>
      <c r="I1292" s="214" t="str">
        <f>IFERROR(__xludf.DUMMYFUNCTION("""COMPUTED_VALUE"""),"EMPTY")</f>
        <v>EMPTY</v>
      </c>
      <c r="J1292" s="211">
        <f>IFERROR(__xludf.DUMMYFUNCTION("""COMPUTED_VALUE"""),1.0)</f>
        <v>1</v>
      </c>
      <c r="K1292" s="210" t="str">
        <f>IFERROR(__xludf.DUMMYFUNCTION("""COMPUTED_VALUE"""),"13001")</f>
        <v>13001</v>
      </c>
      <c r="L1292" s="211">
        <f>IFERROR(__xludf.DUMMYFUNCTION("""COMPUTED_VALUE"""),0.0)</f>
        <v>0</v>
      </c>
      <c r="M1292" s="211"/>
      <c r="N1292" s="211"/>
      <c r="O1292" s="211"/>
      <c r="Q1292" s="210" t="str">
        <f>IFERROR(__xludf.DUMMYFUNCTION("""COMPUTED_VALUE"""),"092581291")</f>
        <v>092581291</v>
      </c>
      <c r="R1292" s="210" t="str">
        <f>IFERROR(__xludf.DUMMYFUNCTION("""COMPUTED_VALUE"""),"092581291")</f>
        <v>092581291</v>
      </c>
      <c r="S1292" s="211" t="str">
        <f>IFERROR(__xludf.DUMMYFUNCTION("""COMPUTED_VALUE"""),"e968afef")</f>
        <v>e968afef</v>
      </c>
      <c r="T1292" s="211" t="str">
        <f>IFERROR(__xludf.DUMMYFUNCTION("""COMPUTED_VALUE"""),"Bpk. Agus")</f>
        <v>Bpk. Agus</v>
      </c>
      <c r="U1292" s="215">
        <f>IFERROR(__xludf.DUMMYFUNCTION("""COMPUTED_VALUE"""),45918.37185185185)</f>
        <v>45918.37185</v>
      </c>
      <c r="V1292" s="211" t="str">
        <f>IFERROR(__xludf.DUMMYFUNCTION("""COMPUTED_VALUE"""),"Jl. Parengan 13, Semawut, Balongbendo, Kec. BalongBendo, Kabupaten Sidoarjo, Jawa Timur 61263")</f>
        <v>Jl. Parengan 13, Semawut, Balongbendo, Kec. BalongBendo, Kabupaten Sidoarjo, Jawa Timur 61263</v>
      </c>
      <c r="W1292" s="211" t="str">
        <f>IFERROR(__xludf.DUMMYFUNCTION("""COMPUTED_VALUE"""),"OUT")</f>
        <v>OUT</v>
      </c>
      <c r="X1292" s="211"/>
      <c r="Z1292" s="211" t="str">
        <f>IFERROR(__xludf.DUMMYFUNCTION("""COMPUTED_VALUE"""),"12240145")</f>
        <v>12240145</v>
      </c>
      <c r="AL1292" s="211"/>
      <c r="AM1292" s="211"/>
      <c r="AN1292" s="211"/>
      <c r="AO1292" s="211"/>
      <c r="AP1292" s="215"/>
      <c r="AQ1292" s="218"/>
      <c r="AR1292" s="211"/>
    </row>
    <row r="1293">
      <c r="A1293" s="210" t="str">
        <f>IFERROR(__xludf.DUMMYFUNCTION("""COMPUTED_VALUE"""),"c5bcb5a3")</f>
        <v>c5bcb5a3</v>
      </c>
      <c r="B1293" s="210" t="str">
        <f>IFERROR(__xludf.DUMMYFUNCTION("""COMPUTED_VALUE"""),"c5bcb5a3")</f>
        <v>c5bcb5a3</v>
      </c>
      <c r="C1293" s="213">
        <f>IFERROR(__xludf.DUMMYFUNCTION("""COMPUTED_VALUE"""),45840.540972222225)</f>
        <v>45840.54097</v>
      </c>
      <c r="D1293" s="211" t="str">
        <f>IFERROR(__xludf.DUMMYFUNCTION("""COMPUTED_VALUE"""),"b218b89b")</f>
        <v>b218b89b</v>
      </c>
      <c r="E1293" s="211" t="str">
        <f>IFERROR(__xludf.DUMMYFUNCTION("""COMPUTED_VALUE"""),"PT Harapan Sentosa")</f>
        <v>PT Harapan Sentosa</v>
      </c>
      <c r="F1293" s="211" t="str">
        <f>IFERROR(__xludf.DUMMYFUNCTION("""COMPUTED_VALUE"""),"ef306e54")</f>
        <v>ef306e54</v>
      </c>
      <c r="G1293" s="211" t="str">
        <f>IFERROR(__xludf.DUMMYFUNCTION("""COMPUTED_VALUE"""),"Karbondioksida")</f>
        <v>Karbondioksida</v>
      </c>
      <c r="H1293" s="214" t="str">
        <f>IFERROR(__xludf.DUMMYFUNCTION("""COMPUTED_VALUE"""),"IN")</f>
        <v>IN</v>
      </c>
      <c r="I1293" s="214" t="str">
        <f>IFERROR(__xludf.DUMMYFUNCTION("""COMPUTED_VALUE"""),"EMPTY")</f>
        <v>EMPTY</v>
      </c>
      <c r="J1293" s="211">
        <f>IFERROR(__xludf.DUMMYFUNCTION("""COMPUTED_VALUE"""),2.0)</f>
        <v>2</v>
      </c>
      <c r="K1293" s="210" t="str">
        <f>IFERROR(__xludf.DUMMYFUNCTION("""COMPUTED_VALUE"""),"13015 13003")</f>
        <v>13015 13003</v>
      </c>
      <c r="L1293" s="211">
        <f>IFERROR(__xludf.DUMMYFUNCTION("""COMPUTED_VALUE"""),0.0)</f>
        <v>0</v>
      </c>
      <c r="M1293" s="211"/>
      <c r="N1293" s="211"/>
      <c r="O1293" s="211"/>
      <c r="Q1293" s="211"/>
      <c r="R1293" s="211"/>
      <c r="S1293" s="211"/>
      <c r="T1293" s="211"/>
      <c r="U1293" s="211"/>
      <c r="V1293" s="211"/>
      <c r="W1293" s="211"/>
      <c r="X1293" s="211"/>
      <c r="Z1293" s="211" t="str">
        <f>IFERROR(__xludf.DUMMYFUNCTION("""COMPUTED_VALUE"""),"12240146")</f>
        <v>12240146</v>
      </c>
      <c r="AL1293" s="211"/>
      <c r="AM1293" s="211"/>
      <c r="AN1293" s="211"/>
      <c r="AO1293" s="211"/>
      <c r="AP1293" s="215"/>
      <c r="AQ1293" s="218"/>
      <c r="AR1293" s="211"/>
    </row>
    <row r="1294">
      <c r="A1294" s="210" t="str">
        <f>IFERROR(__xludf.DUMMYFUNCTION("""COMPUTED_VALUE"""),"07250555")</f>
        <v>07250555</v>
      </c>
      <c r="B1294" s="210" t="str">
        <f>IFERROR(__xludf.DUMMYFUNCTION("""COMPUTED_VALUE"""),"07250555")</f>
        <v>07250555</v>
      </c>
      <c r="C1294" s="213">
        <f>IFERROR(__xludf.DUMMYFUNCTION("""COMPUTED_VALUE"""),45841.34583333333)</f>
        <v>45841.34583</v>
      </c>
      <c r="D1294" s="211" t="str">
        <f>IFERROR(__xludf.DUMMYFUNCTION("""COMPUTED_VALUE"""),"8f5ebaea")</f>
        <v>8f5ebaea</v>
      </c>
      <c r="E1294" s="211" t="str">
        <f>IFERROR(__xludf.DUMMYFUNCTION("""COMPUTED_VALUE"""),"PT Hua Zong Mesindo")</f>
        <v>PT Hua Zong Mesindo</v>
      </c>
      <c r="F1294" s="211" t="str">
        <f>IFERROR(__xludf.DUMMYFUNCTION("""COMPUTED_VALUE"""),"8bdbe149")</f>
        <v>8bdbe149</v>
      </c>
      <c r="G1294" s="211" t="str">
        <f>IFERROR(__xludf.DUMMYFUNCTION("""COMPUTED_VALUE"""),"Oksigen 6m3")</f>
        <v>Oksigen 6m3</v>
      </c>
      <c r="H1294" s="214" t="str">
        <f>IFERROR(__xludf.DUMMYFUNCTION("""COMPUTED_VALUE"""),"OUT")</f>
        <v>OUT</v>
      </c>
      <c r="I1294" s="214" t="str">
        <f>IFERROR(__xludf.DUMMYFUNCTION("""COMPUTED_VALUE"""),"NORMAL")</f>
        <v>NORMAL</v>
      </c>
      <c r="J1294" s="211">
        <f>IFERROR(__xludf.DUMMYFUNCTION("""COMPUTED_VALUE"""),4.0)</f>
        <v>4</v>
      </c>
      <c r="K1294" s="210" t="str">
        <f>IFERROR(__xludf.DUMMYFUNCTION("""COMPUTED_VALUE"""),"1138 11280 1190 1186")</f>
        <v>1138 11280 1190 1186</v>
      </c>
      <c r="L1294" s="211">
        <f>IFERROR(__xludf.DUMMYFUNCTION("""COMPUTED_VALUE"""),60000.0)</f>
        <v>60000</v>
      </c>
      <c r="M1294" s="211"/>
      <c r="N1294" s="211"/>
      <c r="O1294" s="211"/>
      <c r="Q1294" s="211"/>
      <c r="R1294" s="211"/>
      <c r="S1294" s="211"/>
      <c r="T1294" s="211"/>
      <c r="U1294" s="211"/>
      <c r="V1294" s="211"/>
      <c r="W1294" s="211"/>
      <c r="X1294" s="211"/>
      <c r="Z1294" s="211" t="str">
        <f>IFERROR(__xludf.DUMMYFUNCTION("""COMPUTED_VALUE"""),"12240142")</f>
        <v>12240142</v>
      </c>
      <c r="AL1294" s="211"/>
      <c r="AM1294" s="211"/>
      <c r="AN1294" s="211"/>
      <c r="AO1294" s="211"/>
      <c r="AP1294" s="215"/>
      <c r="AQ1294" s="218"/>
      <c r="AR1294" s="211"/>
    </row>
    <row r="1295">
      <c r="A1295" s="210" t="str">
        <f>IFERROR(__xludf.DUMMYFUNCTION("""COMPUTED_VALUE"""),"07250555")</f>
        <v>07250555</v>
      </c>
      <c r="B1295" s="210" t="str">
        <f>IFERROR(__xludf.DUMMYFUNCTION("""COMPUTED_VALUE"""),"07250555")</f>
        <v>07250555</v>
      </c>
      <c r="C1295" s="213">
        <f>IFERROR(__xludf.DUMMYFUNCTION("""COMPUTED_VALUE"""),45841.34583333333)</f>
        <v>45841.34583</v>
      </c>
      <c r="D1295" s="211" t="str">
        <f>IFERROR(__xludf.DUMMYFUNCTION("""COMPUTED_VALUE"""),"8f5ebaea")</f>
        <v>8f5ebaea</v>
      </c>
      <c r="E1295" s="211" t="str">
        <f>IFERROR(__xludf.DUMMYFUNCTION("""COMPUTED_VALUE"""),"PT Hua Zong Mesindo")</f>
        <v>PT Hua Zong Mesindo</v>
      </c>
      <c r="F1295" s="211" t="str">
        <f>IFERROR(__xludf.DUMMYFUNCTION("""COMPUTED_VALUE"""),"ef306e54")</f>
        <v>ef306e54</v>
      </c>
      <c r="G1295" s="211" t="str">
        <f>IFERROR(__xludf.DUMMYFUNCTION("""COMPUTED_VALUE"""),"Karbondioksida")</f>
        <v>Karbondioksida</v>
      </c>
      <c r="H1295" s="214" t="str">
        <f>IFERROR(__xludf.DUMMYFUNCTION("""COMPUTED_VALUE"""),"OUT")</f>
        <v>OUT</v>
      </c>
      <c r="I1295" s="214" t="str">
        <f>IFERROR(__xludf.DUMMYFUNCTION("""COMPUTED_VALUE"""),"NORMAL")</f>
        <v>NORMAL</v>
      </c>
      <c r="J1295" s="211">
        <f>IFERROR(__xludf.DUMMYFUNCTION("""COMPUTED_VALUE"""),2.0)</f>
        <v>2</v>
      </c>
      <c r="K1295" s="210" t="str">
        <f>IFERROR(__xludf.DUMMYFUNCTION("""COMPUTED_VALUE"""),"13018 13002")</f>
        <v>13018 13002</v>
      </c>
      <c r="L1295" s="211">
        <f>IFERROR(__xludf.DUMMYFUNCTION("""COMPUTED_VALUE"""),160000.0)</f>
        <v>160000</v>
      </c>
      <c r="M1295" s="211"/>
      <c r="N1295" s="211"/>
      <c r="O1295" s="211"/>
      <c r="Q1295" s="210" t="str">
        <f>IFERROR(__xludf.DUMMYFUNCTION("""COMPUTED_VALUE"""),"1250601")</f>
        <v>1250601</v>
      </c>
      <c r="R1295" s="210" t="str">
        <f>IFERROR(__xludf.DUMMYFUNCTION("""COMPUTED_VALUE"""),"1250601")</f>
        <v>1250601</v>
      </c>
      <c r="S1295" s="211" t="str">
        <f>IFERROR(__xludf.DUMMYFUNCTION("""COMPUTED_VALUE"""),"01158be1")</f>
        <v>01158be1</v>
      </c>
      <c r="T1295" s="211" t="str">
        <f>IFERROR(__xludf.DUMMYFUNCTION("""COMPUTED_VALUE"""),"GYF")</f>
        <v>GYF</v>
      </c>
      <c r="U1295" s="215">
        <f>IFERROR(__xludf.DUMMYFUNCTION("""COMPUTED_VALUE"""),45918.43210648148)</f>
        <v>45918.43211</v>
      </c>
      <c r="V1295" s="211" t="str">
        <f>IFERROR(__xludf.DUMMYFUNCTION("""COMPUTED_VALUE"""),"Kangkungan, Lengkong, Kec. Mojoanyar, Kabupaten Mojokerto, Jawa Timur")</f>
        <v>Kangkungan, Lengkong, Kec. Mojoanyar, Kabupaten Mojokerto, Jawa Timur</v>
      </c>
      <c r="W1295" s="211" t="str">
        <f>IFERROR(__xludf.DUMMYFUNCTION("""COMPUTED_VALUE"""),"IN")</f>
        <v>IN</v>
      </c>
      <c r="X1295" s="211"/>
      <c r="Z1295" s="211" t="str">
        <f>IFERROR(__xludf.DUMMYFUNCTION("""COMPUTED_VALUE"""),"12240139")</f>
        <v>12240139</v>
      </c>
      <c r="AL1295" s="211"/>
      <c r="AM1295" s="211"/>
      <c r="AN1295" s="211"/>
      <c r="AO1295" s="211"/>
      <c r="AP1295" s="215"/>
      <c r="AQ1295" s="218"/>
      <c r="AR1295" s="211"/>
    </row>
    <row r="1296">
      <c r="A1296" s="210" t="str">
        <f>IFERROR(__xludf.DUMMYFUNCTION("""COMPUTED_VALUE"""),"07250555")</f>
        <v>07250555</v>
      </c>
      <c r="B1296" s="210" t="str">
        <f>IFERROR(__xludf.DUMMYFUNCTION("""COMPUTED_VALUE"""),"07250555")</f>
        <v>07250555</v>
      </c>
      <c r="C1296" s="213">
        <f>IFERROR(__xludf.DUMMYFUNCTION("""COMPUTED_VALUE"""),45841.34652777778)</f>
        <v>45841.34653</v>
      </c>
      <c r="D1296" s="211" t="str">
        <f>IFERROR(__xludf.DUMMYFUNCTION("""COMPUTED_VALUE"""),"8f5ebaea")</f>
        <v>8f5ebaea</v>
      </c>
      <c r="E1296" s="211" t="str">
        <f>IFERROR(__xludf.DUMMYFUNCTION("""COMPUTED_VALUE"""),"PT Hua Zong Mesindo")</f>
        <v>PT Hua Zong Mesindo</v>
      </c>
      <c r="F1296" s="211" t="str">
        <f>IFERROR(__xludf.DUMMYFUNCTION("""COMPUTED_VALUE"""),"66af7c72")</f>
        <v>66af7c72</v>
      </c>
      <c r="G1296" s="211" t="str">
        <f>IFERROR(__xludf.DUMMYFUNCTION("""COMPUTED_VALUE"""),"Argon 6m3")</f>
        <v>Argon 6m3</v>
      </c>
      <c r="H1296" s="214" t="str">
        <f>IFERROR(__xludf.DUMMYFUNCTION("""COMPUTED_VALUE"""),"OUT")</f>
        <v>OUT</v>
      </c>
      <c r="I1296" s="214" t="str">
        <f>IFERROR(__xludf.DUMMYFUNCTION("""COMPUTED_VALUE"""),"NORMAL")</f>
        <v>NORMAL</v>
      </c>
      <c r="J1296" s="211">
        <f>IFERROR(__xludf.DUMMYFUNCTION("""COMPUTED_VALUE"""),2.0)</f>
        <v>2</v>
      </c>
      <c r="K1296" s="210" t="str">
        <f>IFERROR(__xludf.DUMMYFUNCTION("""COMPUTED_VALUE"""),"12058 12055")</f>
        <v>12058 12055</v>
      </c>
      <c r="L1296" s="211">
        <f>IFERROR(__xludf.DUMMYFUNCTION("""COMPUTED_VALUE"""),190000.0)</f>
        <v>190000</v>
      </c>
      <c r="M1296" s="211"/>
      <c r="N1296" s="211"/>
      <c r="O1296" s="211"/>
      <c r="Q1296" s="211"/>
      <c r="R1296" s="211"/>
      <c r="S1296" s="211"/>
      <c r="T1296" s="211"/>
      <c r="U1296" s="211"/>
      <c r="V1296" s="211"/>
      <c r="W1296" s="211"/>
      <c r="X1296" s="211"/>
      <c r="Z1296" s="211" t="str">
        <f>IFERROR(__xludf.DUMMYFUNCTION("""COMPUTED_VALUE"""),"11240138")</f>
        <v>11240138</v>
      </c>
      <c r="AL1296" s="211"/>
      <c r="AM1296" s="211"/>
      <c r="AN1296" s="211"/>
      <c r="AO1296" s="211"/>
      <c r="AP1296" s="215"/>
      <c r="AQ1296" s="218"/>
      <c r="AR1296" s="211"/>
    </row>
    <row r="1297">
      <c r="A1297" s="210" t="str">
        <f>IFERROR(__xludf.DUMMYFUNCTION("""COMPUTED_VALUE"""),"c2fcb791")</f>
        <v>c2fcb791</v>
      </c>
      <c r="B1297" s="210" t="str">
        <f>IFERROR(__xludf.DUMMYFUNCTION("""COMPUTED_VALUE"""),"c2fcb791")</f>
        <v>c2fcb791</v>
      </c>
      <c r="C1297" s="213">
        <f>IFERROR(__xludf.DUMMYFUNCTION("""COMPUTED_VALUE"""),45840.66388888889)</f>
        <v>45840.66389</v>
      </c>
      <c r="D1297" s="211" t="str">
        <f>IFERROR(__xludf.DUMMYFUNCTION("""COMPUTED_VALUE"""),"182fb0fe")</f>
        <v>182fb0fe</v>
      </c>
      <c r="E1297" s="211" t="str">
        <f>IFERROR(__xludf.DUMMYFUNCTION("""COMPUTED_VALUE"""),"PT Amtech")</f>
        <v>PT Amtech</v>
      </c>
      <c r="F1297" s="211" t="str">
        <f>IFERROR(__xludf.DUMMYFUNCTION("""COMPUTED_VALUE"""),"8bdbe149")</f>
        <v>8bdbe149</v>
      </c>
      <c r="G1297" s="211" t="str">
        <f>IFERROR(__xludf.DUMMYFUNCTION("""COMPUTED_VALUE"""),"Oksigen 6m3")</f>
        <v>Oksigen 6m3</v>
      </c>
      <c r="H1297" s="214" t="str">
        <f>IFERROR(__xludf.DUMMYFUNCTION("""COMPUTED_VALUE"""),"IN")</f>
        <v>IN</v>
      </c>
      <c r="I1297" s="214" t="str">
        <f>IFERROR(__xludf.DUMMYFUNCTION("""COMPUTED_VALUE"""),"EMPTY")</f>
        <v>EMPTY</v>
      </c>
      <c r="J1297" s="211">
        <f>IFERROR(__xludf.DUMMYFUNCTION("""COMPUTED_VALUE"""),4.0)</f>
        <v>4</v>
      </c>
      <c r="K1297" s="210" t="str">
        <f>IFERROR(__xludf.DUMMYFUNCTION("""COMPUTED_VALUE"""),"1132 11108 11105 1105")</f>
        <v>1132 11108 11105 1105</v>
      </c>
      <c r="L1297" s="211">
        <f>IFERROR(__xludf.DUMMYFUNCTION("""COMPUTED_VALUE"""),0.0)</f>
        <v>0</v>
      </c>
      <c r="M1297" s="211"/>
      <c r="N1297" s="211"/>
      <c r="O1297" s="211"/>
      <c r="Q1297" s="210" t="str">
        <f>IFERROR(__xludf.DUMMYFUNCTION("""COMPUTED_VALUE"""),"092541297")</f>
        <v>092541297</v>
      </c>
      <c r="R1297" s="210" t="str">
        <f>IFERROR(__xludf.DUMMYFUNCTION("""COMPUTED_VALUE"""),"092541297")</f>
        <v>092541297</v>
      </c>
      <c r="S1297" s="211" t="str">
        <f>IFERROR(__xludf.DUMMYFUNCTION("""COMPUTED_VALUE"""),"3a48b432")</f>
        <v>3a48b432</v>
      </c>
      <c r="T1297" s="211" t="str">
        <f>IFERROR(__xludf.DUMMYFUNCTION("""COMPUTED_VALUE"""),"Bpk. Dio")</f>
        <v>Bpk. Dio</v>
      </c>
      <c r="U1297" s="215">
        <f>IFERROR(__xludf.DUMMYFUNCTION("""COMPUTED_VALUE"""),45918.46178240741)</f>
        <v>45918.46178</v>
      </c>
      <c r="V1297" s="211" t="str">
        <f>IFERROR(__xludf.DUMMYFUNCTION("""COMPUTED_VALUE"""),"Semawut")</f>
        <v>Semawut</v>
      </c>
      <c r="W1297" s="211" t="str">
        <f>IFERROR(__xludf.DUMMYFUNCTION("""COMPUTED_VALUE"""),"OUT")</f>
        <v>OUT</v>
      </c>
      <c r="X1297" s="211"/>
      <c r="Z1297" s="211" t="str">
        <f>IFERROR(__xludf.DUMMYFUNCTION("""COMPUTED_VALUE"""),"11240137")</f>
        <v>11240137</v>
      </c>
      <c r="AL1297" s="211"/>
      <c r="AM1297" s="211"/>
      <c r="AN1297" s="211"/>
      <c r="AO1297" s="211"/>
      <c r="AP1297" s="215"/>
      <c r="AQ1297" s="218"/>
      <c r="AR1297" s="211"/>
    </row>
    <row r="1298">
      <c r="A1298" s="210" t="str">
        <f>IFERROR(__xludf.DUMMYFUNCTION("""COMPUTED_VALUE"""),"cc357c7a")</f>
        <v>cc357c7a</v>
      </c>
      <c r="B1298" s="210" t="str">
        <f>IFERROR(__xludf.DUMMYFUNCTION("""COMPUTED_VALUE"""),"cc357c7a")</f>
        <v>cc357c7a</v>
      </c>
      <c r="C1298" s="213">
        <f>IFERROR(__xludf.DUMMYFUNCTION("""COMPUTED_VALUE"""),45840.66458333333)</f>
        <v>45840.66458</v>
      </c>
      <c r="D1298" s="211" t="str">
        <f>IFERROR(__xludf.DUMMYFUNCTION("""COMPUTED_VALUE"""),"8f5ebaea")</f>
        <v>8f5ebaea</v>
      </c>
      <c r="E1298" s="211" t="str">
        <f>IFERROR(__xludf.DUMMYFUNCTION("""COMPUTED_VALUE"""),"PT Hua Zong Mesindo")</f>
        <v>PT Hua Zong Mesindo</v>
      </c>
      <c r="F1298" s="211" t="str">
        <f>IFERROR(__xludf.DUMMYFUNCTION("""COMPUTED_VALUE"""),"ef306e54")</f>
        <v>ef306e54</v>
      </c>
      <c r="G1298" s="211" t="str">
        <f>IFERROR(__xludf.DUMMYFUNCTION("""COMPUTED_VALUE"""),"Karbondioksida")</f>
        <v>Karbondioksida</v>
      </c>
      <c r="H1298" s="214" t="str">
        <f>IFERROR(__xludf.DUMMYFUNCTION("""COMPUTED_VALUE"""),"IN")</f>
        <v>IN</v>
      </c>
      <c r="I1298" s="214" t="str">
        <f>IFERROR(__xludf.DUMMYFUNCTION("""COMPUTED_VALUE"""),"EMPTY")</f>
        <v>EMPTY</v>
      </c>
      <c r="J1298" s="211">
        <f>IFERROR(__xludf.DUMMYFUNCTION("""COMPUTED_VALUE"""),7.0)</f>
        <v>7</v>
      </c>
      <c r="K1298" s="210" t="str">
        <f>IFERROR(__xludf.DUMMYFUNCTION("""COMPUTED_VALUE"""),"13004 13020 13012 13005 13014 13011 13024")</f>
        <v>13004 13020 13012 13005 13014 13011 13024</v>
      </c>
      <c r="L1298" s="211">
        <f>IFERROR(__xludf.DUMMYFUNCTION("""COMPUTED_VALUE"""),0.0)</f>
        <v>0</v>
      </c>
      <c r="M1298" s="211"/>
      <c r="N1298" s="211"/>
      <c r="O1298" s="211"/>
      <c r="Q1298" s="210" t="str">
        <f>IFERROR(__xludf.DUMMYFUNCTION("""COMPUTED_VALUE"""),"1250583")</f>
        <v>1250583</v>
      </c>
      <c r="R1298" s="210" t="str">
        <f>IFERROR(__xludf.DUMMYFUNCTION("""COMPUTED_VALUE"""),"1250583")</f>
        <v>1250583</v>
      </c>
      <c r="S1298" s="211" t="str">
        <f>IFERROR(__xludf.DUMMYFUNCTION("""COMPUTED_VALUE"""),"5f23ba17")</f>
        <v>5f23ba17</v>
      </c>
      <c r="T1298" s="211" t="str">
        <f>IFERROR(__xludf.DUMMYFUNCTION("""COMPUTED_VALUE"""),"Bpk. Joko (Gresik)")</f>
        <v>Bpk. Joko (Gresik)</v>
      </c>
      <c r="U1298" s="215">
        <f>IFERROR(__xludf.DUMMYFUNCTION("""COMPUTED_VALUE"""),45918.68369212963)</f>
        <v>45918.68369</v>
      </c>
      <c r="V1298" s="211" t="str">
        <f>IFERROR(__xludf.DUMMYFUNCTION("""COMPUTED_VALUE"""),"Jl. Raya Wringinanom, Tanggungan, Lebaniwaras, Kec. Wringinanom, Kabupaten Gresik, Jawa Timur 61176")</f>
        <v>Jl. Raya Wringinanom, Tanggungan, Lebaniwaras, Kec. Wringinanom, Kabupaten Gresik, Jawa Timur 61176</v>
      </c>
      <c r="W1298" s="211" t="str">
        <f>IFERROR(__xludf.DUMMYFUNCTION("""COMPUTED_VALUE"""),"IN")</f>
        <v>IN</v>
      </c>
      <c r="X1298" s="211"/>
      <c r="Z1298" s="211" t="str">
        <f>IFERROR(__xludf.DUMMYFUNCTION("""COMPUTED_VALUE"""),"11240136")</f>
        <v>11240136</v>
      </c>
      <c r="AL1298" s="211"/>
      <c r="AM1298" s="211"/>
      <c r="AN1298" s="211"/>
      <c r="AO1298" s="211"/>
      <c r="AP1298" s="215"/>
      <c r="AQ1298" s="218"/>
      <c r="AR1298" s="211"/>
    </row>
    <row r="1299">
      <c r="A1299" s="210" t="str">
        <f>IFERROR(__xludf.DUMMYFUNCTION("""COMPUTED_VALUE"""),"cc357c7a")</f>
        <v>cc357c7a</v>
      </c>
      <c r="B1299" s="210" t="str">
        <f>IFERROR(__xludf.DUMMYFUNCTION("""COMPUTED_VALUE"""),"cc357c7a")</f>
        <v>cc357c7a</v>
      </c>
      <c r="C1299" s="213">
        <f>IFERROR(__xludf.DUMMYFUNCTION("""COMPUTED_VALUE"""),45840.666666666664)</f>
        <v>45840.66667</v>
      </c>
      <c r="D1299" s="211" t="str">
        <f>IFERROR(__xludf.DUMMYFUNCTION("""COMPUTED_VALUE"""),"8f5ebaea")</f>
        <v>8f5ebaea</v>
      </c>
      <c r="E1299" s="211" t="str">
        <f>IFERROR(__xludf.DUMMYFUNCTION("""COMPUTED_VALUE"""),"PT Hua Zong Mesindo")</f>
        <v>PT Hua Zong Mesindo</v>
      </c>
      <c r="F1299" s="211" t="str">
        <f>IFERROR(__xludf.DUMMYFUNCTION("""COMPUTED_VALUE"""),"8bdbe149")</f>
        <v>8bdbe149</v>
      </c>
      <c r="G1299" s="211" t="str">
        <f>IFERROR(__xludf.DUMMYFUNCTION("""COMPUTED_VALUE"""),"Oksigen 6m3")</f>
        <v>Oksigen 6m3</v>
      </c>
      <c r="H1299" s="214" t="str">
        <f>IFERROR(__xludf.DUMMYFUNCTION("""COMPUTED_VALUE"""),"IN")</f>
        <v>IN</v>
      </c>
      <c r="I1299" s="214" t="str">
        <f>IFERROR(__xludf.DUMMYFUNCTION("""COMPUTED_VALUE"""),"EMPTY")</f>
        <v>EMPTY</v>
      </c>
      <c r="J1299" s="211">
        <f>IFERROR(__xludf.DUMMYFUNCTION("""COMPUTED_VALUE"""),3.0)</f>
        <v>3</v>
      </c>
      <c r="K1299" s="210" t="str">
        <f>IFERROR(__xludf.DUMMYFUNCTION("""COMPUTED_VALUE"""),"1183 1187 11242")</f>
        <v>1183 1187 11242</v>
      </c>
      <c r="L1299" s="211">
        <f>IFERROR(__xludf.DUMMYFUNCTION("""COMPUTED_VALUE"""),0.0)</f>
        <v>0</v>
      </c>
      <c r="M1299" s="211"/>
      <c r="N1299" s="211"/>
      <c r="O1299" s="211"/>
      <c r="Q1299" s="210" t="str">
        <f>IFERROR(__xludf.DUMMYFUNCTION("""COMPUTED_VALUE"""),"1250582")</f>
        <v>1250582</v>
      </c>
      <c r="R1299" s="210" t="str">
        <f>IFERROR(__xludf.DUMMYFUNCTION("""COMPUTED_VALUE"""),"1250582")</f>
        <v>1250582</v>
      </c>
      <c r="S1299" s="211" t="str">
        <f>IFERROR(__xludf.DUMMYFUNCTION("""COMPUTED_VALUE"""),"785e0e07")</f>
        <v>785e0e07</v>
      </c>
      <c r="T1299" s="211" t="str">
        <f>IFERROR(__xludf.DUMMYFUNCTION("""COMPUTED_VALUE"""),"Bpk. Sukirno (Bejo)")</f>
        <v>Bpk. Sukirno (Bejo)</v>
      </c>
      <c r="U1299" s="215">
        <f>IFERROR(__xludf.DUMMYFUNCTION("""COMPUTED_VALUE"""),45918.68709490741)</f>
        <v>45918.68709</v>
      </c>
      <c r="V1299" s="211" t="str">
        <f>IFERROR(__xludf.DUMMYFUNCTION("""COMPUTED_VALUE"""),"Krajan I, Wringinanom, Kec. Wringinanom, Kabupaten Gresik, Jawa Timur 61176")</f>
        <v>Krajan I, Wringinanom, Kec. Wringinanom, Kabupaten Gresik, Jawa Timur 61176</v>
      </c>
      <c r="W1299" s="211" t="str">
        <f>IFERROR(__xludf.DUMMYFUNCTION("""COMPUTED_VALUE"""),"IN")</f>
        <v>IN</v>
      </c>
      <c r="X1299" s="211"/>
      <c r="Z1299" s="211" t="str">
        <f>IFERROR(__xludf.DUMMYFUNCTION("""COMPUTED_VALUE"""),"11240135")</f>
        <v>11240135</v>
      </c>
      <c r="AL1299" s="211"/>
      <c r="AM1299" s="211"/>
      <c r="AN1299" s="211"/>
      <c r="AO1299" s="211"/>
      <c r="AP1299" s="215"/>
      <c r="AQ1299" s="218"/>
      <c r="AR1299" s="211"/>
    </row>
    <row r="1300">
      <c r="A1300" s="210" t="str">
        <f>IFERROR(__xludf.DUMMYFUNCTION("""COMPUTED_VALUE"""),"07250558")</f>
        <v>07250558</v>
      </c>
      <c r="B1300" s="210" t="str">
        <f>IFERROR(__xludf.DUMMYFUNCTION("""COMPUTED_VALUE"""),"07250558")</f>
        <v>07250558</v>
      </c>
      <c r="C1300" s="213">
        <f>IFERROR(__xludf.DUMMYFUNCTION("""COMPUTED_VALUE"""),45841.34861111111)</f>
        <v>45841.34861</v>
      </c>
      <c r="D1300" s="211" t="str">
        <f>IFERROR(__xludf.DUMMYFUNCTION("""COMPUTED_VALUE"""),"d78b2eaf")</f>
        <v>d78b2eaf</v>
      </c>
      <c r="E1300" s="211" t="str">
        <f>IFERROR(__xludf.DUMMYFUNCTION("""COMPUTED_VALUE"""),"PT Sinar Indogreen Kencana")</f>
        <v>PT Sinar Indogreen Kencana</v>
      </c>
      <c r="F1300" s="211" t="str">
        <f>IFERROR(__xludf.DUMMYFUNCTION("""COMPUTED_VALUE"""),"be525f3b")</f>
        <v>be525f3b</v>
      </c>
      <c r="G1300" s="211" t="str">
        <f>IFERROR(__xludf.DUMMYFUNCTION("""COMPUTED_VALUE"""),"LPG 12kg")</f>
        <v>LPG 12kg</v>
      </c>
      <c r="H1300" s="214" t="str">
        <f>IFERROR(__xludf.DUMMYFUNCTION("""COMPUTED_VALUE"""),"OUT")</f>
        <v>OUT</v>
      </c>
      <c r="I1300" s="214" t="str">
        <f>IFERROR(__xludf.DUMMYFUNCTION("""COMPUTED_VALUE"""),"NORMAL")</f>
        <v>NORMAL</v>
      </c>
      <c r="J1300" s="211">
        <f>IFERROR(__xludf.DUMMYFUNCTION("""COMPUTED_VALUE"""),1.0)</f>
        <v>1</v>
      </c>
      <c r="K1300" s="211"/>
      <c r="L1300" s="211">
        <f>IFERROR(__xludf.DUMMYFUNCTION("""COMPUTED_VALUE"""),189189.19)</f>
        <v>189189.19</v>
      </c>
      <c r="M1300" s="211"/>
      <c r="N1300" s="211"/>
      <c r="O1300" s="211"/>
      <c r="Q1300" s="210" t="str">
        <f>IFERROR(__xludf.DUMMYFUNCTION("""COMPUTED_VALUE"""),"0925261298")</f>
        <v>0925261298</v>
      </c>
      <c r="R1300" s="210" t="str">
        <f>IFERROR(__xludf.DUMMYFUNCTION("""COMPUTED_VALUE"""),"0925261298")</f>
        <v>0925261298</v>
      </c>
      <c r="S1300" s="211" t="str">
        <f>IFERROR(__xludf.DUMMYFUNCTION("""COMPUTED_VALUE"""),"5f23ba17")</f>
        <v>5f23ba17</v>
      </c>
      <c r="T1300" s="211" t="str">
        <f>IFERROR(__xludf.DUMMYFUNCTION("""COMPUTED_VALUE"""),"Bpk. Joko (Gresik)")</f>
        <v>Bpk. Joko (Gresik)</v>
      </c>
      <c r="U1300" s="215">
        <f>IFERROR(__xludf.DUMMYFUNCTION("""COMPUTED_VALUE"""),45919.58709490741)</f>
        <v>45919.58709</v>
      </c>
      <c r="V1300" s="211" t="str">
        <f>IFERROR(__xludf.DUMMYFUNCTION("""COMPUTED_VALUE"""),"Tanggungan, Lebaniwaras, Kec. Wringinanom, Kabupaten Gresik, Jawa Timur")</f>
        <v>Tanggungan, Lebaniwaras, Kec. Wringinanom, Kabupaten Gresik, Jawa Timur</v>
      </c>
      <c r="W1300" s="211" t="str">
        <f>IFERROR(__xludf.DUMMYFUNCTION("""COMPUTED_VALUE"""),"OUT")</f>
        <v>OUT</v>
      </c>
      <c r="X1300" s="211"/>
      <c r="Z1300" s="211" t="str">
        <f>IFERROR(__xludf.DUMMYFUNCTION("""COMPUTED_VALUE"""),"11240134")</f>
        <v>11240134</v>
      </c>
      <c r="AL1300" s="211"/>
      <c r="AM1300" s="211"/>
      <c r="AN1300" s="211"/>
      <c r="AO1300" s="211"/>
      <c r="AP1300" s="215"/>
      <c r="AQ1300" s="218"/>
      <c r="AR1300" s="211"/>
    </row>
    <row r="1301">
      <c r="A1301" s="210" t="str">
        <f>IFERROR(__xludf.DUMMYFUNCTION("""COMPUTED_VALUE"""),"07250559")</f>
        <v>07250559</v>
      </c>
      <c r="B1301" s="210" t="str">
        <f>IFERROR(__xludf.DUMMYFUNCTION("""COMPUTED_VALUE"""),"07250559")</f>
        <v>07250559</v>
      </c>
      <c r="C1301" s="213">
        <f>IFERROR(__xludf.DUMMYFUNCTION("""COMPUTED_VALUE"""),45841.41111111111)</f>
        <v>45841.41111</v>
      </c>
      <c r="D1301" s="211" t="str">
        <f>IFERROR(__xludf.DUMMYFUNCTION("""COMPUTED_VALUE"""),"e86baf3b")</f>
        <v>e86baf3b</v>
      </c>
      <c r="E1301" s="211" t="str">
        <f>IFERROR(__xludf.DUMMYFUNCTION("""COMPUTED_VALUE"""),"PT GEMILANG CIPTA WAWASAN")</f>
        <v>PT GEMILANG CIPTA WAWASAN</v>
      </c>
      <c r="F1301" s="211" t="str">
        <f>IFERROR(__xludf.DUMMYFUNCTION("""COMPUTED_VALUE"""),"66af7c72")</f>
        <v>66af7c72</v>
      </c>
      <c r="G1301" s="211" t="str">
        <f>IFERROR(__xludf.DUMMYFUNCTION("""COMPUTED_VALUE"""),"Argon 6m3")</f>
        <v>Argon 6m3</v>
      </c>
      <c r="H1301" s="214" t="str">
        <f>IFERROR(__xludf.DUMMYFUNCTION("""COMPUTED_VALUE"""),"OUT")</f>
        <v>OUT</v>
      </c>
      <c r="I1301" s="214" t="str">
        <f>IFERROR(__xludf.DUMMYFUNCTION("""COMPUTED_VALUE"""),"NORMAL")</f>
        <v>NORMAL</v>
      </c>
      <c r="J1301" s="211">
        <f>IFERROR(__xludf.DUMMYFUNCTION("""COMPUTED_VALUE"""),8.0)</f>
        <v>8</v>
      </c>
      <c r="K1301" s="210" t="str">
        <f>IFERROR(__xludf.DUMMYFUNCTION("""COMPUTED_VALUE"""),"12067 12066 12065 12060 12064 12061 12062 12063")</f>
        <v>12067 12066 12065 12060 12064 12061 12062 12063</v>
      </c>
      <c r="L1301" s="211">
        <f>IFERROR(__xludf.DUMMYFUNCTION("""COMPUTED_VALUE"""),185000.0)</f>
        <v>185000</v>
      </c>
      <c r="M1301" s="211"/>
      <c r="N1301" s="211"/>
      <c r="O1301" s="211"/>
      <c r="Q1301" s="210" t="str">
        <f>IFERROR(__xludf.DUMMYFUNCTION("""COMPUTED_VALUE"""),"4092521203")</f>
        <v>4092521203</v>
      </c>
      <c r="R1301" s="210" t="str">
        <f>IFERROR(__xludf.DUMMYFUNCTION("""COMPUTED_VALUE"""),"4092521203")</f>
        <v>4092521203</v>
      </c>
      <c r="S1301" s="211" t="str">
        <f>IFERROR(__xludf.DUMMYFUNCTION("""COMPUTED_VALUE"""),"5f23ba17")</f>
        <v>5f23ba17</v>
      </c>
      <c r="T1301" s="211" t="str">
        <f>IFERROR(__xludf.DUMMYFUNCTION("""COMPUTED_VALUE"""),"Bpk. Joko (Gresik)")</f>
        <v>Bpk. Joko (Gresik)</v>
      </c>
      <c r="U1301" s="215">
        <f>IFERROR(__xludf.DUMMYFUNCTION("""COMPUTED_VALUE"""),45919.59028935185)</f>
        <v>45919.59029</v>
      </c>
      <c r="V1301" s="211" t="str">
        <f>IFERROR(__xludf.DUMMYFUNCTION("""COMPUTED_VALUE"""),"Tanggungan, Lebaniwaras, Kec. Wringinanom, Kabupaten Gresik, Jawa Timur")</f>
        <v>Tanggungan, Lebaniwaras, Kec. Wringinanom, Kabupaten Gresik, Jawa Timur</v>
      </c>
      <c r="W1301" s="211" t="str">
        <f>IFERROR(__xludf.DUMMYFUNCTION("""COMPUTED_VALUE"""),"OTHER")</f>
        <v>OTHER</v>
      </c>
      <c r="X1301" s="211"/>
      <c r="Z1301" s="211" t="str">
        <f>IFERROR(__xludf.DUMMYFUNCTION("""COMPUTED_VALUE"""),"11240133")</f>
        <v>11240133</v>
      </c>
      <c r="AL1301" s="211"/>
      <c r="AM1301" s="211"/>
      <c r="AN1301" s="211"/>
      <c r="AO1301" s="211"/>
      <c r="AP1301" s="215"/>
      <c r="AQ1301" s="218"/>
      <c r="AR1301" s="211"/>
    </row>
    <row r="1302">
      <c r="A1302" s="210" t="str">
        <f>IFERROR(__xludf.DUMMYFUNCTION("""COMPUTED_VALUE"""),"472e11d8")</f>
        <v>472e11d8</v>
      </c>
      <c r="B1302" s="210" t="str">
        <f>IFERROR(__xludf.DUMMYFUNCTION("""COMPUTED_VALUE"""),"472e11d8")</f>
        <v>472e11d8</v>
      </c>
      <c r="C1302" s="213">
        <f>IFERROR(__xludf.DUMMYFUNCTION("""COMPUTED_VALUE"""),45841.76111111111)</f>
        <v>45841.76111</v>
      </c>
      <c r="D1302" s="211" t="str">
        <f>IFERROR(__xludf.DUMMYFUNCTION("""COMPUTED_VALUE"""),"609d620d")</f>
        <v>609d620d</v>
      </c>
      <c r="E1302" s="211" t="str">
        <f>IFERROR(__xludf.DUMMYFUNCTION("""COMPUTED_VALUE"""),"PT Pandu Mulia Bersama")</f>
        <v>PT Pandu Mulia Bersama</v>
      </c>
      <c r="F1302" s="211" t="str">
        <f>IFERROR(__xludf.DUMMYFUNCTION("""COMPUTED_VALUE"""),"7d2764f1")</f>
        <v>7d2764f1</v>
      </c>
      <c r="G1302" s="211" t="str">
        <f>IFERROR(__xludf.DUMMYFUNCTION("""COMPUTED_VALUE"""),"Oksigen 7m3")</f>
        <v>Oksigen 7m3</v>
      </c>
      <c r="H1302" s="214" t="str">
        <f>IFERROR(__xludf.DUMMYFUNCTION("""COMPUTED_VALUE"""),"IN")</f>
        <v>IN</v>
      </c>
      <c r="I1302" s="214" t="str">
        <f>IFERROR(__xludf.DUMMYFUNCTION("""COMPUTED_VALUE"""),"EMPTY")</f>
        <v>EMPTY</v>
      </c>
      <c r="J1302" s="211">
        <f>IFERROR(__xludf.DUMMYFUNCTION("""COMPUTED_VALUE"""),5.0)</f>
        <v>5</v>
      </c>
      <c r="K1302" s="210" t="str">
        <f>IFERROR(__xludf.DUMMYFUNCTION("""COMPUTED_VALUE"""),"11135 11151 11214 11139 11146")</f>
        <v>11135 11151 11214 11139 11146</v>
      </c>
      <c r="L1302" s="211">
        <f>IFERROR(__xludf.DUMMYFUNCTION("""COMPUTED_VALUE"""),0.0)</f>
        <v>0</v>
      </c>
      <c r="M1302" s="211"/>
      <c r="N1302" s="211"/>
      <c r="O1302" s="211"/>
      <c r="Q1302" s="210" t="str">
        <f>IFERROR(__xludf.DUMMYFUNCTION("""COMPUTED_VALUE"""),"0925211301")</f>
        <v>0925211301</v>
      </c>
      <c r="R1302" s="210" t="str">
        <f>IFERROR(__xludf.DUMMYFUNCTION("""COMPUTED_VALUE"""),"0925211301")</f>
        <v>0925211301</v>
      </c>
      <c r="S1302" s="211" t="str">
        <f>IFERROR(__xludf.DUMMYFUNCTION("""COMPUTED_VALUE"""),"8f5ebaea")</f>
        <v>8f5ebaea</v>
      </c>
      <c r="T1302" s="211" t="str">
        <f>IFERROR(__xludf.DUMMYFUNCTION("""COMPUTED_VALUE"""),"PT Hua Zong Mesindo")</f>
        <v>PT Hua Zong Mesindo</v>
      </c>
      <c r="U1302" s="215">
        <f>IFERROR(__xludf.DUMMYFUNCTION("""COMPUTED_VALUE"""),45919.59371527778)</f>
        <v>45919.59372</v>
      </c>
      <c r="V1302" s="211" t="str">
        <f>IFERROR(__xludf.DUMMYFUNCTION("""COMPUTED_VALUE"""),"Jl. Bypass Krian, Sidotemo, Sidomulyo, Kec. Krian, Kabupaten Sidoarjo, Jawa Timur 61262")</f>
        <v>Jl. Bypass Krian, Sidotemo, Sidomulyo, Kec. Krian, Kabupaten Sidoarjo, Jawa Timur 61262</v>
      </c>
      <c r="W1302" s="211" t="str">
        <f>IFERROR(__xludf.DUMMYFUNCTION("""COMPUTED_VALUE"""),"OUT")</f>
        <v>OUT</v>
      </c>
      <c r="X1302" s="211"/>
      <c r="Z1302" s="211" t="str">
        <f>IFERROR(__xludf.DUMMYFUNCTION("""COMPUTED_VALUE"""),"11240130")</f>
        <v>11240130</v>
      </c>
      <c r="AL1302" s="211"/>
      <c r="AM1302" s="211"/>
      <c r="AN1302" s="211"/>
      <c r="AO1302" s="211"/>
      <c r="AP1302" s="215"/>
      <c r="AQ1302" s="218"/>
      <c r="AR1302" s="211"/>
    </row>
    <row r="1303">
      <c r="A1303" s="210" t="str">
        <f>IFERROR(__xludf.DUMMYFUNCTION("""COMPUTED_VALUE"""),"d3904f91")</f>
        <v>d3904f91</v>
      </c>
      <c r="B1303" s="210" t="str">
        <f>IFERROR(__xludf.DUMMYFUNCTION("""COMPUTED_VALUE"""),"d3904f91")</f>
        <v>d3904f91</v>
      </c>
      <c r="C1303" s="213">
        <f>IFERROR(__xludf.DUMMYFUNCTION("""COMPUTED_VALUE"""),45842.55625)</f>
        <v>45842.55625</v>
      </c>
      <c r="D1303" s="211" t="str">
        <f>IFERROR(__xludf.DUMMYFUNCTION("""COMPUTED_VALUE"""),"ed4307f6")</f>
        <v>ed4307f6</v>
      </c>
      <c r="E1303" s="211" t="str">
        <f>IFERROR(__xludf.DUMMYFUNCTION("""COMPUTED_VALUE"""),"Bpk. Andi (Jetis)")</f>
        <v>Bpk. Andi (Jetis)</v>
      </c>
      <c r="F1303" s="211" t="str">
        <f>IFERROR(__xludf.DUMMYFUNCTION("""COMPUTED_VALUE"""),"f6aab7a9")</f>
        <v>f6aab7a9</v>
      </c>
      <c r="G1303" s="211" t="str">
        <f>IFERROR(__xludf.DUMMYFUNCTION("""COMPUTED_VALUE"""),"Oksigen 6m3 MR")</f>
        <v>Oksigen 6m3 MR</v>
      </c>
      <c r="H1303" s="214" t="str">
        <f>IFERROR(__xludf.DUMMYFUNCTION("""COMPUTED_VALUE"""),"IN")</f>
        <v>IN</v>
      </c>
      <c r="I1303" s="214" t="str">
        <f>IFERROR(__xludf.DUMMYFUNCTION("""COMPUTED_VALUE"""),"EMPTY")</f>
        <v>EMPTY</v>
      </c>
      <c r="J1303" s="211">
        <f>IFERROR(__xludf.DUMMYFUNCTION("""COMPUTED_VALUE"""),35.0)</f>
        <v>35</v>
      </c>
      <c r="K1303" s="211"/>
      <c r="L1303" s="211">
        <f>IFERROR(__xludf.DUMMYFUNCTION("""COMPUTED_VALUE"""),0.0)</f>
        <v>0</v>
      </c>
      <c r="M1303" s="211"/>
      <c r="N1303" s="211"/>
      <c r="O1303" s="211"/>
      <c r="Q1303" s="210" t="str">
        <f>IFERROR(__xludf.DUMMYFUNCTION("""COMPUTED_VALUE"""),"1250585")</f>
        <v>1250585</v>
      </c>
      <c r="R1303" s="210" t="str">
        <f>IFERROR(__xludf.DUMMYFUNCTION("""COMPUTED_VALUE"""),"1250585")</f>
        <v>1250585</v>
      </c>
      <c r="S1303" s="211" t="str">
        <f>IFERROR(__xludf.DUMMYFUNCTION("""COMPUTED_VALUE"""),"a343b84d")</f>
        <v>a343b84d</v>
      </c>
      <c r="T1303" s="211" t="str">
        <f>IFERROR(__xludf.DUMMYFUNCTION("""COMPUTED_VALUE"""),"PT Utama Alim Sejahtera")</f>
        <v>PT Utama Alim Sejahtera</v>
      </c>
      <c r="U1303" s="215">
        <f>IFERROR(__xludf.DUMMYFUNCTION("""COMPUTED_VALUE"""),45919.65185185185)</f>
        <v>45919.65185</v>
      </c>
      <c r="V1303" s="211" t="str">
        <f>IFERROR(__xludf.DUMMYFUNCTION("""COMPUTED_VALUE"""),"JL. PURBOYO, SEKETI, BALONGBENDO, KAB.SIDOARJO, JAWA TIMUR, 61263")</f>
        <v>JL. PURBOYO, SEKETI, BALONGBENDO, KAB.SIDOARJO, JAWA TIMUR, 61263</v>
      </c>
      <c r="W1303" s="211" t="str">
        <f>IFERROR(__xludf.DUMMYFUNCTION("""COMPUTED_VALUE"""),"IN")</f>
        <v>IN</v>
      </c>
      <c r="X1303" s="211"/>
      <c r="Z1303" s="211" t="str">
        <f>IFERROR(__xludf.DUMMYFUNCTION("""COMPUTED_VALUE"""),"11240132")</f>
        <v>11240132</v>
      </c>
      <c r="AL1303" s="211"/>
      <c r="AM1303" s="211"/>
      <c r="AN1303" s="211"/>
      <c r="AO1303" s="211"/>
      <c r="AP1303" s="215"/>
      <c r="AQ1303" s="218"/>
      <c r="AR1303" s="211"/>
    </row>
    <row r="1304">
      <c r="A1304" s="210" t="str">
        <f>IFERROR(__xludf.DUMMYFUNCTION("""COMPUTED_VALUE"""),"07250560")</f>
        <v>07250560</v>
      </c>
      <c r="B1304" s="210" t="str">
        <f>IFERROR(__xludf.DUMMYFUNCTION("""COMPUTED_VALUE"""),"07250560")</f>
        <v>07250560</v>
      </c>
      <c r="C1304" s="213">
        <f>IFERROR(__xludf.DUMMYFUNCTION("""COMPUTED_VALUE"""),45842.55972222222)</f>
        <v>45842.55972</v>
      </c>
      <c r="D1304" s="211" t="str">
        <f>IFERROR(__xludf.DUMMYFUNCTION("""COMPUTED_VALUE"""),"ed4307f6")</f>
        <v>ed4307f6</v>
      </c>
      <c r="E1304" s="211" t="str">
        <f>IFERROR(__xludf.DUMMYFUNCTION("""COMPUTED_VALUE"""),"Bpk. Andi (Jetis)")</f>
        <v>Bpk. Andi (Jetis)</v>
      </c>
      <c r="F1304" s="211" t="str">
        <f>IFERROR(__xludf.DUMMYFUNCTION("""COMPUTED_VALUE"""),"f6aab7a9")</f>
        <v>f6aab7a9</v>
      </c>
      <c r="G1304" s="211" t="str">
        <f>IFERROR(__xludf.DUMMYFUNCTION("""COMPUTED_VALUE"""),"Oksigen 6m3 MR")</f>
        <v>Oksigen 6m3 MR</v>
      </c>
      <c r="H1304" s="214" t="str">
        <f>IFERROR(__xludf.DUMMYFUNCTION("""COMPUTED_VALUE"""),"OUT")</f>
        <v>OUT</v>
      </c>
      <c r="I1304" s="214" t="str">
        <f>IFERROR(__xludf.DUMMYFUNCTION("""COMPUTED_VALUE"""),"NORMAL")</f>
        <v>NORMAL</v>
      </c>
      <c r="J1304" s="211">
        <f>IFERROR(__xludf.DUMMYFUNCTION("""COMPUTED_VALUE"""),35.0)</f>
        <v>35</v>
      </c>
      <c r="K1304" s="211"/>
      <c r="L1304" s="211">
        <f>IFERROR(__xludf.DUMMYFUNCTION("""COMPUTED_VALUE"""),50000.0)</f>
        <v>50000</v>
      </c>
      <c r="M1304" s="211"/>
      <c r="N1304" s="211"/>
      <c r="O1304" s="211"/>
      <c r="Q1304" s="210" t="str">
        <f>IFERROR(__xludf.DUMMYFUNCTION("""COMPUTED_VALUE"""),"1250584")</f>
        <v>1250584</v>
      </c>
      <c r="R1304" s="210" t="str">
        <f>IFERROR(__xludf.DUMMYFUNCTION("""COMPUTED_VALUE"""),"1250584")</f>
        <v>1250584</v>
      </c>
      <c r="S1304" s="211" t="str">
        <f>IFERROR(__xludf.DUMMYFUNCTION("""COMPUTED_VALUE"""),"8f5ebaea")</f>
        <v>8f5ebaea</v>
      </c>
      <c r="T1304" s="211" t="str">
        <f>IFERROR(__xludf.DUMMYFUNCTION("""COMPUTED_VALUE"""),"PT Hua Zong Mesindo")</f>
        <v>PT Hua Zong Mesindo</v>
      </c>
      <c r="U1304" s="215">
        <f>IFERROR(__xludf.DUMMYFUNCTION("""COMPUTED_VALUE"""),45919.702465277776)</f>
        <v>45919.70247</v>
      </c>
      <c r="V1304" s="211" t="str">
        <f>IFERROR(__xludf.DUMMYFUNCTION("""COMPUTED_VALUE"""),"Jl. Bypass Krian, Sidotemo, Sidomulyo, Kec. Krian, Kabupaten Sidoarjo, Jawa Timur 61262")</f>
        <v>Jl. Bypass Krian, Sidotemo, Sidomulyo, Kec. Krian, Kabupaten Sidoarjo, Jawa Timur 61262</v>
      </c>
      <c r="W1304" s="211" t="str">
        <f>IFERROR(__xludf.DUMMYFUNCTION("""COMPUTED_VALUE"""),"IN")</f>
        <v>IN</v>
      </c>
      <c r="X1304" s="211"/>
      <c r="Z1304" s="211" t="str">
        <f>IFERROR(__xludf.DUMMYFUNCTION("""COMPUTED_VALUE"""),"11240128")</f>
        <v>11240128</v>
      </c>
      <c r="AL1304" s="211"/>
      <c r="AM1304" s="211"/>
      <c r="AN1304" s="211"/>
      <c r="AO1304" s="211"/>
      <c r="AP1304" s="215"/>
      <c r="AQ1304" s="218"/>
      <c r="AR1304" s="211"/>
    </row>
    <row r="1305">
      <c r="A1305" s="210" t="str">
        <f>IFERROR(__xludf.DUMMYFUNCTION("""COMPUTED_VALUE"""),"07250561")</f>
        <v>07250561</v>
      </c>
      <c r="B1305" s="210" t="str">
        <f>IFERROR(__xludf.DUMMYFUNCTION("""COMPUTED_VALUE"""),"07250561")</f>
        <v>07250561</v>
      </c>
      <c r="C1305" s="213">
        <f>IFERROR(__xludf.DUMMYFUNCTION("""COMPUTED_VALUE"""),45843.39097222222)</f>
        <v>45843.39097</v>
      </c>
      <c r="D1305" s="211" t="str">
        <f>IFERROR(__xludf.DUMMYFUNCTION("""COMPUTED_VALUE"""),"dfas2312")</f>
        <v>dfas2312</v>
      </c>
      <c r="E1305" s="211" t="str">
        <f>IFERROR(__xludf.DUMMYFUNCTION("""COMPUTED_VALUE"""),"Bpk. Fuad (Parengan)")</f>
        <v>Bpk. Fuad (Parengan)</v>
      </c>
      <c r="F1305" s="211" t="str">
        <f>IFERROR(__xludf.DUMMYFUNCTION("""COMPUTED_VALUE"""),"8bdbe149")</f>
        <v>8bdbe149</v>
      </c>
      <c r="G1305" s="211" t="str">
        <f>IFERROR(__xludf.DUMMYFUNCTION("""COMPUTED_VALUE"""),"Oksigen 6m3")</f>
        <v>Oksigen 6m3</v>
      </c>
      <c r="H1305" s="214" t="str">
        <f>IFERROR(__xludf.DUMMYFUNCTION("""COMPUTED_VALUE"""),"OUT")</f>
        <v>OUT</v>
      </c>
      <c r="I1305" s="214" t="str">
        <f>IFERROR(__xludf.DUMMYFUNCTION("""COMPUTED_VALUE"""),"NORMAL")</f>
        <v>NORMAL</v>
      </c>
      <c r="J1305" s="211">
        <f>IFERROR(__xludf.DUMMYFUNCTION("""COMPUTED_VALUE"""),1.0)</f>
        <v>1</v>
      </c>
      <c r="K1305" s="210" t="str">
        <f>IFERROR(__xludf.DUMMYFUNCTION("""COMPUTED_VALUE"""),"1105")</f>
        <v>1105</v>
      </c>
      <c r="L1305" s="211">
        <f>IFERROR(__xludf.DUMMYFUNCTION("""COMPUTED_VALUE"""),70000.0)</f>
        <v>70000</v>
      </c>
      <c r="M1305" s="211"/>
      <c r="N1305" s="211"/>
      <c r="O1305" s="211"/>
      <c r="Q1305" s="210" t="str">
        <f>IFERROR(__xludf.DUMMYFUNCTION("""COMPUTED_VALUE"""),"1250609")</f>
        <v>1250609</v>
      </c>
      <c r="R1305" s="210" t="str">
        <f>IFERROR(__xludf.DUMMYFUNCTION("""COMPUTED_VALUE"""),"1250609")</f>
        <v>1250609</v>
      </c>
      <c r="S1305" s="211" t="str">
        <f>IFERROR(__xludf.DUMMYFUNCTION("""COMPUTED_VALUE"""),"5f23ba17")</f>
        <v>5f23ba17</v>
      </c>
      <c r="T1305" s="211" t="str">
        <f>IFERROR(__xludf.DUMMYFUNCTION("""COMPUTED_VALUE"""),"Bpk. Joko (Gresik)")</f>
        <v>Bpk. Joko (Gresik)</v>
      </c>
      <c r="U1305" s="215">
        <f>IFERROR(__xludf.DUMMYFUNCTION("""COMPUTED_VALUE"""),45919.70353009259)</f>
        <v>45919.70353</v>
      </c>
      <c r="V1305" s="211" t="str">
        <f>IFERROR(__xludf.DUMMYFUNCTION("""COMPUTED_VALUE"""),"Tanggungan, Lebaniwaras, Kec. Wringinanom, Kabupaten Gresik, Jawa Timur")</f>
        <v>Tanggungan, Lebaniwaras, Kec. Wringinanom, Kabupaten Gresik, Jawa Timur</v>
      </c>
      <c r="W1305" s="211" t="str">
        <f>IFERROR(__xludf.DUMMYFUNCTION("""COMPUTED_VALUE"""),"IN")</f>
        <v>IN</v>
      </c>
      <c r="X1305" s="211"/>
      <c r="Z1305" s="211" t="str">
        <f>IFERROR(__xludf.DUMMYFUNCTION("""COMPUTED_VALUE"""),"11240127")</f>
        <v>11240127</v>
      </c>
      <c r="AL1305" s="211"/>
      <c r="AM1305" s="211"/>
      <c r="AN1305" s="211"/>
      <c r="AO1305" s="211"/>
      <c r="AP1305" s="215"/>
      <c r="AQ1305" s="218"/>
      <c r="AR1305" s="211"/>
    </row>
    <row r="1306">
      <c r="A1306" s="210" t="str">
        <f>IFERROR(__xludf.DUMMYFUNCTION("""COMPUTED_VALUE"""),"07250561")</f>
        <v>07250561</v>
      </c>
      <c r="B1306" s="210" t="str">
        <f>IFERROR(__xludf.DUMMYFUNCTION("""COMPUTED_VALUE"""),"07250561")</f>
        <v>07250561</v>
      </c>
      <c r="C1306" s="213">
        <f>IFERROR(__xludf.DUMMYFUNCTION("""COMPUTED_VALUE"""),45843.39097222222)</f>
        <v>45843.39097</v>
      </c>
      <c r="D1306" s="211" t="str">
        <f>IFERROR(__xludf.DUMMYFUNCTION("""COMPUTED_VALUE"""),"dfas2312")</f>
        <v>dfas2312</v>
      </c>
      <c r="E1306" s="211" t="str">
        <f>IFERROR(__xludf.DUMMYFUNCTION("""COMPUTED_VALUE"""),"Bpk. Fuad (Parengan)")</f>
        <v>Bpk. Fuad (Parengan)</v>
      </c>
      <c r="F1306" s="211" t="str">
        <f>IFERROR(__xludf.DUMMYFUNCTION("""COMPUTED_VALUE"""),"66af7c72")</f>
        <v>66af7c72</v>
      </c>
      <c r="G1306" s="211" t="str">
        <f>IFERROR(__xludf.DUMMYFUNCTION("""COMPUTED_VALUE"""),"Argon 6m3")</f>
        <v>Argon 6m3</v>
      </c>
      <c r="H1306" s="214" t="str">
        <f>IFERROR(__xludf.DUMMYFUNCTION("""COMPUTED_VALUE"""),"OUT")</f>
        <v>OUT</v>
      </c>
      <c r="I1306" s="214" t="str">
        <f>IFERROR(__xludf.DUMMYFUNCTION("""COMPUTED_VALUE"""),"NORMAL")</f>
        <v>NORMAL</v>
      </c>
      <c r="J1306" s="211">
        <f>IFERROR(__xludf.DUMMYFUNCTION("""COMPUTED_VALUE"""),1.0)</f>
        <v>1</v>
      </c>
      <c r="K1306" s="210" t="str">
        <f>IFERROR(__xludf.DUMMYFUNCTION("""COMPUTED_VALUE"""),"12059")</f>
        <v>12059</v>
      </c>
      <c r="L1306" s="211">
        <f>IFERROR(__xludf.DUMMYFUNCTION("""COMPUTED_VALUE"""),230000.0)</f>
        <v>230000</v>
      </c>
      <c r="M1306" s="211"/>
      <c r="N1306" s="211"/>
      <c r="O1306" s="211"/>
      <c r="Q1306" s="210" t="str">
        <f>IFERROR(__xludf.DUMMYFUNCTION("""COMPUTED_VALUE"""),"092561303")</f>
        <v>092561303</v>
      </c>
      <c r="R1306" s="210" t="str">
        <f>IFERROR(__xludf.DUMMYFUNCTION("""COMPUTED_VALUE"""),"092561303")</f>
        <v>092561303</v>
      </c>
      <c r="S1306" s="211" t="str">
        <f>IFERROR(__xludf.DUMMYFUNCTION("""COMPUTED_VALUE"""),"8ea74d81")</f>
        <v>8ea74d81</v>
      </c>
      <c r="T1306" s="211" t="str">
        <f>IFERROR(__xludf.DUMMYFUNCTION("""COMPUTED_VALUE"""),"Bengkel Adi Putra")</f>
        <v>Bengkel Adi Putra</v>
      </c>
      <c r="U1306" s="215">
        <f>IFERROR(__xludf.DUMMYFUNCTION("""COMPUTED_VALUE"""),45920.358194444445)</f>
        <v>45920.35819</v>
      </c>
      <c r="V1306" s="211" t="str">
        <f>IFERROR(__xludf.DUMMYFUNCTION("""COMPUTED_VALUE"""),"Bypass Balongbendo")</f>
        <v>Bypass Balongbendo</v>
      </c>
      <c r="W1306" s="211" t="str">
        <f>IFERROR(__xludf.DUMMYFUNCTION("""COMPUTED_VALUE"""),"OUT")</f>
        <v>OUT</v>
      </c>
      <c r="X1306" s="211"/>
      <c r="Z1306" s="211" t="str">
        <f>IFERROR(__xludf.DUMMYFUNCTION("""COMPUTED_VALUE"""),"11240123")</f>
        <v>11240123</v>
      </c>
      <c r="AL1306" s="211"/>
      <c r="AM1306" s="211"/>
      <c r="AN1306" s="211"/>
      <c r="AO1306" s="211"/>
      <c r="AP1306" s="215"/>
      <c r="AQ1306" s="218"/>
      <c r="AR1306" s="211"/>
    </row>
    <row r="1307">
      <c r="A1307" s="210" t="str">
        <f>IFERROR(__xludf.DUMMYFUNCTION("""COMPUTED_VALUE"""),"4ecbf179")</f>
        <v>4ecbf179</v>
      </c>
      <c r="B1307" s="210" t="str">
        <f>IFERROR(__xludf.DUMMYFUNCTION("""COMPUTED_VALUE"""),"4ecbf179")</f>
        <v>4ecbf179</v>
      </c>
      <c r="C1307" s="213">
        <f>IFERROR(__xludf.DUMMYFUNCTION("""COMPUTED_VALUE"""),45843.47430555556)</f>
        <v>45843.47431</v>
      </c>
      <c r="D1307" s="211" t="str">
        <f>IFERROR(__xludf.DUMMYFUNCTION("""COMPUTED_VALUE"""),"dfas2312")</f>
        <v>dfas2312</v>
      </c>
      <c r="E1307" s="211" t="str">
        <f>IFERROR(__xludf.DUMMYFUNCTION("""COMPUTED_VALUE"""),"Bpk. Fuad (Parengan)")</f>
        <v>Bpk. Fuad (Parengan)</v>
      </c>
      <c r="F1307" s="211" t="str">
        <f>IFERROR(__xludf.DUMMYFUNCTION("""COMPUTED_VALUE"""),"f6aab7a9")</f>
        <v>f6aab7a9</v>
      </c>
      <c r="G1307" s="211" t="str">
        <f>IFERROR(__xludf.DUMMYFUNCTION("""COMPUTED_VALUE"""),"Oksigen 6m3 MR")</f>
        <v>Oksigen 6m3 MR</v>
      </c>
      <c r="H1307" s="214" t="str">
        <f>IFERROR(__xludf.DUMMYFUNCTION("""COMPUTED_VALUE"""),"IN")</f>
        <v>IN</v>
      </c>
      <c r="I1307" s="214" t="str">
        <f>IFERROR(__xludf.DUMMYFUNCTION("""COMPUTED_VALUE"""),"EMPTY")</f>
        <v>EMPTY</v>
      </c>
      <c r="J1307" s="211">
        <f>IFERROR(__xludf.DUMMYFUNCTION("""COMPUTED_VALUE"""),2.0)</f>
        <v>2</v>
      </c>
      <c r="K1307" s="211"/>
      <c r="L1307" s="211">
        <f>IFERROR(__xludf.DUMMYFUNCTION("""COMPUTED_VALUE"""),0.0)</f>
        <v>0</v>
      </c>
      <c r="M1307" s="211"/>
      <c r="N1307" s="211"/>
      <c r="O1307" s="211"/>
      <c r="Q1307" s="210" t="str">
        <f>IFERROR(__xludf.DUMMYFUNCTION("""COMPUTED_VALUE"""),"1250607")</f>
        <v>1250607</v>
      </c>
      <c r="R1307" s="210" t="str">
        <f>IFERROR(__xludf.DUMMYFUNCTION("""COMPUTED_VALUE"""),"1250607")</f>
        <v>1250607</v>
      </c>
      <c r="S1307" s="211" t="str">
        <f>IFERROR(__xludf.DUMMYFUNCTION("""COMPUTED_VALUE"""),"e86baf3b")</f>
        <v>e86baf3b</v>
      </c>
      <c r="T1307" s="211" t="str">
        <f>IFERROR(__xludf.DUMMYFUNCTION("""COMPUTED_VALUE"""),"PT GEMILANG CIPTA WAWASAN")</f>
        <v>PT GEMILANG CIPTA WAWASAN</v>
      </c>
      <c r="U1307" s="215">
        <f>IFERROR(__xludf.DUMMYFUNCTION("""COMPUTED_VALUE"""),45920.51771990741)</f>
        <v>45920.51772</v>
      </c>
      <c r="V1307" s="211" t="str">
        <f>IFERROR(__xludf.DUMMYFUNCTION("""COMPUTED_VALUE"""),"JL TEBET RAYA, 2A, TEBET BARAT, TEBET, KOTA ADM, JAKARTA SELATAN, DKI JAKARTA")</f>
        <v>JL TEBET RAYA, 2A, TEBET BARAT, TEBET, KOTA ADM, JAKARTA SELATAN, DKI JAKARTA</v>
      </c>
      <c r="W1307" s="211" t="str">
        <f>IFERROR(__xludf.DUMMYFUNCTION("""COMPUTED_VALUE"""),"IN")</f>
        <v>IN</v>
      </c>
      <c r="X1307" s="211"/>
      <c r="Z1307" s="211" t="str">
        <f>IFERROR(__xludf.DUMMYFUNCTION("""COMPUTED_VALUE"""),"11240126")</f>
        <v>11240126</v>
      </c>
      <c r="AL1307" s="211"/>
      <c r="AM1307" s="211"/>
      <c r="AN1307" s="211"/>
      <c r="AO1307" s="211"/>
      <c r="AP1307" s="215"/>
      <c r="AQ1307" s="218"/>
      <c r="AR1307" s="211"/>
    </row>
    <row r="1308">
      <c r="A1308" s="210" t="str">
        <f>IFERROR(__xludf.DUMMYFUNCTION("""COMPUTED_VALUE"""),"554ea978")</f>
        <v>554ea978</v>
      </c>
      <c r="B1308" s="210" t="str">
        <f>IFERROR(__xludf.DUMMYFUNCTION("""COMPUTED_VALUE"""),"554ea978")</f>
        <v>554ea978</v>
      </c>
      <c r="C1308" s="213">
        <f>IFERROR(__xludf.DUMMYFUNCTION("""COMPUTED_VALUE"""),45843.475)</f>
        <v>45843.475</v>
      </c>
      <c r="D1308" s="211" t="str">
        <f>IFERROR(__xludf.DUMMYFUNCTION("""COMPUTED_VALUE"""),"785e0e07")</f>
        <v>785e0e07</v>
      </c>
      <c r="E1308" s="211" t="str">
        <f>IFERROR(__xludf.DUMMYFUNCTION("""COMPUTED_VALUE"""),"Bpk. Sukirno (Bejo)")</f>
        <v>Bpk. Sukirno (Bejo)</v>
      </c>
      <c r="F1308" s="211" t="str">
        <f>IFERROR(__xludf.DUMMYFUNCTION("""COMPUTED_VALUE"""),"8bdbe149")</f>
        <v>8bdbe149</v>
      </c>
      <c r="G1308" s="211" t="str">
        <f>IFERROR(__xludf.DUMMYFUNCTION("""COMPUTED_VALUE"""),"Oksigen 6m3")</f>
        <v>Oksigen 6m3</v>
      </c>
      <c r="H1308" s="214" t="str">
        <f>IFERROR(__xludf.DUMMYFUNCTION("""COMPUTED_VALUE"""),"IN")</f>
        <v>IN</v>
      </c>
      <c r="I1308" s="214" t="str">
        <f>IFERROR(__xludf.DUMMYFUNCTION("""COMPUTED_VALUE"""),"EMPTY")</f>
        <v>EMPTY</v>
      </c>
      <c r="J1308" s="211">
        <f>IFERROR(__xludf.DUMMYFUNCTION("""COMPUTED_VALUE"""),8.0)</f>
        <v>8</v>
      </c>
      <c r="K1308" s="210" t="str">
        <f>IFERROR(__xludf.DUMMYFUNCTION("""COMPUTED_VALUE"""),"11276 11210 11126 11203 1191 11244 11118 1107")</f>
        <v>11276 11210 11126 11203 1191 11244 11118 1107</v>
      </c>
      <c r="L1308" s="211">
        <f>IFERROR(__xludf.DUMMYFUNCTION("""COMPUTED_VALUE"""),0.0)</f>
        <v>0</v>
      </c>
      <c r="M1308" s="211"/>
      <c r="N1308" s="211"/>
      <c r="O1308" s="211"/>
      <c r="Q1308" s="210" t="str">
        <f>IFERROR(__xludf.DUMMYFUNCTION("""COMPUTED_VALUE"""),"1250608")</f>
        <v>1250608</v>
      </c>
      <c r="R1308" s="210" t="str">
        <f>IFERROR(__xludf.DUMMYFUNCTION("""COMPUTED_VALUE"""),"1250608")</f>
        <v>1250608</v>
      </c>
      <c r="S1308" s="211" t="str">
        <f>IFERROR(__xludf.DUMMYFUNCTION("""COMPUTED_VALUE"""),"8ea74d81")</f>
        <v>8ea74d81</v>
      </c>
      <c r="T1308" s="211" t="str">
        <f>IFERROR(__xludf.DUMMYFUNCTION("""COMPUTED_VALUE"""),"Bengkel Adi Putra")</f>
        <v>Bengkel Adi Putra</v>
      </c>
      <c r="U1308" s="215">
        <f>IFERROR(__xludf.DUMMYFUNCTION("""COMPUTED_VALUE"""),45920.51974537037)</f>
        <v>45920.51975</v>
      </c>
      <c r="V1308" s="211" t="str">
        <f>IFERROR(__xludf.DUMMYFUNCTION("""COMPUTED_VALUE"""),"Bypass Balongbendo")</f>
        <v>Bypass Balongbendo</v>
      </c>
      <c r="W1308" s="211" t="str">
        <f>IFERROR(__xludf.DUMMYFUNCTION("""COMPUTED_VALUE"""),"IN")</f>
        <v>IN</v>
      </c>
      <c r="X1308" s="211"/>
      <c r="Z1308" s="211" t="str">
        <f>IFERROR(__xludf.DUMMYFUNCTION("""COMPUTED_VALUE"""),"11240125")</f>
        <v>11240125</v>
      </c>
      <c r="AL1308" s="211"/>
      <c r="AM1308" s="211"/>
      <c r="AN1308" s="211"/>
      <c r="AO1308" s="211"/>
      <c r="AP1308" s="215"/>
      <c r="AQ1308" s="218"/>
      <c r="AR1308" s="211"/>
    </row>
    <row r="1309">
      <c r="A1309" s="210" t="str">
        <f>IFERROR(__xludf.DUMMYFUNCTION("""COMPUTED_VALUE"""),"3a734ab4")</f>
        <v>3a734ab4</v>
      </c>
      <c r="B1309" s="210" t="str">
        <f>IFERROR(__xludf.DUMMYFUNCTION("""COMPUTED_VALUE"""),"3a734ab4")</f>
        <v>3a734ab4</v>
      </c>
      <c r="C1309" s="213">
        <f>IFERROR(__xludf.DUMMYFUNCTION("""COMPUTED_VALUE"""),45843.475694444445)</f>
        <v>45843.47569</v>
      </c>
      <c r="D1309" s="211" t="str">
        <f>IFERROR(__xludf.DUMMYFUNCTION("""COMPUTED_VALUE"""),"1bf27092")</f>
        <v>1bf27092</v>
      </c>
      <c r="E1309" s="211" t="str">
        <f>IFERROR(__xludf.DUMMYFUNCTION("""COMPUTED_VALUE"""),"Bpk. Ari Budiarto")</f>
        <v>Bpk. Ari Budiarto</v>
      </c>
      <c r="F1309" s="211" t="str">
        <f>IFERROR(__xludf.DUMMYFUNCTION("""COMPUTED_VALUE"""),"66af7c72")</f>
        <v>66af7c72</v>
      </c>
      <c r="G1309" s="211" t="str">
        <f>IFERROR(__xludf.DUMMYFUNCTION("""COMPUTED_VALUE"""),"Argon 6m3")</f>
        <v>Argon 6m3</v>
      </c>
      <c r="H1309" s="214" t="str">
        <f>IFERROR(__xludf.DUMMYFUNCTION("""COMPUTED_VALUE"""),"IN")</f>
        <v>IN</v>
      </c>
      <c r="I1309" s="214" t="str">
        <f>IFERROR(__xludf.DUMMYFUNCTION("""COMPUTED_VALUE"""),"EMPTY")</f>
        <v>EMPTY</v>
      </c>
      <c r="J1309" s="211">
        <f>IFERROR(__xludf.DUMMYFUNCTION("""COMPUTED_VALUE"""),1.0)</f>
        <v>1</v>
      </c>
      <c r="K1309" s="210" t="str">
        <f>IFERROR(__xludf.DUMMYFUNCTION("""COMPUTED_VALUE"""),"12019")</f>
        <v>12019</v>
      </c>
      <c r="L1309" s="211">
        <f>IFERROR(__xludf.DUMMYFUNCTION("""COMPUTED_VALUE"""),0.0)</f>
        <v>0</v>
      </c>
      <c r="M1309" s="211"/>
      <c r="N1309" s="211"/>
      <c r="O1309" s="211"/>
      <c r="Q1309" s="210" t="str">
        <f>IFERROR(__xludf.DUMMYFUNCTION("""COMPUTED_VALUE"""),"1250606")</f>
        <v>1250606</v>
      </c>
      <c r="R1309" s="210" t="str">
        <f>IFERROR(__xludf.DUMMYFUNCTION("""COMPUTED_VALUE"""),"1250606")</f>
        <v>1250606</v>
      </c>
      <c r="S1309" s="211" t="str">
        <f>IFERROR(__xludf.DUMMYFUNCTION("""COMPUTED_VALUE"""),"196b24da")</f>
        <v>196b24da</v>
      </c>
      <c r="T1309" s="211" t="str">
        <f>IFERROR(__xludf.DUMMYFUNCTION("""COMPUTED_VALUE"""),"PT Samudra Cipta Enjineering")</f>
        <v>PT Samudra Cipta Enjineering</v>
      </c>
      <c r="U1309" s="215">
        <f>IFERROR(__xludf.DUMMYFUNCTION("""COMPUTED_VALUE"""),45922.45142361111)</f>
        <v>45922.45142</v>
      </c>
      <c r="V1309" s="211" t="str">
        <f>IFERROR(__xludf.DUMMYFUNCTION("""COMPUTED_VALUE"""),"Pergudangan Center Point Blok C4   Ds. Kemangsen  Balongbendo")</f>
        <v>Pergudangan Center Point Blok C4   Ds. Kemangsen  Balongbendo</v>
      </c>
      <c r="W1309" s="211" t="str">
        <f>IFERROR(__xludf.DUMMYFUNCTION("""COMPUTED_VALUE"""),"IN")</f>
        <v>IN</v>
      </c>
      <c r="X1309" s="211"/>
      <c r="Z1309" s="211" t="str">
        <f>IFERROR(__xludf.DUMMYFUNCTION("""COMPUTED_VALUE"""),"11240117")</f>
        <v>11240117</v>
      </c>
      <c r="AL1309" s="211"/>
      <c r="AM1309" s="211"/>
      <c r="AN1309" s="211"/>
      <c r="AO1309" s="211"/>
      <c r="AP1309" s="215"/>
      <c r="AQ1309" s="218"/>
      <c r="AR1309" s="211"/>
    </row>
    <row r="1310">
      <c r="A1310" s="210" t="str">
        <f>IFERROR(__xludf.DUMMYFUNCTION("""COMPUTED_VALUE"""),"dce33602")</f>
        <v>dce33602</v>
      </c>
      <c r="B1310" s="210" t="str">
        <f>IFERROR(__xludf.DUMMYFUNCTION("""COMPUTED_VALUE"""),"dce33602")</f>
        <v>dce33602</v>
      </c>
      <c r="C1310" s="213">
        <f>IFERROR(__xludf.DUMMYFUNCTION("""COMPUTED_VALUE"""),45843.475694444445)</f>
        <v>45843.47569</v>
      </c>
      <c r="D1310" s="211" t="str">
        <f>IFERROR(__xludf.DUMMYFUNCTION("""COMPUTED_VALUE"""),"7e28b0bb")</f>
        <v>7e28b0bb</v>
      </c>
      <c r="E1310" s="211" t="str">
        <f>IFERROR(__xludf.DUMMYFUNCTION("""COMPUTED_VALUE"""),"PT Surya Langit Biru")</f>
        <v>PT Surya Langit Biru</v>
      </c>
      <c r="F1310" s="211" t="str">
        <f>IFERROR(__xludf.DUMMYFUNCTION("""COMPUTED_VALUE"""),"8bdbe149")</f>
        <v>8bdbe149</v>
      </c>
      <c r="G1310" s="211" t="str">
        <f>IFERROR(__xludf.DUMMYFUNCTION("""COMPUTED_VALUE"""),"Oksigen 6m3")</f>
        <v>Oksigen 6m3</v>
      </c>
      <c r="H1310" s="214" t="str">
        <f>IFERROR(__xludf.DUMMYFUNCTION("""COMPUTED_VALUE"""),"IN")</f>
        <v>IN</v>
      </c>
      <c r="I1310" s="214" t="str">
        <f>IFERROR(__xludf.DUMMYFUNCTION("""COMPUTED_VALUE"""),"EMPTY")</f>
        <v>EMPTY</v>
      </c>
      <c r="J1310" s="211">
        <f>IFERROR(__xludf.DUMMYFUNCTION("""COMPUTED_VALUE"""),1.0)</f>
        <v>1</v>
      </c>
      <c r="K1310" s="210" t="str">
        <f>IFERROR(__xludf.DUMMYFUNCTION("""COMPUTED_VALUE"""),"11140")</f>
        <v>11140</v>
      </c>
      <c r="L1310" s="211">
        <f>IFERROR(__xludf.DUMMYFUNCTION("""COMPUTED_VALUE"""),0.0)</f>
        <v>0</v>
      </c>
      <c r="M1310" s="211"/>
      <c r="N1310" s="211"/>
      <c r="O1310" s="211"/>
      <c r="Q1310" s="210" t="str">
        <f>IFERROR(__xludf.DUMMYFUNCTION("""COMPUTED_VALUE"""),"0925511307")</f>
        <v>0925511307</v>
      </c>
      <c r="R1310" s="210" t="str">
        <f>IFERROR(__xludf.DUMMYFUNCTION("""COMPUTED_VALUE"""),"0925511307")</f>
        <v>0925511307</v>
      </c>
      <c r="S1310" s="211" t="str">
        <f>IFERROR(__xludf.DUMMYFUNCTION("""COMPUTED_VALUE"""),"e86baf3b")</f>
        <v>e86baf3b</v>
      </c>
      <c r="T1310" s="211" t="str">
        <f>IFERROR(__xludf.DUMMYFUNCTION("""COMPUTED_VALUE"""),"PT GEMILANG CIPTA WAWASAN")</f>
        <v>PT GEMILANG CIPTA WAWASAN</v>
      </c>
      <c r="U1310" s="215">
        <f>IFERROR(__xludf.DUMMYFUNCTION("""COMPUTED_VALUE"""),45922.60189814815)</f>
        <v>45922.6019</v>
      </c>
      <c r="V1310" s="211" t="str">
        <f>IFERROR(__xludf.DUMMYFUNCTION("""COMPUTED_VALUE"""),"JL TEBET RAYA, 2A, TEBET BARAT, TEBET, KOTA ADM, JAKARTA SELATAN, DKI JAKARTA")</f>
        <v>JL TEBET RAYA, 2A, TEBET BARAT, TEBET, KOTA ADM, JAKARTA SELATAN, DKI JAKARTA</v>
      </c>
      <c r="W1310" s="211" t="str">
        <f>IFERROR(__xludf.DUMMYFUNCTION("""COMPUTED_VALUE"""),"OUT")</f>
        <v>OUT</v>
      </c>
      <c r="X1310" s="211"/>
      <c r="Z1310" s="211" t="str">
        <f>IFERROR(__xludf.DUMMYFUNCTION("""COMPUTED_VALUE"""),"11240116")</f>
        <v>11240116</v>
      </c>
      <c r="AL1310" s="211"/>
      <c r="AM1310" s="211"/>
      <c r="AN1310" s="211"/>
      <c r="AO1310" s="211"/>
      <c r="AP1310" s="215"/>
      <c r="AQ1310" s="218"/>
      <c r="AR1310" s="211"/>
    </row>
    <row r="1311">
      <c r="A1311" s="210" t="str">
        <f>IFERROR(__xludf.DUMMYFUNCTION("""COMPUTED_VALUE"""),"e542b575")</f>
        <v>e542b575</v>
      </c>
      <c r="B1311" s="210" t="str">
        <f>IFERROR(__xludf.DUMMYFUNCTION("""COMPUTED_VALUE"""),"e542b575")</f>
        <v>e542b575</v>
      </c>
      <c r="C1311" s="213">
        <f>IFERROR(__xludf.DUMMYFUNCTION("""COMPUTED_VALUE"""),45843.51597222222)</f>
        <v>45843.51597</v>
      </c>
      <c r="D1311" s="211" t="str">
        <f>IFERROR(__xludf.DUMMYFUNCTION("""COMPUTED_VALUE"""),"f01dab70")</f>
        <v>f01dab70</v>
      </c>
      <c r="E1311" s="211" t="str">
        <f>IFERROR(__xludf.DUMMYFUNCTION("""COMPUTED_VALUE"""),"Bpk. Yudi")</f>
        <v>Bpk. Yudi</v>
      </c>
      <c r="F1311" s="211" t="str">
        <f>IFERROR(__xludf.DUMMYFUNCTION("""COMPUTED_VALUE"""),"66af7c72")</f>
        <v>66af7c72</v>
      </c>
      <c r="G1311" s="211" t="str">
        <f>IFERROR(__xludf.DUMMYFUNCTION("""COMPUTED_VALUE"""),"Argon 6m3")</f>
        <v>Argon 6m3</v>
      </c>
      <c r="H1311" s="214" t="str">
        <f>IFERROR(__xludf.DUMMYFUNCTION("""COMPUTED_VALUE"""),"IN")</f>
        <v>IN</v>
      </c>
      <c r="I1311" s="214" t="str">
        <f>IFERROR(__xludf.DUMMYFUNCTION("""COMPUTED_VALUE"""),"EMPTY")</f>
        <v>EMPTY</v>
      </c>
      <c r="J1311" s="211">
        <f>IFERROR(__xludf.DUMMYFUNCTION("""COMPUTED_VALUE"""),1.0)</f>
        <v>1</v>
      </c>
      <c r="K1311" s="210" t="str">
        <f>IFERROR(__xludf.DUMMYFUNCTION("""COMPUTED_VALUE"""),"12001")</f>
        <v>12001</v>
      </c>
      <c r="L1311" s="211">
        <f>IFERROR(__xludf.DUMMYFUNCTION("""COMPUTED_VALUE"""),0.0)</f>
        <v>0</v>
      </c>
      <c r="M1311" s="211"/>
      <c r="N1311" s="211"/>
      <c r="O1311" s="211"/>
      <c r="Q1311" s="210" t="str">
        <f>IFERROR(__xludf.DUMMYFUNCTION("""COMPUTED_VALUE"""),"1250605")</f>
        <v>1250605</v>
      </c>
      <c r="R1311" s="210" t="str">
        <f>IFERROR(__xludf.DUMMYFUNCTION("""COMPUTED_VALUE"""),"1250605")</f>
        <v>1250605</v>
      </c>
      <c r="S1311" s="211" t="str">
        <f>IFERROR(__xludf.DUMMYFUNCTION("""COMPUTED_VALUE"""),"e86baf3b")</f>
        <v>e86baf3b</v>
      </c>
      <c r="T1311" s="211" t="str">
        <f>IFERROR(__xludf.DUMMYFUNCTION("""COMPUTED_VALUE"""),"PT GEMILANG CIPTA WAWASAN")</f>
        <v>PT GEMILANG CIPTA WAWASAN</v>
      </c>
      <c r="U1311" s="215">
        <f>IFERROR(__xludf.DUMMYFUNCTION("""COMPUTED_VALUE"""),45922.65332175926)</f>
        <v>45922.65332</v>
      </c>
      <c r="V1311" s="211" t="str">
        <f>IFERROR(__xludf.DUMMYFUNCTION("""COMPUTED_VALUE"""),"JL TEBET RAYA, 2A, TEBET BARAT, TEBET, KOTA ADM, JAKARTA SELATAN, DKI JAKARTA")</f>
        <v>JL TEBET RAYA, 2A, TEBET BARAT, TEBET, KOTA ADM, JAKARTA SELATAN, DKI JAKARTA</v>
      </c>
      <c r="W1311" s="211" t="str">
        <f>IFERROR(__xludf.DUMMYFUNCTION("""COMPUTED_VALUE"""),"IN")</f>
        <v>IN</v>
      </c>
      <c r="X1311" s="211"/>
      <c r="Z1311" s="211" t="str">
        <f>IFERROR(__xludf.DUMMYFUNCTION("""COMPUTED_VALUE"""),"11240122")</f>
        <v>11240122</v>
      </c>
      <c r="AL1311" s="211"/>
      <c r="AM1311" s="211"/>
      <c r="AN1311" s="211"/>
      <c r="AO1311" s="211"/>
      <c r="AP1311" s="215"/>
      <c r="AQ1311" s="218"/>
      <c r="AR1311" s="211"/>
    </row>
    <row r="1312">
      <c r="A1312" s="210" t="str">
        <f>IFERROR(__xludf.DUMMYFUNCTION("""COMPUTED_VALUE"""),"f24f4587")</f>
        <v>f24f4587</v>
      </c>
      <c r="B1312" s="210" t="str">
        <f>IFERROR(__xludf.DUMMYFUNCTION("""COMPUTED_VALUE"""),"f24f4587")</f>
        <v>f24f4587</v>
      </c>
      <c r="C1312" s="213">
        <f>IFERROR(__xludf.DUMMYFUNCTION("""COMPUTED_VALUE"""),45843.51666666667)</f>
        <v>45843.51667</v>
      </c>
      <c r="D1312" s="211" t="str">
        <f>IFERROR(__xludf.DUMMYFUNCTION("""COMPUTED_VALUE"""),"01158be1")</f>
        <v>01158be1</v>
      </c>
      <c r="E1312" s="211" t="str">
        <f>IFERROR(__xludf.DUMMYFUNCTION("""COMPUTED_VALUE"""),"GYF")</f>
        <v>GYF</v>
      </c>
      <c r="F1312" s="211" t="str">
        <f>IFERROR(__xludf.DUMMYFUNCTION("""COMPUTED_VALUE"""),"8bdbe149")</f>
        <v>8bdbe149</v>
      </c>
      <c r="G1312" s="211" t="str">
        <f>IFERROR(__xludf.DUMMYFUNCTION("""COMPUTED_VALUE"""),"Oksigen 6m3")</f>
        <v>Oksigen 6m3</v>
      </c>
      <c r="H1312" s="214" t="str">
        <f>IFERROR(__xludf.DUMMYFUNCTION("""COMPUTED_VALUE"""),"IN")</f>
        <v>IN</v>
      </c>
      <c r="I1312" s="214" t="str">
        <f>IFERROR(__xludf.DUMMYFUNCTION("""COMPUTED_VALUE"""),"EMPTY")</f>
        <v>EMPTY</v>
      </c>
      <c r="J1312" s="211">
        <f>IFERROR(__xludf.DUMMYFUNCTION("""COMPUTED_VALUE"""),8.0)</f>
        <v>8</v>
      </c>
      <c r="K1312" s="210" t="str">
        <f>IFERROR(__xludf.DUMMYFUNCTION("""COMPUTED_VALUE"""),"11278 11175 11269 11247 11128 11229 1157 1181")</f>
        <v>11278 11175 11269 11247 11128 11229 1157 1181</v>
      </c>
      <c r="L1312" s="211">
        <f>IFERROR(__xludf.DUMMYFUNCTION("""COMPUTED_VALUE"""),0.0)</f>
        <v>0</v>
      </c>
      <c r="M1312" s="211"/>
      <c r="N1312" s="211"/>
      <c r="O1312" s="211"/>
      <c r="Q1312" s="210" t="str">
        <f>IFERROR(__xludf.DUMMYFUNCTION("""COMPUTED_VALUE"""),"0925191311")</f>
        <v>0925191311</v>
      </c>
      <c r="R1312" s="210" t="str">
        <f>IFERROR(__xludf.DUMMYFUNCTION("""COMPUTED_VALUE"""),"0925191311")</f>
        <v>0925191311</v>
      </c>
      <c r="S1312" s="211" t="str">
        <f>IFERROR(__xludf.DUMMYFUNCTION("""COMPUTED_VALUE"""),"b2b5f2c5")</f>
        <v>b2b5f2c5</v>
      </c>
      <c r="T1312" s="211" t="str">
        <f>IFERROR(__xludf.DUMMYFUNCTION("""COMPUTED_VALUE"""),"Bengkel Las Bpk. Ari")</f>
        <v>Bengkel Las Bpk. Ari</v>
      </c>
      <c r="U1312" s="215">
        <f>IFERROR(__xludf.DUMMYFUNCTION("""COMPUTED_VALUE"""),45923.354317129626)</f>
        <v>45923.35432</v>
      </c>
      <c r="V1312" s="211" t="str">
        <f>IFERROR(__xludf.DUMMYFUNCTION("""COMPUTED_VALUE"""),"Sumber Kembar, Wonodadi, Kec. Kutorejo, Kabupaten Mojokerto, Jawa Timur")</f>
        <v>Sumber Kembar, Wonodadi, Kec. Kutorejo, Kabupaten Mojokerto, Jawa Timur</v>
      </c>
      <c r="W1312" s="211" t="str">
        <f>IFERROR(__xludf.DUMMYFUNCTION("""COMPUTED_VALUE"""),"OUT")</f>
        <v>OUT</v>
      </c>
      <c r="X1312" s="211"/>
      <c r="Z1312" s="211" t="str">
        <f>IFERROR(__xludf.DUMMYFUNCTION("""COMPUTED_VALUE"""),"11240120")</f>
        <v>11240120</v>
      </c>
      <c r="AL1312" s="211"/>
      <c r="AM1312" s="211"/>
      <c r="AN1312" s="211"/>
      <c r="AO1312" s="211"/>
      <c r="AP1312" s="215"/>
      <c r="AQ1312" s="218"/>
      <c r="AR1312" s="211"/>
    </row>
    <row r="1313">
      <c r="A1313" s="210" t="str">
        <f>IFERROR(__xludf.DUMMYFUNCTION("""COMPUTED_VALUE"""),"07250563")</f>
        <v>07250563</v>
      </c>
      <c r="B1313" s="210" t="str">
        <f>IFERROR(__xludf.DUMMYFUNCTION("""COMPUTED_VALUE"""),"07250563")</f>
        <v>07250563</v>
      </c>
      <c r="C1313" s="213">
        <f>IFERROR(__xludf.DUMMYFUNCTION("""COMPUTED_VALUE"""),45843.52847222222)</f>
        <v>45843.52847</v>
      </c>
      <c r="D1313" s="211" t="str">
        <f>IFERROR(__xludf.DUMMYFUNCTION("""COMPUTED_VALUE"""),"e76bc39c")</f>
        <v>e76bc39c</v>
      </c>
      <c r="E1313" s="211" t="str">
        <f>IFERROR(__xludf.DUMMYFUNCTION("""COMPUTED_VALUE"""),"Bpk. Irul")</f>
        <v>Bpk. Irul</v>
      </c>
      <c r="F1313" s="211" t="str">
        <f>IFERROR(__xludf.DUMMYFUNCTION("""COMPUTED_VALUE"""),"8bdbe149")</f>
        <v>8bdbe149</v>
      </c>
      <c r="G1313" s="211" t="str">
        <f>IFERROR(__xludf.DUMMYFUNCTION("""COMPUTED_VALUE"""),"Oksigen 6m3")</f>
        <v>Oksigen 6m3</v>
      </c>
      <c r="H1313" s="214" t="str">
        <f>IFERROR(__xludf.DUMMYFUNCTION("""COMPUTED_VALUE"""),"OUT")</f>
        <v>OUT</v>
      </c>
      <c r="I1313" s="214" t="str">
        <f>IFERROR(__xludf.DUMMYFUNCTION("""COMPUTED_VALUE"""),"NORMAL")</f>
        <v>NORMAL</v>
      </c>
      <c r="J1313" s="211">
        <f>IFERROR(__xludf.DUMMYFUNCTION("""COMPUTED_VALUE"""),1.0)</f>
        <v>1</v>
      </c>
      <c r="K1313" s="210" t="str">
        <f>IFERROR(__xludf.DUMMYFUNCTION("""COMPUTED_VALUE"""),"11242")</f>
        <v>11242</v>
      </c>
      <c r="L1313" s="211">
        <f>IFERROR(__xludf.DUMMYFUNCTION("""COMPUTED_VALUE"""),65000.0)</f>
        <v>65000</v>
      </c>
      <c r="M1313" s="211"/>
      <c r="N1313" s="211"/>
      <c r="O1313" s="211"/>
      <c r="Q1313" s="210" t="str">
        <f>IFERROR(__xludf.DUMMYFUNCTION("""COMPUTED_VALUE"""),"0925121313")</f>
        <v>0925121313</v>
      </c>
      <c r="R1313" s="210" t="str">
        <f>IFERROR(__xludf.DUMMYFUNCTION("""COMPUTED_VALUE"""),"0925121313")</f>
        <v>0925121313</v>
      </c>
      <c r="S1313" s="211" t="str">
        <f>IFERROR(__xludf.DUMMYFUNCTION("""COMPUTED_VALUE"""),"3bcd7fe6")</f>
        <v>3bcd7fe6</v>
      </c>
      <c r="T1313" s="211" t="str">
        <f>IFERROR(__xludf.DUMMYFUNCTION("""COMPUTED_VALUE"""),"Bpk. Alvin (LB Group)")</f>
        <v>Bpk. Alvin (LB Group)</v>
      </c>
      <c r="U1313" s="215">
        <f>IFERROR(__xludf.DUMMYFUNCTION("""COMPUTED_VALUE"""),45923.360300925924)</f>
        <v>45923.3603</v>
      </c>
      <c r="V1313" s="211" t="str">
        <f>IFERROR(__xludf.DUMMYFUNCTION("""COMPUTED_VALUE"""),"MFF9+XHC, Jalan, Tambakrejo, Temuireng, Kec. Dawar Blandong, Kabupaten Mojokerto, Jawa Timur 61354")</f>
        <v>MFF9+XHC, Jalan, Tambakrejo, Temuireng, Kec. Dawar Blandong, Kabupaten Mojokerto, Jawa Timur 61354</v>
      </c>
      <c r="W1313" s="211" t="str">
        <f>IFERROR(__xludf.DUMMYFUNCTION("""COMPUTED_VALUE"""),"OUT")</f>
        <v>OUT</v>
      </c>
      <c r="X1313" s="211"/>
      <c r="Z1313" s="211" t="str">
        <f>IFERROR(__xludf.DUMMYFUNCTION("""COMPUTED_VALUE"""),"11240115")</f>
        <v>11240115</v>
      </c>
      <c r="AL1313" s="211"/>
      <c r="AM1313" s="211"/>
      <c r="AN1313" s="211"/>
      <c r="AO1313" s="211"/>
      <c r="AP1313" s="215"/>
      <c r="AQ1313" s="218"/>
      <c r="AR1313" s="211"/>
    </row>
    <row r="1314">
      <c r="A1314" s="210" t="str">
        <f>IFERROR(__xludf.DUMMYFUNCTION("""COMPUTED_VALUE"""),"07250563")</f>
        <v>07250563</v>
      </c>
      <c r="B1314" s="210" t="str">
        <f>IFERROR(__xludf.DUMMYFUNCTION("""COMPUTED_VALUE"""),"07250563")</f>
        <v>07250563</v>
      </c>
      <c r="C1314" s="213">
        <f>IFERROR(__xludf.DUMMYFUNCTION("""COMPUTED_VALUE"""),45843.52847222222)</f>
        <v>45843.52847</v>
      </c>
      <c r="D1314" s="211" t="str">
        <f>IFERROR(__xludf.DUMMYFUNCTION("""COMPUTED_VALUE"""),"e76bc39c")</f>
        <v>e76bc39c</v>
      </c>
      <c r="E1314" s="211" t="str">
        <f>IFERROR(__xludf.DUMMYFUNCTION("""COMPUTED_VALUE"""),"Bpk. Irul")</f>
        <v>Bpk. Irul</v>
      </c>
      <c r="F1314" s="211" t="str">
        <f>IFERROR(__xludf.DUMMYFUNCTION("""COMPUTED_VALUE"""),"be525f3b")</f>
        <v>be525f3b</v>
      </c>
      <c r="G1314" s="211" t="str">
        <f>IFERROR(__xludf.DUMMYFUNCTION("""COMPUTED_VALUE"""),"LPG 12kg")</f>
        <v>LPG 12kg</v>
      </c>
      <c r="H1314" s="214" t="str">
        <f>IFERROR(__xludf.DUMMYFUNCTION("""COMPUTED_VALUE"""),"OUT")</f>
        <v>OUT</v>
      </c>
      <c r="I1314" s="214" t="str">
        <f>IFERROR(__xludf.DUMMYFUNCTION("""COMPUTED_VALUE"""),"NORMAL")</f>
        <v>NORMAL</v>
      </c>
      <c r="J1314" s="211">
        <f>IFERROR(__xludf.DUMMYFUNCTION("""COMPUTED_VALUE"""),1.0)</f>
        <v>1</v>
      </c>
      <c r="K1314" s="211"/>
      <c r="L1314" s="211">
        <f>IFERROR(__xludf.DUMMYFUNCTION("""COMPUTED_VALUE"""),215000.0)</f>
        <v>215000</v>
      </c>
      <c r="M1314" s="211"/>
      <c r="N1314" s="211"/>
      <c r="O1314" s="211"/>
      <c r="Q1314" s="210" t="str">
        <f>IFERROR(__xludf.DUMMYFUNCTION("""COMPUTED_VALUE"""),"092511314")</f>
        <v>092511314</v>
      </c>
      <c r="R1314" s="210" t="str">
        <f>IFERROR(__xludf.DUMMYFUNCTION("""COMPUTED_VALUE"""),"092511314")</f>
        <v>092511314</v>
      </c>
      <c r="S1314" s="211" t="str">
        <f>IFERROR(__xludf.DUMMYFUNCTION("""COMPUTED_VALUE"""),"370c84d1")</f>
        <v>370c84d1</v>
      </c>
      <c r="T1314" s="211" t="str">
        <f>IFERROR(__xludf.DUMMYFUNCTION("""COMPUTED_VALUE"""),"PT. Citra Bintang Karya")</f>
        <v>PT. Citra Bintang Karya</v>
      </c>
      <c r="U1314" s="215">
        <f>IFERROR(__xludf.DUMMYFUNCTION("""COMPUTED_VALUE"""),45923.38313657408)</f>
        <v>45923.38314</v>
      </c>
      <c r="V1314" s="211" t="str">
        <f>IFERROR(__xludf.DUMMYFUNCTION("""COMPUTED_VALUE"""),"JL. Mayjen Bambang Yuwono No.21, Sirapan, Kemangsen, Kec. Balongbendo, Kabupaten Sidoarjo, Jawa Timur 61262")</f>
        <v>JL. Mayjen Bambang Yuwono No.21, Sirapan, Kemangsen, Kec. Balongbendo, Kabupaten Sidoarjo, Jawa Timur 61262</v>
      </c>
      <c r="W1314" s="211" t="str">
        <f>IFERROR(__xludf.DUMMYFUNCTION("""COMPUTED_VALUE"""),"OUT")</f>
        <v>OUT</v>
      </c>
      <c r="X1314" s="211"/>
      <c r="Z1314" s="211" t="str">
        <f>IFERROR(__xludf.DUMMYFUNCTION("""COMPUTED_VALUE"""),"11240114")</f>
        <v>11240114</v>
      </c>
      <c r="AL1314" s="211"/>
      <c r="AM1314" s="211"/>
      <c r="AN1314" s="211"/>
      <c r="AO1314" s="211"/>
      <c r="AP1314" s="215"/>
      <c r="AQ1314" s="218"/>
      <c r="AR1314" s="211"/>
    </row>
    <row r="1315">
      <c r="A1315" s="210" t="str">
        <f>IFERROR(__xludf.DUMMYFUNCTION("""COMPUTED_VALUE"""),"58fd0494")</f>
        <v>58fd0494</v>
      </c>
      <c r="B1315" s="210" t="str">
        <f>IFERROR(__xludf.DUMMYFUNCTION("""COMPUTED_VALUE"""),"58fd0494")</f>
        <v>58fd0494</v>
      </c>
      <c r="C1315" s="213">
        <f>IFERROR(__xludf.DUMMYFUNCTION("""COMPUTED_VALUE"""),45843.58611111111)</f>
        <v>45843.58611</v>
      </c>
      <c r="D1315" s="211" t="str">
        <f>IFERROR(__xludf.DUMMYFUNCTION("""COMPUTED_VALUE"""),"e76bc39c")</f>
        <v>e76bc39c</v>
      </c>
      <c r="E1315" s="211" t="str">
        <f>IFERROR(__xludf.DUMMYFUNCTION("""COMPUTED_VALUE"""),"Bpk. Irul")</f>
        <v>Bpk. Irul</v>
      </c>
      <c r="F1315" s="211" t="str">
        <f>IFERROR(__xludf.DUMMYFUNCTION("""COMPUTED_VALUE"""),"8bdbe149")</f>
        <v>8bdbe149</v>
      </c>
      <c r="G1315" s="211" t="str">
        <f>IFERROR(__xludf.DUMMYFUNCTION("""COMPUTED_VALUE"""),"Oksigen 6m3")</f>
        <v>Oksigen 6m3</v>
      </c>
      <c r="H1315" s="214" t="str">
        <f>IFERROR(__xludf.DUMMYFUNCTION("""COMPUTED_VALUE"""),"IN")</f>
        <v>IN</v>
      </c>
      <c r="I1315" s="214" t="str">
        <f>IFERROR(__xludf.DUMMYFUNCTION("""COMPUTED_VALUE"""),"EMPTY")</f>
        <v>EMPTY</v>
      </c>
      <c r="J1315" s="211">
        <f>IFERROR(__xludf.DUMMYFUNCTION("""COMPUTED_VALUE"""),1.0)</f>
        <v>1</v>
      </c>
      <c r="K1315" s="210" t="str">
        <f>IFERROR(__xludf.DUMMYFUNCTION("""COMPUTED_VALUE"""),"1182")</f>
        <v>1182</v>
      </c>
      <c r="L1315" s="211">
        <f>IFERROR(__xludf.DUMMYFUNCTION("""COMPUTED_VALUE"""),0.0)</f>
        <v>0</v>
      </c>
      <c r="M1315" s="211"/>
      <c r="N1315" s="211"/>
      <c r="O1315" s="211"/>
      <c r="Q1315" s="210" t="str">
        <f>IFERROR(__xludf.DUMMYFUNCTION("""COMPUTED_VALUE"""),"092511315")</f>
        <v>092511315</v>
      </c>
      <c r="R1315" s="210" t="str">
        <f>IFERROR(__xludf.DUMMYFUNCTION("""COMPUTED_VALUE"""),"092511315")</f>
        <v>092511315</v>
      </c>
      <c r="S1315" s="211" t="str">
        <f>IFERROR(__xludf.DUMMYFUNCTION("""COMPUTED_VALUE"""),"5d599a87")</f>
        <v>5d599a87</v>
      </c>
      <c r="T1315" s="211" t="str">
        <f>IFERROR(__xludf.DUMMYFUNCTION("""COMPUTED_VALUE"""),"Bapak Hasan")</f>
        <v>Bapak Hasan</v>
      </c>
      <c r="U1315" s="215">
        <f>IFERROR(__xludf.DUMMYFUNCTION("""COMPUTED_VALUE"""),45923.38631944444)</f>
        <v>45923.38632</v>
      </c>
      <c r="V1315" s="211" t="str">
        <f>IFERROR(__xludf.DUMMYFUNCTION("""COMPUTED_VALUE"""),"Wonokupang Balongbendo")</f>
        <v>Wonokupang Balongbendo</v>
      </c>
      <c r="W1315" s="211" t="str">
        <f>IFERROR(__xludf.DUMMYFUNCTION("""COMPUTED_VALUE"""),"OUT")</f>
        <v>OUT</v>
      </c>
      <c r="X1315" s="211"/>
      <c r="Z1315" s="211" t="str">
        <f>IFERROR(__xludf.DUMMYFUNCTION("""COMPUTED_VALUE"""),"11240113")</f>
        <v>11240113</v>
      </c>
      <c r="AL1315" s="211"/>
      <c r="AM1315" s="211"/>
      <c r="AN1315" s="211"/>
      <c r="AO1315" s="211"/>
      <c r="AP1315" s="215"/>
      <c r="AQ1315" s="218"/>
      <c r="AR1315" s="211"/>
    </row>
    <row r="1316">
      <c r="A1316" s="210" t="str">
        <f>IFERROR(__xludf.DUMMYFUNCTION("""COMPUTED_VALUE"""),"07250565")</f>
        <v>07250565</v>
      </c>
      <c r="B1316" s="210" t="str">
        <f>IFERROR(__xludf.DUMMYFUNCTION("""COMPUTED_VALUE"""),"07250565")</f>
        <v>07250565</v>
      </c>
      <c r="C1316" s="213">
        <f>IFERROR(__xludf.DUMMYFUNCTION("""COMPUTED_VALUE"""),45845.35902777778)</f>
        <v>45845.35903</v>
      </c>
      <c r="D1316" s="211" t="str">
        <f>IFERROR(__xludf.DUMMYFUNCTION("""COMPUTED_VALUE"""),"01158be1")</f>
        <v>01158be1</v>
      </c>
      <c r="E1316" s="211" t="str">
        <f>IFERROR(__xludf.DUMMYFUNCTION("""COMPUTED_VALUE"""),"GYF")</f>
        <v>GYF</v>
      </c>
      <c r="F1316" s="211" t="str">
        <f>IFERROR(__xludf.DUMMYFUNCTION("""COMPUTED_VALUE"""),"8bdbe149")</f>
        <v>8bdbe149</v>
      </c>
      <c r="G1316" s="211" t="str">
        <f>IFERROR(__xludf.DUMMYFUNCTION("""COMPUTED_VALUE"""),"Oksigen 6m3")</f>
        <v>Oksigen 6m3</v>
      </c>
      <c r="H1316" s="214" t="str">
        <f>IFERROR(__xludf.DUMMYFUNCTION("""COMPUTED_VALUE"""),"OUT")</f>
        <v>OUT</v>
      </c>
      <c r="I1316" s="214" t="str">
        <f>IFERROR(__xludf.DUMMYFUNCTION("""COMPUTED_VALUE"""),"NORMAL")</f>
        <v>NORMAL</v>
      </c>
      <c r="J1316" s="211">
        <f>IFERROR(__xludf.DUMMYFUNCTION("""COMPUTED_VALUE"""),20.0)</f>
        <v>20</v>
      </c>
      <c r="K1316" s="210" t="str">
        <f>IFERROR(__xludf.DUMMYFUNCTION("""COMPUTED_VALUE"""),"1153 11186 1121 11270 11248 11103 11261 1133 11238 11117 1143 1162 1184 11245 11108 11105 1132 1183 1187 11120")</f>
        <v>1153 11186 1121 11270 11248 11103 11261 1133 11238 11117 1143 1162 1184 11245 11108 11105 1132 1183 1187 11120</v>
      </c>
      <c r="L1316" s="211">
        <f>IFERROR(__xludf.DUMMYFUNCTION("""COMPUTED_VALUE"""),45000.0)</f>
        <v>45000</v>
      </c>
      <c r="M1316" s="211"/>
      <c r="N1316" s="211"/>
      <c r="O1316" s="211"/>
      <c r="Q1316" s="210" t="str">
        <f>IFERROR(__xludf.DUMMYFUNCTION("""COMPUTED_VALUE"""),"1250589")</f>
        <v>1250589</v>
      </c>
      <c r="R1316" s="210" t="str">
        <f>IFERROR(__xludf.DUMMYFUNCTION("""COMPUTED_VALUE"""),"1250589")</f>
        <v>1250589</v>
      </c>
      <c r="S1316" s="211" t="str">
        <f>IFERROR(__xludf.DUMMYFUNCTION("""COMPUTED_VALUE"""),"370c84d1")</f>
        <v>370c84d1</v>
      </c>
      <c r="T1316" s="211" t="str">
        <f>IFERROR(__xludf.DUMMYFUNCTION("""COMPUTED_VALUE"""),"PT. Citra Bintang Karya")</f>
        <v>PT. Citra Bintang Karya</v>
      </c>
      <c r="U1316" s="215">
        <f>IFERROR(__xludf.DUMMYFUNCTION("""COMPUTED_VALUE"""),45923.40394675926)</f>
        <v>45923.40395</v>
      </c>
      <c r="V1316" s="211" t="str">
        <f>IFERROR(__xludf.DUMMYFUNCTION("""COMPUTED_VALUE"""),"JL. Mayjen Bambang Yuwono No.21, Sirapan, Kemangsen, Kec. Balongbendo, Kabupaten Sidoarjo, Jawa Timur 61262")</f>
        <v>JL. Mayjen Bambang Yuwono No.21, Sirapan, Kemangsen, Kec. Balongbendo, Kabupaten Sidoarjo, Jawa Timur 61262</v>
      </c>
      <c r="W1316" s="211" t="str">
        <f>IFERROR(__xludf.DUMMYFUNCTION("""COMPUTED_VALUE"""),"IN")</f>
        <v>IN</v>
      </c>
      <c r="X1316" s="211"/>
      <c r="Z1316" s="211" t="str">
        <f>IFERROR(__xludf.DUMMYFUNCTION("""COMPUTED_VALUE"""),"11240111")</f>
        <v>11240111</v>
      </c>
      <c r="AL1316" s="211"/>
      <c r="AM1316" s="211"/>
      <c r="AN1316" s="211"/>
      <c r="AO1316" s="211"/>
      <c r="AP1316" s="215"/>
      <c r="AQ1316" s="218"/>
      <c r="AR1316" s="211"/>
    </row>
    <row r="1317">
      <c r="A1317" s="210" t="str">
        <f>IFERROR(__xludf.DUMMYFUNCTION("""COMPUTED_VALUE"""),"07250566")</f>
        <v>07250566</v>
      </c>
      <c r="B1317" s="210" t="str">
        <f>IFERROR(__xludf.DUMMYFUNCTION("""COMPUTED_VALUE"""),"07250566")</f>
        <v>07250566</v>
      </c>
      <c r="C1317" s="213">
        <f>IFERROR(__xludf.DUMMYFUNCTION("""COMPUTED_VALUE"""),45845.376388888886)</f>
        <v>45845.37639</v>
      </c>
      <c r="D1317" s="211" t="str">
        <f>IFERROR(__xludf.DUMMYFUNCTION("""COMPUTED_VALUE"""),"7b9d8eba")</f>
        <v>7b9d8eba</v>
      </c>
      <c r="E1317" s="211" t="str">
        <f>IFERROR(__xludf.DUMMYFUNCTION("""COMPUTED_VALUE"""),"PT PELANGI INDOKARYA")</f>
        <v>PT PELANGI INDOKARYA</v>
      </c>
      <c r="F1317" s="211" t="str">
        <f>IFERROR(__xludf.DUMMYFUNCTION("""COMPUTED_VALUE"""),"8bdbe149")</f>
        <v>8bdbe149</v>
      </c>
      <c r="G1317" s="211" t="str">
        <f>IFERROR(__xludf.DUMMYFUNCTION("""COMPUTED_VALUE"""),"Oksigen 6m3")</f>
        <v>Oksigen 6m3</v>
      </c>
      <c r="H1317" s="214" t="str">
        <f>IFERROR(__xludf.DUMMYFUNCTION("""COMPUTED_VALUE"""),"OUT")</f>
        <v>OUT</v>
      </c>
      <c r="I1317" s="214" t="str">
        <f>IFERROR(__xludf.DUMMYFUNCTION("""COMPUTED_VALUE"""),"NORMAL")</f>
        <v>NORMAL</v>
      </c>
      <c r="J1317" s="211">
        <f>IFERROR(__xludf.DUMMYFUNCTION("""COMPUTED_VALUE"""),5.0)</f>
        <v>5</v>
      </c>
      <c r="K1317" s="210" t="str">
        <f>IFERROR(__xludf.DUMMYFUNCTION("""COMPUTED_VALUE"""),"11251 11272 11250 1134 1117")</f>
        <v>11251 11272 11250 1134 1117</v>
      </c>
      <c r="L1317" s="211">
        <f>IFERROR(__xludf.DUMMYFUNCTION("""COMPUTED_VALUE"""),60000.0)</f>
        <v>60000</v>
      </c>
      <c r="M1317" s="211"/>
      <c r="N1317" s="211"/>
      <c r="O1317" s="211"/>
      <c r="Q1317" s="210" t="str">
        <f>IFERROR(__xludf.DUMMYFUNCTION("""COMPUTED_VALUE"""),"1250604")</f>
        <v>1250604</v>
      </c>
      <c r="R1317" s="210" t="str">
        <f>IFERROR(__xludf.DUMMYFUNCTION("""COMPUTED_VALUE"""),"1250604")</f>
        <v>1250604</v>
      </c>
      <c r="S1317" s="211" t="str">
        <f>IFERROR(__xludf.DUMMYFUNCTION("""COMPUTED_VALUE"""),"dcdf8b31")</f>
        <v>dcdf8b31</v>
      </c>
      <c r="T1317" s="211" t="str">
        <f>IFERROR(__xludf.DUMMYFUNCTION("""COMPUTED_VALUE"""),"Bpk. Samsul (Jetis)")</f>
        <v>Bpk. Samsul (Jetis)</v>
      </c>
      <c r="U1317" s="215">
        <f>IFERROR(__xludf.DUMMYFUNCTION("""COMPUTED_VALUE"""),45923.586226851854)</f>
        <v>45923.58623</v>
      </c>
      <c r="V1317" s="211" t="str">
        <f>IFERROR(__xludf.DUMMYFUNCTION("""COMPUTED_VALUE"""),"HFWF+9FG, Sido Wangi, Paringan, Kec. Jetis, Kabupaten Mojokerto, Jawa Timur")</f>
        <v>HFWF+9FG, Sido Wangi, Paringan, Kec. Jetis, Kabupaten Mojokerto, Jawa Timur</v>
      </c>
      <c r="W1317" s="211" t="str">
        <f>IFERROR(__xludf.DUMMYFUNCTION("""COMPUTED_VALUE"""),"IN")</f>
        <v>IN</v>
      </c>
      <c r="X1317" s="211"/>
      <c r="Z1317" s="211" t="str">
        <f>IFERROR(__xludf.DUMMYFUNCTION("""COMPUTED_VALUE"""),"11240110")</f>
        <v>11240110</v>
      </c>
      <c r="AL1317" s="211"/>
      <c r="AM1317" s="211"/>
      <c r="AN1317" s="211"/>
      <c r="AO1317" s="211"/>
      <c r="AP1317" s="215"/>
      <c r="AQ1317" s="218"/>
      <c r="AR1317" s="211"/>
    </row>
    <row r="1318">
      <c r="A1318" s="210" t="str">
        <f>IFERROR(__xludf.DUMMYFUNCTION("""COMPUTED_VALUE"""),"07250567")</f>
        <v>07250567</v>
      </c>
      <c r="B1318" s="210" t="str">
        <f>IFERROR(__xludf.DUMMYFUNCTION("""COMPUTED_VALUE"""),"07250567")</f>
        <v>07250567</v>
      </c>
      <c r="C1318" s="213">
        <f>IFERROR(__xludf.DUMMYFUNCTION("""COMPUTED_VALUE"""),45845.37708333333)</f>
        <v>45845.37708</v>
      </c>
      <c r="D1318" s="211" t="str">
        <f>IFERROR(__xludf.DUMMYFUNCTION("""COMPUTED_VALUE"""),"182fb0fe")</f>
        <v>182fb0fe</v>
      </c>
      <c r="E1318" s="211" t="str">
        <f>IFERROR(__xludf.DUMMYFUNCTION("""COMPUTED_VALUE"""),"PT Amtech")</f>
        <v>PT Amtech</v>
      </c>
      <c r="F1318" s="211" t="str">
        <f>IFERROR(__xludf.DUMMYFUNCTION("""COMPUTED_VALUE"""),"8bdbe149")</f>
        <v>8bdbe149</v>
      </c>
      <c r="G1318" s="211" t="str">
        <f>IFERROR(__xludf.DUMMYFUNCTION("""COMPUTED_VALUE"""),"Oksigen 6m3")</f>
        <v>Oksigen 6m3</v>
      </c>
      <c r="H1318" s="214" t="str">
        <f>IFERROR(__xludf.DUMMYFUNCTION("""COMPUTED_VALUE"""),"OUT")</f>
        <v>OUT</v>
      </c>
      <c r="I1318" s="214" t="str">
        <f>IFERROR(__xludf.DUMMYFUNCTION("""COMPUTED_VALUE"""),"NORMAL")</f>
        <v>NORMAL</v>
      </c>
      <c r="J1318" s="211">
        <f>IFERROR(__xludf.DUMMYFUNCTION("""COMPUTED_VALUE"""),10.0)</f>
        <v>10</v>
      </c>
      <c r="K1318" s="210" t="str">
        <f>IFERROR(__xludf.DUMMYFUNCTION("""COMPUTED_VALUE"""),"11133 1141 11165 1108 1188 1148 1113 1198 1131 12")</f>
        <v>11133 1141 11165 1108 1188 1148 1113 1198 1131 12</v>
      </c>
      <c r="L1318" s="211">
        <f>IFERROR(__xludf.DUMMYFUNCTION("""COMPUTED_VALUE"""),60000.0)</f>
        <v>60000</v>
      </c>
      <c r="M1318" s="211"/>
      <c r="N1318" s="211"/>
      <c r="O1318" s="211"/>
      <c r="Q1318" s="210" t="str">
        <f>IFERROR(__xludf.DUMMYFUNCTION("""COMPUTED_VALUE"""),"1250602")</f>
        <v>1250602</v>
      </c>
      <c r="R1318" s="210" t="str">
        <f>IFERROR(__xludf.DUMMYFUNCTION("""COMPUTED_VALUE"""),"1250602")</f>
        <v>1250602</v>
      </c>
      <c r="S1318" s="211" t="str">
        <f>IFERROR(__xludf.DUMMYFUNCTION("""COMPUTED_VALUE"""),"3bcd7fe6")</f>
        <v>3bcd7fe6</v>
      </c>
      <c r="T1318" s="211" t="str">
        <f>IFERROR(__xludf.DUMMYFUNCTION("""COMPUTED_VALUE"""),"Bpk. Alvin (LB Group)")</f>
        <v>Bpk. Alvin (LB Group)</v>
      </c>
      <c r="U1318" s="215">
        <f>IFERROR(__xludf.DUMMYFUNCTION("""COMPUTED_VALUE"""),45923.58707175926)</f>
        <v>45923.58707</v>
      </c>
      <c r="V1318" s="211" t="str">
        <f>IFERROR(__xludf.DUMMYFUNCTION("""COMPUTED_VALUE"""),"MFF9+XHC, Jalan, Tambakrejo, Temuireng, Kec. Dawar Blandong, Kabupaten Mojokerto, Jawa Timur 61354")</f>
        <v>MFF9+XHC, Jalan, Tambakrejo, Temuireng, Kec. Dawar Blandong, Kabupaten Mojokerto, Jawa Timur 61354</v>
      </c>
      <c r="W1318" s="211" t="str">
        <f>IFERROR(__xludf.DUMMYFUNCTION("""COMPUTED_VALUE"""),"IN")</f>
        <v>IN</v>
      </c>
      <c r="X1318" s="211"/>
      <c r="Z1318" s="211" t="str">
        <f>IFERROR(__xludf.DUMMYFUNCTION("""COMPUTED_VALUE"""),"11240109")</f>
        <v>11240109</v>
      </c>
      <c r="AL1318" s="211"/>
      <c r="AM1318" s="211"/>
      <c r="AN1318" s="211"/>
      <c r="AO1318" s="211"/>
      <c r="AP1318" s="215"/>
      <c r="AQ1318" s="218"/>
      <c r="AR1318" s="211"/>
    </row>
    <row r="1319">
      <c r="A1319" s="210" t="str">
        <f>IFERROR(__xludf.DUMMYFUNCTION("""COMPUTED_VALUE"""),"07250567")</f>
        <v>07250567</v>
      </c>
      <c r="B1319" s="210" t="str">
        <f>IFERROR(__xludf.DUMMYFUNCTION("""COMPUTED_VALUE"""),"07250567")</f>
        <v>07250567</v>
      </c>
      <c r="C1319" s="213">
        <f>IFERROR(__xludf.DUMMYFUNCTION("""COMPUTED_VALUE"""),45845.37708333333)</f>
        <v>45845.37708</v>
      </c>
      <c r="D1319" s="211" t="str">
        <f>IFERROR(__xludf.DUMMYFUNCTION("""COMPUTED_VALUE"""),"182fb0fe")</f>
        <v>182fb0fe</v>
      </c>
      <c r="E1319" s="211" t="str">
        <f>IFERROR(__xludf.DUMMYFUNCTION("""COMPUTED_VALUE"""),"PT Amtech")</f>
        <v>PT Amtech</v>
      </c>
      <c r="F1319" s="211" t="str">
        <f>IFERROR(__xludf.DUMMYFUNCTION("""COMPUTED_VALUE"""),"be525f3b")</f>
        <v>be525f3b</v>
      </c>
      <c r="G1319" s="211" t="str">
        <f>IFERROR(__xludf.DUMMYFUNCTION("""COMPUTED_VALUE"""),"LPG 12kg")</f>
        <v>LPG 12kg</v>
      </c>
      <c r="H1319" s="214" t="str">
        <f>IFERROR(__xludf.DUMMYFUNCTION("""COMPUTED_VALUE"""),"OUT")</f>
        <v>OUT</v>
      </c>
      <c r="I1319" s="214" t="str">
        <f>IFERROR(__xludf.DUMMYFUNCTION("""COMPUTED_VALUE"""),"NORMAL")</f>
        <v>NORMAL</v>
      </c>
      <c r="J1319" s="211">
        <f>IFERROR(__xludf.DUMMYFUNCTION("""COMPUTED_VALUE"""),2.0)</f>
        <v>2</v>
      </c>
      <c r="K1319" s="211"/>
      <c r="L1319" s="211">
        <f>IFERROR(__xludf.DUMMYFUNCTION("""COMPUTED_VALUE"""),210000.0)</f>
        <v>210000</v>
      </c>
      <c r="M1319" s="211"/>
      <c r="N1319" s="211"/>
      <c r="O1319" s="211"/>
      <c r="Q1319" s="210" t="str">
        <f>IFERROR(__xludf.DUMMYFUNCTION("""COMPUTED_VALUE"""),"1250603")</f>
        <v>1250603</v>
      </c>
      <c r="R1319" s="210" t="str">
        <f>IFERROR(__xludf.DUMMYFUNCTION("""COMPUTED_VALUE"""),"1250603")</f>
        <v>1250603</v>
      </c>
      <c r="S1319" s="211" t="str">
        <f>IFERROR(__xludf.DUMMYFUNCTION("""COMPUTED_VALUE"""),"b2b5f2c5")</f>
        <v>b2b5f2c5</v>
      </c>
      <c r="T1319" s="211" t="str">
        <f>IFERROR(__xludf.DUMMYFUNCTION("""COMPUTED_VALUE"""),"Bengkel Las Bpk. Ari")</f>
        <v>Bengkel Las Bpk. Ari</v>
      </c>
      <c r="U1319" s="215">
        <f>IFERROR(__xludf.DUMMYFUNCTION("""COMPUTED_VALUE"""),45923.5875)</f>
        <v>45923.5875</v>
      </c>
      <c r="V1319" s="211" t="str">
        <f>IFERROR(__xludf.DUMMYFUNCTION("""COMPUTED_VALUE"""),"Sumber Kembar, Wonodadi, Kec. Kutorejo, Kabupaten Mojokerto, Jawa Timur")</f>
        <v>Sumber Kembar, Wonodadi, Kec. Kutorejo, Kabupaten Mojokerto, Jawa Timur</v>
      </c>
      <c r="W1319" s="211" t="str">
        <f>IFERROR(__xludf.DUMMYFUNCTION("""COMPUTED_VALUE"""),"IN")</f>
        <v>IN</v>
      </c>
      <c r="X1319" s="211"/>
      <c r="Z1319" s="211" t="str">
        <f>IFERROR(__xludf.DUMMYFUNCTION("""COMPUTED_VALUE"""),"11240105")</f>
        <v>11240105</v>
      </c>
      <c r="AL1319" s="211"/>
      <c r="AM1319" s="211"/>
      <c r="AN1319" s="211"/>
      <c r="AO1319" s="211"/>
      <c r="AP1319" s="215"/>
      <c r="AQ1319" s="218"/>
      <c r="AR1319" s="211"/>
    </row>
    <row r="1320">
      <c r="A1320" s="210" t="str">
        <f>IFERROR(__xludf.DUMMYFUNCTION("""COMPUTED_VALUE"""),"60049fb5")</f>
        <v>60049fb5</v>
      </c>
      <c r="B1320" s="210" t="str">
        <f>IFERROR(__xludf.DUMMYFUNCTION("""COMPUTED_VALUE"""),"60049fb5")</f>
        <v>60049fb5</v>
      </c>
      <c r="C1320" s="213">
        <f>IFERROR(__xludf.DUMMYFUNCTION("""COMPUTED_VALUE"""),45845.566666666666)</f>
        <v>45845.56667</v>
      </c>
      <c r="D1320" s="211" t="str">
        <f>IFERROR(__xludf.DUMMYFUNCTION("""COMPUTED_VALUE"""),"7b9d8eba")</f>
        <v>7b9d8eba</v>
      </c>
      <c r="E1320" s="211" t="str">
        <f>IFERROR(__xludf.DUMMYFUNCTION("""COMPUTED_VALUE"""),"PT PELANGI INDOKARYA")</f>
        <v>PT PELANGI INDOKARYA</v>
      </c>
      <c r="F1320" s="211" t="str">
        <f>IFERROR(__xludf.DUMMYFUNCTION("""COMPUTED_VALUE"""),"8bdbe149")</f>
        <v>8bdbe149</v>
      </c>
      <c r="G1320" s="211" t="str">
        <f>IFERROR(__xludf.DUMMYFUNCTION("""COMPUTED_VALUE"""),"Oksigen 6m3")</f>
        <v>Oksigen 6m3</v>
      </c>
      <c r="H1320" s="214" t="str">
        <f>IFERROR(__xludf.DUMMYFUNCTION("""COMPUTED_VALUE"""),"IN")</f>
        <v>IN</v>
      </c>
      <c r="I1320" s="214" t="str">
        <f>IFERROR(__xludf.DUMMYFUNCTION("""COMPUTED_VALUE"""),"EMPTY")</f>
        <v>EMPTY</v>
      </c>
      <c r="J1320" s="211">
        <f>IFERROR(__xludf.DUMMYFUNCTION("""COMPUTED_VALUE"""),5.0)</f>
        <v>5</v>
      </c>
      <c r="K1320" s="210" t="str">
        <f>IFERROR(__xludf.DUMMYFUNCTION("""COMPUTED_VALUE"""),"1166 11266 11148 11273 1129")</f>
        <v>1166 11266 11148 11273 1129</v>
      </c>
      <c r="L1320" s="211">
        <f>IFERROR(__xludf.DUMMYFUNCTION("""COMPUTED_VALUE"""),0.0)</f>
        <v>0</v>
      </c>
      <c r="M1320" s="211"/>
      <c r="N1320" s="211"/>
      <c r="O1320" s="211"/>
      <c r="Q1320" s="210" t="str">
        <f>IFERROR(__xludf.DUMMYFUNCTION("""COMPUTED_VALUE"""),"1250611")</f>
        <v>1250611</v>
      </c>
      <c r="R1320" s="210" t="str">
        <f>IFERROR(__xludf.DUMMYFUNCTION("""COMPUTED_VALUE"""),"1250611")</f>
        <v>1250611</v>
      </c>
      <c r="S1320" s="211" t="str">
        <f>IFERROR(__xludf.DUMMYFUNCTION("""COMPUTED_VALUE"""),"ce83e171")</f>
        <v>ce83e171</v>
      </c>
      <c r="T1320" s="211" t="str">
        <f>IFERROR(__xludf.DUMMYFUNCTION("""COMPUTED_VALUE"""),"Bpk. Sulaiman")</f>
        <v>Bpk. Sulaiman</v>
      </c>
      <c r="U1320" s="215">
        <f>IFERROR(__xludf.DUMMYFUNCTION("""COMPUTED_VALUE"""),45923.58894675926)</f>
        <v>45923.58895</v>
      </c>
      <c r="V1320" s="211" t="str">
        <f>IFERROR(__xludf.DUMMYFUNCTION("""COMPUTED_VALUE"""),"Jl. Raya Kramat Temenggung No.43, Kramat, Kramat Temenggung, Kec. Tarik, Kabupaten Sidoarjo, Jawa Timur 61265")</f>
        <v>Jl. Raya Kramat Temenggung No.43, Kramat, Kramat Temenggung, Kec. Tarik, Kabupaten Sidoarjo, Jawa Timur 61265</v>
      </c>
      <c r="W1320" s="211" t="str">
        <f>IFERROR(__xludf.DUMMYFUNCTION("""COMPUTED_VALUE"""),"IN")</f>
        <v>IN</v>
      </c>
      <c r="X1320" s="211"/>
      <c r="Z1320" s="211" t="str">
        <f>IFERROR(__xludf.DUMMYFUNCTION("""COMPUTED_VALUE"""),"11240104")</f>
        <v>11240104</v>
      </c>
      <c r="AL1320" s="211"/>
      <c r="AM1320" s="211"/>
      <c r="AN1320" s="211"/>
      <c r="AO1320" s="211"/>
      <c r="AP1320" s="215"/>
      <c r="AQ1320" s="218"/>
      <c r="AR1320" s="211"/>
    </row>
    <row r="1321">
      <c r="A1321" s="210" t="str">
        <f>IFERROR(__xludf.DUMMYFUNCTION("""COMPUTED_VALUE"""),"6898ff4b")</f>
        <v>6898ff4b</v>
      </c>
      <c r="B1321" s="210" t="str">
        <f>IFERROR(__xludf.DUMMYFUNCTION("""COMPUTED_VALUE"""),"6898ff4b")</f>
        <v>6898ff4b</v>
      </c>
      <c r="C1321" s="213">
        <f>IFERROR(__xludf.DUMMYFUNCTION("""COMPUTED_VALUE"""),45845.56736111111)</f>
        <v>45845.56736</v>
      </c>
      <c r="D1321" s="211" t="str">
        <f>IFERROR(__xludf.DUMMYFUNCTION("""COMPUTED_VALUE"""),"182fb0fe")</f>
        <v>182fb0fe</v>
      </c>
      <c r="E1321" s="211" t="str">
        <f>IFERROR(__xludf.DUMMYFUNCTION("""COMPUTED_VALUE"""),"PT Amtech")</f>
        <v>PT Amtech</v>
      </c>
      <c r="F1321" s="211" t="str">
        <f>IFERROR(__xludf.DUMMYFUNCTION("""COMPUTED_VALUE"""),"8bdbe149")</f>
        <v>8bdbe149</v>
      </c>
      <c r="G1321" s="211" t="str">
        <f>IFERROR(__xludf.DUMMYFUNCTION("""COMPUTED_VALUE"""),"Oksigen 6m3")</f>
        <v>Oksigen 6m3</v>
      </c>
      <c r="H1321" s="214" t="str">
        <f>IFERROR(__xludf.DUMMYFUNCTION("""COMPUTED_VALUE"""),"IN")</f>
        <v>IN</v>
      </c>
      <c r="I1321" s="214" t="str">
        <f>IFERROR(__xludf.DUMMYFUNCTION("""COMPUTED_VALUE"""),"EMPTY")</f>
        <v>EMPTY</v>
      </c>
      <c r="J1321" s="211">
        <f>IFERROR(__xludf.DUMMYFUNCTION("""COMPUTED_VALUE"""),5.0)</f>
        <v>5</v>
      </c>
      <c r="K1321" s="210" t="str">
        <f>IFERROR(__xludf.DUMMYFUNCTION("""COMPUTED_VALUE"""),"1114 11190 1196 11185 11286")</f>
        <v>1114 11190 1196 11185 11286</v>
      </c>
      <c r="L1321" s="211">
        <f>IFERROR(__xludf.DUMMYFUNCTION("""COMPUTED_VALUE"""),0.0)</f>
        <v>0</v>
      </c>
      <c r="M1321" s="211"/>
      <c r="N1321" s="211"/>
      <c r="O1321" s="211"/>
      <c r="Q1321" s="210" t="str">
        <f>IFERROR(__xludf.DUMMYFUNCTION("""COMPUTED_VALUE"""),"1250610")</f>
        <v>1250610</v>
      </c>
      <c r="R1321" s="210" t="str">
        <f>IFERROR(__xludf.DUMMYFUNCTION("""COMPUTED_VALUE"""),"1250610")</f>
        <v>1250610</v>
      </c>
      <c r="S1321" s="211" t="str">
        <f>IFERROR(__xludf.DUMMYFUNCTION("""COMPUTED_VALUE"""),"01158be1")</f>
        <v>01158be1</v>
      </c>
      <c r="T1321" s="211" t="str">
        <f>IFERROR(__xludf.DUMMYFUNCTION("""COMPUTED_VALUE"""),"GYF")</f>
        <v>GYF</v>
      </c>
      <c r="U1321" s="215">
        <f>IFERROR(__xludf.DUMMYFUNCTION("""COMPUTED_VALUE"""),45923.589907407404)</f>
        <v>45923.58991</v>
      </c>
      <c r="V1321" s="211" t="str">
        <f>IFERROR(__xludf.DUMMYFUNCTION("""COMPUTED_VALUE"""),"Kangkungan, Lengkong, Kec. Mojoanyar, Kabupaten Mojokerto, Jawa Timur")</f>
        <v>Kangkungan, Lengkong, Kec. Mojoanyar, Kabupaten Mojokerto, Jawa Timur</v>
      </c>
      <c r="W1321" s="211" t="str">
        <f>IFERROR(__xludf.DUMMYFUNCTION("""COMPUTED_VALUE"""),"IN")</f>
        <v>IN</v>
      </c>
      <c r="X1321" s="211"/>
      <c r="Z1321" s="211" t="str">
        <f>IFERROR(__xludf.DUMMYFUNCTION("""COMPUTED_VALUE"""),"11240102")</f>
        <v>11240102</v>
      </c>
      <c r="AL1321" s="211"/>
      <c r="AM1321" s="211"/>
      <c r="AN1321" s="211"/>
      <c r="AO1321" s="211"/>
      <c r="AP1321" s="215"/>
      <c r="AQ1321" s="218"/>
      <c r="AR1321" s="211"/>
    </row>
    <row r="1322">
      <c r="A1322" s="210" t="str">
        <f>IFERROR(__xludf.DUMMYFUNCTION("""COMPUTED_VALUE"""),"6898ff4b")</f>
        <v>6898ff4b</v>
      </c>
      <c r="B1322" s="210" t="str">
        <f>IFERROR(__xludf.DUMMYFUNCTION("""COMPUTED_VALUE"""),"6898ff4b")</f>
        <v>6898ff4b</v>
      </c>
      <c r="C1322" s="213">
        <f>IFERROR(__xludf.DUMMYFUNCTION("""COMPUTED_VALUE"""),45845.56736111111)</f>
        <v>45845.56736</v>
      </c>
      <c r="D1322" s="211" t="str">
        <f>IFERROR(__xludf.DUMMYFUNCTION("""COMPUTED_VALUE"""),"182fb0fe")</f>
        <v>182fb0fe</v>
      </c>
      <c r="E1322" s="211" t="str">
        <f>IFERROR(__xludf.DUMMYFUNCTION("""COMPUTED_VALUE"""),"PT Amtech")</f>
        <v>PT Amtech</v>
      </c>
      <c r="F1322" s="211" t="str">
        <f>IFERROR(__xludf.DUMMYFUNCTION("""COMPUTED_VALUE"""),"66af7c72")</f>
        <v>66af7c72</v>
      </c>
      <c r="G1322" s="211" t="str">
        <f>IFERROR(__xludf.DUMMYFUNCTION("""COMPUTED_VALUE"""),"Argon 6m3")</f>
        <v>Argon 6m3</v>
      </c>
      <c r="H1322" s="214" t="str">
        <f>IFERROR(__xludf.DUMMYFUNCTION("""COMPUTED_VALUE"""),"IN")</f>
        <v>IN</v>
      </c>
      <c r="I1322" s="214" t="str">
        <f>IFERROR(__xludf.DUMMYFUNCTION("""COMPUTED_VALUE"""),"EMPTY")</f>
        <v>EMPTY</v>
      </c>
      <c r="J1322" s="211">
        <f>IFERROR(__xludf.DUMMYFUNCTION("""COMPUTED_VALUE"""),2.0)</f>
        <v>2</v>
      </c>
      <c r="K1322" s="210" t="str">
        <f>IFERROR(__xludf.DUMMYFUNCTION("""COMPUTED_VALUE"""),"12041 12046")</f>
        <v>12041 12046</v>
      </c>
      <c r="L1322" s="211">
        <f>IFERROR(__xludf.DUMMYFUNCTION("""COMPUTED_VALUE"""),0.0)</f>
        <v>0</v>
      </c>
      <c r="M1322" s="211"/>
      <c r="N1322" s="211"/>
      <c r="O1322" s="211"/>
      <c r="Q1322" s="210" t="str">
        <f>IFERROR(__xludf.DUMMYFUNCTION("""COMPUTED_VALUE"""),"092521316")</f>
        <v>092521316</v>
      </c>
      <c r="R1322" s="210" t="str">
        <f>IFERROR(__xludf.DUMMYFUNCTION("""COMPUTED_VALUE"""),"092521316")</f>
        <v>092521316</v>
      </c>
      <c r="S1322" s="211" t="str">
        <f>IFERROR(__xludf.DUMMYFUNCTION("""COMPUTED_VALUE"""),"56828503")</f>
        <v>56828503</v>
      </c>
      <c r="T1322" s="211" t="str">
        <f>IFERROR(__xludf.DUMMYFUNCTION("""COMPUTED_VALUE"""),"Bpk. Widodo (Wringinanom)")</f>
        <v>Bpk. Widodo (Wringinanom)</v>
      </c>
      <c r="U1322" s="215">
        <f>IFERROR(__xludf.DUMMYFUNCTION("""COMPUTED_VALUE"""),45923.62472222222)</f>
        <v>45923.62472</v>
      </c>
      <c r="V1322" s="211" t="str">
        <f>IFERROR(__xludf.DUMMYFUNCTION("""COMPUTED_VALUE"""),"JG4H+3J Area Sawah/Kebun, Lebaniwaras, Kec. Wringinanom, Kabupaten Gresik, Jawa Timur, Indonesia")</f>
        <v>JG4H+3J Area Sawah/Kebun, Lebaniwaras, Kec. Wringinanom, Kabupaten Gresik, Jawa Timur, Indonesia</v>
      </c>
      <c r="W1322" s="211" t="str">
        <f>IFERROR(__xludf.DUMMYFUNCTION("""COMPUTED_VALUE"""),"OUT")</f>
        <v>OUT</v>
      </c>
      <c r="X1322" s="211"/>
      <c r="Z1322" s="211" t="str">
        <f>IFERROR(__xludf.DUMMYFUNCTION("""COMPUTED_VALUE"""),"11240097")</f>
        <v>11240097</v>
      </c>
      <c r="AL1322" s="211"/>
      <c r="AM1322" s="211"/>
      <c r="AN1322" s="211"/>
      <c r="AO1322" s="211"/>
      <c r="AP1322" s="215"/>
      <c r="AQ1322" s="218"/>
      <c r="AR1322" s="211"/>
    </row>
    <row r="1323">
      <c r="A1323" s="210" t="str">
        <f>IFERROR(__xludf.DUMMYFUNCTION("""COMPUTED_VALUE"""),"2af5fd0d")</f>
        <v>2af5fd0d</v>
      </c>
      <c r="B1323" s="210" t="str">
        <f>IFERROR(__xludf.DUMMYFUNCTION("""COMPUTED_VALUE"""),"2af5fd0d")</f>
        <v>2af5fd0d</v>
      </c>
      <c r="C1323" s="213">
        <f>IFERROR(__xludf.DUMMYFUNCTION("""COMPUTED_VALUE"""),45845.56805555556)</f>
        <v>45845.56806</v>
      </c>
      <c r="D1323" s="211" t="str">
        <f>IFERROR(__xludf.DUMMYFUNCTION("""COMPUTED_VALUE"""),"01158be1")</f>
        <v>01158be1</v>
      </c>
      <c r="E1323" s="211" t="str">
        <f>IFERROR(__xludf.DUMMYFUNCTION("""COMPUTED_VALUE"""),"GYF")</f>
        <v>GYF</v>
      </c>
      <c r="F1323" s="211" t="str">
        <f>IFERROR(__xludf.DUMMYFUNCTION("""COMPUTED_VALUE"""),"8bdbe149")</f>
        <v>8bdbe149</v>
      </c>
      <c r="G1323" s="211" t="str">
        <f>IFERROR(__xludf.DUMMYFUNCTION("""COMPUTED_VALUE"""),"Oksigen 6m3")</f>
        <v>Oksigen 6m3</v>
      </c>
      <c r="H1323" s="214" t="str">
        <f>IFERROR(__xludf.DUMMYFUNCTION("""COMPUTED_VALUE"""),"IN")</f>
        <v>IN</v>
      </c>
      <c r="I1323" s="214" t="str">
        <f>IFERROR(__xludf.DUMMYFUNCTION("""COMPUTED_VALUE"""),"EMPTY")</f>
        <v>EMPTY</v>
      </c>
      <c r="J1323" s="211">
        <f>IFERROR(__xludf.DUMMYFUNCTION("""COMPUTED_VALUE"""),5.0)</f>
        <v>5</v>
      </c>
      <c r="K1323" s="210" t="str">
        <f>IFERROR(__xludf.DUMMYFUNCTION("""COMPUTED_VALUE"""),"1109 1154 11234 11228 1122")</f>
        <v>1109 1154 11234 11228 1122</v>
      </c>
      <c r="L1323" s="211">
        <f>IFERROR(__xludf.DUMMYFUNCTION("""COMPUTED_VALUE"""),0.0)</f>
        <v>0</v>
      </c>
      <c r="M1323" s="211"/>
      <c r="N1323" s="211"/>
      <c r="O1323" s="211"/>
      <c r="Q1323" s="210" t="str">
        <f>IFERROR(__xludf.DUMMYFUNCTION("""COMPUTED_VALUE"""),"1250612")</f>
        <v>1250612</v>
      </c>
      <c r="R1323" s="210" t="str">
        <f>IFERROR(__xludf.DUMMYFUNCTION("""COMPUTED_VALUE"""),"1250612")</f>
        <v>1250612</v>
      </c>
      <c r="S1323" s="211" t="str">
        <f>IFERROR(__xludf.DUMMYFUNCTION("""COMPUTED_VALUE"""),"56828503")</f>
        <v>56828503</v>
      </c>
      <c r="T1323" s="211" t="str">
        <f>IFERROR(__xludf.DUMMYFUNCTION("""COMPUTED_VALUE"""),"Bpk. Widodo (Wringinanom)")</f>
        <v>Bpk. Widodo (Wringinanom)</v>
      </c>
      <c r="U1323" s="215">
        <f>IFERROR(__xludf.DUMMYFUNCTION("""COMPUTED_VALUE"""),45923.70034722222)</f>
        <v>45923.70035</v>
      </c>
      <c r="V1323" s="211" t="str">
        <f>IFERROR(__xludf.DUMMYFUNCTION("""COMPUTED_VALUE"""),"JG4H+3J Area Sawah/Kebun, Lebaniwaras, Kec. Wringinanom, Kabupaten Gresik, Jawa Timur, Indonesia")</f>
        <v>JG4H+3J Area Sawah/Kebun, Lebaniwaras, Kec. Wringinanom, Kabupaten Gresik, Jawa Timur, Indonesia</v>
      </c>
      <c r="W1323" s="211" t="str">
        <f>IFERROR(__xludf.DUMMYFUNCTION("""COMPUTED_VALUE"""),"IN")</f>
        <v>IN</v>
      </c>
      <c r="X1323" s="211"/>
      <c r="Z1323" s="211" t="str">
        <f>IFERROR(__xludf.DUMMYFUNCTION("""COMPUTED_VALUE"""),"11240099")</f>
        <v>11240099</v>
      </c>
      <c r="AL1323" s="211"/>
      <c r="AM1323" s="211"/>
      <c r="AN1323" s="211"/>
      <c r="AO1323" s="211"/>
      <c r="AP1323" s="215"/>
      <c r="AQ1323" s="218"/>
      <c r="AR1323" s="211"/>
    </row>
    <row r="1324">
      <c r="A1324" s="210" t="str">
        <f>IFERROR(__xludf.DUMMYFUNCTION("""COMPUTED_VALUE"""),"07250569")</f>
        <v>07250569</v>
      </c>
      <c r="B1324" s="210" t="str">
        <f>IFERROR(__xludf.DUMMYFUNCTION("""COMPUTED_VALUE"""),"07250569")</f>
        <v>07250569</v>
      </c>
      <c r="C1324" s="213">
        <f>IFERROR(__xludf.DUMMYFUNCTION("""COMPUTED_VALUE"""),45846.393055555556)</f>
        <v>45846.39306</v>
      </c>
      <c r="D1324" s="211" t="str">
        <f>IFERROR(__xludf.DUMMYFUNCTION("""COMPUTED_VALUE"""),"b218b89b")</f>
        <v>b218b89b</v>
      </c>
      <c r="E1324" s="211" t="str">
        <f>IFERROR(__xludf.DUMMYFUNCTION("""COMPUTED_VALUE"""),"PT Harapan Sentosa")</f>
        <v>PT Harapan Sentosa</v>
      </c>
      <c r="F1324" s="211" t="str">
        <f>IFERROR(__xludf.DUMMYFUNCTION("""COMPUTED_VALUE"""),"ef306e54")</f>
        <v>ef306e54</v>
      </c>
      <c r="G1324" s="211" t="str">
        <f>IFERROR(__xludf.DUMMYFUNCTION("""COMPUTED_VALUE"""),"Karbondioksida")</f>
        <v>Karbondioksida</v>
      </c>
      <c r="H1324" s="214" t="str">
        <f>IFERROR(__xludf.DUMMYFUNCTION("""COMPUTED_VALUE"""),"OUT")</f>
        <v>OUT</v>
      </c>
      <c r="I1324" s="214" t="str">
        <f>IFERROR(__xludf.DUMMYFUNCTION("""COMPUTED_VALUE"""),"NORMAL")</f>
        <v>NORMAL</v>
      </c>
      <c r="J1324" s="211">
        <f>IFERROR(__xludf.DUMMYFUNCTION("""COMPUTED_VALUE"""),5.0)</f>
        <v>5</v>
      </c>
      <c r="K1324" s="210" t="str">
        <f>IFERROR(__xludf.DUMMYFUNCTION("""COMPUTED_VALUE"""),"13003 13004 13024 13020 13005")</f>
        <v>13003 13004 13024 13020 13005</v>
      </c>
      <c r="L1324" s="211">
        <f>IFERROR(__xludf.DUMMYFUNCTION("""COMPUTED_VALUE"""),210000.0)</f>
        <v>210000</v>
      </c>
      <c r="M1324" s="211"/>
      <c r="N1324" s="211"/>
      <c r="O1324" s="211"/>
      <c r="Q1324" s="210" t="str">
        <f>IFERROR(__xludf.DUMMYFUNCTION("""COMPUTED_VALUE"""),"0925131323")</f>
        <v>0925131323</v>
      </c>
      <c r="R1324" s="210" t="str">
        <f>IFERROR(__xludf.DUMMYFUNCTION("""COMPUTED_VALUE"""),"0925131323")</f>
        <v>0925131323</v>
      </c>
      <c r="S1324" s="211" t="str">
        <f>IFERROR(__xludf.DUMMYFUNCTION("""COMPUTED_VALUE"""),"b218b89b")</f>
        <v>b218b89b</v>
      </c>
      <c r="T1324" s="211" t="str">
        <f>IFERROR(__xludf.DUMMYFUNCTION("""COMPUTED_VALUE"""),"PT Harapan Sentosa")</f>
        <v>PT Harapan Sentosa</v>
      </c>
      <c r="U1324" s="215">
        <f>IFERROR(__xludf.DUMMYFUNCTION("""COMPUTED_VALUE"""),45924.367118055554)</f>
        <v>45924.36712</v>
      </c>
      <c r="V1324" s="211" t="str">
        <f>IFERROR(__xludf.DUMMYFUNCTION("""COMPUTED_VALUE"""),"Seketi, Jl. Purboyo II Selatan, RT.02/RW.02, Seketi, Kec. BalongBendo, Kabupaten Sidoarjo, Jawa Timur 61263")</f>
        <v>Seketi, Jl. Purboyo II Selatan, RT.02/RW.02, Seketi, Kec. BalongBendo, Kabupaten Sidoarjo, Jawa Timur 61263</v>
      </c>
      <c r="W1324" s="211" t="str">
        <f>IFERROR(__xludf.DUMMYFUNCTION("""COMPUTED_VALUE"""),"OUT")</f>
        <v>OUT</v>
      </c>
      <c r="X1324" s="211"/>
      <c r="Z1324" s="211" t="str">
        <f>IFERROR(__xludf.DUMMYFUNCTION("""COMPUTED_VALUE"""),"11240096")</f>
        <v>11240096</v>
      </c>
      <c r="AL1324" s="211"/>
      <c r="AM1324" s="211"/>
      <c r="AN1324" s="211"/>
      <c r="AO1324" s="211"/>
      <c r="AP1324" s="215"/>
      <c r="AQ1324" s="218"/>
      <c r="AR1324" s="211"/>
    </row>
    <row r="1325">
      <c r="A1325" s="210" t="str">
        <f>IFERROR(__xludf.DUMMYFUNCTION("""COMPUTED_VALUE"""),"07250570")</f>
        <v>07250570</v>
      </c>
      <c r="B1325" s="210" t="str">
        <f>IFERROR(__xludf.DUMMYFUNCTION("""COMPUTED_VALUE"""),"07250570")</f>
        <v>07250570</v>
      </c>
      <c r="C1325" s="213">
        <f>IFERROR(__xludf.DUMMYFUNCTION("""COMPUTED_VALUE"""),45846.39375)</f>
        <v>45846.39375</v>
      </c>
      <c r="D1325" s="211" t="str">
        <f>IFERROR(__xludf.DUMMYFUNCTION("""COMPUTED_VALUE"""),"dfas2312")</f>
        <v>dfas2312</v>
      </c>
      <c r="E1325" s="211" t="str">
        <f>IFERROR(__xludf.DUMMYFUNCTION("""COMPUTED_VALUE"""),"Bpk. Fuad (Parengan)")</f>
        <v>Bpk. Fuad (Parengan)</v>
      </c>
      <c r="F1325" s="211" t="str">
        <f>IFERROR(__xludf.DUMMYFUNCTION("""COMPUTED_VALUE"""),"f6aab7a9")</f>
        <v>f6aab7a9</v>
      </c>
      <c r="G1325" s="211" t="str">
        <f>IFERROR(__xludf.DUMMYFUNCTION("""COMPUTED_VALUE"""),"Oksigen 6m3 MR")</f>
        <v>Oksigen 6m3 MR</v>
      </c>
      <c r="H1325" s="214" t="str">
        <f>IFERROR(__xludf.DUMMYFUNCTION("""COMPUTED_VALUE"""),"OUT")</f>
        <v>OUT</v>
      </c>
      <c r="I1325" s="214" t="str">
        <f>IFERROR(__xludf.DUMMYFUNCTION("""COMPUTED_VALUE"""),"NORMAL")</f>
        <v>NORMAL</v>
      </c>
      <c r="J1325" s="211">
        <f>IFERROR(__xludf.DUMMYFUNCTION("""COMPUTED_VALUE"""),2.0)</f>
        <v>2</v>
      </c>
      <c r="K1325" s="211"/>
      <c r="L1325" s="211">
        <f>IFERROR(__xludf.DUMMYFUNCTION("""COMPUTED_VALUE"""),70000.0)</f>
        <v>70000</v>
      </c>
      <c r="M1325" s="211"/>
      <c r="N1325" s="211"/>
      <c r="O1325" s="211"/>
      <c r="Q1325" s="210" t="str">
        <f>IFERROR(__xludf.DUMMYFUNCTION("""COMPUTED_VALUE"""),"0925211323")</f>
        <v>0925211323</v>
      </c>
      <c r="R1325" s="210" t="str">
        <f>IFERROR(__xludf.DUMMYFUNCTION("""COMPUTED_VALUE"""),"0925211323")</f>
        <v>0925211323</v>
      </c>
      <c r="S1325" s="211" t="str">
        <f>IFERROR(__xludf.DUMMYFUNCTION("""COMPUTED_VALUE"""),"ec231cc9")</f>
        <v>ec231cc9</v>
      </c>
      <c r="T1325" s="211" t="str">
        <f>IFERROR(__xludf.DUMMYFUNCTION("""COMPUTED_VALUE"""),"Bpk. Kohir (Maintenance Velg)")</f>
        <v>Bpk. Kohir (Maintenance Velg)</v>
      </c>
      <c r="U1325" s="215">
        <f>IFERROR(__xludf.DUMMYFUNCTION("""COMPUTED_VALUE"""),45924.37144675926)</f>
        <v>45924.37145</v>
      </c>
      <c r="V1325" s="211" t="str">
        <f>IFERROR(__xludf.DUMMYFUNCTION("""COMPUTED_VALUE"""),"Jl. Lkr. Bypass Krian Timur, Sidogolong, Watugolong, Kec. Krian, Kabupaten Sidoarjo, Jawa Timur 61262")</f>
        <v>Jl. Lkr. Bypass Krian Timur, Sidogolong, Watugolong, Kec. Krian, Kabupaten Sidoarjo, Jawa Timur 61262</v>
      </c>
      <c r="W1325" s="211" t="str">
        <f>IFERROR(__xludf.DUMMYFUNCTION("""COMPUTED_VALUE"""),"OUT")</f>
        <v>OUT</v>
      </c>
      <c r="X1325" s="211"/>
      <c r="Z1325" s="211" t="str">
        <f>IFERROR(__xludf.DUMMYFUNCTION("""COMPUTED_VALUE"""),"11240095")</f>
        <v>11240095</v>
      </c>
      <c r="AL1325" s="211"/>
      <c r="AM1325" s="211"/>
      <c r="AN1325" s="211"/>
      <c r="AO1325" s="211"/>
      <c r="AP1325" s="215"/>
      <c r="AQ1325" s="218"/>
      <c r="AR1325" s="211"/>
    </row>
    <row r="1326">
      <c r="A1326" s="210" t="str">
        <f>IFERROR(__xludf.DUMMYFUNCTION("""COMPUTED_VALUE"""),"2187d7c1")</f>
        <v>2187d7c1</v>
      </c>
      <c r="B1326" s="210" t="str">
        <f>IFERROR(__xludf.DUMMYFUNCTION("""COMPUTED_VALUE"""),"2187d7c1")</f>
        <v>2187d7c1</v>
      </c>
      <c r="C1326" s="213">
        <f>IFERROR(__xludf.DUMMYFUNCTION("""COMPUTED_VALUE"""),45846.455555555556)</f>
        <v>45846.45556</v>
      </c>
      <c r="D1326" s="211" t="str">
        <f>IFERROR(__xludf.DUMMYFUNCTION("""COMPUTED_VALUE"""),"b218b89b")</f>
        <v>b218b89b</v>
      </c>
      <c r="E1326" s="211" t="str">
        <f>IFERROR(__xludf.DUMMYFUNCTION("""COMPUTED_VALUE"""),"PT Harapan Sentosa")</f>
        <v>PT Harapan Sentosa</v>
      </c>
      <c r="F1326" s="211" t="str">
        <f>IFERROR(__xludf.DUMMYFUNCTION("""COMPUTED_VALUE"""),"7d2764f1")</f>
        <v>7d2764f1</v>
      </c>
      <c r="G1326" s="211" t="str">
        <f>IFERROR(__xludf.DUMMYFUNCTION("""COMPUTED_VALUE"""),"Oksigen 7m3")</f>
        <v>Oksigen 7m3</v>
      </c>
      <c r="H1326" s="214" t="str">
        <f>IFERROR(__xludf.DUMMYFUNCTION("""COMPUTED_VALUE"""),"IN")</f>
        <v>IN</v>
      </c>
      <c r="I1326" s="214" t="str">
        <f>IFERROR(__xludf.DUMMYFUNCTION("""COMPUTED_VALUE"""),"EMPTY")</f>
        <v>EMPTY</v>
      </c>
      <c r="J1326" s="211">
        <f>IFERROR(__xludf.DUMMYFUNCTION("""COMPUTED_VALUE"""),1.0)</f>
        <v>1</v>
      </c>
      <c r="K1326" s="210" t="str">
        <f>IFERROR(__xludf.DUMMYFUNCTION("""COMPUTED_VALUE"""),"11147")</f>
        <v>11147</v>
      </c>
      <c r="L1326" s="211">
        <f>IFERROR(__xludf.DUMMYFUNCTION("""COMPUTED_VALUE"""),0.0)</f>
        <v>0</v>
      </c>
      <c r="M1326" s="211"/>
      <c r="N1326" s="211"/>
      <c r="O1326" s="211"/>
      <c r="Q1326" s="210" t="str">
        <f>IFERROR(__xludf.DUMMYFUNCTION("""COMPUTED_VALUE"""),"0925521326")</f>
        <v>0925521326</v>
      </c>
      <c r="R1326" s="210" t="str">
        <f>IFERROR(__xludf.DUMMYFUNCTION("""COMPUTED_VALUE"""),"0925521326")</f>
        <v>0925521326</v>
      </c>
      <c r="S1326" s="211" t="str">
        <f>IFERROR(__xludf.DUMMYFUNCTION("""COMPUTED_VALUE"""),"e86baf3b")</f>
        <v>e86baf3b</v>
      </c>
      <c r="T1326" s="211" t="str">
        <f>IFERROR(__xludf.DUMMYFUNCTION("""COMPUTED_VALUE"""),"PT GEMILANG CIPTA WAWASAN")</f>
        <v>PT GEMILANG CIPTA WAWASAN</v>
      </c>
      <c r="U1326" s="215">
        <f>IFERROR(__xludf.DUMMYFUNCTION("""COMPUTED_VALUE"""),45924.37400462963)</f>
        <v>45924.374</v>
      </c>
      <c r="V1326" s="211" t="str">
        <f>IFERROR(__xludf.DUMMYFUNCTION("""COMPUTED_VALUE"""),"JL TEBET RAYA, 2A, TEBET BARAT, TEBET, KOTA ADM, JAKARTA SELATAN, DKI JAKARTA")</f>
        <v>JL TEBET RAYA, 2A, TEBET BARAT, TEBET, KOTA ADM, JAKARTA SELATAN, DKI JAKARTA</v>
      </c>
      <c r="W1326" s="211" t="str">
        <f>IFERROR(__xludf.DUMMYFUNCTION("""COMPUTED_VALUE"""),"OUT")</f>
        <v>OUT</v>
      </c>
      <c r="X1326" s="211"/>
      <c r="Z1326" s="211" t="str">
        <f>IFERROR(__xludf.DUMMYFUNCTION("""COMPUTED_VALUE"""),"11240094")</f>
        <v>11240094</v>
      </c>
      <c r="AL1326" s="211"/>
      <c r="AM1326" s="211"/>
      <c r="AN1326" s="211"/>
      <c r="AO1326" s="211"/>
      <c r="AP1326" s="215"/>
      <c r="AQ1326" s="218"/>
      <c r="AR1326" s="211"/>
    </row>
    <row r="1327">
      <c r="A1327" s="210" t="str">
        <f>IFERROR(__xludf.DUMMYFUNCTION("""COMPUTED_VALUE"""),"2187d7c1")</f>
        <v>2187d7c1</v>
      </c>
      <c r="B1327" s="210" t="str">
        <f>IFERROR(__xludf.DUMMYFUNCTION("""COMPUTED_VALUE"""),"2187d7c1")</f>
        <v>2187d7c1</v>
      </c>
      <c r="C1327" s="213">
        <f>IFERROR(__xludf.DUMMYFUNCTION("""COMPUTED_VALUE"""),45846.455555555556)</f>
        <v>45846.45556</v>
      </c>
      <c r="D1327" s="211" t="str">
        <f>IFERROR(__xludf.DUMMYFUNCTION("""COMPUTED_VALUE"""),"b218b89b")</f>
        <v>b218b89b</v>
      </c>
      <c r="E1327" s="211" t="str">
        <f>IFERROR(__xludf.DUMMYFUNCTION("""COMPUTED_VALUE"""),"PT Harapan Sentosa")</f>
        <v>PT Harapan Sentosa</v>
      </c>
      <c r="F1327" s="211" t="str">
        <f>IFERROR(__xludf.DUMMYFUNCTION("""COMPUTED_VALUE"""),"ef306e54")</f>
        <v>ef306e54</v>
      </c>
      <c r="G1327" s="211" t="str">
        <f>IFERROR(__xludf.DUMMYFUNCTION("""COMPUTED_VALUE"""),"Karbondioksida")</f>
        <v>Karbondioksida</v>
      </c>
      <c r="H1327" s="214" t="str">
        <f>IFERROR(__xludf.DUMMYFUNCTION("""COMPUTED_VALUE"""),"IN")</f>
        <v>IN</v>
      </c>
      <c r="I1327" s="214" t="str">
        <f>IFERROR(__xludf.DUMMYFUNCTION("""COMPUTED_VALUE"""),"EMPTY")</f>
        <v>EMPTY</v>
      </c>
      <c r="J1327" s="211">
        <f>IFERROR(__xludf.DUMMYFUNCTION("""COMPUTED_VALUE"""),1.0)</f>
        <v>1</v>
      </c>
      <c r="K1327" s="210" t="str">
        <f>IFERROR(__xludf.DUMMYFUNCTION("""COMPUTED_VALUE"""),"13007")</f>
        <v>13007</v>
      </c>
      <c r="L1327" s="211">
        <f>IFERROR(__xludf.DUMMYFUNCTION("""COMPUTED_VALUE"""),0.0)</f>
        <v>0</v>
      </c>
      <c r="M1327" s="211"/>
      <c r="N1327" s="211"/>
      <c r="O1327" s="211"/>
      <c r="Q1327" s="210" t="str">
        <f>IFERROR(__xludf.DUMMYFUNCTION("""COMPUTED_VALUE"""),"092591327")</f>
        <v>092591327</v>
      </c>
      <c r="R1327" s="210" t="str">
        <f>IFERROR(__xludf.DUMMYFUNCTION("""COMPUTED_VALUE"""),"092591327")</f>
        <v>092591327</v>
      </c>
      <c r="S1327" s="211" t="str">
        <f>IFERROR(__xludf.DUMMYFUNCTION("""COMPUTED_VALUE"""),"e968afef")</f>
        <v>e968afef</v>
      </c>
      <c r="T1327" s="211" t="str">
        <f>IFERROR(__xludf.DUMMYFUNCTION("""COMPUTED_VALUE"""),"Bpk. Agus")</f>
        <v>Bpk. Agus</v>
      </c>
      <c r="U1327" s="215">
        <f>IFERROR(__xludf.DUMMYFUNCTION("""COMPUTED_VALUE"""),45924.40516203704)</f>
        <v>45924.40516</v>
      </c>
      <c r="V1327" s="211" t="str">
        <f>IFERROR(__xludf.DUMMYFUNCTION("""COMPUTED_VALUE"""),"Jl. Parengan 13, Semawut, Balongbendo, Kec. BalongBendo, Kabupaten Sidoarjo, Jawa Timur 61263")</f>
        <v>Jl. Parengan 13, Semawut, Balongbendo, Kec. BalongBendo, Kabupaten Sidoarjo, Jawa Timur 61263</v>
      </c>
      <c r="W1327" s="211" t="str">
        <f>IFERROR(__xludf.DUMMYFUNCTION("""COMPUTED_VALUE"""),"OUT")</f>
        <v>OUT</v>
      </c>
      <c r="X1327" s="211"/>
      <c r="Z1327" s="211" t="str">
        <f>IFERROR(__xludf.DUMMYFUNCTION("""COMPUTED_VALUE"""),"11240092")</f>
        <v>11240092</v>
      </c>
      <c r="AL1327" s="211"/>
      <c r="AM1327" s="211"/>
      <c r="AN1327" s="211"/>
      <c r="AO1327" s="211"/>
      <c r="AP1327" s="215"/>
      <c r="AQ1327" s="218"/>
      <c r="AR1327" s="211"/>
    </row>
    <row r="1328">
      <c r="A1328" s="210" t="str">
        <f>IFERROR(__xludf.DUMMYFUNCTION("""COMPUTED_VALUE"""),"9a9f51ae")</f>
        <v>9a9f51ae</v>
      </c>
      <c r="B1328" s="210" t="str">
        <f>IFERROR(__xludf.DUMMYFUNCTION("""COMPUTED_VALUE"""),"9a9f51ae")</f>
        <v>9a9f51ae</v>
      </c>
      <c r="C1328" s="213">
        <f>IFERROR(__xludf.DUMMYFUNCTION("""COMPUTED_VALUE"""),45846.45625)</f>
        <v>45846.45625</v>
      </c>
      <c r="D1328" s="211" t="str">
        <f>IFERROR(__xludf.DUMMYFUNCTION("""COMPUTED_VALUE"""),"2d88931c")</f>
        <v>2d88931c</v>
      </c>
      <c r="E1328" s="211" t="str">
        <f>IFERROR(__xludf.DUMMYFUNCTION("""COMPUTED_VALUE"""),"PT Dunia Berkat Marga Mulya")</f>
        <v>PT Dunia Berkat Marga Mulya</v>
      </c>
      <c r="F1328" s="211" t="str">
        <f>IFERROR(__xludf.DUMMYFUNCTION("""COMPUTED_VALUE"""),"8bdbe149")</f>
        <v>8bdbe149</v>
      </c>
      <c r="G1328" s="211" t="str">
        <f>IFERROR(__xludf.DUMMYFUNCTION("""COMPUTED_VALUE"""),"Oksigen 6m3")</f>
        <v>Oksigen 6m3</v>
      </c>
      <c r="H1328" s="214" t="str">
        <f>IFERROR(__xludf.DUMMYFUNCTION("""COMPUTED_VALUE"""),"IN")</f>
        <v>IN</v>
      </c>
      <c r="I1328" s="214" t="str">
        <f>IFERROR(__xludf.DUMMYFUNCTION("""COMPUTED_VALUE"""),"EMPTY")</f>
        <v>EMPTY</v>
      </c>
      <c r="J1328" s="211">
        <f>IFERROR(__xludf.DUMMYFUNCTION("""COMPUTED_VALUE"""),1.0)</f>
        <v>1</v>
      </c>
      <c r="K1328" s="210" t="str">
        <f>IFERROR(__xludf.DUMMYFUNCTION("""COMPUTED_VALUE"""),"11101")</f>
        <v>11101</v>
      </c>
      <c r="L1328" s="211">
        <f>IFERROR(__xludf.DUMMYFUNCTION("""COMPUTED_VALUE"""),0.0)</f>
        <v>0</v>
      </c>
      <c r="M1328" s="211"/>
      <c r="N1328" s="211"/>
      <c r="O1328" s="211"/>
      <c r="Q1328" s="210" t="str">
        <f>IFERROR(__xludf.DUMMYFUNCTION("""COMPUTED_VALUE"""),"092521328")</f>
        <v>092521328</v>
      </c>
      <c r="R1328" s="210" t="str">
        <f>IFERROR(__xludf.DUMMYFUNCTION("""COMPUTED_VALUE"""),"092521328")</f>
        <v>092521328</v>
      </c>
      <c r="S1328" s="211" t="str">
        <f>IFERROR(__xludf.DUMMYFUNCTION("""COMPUTED_VALUE"""),"370c84d1")</f>
        <v>370c84d1</v>
      </c>
      <c r="T1328" s="211" t="str">
        <f>IFERROR(__xludf.DUMMYFUNCTION("""COMPUTED_VALUE"""),"PT. Citra Bintang Karya")</f>
        <v>PT. Citra Bintang Karya</v>
      </c>
      <c r="U1328" s="215">
        <f>IFERROR(__xludf.DUMMYFUNCTION("""COMPUTED_VALUE"""),45924.574467592596)</f>
        <v>45924.57447</v>
      </c>
      <c r="V1328" s="211" t="str">
        <f>IFERROR(__xludf.DUMMYFUNCTION("""COMPUTED_VALUE"""),"JL. Mayjen Bambang Yuwono No.21, Sirapan, Kemangsen, Kec. Balongbendo, Kabupaten Sidoarjo, Jawa Timur 61262")</f>
        <v>JL. Mayjen Bambang Yuwono No.21, Sirapan, Kemangsen, Kec. Balongbendo, Kabupaten Sidoarjo, Jawa Timur 61262</v>
      </c>
      <c r="W1328" s="211" t="str">
        <f>IFERROR(__xludf.DUMMYFUNCTION("""COMPUTED_VALUE"""),"OUT")</f>
        <v>OUT</v>
      </c>
      <c r="X1328" s="211"/>
      <c r="Z1328" s="211" t="str">
        <f>IFERROR(__xludf.DUMMYFUNCTION("""COMPUTED_VALUE"""),"11240091")</f>
        <v>11240091</v>
      </c>
      <c r="AL1328" s="211"/>
      <c r="AM1328" s="211"/>
      <c r="AN1328" s="211"/>
      <c r="AO1328" s="211"/>
      <c r="AP1328" s="215"/>
      <c r="AQ1328" s="218"/>
      <c r="AR1328" s="211"/>
    </row>
    <row r="1329">
      <c r="A1329" s="210" t="str">
        <f>IFERROR(__xludf.DUMMYFUNCTION("""COMPUTED_VALUE"""),"07250571")</f>
        <v>07250571</v>
      </c>
      <c r="B1329" s="210" t="str">
        <f>IFERROR(__xludf.DUMMYFUNCTION("""COMPUTED_VALUE"""),"07250571")</f>
        <v>07250571</v>
      </c>
      <c r="C1329" s="213">
        <f>IFERROR(__xludf.DUMMYFUNCTION("""COMPUTED_VALUE"""),45846.527083333334)</f>
        <v>45846.52708</v>
      </c>
      <c r="D1329" s="211" t="str">
        <f>IFERROR(__xludf.DUMMYFUNCTION("""COMPUTED_VALUE"""),"e86baf3b")</f>
        <v>e86baf3b</v>
      </c>
      <c r="E1329" s="211" t="str">
        <f>IFERROR(__xludf.DUMMYFUNCTION("""COMPUTED_VALUE"""),"PT GEMILANG CIPTA WAWASAN")</f>
        <v>PT GEMILANG CIPTA WAWASAN</v>
      </c>
      <c r="F1329" s="211" t="str">
        <f>IFERROR(__xludf.DUMMYFUNCTION("""COMPUTED_VALUE"""),"8bdbe149")</f>
        <v>8bdbe149</v>
      </c>
      <c r="G1329" s="211" t="str">
        <f>IFERROR(__xludf.DUMMYFUNCTION("""COMPUTED_VALUE"""),"Oksigen 6m3")</f>
        <v>Oksigen 6m3</v>
      </c>
      <c r="H1329" s="214" t="str">
        <f>IFERROR(__xludf.DUMMYFUNCTION("""COMPUTED_VALUE"""),"OUT")</f>
        <v>OUT</v>
      </c>
      <c r="I1329" s="214" t="str">
        <f>IFERROR(__xludf.DUMMYFUNCTION("""COMPUTED_VALUE"""),"NORMAL")</f>
        <v>NORMAL</v>
      </c>
      <c r="J1329" s="211">
        <f>IFERROR(__xludf.DUMMYFUNCTION("""COMPUTED_VALUE"""),5.0)</f>
        <v>5</v>
      </c>
      <c r="K1329" s="210" t="str">
        <f>IFERROR(__xludf.DUMMYFUNCTION("""COMPUTED_VALUE"""),"11175 11269 11247 11210 11126")</f>
        <v>11175 11269 11247 11210 11126</v>
      </c>
      <c r="L1329" s="211">
        <f>IFERROR(__xludf.DUMMYFUNCTION("""COMPUTED_VALUE"""),60000.0)</f>
        <v>60000</v>
      </c>
      <c r="M1329" s="211"/>
      <c r="N1329" s="211"/>
      <c r="O1329" s="211"/>
      <c r="Q1329" s="210" t="str">
        <f>IFERROR(__xludf.DUMMYFUNCTION("""COMPUTED_VALUE"""),"1250588")</f>
        <v>1250588</v>
      </c>
      <c r="R1329" s="210" t="str">
        <f>IFERROR(__xludf.DUMMYFUNCTION("""COMPUTED_VALUE"""),"1250588")</f>
        <v>1250588</v>
      </c>
      <c r="S1329" s="211" t="str">
        <f>IFERROR(__xludf.DUMMYFUNCTION("""COMPUTED_VALUE"""),"370c84d1")</f>
        <v>370c84d1</v>
      </c>
      <c r="T1329" s="211" t="str">
        <f>IFERROR(__xludf.DUMMYFUNCTION("""COMPUTED_VALUE"""),"PT. Citra Bintang Karya")</f>
        <v>PT. Citra Bintang Karya</v>
      </c>
      <c r="U1329" s="215">
        <f>IFERROR(__xludf.DUMMYFUNCTION("""COMPUTED_VALUE"""),45924.60070601852)</f>
        <v>45924.60071</v>
      </c>
      <c r="V1329" s="211" t="str">
        <f>IFERROR(__xludf.DUMMYFUNCTION("""COMPUTED_VALUE"""),"JL. Mayjen Bambang Yuwono No.21, Sirapan, Kemangsen, Kec. Balongbendo, Kabupaten Sidoarjo, Jawa Timur 61262")</f>
        <v>JL. Mayjen Bambang Yuwono No.21, Sirapan, Kemangsen, Kec. Balongbendo, Kabupaten Sidoarjo, Jawa Timur 61262</v>
      </c>
      <c r="W1329" s="211" t="str">
        <f>IFERROR(__xludf.DUMMYFUNCTION("""COMPUTED_VALUE"""),"IN")</f>
        <v>IN</v>
      </c>
      <c r="X1329" s="211"/>
      <c r="Z1329" s="211" t="str">
        <f>IFERROR(__xludf.DUMMYFUNCTION("""COMPUTED_VALUE"""),"11240088")</f>
        <v>11240088</v>
      </c>
      <c r="AL1329" s="211"/>
      <c r="AM1329" s="211"/>
      <c r="AN1329" s="211"/>
      <c r="AO1329" s="211"/>
      <c r="AP1329" s="215"/>
      <c r="AQ1329" s="218"/>
      <c r="AR1329" s="211"/>
    </row>
    <row r="1330">
      <c r="A1330" s="210" t="str">
        <f>IFERROR(__xludf.DUMMYFUNCTION("""COMPUTED_VALUE"""),"07250571")</f>
        <v>07250571</v>
      </c>
      <c r="B1330" s="210" t="str">
        <f>IFERROR(__xludf.DUMMYFUNCTION("""COMPUTED_VALUE"""),"07250571")</f>
        <v>07250571</v>
      </c>
      <c r="C1330" s="213">
        <f>IFERROR(__xludf.DUMMYFUNCTION("""COMPUTED_VALUE"""),45846.52777777778)</f>
        <v>45846.52778</v>
      </c>
      <c r="D1330" s="211" t="str">
        <f>IFERROR(__xludf.DUMMYFUNCTION("""COMPUTED_VALUE"""),"e86baf3b")</f>
        <v>e86baf3b</v>
      </c>
      <c r="E1330" s="211" t="str">
        <f>IFERROR(__xludf.DUMMYFUNCTION("""COMPUTED_VALUE"""),"PT GEMILANG CIPTA WAWASAN")</f>
        <v>PT GEMILANG CIPTA WAWASAN</v>
      </c>
      <c r="F1330" s="211" t="str">
        <f>IFERROR(__xludf.DUMMYFUNCTION("""COMPUTED_VALUE"""),"be525f3b")</f>
        <v>be525f3b</v>
      </c>
      <c r="G1330" s="211" t="str">
        <f>IFERROR(__xludf.DUMMYFUNCTION("""COMPUTED_VALUE"""),"LPG 12kg")</f>
        <v>LPG 12kg</v>
      </c>
      <c r="H1330" s="214" t="str">
        <f>IFERROR(__xludf.DUMMYFUNCTION("""COMPUTED_VALUE"""),"OUT")</f>
        <v>OUT</v>
      </c>
      <c r="I1330" s="214" t="str">
        <f>IFERROR(__xludf.DUMMYFUNCTION("""COMPUTED_VALUE"""),"NORMAL")</f>
        <v>NORMAL</v>
      </c>
      <c r="J1330" s="211">
        <f>IFERROR(__xludf.DUMMYFUNCTION("""COMPUTED_VALUE"""),5.0)</f>
        <v>5</v>
      </c>
      <c r="K1330" s="211"/>
      <c r="L1330" s="211">
        <f>IFERROR(__xludf.DUMMYFUNCTION("""COMPUTED_VALUE"""),210000.0)</f>
        <v>210000</v>
      </c>
      <c r="M1330" s="211"/>
      <c r="N1330" s="211"/>
      <c r="O1330" s="211"/>
      <c r="Q1330" s="210" t="str">
        <f>IFERROR(__xludf.DUMMYFUNCTION("""COMPUTED_VALUE"""),"1250614")</f>
        <v>1250614</v>
      </c>
      <c r="R1330" s="210" t="str">
        <f>IFERROR(__xludf.DUMMYFUNCTION("""COMPUTED_VALUE"""),"1250614")</f>
        <v>1250614</v>
      </c>
      <c r="S1330" s="211" t="str">
        <f>IFERROR(__xludf.DUMMYFUNCTION("""COMPUTED_VALUE"""),"b218b89b")</f>
        <v>b218b89b</v>
      </c>
      <c r="T1330" s="211" t="str">
        <f>IFERROR(__xludf.DUMMYFUNCTION("""COMPUTED_VALUE"""),"PT Harapan Sentosa")</f>
        <v>PT Harapan Sentosa</v>
      </c>
      <c r="U1330" s="215">
        <f>IFERROR(__xludf.DUMMYFUNCTION("""COMPUTED_VALUE"""),45924.608125)</f>
        <v>45924.60813</v>
      </c>
      <c r="V1330" s="211" t="str">
        <f>IFERROR(__xludf.DUMMYFUNCTION("""COMPUTED_VALUE"""),"Seketi, Jl. Purboyo II Selatan, RT.02/RW.02, Seketi, Kec. BalongBendo, Kabupaten Sidoarjo, Jawa Timur 61263")</f>
        <v>Seketi, Jl. Purboyo II Selatan, RT.02/RW.02, Seketi, Kec. BalongBendo, Kabupaten Sidoarjo, Jawa Timur 61263</v>
      </c>
      <c r="W1330" s="211" t="str">
        <f>IFERROR(__xludf.DUMMYFUNCTION("""COMPUTED_VALUE"""),"IN")</f>
        <v>IN</v>
      </c>
      <c r="X1330" s="211"/>
      <c r="Z1330" s="211" t="str">
        <f>IFERROR(__xludf.DUMMYFUNCTION("""COMPUTED_VALUE"""),"11240087")</f>
        <v>11240087</v>
      </c>
      <c r="AL1330" s="211"/>
      <c r="AM1330" s="211"/>
      <c r="AN1330" s="211"/>
      <c r="AO1330" s="211"/>
      <c r="AP1330" s="215"/>
      <c r="AQ1330" s="218"/>
      <c r="AR1330" s="211"/>
    </row>
    <row r="1331">
      <c r="A1331" s="210" t="str">
        <f>IFERROR(__xludf.DUMMYFUNCTION("""COMPUTED_VALUE"""),"7d632951")</f>
        <v>7d632951</v>
      </c>
      <c r="B1331" s="210" t="str">
        <f>IFERROR(__xludf.DUMMYFUNCTION("""COMPUTED_VALUE"""),"7d632951")</f>
        <v>7d632951</v>
      </c>
      <c r="C1331" s="213">
        <f>IFERROR(__xludf.DUMMYFUNCTION("""COMPUTED_VALUE"""),45846.586805555555)</f>
        <v>45846.58681</v>
      </c>
      <c r="D1331" s="211" t="str">
        <f>IFERROR(__xludf.DUMMYFUNCTION("""COMPUTED_VALUE"""),"e86baf3b")</f>
        <v>e86baf3b</v>
      </c>
      <c r="E1331" s="211" t="str">
        <f>IFERROR(__xludf.DUMMYFUNCTION("""COMPUTED_VALUE"""),"PT GEMILANG CIPTA WAWASAN")</f>
        <v>PT GEMILANG CIPTA WAWASAN</v>
      </c>
      <c r="F1331" s="211" t="str">
        <f>IFERROR(__xludf.DUMMYFUNCTION("""COMPUTED_VALUE"""),"66af7c72")</f>
        <v>66af7c72</v>
      </c>
      <c r="G1331" s="211" t="str">
        <f>IFERROR(__xludf.DUMMYFUNCTION("""COMPUTED_VALUE"""),"Argon 6m3")</f>
        <v>Argon 6m3</v>
      </c>
      <c r="H1331" s="214" t="str">
        <f>IFERROR(__xludf.DUMMYFUNCTION("""COMPUTED_VALUE"""),"IN")</f>
        <v>IN</v>
      </c>
      <c r="I1331" s="214" t="str">
        <f>IFERROR(__xludf.DUMMYFUNCTION("""COMPUTED_VALUE"""),"EMPTY")</f>
        <v>EMPTY</v>
      </c>
      <c r="J1331" s="211">
        <f>IFERROR(__xludf.DUMMYFUNCTION("""COMPUTED_VALUE"""),1.0)</f>
        <v>1</v>
      </c>
      <c r="K1331" s="210" t="str">
        <f>IFERROR(__xludf.DUMMYFUNCTION("""COMPUTED_VALUE"""),"12053")</f>
        <v>12053</v>
      </c>
      <c r="L1331" s="211">
        <f>IFERROR(__xludf.DUMMYFUNCTION("""COMPUTED_VALUE"""),0.0)</f>
        <v>0</v>
      </c>
      <c r="M1331" s="211"/>
      <c r="N1331" s="211"/>
      <c r="O1331" s="211"/>
      <c r="Q1331" s="211"/>
      <c r="R1331" s="211"/>
      <c r="S1331" s="211"/>
      <c r="T1331" s="211"/>
      <c r="U1331" s="211"/>
      <c r="V1331" s="211"/>
      <c r="W1331" s="211"/>
      <c r="X1331" s="211"/>
      <c r="Z1331" s="211" t="str">
        <f>IFERROR(__xludf.DUMMYFUNCTION("""COMPUTED_VALUE"""),"11240085")</f>
        <v>11240085</v>
      </c>
      <c r="AL1331" s="211"/>
      <c r="AM1331" s="211"/>
      <c r="AN1331" s="211"/>
      <c r="AO1331" s="211"/>
      <c r="AP1331" s="215"/>
      <c r="AQ1331" s="218"/>
      <c r="AR1331" s="211"/>
    </row>
    <row r="1332">
      <c r="A1332" s="210" t="str">
        <f>IFERROR(__xludf.DUMMYFUNCTION("""COMPUTED_VALUE"""),"7d632951")</f>
        <v>7d632951</v>
      </c>
      <c r="B1332" s="210" t="str">
        <f>IFERROR(__xludf.DUMMYFUNCTION("""COMPUTED_VALUE"""),"7d632951")</f>
        <v>7d632951</v>
      </c>
      <c r="C1332" s="213">
        <f>IFERROR(__xludf.DUMMYFUNCTION("""COMPUTED_VALUE"""),45846.5875)</f>
        <v>45846.5875</v>
      </c>
      <c r="D1332" s="211" t="str">
        <f>IFERROR(__xludf.DUMMYFUNCTION("""COMPUTED_VALUE"""),"e86baf3b")</f>
        <v>e86baf3b</v>
      </c>
      <c r="E1332" s="211" t="str">
        <f>IFERROR(__xludf.DUMMYFUNCTION("""COMPUTED_VALUE"""),"PT GEMILANG CIPTA WAWASAN")</f>
        <v>PT GEMILANG CIPTA WAWASAN</v>
      </c>
      <c r="F1332" s="211" t="str">
        <f>IFERROR(__xludf.DUMMYFUNCTION("""COMPUTED_VALUE"""),"be525f3b")</f>
        <v>be525f3b</v>
      </c>
      <c r="G1332" s="211" t="str">
        <f>IFERROR(__xludf.DUMMYFUNCTION("""COMPUTED_VALUE"""),"LPG 12kg")</f>
        <v>LPG 12kg</v>
      </c>
      <c r="H1332" s="214" t="str">
        <f>IFERROR(__xludf.DUMMYFUNCTION("""COMPUTED_VALUE"""),"IN")</f>
        <v>IN</v>
      </c>
      <c r="I1332" s="214" t="str">
        <f>IFERROR(__xludf.DUMMYFUNCTION("""COMPUTED_VALUE"""),"EMPTY")</f>
        <v>EMPTY</v>
      </c>
      <c r="J1332" s="211">
        <f>IFERROR(__xludf.DUMMYFUNCTION("""COMPUTED_VALUE"""),3.0)</f>
        <v>3</v>
      </c>
      <c r="K1332" s="211"/>
      <c r="L1332" s="211">
        <f>IFERROR(__xludf.DUMMYFUNCTION("""COMPUTED_VALUE"""),0.0)</f>
        <v>0</v>
      </c>
      <c r="M1332" s="211"/>
      <c r="N1332" s="211"/>
      <c r="O1332" s="211"/>
      <c r="Q1332" s="210" t="str">
        <f>IFERROR(__xludf.DUMMYFUNCTION("""COMPUTED_VALUE"""),"0925311332")</f>
        <v>0925311332</v>
      </c>
      <c r="R1332" s="210" t="str">
        <f>IFERROR(__xludf.DUMMYFUNCTION("""COMPUTED_VALUE"""),"0925311332")</f>
        <v>0925311332</v>
      </c>
      <c r="S1332" s="211" t="str">
        <f>IFERROR(__xludf.DUMMYFUNCTION("""COMPUTED_VALUE"""),"01158be1")</f>
        <v>01158be1</v>
      </c>
      <c r="T1332" s="211" t="str">
        <f>IFERROR(__xludf.DUMMYFUNCTION("""COMPUTED_VALUE"""),"GYF")</f>
        <v>GYF</v>
      </c>
      <c r="U1332" s="215">
        <f>IFERROR(__xludf.DUMMYFUNCTION("""COMPUTED_VALUE"""),45925.38827546296)</f>
        <v>45925.38828</v>
      </c>
      <c r="V1332" s="211" t="str">
        <f>IFERROR(__xludf.DUMMYFUNCTION("""COMPUTED_VALUE"""),"Kangkungan, Lengkong, Kec. Mojoanyar, Kabupaten Mojokerto, Jawa Timur")</f>
        <v>Kangkungan, Lengkong, Kec. Mojoanyar, Kabupaten Mojokerto, Jawa Timur</v>
      </c>
      <c r="W1332" s="211" t="str">
        <f>IFERROR(__xludf.DUMMYFUNCTION("""COMPUTED_VALUE"""),"OUT")</f>
        <v>OUT</v>
      </c>
      <c r="X1332" s="211"/>
      <c r="Z1332" s="211" t="str">
        <f>IFERROR(__xludf.DUMMYFUNCTION("""COMPUTED_VALUE"""),"11240081")</f>
        <v>11240081</v>
      </c>
      <c r="AL1332" s="211"/>
      <c r="AM1332" s="211"/>
      <c r="AN1332" s="211"/>
      <c r="AO1332" s="211"/>
      <c r="AP1332" s="215"/>
      <c r="AQ1332" s="218"/>
      <c r="AR1332" s="211"/>
    </row>
    <row r="1333">
      <c r="A1333" s="210" t="str">
        <f>IFERROR(__xludf.DUMMYFUNCTION("""COMPUTED_VALUE"""),"07250573")</f>
        <v>07250573</v>
      </c>
      <c r="B1333" s="210" t="str">
        <f>IFERROR(__xludf.DUMMYFUNCTION("""COMPUTED_VALUE"""),"07250573")</f>
        <v>07250573</v>
      </c>
      <c r="C1333" s="213">
        <f>IFERROR(__xludf.DUMMYFUNCTION("""COMPUTED_VALUE"""),45847.37430555555)</f>
        <v>45847.37431</v>
      </c>
      <c r="D1333" s="211" t="str">
        <f>IFERROR(__xludf.DUMMYFUNCTION("""COMPUTED_VALUE"""),"ec231cc9")</f>
        <v>ec231cc9</v>
      </c>
      <c r="E1333" s="211" t="str">
        <f>IFERROR(__xludf.DUMMYFUNCTION("""COMPUTED_VALUE"""),"Bpk. Kohir (Maintenance Velg)")</f>
        <v>Bpk. Kohir (Maintenance Velg)</v>
      </c>
      <c r="F1333" s="211" t="str">
        <f>IFERROR(__xludf.DUMMYFUNCTION("""COMPUTED_VALUE"""),"8bdbe149")</f>
        <v>8bdbe149</v>
      </c>
      <c r="G1333" s="211" t="str">
        <f>IFERROR(__xludf.DUMMYFUNCTION("""COMPUTED_VALUE"""),"Oksigen 6m3")</f>
        <v>Oksigen 6m3</v>
      </c>
      <c r="H1333" s="214" t="str">
        <f>IFERROR(__xludf.DUMMYFUNCTION("""COMPUTED_VALUE"""),"OUT")</f>
        <v>OUT</v>
      </c>
      <c r="I1333" s="214" t="str">
        <f>IFERROR(__xludf.DUMMYFUNCTION("""COMPUTED_VALUE"""),"NORMAL")</f>
        <v>NORMAL</v>
      </c>
      <c r="J1333" s="211">
        <f>IFERROR(__xludf.DUMMYFUNCTION("""COMPUTED_VALUE"""),4.0)</f>
        <v>4</v>
      </c>
      <c r="K1333" s="210" t="str">
        <f>IFERROR(__xludf.DUMMYFUNCTION("""COMPUTED_VALUE"""),"11128 11229 11118 11244")</f>
        <v>11128 11229 11118 11244</v>
      </c>
      <c r="L1333" s="211">
        <f>IFERROR(__xludf.DUMMYFUNCTION("""COMPUTED_VALUE"""),55000.0)</f>
        <v>55000</v>
      </c>
      <c r="M1333" s="211"/>
      <c r="N1333" s="211"/>
      <c r="O1333" s="211"/>
      <c r="Q1333" s="210" t="str">
        <f>IFERROR(__xludf.DUMMYFUNCTION("""COMPUTED_VALUE"""),"0925131333")</f>
        <v>0925131333</v>
      </c>
      <c r="R1333" s="210" t="str">
        <f>IFERROR(__xludf.DUMMYFUNCTION("""COMPUTED_VALUE"""),"0925131333")</f>
        <v>0925131333</v>
      </c>
      <c r="S1333" s="211" t="str">
        <f>IFERROR(__xludf.DUMMYFUNCTION("""COMPUTED_VALUE"""),"3bcd7fe6")</f>
        <v>3bcd7fe6</v>
      </c>
      <c r="T1333" s="211" t="str">
        <f>IFERROR(__xludf.DUMMYFUNCTION("""COMPUTED_VALUE"""),"Bpk. Alvin (LB Group)")</f>
        <v>Bpk. Alvin (LB Group)</v>
      </c>
      <c r="U1333" s="215">
        <f>IFERROR(__xludf.DUMMYFUNCTION("""COMPUTED_VALUE"""),45925.35712962963)</f>
        <v>45925.35713</v>
      </c>
      <c r="V1333" s="211" t="str">
        <f>IFERROR(__xludf.DUMMYFUNCTION("""COMPUTED_VALUE"""),"MFF9+XHC, Jalan, Tambakrejo, Temuireng, Kec. Dawar Blandong, Kabupaten Mojokerto, Jawa Timur 61354")</f>
        <v>MFF9+XHC, Jalan, Tambakrejo, Temuireng, Kec. Dawar Blandong, Kabupaten Mojokerto, Jawa Timur 61354</v>
      </c>
      <c r="W1333" s="211" t="str">
        <f>IFERROR(__xludf.DUMMYFUNCTION("""COMPUTED_VALUE"""),"OUT")</f>
        <v>OUT</v>
      </c>
      <c r="X1333" s="211"/>
      <c r="Z1333" s="211" t="str">
        <f>IFERROR(__xludf.DUMMYFUNCTION("""COMPUTED_VALUE"""),"11240083")</f>
        <v>11240083</v>
      </c>
      <c r="AL1333" s="211"/>
      <c r="AM1333" s="211"/>
      <c r="AN1333" s="211"/>
      <c r="AO1333" s="211"/>
      <c r="AP1333" s="215"/>
      <c r="AQ1333" s="218"/>
      <c r="AR1333" s="211"/>
    </row>
    <row r="1334">
      <c r="A1334" s="210" t="str">
        <f>IFERROR(__xludf.DUMMYFUNCTION("""COMPUTED_VALUE"""),"07250573")</f>
        <v>07250573</v>
      </c>
      <c r="B1334" s="210" t="str">
        <f>IFERROR(__xludf.DUMMYFUNCTION("""COMPUTED_VALUE"""),"07250573")</f>
        <v>07250573</v>
      </c>
      <c r="C1334" s="213">
        <f>IFERROR(__xludf.DUMMYFUNCTION("""COMPUTED_VALUE"""),45847.37430555555)</f>
        <v>45847.37431</v>
      </c>
      <c r="D1334" s="211" t="str">
        <f>IFERROR(__xludf.DUMMYFUNCTION("""COMPUTED_VALUE"""),"ec231cc9")</f>
        <v>ec231cc9</v>
      </c>
      <c r="E1334" s="211" t="str">
        <f>IFERROR(__xludf.DUMMYFUNCTION("""COMPUTED_VALUE"""),"Bpk. Kohir (Maintenance Velg)")</f>
        <v>Bpk. Kohir (Maintenance Velg)</v>
      </c>
      <c r="F1334" s="211" t="str">
        <f>IFERROR(__xludf.DUMMYFUNCTION("""COMPUTED_VALUE"""),"ef306e54")</f>
        <v>ef306e54</v>
      </c>
      <c r="G1334" s="211" t="str">
        <f>IFERROR(__xludf.DUMMYFUNCTION("""COMPUTED_VALUE"""),"Karbondioksida")</f>
        <v>Karbondioksida</v>
      </c>
      <c r="H1334" s="214" t="str">
        <f>IFERROR(__xludf.DUMMYFUNCTION("""COMPUTED_VALUE"""),"OUT")</f>
        <v>OUT</v>
      </c>
      <c r="I1334" s="214" t="str">
        <f>IFERROR(__xludf.DUMMYFUNCTION("""COMPUTED_VALUE"""),"NORMAL")</f>
        <v>NORMAL</v>
      </c>
      <c r="J1334" s="211">
        <f>IFERROR(__xludf.DUMMYFUNCTION("""COMPUTED_VALUE"""),1.0)</f>
        <v>1</v>
      </c>
      <c r="K1334" s="210" t="str">
        <f>IFERROR(__xludf.DUMMYFUNCTION("""COMPUTED_VALUE"""),"13011")</f>
        <v>13011</v>
      </c>
      <c r="L1334" s="211">
        <f>IFERROR(__xludf.DUMMYFUNCTION("""COMPUTED_VALUE"""),165000.0)</f>
        <v>165000</v>
      </c>
      <c r="M1334" s="211"/>
      <c r="N1334" s="211"/>
      <c r="O1334" s="211"/>
      <c r="Q1334" s="210" t="str">
        <f>IFERROR(__xludf.DUMMYFUNCTION("""COMPUTED_VALUE"""),"4092521302")</f>
        <v>4092521302</v>
      </c>
      <c r="R1334" s="210" t="str">
        <f>IFERROR(__xludf.DUMMYFUNCTION("""COMPUTED_VALUE"""),"4092521302")</f>
        <v>4092521302</v>
      </c>
      <c r="S1334" s="211" t="str">
        <f>IFERROR(__xludf.DUMMYFUNCTION("""COMPUTED_VALUE"""),"3bcd7fe6")</f>
        <v>3bcd7fe6</v>
      </c>
      <c r="T1334" s="211" t="str">
        <f>IFERROR(__xludf.DUMMYFUNCTION("""COMPUTED_VALUE"""),"Bpk. Alvin (LB Group)")</f>
        <v>Bpk. Alvin (LB Group)</v>
      </c>
      <c r="U1334" s="215">
        <f>IFERROR(__xludf.DUMMYFUNCTION("""COMPUTED_VALUE"""),45925.35748842593)</f>
        <v>45925.35749</v>
      </c>
      <c r="V1334" s="211" t="str">
        <f>IFERROR(__xludf.DUMMYFUNCTION("""COMPUTED_VALUE"""),"MFF9+XHC, Jalan, Tambakrejo, Temuireng, Kec. Dawar Blandong, Kabupaten Mojokerto, Jawa Timur 61354")</f>
        <v>MFF9+XHC, Jalan, Tambakrejo, Temuireng, Kec. Dawar Blandong, Kabupaten Mojokerto, Jawa Timur 61354</v>
      </c>
      <c r="W1334" s="211" t="str">
        <f>IFERROR(__xludf.DUMMYFUNCTION("""COMPUTED_VALUE"""),"OTHER")</f>
        <v>OTHER</v>
      </c>
      <c r="X1334" s="211"/>
      <c r="Z1334" s="211" t="str">
        <f>IFERROR(__xludf.DUMMYFUNCTION("""COMPUTED_VALUE"""),"11240080")</f>
        <v>11240080</v>
      </c>
      <c r="AL1334" s="211"/>
      <c r="AM1334" s="211"/>
      <c r="AN1334" s="211"/>
      <c r="AO1334" s="211"/>
      <c r="AP1334" s="215"/>
      <c r="AQ1334" s="218"/>
      <c r="AR1334" s="211"/>
    </row>
    <row r="1335">
      <c r="A1335" s="210" t="str">
        <f>IFERROR(__xludf.DUMMYFUNCTION("""COMPUTED_VALUE"""),"917b55ae")</f>
        <v>917b55ae</v>
      </c>
      <c r="B1335" s="210" t="str">
        <f>IFERROR(__xludf.DUMMYFUNCTION("""COMPUTED_VALUE"""),"917b55ae")</f>
        <v>917b55ae</v>
      </c>
      <c r="C1335" s="213">
        <f>IFERROR(__xludf.DUMMYFUNCTION("""COMPUTED_VALUE"""),45847.729166666664)</f>
        <v>45847.72917</v>
      </c>
      <c r="D1335" s="211" t="str">
        <f>IFERROR(__xludf.DUMMYFUNCTION("""COMPUTED_VALUE"""),"ce83e171")</f>
        <v>ce83e171</v>
      </c>
      <c r="E1335" s="211" t="str">
        <f>IFERROR(__xludf.DUMMYFUNCTION("""COMPUTED_VALUE"""),"Bpk. Sulaiman")</f>
        <v>Bpk. Sulaiman</v>
      </c>
      <c r="F1335" s="211" t="str">
        <f>IFERROR(__xludf.DUMMYFUNCTION("""COMPUTED_VALUE"""),"be525f3b")</f>
        <v>be525f3b</v>
      </c>
      <c r="G1335" s="211" t="str">
        <f>IFERROR(__xludf.DUMMYFUNCTION("""COMPUTED_VALUE"""),"LPG 12kg")</f>
        <v>LPG 12kg</v>
      </c>
      <c r="H1335" s="214" t="str">
        <f>IFERROR(__xludf.DUMMYFUNCTION("""COMPUTED_VALUE"""),"IN")</f>
        <v>IN</v>
      </c>
      <c r="I1335" s="214" t="str">
        <f>IFERROR(__xludf.DUMMYFUNCTION("""COMPUTED_VALUE"""),"EMPTY")</f>
        <v>EMPTY</v>
      </c>
      <c r="J1335" s="211">
        <f>IFERROR(__xludf.DUMMYFUNCTION("""COMPUTED_VALUE"""),1.0)</f>
        <v>1</v>
      </c>
      <c r="K1335" s="211"/>
      <c r="L1335" s="211">
        <f>IFERROR(__xludf.DUMMYFUNCTION("""COMPUTED_VALUE"""),0.0)</f>
        <v>0</v>
      </c>
      <c r="M1335" s="211"/>
      <c r="N1335" s="211"/>
      <c r="O1335" s="211"/>
      <c r="Q1335" s="210" t="str">
        <f>IFERROR(__xludf.DUMMYFUNCTION("""COMPUTED_VALUE"""),"0925131334")</f>
        <v>0925131334</v>
      </c>
      <c r="R1335" s="210" t="str">
        <f>IFERROR(__xludf.DUMMYFUNCTION("""COMPUTED_VALUE"""),"0925131334")</f>
        <v>0925131334</v>
      </c>
      <c r="S1335" s="211" t="str">
        <f>IFERROR(__xludf.DUMMYFUNCTION("""COMPUTED_VALUE"""),"182fb0fe")</f>
        <v>182fb0fe</v>
      </c>
      <c r="T1335" s="211" t="str">
        <f>IFERROR(__xludf.DUMMYFUNCTION("""COMPUTED_VALUE"""),"PT Amtech")</f>
        <v>PT Amtech</v>
      </c>
      <c r="U1335" s="215">
        <f>IFERROR(__xludf.DUMMYFUNCTION("""COMPUTED_VALUE"""),45925.37299768518)</f>
        <v>45925.373</v>
      </c>
      <c r="V1335"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335" s="211" t="str">
        <f>IFERROR(__xludf.DUMMYFUNCTION("""COMPUTED_VALUE"""),"OUT")</f>
        <v>OUT</v>
      </c>
      <c r="X1335" s="211"/>
      <c r="Z1335" s="211" t="str">
        <f>IFERROR(__xludf.DUMMYFUNCTION("""COMPUTED_VALUE"""),"11240078")</f>
        <v>11240078</v>
      </c>
      <c r="AL1335" s="211"/>
      <c r="AM1335" s="211"/>
      <c r="AN1335" s="211"/>
      <c r="AO1335" s="211"/>
      <c r="AP1335" s="215"/>
      <c r="AQ1335" s="218"/>
      <c r="AR1335" s="211"/>
    </row>
    <row r="1336">
      <c r="A1336" s="210" t="str">
        <f>IFERROR(__xludf.DUMMYFUNCTION("""COMPUTED_VALUE"""),"c3ecc274")</f>
        <v>c3ecc274</v>
      </c>
      <c r="B1336" s="210" t="str">
        <f>IFERROR(__xludf.DUMMYFUNCTION("""COMPUTED_VALUE"""),"c3ecc274")</f>
        <v>c3ecc274</v>
      </c>
      <c r="C1336" s="213">
        <f>IFERROR(__xludf.DUMMYFUNCTION("""COMPUTED_VALUE"""),45847.72986111111)</f>
        <v>45847.72986</v>
      </c>
      <c r="D1336" s="211" t="str">
        <f>IFERROR(__xludf.DUMMYFUNCTION("""COMPUTED_VALUE"""),"4edfe755")</f>
        <v>4edfe755</v>
      </c>
      <c r="E1336" s="211" t="str">
        <f>IFERROR(__xludf.DUMMYFUNCTION("""COMPUTED_VALUE"""),"Bpk. Ibnu")</f>
        <v>Bpk. Ibnu</v>
      </c>
      <c r="F1336" s="211" t="str">
        <f>IFERROR(__xludf.DUMMYFUNCTION("""COMPUTED_VALUE"""),"8bdbe149")</f>
        <v>8bdbe149</v>
      </c>
      <c r="G1336" s="211" t="str">
        <f>IFERROR(__xludf.DUMMYFUNCTION("""COMPUTED_VALUE"""),"Oksigen 6m3")</f>
        <v>Oksigen 6m3</v>
      </c>
      <c r="H1336" s="214" t="str">
        <f>IFERROR(__xludf.DUMMYFUNCTION("""COMPUTED_VALUE"""),"IN")</f>
        <v>IN</v>
      </c>
      <c r="I1336" s="214" t="str">
        <f>IFERROR(__xludf.DUMMYFUNCTION("""COMPUTED_VALUE"""),"EMPTY")</f>
        <v>EMPTY</v>
      </c>
      <c r="J1336" s="211">
        <f>IFERROR(__xludf.DUMMYFUNCTION("""COMPUTED_VALUE"""),5.0)</f>
        <v>5</v>
      </c>
      <c r="K1336" s="210" t="str">
        <f>IFERROR(__xludf.DUMMYFUNCTION("""COMPUTED_VALUE"""),"11155 11159 11240 11275 11144")</f>
        <v>11155 11159 11240 11275 11144</v>
      </c>
      <c r="L1336" s="211">
        <f>IFERROR(__xludf.DUMMYFUNCTION("""COMPUTED_VALUE"""),0.0)</f>
        <v>0</v>
      </c>
      <c r="M1336" s="211"/>
      <c r="N1336" s="211"/>
      <c r="O1336" s="211"/>
      <c r="Q1336" s="210" t="str">
        <f>IFERROR(__xludf.DUMMYFUNCTION("""COMPUTED_VALUE"""),"1250586")</f>
        <v>1250586</v>
      </c>
      <c r="R1336" s="210" t="str">
        <f>IFERROR(__xludf.DUMMYFUNCTION("""COMPUTED_VALUE"""),"1250586")</f>
        <v>1250586</v>
      </c>
      <c r="S1336" s="211" t="str">
        <f>IFERROR(__xludf.DUMMYFUNCTION("""COMPUTED_VALUE"""),"3bcd7fe6")</f>
        <v>3bcd7fe6</v>
      </c>
      <c r="T1336" s="211" t="str">
        <f>IFERROR(__xludf.DUMMYFUNCTION("""COMPUTED_VALUE"""),"Bpk. Alvin (LB Group)")</f>
        <v>Bpk. Alvin (LB Group)</v>
      </c>
      <c r="U1336" s="215">
        <f>IFERROR(__xludf.DUMMYFUNCTION("""COMPUTED_VALUE"""),45925.45459490741)</f>
        <v>45925.45459</v>
      </c>
      <c r="V1336" s="211" t="str">
        <f>IFERROR(__xludf.DUMMYFUNCTION("""COMPUTED_VALUE"""),"MFF9+XHC, Jalan, Tambakrejo, Temuireng, Kec. Dawar Blandong, Kabupaten Mojokerto, Jawa Timur 61354")</f>
        <v>MFF9+XHC, Jalan, Tambakrejo, Temuireng, Kec. Dawar Blandong, Kabupaten Mojokerto, Jawa Timur 61354</v>
      </c>
      <c r="W1336" s="211" t="str">
        <f>IFERROR(__xludf.DUMMYFUNCTION("""COMPUTED_VALUE"""),"IN")</f>
        <v>IN</v>
      </c>
      <c r="X1336" s="211"/>
      <c r="Z1336" s="211" t="str">
        <f>IFERROR(__xludf.DUMMYFUNCTION("""COMPUTED_VALUE"""),"11240075")</f>
        <v>11240075</v>
      </c>
      <c r="AL1336" s="211"/>
      <c r="AM1336" s="211"/>
      <c r="AN1336" s="211"/>
      <c r="AO1336" s="211"/>
      <c r="AP1336" s="215"/>
      <c r="AQ1336" s="218"/>
      <c r="AR1336" s="211"/>
    </row>
    <row r="1337">
      <c r="A1337" s="210" t="str">
        <f>IFERROR(__xludf.DUMMYFUNCTION("""COMPUTED_VALUE"""),"06ff4f9d")</f>
        <v>06ff4f9d</v>
      </c>
      <c r="B1337" s="210" t="str">
        <f>IFERROR(__xludf.DUMMYFUNCTION("""COMPUTED_VALUE"""),"06ff4f9d")</f>
        <v>06ff4f9d</v>
      </c>
      <c r="C1337" s="213">
        <f>IFERROR(__xludf.DUMMYFUNCTION("""COMPUTED_VALUE"""),45847.72986111111)</f>
        <v>45847.72986</v>
      </c>
      <c r="D1337" s="211" t="str">
        <f>IFERROR(__xludf.DUMMYFUNCTION("""COMPUTED_VALUE"""),"ec231cc9")</f>
        <v>ec231cc9</v>
      </c>
      <c r="E1337" s="211" t="str">
        <f>IFERROR(__xludf.DUMMYFUNCTION("""COMPUTED_VALUE"""),"Bpk. Kohir (Maintenance Velg)")</f>
        <v>Bpk. Kohir (Maintenance Velg)</v>
      </c>
      <c r="F1337" s="211" t="str">
        <f>IFERROR(__xludf.DUMMYFUNCTION("""COMPUTED_VALUE"""),"8bdbe149")</f>
        <v>8bdbe149</v>
      </c>
      <c r="G1337" s="211" t="str">
        <f>IFERROR(__xludf.DUMMYFUNCTION("""COMPUTED_VALUE"""),"Oksigen 6m3")</f>
        <v>Oksigen 6m3</v>
      </c>
      <c r="H1337" s="214" t="str">
        <f>IFERROR(__xludf.DUMMYFUNCTION("""COMPUTED_VALUE"""),"IN")</f>
        <v>IN</v>
      </c>
      <c r="I1337" s="214" t="str">
        <f>IFERROR(__xludf.DUMMYFUNCTION("""COMPUTED_VALUE"""),"EMPTY")</f>
        <v>EMPTY</v>
      </c>
      <c r="J1337" s="211">
        <f>IFERROR(__xludf.DUMMYFUNCTION("""COMPUTED_VALUE"""),4.0)</f>
        <v>4</v>
      </c>
      <c r="K1337" s="210" t="str">
        <f>IFERROR(__xludf.DUMMYFUNCTION("""COMPUTED_VALUE"""),"1150 11176 11208 1199")</f>
        <v>1150 11176 11208 1199</v>
      </c>
      <c r="L1337" s="211">
        <f>IFERROR(__xludf.DUMMYFUNCTION("""COMPUTED_VALUE"""),0.0)</f>
        <v>0</v>
      </c>
      <c r="M1337" s="211"/>
      <c r="N1337" s="211"/>
      <c r="O1337" s="211"/>
      <c r="Q1337" s="210" t="str">
        <f>IFERROR(__xludf.DUMMYFUNCTION("""COMPUTED_VALUE"""),"1250616")</f>
        <v>1250616</v>
      </c>
      <c r="R1337" s="210" t="str">
        <f>IFERROR(__xludf.DUMMYFUNCTION("""COMPUTED_VALUE"""),"1250616")</f>
        <v>1250616</v>
      </c>
      <c r="S1337" s="211" t="str">
        <f>IFERROR(__xludf.DUMMYFUNCTION("""COMPUTED_VALUE"""),"e86baf3b")</f>
        <v>e86baf3b</v>
      </c>
      <c r="T1337" s="211" t="str">
        <f>IFERROR(__xludf.DUMMYFUNCTION("""COMPUTED_VALUE"""),"PT GEMILANG CIPTA WAWASAN")</f>
        <v>PT GEMILANG CIPTA WAWASAN</v>
      </c>
      <c r="U1337" s="215">
        <f>IFERROR(__xludf.DUMMYFUNCTION("""COMPUTED_VALUE"""),45925.46853009259)</f>
        <v>45925.46853</v>
      </c>
      <c r="V1337" s="211" t="str">
        <f>IFERROR(__xludf.DUMMYFUNCTION("""COMPUTED_VALUE"""),"JL TEBET RAYA, 2A, TEBET BARAT, TEBET, KOTA ADM, JAKARTA SELATAN, DKI JAKARTA")</f>
        <v>JL TEBET RAYA, 2A, TEBET BARAT, TEBET, KOTA ADM, JAKARTA SELATAN, DKI JAKARTA</v>
      </c>
      <c r="W1337" s="211" t="str">
        <f>IFERROR(__xludf.DUMMYFUNCTION("""COMPUTED_VALUE"""),"IN")</f>
        <v>IN</v>
      </c>
      <c r="X1337" s="211"/>
      <c r="Z1337" s="211" t="str">
        <f>IFERROR(__xludf.DUMMYFUNCTION("""COMPUTED_VALUE"""),"11240074")</f>
        <v>11240074</v>
      </c>
      <c r="AL1337" s="211"/>
      <c r="AM1337" s="211"/>
      <c r="AN1337" s="211"/>
      <c r="AO1337" s="211"/>
      <c r="AP1337" s="215"/>
      <c r="AQ1337" s="218"/>
      <c r="AR1337" s="211"/>
    </row>
    <row r="1338">
      <c r="A1338" s="210" t="str">
        <f>IFERROR(__xludf.DUMMYFUNCTION("""COMPUTED_VALUE"""),"06ff4f9d")</f>
        <v>06ff4f9d</v>
      </c>
      <c r="B1338" s="210" t="str">
        <f>IFERROR(__xludf.DUMMYFUNCTION("""COMPUTED_VALUE"""),"06ff4f9d")</f>
        <v>06ff4f9d</v>
      </c>
      <c r="C1338" s="213">
        <f>IFERROR(__xludf.DUMMYFUNCTION("""COMPUTED_VALUE"""),45847.73055555556)</f>
        <v>45847.73056</v>
      </c>
      <c r="D1338" s="211" t="str">
        <f>IFERROR(__xludf.DUMMYFUNCTION("""COMPUTED_VALUE"""),"ec231cc9")</f>
        <v>ec231cc9</v>
      </c>
      <c r="E1338" s="211" t="str">
        <f>IFERROR(__xludf.DUMMYFUNCTION("""COMPUTED_VALUE"""),"Bpk. Kohir (Maintenance Velg)")</f>
        <v>Bpk. Kohir (Maintenance Velg)</v>
      </c>
      <c r="F1338" s="211" t="str">
        <f>IFERROR(__xludf.DUMMYFUNCTION("""COMPUTED_VALUE"""),"ef306e54")</f>
        <v>ef306e54</v>
      </c>
      <c r="G1338" s="211" t="str">
        <f>IFERROR(__xludf.DUMMYFUNCTION("""COMPUTED_VALUE"""),"Karbondioksida")</f>
        <v>Karbondioksida</v>
      </c>
      <c r="H1338" s="214" t="str">
        <f>IFERROR(__xludf.DUMMYFUNCTION("""COMPUTED_VALUE"""),"IN")</f>
        <v>IN</v>
      </c>
      <c r="I1338" s="214" t="str">
        <f>IFERROR(__xludf.DUMMYFUNCTION("""COMPUTED_VALUE"""),"EMPTY")</f>
        <v>EMPTY</v>
      </c>
      <c r="J1338" s="211">
        <f>IFERROR(__xludf.DUMMYFUNCTION("""COMPUTED_VALUE"""),1.0)</f>
        <v>1</v>
      </c>
      <c r="K1338" s="210" t="str">
        <f>IFERROR(__xludf.DUMMYFUNCTION("""COMPUTED_VALUE"""),"13008")</f>
        <v>13008</v>
      </c>
      <c r="L1338" s="211">
        <f>IFERROR(__xludf.DUMMYFUNCTION("""COMPUTED_VALUE"""),0.0)</f>
        <v>0</v>
      </c>
      <c r="M1338" s="211"/>
      <c r="N1338" s="211"/>
      <c r="O1338" s="211"/>
      <c r="Q1338" s="210" t="str">
        <f>IFERROR(__xludf.DUMMYFUNCTION("""COMPUTED_VALUE"""),"1250613")</f>
        <v>1250613</v>
      </c>
      <c r="R1338" s="210" t="str">
        <f>IFERROR(__xludf.DUMMYFUNCTION("""COMPUTED_VALUE"""),"1250613")</f>
        <v>1250613</v>
      </c>
      <c r="S1338" s="211" t="str">
        <f>IFERROR(__xludf.DUMMYFUNCTION("""COMPUTED_VALUE"""),"ec231cc9")</f>
        <v>ec231cc9</v>
      </c>
      <c r="T1338" s="211" t="str">
        <f>IFERROR(__xludf.DUMMYFUNCTION("""COMPUTED_VALUE"""),"Bpk. Kohir (Maintenance Velg)")</f>
        <v>Bpk. Kohir (Maintenance Velg)</v>
      </c>
      <c r="U1338" s="215">
        <f>IFERROR(__xludf.DUMMYFUNCTION("""COMPUTED_VALUE"""),45925.469872685186)</f>
        <v>45925.46987</v>
      </c>
      <c r="V1338" s="211" t="str">
        <f>IFERROR(__xludf.DUMMYFUNCTION("""COMPUTED_VALUE"""),"Jl. Lkr. Bypass Krian Timur, Sidogolong, Watugolong, Kec. Krian, Kabupaten Sidoarjo, Jawa Timur 61262")</f>
        <v>Jl. Lkr. Bypass Krian Timur, Sidogolong, Watugolong, Kec. Krian, Kabupaten Sidoarjo, Jawa Timur 61262</v>
      </c>
      <c r="W1338" s="211" t="str">
        <f>IFERROR(__xludf.DUMMYFUNCTION("""COMPUTED_VALUE"""),"IN")</f>
        <v>IN</v>
      </c>
      <c r="X1338" s="211"/>
      <c r="Z1338" s="211" t="str">
        <f>IFERROR(__xludf.DUMMYFUNCTION("""COMPUTED_VALUE"""),"10240073")</f>
        <v>10240073</v>
      </c>
      <c r="AL1338" s="211"/>
      <c r="AM1338" s="211"/>
      <c r="AN1338" s="211"/>
      <c r="AO1338" s="211"/>
      <c r="AP1338" s="215"/>
      <c r="AQ1338" s="218"/>
      <c r="AR1338" s="211"/>
    </row>
    <row r="1339">
      <c r="A1339" s="210" t="str">
        <f>IFERROR(__xludf.DUMMYFUNCTION("""COMPUTED_VALUE"""),"2bfe062c")</f>
        <v>2bfe062c</v>
      </c>
      <c r="B1339" s="210" t="str">
        <f>IFERROR(__xludf.DUMMYFUNCTION("""COMPUTED_VALUE"""),"2bfe062c")</f>
        <v>2bfe062c</v>
      </c>
      <c r="C1339" s="213">
        <f>IFERROR(__xludf.DUMMYFUNCTION("""COMPUTED_VALUE"""),45847.73055555556)</f>
        <v>45847.73056</v>
      </c>
      <c r="D1339" s="211" t="str">
        <f>IFERROR(__xludf.DUMMYFUNCTION("""COMPUTED_VALUE"""),"#N/A")</f>
        <v>#N/A</v>
      </c>
      <c r="E1339" s="211" t="str">
        <f>IFERROR(__xludf.DUMMYFUNCTION("""COMPUTED_VALUE"""),"Bpk. Rokhim (Kraton)")</f>
        <v>Bpk. Rokhim (Kraton)</v>
      </c>
      <c r="F1339" s="211" t="str">
        <f>IFERROR(__xludf.DUMMYFUNCTION("""COMPUTED_VALUE"""),"7d2764f1")</f>
        <v>7d2764f1</v>
      </c>
      <c r="G1339" s="211" t="str">
        <f>IFERROR(__xludf.DUMMYFUNCTION("""COMPUTED_VALUE"""),"Oksigen 7m3")</f>
        <v>Oksigen 7m3</v>
      </c>
      <c r="H1339" s="214" t="str">
        <f>IFERROR(__xludf.DUMMYFUNCTION("""COMPUTED_VALUE"""),"IN")</f>
        <v>IN</v>
      </c>
      <c r="I1339" s="214" t="str">
        <f>IFERROR(__xludf.DUMMYFUNCTION("""COMPUTED_VALUE"""),"EMPTY")</f>
        <v>EMPTY</v>
      </c>
      <c r="J1339" s="211">
        <f>IFERROR(__xludf.DUMMYFUNCTION("""COMPUTED_VALUE"""),3.0)</f>
        <v>3</v>
      </c>
      <c r="K1339" s="210" t="str">
        <f>IFERROR(__xludf.DUMMYFUNCTION("""COMPUTED_VALUE"""),"11143 11169 11154")</f>
        <v>11143 11169 11154</v>
      </c>
      <c r="L1339" s="211">
        <f>IFERROR(__xludf.DUMMYFUNCTION("""COMPUTED_VALUE"""),0.0)</f>
        <v>0</v>
      </c>
      <c r="M1339" s="211"/>
      <c r="N1339" s="211"/>
      <c r="O1339" s="211"/>
      <c r="Q1339" s="210" t="str">
        <f>IFERROR(__xludf.DUMMYFUNCTION("""COMPUTED_VALUE"""),"1250615")</f>
        <v>1250615</v>
      </c>
      <c r="R1339" s="210" t="str">
        <f>IFERROR(__xludf.DUMMYFUNCTION("""COMPUTED_VALUE"""),"1250615")</f>
        <v>1250615</v>
      </c>
      <c r="S1339" s="211" t="str">
        <f>IFERROR(__xludf.DUMMYFUNCTION("""COMPUTED_VALUE"""),"01158be1")</f>
        <v>01158be1</v>
      </c>
      <c r="T1339" s="211" t="str">
        <f>IFERROR(__xludf.DUMMYFUNCTION("""COMPUTED_VALUE"""),"GYF")</f>
        <v>GYF</v>
      </c>
      <c r="U1339" s="215">
        <f>IFERROR(__xludf.DUMMYFUNCTION("""COMPUTED_VALUE"""),45925.47076388889)</f>
        <v>45925.47076</v>
      </c>
      <c r="V1339" s="211" t="str">
        <f>IFERROR(__xludf.DUMMYFUNCTION("""COMPUTED_VALUE"""),"Kangkungan, Lengkong, Kec. Mojoanyar, Kabupaten Mojokerto, Jawa Timur")</f>
        <v>Kangkungan, Lengkong, Kec. Mojoanyar, Kabupaten Mojokerto, Jawa Timur</v>
      </c>
      <c r="W1339" s="211" t="str">
        <f>IFERROR(__xludf.DUMMYFUNCTION("""COMPUTED_VALUE"""),"IN")</f>
        <v>IN</v>
      </c>
      <c r="X1339" s="211"/>
      <c r="Z1339" s="211" t="str">
        <f>IFERROR(__xludf.DUMMYFUNCTION("""COMPUTED_VALUE"""),"10240201")</f>
        <v>10240201</v>
      </c>
      <c r="AL1339" s="211"/>
      <c r="AM1339" s="211"/>
      <c r="AN1339" s="211"/>
      <c r="AO1339" s="211"/>
      <c r="AP1339" s="215"/>
      <c r="AQ1339" s="218"/>
      <c r="AR1339" s="211"/>
    </row>
    <row r="1340">
      <c r="A1340" s="210" t="str">
        <f>IFERROR(__xludf.DUMMYFUNCTION("""COMPUTED_VALUE"""),"07250575")</f>
        <v>07250575</v>
      </c>
      <c r="B1340" s="210" t="str">
        <f>IFERROR(__xludf.DUMMYFUNCTION("""COMPUTED_VALUE"""),"07250575")</f>
        <v>07250575</v>
      </c>
      <c r="C1340" s="213">
        <f>IFERROR(__xludf.DUMMYFUNCTION("""COMPUTED_VALUE"""),45849.419444444444)</f>
        <v>45849.41944</v>
      </c>
      <c r="D1340" s="211" t="str">
        <f>IFERROR(__xludf.DUMMYFUNCTION("""COMPUTED_VALUE"""),"45d814b4")</f>
        <v>45d814b4</v>
      </c>
      <c r="E1340" s="211" t="str">
        <f>IFERROR(__xludf.DUMMYFUNCTION("""COMPUTED_VALUE"""),"Bpk. Joko (Ponokawan)")</f>
        <v>Bpk. Joko (Ponokawan)</v>
      </c>
      <c r="F1340" s="211" t="str">
        <f>IFERROR(__xludf.DUMMYFUNCTION("""COMPUTED_VALUE"""),"66af7c72")</f>
        <v>66af7c72</v>
      </c>
      <c r="G1340" s="211" t="str">
        <f>IFERROR(__xludf.DUMMYFUNCTION("""COMPUTED_VALUE"""),"Argon 6m3")</f>
        <v>Argon 6m3</v>
      </c>
      <c r="H1340" s="214" t="str">
        <f>IFERROR(__xludf.DUMMYFUNCTION("""COMPUTED_VALUE"""),"OUT")</f>
        <v>OUT</v>
      </c>
      <c r="I1340" s="214" t="str">
        <f>IFERROR(__xludf.DUMMYFUNCTION("""COMPUTED_VALUE"""),"NORMAL")</f>
        <v>NORMAL</v>
      </c>
      <c r="J1340" s="211">
        <f>IFERROR(__xludf.DUMMYFUNCTION("""COMPUTED_VALUE"""),1.0)</f>
        <v>1</v>
      </c>
      <c r="K1340" s="210" t="str">
        <f>IFERROR(__xludf.DUMMYFUNCTION("""COMPUTED_VALUE"""),"12041")</f>
        <v>12041</v>
      </c>
      <c r="L1340" s="211">
        <f>IFERROR(__xludf.DUMMYFUNCTION("""COMPUTED_VALUE"""),260000.0)</f>
        <v>260000</v>
      </c>
      <c r="M1340" s="211"/>
      <c r="N1340" s="211"/>
      <c r="O1340" s="211"/>
      <c r="Q1340" s="210" t="str">
        <f>IFERROR(__xludf.DUMMYFUNCTION("""COMPUTED_VALUE"""),"1250620")</f>
        <v>1250620</v>
      </c>
      <c r="R1340" s="210" t="str">
        <f>IFERROR(__xludf.DUMMYFUNCTION("""COMPUTED_VALUE"""),"1250620")</f>
        <v>1250620</v>
      </c>
      <c r="S1340" s="211" t="str">
        <f>IFERROR(__xludf.DUMMYFUNCTION("""COMPUTED_VALUE"""),"182fb0fe")</f>
        <v>182fb0fe</v>
      </c>
      <c r="T1340" s="211" t="str">
        <f>IFERROR(__xludf.DUMMYFUNCTION("""COMPUTED_VALUE"""),"PT Amtech")</f>
        <v>PT Amtech</v>
      </c>
      <c r="U1340" s="215">
        <f>IFERROR(__xludf.DUMMYFUNCTION("""COMPUTED_VALUE"""),45925.59806712963)</f>
        <v>45925.59807</v>
      </c>
      <c r="V1340" s="211" t="str">
        <f>IFERROR(__xludf.DUMMYFUNCTION("""COMPUTED_VALUE"""),"Jl. Morowudi, Ikerikergeger, Kabupaten Gresik, Jawa Timur")</f>
        <v>Jl. Morowudi, Ikerikergeger, Kabupaten Gresik, Jawa Timur</v>
      </c>
      <c r="W1340" s="211" t="str">
        <f>IFERROR(__xludf.DUMMYFUNCTION("""COMPUTED_VALUE"""),"IN")</f>
        <v>IN</v>
      </c>
      <c r="X1340" s="211"/>
      <c r="Z1340" s="211" t="str">
        <f>IFERROR(__xludf.DUMMYFUNCTION("""COMPUTED_VALUE"""),"10240070")</f>
        <v>10240070</v>
      </c>
      <c r="AL1340" s="211"/>
      <c r="AM1340" s="211"/>
      <c r="AN1340" s="211"/>
      <c r="AO1340" s="211"/>
      <c r="AP1340" s="215"/>
      <c r="AQ1340" s="218"/>
      <c r="AR1340" s="211"/>
    </row>
    <row r="1341">
      <c r="A1341" s="210" t="str">
        <f>IFERROR(__xludf.DUMMYFUNCTION("""COMPUTED_VALUE"""),"8cb52383")</f>
        <v>8cb52383</v>
      </c>
      <c r="B1341" s="210" t="str">
        <f>IFERROR(__xludf.DUMMYFUNCTION("""COMPUTED_VALUE"""),"8cb52383")</f>
        <v>8cb52383</v>
      </c>
      <c r="C1341" s="213">
        <f>IFERROR(__xludf.DUMMYFUNCTION("""COMPUTED_VALUE"""),45849.48888888889)</f>
        <v>45849.48889</v>
      </c>
      <c r="D1341" s="211" t="str">
        <f>IFERROR(__xludf.DUMMYFUNCTION("""COMPUTED_VALUE"""),"45d814b4")</f>
        <v>45d814b4</v>
      </c>
      <c r="E1341" s="211" t="str">
        <f>IFERROR(__xludf.DUMMYFUNCTION("""COMPUTED_VALUE"""),"Bpk. Joko (Ponokawan)")</f>
        <v>Bpk. Joko (Ponokawan)</v>
      </c>
      <c r="F1341" s="211" t="str">
        <f>IFERROR(__xludf.DUMMYFUNCTION("""COMPUTED_VALUE"""),"66af7c72")</f>
        <v>66af7c72</v>
      </c>
      <c r="G1341" s="211" t="str">
        <f>IFERROR(__xludf.DUMMYFUNCTION("""COMPUTED_VALUE"""),"Argon 6m3")</f>
        <v>Argon 6m3</v>
      </c>
      <c r="H1341" s="214" t="str">
        <f>IFERROR(__xludf.DUMMYFUNCTION("""COMPUTED_VALUE"""),"IN")</f>
        <v>IN</v>
      </c>
      <c r="I1341" s="214" t="str">
        <f>IFERROR(__xludf.DUMMYFUNCTION("""COMPUTED_VALUE"""),"EMPTY")</f>
        <v>EMPTY</v>
      </c>
      <c r="J1341" s="211">
        <f>IFERROR(__xludf.DUMMYFUNCTION("""COMPUTED_VALUE"""),1.0)</f>
        <v>1</v>
      </c>
      <c r="K1341" s="210" t="str">
        <f>IFERROR(__xludf.DUMMYFUNCTION("""COMPUTED_VALUE"""),"12016")</f>
        <v>12016</v>
      </c>
      <c r="L1341" s="211">
        <f>IFERROR(__xludf.DUMMYFUNCTION("""COMPUTED_VALUE"""),0.0)</f>
        <v>0</v>
      </c>
      <c r="M1341" s="211"/>
      <c r="N1341" s="211"/>
      <c r="O1341" s="211"/>
      <c r="Q1341" s="210" t="str">
        <f>IFERROR(__xludf.DUMMYFUNCTION("""COMPUTED_VALUE"""),"092531336")</f>
        <v>092531336</v>
      </c>
      <c r="R1341" s="210" t="str">
        <f>IFERROR(__xludf.DUMMYFUNCTION("""COMPUTED_VALUE"""),"092531336")</f>
        <v>092531336</v>
      </c>
      <c r="S1341" s="211" t="str">
        <f>IFERROR(__xludf.DUMMYFUNCTION("""COMPUTED_VALUE"""),"bdb5baf3")</f>
        <v>bdb5baf3</v>
      </c>
      <c r="T1341" s="211" t="str">
        <f>IFERROR(__xludf.DUMMYFUNCTION("""COMPUTED_VALUE"""),"Bpk. Abdul")</f>
        <v>Bpk. Abdul</v>
      </c>
      <c r="U1341" s="215">
        <f>IFERROR(__xludf.DUMMYFUNCTION("""COMPUTED_VALUE"""),45926.343506944446)</f>
        <v>45926.34351</v>
      </c>
      <c r="V1341" s="211" t="str">
        <f>IFERROR(__xludf.DUMMYFUNCTION("""COMPUTED_VALUE"""),"Bypass Krian")</f>
        <v>Bypass Krian</v>
      </c>
      <c r="W1341" s="211" t="str">
        <f>IFERROR(__xludf.DUMMYFUNCTION("""COMPUTED_VALUE"""),"OUT")</f>
        <v>OUT</v>
      </c>
      <c r="X1341" s="211"/>
      <c r="Z1341" s="211" t="str">
        <f>IFERROR(__xludf.DUMMYFUNCTION("""COMPUTED_VALUE"""),"10240069")</f>
        <v>10240069</v>
      </c>
      <c r="AL1341" s="211"/>
      <c r="AM1341" s="211"/>
      <c r="AN1341" s="211"/>
      <c r="AO1341" s="211"/>
      <c r="AP1341" s="215"/>
      <c r="AQ1341" s="218"/>
      <c r="AR1341" s="211"/>
    </row>
    <row r="1342">
      <c r="A1342" s="210" t="str">
        <f>IFERROR(__xludf.DUMMYFUNCTION("""COMPUTED_VALUE"""),"4a9633a4")</f>
        <v>4a9633a4</v>
      </c>
      <c r="B1342" s="210" t="str">
        <f>IFERROR(__xludf.DUMMYFUNCTION("""COMPUTED_VALUE"""),"4a9633a4")</f>
        <v>4a9633a4</v>
      </c>
      <c r="C1342" s="213">
        <f>IFERROR(__xludf.DUMMYFUNCTION("""COMPUTED_VALUE"""),45849.57361111111)</f>
        <v>45849.57361</v>
      </c>
      <c r="D1342" s="211" t="str">
        <f>IFERROR(__xludf.DUMMYFUNCTION("""COMPUTED_VALUE"""),"103f3ae7")</f>
        <v>103f3ae7</v>
      </c>
      <c r="E1342" s="211" t="str">
        <f>IFERROR(__xludf.DUMMYFUNCTION("""COMPUTED_VALUE"""),"PT ARYANA CAKASANA")</f>
        <v>PT ARYANA CAKASANA</v>
      </c>
      <c r="F1342" s="211" t="str">
        <f>IFERROR(__xludf.DUMMYFUNCTION("""COMPUTED_VALUE"""),"8bdbe149")</f>
        <v>8bdbe149</v>
      </c>
      <c r="G1342" s="211" t="str">
        <f>IFERROR(__xludf.DUMMYFUNCTION("""COMPUTED_VALUE"""),"Oksigen 6m3")</f>
        <v>Oksigen 6m3</v>
      </c>
      <c r="H1342" s="214" t="str">
        <f>IFERROR(__xludf.DUMMYFUNCTION("""COMPUTED_VALUE"""),"IN")</f>
        <v>IN</v>
      </c>
      <c r="I1342" s="214" t="str">
        <f>IFERROR(__xludf.DUMMYFUNCTION("""COMPUTED_VALUE"""),"EMPTY")</f>
        <v>EMPTY</v>
      </c>
      <c r="J1342" s="211">
        <f>IFERROR(__xludf.DUMMYFUNCTION("""COMPUTED_VALUE"""),2.0)</f>
        <v>2</v>
      </c>
      <c r="K1342" s="210" t="str">
        <f>IFERROR(__xludf.DUMMYFUNCTION("""COMPUTED_VALUE"""),"11252 11256")</f>
        <v>11252 11256</v>
      </c>
      <c r="L1342" s="211">
        <f>IFERROR(__xludf.DUMMYFUNCTION("""COMPUTED_VALUE"""),0.0)</f>
        <v>0</v>
      </c>
      <c r="M1342" s="211"/>
      <c r="N1342" s="211"/>
      <c r="O1342" s="211"/>
      <c r="Q1342" s="210" t="str">
        <f>IFERROR(__xludf.DUMMYFUNCTION("""COMPUTED_VALUE"""),"1250617")</f>
        <v>1250617</v>
      </c>
      <c r="R1342" s="210" t="str">
        <f>IFERROR(__xludf.DUMMYFUNCTION("""COMPUTED_VALUE"""),"1250617")</f>
        <v>1250617</v>
      </c>
      <c r="S1342" s="211" t="str">
        <f>IFERROR(__xludf.DUMMYFUNCTION("""COMPUTED_VALUE"""),"bdb5baf3")</f>
        <v>bdb5baf3</v>
      </c>
      <c r="T1342" s="211" t="str">
        <f>IFERROR(__xludf.DUMMYFUNCTION("""COMPUTED_VALUE"""),"Bpk. Abdul")</f>
        <v>Bpk. Abdul</v>
      </c>
      <c r="U1342" s="215">
        <f>IFERROR(__xludf.DUMMYFUNCTION("""COMPUTED_VALUE"""),45926.36158564815)</f>
        <v>45926.36159</v>
      </c>
      <c r="V1342" s="211" t="str">
        <f>IFERROR(__xludf.DUMMYFUNCTION("""COMPUTED_VALUE"""),"Bypass Krian")</f>
        <v>Bypass Krian</v>
      </c>
      <c r="W1342" s="211" t="str">
        <f>IFERROR(__xludf.DUMMYFUNCTION("""COMPUTED_VALUE"""),"IN")</f>
        <v>IN</v>
      </c>
      <c r="X1342" s="211"/>
      <c r="Z1342" s="211" t="str">
        <f>IFERROR(__xludf.DUMMYFUNCTION("""COMPUTED_VALUE"""),"10240068")</f>
        <v>10240068</v>
      </c>
      <c r="AL1342" s="211"/>
      <c r="AM1342" s="211"/>
      <c r="AN1342" s="211"/>
      <c r="AO1342" s="211"/>
      <c r="AP1342" s="215"/>
      <c r="AQ1342" s="218"/>
      <c r="AR1342" s="211"/>
    </row>
    <row r="1343">
      <c r="A1343" s="210" t="str">
        <f>IFERROR(__xludf.DUMMYFUNCTION("""COMPUTED_VALUE"""),"6eebccb0")</f>
        <v>6eebccb0</v>
      </c>
      <c r="B1343" s="210" t="str">
        <f>IFERROR(__xludf.DUMMYFUNCTION("""COMPUTED_VALUE"""),"6eebccb0")</f>
        <v>6eebccb0</v>
      </c>
      <c r="C1343" s="213">
        <f>IFERROR(__xludf.DUMMYFUNCTION("""COMPUTED_VALUE"""),45849.57361111111)</f>
        <v>45849.57361</v>
      </c>
      <c r="D1343" s="211" t="str">
        <f>IFERROR(__xludf.DUMMYFUNCTION("""COMPUTED_VALUE"""),"01158be1")</f>
        <v>01158be1</v>
      </c>
      <c r="E1343" s="211" t="str">
        <f>IFERROR(__xludf.DUMMYFUNCTION("""COMPUTED_VALUE"""),"GYF")</f>
        <v>GYF</v>
      </c>
      <c r="F1343" s="211" t="str">
        <f>IFERROR(__xludf.DUMMYFUNCTION("""COMPUTED_VALUE"""),"8bdbe149")</f>
        <v>8bdbe149</v>
      </c>
      <c r="G1343" s="211" t="str">
        <f>IFERROR(__xludf.DUMMYFUNCTION("""COMPUTED_VALUE"""),"Oksigen 6m3")</f>
        <v>Oksigen 6m3</v>
      </c>
      <c r="H1343" s="214" t="str">
        <f>IFERROR(__xludf.DUMMYFUNCTION("""COMPUTED_VALUE"""),"IN")</f>
        <v>IN</v>
      </c>
      <c r="I1343" s="214" t="str">
        <f>IFERROR(__xludf.DUMMYFUNCTION("""COMPUTED_VALUE"""),"EMPTY")</f>
        <v>EMPTY</v>
      </c>
      <c r="J1343" s="211">
        <f>IFERROR(__xludf.DUMMYFUNCTION("""COMPUTED_VALUE"""),10.0)</f>
        <v>10</v>
      </c>
      <c r="K1343" s="210" t="str">
        <f>IFERROR(__xludf.DUMMYFUNCTION("""COMPUTED_VALUE"""),"11206 11238 1121 1101 11138 11148 11142 11261 11282 1106")</f>
        <v>11206 11238 1121 1101 11138 11148 11142 11261 11282 1106</v>
      </c>
      <c r="L1343" s="211">
        <f>IFERROR(__xludf.DUMMYFUNCTION("""COMPUTED_VALUE"""),0.0)</f>
        <v>0</v>
      </c>
      <c r="M1343" s="211"/>
      <c r="N1343" s="211"/>
      <c r="O1343" s="211"/>
      <c r="Q1343" s="210" t="str">
        <f>IFERROR(__xludf.DUMMYFUNCTION("""COMPUTED_VALUE"""),"092561342")</f>
        <v>092561342</v>
      </c>
      <c r="R1343" s="210" t="str">
        <f>IFERROR(__xludf.DUMMYFUNCTION("""COMPUTED_VALUE"""),"092561342")</f>
        <v>092561342</v>
      </c>
      <c r="S1343" s="211" t="str">
        <f>IFERROR(__xludf.DUMMYFUNCTION("""COMPUTED_VALUE"""),"dcdf8b31")</f>
        <v>dcdf8b31</v>
      </c>
      <c r="T1343" s="211" t="str">
        <f>IFERROR(__xludf.DUMMYFUNCTION("""COMPUTED_VALUE"""),"Bpk. Samsul (Jetis)")</f>
        <v>Bpk. Samsul (Jetis)</v>
      </c>
      <c r="U1343" s="215">
        <f>IFERROR(__xludf.DUMMYFUNCTION("""COMPUTED_VALUE"""),45927.354166666664)</f>
        <v>45927.35417</v>
      </c>
      <c r="V1343" s="211" t="str">
        <f>IFERROR(__xludf.DUMMYFUNCTION("""COMPUTED_VALUE"""),"HFWF+9FG, Sido Wangi, Paringan, Kec. Jetis, Kabupaten Mojokerto, Jawa Timur")</f>
        <v>HFWF+9FG, Sido Wangi, Paringan, Kec. Jetis, Kabupaten Mojokerto, Jawa Timur</v>
      </c>
      <c r="W1343" s="211" t="str">
        <f>IFERROR(__xludf.DUMMYFUNCTION("""COMPUTED_VALUE"""),"OUT")</f>
        <v>OUT</v>
      </c>
      <c r="X1343" s="211"/>
      <c r="Z1343" s="211" t="str">
        <f>IFERROR(__xludf.DUMMYFUNCTION("""COMPUTED_VALUE"""),"10240066")</f>
        <v>10240066</v>
      </c>
      <c r="AL1343" s="211"/>
      <c r="AM1343" s="211"/>
      <c r="AN1343" s="211"/>
      <c r="AO1343" s="211"/>
      <c r="AP1343" s="215"/>
      <c r="AQ1343" s="218"/>
      <c r="AR1343" s="211"/>
    </row>
    <row r="1344">
      <c r="A1344" s="210" t="str">
        <f>IFERROR(__xludf.DUMMYFUNCTION("""COMPUTED_VALUE"""),"cb904bf7")</f>
        <v>cb904bf7</v>
      </c>
      <c r="B1344" s="210" t="str">
        <f>IFERROR(__xludf.DUMMYFUNCTION("""COMPUTED_VALUE"""),"cb904bf7")</f>
        <v>cb904bf7</v>
      </c>
      <c r="C1344" s="213">
        <f>IFERROR(__xludf.DUMMYFUNCTION("""COMPUTED_VALUE"""),45849.57430555556)</f>
        <v>45849.57431</v>
      </c>
      <c r="D1344" s="211" t="str">
        <f>IFERROR(__xludf.DUMMYFUNCTION("""COMPUTED_VALUE"""),"785e0e07")</f>
        <v>785e0e07</v>
      </c>
      <c r="E1344" s="211" t="str">
        <f>IFERROR(__xludf.DUMMYFUNCTION("""COMPUTED_VALUE"""),"Bpk. Sukirno (Bejo)")</f>
        <v>Bpk. Sukirno (Bejo)</v>
      </c>
      <c r="F1344" s="211" t="str">
        <f>IFERROR(__xludf.DUMMYFUNCTION("""COMPUTED_VALUE"""),"8bdbe149")</f>
        <v>8bdbe149</v>
      </c>
      <c r="G1344" s="211" t="str">
        <f>IFERROR(__xludf.DUMMYFUNCTION("""COMPUTED_VALUE"""),"Oksigen 6m3")</f>
        <v>Oksigen 6m3</v>
      </c>
      <c r="H1344" s="214" t="str">
        <f>IFERROR(__xludf.DUMMYFUNCTION("""COMPUTED_VALUE"""),"IN")</f>
        <v>IN</v>
      </c>
      <c r="I1344" s="214" t="str">
        <f>IFERROR(__xludf.DUMMYFUNCTION("""COMPUTED_VALUE"""),"EMPTY")</f>
        <v>EMPTY</v>
      </c>
      <c r="J1344" s="211">
        <f>IFERROR(__xludf.DUMMYFUNCTION("""COMPUTED_VALUE"""),1.0)</f>
        <v>1</v>
      </c>
      <c r="K1344" s="210" t="str">
        <f>IFERROR(__xludf.DUMMYFUNCTION("""COMPUTED_VALUE"""),"11177")</f>
        <v>11177</v>
      </c>
      <c r="L1344" s="211">
        <f>IFERROR(__xludf.DUMMYFUNCTION("""COMPUTED_VALUE"""),0.0)</f>
        <v>0</v>
      </c>
      <c r="M1344" s="211"/>
      <c r="N1344" s="211"/>
      <c r="O1344" s="211"/>
      <c r="Q1344" s="210" t="str">
        <f>IFERROR(__xludf.DUMMYFUNCTION("""COMPUTED_VALUE"""),"0925531344")</f>
        <v>0925531344</v>
      </c>
      <c r="R1344" s="210" t="str">
        <f>IFERROR(__xludf.DUMMYFUNCTION("""COMPUTED_VALUE"""),"0925531344")</f>
        <v>0925531344</v>
      </c>
      <c r="S1344" s="211" t="str">
        <f>IFERROR(__xludf.DUMMYFUNCTION("""COMPUTED_VALUE"""),"e86baf3b")</f>
        <v>e86baf3b</v>
      </c>
      <c r="T1344" s="211" t="str">
        <f>IFERROR(__xludf.DUMMYFUNCTION("""COMPUTED_VALUE"""),"PT GEMILANG CIPTA WAWASAN")</f>
        <v>PT GEMILANG CIPTA WAWASAN</v>
      </c>
      <c r="U1344" s="215">
        <f>IFERROR(__xludf.DUMMYFUNCTION("""COMPUTED_VALUE"""),45927.36041666667)</f>
        <v>45927.36042</v>
      </c>
      <c r="V1344" s="211" t="str">
        <f>IFERROR(__xludf.DUMMYFUNCTION("""COMPUTED_VALUE"""),"JL TEBET RAYA, 2A, TEBET BARAT, TEBET, KOTA ADM, JAKARTA SELATAN, DKI JAKARTA")</f>
        <v>JL TEBET RAYA, 2A, TEBET BARAT, TEBET, KOTA ADM, JAKARTA SELATAN, DKI JAKARTA</v>
      </c>
      <c r="W1344" s="211" t="str">
        <f>IFERROR(__xludf.DUMMYFUNCTION("""COMPUTED_VALUE"""),"OUT")</f>
        <v>OUT</v>
      </c>
      <c r="X1344" s="211"/>
      <c r="Z1344" s="211" t="str">
        <f>IFERROR(__xludf.DUMMYFUNCTION("""COMPUTED_VALUE"""),"10240064")</f>
        <v>10240064</v>
      </c>
      <c r="AL1344" s="211"/>
      <c r="AM1344" s="211"/>
      <c r="AN1344" s="211"/>
      <c r="AO1344" s="211"/>
      <c r="AP1344" s="215"/>
      <c r="AQ1344" s="218"/>
      <c r="AR1344" s="211"/>
    </row>
    <row r="1345">
      <c r="A1345" s="210" t="str">
        <f>IFERROR(__xludf.DUMMYFUNCTION("""COMPUTED_VALUE"""),"07250576")</f>
        <v>07250576</v>
      </c>
      <c r="B1345" s="210" t="str">
        <f>IFERROR(__xludf.DUMMYFUNCTION("""COMPUTED_VALUE"""),"07250576")</f>
        <v>07250576</v>
      </c>
      <c r="C1345" s="213">
        <f>IFERROR(__xludf.DUMMYFUNCTION("""COMPUTED_VALUE"""),45850.458333333336)</f>
        <v>45850.45833</v>
      </c>
      <c r="D1345" s="211" t="str">
        <f>IFERROR(__xludf.DUMMYFUNCTION("""COMPUTED_VALUE"""),"bdb5baf1")</f>
        <v>bdb5baf1</v>
      </c>
      <c r="E1345" s="211" t="str">
        <f>IFERROR(__xludf.DUMMYFUNCTION("""COMPUTED_VALUE"""),"Bpk. Abdul")</f>
        <v>Bpk. Abdul</v>
      </c>
      <c r="F1345" s="211" t="str">
        <f>IFERROR(__xludf.DUMMYFUNCTION("""COMPUTED_VALUE"""),"3b9d6a30")</f>
        <v>3b9d6a30</v>
      </c>
      <c r="G1345" s="211" t="str">
        <f>IFERROR(__xludf.DUMMYFUNCTION("""COMPUTED_VALUE"""),"Acetyline")</f>
        <v>Acetyline</v>
      </c>
      <c r="H1345" s="214" t="str">
        <f>IFERROR(__xludf.DUMMYFUNCTION("""COMPUTED_VALUE"""),"OUT")</f>
        <v>OUT</v>
      </c>
      <c r="I1345" s="214" t="str">
        <f>IFERROR(__xludf.DUMMYFUNCTION("""COMPUTED_VALUE"""),"NORMAL")</f>
        <v>NORMAL</v>
      </c>
      <c r="J1345" s="211">
        <f>IFERROR(__xludf.DUMMYFUNCTION("""COMPUTED_VALUE"""),1.0)</f>
        <v>1</v>
      </c>
      <c r="K1345" s="210" t="str">
        <f>IFERROR(__xludf.DUMMYFUNCTION("""COMPUTED_VALUE"""),"7001")</f>
        <v>7001</v>
      </c>
      <c r="L1345" s="211">
        <f>IFERROR(__xludf.DUMMYFUNCTION("""COMPUTED_VALUE"""),430000.0)</f>
        <v>430000</v>
      </c>
      <c r="M1345" s="211"/>
      <c r="N1345" s="211"/>
      <c r="O1345" s="211"/>
      <c r="Q1345" s="210" t="str">
        <f>IFERROR(__xludf.DUMMYFUNCTION("""COMPUTED_VALUE"""),"0925271345")</f>
        <v>0925271345</v>
      </c>
      <c r="R1345" s="210" t="str">
        <f>IFERROR(__xludf.DUMMYFUNCTION("""COMPUTED_VALUE"""),"0925271345")</f>
        <v>0925271345</v>
      </c>
      <c r="S1345" s="211" t="str">
        <f>IFERROR(__xludf.DUMMYFUNCTION("""COMPUTED_VALUE"""),"ce83e171")</f>
        <v>ce83e171</v>
      </c>
      <c r="T1345" s="211" t="str">
        <f>IFERROR(__xludf.DUMMYFUNCTION("""COMPUTED_VALUE"""),"Bpk. Sulaiman")</f>
        <v>Bpk. Sulaiman</v>
      </c>
      <c r="U1345" s="215">
        <f>IFERROR(__xludf.DUMMYFUNCTION("""COMPUTED_VALUE"""),45927.361805555556)</f>
        <v>45927.36181</v>
      </c>
      <c r="V1345" s="211" t="str">
        <f>IFERROR(__xludf.DUMMYFUNCTION("""COMPUTED_VALUE"""),"Jl. Raya Kramat Temenggung No.43, Kramat, Kramat Temenggung, Kec. Tarik, Kabupaten Sidoarjo, Jawa Timur 61265")</f>
        <v>Jl. Raya Kramat Temenggung No.43, Kramat, Kramat Temenggung, Kec. Tarik, Kabupaten Sidoarjo, Jawa Timur 61265</v>
      </c>
      <c r="W1345" s="211" t="str">
        <f>IFERROR(__xludf.DUMMYFUNCTION("""COMPUTED_VALUE"""),"OUT")</f>
        <v>OUT</v>
      </c>
      <c r="X1345" s="211"/>
      <c r="Z1345" s="211" t="str">
        <f>IFERROR(__xludf.DUMMYFUNCTION("""COMPUTED_VALUE"""),"10240062")</f>
        <v>10240062</v>
      </c>
      <c r="AL1345" s="211"/>
      <c r="AM1345" s="211"/>
      <c r="AN1345" s="211"/>
      <c r="AO1345" s="211"/>
      <c r="AP1345" s="215"/>
      <c r="AQ1345" s="218"/>
      <c r="AR1345" s="211"/>
    </row>
    <row r="1346">
      <c r="A1346" s="210" t="str">
        <f>IFERROR(__xludf.DUMMYFUNCTION("""COMPUTED_VALUE"""),"f7cc9e81")</f>
        <v>f7cc9e81</v>
      </c>
      <c r="B1346" s="210" t="str">
        <f>IFERROR(__xludf.DUMMYFUNCTION("""COMPUTED_VALUE"""),"f7cc9e81")</f>
        <v>f7cc9e81</v>
      </c>
      <c r="C1346" s="213">
        <f>IFERROR(__xludf.DUMMYFUNCTION("""COMPUTED_VALUE"""),45850.461805555555)</f>
        <v>45850.46181</v>
      </c>
      <c r="D1346" s="211" t="str">
        <f>IFERROR(__xludf.DUMMYFUNCTION("""COMPUTED_VALUE"""),"bdb5baf2")</f>
        <v>bdb5baf2</v>
      </c>
      <c r="E1346" s="211" t="str">
        <f>IFERROR(__xludf.DUMMYFUNCTION("""COMPUTED_VALUE"""),"Bpk. Abdul")</f>
        <v>Bpk. Abdul</v>
      </c>
      <c r="F1346" s="211" t="str">
        <f>IFERROR(__xludf.DUMMYFUNCTION("""COMPUTED_VALUE"""),"3b9d6a30")</f>
        <v>3b9d6a30</v>
      </c>
      <c r="G1346" s="211" t="str">
        <f>IFERROR(__xludf.DUMMYFUNCTION("""COMPUTED_VALUE"""),"Acetyline")</f>
        <v>Acetyline</v>
      </c>
      <c r="H1346" s="214" t="str">
        <f>IFERROR(__xludf.DUMMYFUNCTION("""COMPUTED_VALUE"""),"IN")</f>
        <v>IN</v>
      </c>
      <c r="I1346" s="214" t="str">
        <f>IFERROR(__xludf.DUMMYFUNCTION("""COMPUTED_VALUE"""),"EMPTY")</f>
        <v>EMPTY</v>
      </c>
      <c r="J1346" s="211">
        <f>IFERROR(__xludf.DUMMYFUNCTION("""COMPUTED_VALUE"""),1.0)</f>
        <v>1</v>
      </c>
      <c r="K1346" s="211"/>
      <c r="L1346" s="211">
        <f>IFERROR(__xludf.DUMMYFUNCTION("""COMPUTED_VALUE"""),0.0)</f>
        <v>0</v>
      </c>
      <c r="M1346" s="211"/>
      <c r="N1346" s="211"/>
      <c r="O1346" s="211"/>
      <c r="Q1346" s="210" t="str">
        <f>IFERROR(__xludf.DUMMYFUNCTION("""COMPUTED_VALUE"""),"4092521303")</f>
        <v>4092521303</v>
      </c>
      <c r="R1346" s="210" t="str">
        <f>IFERROR(__xludf.DUMMYFUNCTION("""COMPUTED_VALUE"""),"4092521303")</f>
        <v>4092521303</v>
      </c>
      <c r="S1346" s="211" t="str">
        <f>IFERROR(__xludf.DUMMYFUNCTION("""COMPUTED_VALUE"""),"ed2cc96a")</f>
        <v>ed2cc96a</v>
      </c>
      <c r="T1346" s="211" t="str">
        <f>IFERROR(__xludf.DUMMYFUNCTION("""COMPUTED_VALUE"""),"Bengkel Dian Jaya")</f>
        <v>Bengkel Dian Jaya</v>
      </c>
      <c r="U1346" s="215">
        <f>IFERROR(__xludf.DUMMYFUNCTION("""COMPUTED_VALUE"""),45927.368055555555)</f>
        <v>45927.36806</v>
      </c>
      <c r="V1346" s="211" t="str">
        <f>IFERROR(__xludf.DUMMYFUNCTION("""COMPUTED_VALUE"""),"Gg. 2, Kejagan, Kec. Trowulan, Kabupaten Mojokerto, Jawa Timur 61362")</f>
        <v>Gg. 2, Kejagan, Kec. Trowulan, Kabupaten Mojokerto, Jawa Timur 61362</v>
      </c>
      <c r="W1346" s="211" t="str">
        <f>IFERROR(__xludf.DUMMYFUNCTION("""COMPUTED_VALUE"""),"OTHER")</f>
        <v>OTHER</v>
      </c>
      <c r="X1346" s="211"/>
      <c r="Z1346" s="211" t="str">
        <f>IFERROR(__xludf.DUMMYFUNCTION("""COMPUTED_VALUE"""),"10240061")</f>
        <v>10240061</v>
      </c>
      <c r="AL1346" s="211"/>
      <c r="AM1346" s="211"/>
      <c r="AN1346" s="211"/>
      <c r="AO1346" s="211"/>
      <c r="AP1346" s="215"/>
      <c r="AQ1346" s="218"/>
      <c r="AR1346" s="211"/>
    </row>
    <row r="1347">
      <c r="A1347" s="210" t="str">
        <f>IFERROR(__xludf.DUMMYFUNCTION("""COMPUTED_VALUE"""),"07250577")</f>
        <v>07250577</v>
      </c>
      <c r="B1347" s="210" t="str">
        <f>IFERROR(__xludf.DUMMYFUNCTION("""COMPUTED_VALUE"""),"07250577")</f>
        <v>07250577</v>
      </c>
      <c r="C1347" s="213">
        <f>IFERROR(__xludf.DUMMYFUNCTION("""COMPUTED_VALUE"""),45852.39444444444)</f>
        <v>45852.39444</v>
      </c>
      <c r="D1347" s="211" t="str">
        <f>IFERROR(__xludf.DUMMYFUNCTION("""COMPUTED_VALUE"""),"ec231cc9")</f>
        <v>ec231cc9</v>
      </c>
      <c r="E1347" s="211" t="str">
        <f>IFERROR(__xludf.DUMMYFUNCTION("""COMPUTED_VALUE"""),"Bpk. Kohir (Maintenance Velg)")</f>
        <v>Bpk. Kohir (Maintenance Velg)</v>
      </c>
      <c r="F1347" s="211" t="str">
        <f>IFERROR(__xludf.DUMMYFUNCTION("""COMPUTED_VALUE"""),"8bdbe149")</f>
        <v>8bdbe149</v>
      </c>
      <c r="G1347" s="211" t="str">
        <f>IFERROR(__xludf.DUMMYFUNCTION("""COMPUTED_VALUE"""),"Oksigen 6m3")</f>
        <v>Oksigen 6m3</v>
      </c>
      <c r="H1347" s="214" t="str">
        <f>IFERROR(__xludf.DUMMYFUNCTION("""COMPUTED_VALUE"""),"OUT")</f>
        <v>OUT</v>
      </c>
      <c r="I1347" s="214" t="str">
        <f>IFERROR(__xludf.DUMMYFUNCTION("""COMPUTED_VALUE"""),"NORMAL")</f>
        <v>NORMAL</v>
      </c>
      <c r="J1347" s="211">
        <f>IFERROR(__xludf.DUMMYFUNCTION("""COMPUTED_VALUE"""),5.0)</f>
        <v>5</v>
      </c>
      <c r="K1347" s="210" t="str">
        <f>IFERROR(__xludf.DUMMYFUNCTION("""COMPUTED_VALUE"""),"11240 11184 11206 11275 11266")</f>
        <v>11240 11184 11206 11275 11266</v>
      </c>
      <c r="L1347" s="211">
        <f>IFERROR(__xludf.DUMMYFUNCTION("""COMPUTED_VALUE"""),55000.0)</f>
        <v>55000</v>
      </c>
      <c r="M1347" s="211"/>
      <c r="N1347" s="211"/>
      <c r="O1347" s="211"/>
      <c r="Q1347" s="210" t="str">
        <f>IFERROR(__xludf.DUMMYFUNCTION("""COMPUTED_VALUE"""),"1250621")</f>
        <v>1250621</v>
      </c>
      <c r="R1347" s="210" t="str">
        <f>IFERROR(__xludf.DUMMYFUNCTION("""COMPUTED_VALUE"""),"1250621")</f>
        <v>1250621</v>
      </c>
      <c r="S1347" s="211" t="str">
        <f>IFERROR(__xludf.DUMMYFUNCTION("""COMPUTED_VALUE"""),"e86baf3b")</f>
        <v>e86baf3b</v>
      </c>
      <c r="T1347" s="211" t="str">
        <f>IFERROR(__xludf.DUMMYFUNCTION("""COMPUTED_VALUE"""),"PT GEMILANG CIPTA WAWASAN")</f>
        <v>PT GEMILANG CIPTA WAWASAN</v>
      </c>
      <c r="U1347" s="215">
        <f>IFERROR(__xludf.DUMMYFUNCTION("""COMPUTED_VALUE"""),45927.390752314815)</f>
        <v>45927.39075</v>
      </c>
      <c r="V1347" s="211" t="str">
        <f>IFERROR(__xludf.DUMMYFUNCTION("""COMPUTED_VALUE"""),"JL TEBET RAYA, 2A, TEBET BARAT, TEBET, KOTA ADM, JAKARTA SELATAN, DKI JAKARTA")</f>
        <v>JL TEBET RAYA, 2A, TEBET BARAT, TEBET, KOTA ADM, JAKARTA SELATAN, DKI JAKARTA</v>
      </c>
      <c r="W1347" s="211" t="str">
        <f>IFERROR(__xludf.DUMMYFUNCTION("""COMPUTED_VALUE"""),"IN")</f>
        <v>IN</v>
      </c>
      <c r="X1347" s="211"/>
      <c r="Z1347" s="211" t="str">
        <f>IFERROR(__xludf.DUMMYFUNCTION("""COMPUTED_VALUE"""),"10240060")</f>
        <v>10240060</v>
      </c>
      <c r="AL1347" s="211"/>
      <c r="AM1347" s="211"/>
      <c r="AN1347" s="211"/>
      <c r="AO1347" s="211"/>
      <c r="AP1347" s="215"/>
      <c r="AQ1347" s="218"/>
      <c r="AR1347" s="211"/>
    </row>
    <row r="1348">
      <c r="A1348" s="210" t="str">
        <f>IFERROR(__xludf.DUMMYFUNCTION("""COMPUTED_VALUE"""),"07250577")</f>
        <v>07250577</v>
      </c>
      <c r="B1348" s="210" t="str">
        <f>IFERROR(__xludf.DUMMYFUNCTION("""COMPUTED_VALUE"""),"07250577")</f>
        <v>07250577</v>
      </c>
      <c r="C1348" s="213">
        <f>IFERROR(__xludf.DUMMYFUNCTION("""COMPUTED_VALUE"""),45852.39444444444)</f>
        <v>45852.39444</v>
      </c>
      <c r="D1348" s="211" t="str">
        <f>IFERROR(__xludf.DUMMYFUNCTION("""COMPUTED_VALUE"""),"ec231cc9")</f>
        <v>ec231cc9</v>
      </c>
      <c r="E1348" s="211" t="str">
        <f>IFERROR(__xludf.DUMMYFUNCTION("""COMPUTED_VALUE"""),"Bpk. Kohir (Maintenance Velg)")</f>
        <v>Bpk. Kohir (Maintenance Velg)</v>
      </c>
      <c r="F1348" s="211" t="str">
        <f>IFERROR(__xludf.DUMMYFUNCTION("""COMPUTED_VALUE"""),"ef306e54")</f>
        <v>ef306e54</v>
      </c>
      <c r="G1348" s="211" t="str">
        <f>IFERROR(__xludf.DUMMYFUNCTION("""COMPUTED_VALUE"""),"Karbondioksida")</f>
        <v>Karbondioksida</v>
      </c>
      <c r="H1348" s="214" t="str">
        <f>IFERROR(__xludf.DUMMYFUNCTION("""COMPUTED_VALUE"""),"OUT")</f>
        <v>OUT</v>
      </c>
      <c r="I1348" s="214" t="str">
        <f>IFERROR(__xludf.DUMMYFUNCTION("""COMPUTED_VALUE"""),"NORMAL")</f>
        <v>NORMAL</v>
      </c>
      <c r="J1348" s="211">
        <f>IFERROR(__xludf.DUMMYFUNCTION("""COMPUTED_VALUE"""),1.0)</f>
        <v>1</v>
      </c>
      <c r="K1348" s="210" t="str">
        <f>IFERROR(__xludf.DUMMYFUNCTION("""COMPUTED_VALUE"""),"13014")</f>
        <v>13014</v>
      </c>
      <c r="L1348" s="211">
        <f>IFERROR(__xludf.DUMMYFUNCTION("""COMPUTED_VALUE"""),165000.0)</f>
        <v>165000</v>
      </c>
      <c r="M1348" s="211"/>
      <c r="N1348" s="211"/>
      <c r="O1348" s="211"/>
      <c r="Q1348" s="210" t="str">
        <f>IFERROR(__xludf.DUMMYFUNCTION("""COMPUTED_VALUE"""),"1250631")</f>
        <v>1250631</v>
      </c>
      <c r="R1348" s="210" t="str">
        <f>IFERROR(__xludf.DUMMYFUNCTION("""COMPUTED_VALUE"""),"1250631")</f>
        <v>1250631</v>
      </c>
      <c r="S1348" s="211" t="str">
        <f>IFERROR(__xludf.DUMMYFUNCTION("""COMPUTED_VALUE"""),"ed2cc96a")</f>
        <v>ed2cc96a</v>
      </c>
      <c r="T1348" s="211" t="str">
        <f>IFERROR(__xludf.DUMMYFUNCTION("""COMPUTED_VALUE"""),"Bengkel Dian Jaya")</f>
        <v>Bengkel Dian Jaya</v>
      </c>
      <c r="U1348" s="215">
        <f>IFERROR(__xludf.DUMMYFUNCTION("""COMPUTED_VALUE"""),45927.47534722222)</f>
        <v>45927.47535</v>
      </c>
      <c r="V1348" s="211" t="str">
        <f>IFERROR(__xludf.DUMMYFUNCTION("""COMPUTED_VALUE"""),"Gg. 2, Kejagan, Kec. Trowulan, Kabupaten Mojokerto, Jawa Timur 61362")</f>
        <v>Gg. 2, Kejagan, Kec. Trowulan, Kabupaten Mojokerto, Jawa Timur 61362</v>
      </c>
      <c r="W1348" s="211" t="str">
        <f>IFERROR(__xludf.DUMMYFUNCTION("""COMPUTED_VALUE"""),"IN")</f>
        <v>IN</v>
      </c>
      <c r="X1348" s="211"/>
      <c r="Z1348" s="211" t="str">
        <f>IFERROR(__xludf.DUMMYFUNCTION("""COMPUTED_VALUE"""),"10240059")</f>
        <v>10240059</v>
      </c>
      <c r="AL1348" s="211"/>
      <c r="AM1348" s="211"/>
      <c r="AN1348" s="211"/>
      <c r="AO1348" s="211"/>
      <c r="AP1348" s="215"/>
      <c r="AQ1348" s="218"/>
      <c r="AR1348" s="211"/>
    </row>
    <row r="1349">
      <c r="A1349" s="210" t="str">
        <f>IFERROR(__xludf.DUMMYFUNCTION("""COMPUTED_VALUE"""),"07250579")</f>
        <v>07250579</v>
      </c>
      <c r="B1349" s="210" t="str">
        <f>IFERROR(__xludf.DUMMYFUNCTION("""COMPUTED_VALUE"""),"07250579")</f>
        <v>07250579</v>
      </c>
      <c r="C1349" s="213">
        <f>IFERROR(__xludf.DUMMYFUNCTION("""COMPUTED_VALUE"""),45852.49166666667)</f>
        <v>45852.49167</v>
      </c>
      <c r="D1349" s="211" t="str">
        <f>IFERROR(__xludf.DUMMYFUNCTION("""COMPUTED_VALUE"""),"1bf27092")</f>
        <v>1bf27092</v>
      </c>
      <c r="E1349" s="211" t="str">
        <f>IFERROR(__xludf.DUMMYFUNCTION("""COMPUTED_VALUE"""),"Bpk. Ari Budiarto")</f>
        <v>Bpk. Ari Budiarto</v>
      </c>
      <c r="F1349" s="211" t="str">
        <f>IFERROR(__xludf.DUMMYFUNCTION("""COMPUTED_VALUE"""),"66af7c72")</f>
        <v>66af7c72</v>
      </c>
      <c r="G1349" s="211" t="str">
        <f>IFERROR(__xludf.DUMMYFUNCTION("""COMPUTED_VALUE"""),"Argon 6m3")</f>
        <v>Argon 6m3</v>
      </c>
      <c r="H1349" s="214" t="str">
        <f>IFERROR(__xludf.DUMMYFUNCTION("""COMPUTED_VALUE"""),"OUT")</f>
        <v>OUT</v>
      </c>
      <c r="I1349" s="214" t="str">
        <f>IFERROR(__xludf.DUMMYFUNCTION("""COMPUTED_VALUE"""),"NORMAL")</f>
        <v>NORMAL</v>
      </c>
      <c r="J1349" s="211">
        <f>IFERROR(__xludf.DUMMYFUNCTION("""COMPUTED_VALUE"""),2.0)</f>
        <v>2</v>
      </c>
      <c r="K1349" s="210" t="str">
        <f>IFERROR(__xludf.DUMMYFUNCTION("""COMPUTED_VALUE"""),"12053 12046")</f>
        <v>12053 12046</v>
      </c>
      <c r="L1349" s="211">
        <f>IFERROR(__xludf.DUMMYFUNCTION("""COMPUTED_VALUE"""),200000.0)</f>
        <v>200000</v>
      </c>
      <c r="M1349" s="211"/>
      <c r="N1349" s="211"/>
      <c r="O1349" s="211"/>
      <c r="Q1349" s="210" t="str">
        <f>IFERROR(__xludf.DUMMYFUNCTION("""COMPUTED_VALUE"""),"1250630")</f>
        <v>1250630</v>
      </c>
      <c r="R1349" s="210" t="str">
        <f>IFERROR(__xludf.DUMMYFUNCTION("""COMPUTED_VALUE"""),"1250630")</f>
        <v>1250630</v>
      </c>
      <c r="S1349" s="211" t="str">
        <f>IFERROR(__xludf.DUMMYFUNCTION("""COMPUTED_VALUE"""),"ce83e171")</f>
        <v>ce83e171</v>
      </c>
      <c r="T1349" s="211" t="str">
        <f>IFERROR(__xludf.DUMMYFUNCTION("""COMPUTED_VALUE"""),"Bpk. Sulaiman")</f>
        <v>Bpk. Sulaiman</v>
      </c>
      <c r="U1349" s="215">
        <f>IFERROR(__xludf.DUMMYFUNCTION("""COMPUTED_VALUE"""),45927.478530092594)</f>
        <v>45927.47853</v>
      </c>
      <c r="V1349" s="211" t="str">
        <f>IFERROR(__xludf.DUMMYFUNCTION("""COMPUTED_VALUE"""),"Jl. Raya Kramat Temenggung No.43, Kramat, Kramat Temenggung, Kec. Tarik, Kabupaten Sidoarjo, Jawa Timur 61265")</f>
        <v>Jl. Raya Kramat Temenggung No.43, Kramat, Kramat Temenggung, Kec. Tarik, Kabupaten Sidoarjo, Jawa Timur 61265</v>
      </c>
      <c r="W1349" s="211" t="str">
        <f>IFERROR(__xludf.DUMMYFUNCTION("""COMPUTED_VALUE"""),"IN")</f>
        <v>IN</v>
      </c>
      <c r="X1349" s="211"/>
      <c r="Z1349" s="211" t="str">
        <f>IFERROR(__xludf.DUMMYFUNCTION("""COMPUTED_VALUE"""),"10240058")</f>
        <v>10240058</v>
      </c>
      <c r="AL1349" s="211"/>
      <c r="AM1349" s="211"/>
      <c r="AN1349" s="211"/>
      <c r="AO1349" s="211"/>
      <c r="AP1349" s="215"/>
      <c r="AQ1349" s="218"/>
      <c r="AR1349" s="211"/>
    </row>
    <row r="1350">
      <c r="A1350" s="210" t="str">
        <f>IFERROR(__xludf.DUMMYFUNCTION("""COMPUTED_VALUE"""),"07250580")</f>
        <v>07250580</v>
      </c>
      <c r="B1350" s="210" t="str">
        <f>IFERROR(__xludf.DUMMYFUNCTION("""COMPUTED_VALUE"""),"07250580")</f>
        <v>07250580</v>
      </c>
      <c r="C1350" s="213">
        <f>IFERROR(__xludf.DUMMYFUNCTION("""COMPUTED_VALUE"""),45852.643055555556)</f>
        <v>45852.64306</v>
      </c>
      <c r="D1350" s="211" t="str">
        <f>IFERROR(__xludf.DUMMYFUNCTION("""COMPUTED_VALUE"""),"182fb0fe")</f>
        <v>182fb0fe</v>
      </c>
      <c r="E1350" s="211" t="str">
        <f>IFERROR(__xludf.DUMMYFUNCTION("""COMPUTED_VALUE"""),"PT Amtech")</f>
        <v>PT Amtech</v>
      </c>
      <c r="F1350" s="211" t="str">
        <f>IFERROR(__xludf.DUMMYFUNCTION("""COMPUTED_VALUE"""),"8bdbe149")</f>
        <v>8bdbe149</v>
      </c>
      <c r="G1350" s="211" t="str">
        <f>IFERROR(__xludf.DUMMYFUNCTION("""COMPUTED_VALUE"""),"Oksigen 6m3")</f>
        <v>Oksigen 6m3</v>
      </c>
      <c r="H1350" s="214" t="str">
        <f>IFERROR(__xludf.DUMMYFUNCTION("""COMPUTED_VALUE"""),"OUT")</f>
        <v>OUT</v>
      </c>
      <c r="I1350" s="214" t="str">
        <f>IFERROR(__xludf.DUMMYFUNCTION("""COMPUTED_VALUE"""),"NORMAL")</f>
        <v>NORMAL</v>
      </c>
      <c r="J1350" s="211">
        <f>IFERROR(__xludf.DUMMYFUNCTION("""COMPUTED_VALUE"""),10.0)</f>
        <v>10</v>
      </c>
      <c r="K1350" s="210" t="str">
        <f>IFERROR(__xludf.DUMMYFUNCTION("""COMPUTED_VALUE"""),"11234 11228 11208 1122 11273 1154 1199 11101 1150 11176")</f>
        <v>11234 11228 11208 1122 11273 1154 1199 11101 1150 11176</v>
      </c>
      <c r="L1350" s="211">
        <f>IFERROR(__xludf.DUMMYFUNCTION("""COMPUTED_VALUE"""),60000.0)</f>
        <v>60000</v>
      </c>
      <c r="M1350" s="211"/>
      <c r="N1350" s="211"/>
      <c r="O1350" s="211"/>
      <c r="Q1350" s="210" t="str">
        <f>IFERROR(__xludf.DUMMYFUNCTION("""COMPUTED_VALUE"""),"1250632")</f>
        <v>1250632</v>
      </c>
      <c r="R1350" s="210" t="str">
        <f>IFERROR(__xludf.DUMMYFUNCTION("""COMPUTED_VALUE"""),"1250632")</f>
        <v>1250632</v>
      </c>
      <c r="S1350" s="211" t="str">
        <f>IFERROR(__xludf.DUMMYFUNCTION("""COMPUTED_VALUE"""),"01158be1")</f>
        <v>01158be1</v>
      </c>
      <c r="T1350" s="211" t="str">
        <f>IFERROR(__xludf.DUMMYFUNCTION("""COMPUTED_VALUE"""),"GYF")</f>
        <v>GYF</v>
      </c>
      <c r="U1350" s="215">
        <f>IFERROR(__xludf.DUMMYFUNCTION("""COMPUTED_VALUE"""),45927.47888888889)</f>
        <v>45927.47889</v>
      </c>
      <c r="V1350" s="211" t="str">
        <f>IFERROR(__xludf.DUMMYFUNCTION("""COMPUTED_VALUE"""),"Kangkungan, Lengkong, Kec. Mojoanyar, Kabupaten Mojokerto, Jawa Timur")</f>
        <v>Kangkungan, Lengkong, Kec. Mojoanyar, Kabupaten Mojokerto, Jawa Timur</v>
      </c>
      <c r="W1350" s="211" t="str">
        <f>IFERROR(__xludf.DUMMYFUNCTION("""COMPUTED_VALUE"""),"IN")</f>
        <v>IN</v>
      </c>
      <c r="X1350" s="211"/>
      <c r="Z1350" s="211" t="str">
        <f>IFERROR(__xludf.DUMMYFUNCTION("""COMPUTED_VALUE"""),"10240057")</f>
        <v>10240057</v>
      </c>
      <c r="AL1350" s="211"/>
      <c r="AM1350" s="211"/>
      <c r="AN1350" s="211"/>
      <c r="AO1350" s="211"/>
      <c r="AP1350" s="215"/>
      <c r="AQ1350" s="218"/>
      <c r="AR1350" s="211"/>
    </row>
    <row r="1351">
      <c r="A1351" s="210" t="str">
        <f>IFERROR(__xludf.DUMMYFUNCTION("""COMPUTED_VALUE"""),"07250581")</f>
        <v>07250581</v>
      </c>
      <c r="B1351" s="210" t="str">
        <f>IFERROR(__xludf.DUMMYFUNCTION("""COMPUTED_VALUE"""),"07250581")</f>
        <v>07250581</v>
      </c>
      <c r="C1351" s="213">
        <f>IFERROR(__xludf.DUMMYFUNCTION("""COMPUTED_VALUE"""),45853.50208333333)</f>
        <v>45853.50208</v>
      </c>
      <c r="D1351" s="211" t="str">
        <f>IFERROR(__xludf.DUMMYFUNCTION("""COMPUTED_VALUE"""),"9e31e9f4")</f>
        <v>9e31e9f4</v>
      </c>
      <c r="E1351" s="211" t="str">
        <f>IFERROR(__xludf.DUMMYFUNCTION("""COMPUTED_VALUE"""),"Bpk. Eko Iswantoro")</f>
        <v>Bpk. Eko Iswantoro</v>
      </c>
      <c r="F1351" s="211" t="str">
        <f>IFERROR(__xludf.DUMMYFUNCTION("""COMPUTED_VALUE"""),"8bdbe149")</f>
        <v>8bdbe149</v>
      </c>
      <c r="G1351" s="211" t="str">
        <f>IFERROR(__xludf.DUMMYFUNCTION("""COMPUTED_VALUE"""),"Oksigen 6m3")</f>
        <v>Oksigen 6m3</v>
      </c>
      <c r="H1351" s="214" t="str">
        <f>IFERROR(__xludf.DUMMYFUNCTION("""COMPUTED_VALUE"""),"OUT")</f>
        <v>OUT</v>
      </c>
      <c r="I1351" s="214" t="str">
        <f>IFERROR(__xludf.DUMMYFUNCTION("""COMPUTED_VALUE"""),"NORMAL")</f>
        <v>NORMAL</v>
      </c>
      <c r="J1351" s="211">
        <f>IFERROR(__xludf.DUMMYFUNCTION("""COMPUTED_VALUE"""),2.0)</f>
        <v>2</v>
      </c>
      <c r="K1351" s="210" t="str">
        <f>IFERROR(__xludf.DUMMYFUNCTION("""COMPUTED_VALUE"""),"1109 1166")</f>
        <v>1109 1166</v>
      </c>
      <c r="L1351" s="211">
        <f>IFERROR(__xludf.DUMMYFUNCTION("""COMPUTED_VALUE"""),70000.0)</f>
        <v>70000</v>
      </c>
      <c r="M1351" s="211"/>
      <c r="N1351" s="211"/>
      <c r="O1351" s="211"/>
      <c r="Q1351" s="210" t="str">
        <f>IFERROR(__xludf.DUMMYFUNCTION("""COMPUTED_VALUE"""),"0925101346")</f>
        <v>0925101346</v>
      </c>
      <c r="R1351" s="210" t="str">
        <f>IFERROR(__xludf.DUMMYFUNCTION("""COMPUTED_VALUE"""),"0925101346")</f>
        <v>0925101346</v>
      </c>
      <c r="S1351" s="211" t="str">
        <f>IFERROR(__xludf.DUMMYFUNCTION("""COMPUTED_VALUE"""),"e968afef")</f>
        <v>e968afef</v>
      </c>
      <c r="T1351" s="211" t="str">
        <f>IFERROR(__xludf.DUMMYFUNCTION("""COMPUTED_VALUE"""),"Bpk. Agus")</f>
        <v>Bpk. Agus</v>
      </c>
      <c r="U1351" s="215">
        <f>IFERROR(__xludf.DUMMYFUNCTION("""COMPUTED_VALUE"""),45927.486921296295)</f>
        <v>45927.48692</v>
      </c>
      <c r="V1351" s="211" t="str">
        <f>IFERROR(__xludf.DUMMYFUNCTION("""COMPUTED_VALUE"""),"Jl. Parengan 13, Semawut, Balongbendo, Kec. BalongBendo, Kabupaten Sidoarjo, Jawa Timur 61263")</f>
        <v>Jl. Parengan 13, Semawut, Balongbendo, Kec. BalongBendo, Kabupaten Sidoarjo, Jawa Timur 61263</v>
      </c>
      <c r="W1351" s="211" t="str">
        <f>IFERROR(__xludf.DUMMYFUNCTION("""COMPUTED_VALUE"""),"OUT")</f>
        <v>OUT</v>
      </c>
      <c r="X1351" s="211"/>
      <c r="Z1351" s="211" t="str">
        <f>IFERROR(__xludf.DUMMYFUNCTION("""COMPUTED_VALUE"""),"10240056")</f>
        <v>10240056</v>
      </c>
      <c r="AL1351" s="211"/>
      <c r="AM1351" s="211"/>
      <c r="AN1351" s="211"/>
      <c r="AO1351" s="211"/>
      <c r="AP1351" s="215"/>
      <c r="AQ1351" s="218"/>
      <c r="AR1351" s="211"/>
    </row>
    <row r="1352">
      <c r="A1352" s="210" t="str">
        <f>IFERROR(__xludf.DUMMYFUNCTION("""COMPUTED_VALUE"""),"07250582")</f>
        <v>07250582</v>
      </c>
      <c r="B1352" s="210" t="str">
        <f>IFERROR(__xludf.DUMMYFUNCTION("""COMPUTED_VALUE"""),"07250582")</f>
        <v>07250582</v>
      </c>
      <c r="C1352" s="213">
        <f>IFERROR(__xludf.DUMMYFUNCTION("""COMPUTED_VALUE"""),45853.50208333333)</f>
        <v>45853.50208</v>
      </c>
      <c r="D1352" s="211" t="str">
        <f>IFERROR(__xludf.DUMMYFUNCTION("""COMPUTED_VALUE"""),"2d88931c")</f>
        <v>2d88931c</v>
      </c>
      <c r="E1352" s="211" t="str">
        <f>IFERROR(__xludf.DUMMYFUNCTION("""COMPUTED_VALUE"""),"PT Dunia Berkat Marga Mulya")</f>
        <v>PT Dunia Berkat Marga Mulya</v>
      </c>
      <c r="F1352" s="211" t="str">
        <f>IFERROR(__xludf.DUMMYFUNCTION("""COMPUTED_VALUE"""),"7d2764f1")</f>
        <v>7d2764f1</v>
      </c>
      <c r="G1352" s="211" t="str">
        <f>IFERROR(__xludf.DUMMYFUNCTION("""COMPUTED_VALUE"""),"Oksigen 7m3")</f>
        <v>Oksigen 7m3</v>
      </c>
      <c r="H1352" s="214" t="str">
        <f>IFERROR(__xludf.DUMMYFUNCTION("""COMPUTED_VALUE"""),"OUT")</f>
        <v>OUT</v>
      </c>
      <c r="I1352" s="214" t="str">
        <f>IFERROR(__xludf.DUMMYFUNCTION("""COMPUTED_VALUE"""),"NORMAL")</f>
        <v>NORMAL</v>
      </c>
      <c r="J1352" s="211">
        <f>IFERROR(__xludf.DUMMYFUNCTION("""COMPUTED_VALUE"""),5.0)</f>
        <v>5</v>
      </c>
      <c r="K1352" s="210" t="str">
        <f>IFERROR(__xludf.DUMMYFUNCTION("""COMPUTED_VALUE"""),"11151 11146 11140 11143 11139")</f>
        <v>11151 11146 11140 11143 11139</v>
      </c>
      <c r="L1352" s="211">
        <f>IFERROR(__xludf.DUMMYFUNCTION("""COMPUTED_VALUE"""),60000.0)</f>
        <v>60000</v>
      </c>
      <c r="M1352" s="211"/>
      <c r="N1352" s="211"/>
      <c r="O1352" s="211"/>
      <c r="Q1352" s="210" t="str">
        <f>IFERROR(__xludf.DUMMYFUNCTION("""COMPUTED_VALUE"""),"1250633")</f>
        <v>1250633</v>
      </c>
      <c r="R1352" s="210" t="str">
        <f>IFERROR(__xludf.DUMMYFUNCTION("""COMPUTED_VALUE"""),"1250633")</f>
        <v>1250633</v>
      </c>
      <c r="S1352" s="211" t="str">
        <f>IFERROR(__xludf.DUMMYFUNCTION("""COMPUTED_VALUE"""),"e968afef")</f>
        <v>e968afef</v>
      </c>
      <c r="T1352" s="211" t="str">
        <f>IFERROR(__xludf.DUMMYFUNCTION("""COMPUTED_VALUE"""),"Bpk. Agus")</f>
        <v>Bpk. Agus</v>
      </c>
      <c r="U1352" s="215">
        <f>IFERROR(__xludf.DUMMYFUNCTION("""COMPUTED_VALUE"""),45927.59462962963)</f>
        <v>45927.59463</v>
      </c>
      <c r="V1352" s="211" t="str">
        <f>IFERROR(__xludf.DUMMYFUNCTION("""COMPUTED_VALUE"""),"Jl. Parengan 13, Semawut, Balongbendo, Kec. BalongBendo, Kabupaten Sidoarjo, Jawa Timur 61263")</f>
        <v>Jl. Parengan 13, Semawut, Balongbendo, Kec. BalongBendo, Kabupaten Sidoarjo, Jawa Timur 61263</v>
      </c>
      <c r="W1352" s="211" t="str">
        <f>IFERROR(__xludf.DUMMYFUNCTION("""COMPUTED_VALUE"""),"IN")</f>
        <v>IN</v>
      </c>
      <c r="X1352" s="211"/>
      <c r="Z1352" s="211" t="str">
        <f>IFERROR(__xludf.DUMMYFUNCTION("""COMPUTED_VALUE"""),"10240055")</f>
        <v>10240055</v>
      </c>
      <c r="AL1352" s="211"/>
      <c r="AM1352" s="211"/>
      <c r="AN1352" s="211"/>
      <c r="AO1352" s="211"/>
      <c r="AP1352" s="215"/>
      <c r="AQ1352" s="218"/>
      <c r="AR1352" s="211"/>
    </row>
    <row r="1353">
      <c r="A1353" s="210" t="str">
        <f>IFERROR(__xludf.DUMMYFUNCTION("""COMPUTED_VALUE"""),"07250583")</f>
        <v>07250583</v>
      </c>
      <c r="B1353" s="210" t="str">
        <f>IFERROR(__xludf.DUMMYFUNCTION("""COMPUTED_VALUE"""),"07250583")</f>
        <v>07250583</v>
      </c>
      <c r="C1353" s="213">
        <f>IFERROR(__xludf.DUMMYFUNCTION("""COMPUTED_VALUE"""),45853.52013888889)</f>
        <v>45853.52014</v>
      </c>
      <c r="D1353" s="211" t="str">
        <f>IFERROR(__xludf.DUMMYFUNCTION("""COMPUTED_VALUE"""),"01158be1")</f>
        <v>01158be1</v>
      </c>
      <c r="E1353" s="211" t="str">
        <f>IFERROR(__xludf.DUMMYFUNCTION("""COMPUTED_VALUE"""),"GYF")</f>
        <v>GYF</v>
      </c>
      <c r="F1353" s="211" t="str">
        <f>IFERROR(__xludf.DUMMYFUNCTION("""COMPUTED_VALUE"""),"8bdbe149")</f>
        <v>8bdbe149</v>
      </c>
      <c r="G1353" s="211" t="str">
        <f>IFERROR(__xludf.DUMMYFUNCTION("""COMPUTED_VALUE"""),"Oksigen 6m3")</f>
        <v>Oksigen 6m3</v>
      </c>
      <c r="H1353" s="214" t="str">
        <f>IFERROR(__xludf.DUMMYFUNCTION("""COMPUTED_VALUE"""),"OUT")</f>
        <v>OUT</v>
      </c>
      <c r="I1353" s="214" t="str">
        <f>IFERROR(__xludf.DUMMYFUNCTION("""COMPUTED_VALUE"""),"NORMAL")</f>
        <v>NORMAL</v>
      </c>
      <c r="J1353" s="211">
        <f>IFERROR(__xludf.DUMMYFUNCTION("""COMPUTED_VALUE"""),20.0)</f>
        <v>20</v>
      </c>
      <c r="K1353" s="210" t="str">
        <f>IFERROR(__xludf.DUMMYFUNCTION("""COMPUTED_VALUE"""),"11135 11154 11147 11169 1181 11278 1157 11203 11276 1182 1191 1103 1101 1106 1121 11177 11256 11252 11238 11261")</f>
        <v>11135 11154 11147 11169 1181 11278 1157 11203 11276 1182 1191 1103 1101 1106 1121 11177 11256 11252 11238 11261</v>
      </c>
      <c r="L1353" s="211">
        <f>IFERROR(__xludf.DUMMYFUNCTION("""COMPUTED_VALUE"""),45000.0)</f>
        <v>45000</v>
      </c>
      <c r="M1353" s="211"/>
      <c r="N1353" s="211"/>
      <c r="O1353" s="211"/>
      <c r="Q1353" s="210" t="str">
        <f>IFERROR(__xludf.DUMMYFUNCTION("""COMPUTED_VALUE"""),"1250640")</f>
        <v>1250640</v>
      </c>
      <c r="R1353" s="210" t="str">
        <f>IFERROR(__xludf.DUMMYFUNCTION("""COMPUTED_VALUE"""),"1250640")</f>
        <v>1250640</v>
      </c>
      <c r="S1353" s="211" t="str">
        <f>IFERROR(__xludf.DUMMYFUNCTION("""COMPUTED_VALUE"""),"e3268699")</f>
        <v>e3268699</v>
      </c>
      <c r="T1353" s="211" t="str">
        <f>IFERROR(__xludf.DUMMYFUNCTION("""COMPUTED_VALUE"""),"Bpk Jainul")</f>
        <v>Bpk Jainul</v>
      </c>
      <c r="U1353" s="215">
        <f>IFERROR(__xludf.DUMMYFUNCTION("""COMPUTED_VALUE"""),45927.606516203705)</f>
        <v>45927.60652</v>
      </c>
      <c r="V1353" s="211" t="str">
        <f>IFERROR(__xludf.DUMMYFUNCTION("""COMPUTED_VALUE"""),"JL.Morowudi, Ikerikergeger, Kabupaten Gresik, Jawa Timur")</f>
        <v>JL.Morowudi, Ikerikergeger, Kabupaten Gresik, Jawa Timur</v>
      </c>
      <c r="W1353" s="211" t="str">
        <f>IFERROR(__xludf.DUMMYFUNCTION("""COMPUTED_VALUE"""),"IN")</f>
        <v>IN</v>
      </c>
      <c r="X1353" s="211"/>
      <c r="Z1353" s="211" t="str">
        <f>IFERROR(__xludf.DUMMYFUNCTION("""COMPUTED_VALUE"""),"10240054")</f>
        <v>10240054</v>
      </c>
      <c r="AL1353" s="211"/>
      <c r="AM1353" s="211"/>
      <c r="AN1353" s="211"/>
      <c r="AO1353" s="211"/>
      <c r="AP1353" s="215"/>
      <c r="AQ1353" s="218"/>
      <c r="AR1353" s="211"/>
    </row>
    <row r="1354">
      <c r="A1354" s="210" t="str">
        <f>IFERROR(__xludf.DUMMYFUNCTION("""COMPUTED_VALUE"""),"de105572")</f>
        <v>de105572</v>
      </c>
      <c r="B1354" s="210" t="str">
        <f>IFERROR(__xludf.DUMMYFUNCTION("""COMPUTED_VALUE"""),"de105572")</f>
        <v>de105572</v>
      </c>
      <c r="C1354" s="213">
        <f>IFERROR(__xludf.DUMMYFUNCTION("""COMPUTED_VALUE"""),45854.45138888889)</f>
        <v>45854.45139</v>
      </c>
      <c r="D1354" s="211" t="str">
        <f>IFERROR(__xludf.DUMMYFUNCTION("""COMPUTED_VALUE"""),"01158be1")</f>
        <v>01158be1</v>
      </c>
      <c r="E1354" s="211" t="str">
        <f>IFERROR(__xludf.DUMMYFUNCTION("""COMPUTED_VALUE"""),"GYF")</f>
        <v>GYF</v>
      </c>
      <c r="F1354" s="211" t="str">
        <f>IFERROR(__xludf.DUMMYFUNCTION("""COMPUTED_VALUE"""),"8bdbe149")</f>
        <v>8bdbe149</v>
      </c>
      <c r="G1354" s="211" t="str">
        <f>IFERROR(__xludf.DUMMYFUNCTION("""COMPUTED_VALUE"""),"Oksigen 6m3")</f>
        <v>Oksigen 6m3</v>
      </c>
      <c r="H1354" s="214" t="str">
        <f>IFERROR(__xludf.DUMMYFUNCTION("""COMPUTED_VALUE"""),"IN")</f>
        <v>IN</v>
      </c>
      <c r="I1354" s="214" t="str">
        <f>IFERROR(__xludf.DUMMYFUNCTION("""COMPUTED_VALUE"""),"EMPTY")</f>
        <v>EMPTY</v>
      </c>
      <c r="J1354" s="211">
        <f>IFERROR(__xludf.DUMMYFUNCTION("""COMPUTED_VALUE"""),10.0)</f>
        <v>10</v>
      </c>
      <c r="K1354" s="210" t="str">
        <f>IFERROR(__xludf.DUMMYFUNCTION("""COMPUTED_VALUE"""),"11120 1183 1153 11129 11188 1132 11270 11152 1187 11117")</f>
        <v>11120 1183 1153 11129 11188 1132 11270 11152 1187 11117</v>
      </c>
      <c r="L1354" s="211">
        <f>IFERROR(__xludf.DUMMYFUNCTION("""COMPUTED_VALUE"""),0.0)</f>
        <v>0</v>
      </c>
      <c r="M1354" s="211"/>
      <c r="N1354" s="211"/>
      <c r="O1354" s="211"/>
      <c r="Q1354" s="210" t="str">
        <f>IFERROR(__xludf.DUMMYFUNCTION("""COMPUTED_VALUE"""),"092511352")</f>
        <v>092511352</v>
      </c>
      <c r="R1354" s="210" t="str">
        <f>IFERROR(__xludf.DUMMYFUNCTION("""COMPUTED_VALUE"""),"092511352")</f>
        <v>092511352</v>
      </c>
      <c r="S1354" s="211" t="str">
        <f>IFERROR(__xludf.DUMMYFUNCTION("""COMPUTED_VALUE"""),"f98b1e81")</f>
        <v>f98b1e81</v>
      </c>
      <c r="T1354" s="211" t="str">
        <f>IFERROR(__xludf.DUMMYFUNCTION("""COMPUTED_VALUE"""),"CV. Greenlife Tirta Sentosa")</f>
        <v>CV. Greenlife Tirta Sentosa</v>
      </c>
      <c r="U1354" s="215">
        <f>IFERROR(__xludf.DUMMYFUNCTION("""COMPUTED_VALUE"""),45929.37200231481)</f>
        <v>45929.372</v>
      </c>
      <c r="V1354" s="211" t="str">
        <f>IFERROR(__xludf.DUMMYFUNCTION("""COMPUTED_VALUE"""),"Jl. Parengan NO.354 Semawut, Balongbendo, Kec. Krian Sidoarjo, Jawa Timur 61263")</f>
        <v>Jl. Parengan NO.354 Semawut, Balongbendo, Kec. Krian Sidoarjo, Jawa Timur 61263</v>
      </c>
      <c r="W1354" s="211" t="str">
        <f>IFERROR(__xludf.DUMMYFUNCTION("""COMPUTED_VALUE"""),"OUT")</f>
        <v>OUT</v>
      </c>
      <c r="X1354" s="211"/>
      <c r="Z1354" s="211" t="str">
        <f>IFERROR(__xludf.DUMMYFUNCTION("""COMPUTED_VALUE"""),"10240051")</f>
        <v>10240051</v>
      </c>
      <c r="AL1354" s="211"/>
      <c r="AM1354" s="211"/>
      <c r="AN1354" s="211"/>
      <c r="AO1354" s="211"/>
      <c r="AP1354" s="215"/>
      <c r="AQ1354" s="218"/>
      <c r="AR1354" s="211"/>
    </row>
    <row r="1355">
      <c r="A1355" s="210" t="str">
        <f>IFERROR(__xludf.DUMMYFUNCTION("""COMPUTED_VALUE"""),"1ff60dd1")</f>
        <v>1ff60dd1</v>
      </c>
      <c r="B1355" s="210" t="str">
        <f>IFERROR(__xludf.DUMMYFUNCTION("""COMPUTED_VALUE"""),"1ff60dd1")</f>
        <v>1ff60dd1</v>
      </c>
      <c r="C1355" s="213">
        <f>IFERROR(__xludf.DUMMYFUNCTION("""COMPUTED_VALUE"""),45854.45208333333)</f>
        <v>45854.45208</v>
      </c>
      <c r="D1355" s="211" t="str">
        <f>IFERROR(__xludf.DUMMYFUNCTION("""COMPUTED_VALUE"""),"2d88931c")</f>
        <v>2d88931c</v>
      </c>
      <c r="E1355" s="211" t="str">
        <f>IFERROR(__xludf.DUMMYFUNCTION("""COMPUTED_VALUE"""),"PT Dunia Berkat Marga Mulya")</f>
        <v>PT Dunia Berkat Marga Mulya</v>
      </c>
      <c r="F1355" s="211" t="str">
        <f>IFERROR(__xludf.DUMMYFUNCTION("""COMPUTED_VALUE"""),"8bdbe149")</f>
        <v>8bdbe149</v>
      </c>
      <c r="G1355" s="211" t="str">
        <f>IFERROR(__xludf.DUMMYFUNCTION("""COMPUTED_VALUE"""),"Oksigen 6m3")</f>
        <v>Oksigen 6m3</v>
      </c>
      <c r="H1355" s="214" t="str">
        <f>IFERROR(__xludf.DUMMYFUNCTION("""COMPUTED_VALUE"""),"IN")</f>
        <v>IN</v>
      </c>
      <c r="I1355" s="214" t="str">
        <f>IFERROR(__xludf.DUMMYFUNCTION("""COMPUTED_VALUE"""),"EMPTY")</f>
        <v>EMPTY</v>
      </c>
      <c r="J1355" s="211">
        <f>IFERROR(__xludf.DUMMYFUNCTION("""COMPUTED_VALUE"""),3.0)</f>
        <v>3</v>
      </c>
      <c r="K1355" s="210" t="str">
        <f>IFERROR(__xludf.DUMMYFUNCTION("""COMPUTED_VALUE"""),"1118 1185 11198")</f>
        <v>1118 1185 11198</v>
      </c>
      <c r="L1355" s="211">
        <f>IFERROR(__xludf.DUMMYFUNCTION("""COMPUTED_VALUE"""),0.0)</f>
        <v>0</v>
      </c>
      <c r="M1355" s="211"/>
      <c r="N1355" s="211"/>
      <c r="O1355" s="211"/>
      <c r="Q1355" s="210" t="str">
        <f>IFERROR(__xludf.DUMMYFUNCTION("""COMPUTED_VALUE"""),"092541355")</f>
        <v>092541355</v>
      </c>
      <c r="R1355" s="210" t="str">
        <f>IFERROR(__xludf.DUMMYFUNCTION("""COMPUTED_VALUE"""),"092541355")</f>
        <v>092541355</v>
      </c>
      <c r="S1355" s="211" t="str">
        <f>IFERROR(__xludf.DUMMYFUNCTION("""COMPUTED_VALUE"""),"bdb5baf3")</f>
        <v>bdb5baf3</v>
      </c>
      <c r="T1355" s="211" t="str">
        <f>IFERROR(__xludf.DUMMYFUNCTION("""COMPUTED_VALUE"""),"Bpk. Abdul")</f>
        <v>Bpk. Abdul</v>
      </c>
      <c r="U1355" s="215">
        <f>IFERROR(__xludf.DUMMYFUNCTION("""COMPUTED_VALUE"""),45929.42978009259)</f>
        <v>45929.42978</v>
      </c>
      <c r="V1355" s="211" t="str">
        <f>IFERROR(__xludf.DUMMYFUNCTION("""COMPUTED_VALUE"""),"Bypass Krian")</f>
        <v>Bypass Krian</v>
      </c>
      <c r="W1355" s="211" t="str">
        <f>IFERROR(__xludf.DUMMYFUNCTION("""COMPUTED_VALUE"""),"OUT")</f>
        <v>OUT</v>
      </c>
      <c r="X1355" s="211"/>
      <c r="Z1355" s="211" t="str">
        <f>IFERROR(__xludf.DUMMYFUNCTION("""COMPUTED_VALUE"""),"10240050")</f>
        <v>10240050</v>
      </c>
      <c r="AL1355" s="211"/>
      <c r="AM1355" s="211"/>
      <c r="AN1355" s="211"/>
      <c r="AO1355" s="211"/>
      <c r="AP1355" s="215"/>
      <c r="AQ1355" s="218"/>
      <c r="AR1355" s="211"/>
    </row>
    <row r="1356">
      <c r="A1356" s="210" t="str">
        <f>IFERROR(__xludf.DUMMYFUNCTION("""COMPUTED_VALUE"""),"9ffb08ba")</f>
        <v>9ffb08ba</v>
      </c>
      <c r="B1356" s="210" t="str">
        <f>IFERROR(__xludf.DUMMYFUNCTION("""COMPUTED_VALUE"""),"9ffb08ba")</f>
        <v>9ffb08ba</v>
      </c>
      <c r="C1356" s="213">
        <f>IFERROR(__xludf.DUMMYFUNCTION("""COMPUTED_VALUE"""),45854.45277777778)</f>
        <v>45854.45278</v>
      </c>
      <c r="D1356" s="211" t="str">
        <f>IFERROR(__xludf.DUMMYFUNCTION("""COMPUTED_VALUE"""),"182fb0fe")</f>
        <v>182fb0fe</v>
      </c>
      <c r="E1356" s="211" t="str">
        <f>IFERROR(__xludf.DUMMYFUNCTION("""COMPUTED_VALUE"""),"PT Amtech")</f>
        <v>PT Amtech</v>
      </c>
      <c r="F1356" s="211" t="str">
        <f>IFERROR(__xludf.DUMMYFUNCTION("""COMPUTED_VALUE"""),"8bdbe149")</f>
        <v>8bdbe149</v>
      </c>
      <c r="G1356" s="211" t="str">
        <f>IFERROR(__xludf.DUMMYFUNCTION("""COMPUTED_VALUE"""),"Oksigen 6m3")</f>
        <v>Oksigen 6m3</v>
      </c>
      <c r="H1356" s="214" t="str">
        <f>IFERROR(__xludf.DUMMYFUNCTION("""COMPUTED_VALUE"""),"IN")</f>
        <v>IN</v>
      </c>
      <c r="I1356" s="214" t="str">
        <f>IFERROR(__xludf.DUMMYFUNCTION("""COMPUTED_VALUE"""),"EMPTY")</f>
        <v>EMPTY</v>
      </c>
      <c r="J1356" s="211">
        <f>IFERROR(__xludf.DUMMYFUNCTION("""COMPUTED_VALUE"""),7.0)</f>
        <v>7</v>
      </c>
      <c r="K1356" s="210" t="str">
        <f>IFERROR(__xludf.DUMMYFUNCTION("""COMPUTED_VALUE"""),"11262 11133 1188 1113 1148 1108 1141")</f>
        <v>11262 11133 1188 1113 1148 1108 1141</v>
      </c>
      <c r="L1356" s="211">
        <f>IFERROR(__xludf.DUMMYFUNCTION("""COMPUTED_VALUE"""),0.0)</f>
        <v>0</v>
      </c>
      <c r="M1356" s="211"/>
      <c r="N1356" s="211"/>
      <c r="O1356" s="211"/>
      <c r="Q1356" s="210" t="str">
        <f>IFERROR(__xludf.DUMMYFUNCTION("""COMPUTED_VALUE"""),"1250634")</f>
        <v>1250634</v>
      </c>
      <c r="R1356" s="210" t="str">
        <f>IFERROR(__xludf.DUMMYFUNCTION("""COMPUTED_VALUE"""),"1250634")</f>
        <v>1250634</v>
      </c>
      <c r="S1356" s="211" t="str">
        <f>IFERROR(__xludf.DUMMYFUNCTION("""COMPUTED_VALUE"""),"2d88931c")</f>
        <v>2d88931c</v>
      </c>
      <c r="T1356" s="211" t="str">
        <f>IFERROR(__xludf.DUMMYFUNCTION("""COMPUTED_VALUE"""),"PT Dunia Berkat Marga Mulya")</f>
        <v>PT Dunia Berkat Marga Mulya</v>
      </c>
      <c r="U1356" s="215">
        <f>IFERROR(__xludf.DUMMYFUNCTION("""COMPUTED_VALUE"""),45929.50282407407)</f>
        <v>45929.50282</v>
      </c>
      <c r="V1356" s="211" t="str">
        <f>IFERROR(__xludf.DUMMYFUNCTION("""COMPUTED_VALUE"""),"JL JABARAN, WATESARI, BALONGBENDO, SIDOARJO, JAWA TIMUR")</f>
        <v>JL JABARAN, WATESARI, BALONGBENDO, SIDOARJO, JAWA TIMUR</v>
      </c>
      <c r="W1356" s="211" t="str">
        <f>IFERROR(__xludf.DUMMYFUNCTION("""COMPUTED_VALUE"""),"IN")</f>
        <v>IN</v>
      </c>
      <c r="X1356" s="211"/>
      <c r="Z1356" s="211" t="str">
        <f>IFERROR(__xludf.DUMMYFUNCTION("""COMPUTED_VALUE"""),"10240049")</f>
        <v>10240049</v>
      </c>
      <c r="AL1356" s="211"/>
      <c r="AM1356" s="211"/>
      <c r="AN1356" s="211"/>
      <c r="AO1356" s="211"/>
      <c r="AP1356" s="215"/>
      <c r="AQ1356" s="218"/>
      <c r="AR1356" s="211"/>
    </row>
    <row r="1357">
      <c r="A1357" s="210" t="str">
        <f>IFERROR(__xludf.DUMMYFUNCTION("""COMPUTED_VALUE"""),"9ffb08ba")</f>
        <v>9ffb08ba</v>
      </c>
      <c r="B1357" s="210" t="str">
        <f>IFERROR(__xludf.DUMMYFUNCTION("""COMPUTED_VALUE"""),"9ffb08ba")</f>
        <v>9ffb08ba</v>
      </c>
      <c r="C1357" s="213">
        <f>IFERROR(__xludf.DUMMYFUNCTION("""COMPUTED_VALUE"""),45854.459027777775)</f>
        <v>45854.45903</v>
      </c>
      <c r="D1357" s="211" t="str">
        <f>IFERROR(__xludf.DUMMYFUNCTION("""COMPUTED_VALUE"""),"182fb0fe")</f>
        <v>182fb0fe</v>
      </c>
      <c r="E1357" s="211" t="str">
        <f>IFERROR(__xludf.DUMMYFUNCTION("""COMPUTED_VALUE"""),"PT Amtech")</f>
        <v>PT Amtech</v>
      </c>
      <c r="F1357" s="211" t="str">
        <f>IFERROR(__xludf.DUMMYFUNCTION("""COMPUTED_VALUE"""),"be525f3b")</f>
        <v>be525f3b</v>
      </c>
      <c r="G1357" s="211" t="str">
        <f>IFERROR(__xludf.DUMMYFUNCTION("""COMPUTED_VALUE"""),"LPG 12kg")</f>
        <v>LPG 12kg</v>
      </c>
      <c r="H1357" s="214" t="str">
        <f>IFERROR(__xludf.DUMMYFUNCTION("""COMPUTED_VALUE"""),"IN")</f>
        <v>IN</v>
      </c>
      <c r="I1357" s="214" t="str">
        <f>IFERROR(__xludf.DUMMYFUNCTION("""COMPUTED_VALUE"""),"EMPTY")</f>
        <v>EMPTY</v>
      </c>
      <c r="J1357" s="211">
        <f>IFERROR(__xludf.DUMMYFUNCTION("""COMPUTED_VALUE"""),1.0)</f>
        <v>1</v>
      </c>
      <c r="K1357" s="211"/>
      <c r="L1357" s="211">
        <f>IFERROR(__xludf.DUMMYFUNCTION("""COMPUTED_VALUE"""),0.0)</f>
        <v>0</v>
      </c>
      <c r="M1357" s="211"/>
      <c r="N1357" s="211"/>
      <c r="O1357" s="211"/>
      <c r="Q1357" s="210" t="str">
        <f>IFERROR(__xludf.DUMMYFUNCTION("""COMPUTED_VALUE"""),"1250635")</f>
        <v>1250635</v>
      </c>
      <c r="R1357" s="210" t="str">
        <f>IFERROR(__xludf.DUMMYFUNCTION("""COMPUTED_VALUE"""),"1250635")</f>
        <v>1250635</v>
      </c>
      <c r="S1357" s="211" t="str">
        <f>IFERROR(__xludf.DUMMYFUNCTION("""COMPUTED_VALUE"""),"7b9d8eba")</f>
        <v>7b9d8eba</v>
      </c>
      <c r="T1357" s="211" t="str">
        <f>IFERROR(__xludf.DUMMYFUNCTION("""COMPUTED_VALUE"""),"PT PELANGI INDOKARYA")</f>
        <v>PT PELANGI INDOKARYA</v>
      </c>
      <c r="U1357" s="215">
        <f>IFERROR(__xludf.DUMMYFUNCTION("""COMPUTED_VALUE"""),45929.50518518518)</f>
        <v>45929.50519</v>
      </c>
      <c r="V135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357" s="211" t="str">
        <f>IFERROR(__xludf.DUMMYFUNCTION("""COMPUTED_VALUE"""),"IN")</f>
        <v>IN</v>
      </c>
      <c r="X1357" s="211"/>
      <c r="Z1357" s="211" t="str">
        <f>IFERROR(__xludf.DUMMYFUNCTION("""COMPUTED_VALUE"""),"10240047")</f>
        <v>10240047</v>
      </c>
      <c r="AL1357" s="211"/>
      <c r="AM1357" s="211"/>
      <c r="AN1357" s="211"/>
      <c r="AO1357" s="211"/>
      <c r="AP1357" s="215"/>
      <c r="AQ1357" s="218"/>
      <c r="AR1357" s="211"/>
    </row>
    <row r="1358">
      <c r="A1358" s="210" t="str">
        <f>IFERROR(__xludf.DUMMYFUNCTION("""COMPUTED_VALUE"""),"9ffb08ba")</f>
        <v>9ffb08ba</v>
      </c>
      <c r="B1358" s="210" t="str">
        <f>IFERROR(__xludf.DUMMYFUNCTION("""COMPUTED_VALUE"""),"9ffb08ba")</f>
        <v>9ffb08ba</v>
      </c>
      <c r="C1358" s="213">
        <f>IFERROR(__xludf.DUMMYFUNCTION("""COMPUTED_VALUE"""),45854.459027777775)</f>
        <v>45854.45903</v>
      </c>
      <c r="D1358" s="211" t="str">
        <f>IFERROR(__xludf.DUMMYFUNCTION("""COMPUTED_VALUE"""),"182fb0fe")</f>
        <v>182fb0fe</v>
      </c>
      <c r="E1358" s="211" t="str">
        <f>IFERROR(__xludf.DUMMYFUNCTION("""COMPUTED_VALUE"""),"PT Amtech")</f>
        <v>PT Amtech</v>
      </c>
      <c r="F1358" s="211" t="str">
        <f>IFERROR(__xludf.DUMMYFUNCTION("""COMPUTED_VALUE"""),"66af7c72")</f>
        <v>66af7c72</v>
      </c>
      <c r="G1358" s="211" t="str">
        <f>IFERROR(__xludf.DUMMYFUNCTION("""COMPUTED_VALUE"""),"Argon 6m3")</f>
        <v>Argon 6m3</v>
      </c>
      <c r="H1358" s="214" t="str">
        <f>IFERROR(__xludf.DUMMYFUNCTION("""COMPUTED_VALUE"""),"IN")</f>
        <v>IN</v>
      </c>
      <c r="I1358" s="214" t="str">
        <f>IFERROR(__xludf.DUMMYFUNCTION("""COMPUTED_VALUE"""),"CLAIM")</f>
        <v>CLAIM</v>
      </c>
      <c r="J1358" s="211">
        <f>IFERROR(__xludf.DUMMYFUNCTION("""COMPUTED_VALUE"""),3.0)</f>
        <v>3</v>
      </c>
      <c r="K1358" s="210" t="str">
        <f>IFERROR(__xludf.DUMMYFUNCTION("""COMPUTED_VALUE"""),"12029 12047 12021")</f>
        <v>12029 12047 12021</v>
      </c>
      <c r="L1358" s="211">
        <f>IFERROR(__xludf.DUMMYFUNCTION("""COMPUTED_VALUE"""),0.0)</f>
        <v>0</v>
      </c>
      <c r="M1358" s="211"/>
      <c r="N1358" s="211"/>
      <c r="O1358" s="211"/>
      <c r="Q1358" s="210" t="str">
        <f>IFERROR(__xludf.DUMMYFUNCTION("""COMPUTED_VALUE"""),"1250636")</f>
        <v>1250636</v>
      </c>
      <c r="R1358" s="210" t="str">
        <f>IFERROR(__xludf.DUMMYFUNCTION("""COMPUTED_VALUE"""),"1250636")</f>
        <v>1250636</v>
      </c>
      <c r="S1358" s="211" t="str">
        <f>IFERROR(__xludf.DUMMYFUNCTION("""COMPUTED_VALUE"""),"8f5ebaea")</f>
        <v>8f5ebaea</v>
      </c>
      <c r="T1358" s="211" t="str">
        <f>IFERROR(__xludf.DUMMYFUNCTION("""COMPUTED_VALUE"""),"PT Hua Zong Mesindo")</f>
        <v>PT Hua Zong Mesindo</v>
      </c>
      <c r="U1358" s="215">
        <f>IFERROR(__xludf.DUMMYFUNCTION("""COMPUTED_VALUE"""),45929.50572916667)</f>
        <v>45929.50573</v>
      </c>
      <c r="V1358" s="211" t="str">
        <f>IFERROR(__xludf.DUMMYFUNCTION("""COMPUTED_VALUE"""),"Jl. Bypass Krian, Sidotemo, Sidomulyo, Kec. Krian, Kabupaten Sidoarjo, Jawa Timur 61262")</f>
        <v>Jl. Bypass Krian, Sidotemo, Sidomulyo, Kec. Krian, Kabupaten Sidoarjo, Jawa Timur 61262</v>
      </c>
      <c r="W1358" s="211" t="str">
        <f>IFERROR(__xludf.DUMMYFUNCTION("""COMPUTED_VALUE"""),"IN")</f>
        <v>IN</v>
      </c>
      <c r="X1358" s="211"/>
      <c r="Z1358" s="211" t="str">
        <f>IFERROR(__xludf.DUMMYFUNCTION("""COMPUTED_VALUE"""),"10240046")</f>
        <v>10240046</v>
      </c>
      <c r="AL1358" s="211"/>
      <c r="AM1358" s="211"/>
      <c r="AN1358" s="211"/>
      <c r="AO1358" s="211"/>
      <c r="AP1358" s="215"/>
      <c r="AQ1358" s="218"/>
      <c r="AR1358" s="211"/>
    </row>
    <row r="1359">
      <c r="A1359" s="210" t="str">
        <f>IFERROR(__xludf.DUMMYFUNCTION("""COMPUTED_VALUE"""),"a68dcd3f")</f>
        <v>a68dcd3f</v>
      </c>
      <c r="B1359" s="210" t="str">
        <f>IFERROR(__xludf.DUMMYFUNCTION("""COMPUTED_VALUE"""),"a68dcd3f")</f>
        <v>a68dcd3f</v>
      </c>
      <c r="C1359" s="213">
        <f>IFERROR(__xludf.DUMMYFUNCTION("""COMPUTED_VALUE"""),45854.45972222222)</f>
        <v>45854.45972</v>
      </c>
      <c r="D1359" s="211" t="str">
        <f>IFERROR(__xludf.DUMMYFUNCTION("""COMPUTED_VALUE"""),"ec231cc9")</f>
        <v>ec231cc9</v>
      </c>
      <c r="E1359" s="211" t="str">
        <f>IFERROR(__xludf.DUMMYFUNCTION("""COMPUTED_VALUE"""),"Bpk. Kohir (Maintenance Velg)")</f>
        <v>Bpk. Kohir (Maintenance Velg)</v>
      </c>
      <c r="F1359" s="211" t="str">
        <f>IFERROR(__xludf.DUMMYFUNCTION("""COMPUTED_VALUE"""),"8bdbe149")</f>
        <v>8bdbe149</v>
      </c>
      <c r="G1359" s="211" t="str">
        <f>IFERROR(__xludf.DUMMYFUNCTION("""COMPUTED_VALUE"""),"Oksigen 6m3")</f>
        <v>Oksigen 6m3</v>
      </c>
      <c r="H1359" s="214" t="str">
        <f>IFERROR(__xludf.DUMMYFUNCTION("""COMPUTED_VALUE"""),"IN")</f>
        <v>IN</v>
      </c>
      <c r="I1359" s="214" t="str">
        <f>IFERROR(__xludf.DUMMYFUNCTION("""COMPUTED_VALUE"""),"EMPTY")</f>
        <v>EMPTY</v>
      </c>
      <c r="J1359" s="211">
        <f>IFERROR(__xludf.DUMMYFUNCTION("""COMPUTED_VALUE"""),5.0)</f>
        <v>5</v>
      </c>
      <c r="K1359" s="210" t="str">
        <f>IFERROR(__xludf.DUMMYFUNCTION("""COMPUTED_VALUE"""),"11244 1120 11229 11128 11188")</f>
        <v>11244 1120 11229 11128 11188</v>
      </c>
      <c r="L1359" s="211">
        <f>IFERROR(__xludf.DUMMYFUNCTION("""COMPUTED_VALUE"""),0.0)</f>
        <v>0</v>
      </c>
      <c r="M1359" s="211"/>
      <c r="N1359" s="211"/>
      <c r="O1359" s="211"/>
      <c r="Q1359" s="210" t="str">
        <f>IFERROR(__xludf.DUMMYFUNCTION("""COMPUTED_VALUE"""),"1250637")</f>
        <v>1250637</v>
      </c>
      <c r="R1359" s="210" t="str">
        <f>IFERROR(__xludf.DUMMYFUNCTION("""COMPUTED_VALUE"""),"1250637")</f>
        <v>1250637</v>
      </c>
      <c r="S1359" s="211" t="str">
        <f>IFERROR(__xludf.DUMMYFUNCTION("""COMPUTED_VALUE"""),"ec231cc9")</f>
        <v>ec231cc9</v>
      </c>
      <c r="T1359" s="211" t="str">
        <f>IFERROR(__xludf.DUMMYFUNCTION("""COMPUTED_VALUE"""),"Bpk. Kohir (Maintenance Velg)")</f>
        <v>Bpk. Kohir (Maintenance Velg)</v>
      </c>
      <c r="U1359" s="215">
        <f>IFERROR(__xludf.DUMMYFUNCTION("""COMPUTED_VALUE"""),45929.50630787037)</f>
        <v>45929.50631</v>
      </c>
      <c r="V1359" s="211" t="str">
        <f>IFERROR(__xludf.DUMMYFUNCTION("""COMPUTED_VALUE"""),"Jl. Lkr. Bypass Krian Timur, Sidogolong, Watugolong, Kec. Krian, Kabupaten Sidoarjo, Jawa Timur 61262")</f>
        <v>Jl. Lkr. Bypass Krian Timur, Sidogolong, Watugolong, Kec. Krian, Kabupaten Sidoarjo, Jawa Timur 61262</v>
      </c>
      <c r="W1359" s="211" t="str">
        <f>IFERROR(__xludf.DUMMYFUNCTION("""COMPUTED_VALUE"""),"IN")</f>
        <v>IN</v>
      </c>
      <c r="X1359" s="211"/>
      <c r="Z1359" s="211" t="str">
        <f>IFERROR(__xludf.DUMMYFUNCTION("""COMPUTED_VALUE"""),"10240044")</f>
        <v>10240044</v>
      </c>
      <c r="AL1359" s="211"/>
      <c r="AM1359" s="211"/>
      <c r="AN1359" s="211"/>
      <c r="AO1359" s="211"/>
      <c r="AP1359" s="215"/>
      <c r="AQ1359" s="218"/>
      <c r="AR1359" s="211"/>
    </row>
    <row r="1360">
      <c r="A1360" s="210" t="str">
        <f>IFERROR(__xludf.DUMMYFUNCTION("""COMPUTED_VALUE"""),"a68dcd3f")</f>
        <v>a68dcd3f</v>
      </c>
      <c r="B1360" s="210" t="str">
        <f>IFERROR(__xludf.DUMMYFUNCTION("""COMPUTED_VALUE"""),"a68dcd3f")</f>
        <v>a68dcd3f</v>
      </c>
      <c r="C1360" s="213">
        <f>IFERROR(__xludf.DUMMYFUNCTION("""COMPUTED_VALUE"""),45854.46041666667)</f>
        <v>45854.46042</v>
      </c>
      <c r="D1360" s="211" t="str">
        <f>IFERROR(__xludf.DUMMYFUNCTION("""COMPUTED_VALUE"""),"ec231cc9")</f>
        <v>ec231cc9</v>
      </c>
      <c r="E1360" s="211" t="str">
        <f>IFERROR(__xludf.DUMMYFUNCTION("""COMPUTED_VALUE"""),"Bpk. Kohir (Maintenance Velg)")</f>
        <v>Bpk. Kohir (Maintenance Velg)</v>
      </c>
      <c r="F1360" s="211" t="str">
        <f>IFERROR(__xludf.DUMMYFUNCTION("""COMPUTED_VALUE"""),"ef306e54")</f>
        <v>ef306e54</v>
      </c>
      <c r="G1360" s="211" t="str">
        <f>IFERROR(__xludf.DUMMYFUNCTION("""COMPUTED_VALUE"""),"Karbondioksida")</f>
        <v>Karbondioksida</v>
      </c>
      <c r="H1360" s="214" t="str">
        <f>IFERROR(__xludf.DUMMYFUNCTION("""COMPUTED_VALUE"""),"IN")</f>
        <v>IN</v>
      </c>
      <c r="I1360" s="214" t="str">
        <f>IFERROR(__xludf.DUMMYFUNCTION("""COMPUTED_VALUE"""),"EMPTY")</f>
        <v>EMPTY</v>
      </c>
      <c r="J1360" s="211">
        <f>IFERROR(__xludf.DUMMYFUNCTION("""COMPUTED_VALUE"""),1.0)</f>
        <v>1</v>
      </c>
      <c r="K1360" s="210" t="str">
        <f>IFERROR(__xludf.DUMMYFUNCTION("""COMPUTED_VALUE"""),"13001")</f>
        <v>13001</v>
      </c>
      <c r="L1360" s="211">
        <f>IFERROR(__xludf.DUMMYFUNCTION("""COMPUTED_VALUE"""),0.0)</f>
        <v>0</v>
      </c>
      <c r="M1360" s="211"/>
      <c r="N1360" s="211"/>
      <c r="O1360" s="211"/>
      <c r="Q1360" s="210" t="str">
        <f>IFERROR(__xludf.DUMMYFUNCTION("""COMPUTED_VALUE"""),"092511356")</f>
        <v>092511356</v>
      </c>
      <c r="R1360" s="210" t="str">
        <f>IFERROR(__xludf.DUMMYFUNCTION("""COMPUTED_VALUE"""),"092511356")</f>
        <v>092511356</v>
      </c>
      <c r="S1360" s="211" t="str">
        <f>IFERROR(__xludf.DUMMYFUNCTION("""COMPUTED_VALUE"""),"1d018c98")</f>
        <v>1d018c98</v>
      </c>
      <c r="T1360" s="211" t="str">
        <f>IFERROR(__xludf.DUMMYFUNCTION("""COMPUTED_VALUE"""),"Mbak Angel")</f>
        <v>Mbak Angel</v>
      </c>
      <c r="U1360" s="215">
        <f>IFERROR(__xludf.DUMMYFUNCTION("""COMPUTED_VALUE"""),45929.85039351852)</f>
        <v>45929.85039</v>
      </c>
      <c r="V1360" s="211" t="str">
        <f>IFERROR(__xludf.DUMMYFUNCTION("""COMPUTED_VALUE"""),"Penambangan Krajan RT 02 RW 01 Balongbendo")</f>
        <v>Penambangan Krajan RT 02 RW 01 Balongbendo</v>
      </c>
      <c r="W1360" s="211" t="str">
        <f>IFERROR(__xludf.DUMMYFUNCTION("""COMPUTED_VALUE"""),"OUT")</f>
        <v>OUT</v>
      </c>
      <c r="X1360" s="211"/>
      <c r="Z1360" s="211" t="str">
        <f>IFERROR(__xludf.DUMMYFUNCTION("""COMPUTED_VALUE"""),"10240043")</f>
        <v>10240043</v>
      </c>
      <c r="AL1360" s="211"/>
      <c r="AM1360" s="211"/>
      <c r="AN1360" s="211"/>
      <c r="AO1360" s="211"/>
      <c r="AP1360" s="215"/>
      <c r="AQ1360" s="218"/>
      <c r="AR1360" s="211"/>
    </row>
    <row r="1361">
      <c r="A1361" s="210" t="str">
        <f>IFERROR(__xludf.DUMMYFUNCTION("""COMPUTED_VALUE"""),"bc35577f")</f>
        <v>bc35577f</v>
      </c>
      <c r="B1361" s="210" t="str">
        <f>IFERROR(__xludf.DUMMYFUNCTION("""COMPUTED_VALUE"""),"bc35577f")</f>
        <v>bc35577f</v>
      </c>
      <c r="C1361" s="213">
        <f>IFERROR(__xludf.DUMMYFUNCTION("""COMPUTED_VALUE"""),45854.49513888889)</f>
        <v>45854.49514</v>
      </c>
      <c r="D1361" s="211" t="str">
        <f>IFERROR(__xludf.DUMMYFUNCTION("""COMPUTED_VALUE"""),"103f3ae7")</f>
        <v>103f3ae7</v>
      </c>
      <c r="E1361" s="211" t="str">
        <f>IFERROR(__xludf.DUMMYFUNCTION("""COMPUTED_VALUE"""),"PT ARYANA CAKASANA")</f>
        <v>PT ARYANA CAKASANA</v>
      </c>
      <c r="F1361" s="211" t="str">
        <f>IFERROR(__xludf.DUMMYFUNCTION("""COMPUTED_VALUE"""),"8bdbe149")</f>
        <v>8bdbe149</v>
      </c>
      <c r="G1361" s="211" t="str">
        <f>IFERROR(__xludf.DUMMYFUNCTION("""COMPUTED_VALUE"""),"Oksigen 6m3")</f>
        <v>Oksigen 6m3</v>
      </c>
      <c r="H1361" s="214" t="str">
        <f>IFERROR(__xludf.DUMMYFUNCTION("""COMPUTED_VALUE"""),"IN")</f>
        <v>IN</v>
      </c>
      <c r="I1361" s="214" t="str">
        <f>IFERROR(__xludf.DUMMYFUNCTION("""COMPUTED_VALUE"""),"EMPTY")</f>
        <v>EMPTY</v>
      </c>
      <c r="J1361" s="211">
        <f>IFERROR(__xludf.DUMMYFUNCTION("""COMPUTED_VALUE"""),2.0)</f>
        <v>2</v>
      </c>
      <c r="K1361" s="210" t="str">
        <f>IFERROR(__xludf.DUMMYFUNCTION("""COMPUTED_VALUE"""),"11231 1158")</f>
        <v>11231 1158</v>
      </c>
      <c r="L1361" s="211">
        <f>IFERROR(__xludf.DUMMYFUNCTION("""COMPUTED_VALUE"""),0.0)</f>
        <v>0</v>
      </c>
      <c r="M1361" s="211"/>
      <c r="N1361" s="211"/>
      <c r="O1361" s="211"/>
      <c r="Q1361" s="210" t="str">
        <f>IFERROR(__xludf.DUMMYFUNCTION("""COMPUTED_VALUE"""),"0925311361")</f>
        <v>0925311361</v>
      </c>
      <c r="R1361" s="210" t="str">
        <f>IFERROR(__xludf.DUMMYFUNCTION("""COMPUTED_VALUE"""),"0925311361")</f>
        <v>0925311361</v>
      </c>
      <c r="S1361" s="211" t="str">
        <f>IFERROR(__xludf.DUMMYFUNCTION("""COMPUTED_VALUE"""),"01158be1")</f>
        <v>01158be1</v>
      </c>
      <c r="T1361" s="211" t="str">
        <f>IFERROR(__xludf.DUMMYFUNCTION("""COMPUTED_VALUE"""),"GYF")</f>
        <v>GYF</v>
      </c>
      <c r="U1361" s="215">
        <f>IFERROR(__xludf.DUMMYFUNCTION("""COMPUTED_VALUE"""),45930.364270833335)</f>
        <v>45930.36427</v>
      </c>
      <c r="V1361" s="211" t="str">
        <f>IFERROR(__xludf.DUMMYFUNCTION("""COMPUTED_VALUE"""),"Kangkungan, Lengkong, Kec. Mojoanyar, Kabupaten Mojokerto, Jawa Timur")</f>
        <v>Kangkungan, Lengkong, Kec. Mojoanyar, Kabupaten Mojokerto, Jawa Timur</v>
      </c>
      <c r="W1361" s="211" t="str">
        <f>IFERROR(__xludf.DUMMYFUNCTION("""COMPUTED_VALUE"""),"OUT")</f>
        <v>OUT</v>
      </c>
      <c r="X1361" s="211"/>
      <c r="Z1361" s="211" t="str">
        <f>IFERROR(__xludf.DUMMYFUNCTION("""COMPUTED_VALUE"""),"10240041")</f>
        <v>10240041</v>
      </c>
      <c r="AL1361" s="211"/>
      <c r="AM1361" s="211"/>
      <c r="AN1361" s="211"/>
      <c r="AO1361" s="211"/>
      <c r="AP1361" s="215"/>
      <c r="AQ1361" s="218"/>
      <c r="AR1361" s="211"/>
    </row>
    <row r="1362">
      <c r="A1362" s="210" t="str">
        <f>IFERROR(__xludf.DUMMYFUNCTION("""COMPUTED_VALUE"""),"a1ad4f02")</f>
        <v>a1ad4f02</v>
      </c>
      <c r="B1362" s="210" t="str">
        <f>IFERROR(__xludf.DUMMYFUNCTION("""COMPUTED_VALUE"""),"a1ad4f02")</f>
        <v>a1ad4f02</v>
      </c>
      <c r="C1362" s="213">
        <f>IFERROR(__xludf.DUMMYFUNCTION("""COMPUTED_VALUE"""),45854.49513888889)</f>
        <v>45854.49514</v>
      </c>
      <c r="D1362" s="211" t="str">
        <f>IFERROR(__xludf.DUMMYFUNCTION("""COMPUTED_VALUE"""),"dfas2312")</f>
        <v>dfas2312</v>
      </c>
      <c r="E1362" s="211" t="str">
        <f>IFERROR(__xludf.DUMMYFUNCTION("""COMPUTED_VALUE"""),"Bpk. Fuad (Parengan)")</f>
        <v>Bpk. Fuad (Parengan)</v>
      </c>
      <c r="F1362" s="211" t="str">
        <f>IFERROR(__xludf.DUMMYFUNCTION("""COMPUTED_VALUE"""),"8bdbe149")</f>
        <v>8bdbe149</v>
      </c>
      <c r="G1362" s="211" t="str">
        <f>IFERROR(__xludf.DUMMYFUNCTION("""COMPUTED_VALUE"""),"Oksigen 6m3")</f>
        <v>Oksigen 6m3</v>
      </c>
      <c r="H1362" s="214" t="str">
        <f>IFERROR(__xludf.DUMMYFUNCTION("""COMPUTED_VALUE"""),"IN")</f>
        <v>IN</v>
      </c>
      <c r="I1362" s="214" t="str">
        <f>IFERROR(__xludf.DUMMYFUNCTION("""COMPUTED_VALUE"""),"EMPTY")</f>
        <v>EMPTY</v>
      </c>
      <c r="J1362" s="211">
        <f>IFERROR(__xludf.DUMMYFUNCTION("""COMPUTED_VALUE"""),1.0)</f>
        <v>1</v>
      </c>
      <c r="K1362" s="210" t="str">
        <f>IFERROR(__xludf.DUMMYFUNCTION("""COMPUTED_VALUE"""),"11222")</f>
        <v>11222</v>
      </c>
      <c r="L1362" s="211">
        <f>IFERROR(__xludf.DUMMYFUNCTION("""COMPUTED_VALUE"""),0.0)</f>
        <v>0</v>
      </c>
      <c r="M1362" s="211"/>
      <c r="N1362" s="211"/>
      <c r="O1362" s="211"/>
      <c r="Q1362" s="210" t="str">
        <f>IFERROR(__xludf.DUMMYFUNCTION("""COMPUTED_VALUE"""),"0925111362")</f>
        <v>0925111362</v>
      </c>
      <c r="R1362" s="210" t="str">
        <f>IFERROR(__xludf.DUMMYFUNCTION("""COMPUTED_VALUE"""),"0925111362")</f>
        <v>0925111362</v>
      </c>
      <c r="S1362" s="211" t="str">
        <f>IFERROR(__xludf.DUMMYFUNCTION("""COMPUTED_VALUE"""),"e968afef")</f>
        <v>e968afef</v>
      </c>
      <c r="T1362" s="211" t="str">
        <f>IFERROR(__xludf.DUMMYFUNCTION("""COMPUTED_VALUE"""),"Bpk. Agus")</f>
        <v>Bpk. Agus</v>
      </c>
      <c r="U1362" s="215">
        <f>IFERROR(__xludf.DUMMYFUNCTION("""COMPUTED_VALUE"""),45930.366956018515)</f>
        <v>45930.36696</v>
      </c>
      <c r="V1362" s="211" t="str">
        <f>IFERROR(__xludf.DUMMYFUNCTION("""COMPUTED_VALUE"""),"Jl. Parengan 13, Semawut, Balongbendo, Kec. BalongBendo, Kabupaten Sidoarjo, Jawa Timur 61263")</f>
        <v>Jl. Parengan 13, Semawut, Balongbendo, Kec. BalongBendo, Kabupaten Sidoarjo, Jawa Timur 61263</v>
      </c>
      <c r="W1362" s="211" t="str">
        <f>IFERROR(__xludf.DUMMYFUNCTION("""COMPUTED_VALUE"""),"OUT")</f>
        <v>OUT</v>
      </c>
      <c r="X1362" s="211"/>
      <c r="Z1362" s="211" t="str">
        <f>IFERROR(__xludf.DUMMYFUNCTION("""COMPUTED_VALUE"""),"10240039")</f>
        <v>10240039</v>
      </c>
      <c r="AL1362" s="211"/>
      <c r="AM1362" s="211"/>
      <c r="AN1362" s="211"/>
      <c r="AO1362" s="211"/>
      <c r="AP1362" s="215"/>
      <c r="AQ1362" s="218"/>
      <c r="AR1362" s="211"/>
    </row>
    <row r="1363">
      <c r="A1363" s="210" t="str">
        <f>IFERROR(__xludf.DUMMYFUNCTION("""COMPUTED_VALUE"""),"328ccf2a")</f>
        <v>328ccf2a</v>
      </c>
      <c r="B1363" s="210" t="str">
        <f>IFERROR(__xludf.DUMMYFUNCTION("""COMPUTED_VALUE"""),"328ccf2a")</f>
        <v>328ccf2a</v>
      </c>
      <c r="C1363" s="213">
        <f>IFERROR(__xludf.DUMMYFUNCTION("""COMPUTED_VALUE"""),45855.436111111114)</f>
        <v>45855.43611</v>
      </c>
      <c r="D1363" s="211" t="str">
        <f>IFERROR(__xludf.DUMMYFUNCTION("""COMPUTED_VALUE"""),"e86baf3b")</f>
        <v>e86baf3b</v>
      </c>
      <c r="E1363" s="211" t="str">
        <f>IFERROR(__xludf.DUMMYFUNCTION("""COMPUTED_VALUE"""),"PT GEMILANG CIPTA WAWASAN")</f>
        <v>PT GEMILANG CIPTA WAWASAN</v>
      </c>
      <c r="F1363" s="211" t="str">
        <f>IFERROR(__xludf.DUMMYFUNCTION("""COMPUTED_VALUE"""),"8bdbe149")</f>
        <v>8bdbe149</v>
      </c>
      <c r="G1363" s="211" t="str">
        <f>IFERROR(__xludf.DUMMYFUNCTION("""COMPUTED_VALUE"""),"Oksigen 6m3")</f>
        <v>Oksigen 6m3</v>
      </c>
      <c r="H1363" s="214" t="str">
        <f>IFERROR(__xludf.DUMMYFUNCTION("""COMPUTED_VALUE"""),"IN")</f>
        <v>IN</v>
      </c>
      <c r="I1363" s="214" t="str">
        <f>IFERROR(__xludf.DUMMYFUNCTION("""COMPUTED_VALUE"""),"EMPTY")</f>
        <v>EMPTY</v>
      </c>
      <c r="J1363" s="211">
        <f>IFERROR(__xludf.DUMMYFUNCTION("""COMPUTED_VALUE"""),7.0)</f>
        <v>7</v>
      </c>
      <c r="K1363" s="210" t="str">
        <f>IFERROR(__xludf.DUMMYFUNCTION("""COMPUTED_VALUE"""),"1130 11258 11255 1164 1151 11237 1104")</f>
        <v>1130 11258 11255 1164 1151 11237 1104</v>
      </c>
      <c r="L1363" s="211">
        <f>IFERROR(__xludf.DUMMYFUNCTION("""COMPUTED_VALUE"""),0.0)</f>
        <v>0</v>
      </c>
      <c r="M1363" s="211"/>
      <c r="N1363" s="211"/>
      <c r="O1363" s="211"/>
      <c r="Q1363" s="210" t="str">
        <f>IFERROR(__xludf.DUMMYFUNCTION("""COMPUTED_VALUE"""),"0925281363")</f>
        <v>0925281363</v>
      </c>
      <c r="R1363" s="210" t="str">
        <f>IFERROR(__xludf.DUMMYFUNCTION("""COMPUTED_VALUE"""),"0925281363")</f>
        <v>0925281363</v>
      </c>
      <c r="S1363" s="211" t="str">
        <f>IFERROR(__xludf.DUMMYFUNCTION("""COMPUTED_VALUE"""),"ce83e171")</f>
        <v>ce83e171</v>
      </c>
      <c r="T1363" s="211" t="str">
        <f>IFERROR(__xludf.DUMMYFUNCTION("""COMPUTED_VALUE"""),"Bpk. Sulaiman")</f>
        <v>Bpk. Sulaiman</v>
      </c>
      <c r="U1363" s="215">
        <f>IFERROR(__xludf.DUMMYFUNCTION("""COMPUTED_VALUE"""),45930.372453703705)</f>
        <v>45930.37245</v>
      </c>
      <c r="V1363" s="211" t="str">
        <f>IFERROR(__xludf.DUMMYFUNCTION("""COMPUTED_VALUE"""),"Jl. Raya Kramat Temenggung No.43, Kramat, Kramat Temenggung, Kec. Tarik, Kabupaten Sidoarjo, Jawa Timur 61265")</f>
        <v>Jl. Raya Kramat Temenggung No.43, Kramat, Kramat Temenggung, Kec. Tarik, Kabupaten Sidoarjo, Jawa Timur 61265</v>
      </c>
      <c r="W1363" s="211" t="str">
        <f>IFERROR(__xludf.DUMMYFUNCTION("""COMPUTED_VALUE"""),"OUT")</f>
        <v>OUT</v>
      </c>
      <c r="X1363" s="211"/>
      <c r="Z1363" s="211" t="str">
        <f>IFERROR(__xludf.DUMMYFUNCTION("""COMPUTED_VALUE"""),"10240037")</f>
        <v>10240037</v>
      </c>
      <c r="AL1363" s="211"/>
      <c r="AM1363" s="211"/>
      <c r="AN1363" s="211"/>
      <c r="AO1363" s="211"/>
      <c r="AP1363" s="215"/>
      <c r="AQ1363" s="218"/>
      <c r="AR1363" s="211"/>
    </row>
    <row r="1364">
      <c r="A1364" s="210" t="str">
        <f>IFERROR(__xludf.DUMMYFUNCTION("""COMPUTED_VALUE"""),"328ccf2a")</f>
        <v>328ccf2a</v>
      </c>
      <c r="B1364" s="210" t="str">
        <f>IFERROR(__xludf.DUMMYFUNCTION("""COMPUTED_VALUE"""),"328ccf2a")</f>
        <v>328ccf2a</v>
      </c>
      <c r="C1364" s="213">
        <f>IFERROR(__xludf.DUMMYFUNCTION("""COMPUTED_VALUE"""),45855.43680555555)</f>
        <v>45855.43681</v>
      </c>
      <c r="D1364" s="211" t="str">
        <f>IFERROR(__xludf.DUMMYFUNCTION("""COMPUTED_VALUE"""),"e86baf3b")</f>
        <v>e86baf3b</v>
      </c>
      <c r="E1364" s="211" t="str">
        <f>IFERROR(__xludf.DUMMYFUNCTION("""COMPUTED_VALUE"""),"PT GEMILANG CIPTA WAWASAN")</f>
        <v>PT GEMILANG CIPTA WAWASAN</v>
      </c>
      <c r="F1364" s="211" t="str">
        <f>IFERROR(__xludf.DUMMYFUNCTION("""COMPUTED_VALUE"""),"66af7c72")</f>
        <v>66af7c72</v>
      </c>
      <c r="G1364" s="211" t="str">
        <f>IFERROR(__xludf.DUMMYFUNCTION("""COMPUTED_VALUE"""),"Argon 6m3")</f>
        <v>Argon 6m3</v>
      </c>
      <c r="H1364" s="214" t="str">
        <f>IFERROR(__xludf.DUMMYFUNCTION("""COMPUTED_VALUE"""),"IN")</f>
        <v>IN</v>
      </c>
      <c r="I1364" s="214" t="str">
        <f>IFERROR(__xludf.DUMMYFUNCTION("""COMPUTED_VALUE"""),"EMPTY")</f>
        <v>EMPTY</v>
      </c>
      <c r="J1364" s="211">
        <f>IFERROR(__xludf.DUMMYFUNCTION("""COMPUTED_VALUE"""),6.0)</f>
        <v>6</v>
      </c>
      <c r="K1364" s="210" t="str">
        <f>IFERROR(__xludf.DUMMYFUNCTION("""COMPUTED_VALUE"""),"12066 12035 12063 12062 12067 12060")</f>
        <v>12066 12035 12063 12062 12067 12060</v>
      </c>
      <c r="L1364" s="211">
        <f>IFERROR(__xludf.DUMMYFUNCTION("""COMPUTED_VALUE"""),0.0)</f>
        <v>0</v>
      </c>
      <c r="M1364" s="211"/>
      <c r="N1364" s="211"/>
      <c r="O1364" s="211"/>
      <c r="Q1364" s="210" t="str">
        <f>IFERROR(__xludf.DUMMYFUNCTION("""COMPUTED_VALUE"""),"0825271364")</f>
        <v>0825271364</v>
      </c>
      <c r="R1364" s="210" t="str">
        <f>IFERROR(__xludf.DUMMYFUNCTION("""COMPUTED_VALUE"""),"0825271364")</f>
        <v>0825271364</v>
      </c>
      <c r="S1364" s="211" t="str">
        <f>IFERROR(__xludf.DUMMYFUNCTION("""COMPUTED_VALUE"""),"5f23ba17")</f>
        <v>5f23ba17</v>
      </c>
      <c r="T1364" s="211" t="str">
        <f>IFERROR(__xludf.DUMMYFUNCTION("""COMPUTED_VALUE"""),"Bpk. Joko (Gresik)")</f>
        <v>Bpk. Joko (Gresik)</v>
      </c>
      <c r="U1364" s="215">
        <f>IFERROR(__xludf.DUMMYFUNCTION("""COMPUTED_VALUE"""),45889.495092592595)</f>
        <v>45889.49509</v>
      </c>
      <c r="V1364" s="211" t="str">
        <f>IFERROR(__xludf.DUMMYFUNCTION("""COMPUTED_VALUE"""),"Tanggungan, Lebaniwaras, Kec. Wringinanom, Kabupaten Gresik, Jawa Timur")</f>
        <v>Tanggungan, Lebaniwaras, Kec. Wringinanom, Kabupaten Gresik, Jawa Timur</v>
      </c>
      <c r="W1364" s="211" t="str">
        <f>IFERROR(__xludf.DUMMYFUNCTION("""COMPUTED_VALUE"""),"OUT")</f>
        <v>OUT</v>
      </c>
      <c r="X1364" s="211"/>
      <c r="Z1364" s="211" t="str">
        <f>IFERROR(__xludf.DUMMYFUNCTION("""COMPUTED_VALUE"""),"10240036")</f>
        <v>10240036</v>
      </c>
      <c r="AL1364" s="211"/>
      <c r="AM1364" s="211"/>
      <c r="AN1364" s="211"/>
      <c r="AO1364" s="211"/>
      <c r="AP1364" s="215"/>
      <c r="AQ1364" s="218"/>
      <c r="AR1364" s="211"/>
    </row>
    <row r="1365">
      <c r="A1365" s="210" t="str">
        <f>IFERROR(__xludf.DUMMYFUNCTION("""COMPUTED_VALUE"""),"e8a44877")</f>
        <v>e8a44877</v>
      </c>
      <c r="B1365" s="210" t="str">
        <f>IFERROR(__xludf.DUMMYFUNCTION("""COMPUTED_VALUE"""),"e8a44877")</f>
        <v>e8a44877</v>
      </c>
      <c r="C1365" s="213">
        <f>IFERROR(__xludf.DUMMYFUNCTION("""COMPUTED_VALUE"""),45855.46666666667)</f>
        <v>45855.46667</v>
      </c>
      <c r="D1365" s="211" t="str">
        <f>IFERROR(__xludf.DUMMYFUNCTION("""COMPUTED_VALUE"""),"b218b89b")</f>
        <v>b218b89b</v>
      </c>
      <c r="E1365" s="211" t="str">
        <f>IFERROR(__xludf.DUMMYFUNCTION("""COMPUTED_VALUE"""),"PT Harapan Sentosa")</f>
        <v>PT Harapan Sentosa</v>
      </c>
      <c r="F1365" s="211" t="str">
        <f>IFERROR(__xludf.DUMMYFUNCTION("""COMPUTED_VALUE"""),"7d2764f1")</f>
        <v>7d2764f1</v>
      </c>
      <c r="G1365" s="211" t="str">
        <f>IFERROR(__xludf.DUMMYFUNCTION("""COMPUTED_VALUE"""),"Oksigen 7m3")</f>
        <v>Oksigen 7m3</v>
      </c>
      <c r="H1365" s="214" t="str">
        <f>IFERROR(__xludf.DUMMYFUNCTION("""COMPUTED_VALUE"""),"IN")</f>
        <v>IN</v>
      </c>
      <c r="I1365" s="214" t="str">
        <f>IFERROR(__xludf.DUMMYFUNCTION("""COMPUTED_VALUE"""),"EMPTY")</f>
        <v>EMPTY</v>
      </c>
      <c r="J1365" s="211">
        <f>IFERROR(__xludf.DUMMYFUNCTION("""COMPUTED_VALUE"""),7.0)</f>
        <v>7</v>
      </c>
      <c r="K1365" s="210" t="str">
        <f>IFERROR(__xludf.DUMMYFUNCTION("""COMPUTED_VALUE"""),"11226 11150 11212 11174 11229 11219 11213")</f>
        <v>11226 11150 11212 11174 11229 11219 11213</v>
      </c>
      <c r="L1365" s="211">
        <f>IFERROR(__xludf.DUMMYFUNCTION("""COMPUTED_VALUE"""),0.0)</f>
        <v>0</v>
      </c>
      <c r="M1365" s="211"/>
      <c r="N1365" s="211"/>
      <c r="O1365" s="211"/>
      <c r="Q1365" s="210" t="str">
        <f>IFERROR(__xludf.DUMMYFUNCTION("""COMPUTED_VALUE"""),"1250622")</f>
        <v>1250622</v>
      </c>
      <c r="R1365" s="210" t="str">
        <f>IFERROR(__xludf.DUMMYFUNCTION("""COMPUTED_VALUE"""),"1250622")</f>
        <v>1250622</v>
      </c>
      <c r="S1365" s="211" t="str">
        <f>IFERROR(__xludf.DUMMYFUNCTION("""COMPUTED_VALUE"""),"e968afef")</f>
        <v>e968afef</v>
      </c>
      <c r="T1365" s="211" t="str">
        <f>IFERROR(__xludf.DUMMYFUNCTION("""COMPUTED_VALUE"""),"Bpk. Agus")</f>
        <v>Bpk. Agus</v>
      </c>
      <c r="U1365" s="215">
        <f>IFERROR(__xludf.DUMMYFUNCTION("""COMPUTED_VALUE"""),45930.437268518515)</f>
        <v>45930.43727</v>
      </c>
      <c r="V1365" s="211" t="str">
        <f>IFERROR(__xludf.DUMMYFUNCTION("""COMPUTED_VALUE"""),"Jl. Parengan 13, Semawut, Balongbendo, Kec. BalongBendo, Kabupaten Sidoarjo, Jawa Timur 61263")</f>
        <v>Jl. Parengan 13, Semawut, Balongbendo, Kec. BalongBendo, Kabupaten Sidoarjo, Jawa Timur 61263</v>
      </c>
      <c r="W1365" s="211" t="str">
        <f>IFERROR(__xludf.DUMMYFUNCTION("""COMPUTED_VALUE"""),"IN")</f>
        <v>IN</v>
      </c>
      <c r="X1365" s="211"/>
      <c r="Z1365" s="211" t="str">
        <f>IFERROR(__xludf.DUMMYFUNCTION("""COMPUTED_VALUE"""),"10240035")</f>
        <v>10240035</v>
      </c>
      <c r="AL1365" s="211"/>
      <c r="AM1365" s="211"/>
      <c r="AN1365" s="211"/>
      <c r="AO1365" s="211"/>
      <c r="AP1365" s="215"/>
      <c r="AQ1365" s="218"/>
      <c r="AR1365" s="211"/>
    </row>
    <row r="1366">
      <c r="A1366" s="210" t="str">
        <f>IFERROR(__xludf.DUMMYFUNCTION("""COMPUTED_VALUE"""),"e8a44877")</f>
        <v>e8a44877</v>
      </c>
      <c r="B1366" s="210" t="str">
        <f>IFERROR(__xludf.DUMMYFUNCTION("""COMPUTED_VALUE"""),"e8a44877")</f>
        <v>e8a44877</v>
      </c>
      <c r="C1366" s="213">
        <f>IFERROR(__xludf.DUMMYFUNCTION("""COMPUTED_VALUE"""),45855.47152777778)</f>
        <v>45855.47153</v>
      </c>
      <c r="D1366" s="211" t="str">
        <f>IFERROR(__xludf.DUMMYFUNCTION("""COMPUTED_VALUE"""),"b218b89b")</f>
        <v>b218b89b</v>
      </c>
      <c r="E1366" s="211" t="str">
        <f>IFERROR(__xludf.DUMMYFUNCTION("""COMPUTED_VALUE"""),"PT Harapan Sentosa")</f>
        <v>PT Harapan Sentosa</v>
      </c>
      <c r="F1366" s="211" t="str">
        <f>IFERROR(__xludf.DUMMYFUNCTION("""COMPUTED_VALUE"""),"ef306e54")</f>
        <v>ef306e54</v>
      </c>
      <c r="G1366" s="211" t="str">
        <f>IFERROR(__xludf.DUMMYFUNCTION("""COMPUTED_VALUE"""),"Karbondioksida")</f>
        <v>Karbondioksida</v>
      </c>
      <c r="H1366" s="214" t="str">
        <f>IFERROR(__xludf.DUMMYFUNCTION("""COMPUTED_VALUE"""),"IN")</f>
        <v>IN</v>
      </c>
      <c r="I1366" s="214" t="str">
        <f>IFERROR(__xludf.DUMMYFUNCTION("""COMPUTED_VALUE"""),"EMPTY")</f>
        <v>EMPTY</v>
      </c>
      <c r="J1366" s="211">
        <f>IFERROR(__xludf.DUMMYFUNCTION("""COMPUTED_VALUE"""),3.0)</f>
        <v>3</v>
      </c>
      <c r="K1366" s="210" t="str">
        <f>IFERROR(__xludf.DUMMYFUNCTION("""COMPUTED_VALUE"""),"13010 13006 13020")</f>
        <v>13010 13006 13020</v>
      </c>
      <c r="L1366" s="211">
        <f>IFERROR(__xludf.DUMMYFUNCTION("""COMPUTED_VALUE"""),0.0)</f>
        <v>0</v>
      </c>
      <c r="M1366" s="211"/>
      <c r="N1366" s="211"/>
      <c r="O1366" s="211"/>
      <c r="Q1366" s="210" t="str">
        <f>IFERROR(__xludf.DUMMYFUNCTION("""COMPUTED_VALUE"""),"0925541361")</f>
        <v>0925541361</v>
      </c>
      <c r="R1366" s="210" t="str">
        <f>IFERROR(__xludf.DUMMYFUNCTION("""COMPUTED_VALUE"""),"0925541361")</f>
        <v>0925541361</v>
      </c>
      <c r="S1366" s="211" t="str">
        <f>IFERROR(__xludf.DUMMYFUNCTION("""COMPUTED_VALUE"""),"e86baf3b")</f>
        <v>e86baf3b</v>
      </c>
      <c r="T1366" s="211" t="str">
        <f>IFERROR(__xludf.DUMMYFUNCTION("""COMPUTED_VALUE"""),"PT GEMILANG CIPTA WAWASAN")</f>
        <v>PT GEMILANG CIPTA WAWASAN</v>
      </c>
      <c r="U1366" s="215">
        <f>IFERROR(__xludf.DUMMYFUNCTION("""COMPUTED_VALUE"""),45930.51658564815)</f>
        <v>45930.51659</v>
      </c>
      <c r="V1366" s="211" t="str">
        <f>IFERROR(__xludf.DUMMYFUNCTION("""COMPUTED_VALUE"""),"JL TEBET RAYA, 2A, TEBET BARAT, TEBET, KOTA ADM, JAKARTA SELATAN, DKI JAKARTA")</f>
        <v>JL TEBET RAYA, 2A, TEBET BARAT, TEBET, KOTA ADM, JAKARTA SELATAN, DKI JAKARTA</v>
      </c>
      <c r="W1366" s="211" t="str">
        <f>IFERROR(__xludf.DUMMYFUNCTION("""COMPUTED_VALUE"""),"OUT")</f>
        <v>OUT</v>
      </c>
      <c r="X1366" s="211"/>
      <c r="Z1366" s="211" t="str">
        <f>IFERROR(__xludf.DUMMYFUNCTION("""COMPUTED_VALUE"""),"10240034")</f>
        <v>10240034</v>
      </c>
      <c r="AL1366" s="211"/>
      <c r="AM1366" s="211"/>
      <c r="AN1366" s="211"/>
      <c r="AO1366" s="211"/>
      <c r="AP1366" s="215"/>
      <c r="AQ1366" s="218"/>
      <c r="AR1366" s="211"/>
    </row>
    <row r="1367">
      <c r="A1367" s="210" t="str">
        <f>IFERROR(__xludf.DUMMYFUNCTION("""COMPUTED_VALUE"""),"07250584")</f>
        <v>07250584</v>
      </c>
      <c r="B1367" s="210" t="str">
        <f>IFERROR(__xludf.DUMMYFUNCTION("""COMPUTED_VALUE"""),"07250584")</f>
        <v>07250584</v>
      </c>
      <c r="C1367" s="213">
        <f>IFERROR(__xludf.DUMMYFUNCTION("""COMPUTED_VALUE"""),45856.458333333336)</f>
        <v>45856.45833</v>
      </c>
      <c r="D1367" s="211" t="str">
        <f>IFERROR(__xludf.DUMMYFUNCTION("""COMPUTED_VALUE"""),"785e0e07")</f>
        <v>785e0e07</v>
      </c>
      <c r="E1367" s="211" t="str">
        <f>IFERROR(__xludf.DUMMYFUNCTION("""COMPUTED_VALUE"""),"Bpk. Sukirno (Bejo)")</f>
        <v>Bpk. Sukirno (Bejo)</v>
      </c>
      <c r="F1367" s="211" t="str">
        <f>IFERROR(__xludf.DUMMYFUNCTION("""COMPUTED_VALUE"""),"8bdbe149")</f>
        <v>8bdbe149</v>
      </c>
      <c r="G1367" s="211" t="str">
        <f>IFERROR(__xludf.DUMMYFUNCTION("""COMPUTED_VALUE"""),"Oksigen 6m3")</f>
        <v>Oksigen 6m3</v>
      </c>
      <c r="H1367" s="214" t="str">
        <f>IFERROR(__xludf.DUMMYFUNCTION("""COMPUTED_VALUE"""),"OUT")</f>
        <v>OUT</v>
      </c>
      <c r="I1367" s="214" t="str">
        <f>IFERROR(__xludf.DUMMYFUNCTION("""COMPUTED_VALUE"""),"NORMAL")</f>
        <v>NORMAL</v>
      </c>
      <c r="J1367" s="211">
        <f>IFERROR(__xludf.DUMMYFUNCTION("""COMPUTED_VALUE"""),10.0)</f>
        <v>10</v>
      </c>
      <c r="K1367" s="210" t="str">
        <f>IFERROR(__xludf.DUMMYFUNCTION("""COMPUTED_VALUE"""),"11188 11198 11120 11129 1158 11270 11231 1153 11117 1132")</f>
        <v>11188 11198 11120 11129 1158 11270 11231 1153 11117 1132</v>
      </c>
      <c r="L1367" s="211">
        <f>IFERROR(__xludf.DUMMYFUNCTION("""COMPUTED_VALUE"""),60000.0)</f>
        <v>60000</v>
      </c>
      <c r="M1367" s="211"/>
      <c r="N1367" s="211"/>
      <c r="O1367" s="211"/>
      <c r="Q1367" s="210" t="str">
        <f>IFERROR(__xludf.DUMMYFUNCTION("""COMPUTED_VALUE"""),"0925121367")</f>
        <v>0925121367</v>
      </c>
      <c r="R1367" s="210" t="str">
        <f>IFERROR(__xludf.DUMMYFUNCTION("""COMPUTED_VALUE"""),"0925121367")</f>
        <v>0925121367</v>
      </c>
      <c r="S1367" s="211" t="str">
        <f>IFERROR(__xludf.DUMMYFUNCTION("""COMPUTED_VALUE"""),"e968afef")</f>
        <v>e968afef</v>
      </c>
      <c r="T1367" s="211" t="str">
        <f>IFERROR(__xludf.DUMMYFUNCTION("""COMPUTED_VALUE"""),"Bpk. Agus")</f>
        <v>Bpk. Agus</v>
      </c>
      <c r="U1367" s="215">
        <f>IFERROR(__xludf.DUMMYFUNCTION("""COMPUTED_VALUE"""),45930.521840277775)</f>
        <v>45930.52184</v>
      </c>
      <c r="V1367" s="211" t="str">
        <f>IFERROR(__xludf.DUMMYFUNCTION("""COMPUTED_VALUE"""),"Jl. Parengan 13, Semawut, Balongbendo, Kec. BalongBendo, Kabupaten Sidoarjo, Jawa Timur 61263")</f>
        <v>Jl. Parengan 13, Semawut, Balongbendo, Kec. BalongBendo, Kabupaten Sidoarjo, Jawa Timur 61263</v>
      </c>
      <c r="W1367" s="211" t="str">
        <f>IFERROR(__xludf.DUMMYFUNCTION("""COMPUTED_VALUE"""),"OUT")</f>
        <v>OUT</v>
      </c>
      <c r="X1367" s="211"/>
      <c r="Z1367" s="211" t="str">
        <f>IFERROR(__xludf.DUMMYFUNCTION("""COMPUTED_VALUE"""),"10240033")</f>
        <v>10240033</v>
      </c>
      <c r="AL1367" s="211"/>
      <c r="AM1367" s="211"/>
      <c r="AN1367" s="211"/>
      <c r="AO1367" s="211"/>
      <c r="AP1367" s="215"/>
      <c r="AQ1367" s="218"/>
      <c r="AR1367" s="211"/>
    </row>
    <row r="1368">
      <c r="A1368" s="210" t="str">
        <f>IFERROR(__xludf.DUMMYFUNCTION("""COMPUTED_VALUE"""),"db3a787e")</f>
        <v>db3a787e</v>
      </c>
      <c r="B1368" s="210" t="str">
        <f>IFERROR(__xludf.DUMMYFUNCTION("""COMPUTED_VALUE"""),"db3a787e")</f>
        <v>db3a787e</v>
      </c>
      <c r="C1368" s="213">
        <f>IFERROR(__xludf.DUMMYFUNCTION("""COMPUTED_VALUE"""),45856.4625)</f>
        <v>45856.4625</v>
      </c>
      <c r="D1368" s="211" t="str">
        <f>IFERROR(__xludf.DUMMYFUNCTION("""COMPUTED_VALUE"""),"8f5ebaea")</f>
        <v>8f5ebaea</v>
      </c>
      <c r="E1368" s="211" t="str">
        <f>IFERROR(__xludf.DUMMYFUNCTION("""COMPUTED_VALUE"""),"PT Hua Zong Mesindo")</f>
        <v>PT Hua Zong Mesindo</v>
      </c>
      <c r="F1368" s="211" t="str">
        <f>IFERROR(__xludf.DUMMYFUNCTION("""COMPUTED_VALUE"""),"8bdbe149")</f>
        <v>8bdbe149</v>
      </c>
      <c r="G1368" s="211" t="str">
        <f>IFERROR(__xludf.DUMMYFUNCTION("""COMPUTED_VALUE"""),"Oksigen 6m3")</f>
        <v>Oksigen 6m3</v>
      </c>
      <c r="H1368" s="214" t="str">
        <f>IFERROR(__xludf.DUMMYFUNCTION("""COMPUTED_VALUE"""),"IN")</f>
        <v>IN</v>
      </c>
      <c r="I1368" s="214" t="str">
        <f>IFERROR(__xludf.DUMMYFUNCTION("""COMPUTED_VALUE"""),"EMPTY")</f>
        <v>EMPTY</v>
      </c>
      <c r="J1368" s="211">
        <f>IFERROR(__xludf.DUMMYFUNCTION("""COMPUTED_VALUE"""),2.0)</f>
        <v>2</v>
      </c>
      <c r="K1368" s="210" t="str">
        <f>IFERROR(__xludf.DUMMYFUNCTION("""COMPUTED_VALUE"""),"1152 1126")</f>
        <v>1152 1126</v>
      </c>
      <c r="L1368" s="211">
        <f>IFERROR(__xludf.DUMMYFUNCTION("""COMPUTED_VALUE"""),0.0)</f>
        <v>0</v>
      </c>
      <c r="M1368" s="211"/>
      <c r="N1368" s="211"/>
      <c r="O1368" s="211"/>
      <c r="Q1368" s="210" t="str">
        <f>IFERROR(__xludf.DUMMYFUNCTION("""COMPUTED_VALUE"""),"1250638")</f>
        <v>1250638</v>
      </c>
      <c r="R1368" s="210" t="str">
        <f>IFERROR(__xludf.DUMMYFUNCTION("""COMPUTED_VALUE"""),"1250638")</f>
        <v>1250638</v>
      </c>
      <c r="S1368" s="211" t="str">
        <f>IFERROR(__xludf.DUMMYFUNCTION("""COMPUTED_VALUE"""),"01158be1")</f>
        <v>01158be1</v>
      </c>
      <c r="T1368" s="211" t="str">
        <f>IFERROR(__xludf.DUMMYFUNCTION("""COMPUTED_VALUE"""),"GYF")</f>
        <v>GYF</v>
      </c>
      <c r="U1368" s="215">
        <f>IFERROR(__xludf.DUMMYFUNCTION("""COMPUTED_VALUE"""),45930.53331018519)</f>
        <v>45930.53331</v>
      </c>
      <c r="V1368" s="211" t="str">
        <f>IFERROR(__xludf.DUMMYFUNCTION("""COMPUTED_VALUE"""),"Kangkungan, Lengkong, Kec. Mojoanyar, Kabupaten Mojokerto, Jawa Timur")</f>
        <v>Kangkungan, Lengkong, Kec. Mojoanyar, Kabupaten Mojokerto, Jawa Timur</v>
      </c>
      <c r="W1368" s="211" t="str">
        <f>IFERROR(__xludf.DUMMYFUNCTION("""COMPUTED_VALUE"""),"IN")</f>
        <v>IN</v>
      </c>
      <c r="X1368" s="211"/>
      <c r="Z1368" s="211" t="str">
        <f>IFERROR(__xludf.DUMMYFUNCTION("""COMPUTED_VALUE"""),"09240032")</f>
        <v>09240032</v>
      </c>
      <c r="AL1368" s="211"/>
      <c r="AM1368" s="211"/>
      <c r="AN1368" s="211"/>
      <c r="AO1368" s="211"/>
      <c r="AP1368" s="215"/>
      <c r="AQ1368" s="218"/>
      <c r="AR1368" s="211"/>
    </row>
    <row r="1369">
      <c r="A1369" s="210" t="str">
        <f>IFERROR(__xludf.DUMMYFUNCTION("""COMPUTED_VALUE"""),"8f3c6b83")</f>
        <v>8f3c6b83</v>
      </c>
      <c r="B1369" s="210" t="str">
        <f>IFERROR(__xludf.DUMMYFUNCTION("""COMPUTED_VALUE"""),"8f3c6b83")</f>
        <v>8f3c6b83</v>
      </c>
      <c r="C1369" s="213">
        <f>IFERROR(__xludf.DUMMYFUNCTION("""COMPUTED_VALUE"""),45856.46319444444)</f>
        <v>45856.46319</v>
      </c>
      <c r="D1369" s="211" t="str">
        <f>IFERROR(__xludf.DUMMYFUNCTION("""COMPUTED_VALUE"""),"1bf27092")</f>
        <v>1bf27092</v>
      </c>
      <c r="E1369" s="211" t="str">
        <f>IFERROR(__xludf.DUMMYFUNCTION("""COMPUTED_VALUE"""),"Bpk. Ari Budiarto")</f>
        <v>Bpk. Ari Budiarto</v>
      </c>
      <c r="F1369" s="211" t="str">
        <f>IFERROR(__xludf.DUMMYFUNCTION("""COMPUTED_VALUE"""),"66af7c72")</f>
        <v>66af7c72</v>
      </c>
      <c r="G1369" s="211" t="str">
        <f>IFERROR(__xludf.DUMMYFUNCTION("""COMPUTED_VALUE"""),"Argon 6m3")</f>
        <v>Argon 6m3</v>
      </c>
      <c r="H1369" s="214" t="str">
        <f>IFERROR(__xludf.DUMMYFUNCTION("""COMPUTED_VALUE"""),"IN")</f>
        <v>IN</v>
      </c>
      <c r="I1369" s="214" t="str">
        <f>IFERROR(__xludf.DUMMYFUNCTION("""COMPUTED_VALUE"""),"EMPTY")</f>
        <v>EMPTY</v>
      </c>
      <c r="J1369" s="211">
        <f>IFERROR(__xludf.DUMMYFUNCTION("""COMPUTED_VALUE"""),1.0)</f>
        <v>1</v>
      </c>
      <c r="K1369" s="210" t="str">
        <f>IFERROR(__xludf.DUMMYFUNCTION("""COMPUTED_VALUE"""),"12007")</f>
        <v>12007</v>
      </c>
      <c r="L1369" s="211">
        <f>IFERROR(__xludf.DUMMYFUNCTION("""COMPUTED_VALUE"""),0.0)</f>
        <v>0</v>
      </c>
      <c r="M1369" s="211"/>
      <c r="N1369" s="211"/>
      <c r="O1369" s="211"/>
      <c r="Q1369" s="210" t="str">
        <f>IFERROR(__xludf.DUMMYFUNCTION("""COMPUTED_VALUE"""),"1025141368")</f>
        <v>1025141368</v>
      </c>
      <c r="R1369" s="210" t="str">
        <f>IFERROR(__xludf.DUMMYFUNCTION("""COMPUTED_VALUE"""),"1025141368")</f>
        <v>1025141368</v>
      </c>
      <c r="S1369" s="211" t="str">
        <f>IFERROR(__xludf.DUMMYFUNCTION("""COMPUTED_VALUE"""),"b218b89b")</f>
        <v>b218b89b</v>
      </c>
      <c r="T1369" s="211" t="str">
        <f>IFERROR(__xludf.DUMMYFUNCTION("""COMPUTED_VALUE"""),"PT Harapan Sentosa")</f>
        <v>PT Harapan Sentosa</v>
      </c>
      <c r="U1369" s="215">
        <f>IFERROR(__xludf.DUMMYFUNCTION("""COMPUTED_VALUE"""),45931.41202546296)</f>
        <v>45931.41203</v>
      </c>
      <c r="V1369" s="211" t="str">
        <f>IFERROR(__xludf.DUMMYFUNCTION("""COMPUTED_VALUE"""),"Seketi, Jl. Purboyo II Selatan, RT.02/RW.02, Seketi, Kec. BalongBendo, Kabupaten Sidoarjo, Jawa Timur 61263")</f>
        <v>Seketi, Jl. Purboyo II Selatan, RT.02/RW.02, Seketi, Kec. BalongBendo, Kabupaten Sidoarjo, Jawa Timur 61263</v>
      </c>
      <c r="W1369" s="211" t="str">
        <f>IFERROR(__xludf.DUMMYFUNCTION("""COMPUTED_VALUE"""),"OUT")</f>
        <v>OUT</v>
      </c>
      <c r="X1369" s="211"/>
      <c r="Z1369" s="211" t="str">
        <f>IFERROR(__xludf.DUMMYFUNCTION("""COMPUTED_VALUE"""),"09240030")</f>
        <v>09240030</v>
      </c>
      <c r="AL1369" s="211"/>
      <c r="AM1369" s="211"/>
      <c r="AN1369" s="211"/>
      <c r="AO1369" s="211"/>
      <c r="AP1369" s="215"/>
      <c r="AQ1369" s="218"/>
      <c r="AR1369" s="211"/>
    </row>
    <row r="1370">
      <c r="A1370" s="210" t="str">
        <f>IFERROR(__xludf.DUMMYFUNCTION("""COMPUTED_VALUE"""),"2703945b")</f>
        <v>2703945b</v>
      </c>
      <c r="B1370" s="210" t="str">
        <f>IFERROR(__xludf.DUMMYFUNCTION("""COMPUTED_VALUE"""),"2703945b")</f>
        <v>2703945b</v>
      </c>
      <c r="C1370" s="213">
        <f>IFERROR(__xludf.DUMMYFUNCTION("""COMPUTED_VALUE"""),45856.669444444444)</f>
        <v>45856.66944</v>
      </c>
      <c r="D1370" s="211" t="str">
        <f>IFERROR(__xludf.DUMMYFUNCTION("""COMPUTED_VALUE"""),"785e0e07")</f>
        <v>785e0e07</v>
      </c>
      <c r="E1370" s="211" t="str">
        <f>IFERROR(__xludf.DUMMYFUNCTION("""COMPUTED_VALUE"""),"Bpk. Sukirno (Bejo)")</f>
        <v>Bpk. Sukirno (Bejo)</v>
      </c>
      <c r="F1370" s="211" t="str">
        <f>IFERROR(__xludf.DUMMYFUNCTION("""COMPUTED_VALUE"""),"8bdbe149")</f>
        <v>8bdbe149</v>
      </c>
      <c r="G1370" s="211" t="str">
        <f>IFERROR(__xludf.DUMMYFUNCTION("""COMPUTED_VALUE"""),"Oksigen 6m3")</f>
        <v>Oksigen 6m3</v>
      </c>
      <c r="H1370" s="214" t="str">
        <f>IFERROR(__xludf.DUMMYFUNCTION("""COMPUTED_VALUE"""),"IN")</f>
        <v>IN</v>
      </c>
      <c r="I1370" s="214" t="str">
        <f>IFERROR(__xludf.DUMMYFUNCTION("""COMPUTED_VALUE"""),"EMPTY")</f>
        <v>EMPTY</v>
      </c>
      <c r="J1370" s="211">
        <f>IFERROR(__xludf.DUMMYFUNCTION("""COMPUTED_VALUE"""),2.0)</f>
        <v>2</v>
      </c>
      <c r="K1370" s="210" t="str">
        <f>IFERROR(__xludf.DUMMYFUNCTION("""COMPUTED_VALUE"""),"11104 1142")</f>
        <v>11104 1142</v>
      </c>
      <c r="L1370" s="211">
        <f>IFERROR(__xludf.DUMMYFUNCTION("""COMPUTED_VALUE"""),0.0)</f>
        <v>0</v>
      </c>
      <c r="M1370" s="211"/>
      <c r="N1370" s="211"/>
      <c r="O1370" s="211"/>
      <c r="Q1370" s="210" t="str">
        <f>IFERROR(__xludf.DUMMYFUNCTION("""COMPUTED_VALUE"""),"1025141370")</f>
        <v>1025141370</v>
      </c>
      <c r="R1370" s="210" t="str">
        <f>IFERROR(__xludf.DUMMYFUNCTION("""COMPUTED_VALUE"""),"1025141370")</f>
        <v>1025141370</v>
      </c>
      <c r="S1370" s="211" t="str">
        <f>IFERROR(__xludf.DUMMYFUNCTION("""COMPUTED_VALUE"""),"3bcd7fe6")</f>
        <v>3bcd7fe6</v>
      </c>
      <c r="T1370" s="211" t="str">
        <f>IFERROR(__xludf.DUMMYFUNCTION("""COMPUTED_VALUE"""),"Bpk. Alvin (LB Group)")</f>
        <v>Bpk. Alvin (LB Group)</v>
      </c>
      <c r="U1370" s="215">
        <f>IFERROR(__xludf.DUMMYFUNCTION("""COMPUTED_VALUE"""),45932.35099537037)</f>
        <v>45932.351</v>
      </c>
      <c r="V1370" s="211" t="str">
        <f>IFERROR(__xludf.DUMMYFUNCTION("""COMPUTED_VALUE"""),"MFF9+XHC, Jalan, Tambakrejo, Temuireng, Kec. Dawar Blandong, Kabupaten Mojokerto, Jawa Timur 61354")</f>
        <v>MFF9+XHC, Jalan, Tambakrejo, Temuireng, Kec. Dawar Blandong, Kabupaten Mojokerto, Jawa Timur 61354</v>
      </c>
      <c r="W1370" s="211" t="str">
        <f>IFERROR(__xludf.DUMMYFUNCTION("""COMPUTED_VALUE"""),"OUT")</f>
        <v>OUT</v>
      </c>
      <c r="X1370" s="211"/>
      <c r="Z1370" s="211" t="str">
        <f>IFERROR(__xludf.DUMMYFUNCTION("""COMPUTED_VALUE"""),"09240028")</f>
        <v>09240028</v>
      </c>
      <c r="AL1370" s="211"/>
      <c r="AM1370" s="211"/>
      <c r="AN1370" s="211"/>
      <c r="AO1370" s="211"/>
      <c r="AP1370" s="215"/>
      <c r="AQ1370" s="218"/>
      <c r="AR1370" s="211"/>
    </row>
    <row r="1371">
      <c r="A1371" s="210" t="str">
        <f>IFERROR(__xludf.DUMMYFUNCTION("""COMPUTED_VALUE"""),"07250585")</f>
        <v>07250585</v>
      </c>
      <c r="B1371" s="210" t="str">
        <f>IFERROR(__xludf.DUMMYFUNCTION("""COMPUTED_VALUE"""),"07250585")</f>
        <v>07250585</v>
      </c>
      <c r="C1371" s="213">
        <f>IFERROR(__xludf.DUMMYFUNCTION("""COMPUTED_VALUE"""),45859.39375)</f>
        <v>45859.39375</v>
      </c>
      <c r="D1371" s="211" t="str">
        <f>IFERROR(__xludf.DUMMYFUNCTION("""COMPUTED_VALUE"""),"b2b5f2c5")</f>
        <v>b2b5f2c5</v>
      </c>
      <c r="E1371" s="211" t="str">
        <f>IFERROR(__xludf.DUMMYFUNCTION("""COMPUTED_VALUE"""),"Bengkel Las Bpk. Ari")</f>
        <v>Bengkel Las Bpk. Ari</v>
      </c>
      <c r="F1371" s="211" t="str">
        <f>IFERROR(__xludf.DUMMYFUNCTION("""COMPUTED_VALUE"""),"8bdbe149")</f>
        <v>8bdbe149</v>
      </c>
      <c r="G1371" s="211" t="str">
        <f>IFERROR(__xludf.DUMMYFUNCTION("""COMPUTED_VALUE"""),"Oksigen 6m3")</f>
        <v>Oksigen 6m3</v>
      </c>
      <c r="H1371" s="214" t="str">
        <f>IFERROR(__xludf.DUMMYFUNCTION("""COMPUTED_VALUE"""),"OUT")</f>
        <v>OUT</v>
      </c>
      <c r="I1371" s="214" t="str">
        <f>IFERROR(__xludf.DUMMYFUNCTION("""COMPUTED_VALUE"""),"NORMAL")</f>
        <v>NORMAL</v>
      </c>
      <c r="J1371" s="211">
        <f>IFERROR(__xludf.DUMMYFUNCTION("""COMPUTED_VALUE"""),2.0)</f>
        <v>2</v>
      </c>
      <c r="K1371" s="210" t="str">
        <f>IFERROR(__xludf.DUMMYFUNCTION("""COMPUTED_VALUE"""),"1148 1187")</f>
        <v>1148 1187</v>
      </c>
      <c r="L1371" s="211">
        <f>IFERROR(__xludf.DUMMYFUNCTION("""COMPUTED_VALUE"""),60000.0)</f>
        <v>60000</v>
      </c>
      <c r="M1371" s="211"/>
      <c r="N1371" s="211"/>
      <c r="O1371" s="211"/>
      <c r="Q1371" s="210" t="str">
        <f>IFERROR(__xludf.DUMMYFUNCTION("""COMPUTED_VALUE"""),"102511371")</f>
        <v>102511371</v>
      </c>
      <c r="R1371" s="210" t="str">
        <f>IFERROR(__xludf.DUMMYFUNCTION("""COMPUTED_VALUE"""),"102511371")</f>
        <v>102511371</v>
      </c>
      <c r="S1371" s="211" t="str">
        <f>IFERROR(__xludf.DUMMYFUNCTION("""COMPUTED_VALUE"""),"4c3a2a5f")</f>
        <v>4c3a2a5f</v>
      </c>
      <c r="T1371" s="211" t="str">
        <f>IFERROR(__xludf.DUMMYFUNCTION("""COMPUTED_VALUE"""),"CV Matahari Mitra Sukses")</f>
        <v>CV Matahari Mitra Sukses</v>
      </c>
      <c r="U1371" s="215">
        <f>IFERROR(__xludf.DUMMYFUNCTION("""COMPUTED_VALUE"""),45932.35375)</f>
        <v>45932.35375</v>
      </c>
      <c r="V1371" s="211" t="str">
        <f>IFERROR(__xludf.DUMMYFUNCTION("""COMPUTED_VALUE"""),"Jl. Raya Hj. Fatimah 01, Tarik, Kabupaten Sidoarjo, Jawa Timur 61265, Indonesia")</f>
        <v>Jl. Raya Hj. Fatimah 01, Tarik, Kabupaten Sidoarjo, Jawa Timur 61265, Indonesia</v>
      </c>
      <c r="W1371" s="211" t="str">
        <f>IFERROR(__xludf.DUMMYFUNCTION("""COMPUTED_VALUE"""),"OUT")</f>
        <v>OUT</v>
      </c>
      <c r="X1371" s="211"/>
      <c r="Z1371" s="211" t="str">
        <f>IFERROR(__xludf.DUMMYFUNCTION("""COMPUTED_VALUE"""),"09240027")</f>
        <v>09240027</v>
      </c>
      <c r="AL1371" s="211"/>
      <c r="AM1371" s="211"/>
      <c r="AN1371" s="211"/>
      <c r="AO1371" s="211"/>
      <c r="AP1371" s="215"/>
      <c r="AQ1371" s="218"/>
      <c r="AR1371" s="211"/>
    </row>
    <row r="1372">
      <c r="A1372" s="210" t="str">
        <f>IFERROR(__xludf.DUMMYFUNCTION("""COMPUTED_VALUE"""),"07250586")</f>
        <v>07250586</v>
      </c>
      <c r="B1372" s="210" t="str">
        <f>IFERROR(__xludf.DUMMYFUNCTION("""COMPUTED_VALUE"""),"07250586")</f>
        <v>07250586</v>
      </c>
      <c r="C1372" s="213">
        <f>IFERROR(__xludf.DUMMYFUNCTION("""COMPUTED_VALUE"""),45859.39444444444)</f>
        <v>45859.39444</v>
      </c>
      <c r="D1372" s="211" t="str">
        <f>IFERROR(__xludf.DUMMYFUNCTION("""COMPUTED_VALUE"""),"182fb0fe")</f>
        <v>182fb0fe</v>
      </c>
      <c r="E1372" s="211" t="str">
        <f>IFERROR(__xludf.DUMMYFUNCTION("""COMPUTED_VALUE"""),"PT Amtech")</f>
        <v>PT Amtech</v>
      </c>
      <c r="F1372" s="211" t="str">
        <f>IFERROR(__xludf.DUMMYFUNCTION("""COMPUTED_VALUE"""),"66af7c72")</f>
        <v>66af7c72</v>
      </c>
      <c r="G1372" s="211" t="str">
        <f>IFERROR(__xludf.DUMMYFUNCTION("""COMPUTED_VALUE"""),"Argon 6m3")</f>
        <v>Argon 6m3</v>
      </c>
      <c r="H1372" s="214" t="str">
        <f>IFERROR(__xludf.DUMMYFUNCTION("""COMPUTED_VALUE"""),"OUT")</f>
        <v>OUT</v>
      </c>
      <c r="I1372" s="214" t="str">
        <f>IFERROR(__xludf.DUMMYFUNCTION("""COMPUTED_VALUE"""),"NORMAL")</f>
        <v>NORMAL</v>
      </c>
      <c r="J1372" s="211">
        <f>IFERROR(__xludf.DUMMYFUNCTION("""COMPUTED_VALUE"""),10.0)</f>
        <v>10</v>
      </c>
      <c r="K1372" s="210" t="str">
        <f>IFERROR(__xludf.DUMMYFUNCTION("""COMPUTED_VALUE"""),"12029 12047 12021 12070 12072 12069 12071 12068 12019 12001")</f>
        <v>12029 12047 12021 12070 12072 12069 12071 12068 12019 12001</v>
      </c>
      <c r="L1372" s="211">
        <f>IFERROR(__xludf.DUMMYFUNCTION("""COMPUTED_VALUE"""),195000.0)</f>
        <v>195000</v>
      </c>
      <c r="M1372" s="211"/>
      <c r="N1372" s="211"/>
      <c r="O1372" s="211"/>
      <c r="Q1372" s="210" t="str">
        <f>IFERROR(__xludf.DUMMYFUNCTION("""COMPUTED_VALUE"""),"1025241372")</f>
        <v>1025241372</v>
      </c>
      <c r="R1372" s="210" t="str">
        <f>IFERROR(__xludf.DUMMYFUNCTION("""COMPUTED_VALUE"""),"1025241372")</f>
        <v>1025241372</v>
      </c>
      <c r="S1372" s="211" t="str">
        <f>IFERROR(__xludf.DUMMYFUNCTION("""COMPUTED_VALUE"""),"2d88931c")</f>
        <v>2d88931c</v>
      </c>
      <c r="T1372" s="211" t="str">
        <f>IFERROR(__xludf.DUMMYFUNCTION("""COMPUTED_VALUE"""),"PT Dunia Berkat Marga Mulya")</f>
        <v>PT Dunia Berkat Marga Mulya</v>
      </c>
      <c r="U1372" s="215">
        <f>IFERROR(__xludf.DUMMYFUNCTION("""COMPUTED_VALUE"""),45933.3468287037)</f>
        <v>45933.34683</v>
      </c>
      <c r="V1372" s="211" t="str">
        <f>IFERROR(__xludf.DUMMYFUNCTION("""COMPUTED_VALUE"""),"JL JABARAN, WATESARI, BALONGBENDO, SIDOARJO, JAWA TIMUR")</f>
        <v>JL JABARAN, WATESARI, BALONGBENDO, SIDOARJO, JAWA TIMUR</v>
      </c>
      <c r="W1372" s="211" t="str">
        <f>IFERROR(__xludf.DUMMYFUNCTION("""COMPUTED_VALUE"""),"OUT")</f>
        <v>OUT</v>
      </c>
      <c r="X1372" s="211"/>
      <c r="Z1372" s="211" t="str">
        <f>IFERROR(__xludf.DUMMYFUNCTION("""COMPUTED_VALUE"""),"09240026")</f>
        <v>09240026</v>
      </c>
      <c r="AL1372" s="211"/>
      <c r="AM1372" s="211"/>
      <c r="AN1372" s="211"/>
      <c r="AO1372" s="211"/>
      <c r="AP1372" s="215"/>
      <c r="AQ1372" s="218"/>
      <c r="AR1372" s="211"/>
    </row>
    <row r="1373">
      <c r="A1373" s="210" t="str">
        <f>IFERROR(__xludf.DUMMYFUNCTION("""COMPUTED_VALUE"""),"07250586")</f>
        <v>07250586</v>
      </c>
      <c r="B1373" s="210" t="str">
        <f>IFERROR(__xludf.DUMMYFUNCTION("""COMPUTED_VALUE"""),"07250586")</f>
        <v>07250586</v>
      </c>
      <c r="C1373" s="213">
        <f>IFERROR(__xludf.DUMMYFUNCTION("""COMPUTED_VALUE"""),45859.39444444444)</f>
        <v>45859.39444</v>
      </c>
      <c r="D1373" s="211" t="str">
        <f>IFERROR(__xludf.DUMMYFUNCTION("""COMPUTED_VALUE"""),"182fb0fe")</f>
        <v>182fb0fe</v>
      </c>
      <c r="E1373" s="211" t="str">
        <f>IFERROR(__xludf.DUMMYFUNCTION("""COMPUTED_VALUE"""),"PT Amtech")</f>
        <v>PT Amtech</v>
      </c>
      <c r="F1373" s="211" t="str">
        <f>IFERROR(__xludf.DUMMYFUNCTION("""COMPUTED_VALUE"""),"8bdbe149")</f>
        <v>8bdbe149</v>
      </c>
      <c r="G1373" s="211" t="str">
        <f>IFERROR(__xludf.DUMMYFUNCTION("""COMPUTED_VALUE"""),"Oksigen 6m3")</f>
        <v>Oksigen 6m3</v>
      </c>
      <c r="H1373" s="214" t="str">
        <f>IFERROR(__xludf.DUMMYFUNCTION("""COMPUTED_VALUE"""),"OUT")</f>
        <v>OUT</v>
      </c>
      <c r="I1373" s="214" t="str">
        <f>IFERROR(__xludf.DUMMYFUNCTION("""COMPUTED_VALUE"""),"NORMAL")</f>
        <v>NORMAL</v>
      </c>
      <c r="J1373" s="211">
        <f>IFERROR(__xludf.DUMMYFUNCTION("""COMPUTED_VALUE"""),5.0)</f>
        <v>5</v>
      </c>
      <c r="K1373" s="210" t="str">
        <f>IFERROR(__xludf.DUMMYFUNCTION("""COMPUTED_VALUE"""),"1152 1183 1126 1129 1141")</f>
        <v>1152 1183 1126 1129 1141</v>
      </c>
      <c r="L1373" s="211">
        <f>IFERROR(__xludf.DUMMYFUNCTION("""COMPUTED_VALUE"""),60000.0)</f>
        <v>60000</v>
      </c>
      <c r="M1373" s="211"/>
      <c r="N1373" s="211"/>
      <c r="O1373" s="211"/>
      <c r="Q1373" s="210" t="str">
        <f>IFERROR(__xludf.DUMMYFUNCTION("""COMPUTED_VALUE"""),"102511373")</f>
        <v>102511373</v>
      </c>
      <c r="R1373" s="210" t="str">
        <f>IFERROR(__xludf.DUMMYFUNCTION("""COMPUTED_VALUE"""),"102511373")</f>
        <v>102511373</v>
      </c>
      <c r="S1373" s="211" t="str">
        <f>IFERROR(__xludf.DUMMYFUNCTION("""COMPUTED_VALUE"""),"21ff9b6f")</f>
        <v>21ff9b6f</v>
      </c>
      <c r="T1373" s="211" t="str">
        <f>IFERROR(__xludf.DUMMYFUNCTION("""COMPUTED_VALUE"""),"Bpk. Khoirul Anam")</f>
        <v>Bpk. Khoirul Anam</v>
      </c>
      <c r="U1373" s="215">
        <f>IFERROR(__xludf.DUMMYFUNCTION("""COMPUTED_VALUE"""),45933.348541666666)</f>
        <v>45933.34854</v>
      </c>
      <c r="V1373" s="211" t="str">
        <f>IFERROR(__xludf.DUMMYFUNCTION("""COMPUTED_VALUE"""),"Babut RT.01 RW.01 Plemahan Sumobito Jombang Jawa Timur")</f>
        <v>Babut RT.01 RW.01 Plemahan Sumobito Jombang Jawa Timur</v>
      </c>
      <c r="W1373" s="211" t="str">
        <f>IFERROR(__xludf.DUMMYFUNCTION("""COMPUTED_VALUE"""),"OUT")</f>
        <v>OUT</v>
      </c>
      <c r="X1373" s="211"/>
      <c r="Z1373" s="211" t="str">
        <f>IFERROR(__xludf.DUMMYFUNCTION("""COMPUTED_VALUE"""),"09240025")</f>
        <v>09240025</v>
      </c>
      <c r="AL1373" s="211"/>
      <c r="AM1373" s="211"/>
      <c r="AN1373" s="211"/>
      <c r="AO1373" s="211"/>
      <c r="AP1373" s="215"/>
      <c r="AQ1373" s="218"/>
      <c r="AR1373" s="211"/>
    </row>
    <row r="1374">
      <c r="A1374" s="210" t="str">
        <f>IFERROR(__xludf.DUMMYFUNCTION("""COMPUTED_VALUE"""),"07250588")</f>
        <v>07250588</v>
      </c>
      <c r="B1374" s="210" t="str">
        <f>IFERROR(__xludf.DUMMYFUNCTION("""COMPUTED_VALUE"""),"07250588")</f>
        <v>07250588</v>
      </c>
      <c r="C1374" s="213">
        <f>IFERROR(__xludf.DUMMYFUNCTION("""COMPUTED_VALUE"""),45859.39722222222)</f>
        <v>45859.39722</v>
      </c>
      <c r="D1374" s="211" t="str">
        <f>IFERROR(__xludf.DUMMYFUNCTION("""COMPUTED_VALUE"""),"196b24da")</f>
        <v>196b24da</v>
      </c>
      <c r="E1374" s="211" t="str">
        <f>IFERROR(__xludf.DUMMYFUNCTION("""COMPUTED_VALUE"""),"PT Samudra Cipta Enjineering")</f>
        <v>PT Samudra Cipta Enjineering</v>
      </c>
      <c r="F1374" s="211" t="str">
        <f>IFERROR(__xludf.DUMMYFUNCTION("""COMPUTED_VALUE"""),"b7a8fff1")</f>
        <v>b7a8fff1</v>
      </c>
      <c r="G1374" s="211" t="str">
        <f>IFERROR(__xludf.DUMMYFUNCTION("""COMPUTED_VALUE"""),"LPG 50kg")</f>
        <v>LPG 50kg</v>
      </c>
      <c r="H1374" s="214" t="str">
        <f>IFERROR(__xludf.DUMMYFUNCTION("""COMPUTED_VALUE"""),"OUT")</f>
        <v>OUT</v>
      </c>
      <c r="I1374" s="214" t="str">
        <f>IFERROR(__xludf.DUMMYFUNCTION("""COMPUTED_VALUE"""),"NORMAL")</f>
        <v>NORMAL</v>
      </c>
      <c r="J1374" s="211">
        <f>IFERROR(__xludf.DUMMYFUNCTION("""COMPUTED_VALUE"""),2.0)</f>
        <v>2</v>
      </c>
      <c r="K1374" s="211"/>
      <c r="L1374" s="211">
        <f>IFERROR(__xludf.DUMMYFUNCTION("""COMPUTED_VALUE"""),900000.0)</f>
        <v>900000</v>
      </c>
      <c r="M1374" s="211"/>
      <c r="N1374" s="211"/>
      <c r="O1374" s="211"/>
      <c r="Q1374" s="210" t="str">
        <f>IFERROR(__xludf.DUMMYFUNCTION("""COMPUTED_VALUE"""),"1025201374")</f>
        <v>1025201374</v>
      </c>
      <c r="R1374" s="210" t="str">
        <f>IFERROR(__xludf.DUMMYFUNCTION("""COMPUTED_VALUE"""),"1025201374")</f>
        <v>1025201374</v>
      </c>
      <c r="S1374" s="211" t="str">
        <f>IFERROR(__xludf.DUMMYFUNCTION("""COMPUTED_VALUE"""),"7b9d8eba")</f>
        <v>7b9d8eba</v>
      </c>
      <c r="T1374" s="211" t="str">
        <f>IFERROR(__xludf.DUMMYFUNCTION("""COMPUTED_VALUE"""),"PT PELANGI INDOKARYA")</f>
        <v>PT PELANGI INDOKARYA</v>
      </c>
      <c r="U1374" s="215">
        <f>IFERROR(__xludf.DUMMYFUNCTION("""COMPUTED_VALUE"""),45933.404386574075)</f>
        <v>45933.40439</v>
      </c>
      <c r="V137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374" s="211" t="str">
        <f>IFERROR(__xludf.DUMMYFUNCTION("""COMPUTED_VALUE"""),"OUT")</f>
        <v>OUT</v>
      </c>
      <c r="X1374" s="211"/>
      <c r="Z1374" s="211" t="str">
        <f>IFERROR(__xludf.DUMMYFUNCTION("""COMPUTED_VALUE"""),"09240024")</f>
        <v>09240024</v>
      </c>
      <c r="AL1374" s="211"/>
      <c r="AM1374" s="211"/>
      <c r="AN1374" s="211"/>
      <c r="AO1374" s="211"/>
      <c r="AP1374" s="215"/>
      <c r="AQ1374" s="218"/>
      <c r="AR1374" s="211"/>
    </row>
    <row r="1375">
      <c r="A1375" s="210" t="str">
        <f>IFERROR(__xludf.DUMMYFUNCTION("""COMPUTED_VALUE"""),"07250589")</f>
        <v>07250589</v>
      </c>
      <c r="B1375" s="210" t="str">
        <f>IFERROR(__xludf.DUMMYFUNCTION("""COMPUTED_VALUE"""),"07250589")</f>
        <v>07250589</v>
      </c>
      <c r="C1375" s="213">
        <f>IFERROR(__xludf.DUMMYFUNCTION("""COMPUTED_VALUE"""),45859.47361111111)</f>
        <v>45859.47361</v>
      </c>
      <c r="D1375" s="211" t="str">
        <f>IFERROR(__xludf.DUMMYFUNCTION("""COMPUTED_VALUE"""),"17a8e612")</f>
        <v>17a8e612</v>
      </c>
      <c r="E1375" s="211" t="str">
        <f>IFERROR(__xludf.DUMMYFUNCTION("""COMPUTED_VALUE"""),"Flashtech Machinery")</f>
        <v>Flashtech Machinery</v>
      </c>
      <c r="F1375" s="211" t="str">
        <f>IFERROR(__xludf.DUMMYFUNCTION("""COMPUTED_VALUE"""),"8bdbe149")</f>
        <v>8bdbe149</v>
      </c>
      <c r="G1375" s="211" t="str">
        <f>IFERROR(__xludf.DUMMYFUNCTION("""COMPUTED_VALUE"""),"Oksigen 6m3")</f>
        <v>Oksigen 6m3</v>
      </c>
      <c r="H1375" s="214" t="str">
        <f>IFERROR(__xludf.DUMMYFUNCTION("""COMPUTED_VALUE"""),"OUT")</f>
        <v>OUT</v>
      </c>
      <c r="I1375" s="214" t="str">
        <f>IFERROR(__xludf.DUMMYFUNCTION("""COMPUTED_VALUE"""),"NORMAL")</f>
        <v>NORMAL</v>
      </c>
      <c r="J1375" s="211">
        <f>IFERROR(__xludf.DUMMYFUNCTION("""COMPUTED_VALUE"""),1.0)</f>
        <v>1</v>
      </c>
      <c r="K1375" s="210" t="str">
        <f>IFERROR(__xludf.DUMMYFUNCTION("""COMPUTED_VALUE"""),"1113")</f>
        <v>1113</v>
      </c>
      <c r="L1375" s="211">
        <f>IFERROR(__xludf.DUMMYFUNCTION("""COMPUTED_VALUE"""),55000.0)</f>
        <v>55000</v>
      </c>
      <c r="M1375" s="211"/>
      <c r="N1375" s="211"/>
      <c r="O1375" s="211"/>
      <c r="Q1375" s="210" t="str">
        <f>IFERROR(__xludf.DUMMYFUNCTION("""COMPUTED_VALUE"""),"1250618")</f>
        <v>1250618</v>
      </c>
      <c r="R1375" s="210" t="str">
        <f>IFERROR(__xludf.DUMMYFUNCTION("""COMPUTED_VALUE"""),"1250618")</f>
        <v>1250618</v>
      </c>
      <c r="S1375" s="211" t="str">
        <f>IFERROR(__xludf.DUMMYFUNCTION("""COMPUTED_VALUE"""),"785e0e07")</f>
        <v>785e0e07</v>
      </c>
      <c r="T1375" s="211" t="str">
        <f>IFERROR(__xludf.DUMMYFUNCTION("""COMPUTED_VALUE"""),"Bpk. Sukirno (Bejo)")</f>
        <v>Bpk. Sukirno (Bejo)</v>
      </c>
      <c r="U1375" s="215">
        <f>IFERROR(__xludf.DUMMYFUNCTION("""COMPUTED_VALUE"""),45932.407638888886)</f>
        <v>45932.40764</v>
      </c>
      <c r="V1375" s="211" t="str">
        <f>IFERROR(__xludf.DUMMYFUNCTION("""COMPUTED_VALUE"""),"Krajan I, Wringinanom, Kec. Wringinanom, Kabupaten Gresik, Jawa Timur 61176")</f>
        <v>Krajan I, Wringinanom, Kec. Wringinanom, Kabupaten Gresik, Jawa Timur 61176</v>
      </c>
      <c r="W1375" s="211" t="str">
        <f>IFERROR(__xludf.DUMMYFUNCTION("""COMPUTED_VALUE"""),"IN")</f>
        <v>IN</v>
      </c>
      <c r="X1375" s="211"/>
      <c r="Z1375" s="211" t="str">
        <f>IFERROR(__xludf.DUMMYFUNCTION("""COMPUTED_VALUE"""),"09240022")</f>
        <v>09240022</v>
      </c>
      <c r="AL1375" s="211"/>
      <c r="AM1375" s="211"/>
      <c r="AN1375" s="211"/>
      <c r="AO1375" s="211"/>
      <c r="AP1375" s="215"/>
      <c r="AQ1375" s="218"/>
      <c r="AR1375" s="211"/>
    </row>
    <row r="1376">
      <c r="A1376" s="210" t="str">
        <f>IFERROR(__xludf.DUMMYFUNCTION("""COMPUTED_VALUE"""),"07250589")</f>
        <v>07250589</v>
      </c>
      <c r="B1376" s="210" t="str">
        <f>IFERROR(__xludf.DUMMYFUNCTION("""COMPUTED_VALUE"""),"07250589")</f>
        <v>07250589</v>
      </c>
      <c r="C1376" s="213">
        <f>IFERROR(__xludf.DUMMYFUNCTION("""COMPUTED_VALUE"""),45859.47361111111)</f>
        <v>45859.47361</v>
      </c>
      <c r="D1376" s="211" t="str">
        <f>IFERROR(__xludf.DUMMYFUNCTION("""COMPUTED_VALUE"""),"17a8e612")</f>
        <v>17a8e612</v>
      </c>
      <c r="E1376" s="211" t="str">
        <f>IFERROR(__xludf.DUMMYFUNCTION("""COMPUTED_VALUE"""),"Flashtech Machinery")</f>
        <v>Flashtech Machinery</v>
      </c>
      <c r="F1376" s="211" t="str">
        <f>IFERROR(__xludf.DUMMYFUNCTION("""COMPUTED_VALUE"""),"66af7c72")</f>
        <v>66af7c72</v>
      </c>
      <c r="G1376" s="211" t="str">
        <f>IFERROR(__xludf.DUMMYFUNCTION("""COMPUTED_VALUE"""),"Argon 6m3")</f>
        <v>Argon 6m3</v>
      </c>
      <c r="H1376" s="214" t="str">
        <f>IFERROR(__xludf.DUMMYFUNCTION("""COMPUTED_VALUE"""),"OUT")</f>
        <v>OUT</v>
      </c>
      <c r="I1376" s="214" t="str">
        <f>IFERROR(__xludf.DUMMYFUNCTION("""COMPUTED_VALUE"""),"NORMAL")</f>
        <v>NORMAL</v>
      </c>
      <c r="J1376" s="211">
        <f>IFERROR(__xludf.DUMMYFUNCTION("""COMPUTED_VALUE"""),1.0)</f>
        <v>1</v>
      </c>
      <c r="K1376" s="210" t="str">
        <f>IFERROR(__xludf.DUMMYFUNCTION("""COMPUTED_VALUE"""),"12016")</f>
        <v>12016</v>
      </c>
      <c r="L1376" s="211">
        <f>IFERROR(__xludf.DUMMYFUNCTION("""COMPUTED_VALUE"""),195000.0)</f>
        <v>195000</v>
      </c>
      <c r="M1376" s="211"/>
      <c r="N1376" s="211"/>
      <c r="O1376" s="211"/>
      <c r="Q1376" s="210" t="str">
        <f>IFERROR(__xludf.DUMMYFUNCTION("""COMPUTED_VALUE"""),"1250639")</f>
        <v>1250639</v>
      </c>
      <c r="R1376" s="210" t="str">
        <f>IFERROR(__xludf.DUMMYFUNCTION("""COMPUTED_VALUE"""),"1250639")</f>
        <v>1250639</v>
      </c>
      <c r="S1376" s="211" t="str">
        <f>IFERROR(__xludf.DUMMYFUNCTION("""COMPUTED_VALUE"""),"eec2e801")</f>
        <v>eec2e801</v>
      </c>
      <c r="T1376" s="211" t="str">
        <f>IFERROR(__xludf.DUMMYFUNCTION("""COMPUTED_VALUE"""),"Mitra Wood Sejahtera")</f>
        <v>Mitra Wood Sejahtera</v>
      </c>
      <c r="U1376" s="215">
        <f>IFERROR(__xludf.DUMMYFUNCTION("""COMPUTED_VALUE"""),45932.40833333333)</f>
        <v>45932.40833</v>
      </c>
      <c r="V1376" s="211" t="str">
        <f>IFERROR(__xludf.DUMMYFUNCTION("""COMPUTED_VALUE"""),"Jl.cungkling, Jl. Tanggungan, Nanom Kidul, Lebaniwaras, Kec. Wringinanom, Kabupaten Gresik, Jawa Timur 61176")</f>
        <v>Jl.cungkling, Jl. Tanggungan, Nanom Kidul, Lebaniwaras, Kec. Wringinanom, Kabupaten Gresik, Jawa Timur 61176</v>
      </c>
      <c r="W1376" s="211" t="str">
        <f>IFERROR(__xludf.DUMMYFUNCTION("""COMPUTED_VALUE"""),"IN")</f>
        <v>IN</v>
      </c>
      <c r="X1376" s="211"/>
      <c r="Z1376" s="211" t="str">
        <f>IFERROR(__xludf.DUMMYFUNCTION("""COMPUTED_VALUE"""),"09240021")</f>
        <v>09240021</v>
      </c>
      <c r="AL1376" s="211"/>
      <c r="AM1376" s="211"/>
      <c r="AN1376" s="211"/>
      <c r="AO1376" s="211"/>
      <c r="AP1376" s="215"/>
      <c r="AQ1376" s="218"/>
      <c r="AR1376" s="211"/>
    </row>
    <row r="1377">
      <c r="A1377" s="210" t="str">
        <f>IFERROR(__xludf.DUMMYFUNCTION("""COMPUTED_VALUE"""),"3a2456c3")</f>
        <v>3a2456c3</v>
      </c>
      <c r="B1377" s="210" t="str">
        <f>IFERROR(__xludf.DUMMYFUNCTION("""COMPUTED_VALUE"""),"3a2456c3")</f>
        <v>3a2456c3</v>
      </c>
      <c r="C1377" s="213">
        <f>IFERROR(__xludf.DUMMYFUNCTION("""COMPUTED_VALUE"""),45859.47777777778)</f>
        <v>45859.47778</v>
      </c>
      <c r="D1377" s="211" t="str">
        <f>IFERROR(__xludf.DUMMYFUNCTION("""COMPUTED_VALUE"""),"5f23ba17")</f>
        <v>5f23ba17</v>
      </c>
      <c r="E1377" s="211" t="str">
        <f>IFERROR(__xludf.DUMMYFUNCTION("""COMPUTED_VALUE"""),"Bpk. Joko (Gresik)")</f>
        <v>Bpk. Joko (Gresik)</v>
      </c>
      <c r="F1377" s="211" t="str">
        <f>IFERROR(__xludf.DUMMYFUNCTION("""COMPUTED_VALUE"""),"f6aab7a9")</f>
        <v>f6aab7a9</v>
      </c>
      <c r="G1377" s="211" t="str">
        <f>IFERROR(__xludf.DUMMYFUNCTION("""COMPUTED_VALUE"""),"Oksigen 6m3 MR")</f>
        <v>Oksigen 6m3 MR</v>
      </c>
      <c r="H1377" s="214" t="str">
        <f>IFERROR(__xludf.DUMMYFUNCTION("""COMPUTED_VALUE"""),"IN")</f>
        <v>IN</v>
      </c>
      <c r="I1377" s="214" t="str">
        <f>IFERROR(__xludf.DUMMYFUNCTION("""COMPUTED_VALUE"""),"EMPTY")</f>
        <v>EMPTY</v>
      </c>
      <c r="J1377" s="211">
        <f>IFERROR(__xludf.DUMMYFUNCTION("""COMPUTED_VALUE"""),10.0)</f>
        <v>10</v>
      </c>
      <c r="K1377" s="211"/>
      <c r="L1377" s="211">
        <f>IFERROR(__xludf.DUMMYFUNCTION("""COMPUTED_VALUE"""),0.0)</f>
        <v>0</v>
      </c>
      <c r="M1377" s="211"/>
      <c r="N1377" s="211"/>
      <c r="O1377" s="211"/>
      <c r="Q1377" s="210" t="str">
        <f>IFERROR(__xludf.DUMMYFUNCTION("""COMPUTED_VALUE"""),"1250619")</f>
        <v>1250619</v>
      </c>
      <c r="R1377" s="210" t="str">
        <f>IFERROR(__xludf.DUMMYFUNCTION("""COMPUTED_VALUE"""),"1250619")</f>
        <v>1250619</v>
      </c>
      <c r="S1377" s="211" t="str">
        <f>IFERROR(__xludf.DUMMYFUNCTION("""COMPUTED_VALUE"""),"b218b89b")</f>
        <v>b218b89b</v>
      </c>
      <c r="T1377" s="211" t="str">
        <f>IFERROR(__xludf.DUMMYFUNCTION("""COMPUTED_VALUE"""),"PT Harapan Sentosa")</f>
        <v>PT Harapan Sentosa</v>
      </c>
      <c r="U1377" s="215">
        <f>IFERROR(__xludf.DUMMYFUNCTION("""COMPUTED_VALUE"""),45931.45277777778)</f>
        <v>45931.45278</v>
      </c>
      <c r="V1377" s="211" t="str">
        <f>IFERROR(__xludf.DUMMYFUNCTION("""COMPUTED_VALUE"""),"Seketi, Jl. Purboyo II Selatan, RT.02/RW.02, Seketi, Kec. BalongBendo, Kabupaten Sidoarjo, Jawa Timur 61263")</f>
        <v>Seketi, Jl. Purboyo II Selatan, RT.02/RW.02, Seketi, Kec. BalongBendo, Kabupaten Sidoarjo, Jawa Timur 61263</v>
      </c>
      <c r="W1377" s="211" t="str">
        <f>IFERROR(__xludf.DUMMYFUNCTION("""COMPUTED_VALUE"""),"IN")</f>
        <v>IN</v>
      </c>
      <c r="X1377" s="211"/>
      <c r="Z1377" s="211" t="str">
        <f>IFERROR(__xludf.DUMMYFUNCTION("""COMPUTED_VALUE"""),"09240018")</f>
        <v>09240018</v>
      </c>
      <c r="AL1377" s="211"/>
      <c r="AM1377" s="211"/>
      <c r="AN1377" s="211"/>
      <c r="AO1377" s="211"/>
      <c r="AP1377" s="215"/>
      <c r="AQ1377" s="218"/>
      <c r="AR1377" s="211"/>
    </row>
    <row r="1378">
      <c r="A1378" s="210" t="str">
        <f>IFERROR(__xludf.DUMMYFUNCTION("""COMPUTED_VALUE"""),"3a2456c3")</f>
        <v>3a2456c3</v>
      </c>
      <c r="B1378" s="210" t="str">
        <f>IFERROR(__xludf.DUMMYFUNCTION("""COMPUTED_VALUE"""),"3a2456c3")</f>
        <v>3a2456c3</v>
      </c>
      <c r="C1378" s="213">
        <f>IFERROR(__xludf.DUMMYFUNCTION("""COMPUTED_VALUE"""),45859.47777777778)</f>
        <v>45859.47778</v>
      </c>
      <c r="D1378" s="211" t="str">
        <f>IFERROR(__xludf.DUMMYFUNCTION("""COMPUTED_VALUE"""),"5f23ba17")</f>
        <v>5f23ba17</v>
      </c>
      <c r="E1378" s="211" t="str">
        <f>IFERROR(__xludf.DUMMYFUNCTION("""COMPUTED_VALUE"""),"Bpk. Joko (Gresik)")</f>
        <v>Bpk. Joko (Gresik)</v>
      </c>
      <c r="F1378" s="211" t="str">
        <f>IFERROR(__xludf.DUMMYFUNCTION("""COMPUTED_VALUE"""),"439cf836")</f>
        <v>439cf836</v>
      </c>
      <c r="G1378" s="211" t="str">
        <f>IFERROR(__xludf.DUMMYFUNCTION("""COMPUTED_VALUE"""),"Karbondioksida MR")</f>
        <v>Karbondioksida MR</v>
      </c>
      <c r="H1378" s="214" t="str">
        <f>IFERROR(__xludf.DUMMYFUNCTION("""COMPUTED_VALUE"""),"IN")</f>
        <v>IN</v>
      </c>
      <c r="I1378" s="214" t="str">
        <f>IFERROR(__xludf.DUMMYFUNCTION("""COMPUTED_VALUE"""),"EMPTY")</f>
        <v>EMPTY</v>
      </c>
      <c r="J1378" s="211">
        <f>IFERROR(__xludf.DUMMYFUNCTION("""COMPUTED_VALUE"""),1.0)</f>
        <v>1</v>
      </c>
      <c r="K1378" s="211"/>
      <c r="L1378" s="211">
        <f>IFERROR(__xludf.DUMMYFUNCTION("""COMPUTED_VALUE"""),0.0)</f>
        <v>0</v>
      </c>
      <c r="M1378" s="211"/>
      <c r="N1378" s="211"/>
      <c r="O1378" s="211"/>
      <c r="Q1378" s="210" t="str">
        <f>IFERROR(__xludf.DUMMYFUNCTION("""COMPUTED_VALUE"""),"1250587")</f>
        <v>1250587</v>
      </c>
      <c r="R1378" s="210" t="str">
        <f>IFERROR(__xludf.DUMMYFUNCTION("""COMPUTED_VALUE"""),"1250587")</f>
        <v>1250587</v>
      </c>
      <c r="S1378" s="211" t="str">
        <f>IFERROR(__xludf.DUMMYFUNCTION("""COMPUTED_VALUE"""),"3bcd7fe6")</f>
        <v>3bcd7fe6</v>
      </c>
      <c r="T1378" s="211" t="str">
        <f>IFERROR(__xludf.DUMMYFUNCTION("""COMPUTED_VALUE"""),"Bpk. Alvin (LB Group)")</f>
        <v>Bpk. Alvin (LB Group)</v>
      </c>
      <c r="U1378" s="215">
        <f>IFERROR(__xludf.DUMMYFUNCTION("""COMPUTED_VALUE"""),45932.40972222222)</f>
        <v>45932.40972</v>
      </c>
      <c r="V1378" s="211" t="str">
        <f>IFERROR(__xludf.DUMMYFUNCTION("""COMPUTED_VALUE"""),"MFF9+XHC, Jalan, Tambakrejo, Temuireng, Kec. Dawar Blandong, Kabupaten Mojokerto, Jawa Timur 61354")</f>
        <v>MFF9+XHC, Jalan, Tambakrejo, Temuireng, Kec. Dawar Blandong, Kabupaten Mojokerto, Jawa Timur 61354</v>
      </c>
      <c r="W1378" s="211" t="str">
        <f>IFERROR(__xludf.DUMMYFUNCTION("""COMPUTED_VALUE"""),"IN")</f>
        <v>IN</v>
      </c>
      <c r="X1378" s="211"/>
      <c r="Z1378" s="211" t="str">
        <f>IFERROR(__xludf.DUMMYFUNCTION("""COMPUTED_VALUE"""),"09240017")</f>
        <v>09240017</v>
      </c>
      <c r="AL1378" s="211"/>
      <c r="AM1378" s="211"/>
      <c r="AN1378" s="211"/>
      <c r="AO1378" s="211"/>
      <c r="AP1378" s="215"/>
      <c r="AQ1378" s="218"/>
      <c r="AR1378" s="211"/>
    </row>
    <row r="1379">
      <c r="A1379" s="210" t="str">
        <f>IFERROR(__xludf.DUMMYFUNCTION("""COMPUTED_VALUE"""),"a98ec2eb")</f>
        <v>a98ec2eb</v>
      </c>
      <c r="B1379" s="210" t="str">
        <f>IFERROR(__xludf.DUMMYFUNCTION("""COMPUTED_VALUE"""),"a98ec2eb")</f>
        <v>a98ec2eb</v>
      </c>
      <c r="C1379" s="213">
        <f>IFERROR(__xludf.DUMMYFUNCTION("""COMPUTED_VALUE"""),45859.478472222225)</f>
        <v>45859.47847</v>
      </c>
      <c r="D1379" s="211" t="str">
        <f>IFERROR(__xludf.DUMMYFUNCTION("""COMPUTED_VALUE"""),"b2b5f2c5")</f>
        <v>b2b5f2c5</v>
      </c>
      <c r="E1379" s="211" t="str">
        <f>IFERROR(__xludf.DUMMYFUNCTION("""COMPUTED_VALUE"""),"Bengkel Las Bpk. Ari")</f>
        <v>Bengkel Las Bpk. Ari</v>
      </c>
      <c r="F1379" s="211" t="str">
        <f>IFERROR(__xludf.DUMMYFUNCTION("""COMPUTED_VALUE"""),"8bdbe149")</f>
        <v>8bdbe149</v>
      </c>
      <c r="G1379" s="211" t="str">
        <f>IFERROR(__xludf.DUMMYFUNCTION("""COMPUTED_VALUE"""),"Oksigen 6m3")</f>
        <v>Oksigen 6m3</v>
      </c>
      <c r="H1379" s="214" t="str">
        <f>IFERROR(__xludf.DUMMYFUNCTION("""COMPUTED_VALUE"""),"IN")</f>
        <v>IN</v>
      </c>
      <c r="I1379" s="214" t="str">
        <f>IFERROR(__xludf.DUMMYFUNCTION("""COMPUTED_VALUE"""),"EMPTY")</f>
        <v>EMPTY</v>
      </c>
      <c r="J1379" s="211">
        <f>IFERROR(__xludf.DUMMYFUNCTION("""COMPUTED_VALUE"""),4.0)</f>
        <v>4</v>
      </c>
      <c r="K1379" s="210" t="str">
        <f>IFERROR(__xludf.DUMMYFUNCTION("""COMPUTED_VALUE"""),"1127 1163 11191 1113")</f>
        <v>1127 1163 11191 1113</v>
      </c>
      <c r="L1379" s="211">
        <f>IFERROR(__xludf.DUMMYFUNCTION("""COMPUTED_VALUE"""),0.0)</f>
        <v>0</v>
      </c>
      <c r="M1379" s="211"/>
      <c r="N1379" s="211"/>
      <c r="O1379" s="211"/>
      <c r="Q1379" s="210" t="str">
        <f>IFERROR(__xludf.DUMMYFUNCTION("""COMPUTED_VALUE"""),"1250641")</f>
        <v>1250641</v>
      </c>
      <c r="R1379" s="210" t="str">
        <f>IFERROR(__xludf.DUMMYFUNCTION("""COMPUTED_VALUE"""),"1250641")</f>
        <v>1250641</v>
      </c>
      <c r="S1379" s="211" t="str">
        <f>IFERROR(__xludf.DUMMYFUNCTION("""COMPUTED_VALUE"""),"e86baf3b")</f>
        <v>e86baf3b</v>
      </c>
      <c r="T1379" s="211" t="str">
        <f>IFERROR(__xludf.DUMMYFUNCTION("""COMPUTED_VALUE"""),"PT GEMILANG CIPTA WAWASAN")</f>
        <v>PT GEMILANG CIPTA WAWASAN</v>
      </c>
      <c r="U1379" s="215">
        <f>IFERROR(__xludf.DUMMYFUNCTION("""COMPUTED_VALUE"""),45931.41111111111)</f>
        <v>45931.41111</v>
      </c>
      <c r="V1379" s="211" t="str">
        <f>IFERROR(__xludf.DUMMYFUNCTION("""COMPUTED_VALUE"""),"JL TEBET RAYA, 2A, TEBET BARAT, TEBET, KOTA ADM, JAKARTA SELATAN, DKI JAKARTA")</f>
        <v>JL TEBET RAYA, 2A, TEBET BARAT, TEBET, KOTA ADM, JAKARTA SELATAN, DKI JAKARTA</v>
      </c>
      <c r="W1379" s="211" t="str">
        <f>IFERROR(__xludf.DUMMYFUNCTION("""COMPUTED_VALUE"""),"IN")</f>
        <v>IN</v>
      </c>
      <c r="X1379" s="211"/>
      <c r="Z1379" s="211" t="str">
        <f>IFERROR(__xludf.DUMMYFUNCTION("""COMPUTED_VALUE"""),"09240015")</f>
        <v>09240015</v>
      </c>
      <c r="AL1379" s="211"/>
      <c r="AM1379" s="211"/>
      <c r="AN1379" s="211"/>
      <c r="AO1379" s="211"/>
      <c r="AP1379" s="215"/>
      <c r="AQ1379" s="218"/>
      <c r="AR1379" s="211"/>
    </row>
    <row r="1380">
      <c r="A1380" s="210" t="str">
        <f>IFERROR(__xludf.DUMMYFUNCTION("""COMPUTED_VALUE"""),"849d7a3f")</f>
        <v>849d7a3f</v>
      </c>
      <c r="B1380" s="210" t="str">
        <f>IFERROR(__xludf.DUMMYFUNCTION("""COMPUTED_VALUE"""),"849d7a3f")</f>
        <v>849d7a3f</v>
      </c>
      <c r="C1380" s="213">
        <f>IFERROR(__xludf.DUMMYFUNCTION("""COMPUTED_VALUE"""),45859.49236111111)</f>
        <v>45859.49236</v>
      </c>
      <c r="D1380" s="211" t="str">
        <f>IFERROR(__xludf.DUMMYFUNCTION("""COMPUTED_VALUE"""),"17a8e612")</f>
        <v>17a8e612</v>
      </c>
      <c r="E1380" s="211" t="str">
        <f>IFERROR(__xludf.DUMMYFUNCTION("""COMPUTED_VALUE"""),"Flashtech Machinery")</f>
        <v>Flashtech Machinery</v>
      </c>
      <c r="F1380" s="211" t="str">
        <f>IFERROR(__xludf.DUMMYFUNCTION("""COMPUTED_VALUE"""),"7d2764f1")</f>
        <v>7d2764f1</v>
      </c>
      <c r="G1380" s="211" t="str">
        <f>IFERROR(__xludf.DUMMYFUNCTION("""COMPUTED_VALUE"""),"Oksigen 7m3")</f>
        <v>Oksigen 7m3</v>
      </c>
      <c r="H1380" s="214" t="str">
        <f>IFERROR(__xludf.DUMMYFUNCTION("""COMPUTED_VALUE"""),"IN")</f>
        <v>IN</v>
      </c>
      <c r="I1380" s="214" t="str">
        <f>IFERROR(__xludf.DUMMYFUNCTION("""COMPUTED_VALUE"""),"EMPTY")</f>
        <v>EMPTY</v>
      </c>
      <c r="J1380" s="211">
        <f>IFERROR(__xludf.DUMMYFUNCTION("""COMPUTED_VALUE"""),2.0)</f>
        <v>2</v>
      </c>
      <c r="K1380" s="210" t="str">
        <f>IFERROR(__xludf.DUMMYFUNCTION("""COMPUTED_VALUE"""),"11228 11216")</f>
        <v>11228 11216</v>
      </c>
      <c r="L1380" s="211">
        <f>IFERROR(__xludf.DUMMYFUNCTION("""COMPUTED_VALUE"""),0.0)</f>
        <v>0</v>
      </c>
      <c r="M1380" s="211"/>
      <c r="N1380" s="211"/>
      <c r="O1380" s="211"/>
      <c r="Q1380" s="210" t="str">
        <f>IFERROR(__xludf.DUMMYFUNCTION("""COMPUTED_VALUE"""),"1250642")</f>
        <v>1250642</v>
      </c>
      <c r="R1380" s="210" t="str">
        <f>IFERROR(__xludf.DUMMYFUNCTION("""COMPUTED_VALUE"""),"1250642")</f>
        <v>1250642</v>
      </c>
      <c r="S1380" s="211" t="str">
        <f>IFERROR(__xludf.DUMMYFUNCTION("""COMPUTED_VALUE"""),"01158be1")</f>
        <v>01158be1</v>
      </c>
      <c r="T1380" s="211" t="str">
        <f>IFERROR(__xludf.DUMMYFUNCTION("""COMPUTED_VALUE"""),"GYF")</f>
        <v>GYF</v>
      </c>
      <c r="U1380" s="215">
        <f>IFERROR(__xludf.DUMMYFUNCTION("""COMPUTED_VALUE"""),45932.413194444445)</f>
        <v>45932.41319</v>
      </c>
      <c r="V1380" s="211" t="str">
        <f>IFERROR(__xludf.DUMMYFUNCTION("""COMPUTED_VALUE"""),"Kangkungan, Lengkong, Kec. Mojoanyar, Kabupaten Mojokerto, Jawa Timur")</f>
        <v>Kangkungan, Lengkong, Kec. Mojoanyar, Kabupaten Mojokerto, Jawa Timur</v>
      </c>
      <c r="W1380" s="211" t="str">
        <f>IFERROR(__xludf.DUMMYFUNCTION("""COMPUTED_VALUE"""),"IN")</f>
        <v>IN</v>
      </c>
      <c r="X1380" s="211"/>
      <c r="Z1380" s="211" t="str">
        <f>IFERROR(__xludf.DUMMYFUNCTION("""COMPUTED_VALUE"""),"09240014")</f>
        <v>09240014</v>
      </c>
      <c r="AL1380" s="211"/>
      <c r="AM1380" s="211"/>
      <c r="AN1380" s="211"/>
      <c r="AO1380" s="211"/>
      <c r="AP1380" s="215"/>
      <c r="AQ1380" s="218"/>
      <c r="AR1380" s="211"/>
    </row>
    <row r="1381">
      <c r="A1381" s="210" t="str">
        <f>IFERROR(__xludf.DUMMYFUNCTION("""COMPUTED_VALUE"""),"a4f29488")</f>
        <v>a4f29488</v>
      </c>
      <c r="B1381" s="210" t="str">
        <f>IFERROR(__xludf.DUMMYFUNCTION("""COMPUTED_VALUE"""),"a4f29488")</f>
        <v>a4f29488</v>
      </c>
      <c r="C1381" s="213">
        <f>IFERROR(__xludf.DUMMYFUNCTION("""COMPUTED_VALUE"""),45859.535416666666)</f>
        <v>45859.53542</v>
      </c>
      <c r="D1381" s="211" t="str">
        <f>IFERROR(__xludf.DUMMYFUNCTION("""COMPUTED_VALUE"""),"182fb0fe")</f>
        <v>182fb0fe</v>
      </c>
      <c r="E1381" s="211" t="str">
        <f>IFERROR(__xludf.DUMMYFUNCTION("""COMPUTED_VALUE"""),"PT Amtech")</f>
        <v>PT Amtech</v>
      </c>
      <c r="F1381" s="211" t="str">
        <f>IFERROR(__xludf.DUMMYFUNCTION("""COMPUTED_VALUE"""),"8bdbe149")</f>
        <v>8bdbe149</v>
      </c>
      <c r="G1381" s="211" t="str">
        <f>IFERROR(__xludf.DUMMYFUNCTION("""COMPUTED_VALUE"""),"Oksigen 6m3")</f>
        <v>Oksigen 6m3</v>
      </c>
      <c r="H1381" s="214" t="str">
        <f>IFERROR(__xludf.DUMMYFUNCTION("""COMPUTED_VALUE"""),"IN")</f>
        <v>IN</v>
      </c>
      <c r="I1381" s="214" t="str">
        <f>IFERROR(__xludf.DUMMYFUNCTION("""COMPUTED_VALUE"""),"EMPTY")</f>
        <v>EMPTY</v>
      </c>
      <c r="J1381" s="211">
        <f>IFERROR(__xludf.DUMMYFUNCTION("""COMPUTED_VALUE"""),6.0)</f>
        <v>6</v>
      </c>
      <c r="K1381" s="210" t="str">
        <f>IFERROR(__xludf.DUMMYFUNCTION("""COMPUTED_VALUE"""),"11234 11165 1150 1199 11228 12")</f>
        <v>11234 11165 1150 1199 11228 12</v>
      </c>
      <c r="L1381" s="211">
        <f>IFERROR(__xludf.DUMMYFUNCTION("""COMPUTED_VALUE"""),0.0)</f>
        <v>0</v>
      </c>
      <c r="M1381" s="211"/>
      <c r="N1381" s="211"/>
      <c r="O1381" s="211"/>
      <c r="Q1381" s="210" t="str">
        <f>IFERROR(__xludf.DUMMYFUNCTION("""COMPUTED_VALUE"""),"1250644")</f>
        <v>1250644</v>
      </c>
      <c r="R1381" s="210" t="str">
        <f>IFERROR(__xludf.DUMMYFUNCTION("""COMPUTED_VALUE"""),"1250644")</f>
        <v>1250644</v>
      </c>
      <c r="S1381" s="211" t="str">
        <f>IFERROR(__xludf.DUMMYFUNCTION("""COMPUTED_VALUE"""),"7b9d8eba")</f>
        <v>7b9d8eba</v>
      </c>
      <c r="T1381" s="211" t="str">
        <f>IFERROR(__xludf.DUMMYFUNCTION("""COMPUTED_VALUE"""),"PT PELANGI INDOKARYA")</f>
        <v>PT PELANGI INDOKARYA</v>
      </c>
      <c r="U1381" s="215">
        <f>IFERROR(__xludf.DUMMYFUNCTION("""COMPUTED_VALUE"""),45933.469351851854)</f>
        <v>45933.46935</v>
      </c>
      <c r="V138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381" s="211" t="str">
        <f>IFERROR(__xludf.DUMMYFUNCTION("""COMPUTED_VALUE"""),"IN")</f>
        <v>IN</v>
      </c>
      <c r="X1381" s="211"/>
      <c r="Z1381" s="211" t="str">
        <f>IFERROR(__xludf.DUMMYFUNCTION("""COMPUTED_VALUE"""),"09240012")</f>
        <v>09240012</v>
      </c>
      <c r="AL1381" s="211"/>
      <c r="AM1381" s="211"/>
      <c r="AN1381" s="211"/>
      <c r="AO1381" s="211"/>
      <c r="AP1381" s="215"/>
      <c r="AQ1381" s="218"/>
      <c r="AR1381" s="211"/>
    </row>
    <row r="1382">
      <c r="A1382" s="210" t="str">
        <f>IFERROR(__xludf.DUMMYFUNCTION("""COMPUTED_VALUE"""),"a4f29488")</f>
        <v>a4f29488</v>
      </c>
      <c r="B1382" s="210" t="str">
        <f>IFERROR(__xludf.DUMMYFUNCTION("""COMPUTED_VALUE"""),"a4f29488")</f>
        <v>a4f29488</v>
      </c>
      <c r="C1382" s="213">
        <f>IFERROR(__xludf.DUMMYFUNCTION("""COMPUTED_VALUE"""),45859.53611111111)</f>
        <v>45859.53611</v>
      </c>
      <c r="D1382" s="211" t="str">
        <f>IFERROR(__xludf.DUMMYFUNCTION("""COMPUTED_VALUE"""),"182fb0fe")</f>
        <v>182fb0fe</v>
      </c>
      <c r="E1382" s="211" t="str">
        <f>IFERROR(__xludf.DUMMYFUNCTION("""COMPUTED_VALUE"""),"PT Amtech")</f>
        <v>PT Amtech</v>
      </c>
      <c r="F1382" s="211" t="str">
        <f>IFERROR(__xludf.DUMMYFUNCTION("""COMPUTED_VALUE"""),"66af7c72")</f>
        <v>66af7c72</v>
      </c>
      <c r="G1382" s="211" t="str">
        <f>IFERROR(__xludf.DUMMYFUNCTION("""COMPUTED_VALUE"""),"Argon 6m3")</f>
        <v>Argon 6m3</v>
      </c>
      <c r="H1382" s="214" t="str">
        <f>IFERROR(__xludf.DUMMYFUNCTION("""COMPUTED_VALUE"""),"IN")</f>
        <v>IN</v>
      </c>
      <c r="I1382" s="214" t="str">
        <f>IFERROR(__xludf.DUMMYFUNCTION("""COMPUTED_VALUE"""),"EMPTY")</f>
        <v>EMPTY</v>
      </c>
      <c r="J1382" s="211">
        <f>IFERROR(__xludf.DUMMYFUNCTION("""COMPUTED_VALUE"""),6.0)</f>
        <v>6</v>
      </c>
      <c r="K1382" s="210" t="str">
        <f>IFERROR(__xludf.DUMMYFUNCTION("""COMPUTED_VALUE"""),"12048 12045 12049 12034 12003 12024")</f>
        <v>12048 12045 12049 12034 12003 12024</v>
      </c>
      <c r="L1382" s="211">
        <f>IFERROR(__xludf.DUMMYFUNCTION("""COMPUTED_VALUE"""),0.0)</f>
        <v>0</v>
      </c>
      <c r="M1382" s="211"/>
      <c r="N1382" s="211"/>
      <c r="O1382" s="211"/>
      <c r="Q1382" s="210" t="str">
        <f>IFERROR(__xludf.DUMMYFUNCTION("""COMPUTED_VALUE"""),"1250643")</f>
        <v>1250643</v>
      </c>
      <c r="R1382" s="210" t="str">
        <f>IFERROR(__xludf.DUMMYFUNCTION("""COMPUTED_VALUE"""),"1250643")</f>
        <v>1250643</v>
      </c>
      <c r="S1382" s="211" t="str">
        <f>IFERROR(__xludf.DUMMYFUNCTION("""COMPUTED_VALUE"""),"2d88931c")</f>
        <v>2d88931c</v>
      </c>
      <c r="T1382" s="211" t="str">
        <f>IFERROR(__xludf.DUMMYFUNCTION("""COMPUTED_VALUE"""),"PT Dunia Berkat Marga Mulya")</f>
        <v>PT Dunia Berkat Marga Mulya</v>
      </c>
      <c r="U1382" s="215">
        <f>IFERROR(__xludf.DUMMYFUNCTION("""COMPUTED_VALUE"""),45933.47009259259)</f>
        <v>45933.47009</v>
      </c>
      <c r="V1382" s="211" t="str">
        <f>IFERROR(__xludf.DUMMYFUNCTION("""COMPUTED_VALUE"""),"JL JABARAN, WATESARI, BALONGBENDO, SIDOARJO, JAWA TIMUR")</f>
        <v>JL JABARAN, WATESARI, BALONGBENDO, SIDOARJO, JAWA TIMUR</v>
      </c>
      <c r="W1382" s="211" t="str">
        <f>IFERROR(__xludf.DUMMYFUNCTION("""COMPUTED_VALUE"""),"IN")</f>
        <v>IN</v>
      </c>
      <c r="X1382" s="211"/>
      <c r="Z1382" s="211" t="str">
        <f>IFERROR(__xludf.DUMMYFUNCTION("""COMPUTED_VALUE"""),"09240011")</f>
        <v>09240011</v>
      </c>
      <c r="AL1382" s="211"/>
      <c r="AM1382" s="211"/>
      <c r="AN1382" s="211"/>
      <c r="AO1382" s="211"/>
      <c r="AP1382" s="215"/>
      <c r="AQ1382" s="218"/>
      <c r="AR1382" s="211"/>
    </row>
    <row r="1383">
      <c r="A1383" s="210" t="str">
        <f>IFERROR(__xludf.DUMMYFUNCTION("""COMPUTED_VALUE"""),"c1511cfa")</f>
        <v>c1511cfa</v>
      </c>
      <c r="B1383" s="210" t="str">
        <f>IFERROR(__xludf.DUMMYFUNCTION("""COMPUTED_VALUE"""),"c1511cfa")</f>
        <v>c1511cfa</v>
      </c>
      <c r="C1383" s="213">
        <f>IFERROR(__xludf.DUMMYFUNCTION("""COMPUTED_VALUE"""),45859.54027777778)</f>
        <v>45859.54028</v>
      </c>
      <c r="D1383" s="211" t="str">
        <f>IFERROR(__xludf.DUMMYFUNCTION("""COMPUTED_VALUE"""),"196b24da")</f>
        <v>196b24da</v>
      </c>
      <c r="E1383" s="211" t="str">
        <f>IFERROR(__xludf.DUMMYFUNCTION("""COMPUTED_VALUE"""),"PT Samudra Cipta Enjineering")</f>
        <v>PT Samudra Cipta Enjineering</v>
      </c>
      <c r="F1383" s="211" t="str">
        <f>IFERROR(__xludf.DUMMYFUNCTION("""COMPUTED_VALUE"""),"b7a8fff1")</f>
        <v>b7a8fff1</v>
      </c>
      <c r="G1383" s="211" t="str">
        <f>IFERROR(__xludf.DUMMYFUNCTION("""COMPUTED_VALUE"""),"LPG 50kg")</f>
        <v>LPG 50kg</v>
      </c>
      <c r="H1383" s="214" t="str">
        <f>IFERROR(__xludf.DUMMYFUNCTION("""COMPUTED_VALUE"""),"IN")</f>
        <v>IN</v>
      </c>
      <c r="I1383" s="214" t="str">
        <f>IFERROR(__xludf.DUMMYFUNCTION("""COMPUTED_VALUE"""),"EMPTY")</f>
        <v>EMPTY</v>
      </c>
      <c r="J1383" s="211">
        <f>IFERROR(__xludf.DUMMYFUNCTION("""COMPUTED_VALUE"""),2.0)</f>
        <v>2</v>
      </c>
      <c r="K1383" s="211"/>
      <c r="L1383" s="211">
        <f>IFERROR(__xludf.DUMMYFUNCTION("""COMPUTED_VALUE"""),0.0)</f>
        <v>0</v>
      </c>
      <c r="M1383" s="211"/>
      <c r="N1383" s="211"/>
      <c r="O1383" s="211"/>
      <c r="Q1383" s="210" t="str">
        <f>IFERROR(__xludf.DUMMYFUNCTION("""COMPUTED_VALUE"""),"1025131370")</f>
        <v>1025131370</v>
      </c>
      <c r="R1383" s="210" t="str">
        <f>IFERROR(__xludf.DUMMYFUNCTION("""COMPUTED_VALUE"""),"1025131370")</f>
        <v>1025131370</v>
      </c>
      <c r="S1383" s="211" t="str">
        <f>IFERROR(__xludf.DUMMYFUNCTION("""COMPUTED_VALUE"""),"e968afef")</f>
        <v>e968afef</v>
      </c>
      <c r="T1383" s="211" t="str">
        <f>IFERROR(__xludf.DUMMYFUNCTION("""COMPUTED_VALUE"""),"Bpk. Agus")</f>
        <v>Bpk. Agus</v>
      </c>
      <c r="U1383" s="215">
        <f>IFERROR(__xludf.DUMMYFUNCTION("""COMPUTED_VALUE"""),45933.54539351852)</f>
        <v>45933.54539</v>
      </c>
      <c r="V1383" s="211" t="str">
        <f>IFERROR(__xludf.DUMMYFUNCTION("""COMPUTED_VALUE"""),"Jl. Parengan 13, Semawut, Balongbendo, Kec. BalongBendo, Kabupaten Sidoarjo, Jawa Timur 61263")</f>
        <v>Jl. Parengan 13, Semawut, Balongbendo, Kec. BalongBendo, Kabupaten Sidoarjo, Jawa Timur 61263</v>
      </c>
      <c r="W1383" s="211" t="str">
        <f>IFERROR(__xludf.DUMMYFUNCTION("""COMPUTED_VALUE"""),"OUT")</f>
        <v>OUT</v>
      </c>
      <c r="X1383" s="211"/>
      <c r="Z1383" s="211" t="str">
        <f>IFERROR(__xludf.DUMMYFUNCTION("""COMPUTED_VALUE"""),"09240010")</f>
        <v>09240010</v>
      </c>
      <c r="AL1383" s="211"/>
      <c r="AM1383" s="211"/>
      <c r="AN1383" s="211"/>
      <c r="AO1383" s="211"/>
      <c r="AP1383" s="215"/>
      <c r="AQ1383" s="218"/>
      <c r="AR1383" s="211"/>
    </row>
    <row r="1384">
      <c r="A1384" s="210" t="str">
        <f>IFERROR(__xludf.DUMMYFUNCTION("""COMPUTED_VALUE"""),"07250591")</f>
        <v>07250591</v>
      </c>
      <c r="B1384" s="210" t="str">
        <f>IFERROR(__xludf.DUMMYFUNCTION("""COMPUTED_VALUE"""),"07250591")</f>
        <v>07250591</v>
      </c>
      <c r="C1384" s="213">
        <f>IFERROR(__xludf.DUMMYFUNCTION("""COMPUTED_VALUE"""),45860.339583333334)</f>
        <v>45860.33958</v>
      </c>
      <c r="D1384" s="211" t="str">
        <f>IFERROR(__xludf.DUMMYFUNCTION("""COMPUTED_VALUE"""),"5f23ba17")</f>
        <v>5f23ba17</v>
      </c>
      <c r="E1384" s="211" t="str">
        <f>IFERROR(__xludf.DUMMYFUNCTION("""COMPUTED_VALUE"""),"Bpk. Joko (Gresik)")</f>
        <v>Bpk. Joko (Gresik)</v>
      </c>
      <c r="F1384" s="211" t="str">
        <f>IFERROR(__xludf.DUMMYFUNCTION("""COMPUTED_VALUE"""),"f6aab7a9")</f>
        <v>f6aab7a9</v>
      </c>
      <c r="G1384" s="211" t="str">
        <f>IFERROR(__xludf.DUMMYFUNCTION("""COMPUTED_VALUE"""),"Oksigen 6m3 MR")</f>
        <v>Oksigen 6m3 MR</v>
      </c>
      <c r="H1384" s="214" t="str">
        <f>IFERROR(__xludf.DUMMYFUNCTION("""COMPUTED_VALUE"""),"OUT")</f>
        <v>OUT</v>
      </c>
      <c r="I1384" s="214" t="str">
        <f>IFERROR(__xludf.DUMMYFUNCTION("""COMPUTED_VALUE"""),"NORMAL")</f>
        <v>NORMAL</v>
      </c>
      <c r="J1384" s="211">
        <f>IFERROR(__xludf.DUMMYFUNCTION("""COMPUTED_VALUE"""),10.0)</f>
        <v>10</v>
      </c>
      <c r="K1384" s="211"/>
      <c r="L1384" s="211">
        <f>IFERROR(__xludf.DUMMYFUNCTION("""COMPUTED_VALUE"""),55000.0)</f>
        <v>55000</v>
      </c>
      <c r="M1384" s="211"/>
      <c r="N1384" s="211"/>
      <c r="O1384" s="211"/>
      <c r="Q1384" s="210" t="str">
        <f>IFERROR(__xludf.DUMMYFUNCTION("""COMPUTED_VALUE"""),"102511384")</f>
        <v>102511384</v>
      </c>
      <c r="R1384" s="210" t="str">
        <f>IFERROR(__xludf.DUMMYFUNCTION("""COMPUTED_VALUE"""),"102511384")</f>
        <v>102511384</v>
      </c>
      <c r="S1384" s="211" t="str">
        <f>IFERROR(__xludf.DUMMYFUNCTION("""COMPUTED_VALUE"""),"4558672e")</f>
        <v>4558672e</v>
      </c>
      <c r="T1384" s="211" t="str">
        <f>IFERROR(__xludf.DUMMYFUNCTION("""COMPUTED_VALUE"""),"Sumargiono")</f>
        <v>Sumargiono</v>
      </c>
      <c r="U1384" s="215">
        <f>IFERROR(__xludf.DUMMYFUNCTION("""COMPUTED_VALUE"""),45934.40032407407)</f>
        <v>45934.40032</v>
      </c>
      <c r="V1384" s="211" t="str">
        <f>IFERROR(__xludf.DUMMYFUNCTION("""COMPUTED_VALUE"""),"Balongbendo, RT 04 RW 02 Balongbendo, Balongbendo")</f>
        <v>Balongbendo, RT 04 RW 02 Balongbendo, Balongbendo</v>
      </c>
      <c r="W1384" s="211" t="str">
        <f>IFERROR(__xludf.DUMMYFUNCTION("""COMPUTED_VALUE"""),"OUT")</f>
        <v>OUT</v>
      </c>
      <c r="X1384" s="211"/>
      <c r="Z1384" s="211" t="str">
        <f>IFERROR(__xludf.DUMMYFUNCTION("""COMPUTED_VALUE"""),"09240008")</f>
        <v>09240008</v>
      </c>
      <c r="AL1384" s="211"/>
      <c r="AM1384" s="211"/>
      <c r="AN1384" s="211"/>
      <c r="AO1384" s="211"/>
      <c r="AP1384" s="215"/>
      <c r="AQ1384" s="218"/>
      <c r="AR1384" s="211"/>
    </row>
    <row r="1385">
      <c r="A1385" s="210" t="str">
        <f>IFERROR(__xludf.DUMMYFUNCTION("""COMPUTED_VALUE"""),"07250591")</f>
        <v>07250591</v>
      </c>
      <c r="B1385" s="210" t="str">
        <f>IFERROR(__xludf.DUMMYFUNCTION("""COMPUTED_VALUE"""),"07250591")</f>
        <v>07250591</v>
      </c>
      <c r="C1385" s="213">
        <f>IFERROR(__xludf.DUMMYFUNCTION("""COMPUTED_VALUE"""),45860.34027777778)</f>
        <v>45860.34028</v>
      </c>
      <c r="D1385" s="211" t="str">
        <f>IFERROR(__xludf.DUMMYFUNCTION("""COMPUTED_VALUE"""),"5f23ba17")</f>
        <v>5f23ba17</v>
      </c>
      <c r="E1385" s="211" t="str">
        <f>IFERROR(__xludf.DUMMYFUNCTION("""COMPUTED_VALUE"""),"Bpk. Joko (Gresik)")</f>
        <v>Bpk. Joko (Gresik)</v>
      </c>
      <c r="F1385" s="211" t="str">
        <f>IFERROR(__xludf.DUMMYFUNCTION("""COMPUTED_VALUE"""),"439cf836")</f>
        <v>439cf836</v>
      </c>
      <c r="G1385" s="211" t="str">
        <f>IFERROR(__xludf.DUMMYFUNCTION("""COMPUTED_VALUE"""),"Karbondioksida MR")</f>
        <v>Karbondioksida MR</v>
      </c>
      <c r="H1385" s="214" t="str">
        <f>IFERROR(__xludf.DUMMYFUNCTION("""COMPUTED_VALUE"""),"OUT")</f>
        <v>OUT</v>
      </c>
      <c r="I1385" s="214" t="str">
        <f>IFERROR(__xludf.DUMMYFUNCTION("""COMPUTED_VALUE"""),"NORMAL")</f>
        <v>NORMAL</v>
      </c>
      <c r="J1385" s="211">
        <f>IFERROR(__xludf.DUMMYFUNCTION("""COMPUTED_VALUE"""),1.0)</f>
        <v>1</v>
      </c>
      <c r="K1385" s="211"/>
      <c r="L1385" s="211">
        <f>IFERROR(__xludf.DUMMYFUNCTION("""COMPUTED_VALUE"""),160000.0)</f>
        <v>160000</v>
      </c>
      <c r="M1385" s="211"/>
      <c r="N1385" s="211"/>
      <c r="O1385" s="211"/>
      <c r="Q1385" s="210" t="str">
        <f>IFERROR(__xludf.DUMMYFUNCTION("""COMPUTED_VALUE"""),"1025221385")</f>
        <v>1025221385</v>
      </c>
      <c r="R1385" s="210" t="str">
        <f>IFERROR(__xludf.DUMMYFUNCTION("""COMPUTED_VALUE"""),"1025221385")</f>
        <v>1025221385</v>
      </c>
      <c r="S1385" s="211" t="str">
        <f>IFERROR(__xludf.DUMMYFUNCTION("""COMPUTED_VALUE"""),"ec231cc9")</f>
        <v>ec231cc9</v>
      </c>
      <c r="T1385" s="211" t="str">
        <f>IFERROR(__xludf.DUMMYFUNCTION("""COMPUTED_VALUE"""),"Bpk. Kohir (Maintenance Velg)")</f>
        <v>Bpk. Kohir (Maintenance Velg)</v>
      </c>
      <c r="U1385" s="215">
        <f>IFERROR(__xludf.DUMMYFUNCTION("""COMPUTED_VALUE"""),45934.403958333336)</f>
        <v>45934.40396</v>
      </c>
      <c r="V1385" s="211" t="str">
        <f>IFERROR(__xludf.DUMMYFUNCTION("""COMPUTED_VALUE"""),"Jl. Lkr. Bypass Krian Timur, Sidogolong, Watugolong, Kec. Krian, Kabupaten Sidoarjo, Jawa Timur 61262")</f>
        <v>Jl. Lkr. Bypass Krian Timur, Sidogolong, Watugolong, Kec. Krian, Kabupaten Sidoarjo, Jawa Timur 61262</v>
      </c>
      <c r="W1385" s="211" t="str">
        <f>IFERROR(__xludf.DUMMYFUNCTION("""COMPUTED_VALUE"""),"OUT")</f>
        <v>OUT</v>
      </c>
      <c r="X1385" s="211"/>
      <c r="Z1385" s="211" t="str">
        <f>IFERROR(__xludf.DUMMYFUNCTION("""COMPUTED_VALUE"""),"08240007")</f>
        <v>08240007</v>
      </c>
      <c r="AL1385" s="211"/>
      <c r="AM1385" s="211"/>
      <c r="AN1385" s="211"/>
      <c r="AO1385" s="211"/>
      <c r="AP1385" s="215"/>
      <c r="AQ1385" s="218"/>
      <c r="AR1385" s="211"/>
    </row>
    <row r="1386">
      <c r="A1386" s="210" t="str">
        <f>IFERROR(__xludf.DUMMYFUNCTION("""COMPUTED_VALUE"""),"07250593")</f>
        <v>07250593</v>
      </c>
      <c r="B1386" s="210" t="str">
        <f>IFERROR(__xludf.DUMMYFUNCTION("""COMPUTED_VALUE"""),"07250593")</f>
        <v>07250593</v>
      </c>
      <c r="C1386" s="213">
        <f>IFERROR(__xludf.DUMMYFUNCTION("""COMPUTED_VALUE"""),45859.691666666666)</f>
        <v>45859.69167</v>
      </c>
      <c r="D1386" s="211" t="str">
        <f>IFERROR(__xludf.DUMMYFUNCTION("""COMPUTED_VALUE"""),"d78b2eaf")</f>
        <v>d78b2eaf</v>
      </c>
      <c r="E1386" s="211" t="str">
        <f>IFERROR(__xludf.DUMMYFUNCTION("""COMPUTED_VALUE"""),"PT Sinar Indogreen Kencana")</f>
        <v>PT Sinar Indogreen Kencana</v>
      </c>
      <c r="F1386" s="211" t="str">
        <f>IFERROR(__xludf.DUMMYFUNCTION("""COMPUTED_VALUE"""),"be525f3b")</f>
        <v>be525f3b</v>
      </c>
      <c r="G1386" s="211" t="str">
        <f>IFERROR(__xludf.DUMMYFUNCTION("""COMPUTED_VALUE"""),"LPG 12kg")</f>
        <v>LPG 12kg</v>
      </c>
      <c r="H1386" s="214" t="str">
        <f>IFERROR(__xludf.DUMMYFUNCTION("""COMPUTED_VALUE"""),"OUT")</f>
        <v>OUT</v>
      </c>
      <c r="I1386" s="214" t="str">
        <f>IFERROR(__xludf.DUMMYFUNCTION("""COMPUTED_VALUE"""),"NORMAL")</f>
        <v>NORMAL</v>
      </c>
      <c r="J1386" s="211">
        <f>IFERROR(__xludf.DUMMYFUNCTION("""COMPUTED_VALUE"""),1.0)</f>
        <v>1</v>
      </c>
      <c r="K1386" s="211"/>
      <c r="L1386" s="211">
        <f>IFERROR(__xludf.DUMMYFUNCTION("""COMPUTED_VALUE"""),189189.19)</f>
        <v>189189.19</v>
      </c>
      <c r="M1386" s="211"/>
      <c r="N1386" s="211"/>
      <c r="O1386" s="211"/>
      <c r="Q1386" s="210" t="str">
        <f>IFERROR(__xludf.DUMMYFUNCTION("""COMPUTED_VALUE"""),"1025141386")</f>
        <v>1025141386</v>
      </c>
      <c r="R1386" s="210" t="str">
        <f>IFERROR(__xludf.DUMMYFUNCTION("""COMPUTED_VALUE"""),"1025141386")</f>
        <v>1025141386</v>
      </c>
      <c r="S1386" s="211" t="str">
        <f>IFERROR(__xludf.DUMMYFUNCTION("""COMPUTED_VALUE"""),"182fb0fe")</f>
        <v>182fb0fe</v>
      </c>
      <c r="T1386" s="211" t="str">
        <f>IFERROR(__xludf.DUMMYFUNCTION("""COMPUTED_VALUE"""),"PT Amtech")</f>
        <v>PT Amtech</v>
      </c>
      <c r="U1386" s="215">
        <f>IFERROR(__xludf.DUMMYFUNCTION("""COMPUTED_VALUE"""),45934.421377314815)</f>
        <v>45934.42138</v>
      </c>
      <c r="V1386"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386" s="211" t="str">
        <f>IFERROR(__xludf.DUMMYFUNCTION("""COMPUTED_VALUE"""),"OUT")</f>
        <v>OUT</v>
      </c>
      <c r="X1386" s="211"/>
      <c r="Z1386" s="211" t="str">
        <f>IFERROR(__xludf.DUMMYFUNCTION("""COMPUTED_VALUE"""),"08240004")</f>
        <v>08240004</v>
      </c>
      <c r="AL1386" s="211"/>
      <c r="AM1386" s="211"/>
      <c r="AN1386" s="211"/>
      <c r="AO1386" s="211"/>
      <c r="AP1386" s="215"/>
      <c r="AQ1386" s="218"/>
      <c r="AR1386" s="211"/>
    </row>
    <row r="1387">
      <c r="A1387" s="210" t="str">
        <f>IFERROR(__xludf.DUMMYFUNCTION("""COMPUTED_VALUE"""),"07250594")</f>
        <v>07250594</v>
      </c>
      <c r="B1387" s="210" t="str">
        <f>IFERROR(__xludf.DUMMYFUNCTION("""COMPUTED_VALUE"""),"07250594")</f>
        <v>07250594</v>
      </c>
      <c r="C1387" s="213">
        <f>IFERROR(__xludf.DUMMYFUNCTION("""COMPUTED_VALUE"""),45860.35138888889)</f>
        <v>45860.35139</v>
      </c>
      <c r="D1387" s="211" t="str">
        <f>IFERROR(__xludf.DUMMYFUNCTION("""COMPUTED_VALUE"""),"3bcd7fe6")</f>
        <v>3bcd7fe6</v>
      </c>
      <c r="E1387" s="211" t="str">
        <f>IFERROR(__xludf.DUMMYFUNCTION("""COMPUTED_VALUE"""),"Bpk. Alvin (LB Group)")</f>
        <v>Bpk. Alvin (LB Group)</v>
      </c>
      <c r="F1387" s="211" t="str">
        <f>IFERROR(__xludf.DUMMYFUNCTION("""COMPUTED_VALUE"""),"7d2764f1")</f>
        <v>7d2764f1</v>
      </c>
      <c r="G1387" s="211" t="str">
        <f>IFERROR(__xludf.DUMMYFUNCTION("""COMPUTED_VALUE"""),"Oksigen 7m3")</f>
        <v>Oksigen 7m3</v>
      </c>
      <c r="H1387" s="214" t="str">
        <f>IFERROR(__xludf.DUMMYFUNCTION("""COMPUTED_VALUE"""),"OUT")</f>
        <v>OUT</v>
      </c>
      <c r="I1387" s="214" t="str">
        <f>IFERROR(__xludf.DUMMYFUNCTION("""COMPUTED_VALUE"""),"NORMAL")</f>
        <v>NORMAL</v>
      </c>
      <c r="J1387" s="211">
        <f>IFERROR(__xludf.DUMMYFUNCTION("""COMPUTED_VALUE"""),5.0)</f>
        <v>5</v>
      </c>
      <c r="K1387" s="210" t="str">
        <f>IFERROR(__xludf.DUMMYFUNCTION("""COMPUTED_VALUE"""),"11138 11142 11152 11155 11174")</f>
        <v>11138 11142 11152 11155 11174</v>
      </c>
      <c r="L1387" s="211">
        <f>IFERROR(__xludf.DUMMYFUNCTION("""COMPUTED_VALUE"""),55000.0)</f>
        <v>55000</v>
      </c>
      <c r="M1387" s="211"/>
      <c r="N1387" s="211"/>
      <c r="O1387" s="211"/>
      <c r="Q1387" s="210" t="str">
        <f>IFERROR(__xludf.DUMMYFUNCTION("""COMPUTED_VALUE"""),"1250645")</f>
        <v>1250645</v>
      </c>
      <c r="R1387" s="210" t="str">
        <f>IFERROR(__xludf.DUMMYFUNCTION("""COMPUTED_VALUE"""),"1250645")</f>
        <v>1250645</v>
      </c>
      <c r="S1387" s="211" t="str">
        <f>IFERROR(__xludf.DUMMYFUNCTION("""COMPUTED_VALUE"""),"e968afef")</f>
        <v>e968afef</v>
      </c>
      <c r="T1387" s="211" t="str">
        <f>IFERROR(__xludf.DUMMYFUNCTION("""COMPUTED_VALUE"""),"Bpk. Agus")</f>
        <v>Bpk. Agus</v>
      </c>
      <c r="U1387" s="215">
        <f>IFERROR(__xludf.DUMMYFUNCTION("""COMPUTED_VALUE"""),45934.427083333336)</f>
        <v>45934.42708</v>
      </c>
      <c r="V1387" s="211" t="str">
        <f>IFERROR(__xludf.DUMMYFUNCTION("""COMPUTED_VALUE"""),"Jl. Parengan 13, Semawut, Balongbendo, Kec. BalongBendo, Kabupaten Sidoarjo, Jawa Timur 61263")</f>
        <v>Jl. Parengan 13, Semawut, Balongbendo, Kec. BalongBendo, Kabupaten Sidoarjo, Jawa Timur 61263</v>
      </c>
      <c r="W1387" s="211" t="str">
        <f>IFERROR(__xludf.DUMMYFUNCTION("""COMPUTED_VALUE"""),"IN")</f>
        <v>IN</v>
      </c>
      <c r="X1387" s="211"/>
      <c r="Z1387" s="211" t="str">
        <f>IFERROR(__xludf.DUMMYFUNCTION("""COMPUTED_VALUE"""),"08240003")</f>
        <v>08240003</v>
      </c>
      <c r="AL1387" s="211"/>
      <c r="AM1387" s="211"/>
      <c r="AN1387" s="211"/>
      <c r="AO1387" s="211"/>
      <c r="AP1387" s="215"/>
      <c r="AQ1387" s="218"/>
      <c r="AR1387" s="211"/>
    </row>
    <row r="1388">
      <c r="A1388" s="210" t="str">
        <f>IFERROR(__xludf.DUMMYFUNCTION("""COMPUTED_VALUE"""),"07250595")</f>
        <v>07250595</v>
      </c>
      <c r="B1388" s="210" t="str">
        <f>IFERROR(__xludf.DUMMYFUNCTION("""COMPUTED_VALUE"""),"07250595")</f>
        <v>07250595</v>
      </c>
      <c r="C1388" s="213">
        <f>IFERROR(__xludf.DUMMYFUNCTION("""COMPUTED_VALUE"""),45860.354166666664)</f>
        <v>45860.35417</v>
      </c>
      <c r="D1388" s="211" t="str">
        <f>IFERROR(__xludf.DUMMYFUNCTION("""COMPUTED_VALUE"""),"b218b89b")</f>
        <v>b218b89b</v>
      </c>
      <c r="E1388" s="211" t="str">
        <f>IFERROR(__xludf.DUMMYFUNCTION("""COMPUTED_VALUE"""),"PT Harapan Sentosa")</f>
        <v>PT Harapan Sentosa</v>
      </c>
      <c r="F1388" s="211" t="str">
        <f>IFERROR(__xludf.DUMMYFUNCTION("""COMPUTED_VALUE"""),"ef306e54")</f>
        <v>ef306e54</v>
      </c>
      <c r="G1388" s="211" t="str">
        <f>IFERROR(__xludf.DUMMYFUNCTION("""COMPUTED_VALUE"""),"Karbondioksida")</f>
        <v>Karbondioksida</v>
      </c>
      <c r="H1388" s="214" t="str">
        <f>IFERROR(__xludf.DUMMYFUNCTION("""COMPUTED_VALUE"""),"OUT")</f>
        <v>OUT</v>
      </c>
      <c r="I1388" s="214" t="str">
        <f>IFERROR(__xludf.DUMMYFUNCTION("""COMPUTED_VALUE"""),"NORMAL")</f>
        <v>NORMAL</v>
      </c>
      <c r="J1388" s="211">
        <f>IFERROR(__xludf.DUMMYFUNCTION("""COMPUTED_VALUE"""),5.0)</f>
        <v>5</v>
      </c>
      <c r="K1388" s="210" t="str">
        <f>IFERROR(__xludf.DUMMYFUNCTION("""COMPUTED_VALUE"""),"13001 13020 13006 13012 13010")</f>
        <v>13001 13020 13006 13012 13010</v>
      </c>
      <c r="L1388" s="211">
        <f>IFERROR(__xludf.DUMMYFUNCTION("""COMPUTED_VALUE"""),210000.0)</f>
        <v>210000</v>
      </c>
      <c r="M1388" s="211"/>
      <c r="N1388" s="211"/>
      <c r="O1388" s="211"/>
      <c r="Q1388" s="210" t="str">
        <f>IFERROR(__xludf.DUMMYFUNCTION("""COMPUTED_VALUE"""),"102511387")</f>
        <v>102511387</v>
      </c>
      <c r="R1388" s="210" t="str">
        <f>IFERROR(__xludf.DUMMYFUNCTION("""COMPUTED_VALUE"""),"102511387")</f>
        <v>102511387</v>
      </c>
      <c r="S1388" s="211" t="str">
        <f>IFERROR(__xludf.DUMMYFUNCTION("""COMPUTED_VALUE"""),"b0735da4")</f>
        <v>b0735da4</v>
      </c>
      <c r="T1388" s="211" t="str">
        <f>IFERROR(__xludf.DUMMYFUNCTION("""COMPUTED_VALUE"""),"Bpk. Amer Ciro")</f>
        <v>Bpk. Amer Ciro</v>
      </c>
      <c r="U1388" s="215">
        <f>IFERROR(__xludf.DUMMYFUNCTION("""COMPUTED_VALUE"""),45934.43690972222)</f>
        <v>45934.43691</v>
      </c>
      <c r="V1388" s="211" t="str">
        <f>IFERROR(__xludf.DUMMYFUNCTION("""COMPUTED_VALUE"""),"HFJR+FV8 Bakungtemenggungan, Kabupaten Sidoarjo, Jawa Timur")</f>
        <v>HFJR+FV8 Bakungtemenggungan, Kabupaten Sidoarjo, Jawa Timur</v>
      </c>
      <c r="W1388" s="211" t="str">
        <f>IFERROR(__xludf.DUMMYFUNCTION("""COMPUTED_VALUE"""),"OUT")</f>
        <v>OUT</v>
      </c>
      <c r="X1388" s="211"/>
      <c r="Z1388" s="211" t="str">
        <f>IFERROR(__xludf.DUMMYFUNCTION("""COMPUTED_VALUE"""),"08240002")</f>
        <v>08240002</v>
      </c>
      <c r="AL1388" s="211"/>
      <c r="AM1388" s="211"/>
      <c r="AN1388" s="211"/>
      <c r="AO1388" s="211"/>
      <c r="AP1388" s="215"/>
      <c r="AQ1388" s="218"/>
      <c r="AR1388" s="211"/>
    </row>
    <row r="1389">
      <c r="A1389" s="210" t="str">
        <f>IFERROR(__xludf.DUMMYFUNCTION("""COMPUTED_VALUE"""),"07250596")</f>
        <v>07250596</v>
      </c>
      <c r="B1389" s="210" t="str">
        <f>IFERROR(__xludf.DUMMYFUNCTION("""COMPUTED_VALUE"""),"07250596")</f>
        <v>07250596</v>
      </c>
      <c r="C1389" s="213">
        <f>IFERROR(__xludf.DUMMYFUNCTION("""COMPUTED_VALUE"""),45860.413194444445)</f>
        <v>45860.41319</v>
      </c>
      <c r="D1389" s="211" t="str">
        <f>IFERROR(__xludf.DUMMYFUNCTION("""COMPUTED_VALUE"""),"ec231cc9")</f>
        <v>ec231cc9</v>
      </c>
      <c r="E1389" s="211" t="str">
        <f>IFERROR(__xludf.DUMMYFUNCTION("""COMPUTED_VALUE"""),"Bpk. Kohir (Maintenance Velg)")</f>
        <v>Bpk. Kohir (Maintenance Velg)</v>
      </c>
      <c r="F1389" s="211" t="str">
        <f>IFERROR(__xludf.DUMMYFUNCTION("""COMPUTED_VALUE"""),"8bdbe149")</f>
        <v>8bdbe149</v>
      </c>
      <c r="G1389" s="211" t="str">
        <f>IFERROR(__xludf.DUMMYFUNCTION("""COMPUTED_VALUE"""),"Oksigen 6m3")</f>
        <v>Oksigen 6m3</v>
      </c>
      <c r="H1389" s="214" t="str">
        <f>IFERROR(__xludf.DUMMYFUNCTION("""COMPUTED_VALUE"""),"OUT")</f>
        <v>OUT</v>
      </c>
      <c r="I1389" s="214" t="str">
        <f>IFERROR(__xludf.DUMMYFUNCTION("""COMPUTED_VALUE"""),"NORMAL")</f>
        <v>NORMAL</v>
      </c>
      <c r="J1389" s="211">
        <f>IFERROR(__xludf.DUMMYFUNCTION("""COMPUTED_VALUE"""),5.0)</f>
        <v>5</v>
      </c>
      <c r="K1389" s="210" t="str">
        <f>IFERROR(__xludf.DUMMYFUNCTION("""COMPUTED_VALUE"""),"11118 1108 11128 1118 1185")</f>
        <v>11118 1108 11128 1118 1185</v>
      </c>
      <c r="L1389" s="211">
        <f>IFERROR(__xludf.DUMMYFUNCTION("""COMPUTED_VALUE"""),55000.0)</f>
        <v>55000</v>
      </c>
      <c r="M1389" s="211"/>
      <c r="N1389" s="211"/>
      <c r="O1389" s="211"/>
      <c r="Q1389" s="210" t="str">
        <f>IFERROR(__xludf.DUMMYFUNCTION("""COMPUTED_VALUE"""),"1250646")</f>
        <v>1250646</v>
      </c>
      <c r="R1389" s="210" t="str">
        <f>IFERROR(__xludf.DUMMYFUNCTION("""COMPUTED_VALUE"""),"1250646")</f>
        <v>1250646</v>
      </c>
      <c r="S1389" s="211" t="str">
        <f>IFERROR(__xludf.DUMMYFUNCTION("""COMPUTED_VALUE"""),"ec231cc9")</f>
        <v>ec231cc9</v>
      </c>
      <c r="T1389" s="211" t="str">
        <f>IFERROR(__xludf.DUMMYFUNCTION("""COMPUTED_VALUE"""),"Bpk. Kohir (Maintenance Velg)")</f>
        <v>Bpk. Kohir (Maintenance Velg)</v>
      </c>
      <c r="U1389" s="215">
        <f>IFERROR(__xludf.DUMMYFUNCTION("""COMPUTED_VALUE"""),45934.44248842593)</f>
        <v>45934.44249</v>
      </c>
      <c r="V1389" s="211" t="str">
        <f>IFERROR(__xludf.DUMMYFUNCTION("""COMPUTED_VALUE"""),"Jl. Lkr. Bypass Krian Timur, Sidogolong, Watugolong, Kec. Krian, Kabupaten Sidoarjo, Jawa Timur 61262")</f>
        <v>Jl. Lkr. Bypass Krian Timur, Sidogolong, Watugolong, Kec. Krian, Kabupaten Sidoarjo, Jawa Timur 61262</v>
      </c>
      <c r="W1389" s="211" t="str">
        <f>IFERROR(__xludf.DUMMYFUNCTION("""COMPUTED_VALUE"""),"IN")</f>
        <v>IN</v>
      </c>
      <c r="X1389" s="211"/>
      <c r="Z1389" s="211" t="str">
        <f>IFERROR(__xludf.DUMMYFUNCTION("""COMPUTED_VALUE"""),"08240001")</f>
        <v>08240001</v>
      </c>
      <c r="AL1389" s="211"/>
      <c r="AM1389" s="211"/>
      <c r="AN1389" s="211"/>
      <c r="AO1389" s="211"/>
      <c r="AP1389" s="215"/>
      <c r="AQ1389" s="218"/>
      <c r="AR1389" s="211"/>
    </row>
    <row r="1390">
      <c r="A1390" s="210" t="str">
        <f>IFERROR(__xludf.DUMMYFUNCTION("""COMPUTED_VALUE"""),"07250596")</f>
        <v>07250596</v>
      </c>
      <c r="B1390" s="210" t="str">
        <f>IFERROR(__xludf.DUMMYFUNCTION("""COMPUTED_VALUE"""),"07250596")</f>
        <v>07250596</v>
      </c>
      <c r="C1390" s="213">
        <f>IFERROR(__xludf.DUMMYFUNCTION("""COMPUTED_VALUE"""),45860.413194444445)</f>
        <v>45860.41319</v>
      </c>
      <c r="D1390" s="211" t="str">
        <f>IFERROR(__xludf.DUMMYFUNCTION("""COMPUTED_VALUE"""),"ec231cc9")</f>
        <v>ec231cc9</v>
      </c>
      <c r="E1390" s="211" t="str">
        <f>IFERROR(__xludf.DUMMYFUNCTION("""COMPUTED_VALUE"""),"Bpk. Kohir (Maintenance Velg)")</f>
        <v>Bpk. Kohir (Maintenance Velg)</v>
      </c>
      <c r="F1390" s="211" t="str">
        <f>IFERROR(__xludf.DUMMYFUNCTION("""COMPUTED_VALUE"""),"ef306e54")</f>
        <v>ef306e54</v>
      </c>
      <c r="G1390" s="211" t="str">
        <f>IFERROR(__xludf.DUMMYFUNCTION("""COMPUTED_VALUE"""),"Karbondioksida")</f>
        <v>Karbondioksida</v>
      </c>
      <c r="H1390" s="214" t="str">
        <f>IFERROR(__xludf.DUMMYFUNCTION("""COMPUTED_VALUE"""),"OUT")</f>
        <v>OUT</v>
      </c>
      <c r="I1390" s="214" t="str">
        <f>IFERROR(__xludf.DUMMYFUNCTION("""COMPUTED_VALUE"""),"NORMAL")</f>
        <v>NORMAL</v>
      </c>
      <c r="J1390" s="211">
        <f>IFERROR(__xludf.DUMMYFUNCTION("""COMPUTED_VALUE"""),1.0)</f>
        <v>1</v>
      </c>
      <c r="K1390" s="210" t="str">
        <f>IFERROR(__xludf.DUMMYFUNCTION("""COMPUTED_VALUE"""),"13008")</f>
        <v>13008</v>
      </c>
      <c r="L1390" s="211">
        <f>IFERROR(__xludf.DUMMYFUNCTION("""COMPUTED_VALUE"""),165000.0)</f>
        <v>165000</v>
      </c>
      <c r="M1390" s="211"/>
      <c r="N1390" s="211"/>
      <c r="O1390" s="211"/>
      <c r="Q1390" s="210" t="str">
        <f>IFERROR(__xludf.DUMMYFUNCTION("""COMPUTED_VALUE"""),"102511389")</f>
        <v>102511389</v>
      </c>
      <c r="R1390" s="210" t="str">
        <f>IFERROR(__xludf.DUMMYFUNCTION("""COMPUTED_VALUE"""),"102511389")</f>
        <v>102511389</v>
      </c>
      <c r="S1390" s="211" t="str">
        <f>IFERROR(__xludf.DUMMYFUNCTION("""COMPUTED_VALUE"""),"440df1db")</f>
        <v>440df1db</v>
      </c>
      <c r="T1390" s="211" t="str">
        <f>IFERROR(__xludf.DUMMYFUNCTION("""COMPUTED_VALUE"""),"PT. Mecca Abadi Sejahtera")</f>
        <v>PT. Mecca Abadi Sejahtera</v>
      </c>
      <c r="U1390" s="215">
        <f>IFERROR(__xludf.DUMMYFUNCTION("""COMPUTED_VALUE"""),45934.48863425926)</f>
        <v>45934.48863</v>
      </c>
      <c r="V1390" s="211" t="str">
        <f>IFERROR(__xludf.DUMMYFUNCTION("""COMPUTED_VALUE"""),"Jl. Raya Sawocangkring, RT.006/RW.002, Sawo, Sawocangkring, Kec. Wonoayu, Kabupaten Sidoarjo, Jawa Timur 61261")</f>
        <v>Jl. Raya Sawocangkring, RT.006/RW.002, Sawo, Sawocangkring, Kec. Wonoayu, Kabupaten Sidoarjo, Jawa Timur 61261</v>
      </c>
      <c r="W1390" s="211" t="str">
        <f>IFERROR(__xludf.DUMMYFUNCTION("""COMPUTED_VALUE"""),"OUT")</f>
        <v>OUT</v>
      </c>
      <c r="X1390" s="211"/>
      <c r="AL1390" s="211"/>
      <c r="AM1390" s="211"/>
      <c r="AN1390" s="211"/>
      <c r="AO1390" s="211"/>
      <c r="AP1390" s="215"/>
      <c r="AQ1390" s="218"/>
      <c r="AR1390" s="211"/>
    </row>
    <row r="1391">
      <c r="A1391" s="210" t="str">
        <f>IFERROR(__xludf.DUMMYFUNCTION("""COMPUTED_VALUE"""),"07250598")</f>
        <v>07250598</v>
      </c>
      <c r="B1391" s="210" t="str">
        <f>IFERROR(__xludf.DUMMYFUNCTION("""COMPUTED_VALUE"""),"07250598")</f>
        <v>07250598</v>
      </c>
      <c r="C1391" s="213">
        <f>IFERROR(__xludf.DUMMYFUNCTION("""COMPUTED_VALUE"""),45860.53958333333)</f>
        <v>45860.53958</v>
      </c>
      <c r="D1391" s="211" t="str">
        <f>IFERROR(__xludf.DUMMYFUNCTION("""COMPUTED_VALUE"""),"e76bc39c")</f>
        <v>e76bc39c</v>
      </c>
      <c r="E1391" s="211" t="str">
        <f>IFERROR(__xludf.DUMMYFUNCTION("""COMPUTED_VALUE"""),"Bpk. Irul")</f>
        <v>Bpk. Irul</v>
      </c>
      <c r="F1391" s="211" t="str">
        <f>IFERROR(__xludf.DUMMYFUNCTION("""COMPUTED_VALUE"""),"8bdbe149")</f>
        <v>8bdbe149</v>
      </c>
      <c r="G1391" s="211" t="str">
        <f>IFERROR(__xludf.DUMMYFUNCTION("""COMPUTED_VALUE"""),"Oksigen 6m3")</f>
        <v>Oksigen 6m3</v>
      </c>
      <c r="H1391" s="214" t="str">
        <f>IFERROR(__xludf.DUMMYFUNCTION("""COMPUTED_VALUE"""),"OUT")</f>
        <v>OUT</v>
      </c>
      <c r="I1391" s="214" t="str">
        <f>IFERROR(__xludf.DUMMYFUNCTION("""COMPUTED_VALUE"""),"NORMAL")</f>
        <v>NORMAL</v>
      </c>
      <c r="J1391" s="211">
        <f>IFERROR(__xludf.DUMMYFUNCTION("""COMPUTED_VALUE"""),1.0)</f>
        <v>1</v>
      </c>
      <c r="K1391" s="210" t="str">
        <f>IFERROR(__xludf.DUMMYFUNCTION("""COMPUTED_VALUE"""),"1188")</f>
        <v>1188</v>
      </c>
      <c r="L1391" s="211">
        <f>IFERROR(__xludf.DUMMYFUNCTION("""COMPUTED_VALUE"""),65000.0)</f>
        <v>65000</v>
      </c>
      <c r="M1391" s="211"/>
      <c r="N1391" s="211"/>
      <c r="O1391" s="211"/>
      <c r="Q1391" s="210" t="str">
        <f>IFERROR(__xludf.DUMMYFUNCTION("""COMPUTED_VALUE"""),"1250629")</f>
        <v>1250629</v>
      </c>
      <c r="R1391" s="210" t="str">
        <f>IFERROR(__xludf.DUMMYFUNCTION("""COMPUTED_VALUE"""),"1250629")</f>
        <v>1250629</v>
      </c>
      <c r="S1391" s="211" t="str">
        <f>IFERROR(__xludf.DUMMYFUNCTION("""COMPUTED_VALUE"""),"182fb0fe")</f>
        <v>182fb0fe</v>
      </c>
      <c r="T1391" s="211" t="str">
        <f>IFERROR(__xludf.DUMMYFUNCTION("""COMPUTED_VALUE"""),"PT Amtech")</f>
        <v>PT Amtech</v>
      </c>
      <c r="U1391" s="215">
        <f>IFERROR(__xludf.DUMMYFUNCTION("""COMPUTED_VALUE"""),45934.56309027778)</f>
        <v>45934.56309</v>
      </c>
      <c r="V1391" s="211" t="str">
        <f>IFERROR(__xludf.DUMMYFUNCTION("""COMPUTED_VALUE"""),"Jl. Morowudi, Ikerikergeger, Kabupaten Gresik, Jawa Timur")</f>
        <v>Jl. Morowudi, Ikerikergeger, Kabupaten Gresik, Jawa Timur</v>
      </c>
      <c r="W1391" s="211" t="str">
        <f>IFERROR(__xludf.DUMMYFUNCTION("""COMPUTED_VALUE"""),"IN")</f>
        <v>IN</v>
      </c>
      <c r="X1391" s="211"/>
      <c r="AL1391" s="211"/>
      <c r="AM1391" s="211"/>
      <c r="AN1391" s="211"/>
      <c r="AO1391" s="211"/>
      <c r="AP1391" s="215"/>
      <c r="AQ1391" s="218"/>
      <c r="AR1391" s="211"/>
    </row>
    <row r="1392">
      <c r="A1392" s="210" t="str">
        <f>IFERROR(__xludf.DUMMYFUNCTION("""COMPUTED_VALUE"""),"07250599")</f>
        <v>07250599</v>
      </c>
      <c r="B1392" s="210" t="str">
        <f>IFERROR(__xludf.DUMMYFUNCTION("""COMPUTED_VALUE"""),"07250599")</f>
        <v>07250599</v>
      </c>
      <c r="C1392" s="213">
        <f>IFERROR(__xludf.DUMMYFUNCTION("""COMPUTED_VALUE"""),45861.33263888889)</f>
        <v>45861.33264</v>
      </c>
      <c r="D1392" s="211" t="str">
        <f>IFERROR(__xludf.DUMMYFUNCTION("""COMPUTED_VALUE"""),"e86baf3b")</f>
        <v>e86baf3b</v>
      </c>
      <c r="E1392" s="211" t="str">
        <f>IFERROR(__xludf.DUMMYFUNCTION("""COMPUTED_VALUE"""),"PT GEMILANG CIPTA WAWASAN")</f>
        <v>PT GEMILANG CIPTA WAWASAN</v>
      </c>
      <c r="F1392" s="211" t="str">
        <f>IFERROR(__xludf.DUMMYFUNCTION("""COMPUTED_VALUE"""),"8bdbe149")</f>
        <v>8bdbe149</v>
      </c>
      <c r="G1392" s="211" t="str">
        <f>IFERROR(__xludf.DUMMYFUNCTION("""COMPUTED_VALUE"""),"Oksigen 6m3")</f>
        <v>Oksigen 6m3</v>
      </c>
      <c r="H1392" s="214" t="str">
        <f>IFERROR(__xludf.DUMMYFUNCTION("""COMPUTED_VALUE"""),"OUT")</f>
        <v>OUT</v>
      </c>
      <c r="I1392" s="214" t="str">
        <f>IFERROR(__xludf.DUMMYFUNCTION("""COMPUTED_VALUE"""),"NORMAL")</f>
        <v>NORMAL</v>
      </c>
      <c r="J1392" s="211">
        <f>IFERROR(__xludf.DUMMYFUNCTION("""COMPUTED_VALUE"""),5.0)</f>
        <v>5</v>
      </c>
      <c r="K1392" s="210" t="str">
        <f>IFERROR(__xludf.DUMMYFUNCTION("""COMPUTED_VALUE"""),"1164 1151 1104 11258 11165")</f>
        <v>1164 1151 1104 11258 11165</v>
      </c>
      <c r="L1392" s="211">
        <f>IFERROR(__xludf.DUMMYFUNCTION("""COMPUTED_VALUE"""),60000.0)</f>
        <v>60000</v>
      </c>
      <c r="M1392" s="211"/>
      <c r="N1392" s="211"/>
      <c r="O1392" s="211"/>
      <c r="Q1392" s="210" t="str">
        <f>IFERROR(__xludf.DUMMYFUNCTION("""COMPUTED_VALUE"""),"102521391")</f>
        <v>102521391</v>
      </c>
      <c r="R1392" s="210" t="str">
        <f>IFERROR(__xludf.DUMMYFUNCTION("""COMPUTED_VALUE"""),"102521391")</f>
        <v>102521391</v>
      </c>
      <c r="S1392" s="211" t="str">
        <f>IFERROR(__xludf.DUMMYFUNCTION("""COMPUTED_VALUE"""),"f98b1e81")</f>
        <v>f98b1e81</v>
      </c>
      <c r="T1392" s="211" t="str">
        <f>IFERROR(__xludf.DUMMYFUNCTION("""COMPUTED_VALUE"""),"CV. Greenlife Tirta Sentosa")</f>
        <v>CV. Greenlife Tirta Sentosa</v>
      </c>
      <c r="U1392" s="215">
        <f>IFERROR(__xludf.DUMMYFUNCTION("""COMPUTED_VALUE"""),45936.367118055554)</f>
        <v>45936.36712</v>
      </c>
      <c r="V1392" s="211" t="str">
        <f>IFERROR(__xludf.DUMMYFUNCTION("""COMPUTED_VALUE"""),"Jl. Parengan NO.354 Semawut, Balongbendo, Kec. Krian Sidoarjo, Jawa Timur 61263")</f>
        <v>Jl. Parengan NO.354 Semawut, Balongbendo, Kec. Krian Sidoarjo, Jawa Timur 61263</v>
      </c>
      <c r="W1392" s="211" t="str">
        <f>IFERROR(__xludf.DUMMYFUNCTION("""COMPUTED_VALUE"""),"OUT")</f>
        <v>OUT</v>
      </c>
      <c r="X1392" s="211"/>
      <c r="AL1392" s="211"/>
      <c r="AM1392" s="211"/>
      <c r="AN1392" s="211"/>
      <c r="AO1392" s="211"/>
      <c r="AP1392" s="215"/>
      <c r="AQ1392" s="218"/>
      <c r="AR1392" s="211"/>
    </row>
    <row r="1393">
      <c r="A1393" s="210" t="str">
        <f>IFERROR(__xludf.DUMMYFUNCTION("""COMPUTED_VALUE"""),"07250599")</f>
        <v>07250599</v>
      </c>
      <c r="B1393" s="210" t="str">
        <f>IFERROR(__xludf.DUMMYFUNCTION("""COMPUTED_VALUE"""),"07250599")</f>
        <v>07250599</v>
      </c>
      <c r="C1393" s="213">
        <f>IFERROR(__xludf.DUMMYFUNCTION("""COMPUTED_VALUE"""),45861.333333333336)</f>
        <v>45861.33333</v>
      </c>
      <c r="D1393" s="211" t="str">
        <f>IFERROR(__xludf.DUMMYFUNCTION("""COMPUTED_VALUE"""),"e86baf3b")</f>
        <v>e86baf3b</v>
      </c>
      <c r="E1393" s="211" t="str">
        <f>IFERROR(__xludf.DUMMYFUNCTION("""COMPUTED_VALUE"""),"PT GEMILANG CIPTA WAWASAN")</f>
        <v>PT GEMILANG CIPTA WAWASAN</v>
      </c>
      <c r="F1393" s="211" t="str">
        <f>IFERROR(__xludf.DUMMYFUNCTION("""COMPUTED_VALUE"""),"be525f3b")</f>
        <v>be525f3b</v>
      </c>
      <c r="G1393" s="211" t="str">
        <f>IFERROR(__xludf.DUMMYFUNCTION("""COMPUTED_VALUE"""),"LPG 12kg")</f>
        <v>LPG 12kg</v>
      </c>
      <c r="H1393" s="214" t="str">
        <f>IFERROR(__xludf.DUMMYFUNCTION("""COMPUTED_VALUE"""),"OUT")</f>
        <v>OUT</v>
      </c>
      <c r="I1393" s="214" t="str">
        <f>IFERROR(__xludf.DUMMYFUNCTION("""COMPUTED_VALUE"""),"NORMAL")</f>
        <v>NORMAL</v>
      </c>
      <c r="J1393" s="211">
        <f>IFERROR(__xludf.DUMMYFUNCTION("""COMPUTED_VALUE"""),5.0)</f>
        <v>5</v>
      </c>
      <c r="K1393" s="211"/>
      <c r="L1393" s="211">
        <f>IFERROR(__xludf.DUMMYFUNCTION("""COMPUTED_VALUE"""),210000.0)</f>
        <v>210000</v>
      </c>
      <c r="M1393" s="211"/>
      <c r="N1393" s="211"/>
      <c r="O1393" s="211"/>
      <c r="Q1393" s="211"/>
      <c r="R1393" s="211"/>
      <c r="S1393" s="211"/>
      <c r="T1393" s="211"/>
      <c r="U1393" s="211"/>
      <c r="V1393" s="211"/>
      <c r="W1393" s="211"/>
      <c r="X1393" s="211"/>
      <c r="AL1393" s="211"/>
      <c r="AM1393" s="211"/>
      <c r="AN1393" s="211"/>
      <c r="AO1393" s="211"/>
      <c r="AP1393" s="215"/>
      <c r="AQ1393" s="218"/>
      <c r="AR1393" s="211"/>
    </row>
    <row r="1394">
      <c r="A1394" s="210" t="str">
        <f>IFERROR(__xludf.DUMMYFUNCTION("""COMPUTED_VALUE"""),"07250599")</f>
        <v>07250599</v>
      </c>
      <c r="B1394" s="210" t="str">
        <f>IFERROR(__xludf.DUMMYFUNCTION("""COMPUTED_VALUE"""),"07250599")</f>
        <v>07250599</v>
      </c>
      <c r="C1394" s="213">
        <f>IFERROR(__xludf.DUMMYFUNCTION("""COMPUTED_VALUE"""),45861.334027777775)</f>
        <v>45861.33403</v>
      </c>
      <c r="D1394" s="211" t="str">
        <f>IFERROR(__xludf.DUMMYFUNCTION("""COMPUTED_VALUE"""),"e86baf3b")</f>
        <v>e86baf3b</v>
      </c>
      <c r="E1394" s="211" t="str">
        <f>IFERROR(__xludf.DUMMYFUNCTION("""COMPUTED_VALUE"""),"PT GEMILANG CIPTA WAWASAN")</f>
        <v>PT GEMILANG CIPTA WAWASAN</v>
      </c>
      <c r="F1394" s="211" t="str">
        <f>IFERROR(__xludf.DUMMYFUNCTION("""COMPUTED_VALUE"""),"66af7c72")</f>
        <v>66af7c72</v>
      </c>
      <c r="G1394" s="211" t="str">
        <f>IFERROR(__xludf.DUMMYFUNCTION("""COMPUTED_VALUE"""),"Argon 6m3")</f>
        <v>Argon 6m3</v>
      </c>
      <c r="H1394" s="214" t="str">
        <f>IFERROR(__xludf.DUMMYFUNCTION("""COMPUTED_VALUE"""),"OUT")</f>
        <v>OUT</v>
      </c>
      <c r="I1394" s="214" t="str">
        <f>IFERROR(__xludf.DUMMYFUNCTION("""COMPUTED_VALUE"""),"NORMAL")</f>
        <v>NORMAL</v>
      </c>
      <c r="J1394" s="211">
        <f>IFERROR(__xludf.DUMMYFUNCTION("""COMPUTED_VALUE"""),10.0)</f>
        <v>10</v>
      </c>
      <c r="K1394" s="210" t="str">
        <f>IFERROR(__xludf.DUMMYFUNCTION("""COMPUTED_VALUE"""),"12066 12035 12062 12067 12060 12063 12048 12049 12003 12045")</f>
        <v>12066 12035 12062 12067 12060 12063 12048 12049 12003 12045</v>
      </c>
      <c r="L1394" s="211">
        <f>IFERROR(__xludf.DUMMYFUNCTION("""COMPUTED_VALUE"""),185000.0)</f>
        <v>185000</v>
      </c>
      <c r="M1394" s="211"/>
      <c r="N1394" s="211"/>
      <c r="O1394" s="211"/>
      <c r="Q1394" s="210" t="str">
        <f>IFERROR(__xludf.DUMMYFUNCTION("""COMPUTED_VALUE"""),"1250647")</f>
        <v>1250647</v>
      </c>
      <c r="R1394" s="210" t="str">
        <f>IFERROR(__xludf.DUMMYFUNCTION("""COMPUTED_VALUE"""),"1250647")</f>
        <v>1250647</v>
      </c>
      <c r="S1394" s="211" t="str">
        <f>IFERROR(__xludf.DUMMYFUNCTION("""COMPUTED_VALUE"""),"f98b1e81")</f>
        <v>f98b1e81</v>
      </c>
      <c r="T1394" s="211" t="str">
        <f>IFERROR(__xludf.DUMMYFUNCTION("""COMPUTED_VALUE"""),"CV. Greenlife Tirta Sentosa")</f>
        <v>CV. Greenlife Tirta Sentosa</v>
      </c>
      <c r="U1394" s="215">
        <f>IFERROR(__xludf.DUMMYFUNCTION("""COMPUTED_VALUE"""),45935.84340277778)</f>
        <v>45935.8434</v>
      </c>
      <c r="V1394" s="211" t="str">
        <f>IFERROR(__xludf.DUMMYFUNCTION("""COMPUTED_VALUE"""),"Jl. Parengan NO.354 Semawut, Balongbendo, Kec. Krian Sidoarjo, Jawa Timur 61263")</f>
        <v>Jl. Parengan NO.354 Semawut, Balongbendo, Kec. Krian Sidoarjo, Jawa Timur 61263</v>
      </c>
      <c r="W1394" s="211" t="str">
        <f>IFERROR(__xludf.DUMMYFUNCTION("""COMPUTED_VALUE"""),"IN")</f>
        <v>IN</v>
      </c>
      <c r="X1394" s="211"/>
      <c r="AL1394" s="211"/>
      <c r="AM1394" s="211"/>
      <c r="AN1394" s="211"/>
      <c r="AO1394" s="211"/>
      <c r="AP1394" s="215"/>
      <c r="AQ1394" s="218"/>
      <c r="AR1394" s="211"/>
    </row>
    <row r="1395">
      <c r="A1395" s="210" t="str">
        <f>IFERROR(__xludf.DUMMYFUNCTION("""COMPUTED_VALUE"""),"44d21c3c")</f>
        <v>44d21c3c</v>
      </c>
      <c r="B1395" s="210" t="str">
        <f>IFERROR(__xludf.DUMMYFUNCTION("""COMPUTED_VALUE"""),"44d21c3c")</f>
        <v>44d21c3c</v>
      </c>
      <c r="C1395" s="213">
        <f>IFERROR(__xludf.DUMMYFUNCTION("""COMPUTED_VALUE"""),45860.71666666667)</f>
        <v>45860.71667</v>
      </c>
      <c r="D1395" s="211" t="str">
        <f>IFERROR(__xludf.DUMMYFUNCTION("""COMPUTED_VALUE"""),"b218b89b")</f>
        <v>b218b89b</v>
      </c>
      <c r="E1395" s="211" t="str">
        <f>IFERROR(__xludf.DUMMYFUNCTION("""COMPUTED_VALUE"""),"PT Harapan Sentosa")</f>
        <v>PT Harapan Sentosa</v>
      </c>
      <c r="F1395" s="211" t="str">
        <f>IFERROR(__xludf.DUMMYFUNCTION("""COMPUTED_VALUE"""),"7d2764f1")</f>
        <v>7d2764f1</v>
      </c>
      <c r="G1395" s="211" t="str">
        <f>IFERROR(__xludf.DUMMYFUNCTION("""COMPUTED_VALUE"""),"Oksigen 7m3")</f>
        <v>Oksigen 7m3</v>
      </c>
      <c r="H1395" s="214" t="str">
        <f>IFERROR(__xludf.DUMMYFUNCTION("""COMPUTED_VALUE"""),"IN")</f>
        <v>IN</v>
      </c>
      <c r="I1395" s="214" t="str">
        <f>IFERROR(__xludf.DUMMYFUNCTION("""COMPUTED_VALUE"""),"EMPTY")</f>
        <v>EMPTY</v>
      </c>
      <c r="J1395" s="211">
        <f>IFERROR(__xludf.DUMMYFUNCTION("""COMPUTED_VALUE"""),2.0)</f>
        <v>2</v>
      </c>
      <c r="K1395" s="210" t="str">
        <f>IFERROR(__xludf.DUMMYFUNCTION("""COMPUTED_VALUE"""),"11161 11171")</f>
        <v>11161 11171</v>
      </c>
      <c r="L1395" s="211">
        <f>IFERROR(__xludf.DUMMYFUNCTION("""COMPUTED_VALUE"""),0.0)</f>
        <v>0</v>
      </c>
      <c r="M1395" s="211"/>
      <c r="N1395" s="211"/>
      <c r="O1395" s="211"/>
      <c r="Q1395" s="210" t="str">
        <f>IFERROR(__xludf.DUMMYFUNCTION("""COMPUTED_VALUE"""),"1025551394")</f>
        <v>1025551394</v>
      </c>
      <c r="R1395" s="210" t="str">
        <f>IFERROR(__xludf.DUMMYFUNCTION("""COMPUTED_VALUE"""),"1025551394")</f>
        <v>1025551394</v>
      </c>
      <c r="S1395" s="211" t="str">
        <f>IFERROR(__xludf.DUMMYFUNCTION("""COMPUTED_VALUE"""),"e86baf3b")</f>
        <v>e86baf3b</v>
      </c>
      <c r="T1395" s="211" t="str">
        <f>IFERROR(__xludf.DUMMYFUNCTION("""COMPUTED_VALUE"""),"PT GEMILANG CIPTA WAWASAN")</f>
        <v>PT GEMILANG CIPTA WAWASAN</v>
      </c>
      <c r="U1395" s="215">
        <f>IFERROR(__xludf.DUMMYFUNCTION("""COMPUTED_VALUE"""),45936.45359953704)</f>
        <v>45936.4536</v>
      </c>
      <c r="V1395" s="211" t="str">
        <f>IFERROR(__xludf.DUMMYFUNCTION("""COMPUTED_VALUE"""),"JL TEBET RAYA, 2A, TEBET BARAT, TEBET, KOTA ADM, JAKARTA SELATAN, DKI JAKARTA")</f>
        <v>JL TEBET RAYA, 2A, TEBET BARAT, TEBET, KOTA ADM, JAKARTA SELATAN, DKI JAKARTA</v>
      </c>
      <c r="W1395" s="211" t="str">
        <f>IFERROR(__xludf.DUMMYFUNCTION("""COMPUTED_VALUE"""),"OUT")</f>
        <v>OUT</v>
      </c>
      <c r="X1395" s="211"/>
      <c r="AL1395" s="211"/>
      <c r="AM1395" s="211"/>
      <c r="AN1395" s="211"/>
      <c r="AO1395" s="211"/>
      <c r="AP1395" s="215"/>
      <c r="AQ1395" s="218"/>
      <c r="AR1395" s="211"/>
    </row>
    <row r="1396">
      <c r="A1396" s="210" t="str">
        <f>IFERROR(__xludf.DUMMYFUNCTION("""COMPUTED_VALUE"""),"0cfebda0")</f>
        <v>0cfebda0</v>
      </c>
      <c r="B1396" s="210" t="str">
        <f>IFERROR(__xludf.DUMMYFUNCTION("""COMPUTED_VALUE"""),"0cfebda0")</f>
        <v>0cfebda0</v>
      </c>
      <c r="C1396" s="213">
        <f>IFERROR(__xludf.DUMMYFUNCTION("""COMPUTED_VALUE"""),45860.71666666667)</f>
        <v>45860.71667</v>
      </c>
      <c r="D1396" s="211" t="str">
        <f>IFERROR(__xludf.DUMMYFUNCTION("""COMPUTED_VALUE"""),"785e0e07")</f>
        <v>785e0e07</v>
      </c>
      <c r="E1396" s="211" t="str">
        <f>IFERROR(__xludf.DUMMYFUNCTION("""COMPUTED_VALUE"""),"Bpk. Sukirno (Bejo)")</f>
        <v>Bpk. Sukirno (Bejo)</v>
      </c>
      <c r="F1396" s="211" t="str">
        <f>IFERROR(__xludf.DUMMYFUNCTION("""COMPUTED_VALUE"""),"8bdbe149")</f>
        <v>8bdbe149</v>
      </c>
      <c r="G1396" s="211" t="str">
        <f>IFERROR(__xludf.DUMMYFUNCTION("""COMPUTED_VALUE"""),"Oksigen 6m3")</f>
        <v>Oksigen 6m3</v>
      </c>
      <c r="H1396" s="214" t="str">
        <f>IFERROR(__xludf.DUMMYFUNCTION("""COMPUTED_VALUE"""),"IN")</f>
        <v>IN</v>
      </c>
      <c r="I1396" s="214" t="str">
        <f>IFERROR(__xludf.DUMMYFUNCTION("""COMPUTED_VALUE"""),"EMPTY")</f>
        <v>EMPTY</v>
      </c>
      <c r="J1396" s="211">
        <f>IFERROR(__xludf.DUMMYFUNCTION("""COMPUTED_VALUE"""),4.0)</f>
        <v>4</v>
      </c>
      <c r="K1396" s="210" t="str">
        <f>IFERROR(__xludf.DUMMYFUNCTION("""COMPUTED_VALUE"""),"11117 1132 1158 11270")</f>
        <v>11117 1132 1158 11270</v>
      </c>
      <c r="L1396" s="211">
        <f>IFERROR(__xludf.DUMMYFUNCTION("""COMPUTED_VALUE"""),0.0)</f>
        <v>0</v>
      </c>
      <c r="M1396" s="211"/>
      <c r="N1396" s="211"/>
      <c r="O1396" s="211"/>
      <c r="Q1396" s="210" t="str">
        <f>IFERROR(__xludf.DUMMYFUNCTION("""COMPUTED_VALUE"""),"1025151395")</f>
        <v>1025151395</v>
      </c>
      <c r="R1396" s="210" t="str">
        <f>IFERROR(__xludf.DUMMYFUNCTION("""COMPUTED_VALUE"""),"1025151395")</f>
        <v>1025151395</v>
      </c>
      <c r="S1396" s="211" t="str">
        <f>IFERROR(__xludf.DUMMYFUNCTION("""COMPUTED_VALUE"""),"3bcd7fe6")</f>
        <v>3bcd7fe6</v>
      </c>
      <c r="T1396" s="211" t="str">
        <f>IFERROR(__xludf.DUMMYFUNCTION("""COMPUTED_VALUE"""),"Bpk. Alvin (LB Group)")</f>
        <v>Bpk. Alvin (LB Group)</v>
      </c>
      <c r="U1396" s="215">
        <f>IFERROR(__xludf.DUMMYFUNCTION("""COMPUTED_VALUE"""),45936.45538194444)</f>
        <v>45936.45538</v>
      </c>
      <c r="V1396" s="211" t="str">
        <f>IFERROR(__xludf.DUMMYFUNCTION("""COMPUTED_VALUE"""),"MFF9+XHC, Jalan, Tambakrejo, Temuireng, Kec. Dawar Blandong, Kabupaten Mojokerto, Jawa Timur 61354")</f>
        <v>MFF9+XHC, Jalan, Tambakrejo, Temuireng, Kec. Dawar Blandong, Kabupaten Mojokerto, Jawa Timur 61354</v>
      </c>
      <c r="W1396" s="211" t="str">
        <f>IFERROR(__xludf.DUMMYFUNCTION("""COMPUTED_VALUE"""),"OUT")</f>
        <v>OUT</v>
      </c>
      <c r="X1396" s="211"/>
      <c r="AL1396" s="211"/>
      <c r="AM1396" s="211"/>
      <c r="AN1396" s="211"/>
      <c r="AO1396" s="211"/>
      <c r="AP1396" s="215"/>
      <c r="AQ1396" s="218"/>
      <c r="AR1396" s="211"/>
    </row>
    <row r="1397">
      <c r="A1397" s="210" t="str">
        <f>IFERROR(__xludf.DUMMYFUNCTION("""COMPUTED_VALUE"""),"31059158")</f>
        <v>31059158</v>
      </c>
      <c r="B1397" s="210" t="str">
        <f>IFERROR(__xludf.DUMMYFUNCTION("""COMPUTED_VALUE"""),"31059158")</f>
        <v>31059158</v>
      </c>
      <c r="C1397" s="213">
        <f>IFERROR(__xludf.DUMMYFUNCTION("""COMPUTED_VALUE"""),45860.717361111114)</f>
        <v>45860.71736</v>
      </c>
      <c r="D1397" s="211" t="str">
        <f>IFERROR(__xludf.DUMMYFUNCTION("""COMPUTED_VALUE"""),"ec231cc9")</f>
        <v>ec231cc9</v>
      </c>
      <c r="E1397" s="211" t="str">
        <f>IFERROR(__xludf.DUMMYFUNCTION("""COMPUTED_VALUE"""),"Bpk. Kohir (Maintenance Velg)")</f>
        <v>Bpk. Kohir (Maintenance Velg)</v>
      </c>
      <c r="F1397" s="211" t="str">
        <f>IFERROR(__xludf.DUMMYFUNCTION("""COMPUTED_VALUE"""),"8bdbe149")</f>
        <v>8bdbe149</v>
      </c>
      <c r="G1397" s="211" t="str">
        <f>IFERROR(__xludf.DUMMYFUNCTION("""COMPUTED_VALUE"""),"Oksigen 6m3")</f>
        <v>Oksigen 6m3</v>
      </c>
      <c r="H1397" s="214" t="str">
        <f>IFERROR(__xludf.DUMMYFUNCTION("""COMPUTED_VALUE"""),"IN")</f>
        <v>IN</v>
      </c>
      <c r="I1397" s="214" t="str">
        <f>IFERROR(__xludf.DUMMYFUNCTION("""COMPUTED_VALUE"""),"EMPTY")</f>
        <v>EMPTY</v>
      </c>
      <c r="J1397" s="211">
        <f>IFERROR(__xludf.DUMMYFUNCTION("""COMPUTED_VALUE"""),5.0)</f>
        <v>5</v>
      </c>
      <c r="K1397" s="210" t="str">
        <f>IFERROR(__xludf.DUMMYFUNCTION("""COMPUTED_VALUE"""),"11240 11206 11266 11184 11275")</f>
        <v>11240 11206 11266 11184 11275</v>
      </c>
      <c r="L1397" s="211">
        <f>IFERROR(__xludf.DUMMYFUNCTION("""COMPUTED_VALUE"""),0.0)</f>
        <v>0</v>
      </c>
      <c r="M1397" s="211"/>
      <c r="N1397" s="211"/>
      <c r="O1397" s="211"/>
      <c r="Q1397" s="210" t="str">
        <f>IFERROR(__xludf.DUMMYFUNCTION("""COMPUTED_VALUE"""),"102531397")</f>
        <v>102531397</v>
      </c>
      <c r="R1397" s="210" t="str">
        <f>IFERROR(__xludf.DUMMYFUNCTION("""COMPUTED_VALUE"""),"102531397")</f>
        <v>102531397</v>
      </c>
      <c r="S1397" s="211" t="str">
        <f>IFERROR(__xludf.DUMMYFUNCTION("""COMPUTED_VALUE"""),"45d814b4")</f>
        <v>45d814b4</v>
      </c>
      <c r="T1397" s="211" t="str">
        <f>IFERROR(__xludf.DUMMYFUNCTION("""COMPUTED_VALUE"""),"Bpk. Joko (Ponokawan)")</f>
        <v>Bpk. Joko (Ponokawan)</v>
      </c>
      <c r="U1397" s="215">
        <f>IFERROR(__xludf.DUMMYFUNCTION("""COMPUTED_VALUE"""),45936.60836805555)</f>
        <v>45936.60837</v>
      </c>
      <c r="V1397" s="211" t="str">
        <f>IFERROR(__xludf.DUMMYFUNCTION("""COMPUTED_VALUE"""),"Ponokawan, Krian")</f>
        <v>Ponokawan, Krian</v>
      </c>
      <c r="W1397" s="211" t="str">
        <f>IFERROR(__xludf.DUMMYFUNCTION("""COMPUTED_VALUE"""),"OUT")</f>
        <v>OUT</v>
      </c>
      <c r="X1397" s="211"/>
      <c r="AL1397" s="211"/>
      <c r="AM1397" s="211"/>
      <c r="AN1397" s="211"/>
      <c r="AO1397" s="211"/>
      <c r="AP1397" s="215"/>
      <c r="AQ1397" s="218"/>
      <c r="AR1397" s="211"/>
    </row>
    <row r="1398">
      <c r="A1398" s="210" t="str">
        <f>IFERROR(__xludf.DUMMYFUNCTION("""COMPUTED_VALUE"""),"31059158")</f>
        <v>31059158</v>
      </c>
      <c r="B1398" s="210" t="str">
        <f>IFERROR(__xludf.DUMMYFUNCTION("""COMPUTED_VALUE"""),"31059158")</f>
        <v>31059158</v>
      </c>
      <c r="C1398" s="213">
        <f>IFERROR(__xludf.DUMMYFUNCTION("""COMPUTED_VALUE"""),45860.71805555555)</f>
        <v>45860.71806</v>
      </c>
      <c r="D1398" s="211" t="str">
        <f>IFERROR(__xludf.DUMMYFUNCTION("""COMPUTED_VALUE"""),"ec231cc9")</f>
        <v>ec231cc9</v>
      </c>
      <c r="E1398" s="211" t="str">
        <f>IFERROR(__xludf.DUMMYFUNCTION("""COMPUTED_VALUE"""),"Bpk. Kohir (Maintenance Velg)")</f>
        <v>Bpk. Kohir (Maintenance Velg)</v>
      </c>
      <c r="F1398" s="211" t="str">
        <f>IFERROR(__xludf.DUMMYFUNCTION("""COMPUTED_VALUE"""),"ef306e54")</f>
        <v>ef306e54</v>
      </c>
      <c r="G1398" s="211" t="str">
        <f>IFERROR(__xludf.DUMMYFUNCTION("""COMPUTED_VALUE"""),"Karbondioksida")</f>
        <v>Karbondioksida</v>
      </c>
      <c r="H1398" s="214" t="str">
        <f>IFERROR(__xludf.DUMMYFUNCTION("""COMPUTED_VALUE"""),"IN")</f>
        <v>IN</v>
      </c>
      <c r="I1398" s="214" t="str">
        <f>IFERROR(__xludf.DUMMYFUNCTION("""COMPUTED_VALUE"""),"EMPTY")</f>
        <v>EMPTY</v>
      </c>
      <c r="J1398" s="211">
        <f>IFERROR(__xludf.DUMMYFUNCTION("""COMPUTED_VALUE"""),1.0)</f>
        <v>1</v>
      </c>
      <c r="K1398" s="210" t="str">
        <f>IFERROR(__xludf.DUMMYFUNCTION("""COMPUTED_VALUE"""),"13011")</f>
        <v>13011</v>
      </c>
      <c r="L1398" s="211">
        <f>IFERROR(__xludf.DUMMYFUNCTION("""COMPUTED_VALUE"""),0.0)</f>
        <v>0</v>
      </c>
      <c r="M1398" s="211"/>
      <c r="N1398" s="211"/>
      <c r="O1398" s="211"/>
      <c r="Q1398" s="210" t="str">
        <f>IFERROR(__xludf.DUMMYFUNCTION("""COMPUTED_VALUE"""),"1250648")</f>
        <v>1250648</v>
      </c>
      <c r="R1398" s="210" t="str">
        <f>IFERROR(__xludf.DUMMYFUNCTION("""COMPUTED_VALUE"""),"1250648")</f>
        <v>1250648</v>
      </c>
      <c r="S1398" s="211" t="str">
        <f>IFERROR(__xludf.DUMMYFUNCTION("""COMPUTED_VALUE"""),"3bcd7fe6")</f>
        <v>3bcd7fe6</v>
      </c>
      <c r="T1398" s="211" t="str">
        <f>IFERROR(__xludf.DUMMYFUNCTION("""COMPUTED_VALUE"""),"Bpk. Alvin (LB Group)")</f>
        <v>Bpk. Alvin (LB Group)</v>
      </c>
      <c r="U1398" s="215">
        <f>IFERROR(__xludf.DUMMYFUNCTION("""COMPUTED_VALUE"""),45936.62237268518)</f>
        <v>45936.62237</v>
      </c>
      <c r="V1398" s="211" t="str">
        <f>IFERROR(__xludf.DUMMYFUNCTION("""COMPUTED_VALUE"""),"MFF9+XHC, Jalan, Tambakrejo, Temuireng, Kec. Dawar Blandong, Kabupaten Mojokerto, Jawa Timur 61354")</f>
        <v>MFF9+XHC, Jalan, Tambakrejo, Temuireng, Kec. Dawar Blandong, Kabupaten Mojokerto, Jawa Timur 61354</v>
      </c>
      <c r="W1398" s="211" t="str">
        <f>IFERROR(__xludf.DUMMYFUNCTION("""COMPUTED_VALUE"""),"IN")</f>
        <v>IN</v>
      </c>
      <c r="X1398" s="211"/>
      <c r="AL1398" s="211"/>
      <c r="AM1398" s="211"/>
      <c r="AN1398" s="211"/>
      <c r="AO1398" s="211"/>
      <c r="AP1398" s="215"/>
      <c r="AQ1398" s="218"/>
      <c r="AR1398" s="211"/>
    </row>
    <row r="1399">
      <c r="A1399" s="210" t="str">
        <f>IFERROR(__xludf.DUMMYFUNCTION("""COMPUTED_VALUE"""),"64627324")</f>
        <v>64627324</v>
      </c>
      <c r="B1399" s="210" t="str">
        <f>IFERROR(__xludf.DUMMYFUNCTION("""COMPUTED_VALUE"""),"64627324")</f>
        <v>64627324</v>
      </c>
      <c r="C1399" s="213">
        <f>IFERROR(__xludf.DUMMYFUNCTION("""COMPUTED_VALUE"""),45860.71805555555)</f>
        <v>45860.71806</v>
      </c>
      <c r="D1399" s="211" t="str">
        <f>IFERROR(__xludf.DUMMYFUNCTION("""COMPUTED_VALUE"""),"3bcd7fe6")</f>
        <v>3bcd7fe6</v>
      </c>
      <c r="E1399" s="211" t="str">
        <f>IFERROR(__xludf.DUMMYFUNCTION("""COMPUTED_VALUE"""),"Bpk. Alvin (LB Group)")</f>
        <v>Bpk. Alvin (LB Group)</v>
      </c>
      <c r="F1399" s="211" t="str">
        <f>IFERROR(__xludf.DUMMYFUNCTION("""COMPUTED_VALUE"""),"7d2764f1")</f>
        <v>7d2764f1</v>
      </c>
      <c r="G1399" s="211" t="str">
        <f>IFERROR(__xludf.DUMMYFUNCTION("""COMPUTED_VALUE"""),"Oksigen 7m3")</f>
        <v>Oksigen 7m3</v>
      </c>
      <c r="H1399" s="214" t="str">
        <f>IFERROR(__xludf.DUMMYFUNCTION("""COMPUTED_VALUE"""),"IN")</f>
        <v>IN</v>
      </c>
      <c r="I1399" s="214" t="str">
        <f>IFERROR(__xludf.DUMMYFUNCTION("""COMPUTED_VALUE"""),"EMPTY")</f>
        <v>EMPTY</v>
      </c>
      <c r="J1399" s="211">
        <f>IFERROR(__xludf.DUMMYFUNCTION("""COMPUTED_VALUE"""),3.0)</f>
        <v>3</v>
      </c>
      <c r="K1399" s="210" t="str">
        <f>IFERROR(__xludf.DUMMYFUNCTION("""COMPUTED_VALUE"""),"11163 11145 11225")</f>
        <v>11163 11145 11225</v>
      </c>
      <c r="L1399" s="211">
        <f>IFERROR(__xludf.DUMMYFUNCTION("""COMPUTED_VALUE"""),0.0)</f>
        <v>0</v>
      </c>
      <c r="M1399" s="211"/>
      <c r="N1399" s="211"/>
      <c r="O1399" s="211"/>
      <c r="Q1399" s="210" t="str">
        <f>IFERROR(__xludf.DUMMYFUNCTION("""COMPUTED_VALUE"""),"102521398")</f>
        <v>102521398</v>
      </c>
      <c r="R1399" s="210" t="str">
        <f>IFERROR(__xludf.DUMMYFUNCTION("""COMPUTED_VALUE"""),"102521398")</f>
        <v>102521398</v>
      </c>
      <c r="S1399" s="211" t="str">
        <f>IFERROR(__xludf.DUMMYFUNCTION("""COMPUTED_VALUE"""),"4558672e")</f>
        <v>4558672e</v>
      </c>
      <c r="T1399" s="211" t="str">
        <f>IFERROR(__xludf.DUMMYFUNCTION("""COMPUTED_VALUE"""),"Bpk. Sumargiono")</f>
        <v>Bpk. Sumargiono</v>
      </c>
      <c r="U1399" s="215">
        <f>IFERROR(__xludf.DUMMYFUNCTION("""COMPUTED_VALUE"""),45936.634560185186)</f>
        <v>45936.63456</v>
      </c>
      <c r="V1399" s="211" t="str">
        <f>IFERROR(__xludf.DUMMYFUNCTION("""COMPUTED_VALUE"""),"Balongbendo, RT 04 RW 02 Balongbendo, Balongbendo")</f>
        <v>Balongbendo, RT 04 RW 02 Balongbendo, Balongbendo</v>
      </c>
      <c r="W1399" s="211" t="str">
        <f>IFERROR(__xludf.DUMMYFUNCTION("""COMPUTED_VALUE"""),"OUT")</f>
        <v>OUT</v>
      </c>
      <c r="X1399" s="211"/>
      <c r="AL1399" s="211"/>
      <c r="AM1399" s="211"/>
      <c r="AN1399" s="211"/>
      <c r="AO1399" s="211"/>
      <c r="AP1399" s="215"/>
      <c r="AQ1399" s="218"/>
      <c r="AR1399" s="211"/>
    </row>
    <row r="1400">
      <c r="A1400" s="210" t="str">
        <f>IFERROR(__xludf.DUMMYFUNCTION("""COMPUTED_VALUE"""),"64627324")</f>
        <v>64627324</v>
      </c>
      <c r="B1400" s="210" t="str">
        <f>IFERROR(__xludf.DUMMYFUNCTION("""COMPUTED_VALUE"""),"64627324")</f>
        <v>64627324</v>
      </c>
      <c r="C1400" s="213">
        <f>IFERROR(__xludf.DUMMYFUNCTION("""COMPUTED_VALUE"""),45860.71805555555)</f>
        <v>45860.71806</v>
      </c>
      <c r="D1400" s="211" t="str">
        <f>IFERROR(__xludf.DUMMYFUNCTION("""COMPUTED_VALUE"""),"3bcd7fe6")</f>
        <v>3bcd7fe6</v>
      </c>
      <c r="E1400" s="211" t="str">
        <f>IFERROR(__xludf.DUMMYFUNCTION("""COMPUTED_VALUE"""),"Bpk. Alvin (LB Group)")</f>
        <v>Bpk. Alvin (LB Group)</v>
      </c>
      <c r="F1400" s="211" t="str">
        <f>IFERROR(__xludf.DUMMYFUNCTION("""COMPUTED_VALUE"""),"66af7c72")</f>
        <v>66af7c72</v>
      </c>
      <c r="G1400" s="211" t="str">
        <f>IFERROR(__xludf.DUMMYFUNCTION("""COMPUTED_VALUE"""),"Argon 6m3")</f>
        <v>Argon 6m3</v>
      </c>
      <c r="H1400" s="214" t="str">
        <f>IFERROR(__xludf.DUMMYFUNCTION("""COMPUTED_VALUE"""),"IN")</f>
        <v>IN</v>
      </c>
      <c r="I1400" s="214" t="str">
        <f>IFERROR(__xludf.DUMMYFUNCTION("""COMPUTED_VALUE"""),"EMPTY")</f>
        <v>EMPTY</v>
      </c>
      <c r="J1400" s="211">
        <f>IFERROR(__xludf.DUMMYFUNCTION("""COMPUTED_VALUE"""),2.0)</f>
        <v>2</v>
      </c>
      <c r="K1400" s="210" t="str">
        <f>IFERROR(__xludf.DUMMYFUNCTION("""COMPUTED_VALUE"""),"12036 12012")</f>
        <v>12036 12012</v>
      </c>
      <c r="L1400" s="211">
        <f>IFERROR(__xludf.DUMMYFUNCTION("""COMPUTED_VALUE"""),0.0)</f>
        <v>0</v>
      </c>
      <c r="M1400" s="211"/>
      <c r="N1400" s="211"/>
      <c r="O1400" s="211"/>
      <c r="Q1400" s="210" t="str">
        <f>IFERROR(__xludf.DUMMYFUNCTION("""COMPUTED_VALUE"""),"1250649")</f>
        <v>1250649</v>
      </c>
      <c r="R1400" s="210" t="str">
        <f>IFERROR(__xludf.DUMMYFUNCTION("""COMPUTED_VALUE"""),"1250649")</f>
        <v>1250649</v>
      </c>
      <c r="S1400" s="211" t="str">
        <f>IFERROR(__xludf.DUMMYFUNCTION("""COMPUTED_VALUE"""),"45d814b4")</f>
        <v>45d814b4</v>
      </c>
      <c r="T1400" s="211" t="str">
        <f>IFERROR(__xludf.DUMMYFUNCTION("""COMPUTED_VALUE"""),"Bpk. Joko (Ponokawan)")</f>
        <v>Bpk. Joko (Ponokawan)</v>
      </c>
      <c r="U1400" s="215">
        <f>IFERROR(__xludf.DUMMYFUNCTION("""COMPUTED_VALUE"""),45936.660833333335)</f>
        <v>45936.66083</v>
      </c>
      <c r="V1400" s="211" t="str">
        <f>IFERROR(__xludf.DUMMYFUNCTION("""COMPUTED_VALUE"""),"Ponokawan, Krian")</f>
        <v>Ponokawan, Krian</v>
      </c>
      <c r="W1400" s="211" t="str">
        <f>IFERROR(__xludf.DUMMYFUNCTION("""COMPUTED_VALUE"""),"IN")</f>
        <v>IN</v>
      </c>
      <c r="X1400" s="211"/>
      <c r="AL1400" s="211"/>
      <c r="AM1400" s="211"/>
      <c r="AN1400" s="211"/>
      <c r="AO1400" s="211"/>
      <c r="AP1400" s="215"/>
      <c r="AQ1400" s="218"/>
      <c r="AR1400" s="211"/>
    </row>
    <row r="1401">
      <c r="A1401" s="210" t="str">
        <f>IFERROR(__xludf.DUMMYFUNCTION("""COMPUTED_VALUE"""),"64627324")</f>
        <v>64627324</v>
      </c>
      <c r="B1401" s="210" t="str">
        <f>IFERROR(__xludf.DUMMYFUNCTION("""COMPUTED_VALUE"""),"64627324")</f>
        <v>64627324</v>
      </c>
      <c r="C1401" s="213">
        <f>IFERROR(__xludf.DUMMYFUNCTION("""COMPUTED_VALUE"""),45860.71875)</f>
        <v>45860.71875</v>
      </c>
      <c r="D1401" s="211" t="str">
        <f>IFERROR(__xludf.DUMMYFUNCTION("""COMPUTED_VALUE"""),"3bcd7fe6")</f>
        <v>3bcd7fe6</v>
      </c>
      <c r="E1401" s="211" t="str">
        <f>IFERROR(__xludf.DUMMYFUNCTION("""COMPUTED_VALUE"""),"Bpk. Alvin (LB Group)")</f>
        <v>Bpk. Alvin (LB Group)</v>
      </c>
      <c r="F1401" s="211" t="str">
        <f>IFERROR(__xludf.DUMMYFUNCTION("""COMPUTED_VALUE"""),"f6aab7a9")</f>
        <v>f6aab7a9</v>
      </c>
      <c r="G1401" s="211" t="str">
        <f>IFERROR(__xludf.DUMMYFUNCTION("""COMPUTED_VALUE"""),"Oksigen 6m3 MR")</f>
        <v>Oksigen 6m3 MR</v>
      </c>
      <c r="H1401" s="214" t="str">
        <f>IFERROR(__xludf.DUMMYFUNCTION("""COMPUTED_VALUE"""),"IN")</f>
        <v>IN</v>
      </c>
      <c r="I1401" s="214" t="str">
        <f>IFERROR(__xludf.DUMMYFUNCTION("""COMPUTED_VALUE"""),"EMPTY")</f>
        <v>EMPTY</v>
      </c>
      <c r="J1401" s="211">
        <f>IFERROR(__xludf.DUMMYFUNCTION("""COMPUTED_VALUE"""),3.0)</f>
        <v>3</v>
      </c>
      <c r="K1401" s="211"/>
      <c r="L1401" s="211">
        <f>IFERROR(__xludf.DUMMYFUNCTION("""COMPUTED_VALUE"""),0.0)</f>
        <v>0</v>
      </c>
      <c r="M1401" s="211"/>
      <c r="N1401" s="211"/>
      <c r="O1401" s="211"/>
      <c r="Q1401" s="210" t="str">
        <f>IFERROR(__xludf.DUMMYFUNCTION("""COMPUTED_VALUE"""),"1025141400")</f>
        <v>1025141400</v>
      </c>
      <c r="R1401" s="210" t="str">
        <f>IFERROR(__xludf.DUMMYFUNCTION("""COMPUTED_VALUE"""),"1025141400")</f>
        <v>1025141400</v>
      </c>
      <c r="S1401" s="211" t="str">
        <f>IFERROR(__xludf.DUMMYFUNCTION("""COMPUTED_VALUE"""),"e968afef")</f>
        <v>e968afef</v>
      </c>
      <c r="T1401" s="211" t="str">
        <f>IFERROR(__xludf.DUMMYFUNCTION("""COMPUTED_VALUE"""),"Bpk. Agus")</f>
        <v>Bpk. Agus</v>
      </c>
      <c r="U1401" s="215">
        <f>IFERROR(__xludf.DUMMYFUNCTION("""COMPUTED_VALUE"""),45937.38002314815)</f>
        <v>45937.38002</v>
      </c>
      <c r="V1401" s="211" t="str">
        <f>IFERROR(__xludf.DUMMYFUNCTION("""COMPUTED_VALUE"""),"Jl. Parengan 13, Semawut, Balongbendo, Kec. BalongBendo, Kabupaten Sidoarjo, Jawa Timur 61263")</f>
        <v>Jl. Parengan 13, Semawut, Balongbendo, Kec. BalongBendo, Kabupaten Sidoarjo, Jawa Timur 61263</v>
      </c>
      <c r="W1401" s="211" t="str">
        <f>IFERROR(__xludf.DUMMYFUNCTION("""COMPUTED_VALUE"""),"OUT")</f>
        <v>OUT</v>
      </c>
      <c r="X1401" s="211"/>
      <c r="AL1401" s="211"/>
      <c r="AM1401" s="211"/>
      <c r="AN1401" s="211"/>
      <c r="AO1401" s="211"/>
      <c r="AP1401" s="215"/>
      <c r="AQ1401" s="218"/>
      <c r="AR1401" s="211"/>
    </row>
    <row r="1402">
      <c r="A1402" s="210" t="str">
        <f>IFERROR(__xludf.DUMMYFUNCTION("""COMPUTED_VALUE"""),"407250018")</f>
        <v>407250018</v>
      </c>
      <c r="B1402" s="210" t="str">
        <f>IFERROR(__xludf.DUMMYFUNCTION("""COMPUTED_VALUE"""),"407250018")</f>
        <v>407250018</v>
      </c>
      <c r="C1402" s="213">
        <f>IFERROR(__xludf.DUMMYFUNCTION("""COMPUTED_VALUE"""),45861.50833333333)</f>
        <v>45861.50833</v>
      </c>
      <c r="D1402" s="211" t="str">
        <f>IFERROR(__xludf.DUMMYFUNCTION("""COMPUTED_VALUE"""),"3bcd7fe6")</f>
        <v>3bcd7fe6</v>
      </c>
      <c r="E1402" s="211" t="str">
        <f>IFERROR(__xludf.DUMMYFUNCTION("""COMPUTED_VALUE"""),"Bpk. Alvin (LB Group)")</f>
        <v>Bpk. Alvin (LB Group)</v>
      </c>
      <c r="F1402" s="211" t="str">
        <f>IFERROR(__xludf.DUMMYFUNCTION("""COMPUTED_VALUE"""),"7d2764f1")</f>
        <v>7d2764f1</v>
      </c>
      <c r="G1402" s="211" t="str">
        <f>IFERROR(__xludf.DUMMYFUNCTION("""COMPUTED_VALUE"""),"Oksigen 7m3")</f>
        <v>Oksigen 7m3</v>
      </c>
      <c r="H1402" s="214" t="str">
        <f>IFERROR(__xludf.DUMMYFUNCTION("""COMPUTED_VALUE"""),"OTHER")</f>
        <v>OTHER</v>
      </c>
      <c r="I1402" s="214" t="str">
        <f>IFERROR(__xludf.DUMMYFUNCTION("""COMPUTED_VALUE"""),"RETUR CLAIM")</f>
        <v>RETUR CLAIM</v>
      </c>
      <c r="J1402" s="211">
        <f>IFERROR(__xludf.DUMMYFUNCTION("""COMPUTED_VALUE"""),4.0)</f>
        <v>4</v>
      </c>
      <c r="K1402" s="210" t="str">
        <f>IFERROR(__xludf.DUMMYFUNCTION("""COMPUTED_VALUE"""),"11228 11244 11237 11234")</f>
        <v>11228 11244 11237 11234</v>
      </c>
      <c r="L1402" s="211">
        <f>IFERROR(__xludf.DUMMYFUNCTION("""COMPUTED_VALUE"""),0.0)</f>
        <v>0</v>
      </c>
      <c r="M1402" s="211"/>
      <c r="N1402" s="211"/>
      <c r="O1402" s="211"/>
      <c r="Q1402" s="210" t="str">
        <f>IFERROR(__xludf.DUMMYFUNCTION("""COMPUTED_VALUE"""),"1025121402")</f>
        <v>1025121402</v>
      </c>
      <c r="R1402" s="210" t="str">
        <f>IFERROR(__xludf.DUMMYFUNCTION("""COMPUTED_VALUE"""),"1025121402")</f>
        <v>1025121402</v>
      </c>
      <c r="S1402" s="211" t="str">
        <f>IFERROR(__xludf.DUMMYFUNCTION("""COMPUTED_VALUE"""),"4ec68cf6")</f>
        <v>4ec68cf6</v>
      </c>
      <c r="T1402" s="211" t="str">
        <f>IFERROR(__xludf.DUMMYFUNCTION("""COMPUTED_VALUE"""),"CV Sido Mukti Karya")</f>
        <v>CV Sido Mukti Karya</v>
      </c>
      <c r="U1402" s="215">
        <f>IFERROR(__xludf.DUMMYFUNCTION("""COMPUTED_VALUE"""),45937.43226851852)</f>
        <v>45937.43227</v>
      </c>
      <c r="V1402" s="211" t="str">
        <f>IFERROR(__xludf.DUMMYFUNCTION("""COMPUTED_VALUE"""),"Pergudangan Center Point no A3, Kemangsen")</f>
        <v>Pergudangan Center Point no A3, Kemangsen</v>
      </c>
      <c r="W1402" s="211" t="str">
        <f>IFERROR(__xludf.DUMMYFUNCTION("""COMPUTED_VALUE"""),"OUT")</f>
        <v>OUT</v>
      </c>
      <c r="X1402" s="211"/>
      <c r="AL1402" s="211"/>
      <c r="AM1402" s="211"/>
      <c r="AN1402" s="211"/>
      <c r="AO1402" s="211"/>
      <c r="AP1402" s="215"/>
      <c r="AQ1402" s="218"/>
      <c r="AR1402" s="211"/>
    </row>
    <row r="1403">
      <c r="A1403" s="210" t="str">
        <f>IFERROR(__xludf.DUMMYFUNCTION("""COMPUTED_VALUE"""),"6e5f3182")</f>
        <v>6e5f3182</v>
      </c>
      <c r="B1403" s="210" t="str">
        <f>IFERROR(__xludf.DUMMYFUNCTION("""COMPUTED_VALUE"""),"6e5f3182")</f>
        <v>6e5f3182</v>
      </c>
      <c r="C1403" s="213">
        <f>IFERROR(__xludf.DUMMYFUNCTION("""COMPUTED_VALUE"""),45861.510416666664)</f>
        <v>45861.51042</v>
      </c>
      <c r="D1403" s="211" t="str">
        <f>IFERROR(__xludf.DUMMYFUNCTION("""COMPUTED_VALUE"""),"3bcd7fe6")</f>
        <v>3bcd7fe6</v>
      </c>
      <c r="E1403" s="211" t="str">
        <f>IFERROR(__xludf.DUMMYFUNCTION("""COMPUTED_VALUE"""),"Bpk. Alvin (LB Group)")</f>
        <v>Bpk. Alvin (LB Group)</v>
      </c>
      <c r="F1403" s="211" t="str">
        <f>IFERROR(__xludf.DUMMYFUNCTION("""COMPUTED_VALUE"""),"7d2764f1")</f>
        <v>7d2764f1</v>
      </c>
      <c r="G1403" s="211" t="str">
        <f>IFERROR(__xludf.DUMMYFUNCTION("""COMPUTED_VALUE"""),"Oksigen 7m3")</f>
        <v>Oksigen 7m3</v>
      </c>
      <c r="H1403" s="214" t="str">
        <f>IFERROR(__xludf.DUMMYFUNCTION("""COMPUTED_VALUE"""),"IN")</f>
        <v>IN</v>
      </c>
      <c r="I1403" s="214" t="str">
        <f>IFERROR(__xludf.DUMMYFUNCTION("""COMPUTED_VALUE"""),"CLAIM")</f>
        <v>CLAIM</v>
      </c>
      <c r="J1403" s="211">
        <f>IFERROR(__xludf.DUMMYFUNCTION("""COMPUTED_VALUE"""),3.0)</f>
        <v>3</v>
      </c>
      <c r="K1403" s="210" t="str">
        <f>IFERROR(__xludf.DUMMYFUNCTION("""COMPUTED_VALUE"""),"11138 11142 11152")</f>
        <v>11138 11142 11152</v>
      </c>
      <c r="L1403" s="211">
        <f>IFERROR(__xludf.DUMMYFUNCTION("""COMPUTED_VALUE"""),0.0)</f>
        <v>0</v>
      </c>
      <c r="M1403" s="211"/>
      <c r="N1403" s="211"/>
      <c r="O1403" s="211"/>
      <c r="Q1403" s="210" t="str">
        <f>IFERROR(__xludf.DUMMYFUNCTION("""COMPUTED_VALUE"""),"1025321403")</f>
        <v>1025321403</v>
      </c>
      <c r="R1403" s="210" t="str">
        <f>IFERROR(__xludf.DUMMYFUNCTION("""COMPUTED_VALUE"""),"1025321403")</f>
        <v>1025321403</v>
      </c>
      <c r="S1403" s="211" t="str">
        <f>IFERROR(__xludf.DUMMYFUNCTION("""COMPUTED_VALUE"""),"01158be1")</f>
        <v>01158be1</v>
      </c>
      <c r="T1403" s="211" t="str">
        <f>IFERROR(__xludf.DUMMYFUNCTION("""COMPUTED_VALUE"""),"GYF")</f>
        <v>GYF</v>
      </c>
      <c r="U1403" s="215">
        <f>IFERROR(__xludf.DUMMYFUNCTION("""COMPUTED_VALUE"""),45937.56548611111)</f>
        <v>45937.56549</v>
      </c>
      <c r="V1403" s="211" t="str">
        <f>IFERROR(__xludf.DUMMYFUNCTION("""COMPUTED_VALUE"""),"Kangkungan, Lengkong, Kec. Mojoanyar, Kabupaten Mojokerto, Jawa Timur")</f>
        <v>Kangkungan, Lengkong, Kec. Mojoanyar, Kabupaten Mojokerto, Jawa Timur</v>
      </c>
      <c r="W1403" s="211" t="str">
        <f>IFERROR(__xludf.DUMMYFUNCTION("""COMPUTED_VALUE"""),"OUT")</f>
        <v>OUT</v>
      </c>
      <c r="X1403" s="211"/>
      <c r="AL1403" s="211"/>
      <c r="AM1403" s="211"/>
      <c r="AN1403" s="211"/>
      <c r="AO1403" s="211"/>
      <c r="AP1403" s="215"/>
      <c r="AQ1403" s="218"/>
      <c r="AR1403" s="211"/>
    </row>
    <row r="1404">
      <c r="A1404" s="210" t="str">
        <f>IFERROR(__xludf.DUMMYFUNCTION("""COMPUTED_VALUE"""),"63af65d8")</f>
        <v>63af65d8</v>
      </c>
      <c r="B1404" s="210" t="str">
        <f>IFERROR(__xludf.DUMMYFUNCTION("""COMPUTED_VALUE"""),"63af65d8")</f>
        <v>63af65d8</v>
      </c>
      <c r="C1404" s="213">
        <f>IFERROR(__xludf.DUMMYFUNCTION("""COMPUTED_VALUE"""),45861.53472222222)</f>
        <v>45861.53472</v>
      </c>
      <c r="D1404" s="211" t="str">
        <f>IFERROR(__xludf.DUMMYFUNCTION("""COMPUTED_VALUE"""),"e76bc39c")</f>
        <v>e76bc39c</v>
      </c>
      <c r="E1404" s="211" t="str">
        <f>IFERROR(__xludf.DUMMYFUNCTION("""COMPUTED_VALUE"""),"Bpk. Irul")</f>
        <v>Bpk. Irul</v>
      </c>
      <c r="F1404" s="211" t="str">
        <f>IFERROR(__xludf.DUMMYFUNCTION("""COMPUTED_VALUE"""),"8bdbe149")</f>
        <v>8bdbe149</v>
      </c>
      <c r="G1404" s="211" t="str">
        <f>IFERROR(__xludf.DUMMYFUNCTION("""COMPUTED_VALUE"""),"Oksigen 6m3")</f>
        <v>Oksigen 6m3</v>
      </c>
      <c r="H1404" s="214" t="str">
        <f>IFERROR(__xludf.DUMMYFUNCTION("""COMPUTED_VALUE"""),"IN")</f>
        <v>IN</v>
      </c>
      <c r="I1404" s="214" t="str">
        <f>IFERROR(__xludf.DUMMYFUNCTION("""COMPUTED_VALUE"""),"EMPTY")</f>
        <v>EMPTY</v>
      </c>
      <c r="J1404" s="211">
        <f>IFERROR(__xludf.DUMMYFUNCTION("""COMPUTED_VALUE"""),2.0)</f>
        <v>2</v>
      </c>
      <c r="K1404" s="210" t="str">
        <f>IFERROR(__xludf.DUMMYFUNCTION("""COMPUTED_VALUE"""),"11242 11111")</f>
        <v>11242 11111</v>
      </c>
      <c r="L1404" s="211">
        <f>IFERROR(__xludf.DUMMYFUNCTION("""COMPUTED_VALUE"""),0.0)</f>
        <v>0</v>
      </c>
      <c r="M1404" s="211"/>
      <c r="N1404" s="211"/>
      <c r="O1404" s="211"/>
      <c r="Q1404" s="210" t="str">
        <f>IFERROR(__xludf.DUMMYFUNCTION("""COMPUTED_VALUE"""),"1250623")</f>
        <v>1250623</v>
      </c>
      <c r="R1404" s="210" t="str">
        <f>IFERROR(__xludf.DUMMYFUNCTION("""COMPUTED_VALUE"""),"1250623")</f>
        <v>1250623</v>
      </c>
      <c r="S1404" s="211" t="str">
        <f>IFERROR(__xludf.DUMMYFUNCTION("""COMPUTED_VALUE"""),"e968afef")</f>
        <v>e968afef</v>
      </c>
      <c r="T1404" s="211" t="str">
        <f>IFERROR(__xludf.DUMMYFUNCTION("""COMPUTED_VALUE"""),"Bpk. Agus")</f>
        <v>Bpk. Agus</v>
      </c>
      <c r="U1404" s="215">
        <f>IFERROR(__xludf.DUMMYFUNCTION("""COMPUTED_VALUE"""),45937.68015046296)</f>
        <v>45937.68015</v>
      </c>
      <c r="V1404" s="211" t="str">
        <f>IFERROR(__xludf.DUMMYFUNCTION("""COMPUTED_VALUE"""),"Jl. Parengan 13, Semawut, Balongbendo, Kec. BalongBendo, Kabupaten Sidoarjo, Jawa Timur 61263")</f>
        <v>Jl. Parengan 13, Semawut, Balongbendo, Kec. BalongBendo, Kabupaten Sidoarjo, Jawa Timur 61263</v>
      </c>
      <c r="W1404" s="211" t="str">
        <f>IFERROR(__xludf.DUMMYFUNCTION("""COMPUTED_VALUE"""),"IN")</f>
        <v>IN</v>
      </c>
      <c r="X1404" s="211"/>
      <c r="AL1404" s="211"/>
      <c r="AM1404" s="211"/>
      <c r="AN1404" s="211"/>
      <c r="AO1404" s="211"/>
      <c r="AP1404" s="215"/>
      <c r="AQ1404" s="218"/>
      <c r="AR1404" s="211"/>
    </row>
    <row r="1405">
      <c r="A1405" s="210" t="str">
        <f>IFERROR(__xludf.DUMMYFUNCTION("""COMPUTED_VALUE"""),"331f20a4")</f>
        <v>331f20a4</v>
      </c>
      <c r="B1405" s="210" t="str">
        <f>IFERROR(__xludf.DUMMYFUNCTION("""COMPUTED_VALUE"""),"331f20a4")</f>
        <v>331f20a4</v>
      </c>
      <c r="C1405" s="213">
        <f>IFERROR(__xludf.DUMMYFUNCTION("""COMPUTED_VALUE"""),45861.56458333333)</f>
        <v>45861.56458</v>
      </c>
      <c r="D1405" s="211" t="str">
        <f>IFERROR(__xludf.DUMMYFUNCTION("""COMPUTED_VALUE"""),"d78b2eaf")</f>
        <v>d78b2eaf</v>
      </c>
      <c r="E1405" s="211" t="str">
        <f>IFERROR(__xludf.DUMMYFUNCTION("""COMPUTED_VALUE"""),"PT Sinar Indogreen Kencana")</f>
        <v>PT Sinar Indogreen Kencana</v>
      </c>
      <c r="F1405" s="211" t="str">
        <f>IFERROR(__xludf.DUMMYFUNCTION("""COMPUTED_VALUE"""),"be525f3b")</f>
        <v>be525f3b</v>
      </c>
      <c r="G1405" s="211" t="str">
        <f>IFERROR(__xludf.DUMMYFUNCTION("""COMPUTED_VALUE"""),"LPG 12kg")</f>
        <v>LPG 12kg</v>
      </c>
      <c r="H1405" s="214" t="str">
        <f>IFERROR(__xludf.DUMMYFUNCTION("""COMPUTED_VALUE"""),"IN")</f>
        <v>IN</v>
      </c>
      <c r="I1405" s="214" t="str">
        <f>IFERROR(__xludf.DUMMYFUNCTION("""COMPUTED_VALUE"""),"EMPTY")</f>
        <v>EMPTY</v>
      </c>
      <c r="J1405" s="211">
        <f>IFERROR(__xludf.DUMMYFUNCTION("""COMPUTED_VALUE"""),2.0)</f>
        <v>2</v>
      </c>
      <c r="K1405" s="211"/>
      <c r="L1405" s="211">
        <f>IFERROR(__xludf.DUMMYFUNCTION("""COMPUTED_VALUE"""),0.0)</f>
        <v>0</v>
      </c>
      <c r="M1405" s="211"/>
      <c r="N1405" s="211"/>
      <c r="O1405" s="211"/>
      <c r="Q1405" s="210" t="str">
        <f>IFERROR(__xludf.DUMMYFUNCTION("""COMPUTED_VALUE"""),"1025151404")</f>
        <v>1025151404</v>
      </c>
      <c r="R1405" s="210" t="str">
        <f>IFERROR(__xludf.DUMMYFUNCTION("""COMPUTED_VALUE"""),"1025151404")</f>
        <v>1025151404</v>
      </c>
      <c r="S1405" s="211" t="str">
        <f>IFERROR(__xludf.DUMMYFUNCTION("""COMPUTED_VALUE"""),"182fb0fe")</f>
        <v>182fb0fe</v>
      </c>
      <c r="T1405" s="211" t="str">
        <f>IFERROR(__xludf.DUMMYFUNCTION("""COMPUTED_VALUE"""),"PT Amtech")</f>
        <v>PT Amtech</v>
      </c>
      <c r="U1405" s="215">
        <f>IFERROR(__xludf.DUMMYFUNCTION("""COMPUTED_VALUE"""),45938.36178240741)</f>
        <v>45938.36178</v>
      </c>
      <c r="V1405"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405" s="211" t="str">
        <f>IFERROR(__xludf.DUMMYFUNCTION("""COMPUTED_VALUE"""),"OUT")</f>
        <v>OUT</v>
      </c>
      <c r="X1405" s="211"/>
      <c r="AL1405" s="211"/>
      <c r="AM1405" s="211"/>
      <c r="AN1405" s="211"/>
      <c r="AO1405" s="211"/>
      <c r="AP1405" s="215"/>
      <c r="AQ1405" s="218"/>
      <c r="AR1405" s="211"/>
    </row>
    <row r="1406">
      <c r="A1406" s="211"/>
      <c r="B1406" s="211"/>
      <c r="C1406" s="211"/>
      <c r="D1406" s="211"/>
      <c r="E1406" s="211"/>
      <c r="F1406" s="211"/>
      <c r="G1406" s="211"/>
      <c r="H1406" s="211"/>
      <c r="I1406" s="211"/>
      <c r="J1406" s="211"/>
      <c r="K1406" s="211"/>
      <c r="L1406" s="211"/>
      <c r="M1406" s="211"/>
      <c r="N1406" s="211"/>
      <c r="O1406" s="211"/>
      <c r="Q1406" s="210" t="str">
        <f>IFERROR(__xludf.DUMMYFUNCTION("""COMPUTED_VALUE"""),"1250624")</f>
        <v>1250624</v>
      </c>
      <c r="R1406" s="210" t="str">
        <f>IFERROR(__xludf.DUMMYFUNCTION("""COMPUTED_VALUE"""),"1250624")</f>
        <v>1250624</v>
      </c>
      <c r="S1406" s="211" t="str">
        <f>IFERROR(__xludf.DUMMYFUNCTION("""COMPUTED_VALUE"""),"182fb0fe")</f>
        <v>182fb0fe</v>
      </c>
      <c r="T1406" s="211" t="str">
        <f>IFERROR(__xludf.DUMMYFUNCTION("""COMPUTED_VALUE"""),"PT Amtech")</f>
        <v>PT Amtech</v>
      </c>
      <c r="U1406" s="215">
        <f>IFERROR(__xludf.DUMMYFUNCTION("""COMPUTED_VALUE"""),45938.45518518519)</f>
        <v>45938.45519</v>
      </c>
      <c r="V1406"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406" s="211" t="str">
        <f>IFERROR(__xludf.DUMMYFUNCTION("""COMPUTED_VALUE"""),"IN")</f>
        <v>IN</v>
      </c>
      <c r="X1406" s="211"/>
      <c r="AL1406" s="211"/>
      <c r="AM1406" s="211"/>
      <c r="AN1406" s="211"/>
      <c r="AO1406" s="211"/>
      <c r="AP1406" s="215"/>
      <c r="AQ1406" s="218"/>
      <c r="AR1406" s="211"/>
    </row>
    <row r="1407">
      <c r="A1407" s="211"/>
      <c r="B1407" s="211"/>
      <c r="C1407" s="211"/>
      <c r="D1407" s="211"/>
      <c r="E1407" s="211"/>
      <c r="F1407" s="211"/>
      <c r="G1407" s="211"/>
      <c r="H1407" s="211"/>
      <c r="I1407" s="211"/>
      <c r="J1407" s="211"/>
      <c r="K1407" s="211"/>
      <c r="L1407" s="211"/>
      <c r="M1407" s="211"/>
      <c r="N1407" s="211"/>
      <c r="O1407" s="211"/>
      <c r="Q1407" s="210" t="str">
        <f>IFERROR(__xludf.DUMMYFUNCTION("""COMPUTED_VALUE"""),"1250651")</f>
        <v>1250651</v>
      </c>
      <c r="R1407" s="210" t="str">
        <f>IFERROR(__xludf.DUMMYFUNCTION("""COMPUTED_VALUE"""),"1250651")</f>
        <v>1250651</v>
      </c>
      <c r="S1407" s="211" t="str">
        <f>IFERROR(__xludf.DUMMYFUNCTION("""COMPUTED_VALUE"""),"01158be1")</f>
        <v>01158be1</v>
      </c>
      <c r="T1407" s="211" t="str">
        <f>IFERROR(__xludf.DUMMYFUNCTION("""COMPUTED_VALUE"""),"GYF")</f>
        <v>GYF</v>
      </c>
      <c r="U1407" s="215">
        <f>IFERROR(__xludf.DUMMYFUNCTION("""COMPUTED_VALUE"""),45938.49931712963)</f>
        <v>45938.49932</v>
      </c>
      <c r="V1407" s="211" t="str">
        <f>IFERROR(__xludf.DUMMYFUNCTION("""COMPUTED_VALUE"""),"Kangkungan, Lengkong, Kec. Mojoanyar, Kabupaten Mojokerto, Jawa Timur")</f>
        <v>Kangkungan, Lengkong, Kec. Mojoanyar, Kabupaten Mojokerto, Jawa Timur</v>
      </c>
      <c r="W1407" s="211" t="str">
        <f>IFERROR(__xludf.DUMMYFUNCTION("""COMPUTED_VALUE"""),"IN")</f>
        <v>IN</v>
      </c>
      <c r="X1407" s="211"/>
      <c r="AL1407" s="211"/>
      <c r="AM1407" s="211"/>
      <c r="AN1407" s="211"/>
      <c r="AO1407" s="211"/>
      <c r="AP1407" s="215"/>
      <c r="AQ1407" s="218"/>
      <c r="AR1407" s="211"/>
    </row>
    <row r="1408">
      <c r="A1408" s="210" t="str">
        <f>IFERROR(__xludf.DUMMYFUNCTION("""COMPUTED_VALUE"""),"07250602")</f>
        <v>07250602</v>
      </c>
      <c r="B1408" s="210" t="str">
        <f>IFERROR(__xludf.DUMMYFUNCTION("""COMPUTED_VALUE"""),"07250602")</f>
        <v>07250602</v>
      </c>
      <c r="C1408" s="213">
        <f>IFERROR(__xludf.DUMMYFUNCTION("""COMPUTED_VALUE"""),45861.58472222222)</f>
        <v>45861.58472</v>
      </c>
      <c r="D1408" s="211" t="str">
        <f>IFERROR(__xludf.DUMMYFUNCTION("""COMPUTED_VALUE"""),"eec2e801")</f>
        <v>eec2e801</v>
      </c>
      <c r="E1408" s="211" t="str">
        <f>IFERROR(__xludf.DUMMYFUNCTION("""COMPUTED_VALUE"""),"Mitra Wood Sejahtera")</f>
        <v>Mitra Wood Sejahtera</v>
      </c>
      <c r="F1408" s="211" t="str">
        <f>IFERROR(__xludf.DUMMYFUNCTION("""COMPUTED_VALUE"""),"8bdbe149")</f>
        <v>8bdbe149</v>
      </c>
      <c r="G1408" s="211" t="str">
        <f>IFERROR(__xludf.DUMMYFUNCTION("""COMPUTED_VALUE"""),"Oksigen 6m3")</f>
        <v>Oksigen 6m3</v>
      </c>
      <c r="H1408" s="214" t="str">
        <f>IFERROR(__xludf.DUMMYFUNCTION("""COMPUTED_VALUE"""),"OUT")</f>
        <v>OUT</v>
      </c>
      <c r="I1408" s="214" t="str">
        <f>IFERROR(__xludf.DUMMYFUNCTION("""COMPUTED_VALUE"""),"NORMAL")</f>
        <v>NORMAL</v>
      </c>
      <c r="J1408" s="211">
        <f>IFERROR(__xludf.DUMMYFUNCTION("""COMPUTED_VALUE"""),10.0)</f>
        <v>10</v>
      </c>
      <c r="K1408" s="210" t="str">
        <f>IFERROR(__xludf.DUMMYFUNCTION("""COMPUTED_VALUE"""),"11229 1120 11255 1142 1130 1163 11133 1150 11277 1199")</f>
        <v>11229 1120 11255 1142 1130 1163 11133 1150 11277 1199</v>
      </c>
      <c r="L1408" s="211">
        <f>IFERROR(__xludf.DUMMYFUNCTION("""COMPUTED_VALUE"""),55000.0)</f>
        <v>55000</v>
      </c>
      <c r="M1408" s="211"/>
      <c r="N1408" s="211"/>
      <c r="O1408" s="211"/>
      <c r="Q1408" s="210" t="str">
        <f>IFERROR(__xludf.DUMMYFUNCTION("""COMPUTED_VALUE"""),"102531406")</f>
        <v>102531406</v>
      </c>
      <c r="R1408" s="210" t="str">
        <f>IFERROR(__xludf.DUMMYFUNCTION("""COMPUTED_VALUE"""),"102531406")</f>
        <v>102531406</v>
      </c>
      <c r="S1408" s="211" t="str">
        <f>IFERROR(__xludf.DUMMYFUNCTION("""COMPUTED_VALUE"""),"370c84d1")</f>
        <v>370c84d1</v>
      </c>
      <c r="T1408" s="211" t="str">
        <f>IFERROR(__xludf.DUMMYFUNCTION("""COMPUTED_VALUE"""),"PT. Citra Bintang Karya")</f>
        <v>PT. Citra Bintang Karya</v>
      </c>
      <c r="U1408" s="215">
        <f>IFERROR(__xludf.DUMMYFUNCTION("""COMPUTED_VALUE"""),45938.56119212963)</f>
        <v>45938.56119</v>
      </c>
      <c r="V1408" s="211" t="str">
        <f>IFERROR(__xludf.DUMMYFUNCTION("""COMPUTED_VALUE"""),"JL. Mayjen Bambang Yuwono No.21, Sirapan, Kemangsen, Kec. Balongbendo, Kabupaten Sidoarjo, Jawa Timur 61262")</f>
        <v>JL. Mayjen Bambang Yuwono No.21, Sirapan, Kemangsen, Kec. Balongbendo, Kabupaten Sidoarjo, Jawa Timur 61262</v>
      </c>
      <c r="W1408" s="211" t="str">
        <f>IFERROR(__xludf.DUMMYFUNCTION("""COMPUTED_VALUE"""),"OUT")</f>
        <v>OUT</v>
      </c>
      <c r="X1408" s="211"/>
      <c r="AL1408" s="211"/>
      <c r="AM1408" s="211"/>
      <c r="AN1408" s="211"/>
      <c r="AO1408" s="211"/>
      <c r="AP1408" s="215"/>
      <c r="AQ1408" s="218"/>
      <c r="AR1408" s="211"/>
    </row>
    <row r="1409">
      <c r="A1409" s="210" t="str">
        <f>IFERROR(__xludf.DUMMYFUNCTION("""COMPUTED_VALUE"""),"07250602")</f>
        <v>07250602</v>
      </c>
      <c r="B1409" s="210" t="str">
        <f>IFERROR(__xludf.DUMMYFUNCTION("""COMPUTED_VALUE"""),"07250602")</f>
        <v>07250602</v>
      </c>
      <c r="C1409" s="213">
        <f>IFERROR(__xludf.DUMMYFUNCTION("""COMPUTED_VALUE"""),45861.61875)</f>
        <v>45861.61875</v>
      </c>
      <c r="D1409" s="211" t="str">
        <f>IFERROR(__xludf.DUMMYFUNCTION("""COMPUTED_VALUE"""),"eec2e801")</f>
        <v>eec2e801</v>
      </c>
      <c r="E1409" s="211" t="str">
        <f>IFERROR(__xludf.DUMMYFUNCTION("""COMPUTED_VALUE"""),"Mitra Wood Sejahtera")</f>
        <v>Mitra Wood Sejahtera</v>
      </c>
      <c r="F1409" s="211" t="str">
        <f>IFERROR(__xludf.DUMMYFUNCTION("""COMPUTED_VALUE"""),"be525f3b")</f>
        <v>be525f3b</v>
      </c>
      <c r="G1409" s="211" t="str">
        <f>IFERROR(__xludf.DUMMYFUNCTION("""COMPUTED_VALUE"""),"LPG 12kg")</f>
        <v>LPG 12kg</v>
      </c>
      <c r="H1409" s="214" t="str">
        <f>IFERROR(__xludf.DUMMYFUNCTION("""COMPUTED_VALUE"""),"OUT")</f>
        <v>OUT</v>
      </c>
      <c r="I1409" s="214" t="str">
        <f>IFERROR(__xludf.DUMMYFUNCTION("""COMPUTED_VALUE"""),"NORMAL")</f>
        <v>NORMAL</v>
      </c>
      <c r="J1409" s="211">
        <f>IFERROR(__xludf.DUMMYFUNCTION("""COMPUTED_VALUE"""),2.0)</f>
        <v>2</v>
      </c>
      <c r="K1409" s="211"/>
      <c r="L1409" s="211">
        <f>IFERROR(__xludf.DUMMYFUNCTION("""COMPUTED_VALUE"""),210000.0)</f>
        <v>210000</v>
      </c>
      <c r="M1409" s="211"/>
      <c r="N1409" s="211"/>
      <c r="O1409" s="211"/>
      <c r="Q1409" s="210" t="str">
        <f>IFERROR(__xludf.DUMMYFUNCTION("""COMPUTED_VALUE"""),"1025561409")</f>
        <v>1025561409</v>
      </c>
      <c r="R1409" s="210" t="str">
        <f>IFERROR(__xludf.DUMMYFUNCTION("""COMPUTED_VALUE"""),"1025561409")</f>
        <v>1025561409</v>
      </c>
      <c r="S1409" s="211" t="str">
        <f>IFERROR(__xludf.DUMMYFUNCTION("""COMPUTED_VALUE"""),"e86baf3b")</f>
        <v>e86baf3b</v>
      </c>
      <c r="T1409" s="211" t="str">
        <f>IFERROR(__xludf.DUMMYFUNCTION("""COMPUTED_VALUE"""),"PT GEMILANG CIPTA WAWASAN")</f>
        <v>PT GEMILANG CIPTA WAWASAN</v>
      </c>
      <c r="U1409" s="215">
        <f>IFERROR(__xludf.DUMMYFUNCTION("""COMPUTED_VALUE"""),45938.56868055555)</f>
        <v>45938.56868</v>
      </c>
      <c r="V1409" s="211" t="str">
        <f>IFERROR(__xludf.DUMMYFUNCTION("""COMPUTED_VALUE"""),"JL TEBET RAYA, 2A, TEBET BARAT, TEBET, KOTA ADM, JAKARTA SELATAN, DKI JAKARTA")</f>
        <v>JL TEBET RAYA, 2A, TEBET BARAT, TEBET, KOTA ADM, JAKARTA SELATAN, DKI JAKARTA</v>
      </c>
      <c r="W1409" s="211" t="str">
        <f>IFERROR(__xludf.DUMMYFUNCTION("""COMPUTED_VALUE"""),"OUT")</f>
        <v>OUT</v>
      </c>
      <c r="X1409" s="211"/>
      <c r="AL1409" s="211"/>
      <c r="AM1409" s="211"/>
      <c r="AN1409" s="211"/>
      <c r="AO1409" s="211"/>
      <c r="AP1409" s="215"/>
      <c r="AQ1409" s="218"/>
      <c r="AR1409" s="211"/>
    </row>
    <row r="1410">
      <c r="A1410" s="210" t="str">
        <f>IFERROR(__xludf.DUMMYFUNCTION("""COMPUTED_VALUE"""),"d907a601")</f>
        <v>d907a601</v>
      </c>
      <c r="B1410" s="210" t="str">
        <f>IFERROR(__xludf.DUMMYFUNCTION("""COMPUTED_VALUE"""),"d907a601")</f>
        <v>d907a601</v>
      </c>
      <c r="C1410" s="213">
        <f>IFERROR(__xludf.DUMMYFUNCTION("""COMPUTED_VALUE"""),45861.779861111114)</f>
        <v>45861.77986</v>
      </c>
      <c r="D1410" s="211" t="str">
        <f>IFERROR(__xludf.DUMMYFUNCTION("""COMPUTED_VALUE"""),"e86baf3b")</f>
        <v>e86baf3b</v>
      </c>
      <c r="E1410" s="211" t="str">
        <f>IFERROR(__xludf.DUMMYFUNCTION("""COMPUTED_VALUE"""),"PT GEMILANG CIPTA WAWASAN")</f>
        <v>PT GEMILANG CIPTA WAWASAN</v>
      </c>
      <c r="F1410" s="211" t="str">
        <f>IFERROR(__xludf.DUMMYFUNCTION("""COMPUTED_VALUE"""),"8bdbe149")</f>
        <v>8bdbe149</v>
      </c>
      <c r="G1410" s="211" t="str">
        <f>IFERROR(__xludf.DUMMYFUNCTION("""COMPUTED_VALUE"""),"Oksigen 6m3")</f>
        <v>Oksigen 6m3</v>
      </c>
      <c r="H1410" s="214" t="str">
        <f>IFERROR(__xludf.DUMMYFUNCTION("""COMPUTED_VALUE"""),"IN")</f>
        <v>IN</v>
      </c>
      <c r="I1410" s="214" t="str">
        <f>IFERROR(__xludf.DUMMYFUNCTION("""COMPUTED_VALUE"""),"EMPTY")</f>
        <v>EMPTY</v>
      </c>
      <c r="J1410" s="211">
        <f>IFERROR(__xludf.DUMMYFUNCTION("""COMPUTED_VALUE"""),1.0)</f>
        <v>1</v>
      </c>
      <c r="K1410" s="210" t="str">
        <f>IFERROR(__xludf.DUMMYFUNCTION("""COMPUTED_VALUE"""),"1170")</f>
        <v>1170</v>
      </c>
      <c r="L1410" s="211">
        <f>IFERROR(__xludf.DUMMYFUNCTION("""COMPUTED_VALUE"""),0.0)</f>
        <v>0</v>
      </c>
      <c r="M1410" s="211"/>
      <c r="N1410" s="211"/>
      <c r="O1410" s="211"/>
      <c r="Q1410" s="210" t="str">
        <f>IFERROR(__xludf.DUMMYFUNCTION("""COMPUTED_VALUE"""),"1025221410")</f>
        <v>1025221410</v>
      </c>
      <c r="R1410" s="210" t="str">
        <f>IFERROR(__xludf.DUMMYFUNCTION("""COMPUTED_VALUE"""),"1025221410")</f>
        <v>1025221410</v>
      </c>
      <c r="S1410" s="211" t="str">
        <f>IFERROR(__xludf.DUMMYFUNCTION("""COMPUTED_VALUE"""),"8f5ebaea")</f>
        <v>8f5ebaea</v>
      </c>
      <c r="T1410" s="211" t="str">
        <f>IFERROR(__xludf.DUMMYFUNCTION("""COMPUTED_VALUE"""),"PT Hua Zong Mesindo")</f>
        <v>PT Hua Zong Mesindo</v>
      </c>
      <c r="U1410" s="215">
        <f>IFERROR(__xludf.DUMMYFUNCTION("""COMPUTED_VALUE"""),45938.57545138889)</f>
        <v>45938.57545</v>
      </c>
      <c r="V1410" s="211" t="str">
        <f>IFERROR(__xludf.DUMMYFUNCTION("""COMPUTED_VALUE"""),"Jl. Bypass Krian, Sidotemo, Sidomulyo, Kec. Krian, Kabupaten Sidoarjo, Jawa Timur 61262")</f>
        <v>Jl. Bypass Krian, Sidotemo, Sidomulyo, Kec. Krian, Kabupaten Sidoarjo, Jawa Timur 61262</v>
      </c>
      <c r="W1410" s="211" t="str">
        <f>IFERROR(__xludf.DUMMYFUNCTION("""COMPUTED_VALUE"""),"OUT")</f>
        <v>OUT</v>
      </c>
      <c r="X1410" s="211"/>
      <c r="AL1410" s="211"/>
      <c r="AM1410" s="211"/>
      <c r="AN1410" s="211"/>
      <c r="AO1410" s="211"/>
      <c r="AP1410" s="215"/>
      <c r="AQ1410" s="218"/>
      <c r="AR1410" s="211"/>
    </row>
    <row r="1411">
      <c r="A1411" s="210" t="str">
        <f>IFERROR(__xludf.DUMMYFUNCTION("""COMPUTED_VALUE"""),"d907a601")</f>
        <v>d907a601</v>
      </c>
      <c r="B1411" s="210" t="str">
        <f>IFERROR(__xludf.DUMMYFUNCTION("""COMPUTED_VALUE"""),"d907a601")</f>
        <v>d907a601</v>
      </c>
      <c r="C1411" s="213">
        <f>IFERROR(__xludf.DUMMYFUNCTION("""COMPUTED_VALUE"""),45861.779861111114)</f>
        <v>45861.77986</v>
      </c>
      <c r="D1411" s="211" t="str">
        <f>IFERROR(__xludf.DUMMYFUNCTION("""COMPUTED_VALUE"""),"e86baf3b")</f>
        <v>e86baf3b</v>
      </c>
      <c r="E1411" s="211" t="str">
        <f>IFERROR(__xludf.DUMMYFUNCTION("""COMPUTED_VALUE"""),"PT GEMILANG CIPTA WAWASAN")</f>
        <v>PT GEMILANG CIPTA WAWASAN</v>
      </c>
      <c r="F1411" s="211" t="str">
        <f>IFERROR(__xludf.DUMMYFUNCTION("""COMPUTED_VALUE"""),"66af7c72")</f>
        <v>66af7c72</v>
      </c>
      <c r="G1411" s="211" t="str">
        <f>IFERROR(__xludf.DUMMYFUNCTION("""COMPUTED_VALUE"""),"Argon 6m3")</f>
        <v>Argon 6m3</v>
      </c>
      <c r="H1411" s="214" t="str">
        <f>IFERROR(__xludf.DUMMYFUNCTION("""COMPUTED_VALUE"""),"IN")</f>
        <v>IN</v>
      </c>
      <c r="I1411" s="214" t="str">
        <f>IFERROR(__xludf.DUMMYFUNCTION("""COMPUTED_VALUE"""),"EMPTY")</f>
        <v>EMPTY</v>
      </c>
      <c r="J1411" s="211">
        <f>IFERROR(__xludf.DUMMYFUNCTION("""COMPUTED_VALUE"""),7.0)</f>
        <v>7</v>
      </c>
      <c r="K1411" s="210" t="str">
        <f>IFERROR(__xludf.DUMMYFUNCTION("""COMPUTED_VALUE"""),"12031 12056 12057 12018 12023 12039 12020")</f>
        <v>12031 12056 12057 12018 12023 12039 12020</v>
      </c>
      <c r="L1411" s="211">
        <f>IFERROR(__xludf.DUMMYFUNCTION("""COMPUTED_VALUE"""),0.0)</f>
        <v>0</v>
      </c>
      <c r="M1411" s="211"/>
      <c r="N1411" s="211"/>
      <c r="O1411" s="211"/>
      <c r="Q1411" s="210" t="str">
        <f>IFERROR(__xludf.DUMMYFUNCTION("""COMPUTED_VALUE"""),"1250625")</f>
        <v>1250625</v>
      </c>
      <c r="R1411" s="210" t="str">
        <f>IFERROR(__xludf.DUMMYFUNCTION("""COMPUTED_VALUE"""),"1250625")</f>
        <v>1250625</v>
      </c>
      <c r="S1411" s="211" t="str">
        <f>IFERROR(__xludf.DUMMYFUNCTION("""COMPUTED_VALUE"""),"8f5ebaea")</f>
        <v>8f5ebaea</v>
      </c>
      <c r="T1411" s="211" t="str">
        <f>IFERROR(__xludf.DUMMYFUNCTION("""COMPUTED_VALUE"""),"PT Hua Zong Mesindo")</f>
        <v>PT Hua Zong Mesindo</v>
      </c>
      <c r="U1411" s="215">
        <f>IFERROR(__xludf.DUMMYFUNCTION("""COMPUTED_VALUE"""),45938.62908564815)</f>
        <v>45938.62909</v>
      </c>
      <c r="V1411" s="211" t="str">
        <f>IFERROR(__xludf.DUMMYFUNCTION("""COMPUTED_VALUE"""),"Jl. Bypass Krian, Sidotemo, Sidomulyo, Kec. Krian, Kabupaten Sidoarjo, Jawa Timur 61262")</f>
        <v>Jl. Bypass Krian, Sidotemo, Sidomulyo, Kec. Krian, Kabupaten Sidoarjo, Jawa Timur 61262</v>
      </c>
      <c r="W1411" s="211" t="str">
        <f>IFERROR(__xludf.DUMMYFUNCTION("""COMPUTED_VALUE"""),"IN")</f>
        <v>IN</v>
      </c>
      <c r="X1411" s="211"/>
      <c r="AL1411" s="211"/>
      <c r="AM1411" s="211"/>
      <c r="AN1411" s="211"/>
      <c r="AO1411" s="211"/>
      <c r="AP1411" s="215"/>
      <c r="AQ1411" s="218"/>
      <c r="AR1411" s="211"/>
    </row>
    <row r="1412">
      <c r="A1412" s="210" t="str">
        <f>IFERROR(__xludf.DUMMYFUNCTION("""COMPUTED_VALUE"""),"d907a601")</f>
        <v>d907a601</v>
      </c>
      <c r="B1412" s="210" t="str">
        <f>IFERROR(__xludf.DUMMYFUNCTION("""COMPUTED_VALUE"""),"d907a601")</f>
        <v>d907a601</v>
      </c>
      <c r="C1412" s="215">
        <f>IFERROR(__xludf.DUMMYFUNCTION("""COMPUTED_VALUE"""),45861.78055555555)</f>
        <v>45861.78056</v>
      </c>
      <c r="D1412" s="211" t="str">
        <f>IFERROR(__xludf.DUMMYFUNCTION("""COMPUTED_VALUE"""),"e86baf3b")</f>
        <v>e86baf3b</v>
      </c>
      <c r="E1412" s="211" t="str">
        <f>IFERROR(__xludf.DUMMYFUNCTION("""COMPUTED_VALUE"""),"PT GEMILANG CIPTA WAWASAN")</f>
        <v>PT GEMILANG CIPTA WAWASAN</v>
      </c>
      <c r="F1412" s="211" t="str">
        <f>IFERROR(__xludf.DUMMYFUNCTION("""COMPUTED_VALUE"""),"be525f3b")</f>
        <v>be525f3b</v>
      </c>
      <c r="G1412" s="211" t="str">
        <f>IFERROR(__xludf.DUMMYFUNCTION("""COMPUTED_VALUE"""),"LPG 12kg")</f>
        <v>LPG 12kg</v>
      </c>
      <c r="H1412" s="214" t="str">
        <f>IFERROR(__xludf.DUMMYFUNCTION("""COMPUTED_VALUE"""),"IN")</f>
        <v>IN</v>
      </c>
      <c r="I1412" s="214" t="str">
        <f>IFERROR(__xludf.DUMMYFUNCTION("""COMPUTED_VALUE"""),"EMPTY")</f>
        <v>EMPTY</v>
      </c>
      <c r="J1412" s="211">
        <f>IFERROR(__xludf.DUMMYFUNCTION("""COMPUTED_VALUE"""),7.0)</f>
        <v>7</v>
      </c>
      <c r="K1412" s="211"/>
      <c r="L1412" s="211">
        <f>IFERROR(__xludf.DUMMYFUNCTION("""COMPUTED_VALUE"""),0.0)</f>
        <v>0</v>
      </c>
      <c r="M1412" s="211"/>
      <c r="N1412" s="211"/>
      <c r="O1412" s="211"/>
      <c r="Q1412" s="210" t="str">
        <f>IFERROR(__xludf.DUMMYFUNCTION("""COMPUTED_VALUE"""),"1250652")</f>
        <v>1250652</v>
      </c>
      <c r="R1412" s="210" t="str">
        <f>IFERROR(__xludf.DUMMYFUNCTION("""COMPUTED_VALUE"""),"1250652")</f>
        <v>1250652</v>
      </c>
      <c r="S1412" s="211" t="str">
        <f>IFERROR(__xludf.DUMMYFUNCTION("""COMPUTED_VALUE"""),"e86baf3b")</f>
        <v>e86baf3b</v>
      </c>
      <c r="T1412" s="211" t="str">
        <f>IFERROR(__xludf.DUMMYFUNCTION("""COMPUTED_VALUE"""),"PT GEMILANG CIPTA WAWASAN")</f>
        <v>PT GEMILANG CIPTA WAWASAN</v>
      </c>
      <c r="U1412" s="215">
        <f>IFERROR(__xludf.DUMMYFUNCTION("""COMPUTED_VALUE"""),45938.666666666664)</f>
        <v>45938.66667</v>
      </c>
      <c r="V1412" s="211" t="str">
        <f>IFERROR(__xludf.DUMMYFUNCTION("""COMPUTED_VALUE"""),"JL TEBET RAYA, 2A, TEBET BARAT, TEBET, KOTA ADM, JAKARTA SELATAN, DKI JAKARTA")</f>
        <v>JL TEBET RAYA, 2A, TEBET BARAT, TEBET, KOTA ADM, JAKARTA SELATAN, DKI JAKARTA</v>
      </c>
      <c r="W1412" s="211" t="str">
        <f>IFERROR(__xludf.DUMMYFUNCTION("""COMPUTED_VALUE"""),"IN")</f>
        <v>IN</v>
      </c>
      <c r="X1412" s="211"/>
      <c r="AL1412" s="211"/>
      <c r="AM1412" s="211"/>
      <c r="AN1412" s="211"/>
      <c r="AO1412" s="211"/>
      <c r="AP1412" s="215"/>
      <c r="AQ1412" s="218"/>
      <c r="AR1412" s="211"/>
    </row>
    <row r="1413">
      <c r="A1413" s="210" t="str">
        <f>IFERROR(__xludf.DUMMYFUNCTION("""COMPUTED_VALUE"""),"49f35469")</f>
        <v>49f35469</v>
      </c>
      <c r="B1413" s="210" t="str">
        <f>IFERROR(__xludf.DUMMYFUNCTION("""COMPUTED_VALUE"""),"49f35469")</f>
        <v>49f35469</v>
      </c>
      <c r="C1413" s="215">
        <f>IFERROR(__xludf.DUMMYFUNCTION("""COMPUTED_VALUE"""),45861.78055555555)</f>
        <v>45861.78056</v>
      </c>
      <c r="D1413" s="211" t="str">
        <f>IFERROR(__xludf.DUMMYFUNCTION("""COMPUTED_VALUE"""),"eec2e801")</f>
        <v>eec2e801</v>
      </c>
      <c r="E1413" s="211" t="str">
        <f>IFERROR(__xludf.DUMMYFUNCTION("""COMPUTED_VALUE"""),"Mitra Wood Sejahtera")</f>
        <v>Mitra Wood Sejahtera</v>
      </c>
      <c r="F1413" s="211" t="str">
        <f>IFERROR(__xludf.DUMMYFUNCTION("""COMPUTED_VALUE"""),"be525f3b")</f>
        <v>be525f3b</v>
      </c>
      <c r="G1413" s="211" t="str">
        <f>IFERROR(__xludf.DUMMYFUNCTION("""COMPUTED_VALUE"""),"LPG 12kg")</f>
        <v>LPG 12kg</v>
      </c>
      <c r="H1413" s="214" t="str">
        <f>IFERROR(__xludf.DUMMYFUNCTION("""COMPUTED_VALUE"""),"IN")</f>
        <v>IN</v>
      </c>
      <c r="I1413" s="214" t="str">
        <f>IFERROR(__xludf.DUMMYFUNCTION("""COMPUTED_VALUE"""),"EMPTY")</f>
        <v>EMPTY</v>
      </c>
      <c r="J1413" s="211">
        <f>IFERROR(__xludf.DUMMYFUNCTION("""COMPUTED_VALUE"""),2.0)</f>
        <v>2</v>
      </c>
      <c r="K1413" s="211"/>
      <c r="L1413" s="211">
        <f>IFERROR(__xludf.DUMMYFUNCTION("""COMPUTED_VALUE"""),0.0)</f>
        <v>0</v>
      </c>
      <c r="M1413" s="211"/>
      <c r="N1413" s="211"/>
      <c r="O1413" s="211"/>
      <c r="Q1413" s="210" t="str">
        <f>IFERROR(__xludf.DUMMYFUNCTION("""COMPUTED_VALUE"""),"102551411")</f>
        <v>102551411</v>
      </c>
      <c r="R1413" s="210" t="str">
        <f>IFERROR(__xludf.DUMMYFUNCTION("""COMPUTED_VALUE"""),"102551411")</f>
        <v>102551411</v>
      </c>
      <c r="S1413" s="211" t="str">
        <f>IFERROR(__xludf.DUMMYFUNCTION("""COMPUTED_VALUE"""),"eec2e801")</f>
        <v>eec2e801</v>
      </c>
      <c r="T1413" s="211" t="str">
        <f>IFERROR(__xludf.DUMMYFUNCTION("""COMPUTED_VALUE"""),"Mitra Wood Sejahtera")</f>
        <v>Mitra Wood Sejahtera</v>
      </c>
      <c r="U1413" s="215">
        <f>IFERROR(__xludf.DUMMYFUNCTION("""COMPUTED_VALUE"""),45939.3690162037)</f>
        <v>45939.36902</v>
      </c>
      <c r="V1413" s="211" t="str">
        <f>IFERROR(__xludf.DUMMYFUNCTION("""COMPUTED_VALUE"""),"Jl.cungkling, Jl. Tanggungan, Nanom Kidul, Lebaniwaras, Kec. Wringinanom, Kabupaten Gresik, Jawa Timur 61176")</f>
        <v>Jl.cungkling, Jl. Tanggungan, Nanom Kidul, Lebaniwaras, Kec. Wringinanom, Kabupaten Gresik, Jawa Timur 61176</v>
      </c>
      <c r="W1413" s="211" t="str">
        <f>IFERROR(__xludf.DUMMYFUNCTION("""COMPUTED_VALUE"""),"OUT")</f>
        <v>OUT</v>
      </c>
      <c r="X1413" s="211"/>
      <c r="AL1413" s="211"/>
      <c r="AM1413" s="211"/>
      <c r="AN1413" s="211"/>
      <c r="AO1413" s="211"/>
      <c r="AP1413" s="215"/>
      <c r="AQ1413" s="218"/>
      <c r="AR1413" s="211"/>
    </row>
    <row r="1414">
      <c r="A1414" s="210" t="str">
        <f>IFERROR(__xludf.DUMMYFUNCTION("""COMPUTED_VALUE"""),"07250606")</f>
        <v>07250606</v>
      </c>
      <c r="B1414" s="210" t="str">
        <f>IFERROR(__xludf.DUMMYFUNCTION("""COMPUTED_VALUE"""),"07250606")</f>
        <v>07250606</v>
      </c>
      <c r="C1414" s="215">
        <f>IFERROR(__xludf.DUMMYFUNCTION("""COMPUTED_VALUE"""),45862.43194444444)</f>
        <v>45862.43194</v>
      </c>
      <c r="D1414" s="211" t="str">
        <f>IFERROR(__xludf.DUMMYFUNCTION("""COMPUTED_VALUE"""),"b218b89b")</f>
        <v>b218b89b</v>
      </c>
      <c r="E1414" s="211" t="str">
        <f>IFERROR(__xludf.DUMMYFUNCTION("""COMPUTED_VALUE"""),"PT Harapan Sentosa")</f>
        <v>PT Harapan Sentosa</v>
      </c>
      <c r="F1414" s="211" t="str">
        <f>IFERROR(__xludf.DUMMYFUNCTION("""COMPUTED_VALUE"""),"7d2764f1")</f>
        <v>7d2764f1</v>
      </c>
      <c r="G1414" s="211" t="str">
        <f>IFERROR(__xludf.DUMMYFUNCTION("""COMPUTED_VALUE"""),"Oksigen 7m3")</f>
        <v>Oksigen 7m3</v>
      </c>
      <c r="H1414" s="214" t="str">
        <f>IFERROR(__xludf.DUMMYFUNCTION("""COMPUTED_VALUE"""),"OUT")</f>
        <v>OUT</v>
      </c>
      <c r="I1414" s="214" t="str">
        <f>IFERROR(__xludf.DUMMYFUNCTION("""COMPUTED_VALUE"""),"NORMAL")</f>
        <v>NORMAL</v>
      </c>
      <c r="J1414" s="211">
        <f>IFERROR(__xludf.DUMMYFUNCTION("""COMPUTED_VALUE"""),10.0)</f>
        <v>10</v>
      </c>
      <c r="K1414" s="210" t="str">
        <f>IFERROR(__xludf.DUMMYFUNCTION("""COMPUTED_VALUE"""),"11153 11159 11144 11161 11142 11152 11138 1174 11195 11212")</f>
        <v>11153 11159 11144 11161 11142 11152 11138 1174 11195 11212</v>
      </c>
      <c r="L1414" s="211">
        <f>IFERROR(__xludf.DUMMYFUNCTION("""COMPUTED_VALUE"""),70000.0)</f>
        <v>70000</v>
      </c>
      <c r="M1414" s="211"/>
      <c r="N1414" s="211"/>
      <c r="O1414" s="211"/>
      <c r="Q1414" s="211"/>
      <c r="R1414" s="211"/>
      <c r="S1414" s="211"/>
      <c r="T1414" s="211"/>
      <c r="U1414" s="211"/>
      <c r="V1414" s="211"/>
      <c r="W1414" s="211"/>
      <c r="X1414" s="211"/>
      <c r="AL1414" s="211"/>
      <c r="AM1414" s="211"/>
      <c r="AN1414" s="211"/>
      <c r="AO1414" s="211"/>
      <c r="AP1414" s="215"/>
      <c r="AQ1414" s="218"/>
      <c r="AR1414" s="211"/>
    </row>
    <row r="1415">
      <c r="A1415" s="210" t="str">
        <f>IFERROR(__xludf.DUMMYFUNCTION("""COMPUTED_VALUE"""),"6eeee09c")</f>
        <v>6eeee09c</v>
      </c>
      <c r="B1415" s="210" t="str">
        <f>IFERROR(__xludf.DUMMYFUNCTION("""COMPUTED_VALUE"""),"6eeee09c")</f>
        <v>6eeee09c</v>
      </c>
      <c r="C1415" s="215">
        <f>IFERROR(__xludf.DUMMYFUNCTION("""COMPUTED_VALUE"""),45862.509722222225)</f>
        <v>45862.50972</v>
      </c>
      <c r="D1415" s="211" t="str">
        <f>IFERROR(__xludf.DUMMYFUNCTION("""COMPUTED_VALUE"""),"b218b89b")</f>
        <v>b218b89b</v>
      </c>
      <c r="E1415" s="211" t="str">
        <f>IFERROR(__xludf.DUMMYFUNCTION("""COMPUTED_VALUE"""),"PT Harapan Sentosa")</f>
        <v>PT Harapan Sentosa</v>
      </c>
      <c r="F1415" s="211" t="str">
        <f>IFERROR(__xludf.DUMMYFUNCTION("""COMPUTED_VALUE"""),"7d2764f1")</f>
        <v>7d2764f1</v>
      </c>
      <c r="G1415" s="211" t="str">
        <f>IFERROR(__xludf.DUMMYFUNCTION("""COMPUTED_VALUE"""),"Oksigen 7m3")</f>
        <v>Oksigen 7m3</v>
      </c>
      <c r="H1415" s="214" t="str">
        <f>IFERROR(__xludf.DUMMYFUNCTION("""COMPUTED_VALUE"""),"IN")</f>
        <v>IN</v>
      </c>
      <c r="I1415" s="214" t="str">
        <f>IFERROR(__xludf.DUMMYFUNCTION("""COMPUTED_VALUE"""),"EMPTY")</f>
        <v>EMPTY</v>
      </c>
      <c r="J1415" s="211">
        <f>IFERROR(__xludf.DUMMYFUNCTION("""COMPUTED_VALUE"""),2.0)</f>
        <v>2</v>
      </c>
      <c r="K1415" s="210" t="str">
        <f>IFERROR(__xludf.DUMMYFUNCTION("""COMPUTED_VALUE"""),"11170 11217")</f>
        <v>11170 11217</v>
      </c>
      <c r="L1415" s="211">
        <f>IFERROR(__xludf.DUMMYFUNCTION("""COMPUTED_VALUE"""),0.0)</f>
        <v>0</v>
      </c>
      <c r="M1415" s="211"/>
      <c r="N1415" s="211"/>
      <c r="O1415" s="211"/>
      <c r="Q1415" s="210" t="str">
        <f>IFERROR(__xludf.DUMMYFUNCTION("""COMPUTED_VALUE"""),"1250653")</f>
        <v>1250653</v>
      </c>
      <c r="R1415" s="210" t="str">
        <f>IFERROR(__xludf.DUMMYFUNCTION("""COMPUTED_VALUE"""),"1250653")</f>
        <v>1250653</v>
      </c>
      <c r="S1415" s="211" t="str">
        <f>IFERROR(__xludf.DUMMYFUNCTION("""COMPUTED_VALUE"""),"eec2e801")</f>
        <v>eec2e801</v>
      </c>
      <c r="T1415" s="211" t="str">
        <f>IFERROR(__xludf.DUMMYFUNCTION("""COMPUTED_VALUE"""),"Mitra Wood Sejahtera")</f>
        <v>Mitra Wood Sejahtera</v>
      </c>
      <c r="U1415" s="215">
        <f>IFERROR(__xludf.DUMMYFUNCTION("""COMPUTED_VALUE"""),45939.478483796294)</f>
        <v>45939.47848</v>
      </c>
      <c r="V1415" s="211" t="str">
        <f>IFERROR(__xludf.DUMMYFUNCTION("""COMPUTED_VALUE"""),"Jl.cungkling, Jl. Tanggungan, Nanom Kidul, Lebaniwaras, Kec. Wringinanom, Kabupaten Gresik, Jawa Timur 61176")</f>
        <v>Jl.cungkling, Jl. Tanggungan, Nanom Kidul, Lebaniwaras, Kec. Wringinanom, Kabupaten Gresik, Jawa Timur 61176</v>
      </c>
      <c r="W1415" s="211" t="str">
        <f>IFERROR(__xludf.DUMMYFUNCTION("""COMPUTED_VALUE"""),"IN")</f>
        <v>IN</v>
      </c>
      <c r="X1415" s="211"/>
      <c r="AL1415" s="211"/>
      <c r="AM1415" s="211"/>
      <c r="AN1415" s="211"/>
      <c r="AO1415" s="211"/>
      <c r="AP1415" s="215"/>
      <c r="AQ1415" s="218"/>
      <c r="AR1415" s="211"/>
    </row>
    <row r="1416">
      <c r="A1416" s="210" t="str">
        <f>IFERROR(__xludf.DUMMYFUNCTION("""COMPUTED_VALUE"""),"6eeee09c")</f>
        <v>6eeee09c</v>
      </c>
      <c r="B1416" s="210" t="str">
        <f>IFERROR(__xludf.DUMMYFUNCTION("""COMPUTED_VALUE"""),"6eeee09c")</f>
        <v>6eeee09c</v>
      </c>
      <c r="C1416" s="215">
        <f>IFERROR(__xludf.DUMMYFUNCTION("""COMPUTED_VALUE"""),45862.509722222225)</f>
        <v>45862.50972</v>
      </c>
      <c r="D1416" s="211" t="str">
        <f>IFERROR(__xludf.DUMMYFUNCTION("""COMPUTED_VALUE"""),"b218b89b")</f>
        <v>b218b89b</v>
      </c>
      <c r="E1416" s="211" t="str">
        <f>IFERROR(__xludf.DUMMYFUNCTION("""COMPUTED_VALUE"""),"PT Harapan Sentosa")</f>
        <v>PT Harapan Sentosa</v>
      </c>
      <c r="F1416" s="211" t="str">
        <f>IFERROR(__xludf.DUMMYFUNCTION("""COMPUTED_VALUE"""),"ef306e54")</f>
        <v>ef306e54</v>
      </c>
      <c r="G1416" s="211" t="str">
        <f>IFERROR(__xludf.DUMMYFUNCTION("""COMPUTED_VALUE"""),"Karbondioksida")</f>
        <v>Karbondioksida</v>
      </c>
      <c r="H1416" s="214" t="str">
        <f>IFERROR(__xludf.DUMMYFUNCTION("""COMPUTED_VALUE"""),"IN")</f>
        <v>IN</v>
      </c>
      <c r="I1416" s="214" t="str">
        <f>IFERROR(__xludf.DUMMYFUNCTION("""COMPUTED_VALUE"""),"EMPTY")</f>
        <v>EMPTY</v>
      </c>
      <c r="J1416" s="211">
        <f>IFERROR(__xludf.DUMMYFUNCTION("""COMPUTED_VALUE"""),5.0)</f>
        <v>5</v>
      </c>
      <c r="K1416" s="210" t="str">
        <f>IFERROR(__xludf.DUMMYFUNCTION("""COMPUTED_VALUE"""),"13003 13005 13001 13024 13004")</f>
        <v>13003 13005 13001 13024 13004</v>
      </c>
      <c r="L1416" s="211">
        <f>IFERROR(__xludf.DUMMYFUNCTION("""COMPUTED_VALUE"""),0.0)</f>
        <v>0</v>
      </c>
      <c r="M1416" s="211"/>
      <c r="N1416" s="211"/>
      <c r="O1416" s="211"/>
      <c r="Q1416" s="210" t="str">
        <f>IFERROR(__xludf.DUMMYFUNCTION("""COMPUTED_VALUE"""),"1250626")</f>
        <v>1250626</v>
      </c>
      <c r="R1416" s="210" t="str">
        <f>IFERROR(__xludf.DUMMYFUNCTION("""COMPUTED_VALUE"""),"1250626")</f>
        <v>1250626</v>
      </c>
      <c r="S1416" s="211" t="str">
        <f>IFERROR(__xludf.DUMMYFUNCTION("""COMPUTED_VALUE"""),"2d88931c")</f>
        <v>2d88931c</v>
      </c>
      <c r="T1416" s="211" t="str">
        <f>IFERROR(__xludf.DUMMYFUNCTION("""COMPUTED_VALUE"""),"PT Dunia Berkat Marga Mulya")</f>
        <v>PT Dunia Berkat Marga Mulya</v>
      </c>
      <c r="U1416" s="215">
        <f>IFERROR(__xludf.DUMMYFUNCTION("""COMPUTED_VALUE"""),45939.48125)</f>
        <v>45939.48125</v>
      </c>
      <c r="V1416" s="211" t="str">
        <f>IFERROR(__xludf.DUMMYFUNCTION("""COMPUTED_VALUE"""),"JL JABARAN, WATESARI, BALONGBENDO, SIDOARJO, JAWA TIMUR")</f>
        <v>JL JABARAN, WATESARI, BALONGBENDO, SIDOARJO, JAWA TIMUR</v>
      </c>
      <c r="W1416" s="211" t="str">
        <f>IFERROR(__xludf.DUMMYFUNCTION("""COMPUTED_VALUE"""),"IN")</f>
        <v>IN</v>
      </c>
      <c r="X1416" s="211"/>
      <c r="AL1416" s="211"/>
      <c r="AM1416" s="211"/>
      <c r="AN1416" s="211"/>
      <c r="AO1416" s="211"/>
      <c r="AP1416" s="215"/>
      <c r="AQ1416" s="218"/>
      <c r="AR1416" s="211"/>
    </row>
    <row r="1417">
      <c r="A1417" s="210" t="str">
        <f>IFERROR(__xludf.DUMMYFUNCTION("""COMPUTED_VALUE"""),"3c543d79")</f>
        <v>3c543d79</v>
      </c>
      <c r="B1417" s="210" t="str">
        <f>IFERROR(__xludf.DUMMYFUNCTION("""COMPUTED_VALUE"""),"3c543d79")</f>
        <v>3c543d79</v>
      </c>
      <c r="C1417" s="215">
        <f>IFERROR(__xludf.DUMMYFUNCTION("""COMPUTED_VALUE"""),45862.51111111111)</f>
        <v>45862.51111</v>
      </c>
      <c r="D1417" s="211" t="str">
        <f>IFERROR(__xludf.DUMMYFUNCTION("""COMPUTED_VALUE"""),"01158be1")</f>
        <v>01158be1</v>
      </c>
      <c r="E1417" s="211" t="str">
        <f>IFERROR(__xludf.DUMMYFUNCTION("""COMPUTED_VALUE"""),"GYF")</f>
        <v>GYF</v>
      </c>
      <c r="F1417" s="211" t="str">
        <f>IFERROR(__xludf.DUMMYFUNCTION("""COMPUTED_VALUE"""),"8bdbe149")</f>
        <v>8bdbe149</v>
      </c>
      <c r="G1417" s="211" t="str">
        <f>IFERROR(__xludf.DUMMYFUNCTION("""COMPUTED_VALUE"""),"Oksigen 6m3")</f>
        <v>Oksigen 6m3</v>
      </c>
      <c r="H1417" s="214" t="str">
        <f>IFERROR(__xludf.DUMMYFUNCTION("""COMPUTED_VALUE"""),"IN")</f>
        <v>IN</v>
      </c>
      <c r="I1417" s="214" t="str">
        <f>IFERROR(__xludf.DUMMYFUNCTION("""COMPUTED_VALUE"""),"EMPTY")</f>
        <v>EMPTY</v>
      </c>
      <c r="J1417" s="211">
        <f>IFERROR(__xludf.DUMMYFUNCTION("""COMPUTED_VALUE"""),20.0)</f>
        <v>20</v>
      </c>
      <c r="K1417" s="210" t="str">
        <f>IFERROR(__xludf.DUMMYFUNCTION("""COMPUTED_VALUE"""),"11256 11177 1184 11103 11261 1191 11278 1106 11108 1143 11105 1182 1101 11245 11248 1133 11157 1193 11238 1125")</f>
        <v>11256 11177 1184 11103 11261 1191 11278 1106 11108 1143 11105 1182 1101 11245 11248 1133 11157 1193 11238 1125</v>
      </c>
      <c r="L1417" s="211">
        <f>IFERROR(__xludf.DUMMYFUNCTION("""COMPUTED_VALUE"""),0.0)</f>
        <v>0</v>
      </c>
      <c r="M1417" s="211"/>
      <c r="N1417" s="211"/>
      <c r="O1417" s="211"/>
      <c r="Q1417" s="210" t="str">
        <f>IFERROR(__xludf.DUMMYFUNCTION("""COMPUTED_VALUE"""),"1250627")</f>
        <v>1250627</v>
      </c>
      <c r="R1417" s="210" t="str">
        <f>IFERROR(__xludf.DUMMYFUNCTION("""COMPUTED_VALUE"""),"1250627")</f>
        <v>1250627</v>
      </c>
      <c r="S1417" s="211" t="str">
        <f>IFERROR(__xludf.DUMMYFUNCTION("""COMPUTED_VALUE"""),"4ec68cf6")</f>
        <v>4ec68cf6</v>
      </c>
      <c r="T1417" s="211" t="str">
        <f>IFERROR(__xludf.DUMMYFUNCTION("""COMPUTED_VALUE"""),"CV Sido Mukti Karya")</f>
        <v>CV Sido Mukti Karya</v>
      </c>
      <c r="U1417" s="215">
        <f>IFERROR(__xludf.DUMMYFUNCTION("""COMPUTED_VALUE"""),45939.48175925926)</f>
        <v>45939.48176</v>
      </c>
      <c r="V1417" s="211" t="str">
        <f>IFERROR(__xludf.DUMMYFUNCTION("""COMPUTED_VALUE"""),"Pergudangan Center Point no A3, Kemangsen")</f>
        <v>Pergudangan Center Point no A3, Kemangsen</v>
      </c>
      <c r="W1417" s="211" t="str">
        <f>IFERROR(__xludf.DUMMYFUNCTION("""COMPUTED_VALUE"""),"IN")</f>
        <v>IN</v>
      </c>
      <c r="X1417" s="211"/>
      <c r="AL1417" s="211"/>
      <c r="AM1417" s="211"/>
      <c r="AN1417" s="211"/>
      <c r="AO1417" s="211"/>
      <c r="AP1417" s="215"/>
      <c r="AQ1417" s="218"/>
      <c r="AR1417" s="211"/>
    </row>
    <row r="1418">
      <c r="A1418" s="210" t="str">
        <f>IFERROR(__xludf.DUMMYFUNCTION("""COMPUTED_VALUE"""),"07250607")</f>
        <v>07250607</v>
      </c>
      <c r="B1418" s="210" t="str">
        <f>IFERROR(__xludf.DUMMYFUNCTION("""COMPUTED_VALUE"""),"07250607")</f>
        <v>07250607</v>
      </c>
      <c r="C1418" s="215">
        <f>IFERROR(__xludf.DUMMYFUNCTION("""COMPUTED_VALUE"""),45863.399305555555)</f>
        <v>45863.39931</v>
      </c>
      <c r="D1418" s="211" t="str">
        <f>IFERROR(__xludf.DUMMYFUNCTION("""COMPUTED_VALUE"""),"a343b84d")</f>
        <v>a343b84d</v>
      </c>
      <c r="E1418" s="211" t="str">
        <f>IFERROR(__xludf.DUMMYFUNCTION("""COMPUTED_VALUE"""),"PT Utama Alim Sejahtera")</f>
        <v>PT Utama Alim Sejahtera</v>
      </c>
      <c r="F1418" s="211" t="str">
        <f>IFERROR(__xludf.DUMMYFUNCTION("""COMPUTED_VALUE"""),"7d2764f1")</f>
        <v>7d2764f1</v>
      </c>
      <c r="G1418" s="211" t="str">
        <f>IFERROR(__xludf.DUMMYFUNCTION("""COMPUTED_VALUE"""),"Oksigen 7m3")</f>
        <v>Oksigen 7m3</v>
      </c>
      <c r="H1418" s="214" t="str">
        <f>IFERROR(__xludf.DUMMYFUNCTION("""COMPUTED_VALUE"""),"OUT")</f>
        <v>OUT</v>
      </c>
      <c r="I1418" s="214" t="str">
        <f>IFERROR(__xludf.DUMMYFUNCTION("""COMPUTED_VALUE"""),"NORMAL")</f>
        <v>NORMAL</v>
      </c>
      <c r="J1418" s="211">
        <f>IFERROR(__xludf.DUMMYFUNCTION("""COMPUTED_VALUE"""),2.0)</f>
        <v>2</v>
      </c>
      <c r="K1418" s="210" t="str">
        <f>IFERROR(__xludf.DUMMYFUNCTION("""COMPUTED_VALUE"""),"11145 11163")</f>
        <v>11145 11163</v>
      </c>
      <c r="L1418" s="211">
        <f>IFERROR(__xludf.DUMMYFUNCTION("""COMPUTED_VALUE"""),58558.56)</f>
        <v>58558.56</v>
      </c>
      <c r="M1418" s="211"/>
      <c r="N1418" s="211"/>
      <c r="O1418" s="211"/>
      <c r="Q1418" s="210" t="str">
        <f>IFERROR(__xludf.DUMMYFUNCTION("""COMPUTED_VALUE"""),"4102511347")</f>
        <v>4102511347</v>
      </c>
      <c r="R1418" s="210" t="str">
        <f>IFERROR(__xludf.DUMMYFUNCTION("""COMPUTED_VALUE"""),"4102511347")</f>
        <v>4102511347</v>
      </c>
      <c r="S1418" s="211" t="str">
        <f>IFERROR(__xludf.DUMMYFUNCTION("""COMPUTED_VALUE"""),"4ec68cf6")</f>
        <v>4ec68cf6</v>
      </c>
      <c r="T1418" s="211" t="str">
        <f>IFERROR(__xludf.DUMMYFUNCTION("""COMPUTED_VALUE"""),"CV Sido Mukti Karya")</f>
        <v>CV Sido Mukti Karya</v>
      </c>
      <c r="U1418" s="215">
        <f>IFERROR(__xludf.DUMMYFUNCTION("""COMPUTED_VALUE"""),45939.899618055555)</f>
        <v>45939.89962</v>
      </c>
      <c r="V1418" s="211" t="str">
        <f>IFERROR(__xludf.DUMMYFUNCTION("""COMPUTED_VALUE"""),"Pergudangan Center Point no A3, Kemangsen")</f>
        <v>Pergudangan Center Point no A3, Kemangsen</v>
      </c>
      <c r="W1418" s="211" t="str">
        <f>IFERROR(__xludf.DUMMYFUNCTION("""COMPUTED_VALUE"""),"OTHER")</f>
        <v>OTHER</v>
      </c>
      <c r="X1418" s="211"/>
      <c r="AL1418" s="211"/>
      <c r="AM1418" s="211"/>
      <c r="AN1418" s="211"/>
      <c r="AO1418" s="211"/>
      <c r="AP1418" s="215"/>
      <c r="AQ1418" s="218"/>
      <c r="AR1418" s="211"/>
    </row>
    <row r="1419">
      <c r="A1419" s="210" t="str">
        <f>IFERROR(__xludf.DUMMYFUNCTION("""COMPUTED_VALUE"""),"07250608")</f>
        <v>07250608</v>
      </c>
      <c r="B1419" s="210" t="str">
        <f>IFERROR(__xludf.DUMMYFUNCTION("""COMPUTED_VALUE"""),"07250608")</f>
        <v>07250608</v>
      </c>
      <c r="C1419" s="215">
        <f>IFERROR(__xludf.DUMMYFUNCTION("""COMPUTED_VALUE"""),45863.433333333334)</f>
        <v>45863.43333</v>
      </c>
      <c r="D1419" s="211" t="str">
        <f>IFERROR(__xludf.DUMMYFUNCTION("""COMPUTED_VALUE"""),"01158be1")</f>
        <v>01158be1</v>
      </c>
      <c r="E1419" s="211" t="str">
        <f>IFERROR(__xludf.DUMMYFUNCTION("""COMPUTED_VALUE"""),"GYF")</f>
        <v>GYF</v>
      </c>
      <c r="F1419" s="211" t="str">
        <f>IFERROR(__xludf.DUMMYFUNCTION("""COMPUTED_VALUE"""),"8bdbe149")</f>
        <v>8bdbe149</v>
      </c>
      <c r="G1419" s="211" t="str">
        <f>IFERROR(__xludf.DUMMYFUNCTION("""COMPUTED_VALUE"""),"Oksigen 6m3")</f>
        <v>Oksigen 6m3</v>
      </c>
      <c r="H1419" s="214" t="str">
        <f>IFERROR(__xludf.DUMMYFUNCTION("""COMPUTED_VALUE"""),"OUT")</f>
        <v>OUT</v>
      </c>
      <c r="I1419" s="214" t="str">
        <f>IFERROR(__xludf.DUMMYFUNCTION("""COMPUTED_VALUE"""),"NORMAL")</f>
        <v>NORMAL</v>
      </c>
      <c r="J1419" s="211">
        <f>IFERROR(__xludf.DUMMYFUNCTION("""COMPUTED_VALUE"""),20.0)</f>
        <v>20</v>
      </c>
      <c r="K1419" s="210" t="str">
        <f>IFERROR(__xludf.DUMMYFUNCTION("""COMPUTED_VALUE"""),"1191 11261 1184 11177 1101 1193 11103 11105 1133 11256 11245 11191 1182 11248 11238 11278 1170 1125 1143 1142")</f>
        <v>1191 11261 1184 11177 1101 1193 11103 11105 1133 11256 11245 11191 1182 11248 11238 11278 1170 1125 1143 1142</v>
      </c>
      <c r="L1419" s="211">
        <f>IFERROR(__xludf.DUMMYFUNCTION("""COMPUTED_VALUE"""),45000.0)</f>
        <v>45000</v>
      </c>
      <c r="M1419" s="211"/>
      <c r="N1419" s="211"/>
      <c r="O1419" s="211"/>
      <c r="Q1419" s="210" t="str">
        <f>IFERROR(__xludf.DUMMYFUNCTION("""COMPUTED_VALUE"""),"1250654")</f>
        <v>1250654</v>
      </c>
      <c r="R1419" s="210" t="str">
        <f>IFERROR(__xludf.DUMMYFUNCTION("""COMPUTED_VALUE"""),"1250654")</f>
        <v>1250654</v>
      </c>
      <c r="S1419" s="211" t="str">
        <f>IFERROR(__xludf.DUMMYFUNCTION("""COMPUTED_VALUE"""),"785e0e07")</f>
        <v>785e0e07</v>
      </c>
      <c r="T1419" s="211" t="str">
        <f>IFERROR(__xludf.DUMMYFUNCTION("""COMPUTED_VALUE"""),"Bpk. Sukirno (Bejo)")</f>
        <v>Bpk. Sukirno (Bejo)</v>
      </c>
      <c r="U1419" s="215">
        <f>IFERROR(__xludf.DUMMYFUNCTION("""COMPUTED_VALUE"""),45940.64686342593)</f>
        <v>45940.64686</v>
      </c>
      <c r="V1419" s="211" t="str">
        <f>IFERROR(__xludf.DUMMYFUNCTION("""COMPUTED_VALUE"""),"Krajan I, Wringinanom, Kec. Wringinanom, Kabupaten Gresik, Jawa Timur 61176")</f>
        <v>Krajan I, Wringinanom, Kec. Wringinanom, Kabupaten Gresik, Jawa Timur 61176</v>
      </c>
      <c r="W1419" s="211" t="str">
        <f>IFERROR(__xludf.DUMMYFUNCTION("""COMPUTED_VALUE"""),"IN")</f>
        <v>IN</v>
      </c>
      <c r="X1419" s="211"/>
      <c r="AL1419" s="211"/>
      <c r="AM1419" s="211"/>
      <c r="AN1419" s="211"/>
      <c r="AO1419" s="211"/>
      <c r="AP1419" s="215"/>
      <c r="AQ1419" s="218"/>
      <c r="AR1419" s="211"/>
    </row>
    <row r="1420">
      <c r="A1420" s="210" t="str">
        <f>IFERROR(__xludf.DUMMYFUNCTION("""COMPUTED_VALUE"""),"a012b117")</f>
        <v>a012b117</v>
      </c>
      <c r="B1420" s="210" t="str">
        <f>IFERROR(__xludf.DUMMYFUNCTION("""COMPUTED_VALUE"""),"a012b117")</f>
        <v>a012b117</v>
      </c>
      <c r="C1420" s="215">
        <f>IFERROR(__xludf.DUMMYFUNCTION("""COMPUTED_VALUE"""),45863.46041666667)</f>
        <v>45863.46042</v>
      </c>
      <c r="D1420" s="211" t="str">
        <f>IFERROR(__xludf.DUMMYFUNCTION("""COMPUTED_VALUE"""),"b218b89b")</f>
        <v>b218b89b</v>
      </c>
      <c r="E1420" s="211" t="str">
        <f>IFERROR(__xludf.DUMMYFUNCTION("""COMPUTED_VALUE"""),"PT Harapan Sentosa")</f>
        <v>PT Harapan Sentosa</v>
      </c>
      <c r="F1420" s="211" t="str">
        <f>IFERROR(__xludf.DUMMYFUNCTION("""COMPUTED_VALUE"""),"7d2764f1")</f>
        <v>7d2764f1</v>
      </c>
      <c r="G1420" s="211" t="str">
        <f>IFERROR(__xludf.DUMMYFUNCTION("""COMPUTED_VALUE"""),"Oksigen 7m3")</f>
        <v>Oksigen 7m3</v>
      </c>
      <c r="H1420" s="214" t="str">
        <f>IFERROR(__xludf.DUMMYFUNCTION("""COMPUTED_VALUE"""),"IN")</f>
        <v>IN</v>
      </c>
      <c r="I1420" s="214" t="str">
        <f>IFERROR(__xludf.DUMMYFUNCTION("""COMPUTED_VALUE"""),"EMPTY")</f>
        <v>EMPTY</v>
      </c>
      <c r="J1420" s="211">
        <f>IFERROR(__xludf.DUMMYFUNCTION("""COMPUTED_VALUE"""),1.0)</f>
        <v>1</v>
      </c>
      <c r="K1420" s="210" t="str">
        <f>IFERROR(__xludf.DUMMYFUNCTION("""COMPUTED_VALUE"""),"11173")</f>
        <v>11173</v>
      </c>
      <c r="L1420" s="211">
        <f>IFERROR(__xludf.DUMMYFUNCTION("""COMPUTED_VALUE"""),0.0)</f>
        <v>0</v>
      </c>
      <c r="M1420" s="211"/>
      <c r="N1420" s="211"/>
      <c r="O1420" s="211"/>
      <c r="Q1420" s="210" t="str">
        <f>IFERROR(__xludf.DUMMYFUNCTION("""COMPUTED_VALUE"""),"1025231414")</f>
        <v>1025231414</v>
      </c>
      <c r="R1420" s="210" t="str">
        <f>IFERROR(__xludf.DUMMYFUNCTION("""COMPUTED_VALUE"""),"1025231414")</f>
        <v>1025231414</v>
      </c>
      <c r="S1420" s="211" t="str">
        <f>IFERROR(__xludf.DUMMYFUNCTION("""COMPUTED_VALUE"""),"ec231cc9")</f>
        <v>ec231cc9</v>
      </c>
      <c r="T1420" s="211" t="str">
        <f>IFERROR(__xludf.DUMMYFUNCTION("""COMPUTED_VALUE"""),"Bpk. Kohir (Maintenance Velg)")</f>
        <v>Bpk. Kohir (Maintenance Velg)</v>
      </c>
      <c r="U1420" s="215">
        <f>IFERROR(__xludf.DUMMYFUNCTION("""COMPUTED_VALUE"""),45941.36009259259)</f>
        <v>45941.36009</v>
      </c>
      <c r="V1420" s="211" t="str">
        <f>IFERROR(__xludf.DUMMYFUNCTION("""COMPUTED_VALUE"""),"Jl. Lkr. Bypass Krian Timur, Sidogolong, Watugolong, Kec. Krian, Kabupaten Sidoarjo, Jawa Timur 61262")</f>
        <v>Jl. Lkr. Bypass Krian Timur, Sidogolong, Watugolong, Kec. Krian, Kabupaten Sidoarjo, Jawa Timur 61262</v>
      </c>
      <c r="W1420" s="211" t="str">
        <f>IFERROR(__xludf.DUMMYFUNCTION("""COMPUTED_VALUE"""),"OUT")</f>
        <v>OUT</v>
      </c>
      <c r="X1420" s="211"/>
      <c r="AL1420" s="211"/>
      <c r="AM1420" s="211"/>
      <c r="AN1420" s="211"/>
      <c r="AO1420" s="211"/>
      <c r="AP1420" s="215"/>
      <c r="AQ1420" s="218"/>
      <c r="AR1420" s="211"/>
    </row>
    <row r="1421">
      <c r="A1421" s="210" t="str">
        <f>IFERROR(__xludf.DUMMYFUNCTION("""COMPUTED_VALUE"""),"07250609")</f>
        <v>07250609</v>
      </c>
      <c r="B1421" s="210" t="str">
        <f>IFERROR(__xludf.DUMMYFUNCTION("""COMPUTED_VALUE"""),"07250609")</f>
        <v>07250609</v>
      </c>
      <c r="C1421" s="215">
        <f>IFERROR(__xludf.DUMMYFUNCTION("""COMPUTED_VALUE"""),45866.4625)</f>
        <v>45866.4625</v>
      </c>
      <c r="D1421" s="211" t="str">
        <f>IFERROR(__xludf.DUMMYFUNCTION("""COMPUTED_VALUE"""),"3bcd7fe6")</f>
        <v>3bcd7fe6</v>
      </c>
      <c r="E1421" s="211" t="str">
        <f>IFERROR(__xludf.DUMMYFUNCTION("""COMPUTED_VALUE"""),"Bpk. Alvin (LB Group)")</f>
        <v>Bpk. Alvin (LB Group)</v>
      </c>
      <c r="F1421" s="211" t="str">
        <f>IFERROR(__xludf.DUMMYFUNCTION("""COMPUTED_VALUE"""),"f6aab7a9")</f>
        <v>f6aab7a9</v>
      </c>
      <c r="G1421" s="211" t="str">
        <f>IFERROR(__xludf.DUMMYFUNCTION("""COMPUTED_VALUE"""),"Oksigen 6m3 MR")</f>
        <v>Oksigen 6m3 MR</v>
      </c>
      <c r="H1421" s="214" t="str">
        <f>IFERROR(__xludf.DUMMYFUNCTION("""COMPUTED_VALUE"""),"OUT")</f>
        <v>OUT</v>
      </c>
      <c r="I1421" s="214" t="str">
        <f>IFERROR(__xludf.DUMMYFUNCTION("""COMPUTED_VALUE"""),"NORMAL")</f>
        <v>NORMAL</v>
      </c>
      <c r="J1421" s="211">
        <f>IFERROR(__xludf.DUMMYFUNCTION("""COMPUTED_VALUE"""),3.0)</f>
        <v>3</v>
      </c>
      <c r="K1421" s="211"/>
      <c r="L1421" s="211">
        <f>IFERROR(__xludf.DUMMYFUNCTION("""COMPUTED_VALUE"""),50000.0)</f>
        <v>50000</v>
      </c>
      <c r="M1421" s="211"/>
      <c r="N1421" s="211"/>
      <c r="O1421" s="211"/>
      <c r="Q1421" s="210" t="str">
        <f>IFERROR(__xludf.DUMMYFUNCTION("""COMPUTED_VALUE"""),"102571421")</f>
        <v>102571421</v>
      </c>
      <c r="R1421" s="210" t="str">
        <f>IFERROR(__xludf.DUMMYFUNCTION("""COMPUTED_VALUE"""),"102571421")</f>
        <v>102571421</v>
      </c>
      <c r="S1421" s="211" t="str">
        <f>IFERROR(__xludf.DUMMYFUNCTION("""COMPUTED_VALUE"""),"8ea74d81")</f>
        <v>8ea74d81</v>
      </c>
      <c r="T1421" s="211" t="str">
        <f>IFERROR(__xludf.DUMMYFUNCTION("""COMPUTED_VALUE"""),"Bengkel Adi Putra")</f>
        <v>Bengkel Adi Putra</v>
      </c>
      <c r="U1421" s="215">
        <f>IFERROR(__xludf.DUMMYFUNCTION("""COMPUTED_VALUE"""),45941.36954861111)</f>
        <v>45941.36955</v>
      </c>
      <c r="V1421" s="211" t="str">
        <f>IFERROR(__xludf.DUMMYFUNCTION("""COMPUTED_VALUE"""),"Bypass Balongbendo")</f>
        <v>Bypass Balongbendo</v>
      </c>
      <c r="W1421" s="211" t="str">
        <f>IFERROR(__xludf.DUMMYFUNCTION("""COMPUTED_VALUE"""),"OUT")</f>
        <v>OUT</v>
      </c>
      <c r="X1421" s="211"/>
      <c r="AL1421" s="211"/>
      <c r="AM1421" s="211"/>
      <c r="AN1421" s="211"/>
      <c r="AO1421" s="211"/>
      <c r="AP1421" s="215"/>
      <c r="AQ1421" s="218"/>
      <c r="AR1421" s="211"/>
    </row>
    <row r="1422">
      <c r="A1422" s="210" t="str">
        <f>IFERROR(__xludf.DUMMYFUNCTION("""COMPUTED_VALUE"""),"70d872ca")</f>
        <v>70d872ca</v>
      </c>
      <c r="B1422" s="210" t="str">
        <f>IFERROR(__xludf.DUMMYFUNCTION("""COMPUTED_VALUE"""),"70d872ca")</f>
        <v>70d872ca</v>
      </c>
      <c r="C1422" s="215">
        <f>IFERROR(__xludf.DUMMYFUNCTION("""COMPUTED_VALUE"""),45863.677083333336)</f>
        <v>45863.67708</v>
      </c>
      <c r="D1422" s="211" t="str">
        <f>IFERROR(__xludf.DUMMYFUNCTION("""COMPUTED_VALUE"""),"8f5ebaea")</f>
        <v>8f5ebaea</v>
      </c>
      <c r="E1422" s="211" t="str">
        <f>IFERROR(__xludf.DUMMYFUNCTION("""COMPUTED_VALUE"""),"PT Hua Zong Mesindo")</f>
        <v>PT Hua Zong Mesindo</v>
      </c>
      <c r="F1422" s="211" t="str">
        <f>IFERROR(__xludf.DUMMYFUNCTION("""COMPUTED_VALUE"""),"8bdbe149")</f>
        <v>8bdbe149</v>
      </c>
      <c r="G1422" s="211" t="str">
        <f>IFERROR(__xludf.DUMMYFUNCTION("""COMPUTED_VALUE"""),"Oksigen 6m3")</f>
        <v>Oksigen 6m3</v>
      </c>
      <c r="H1422" s="214" t="str">
        <f>IFERROR(__xludf.DUMMYFUNCTION("""COMPUTED_VALUE"""),"IN")</f>
        <v>IN</v>
      </c>
      <c r="I1422" s="214" t="str">
        <f>IFERROR(__xludf.DUMMYFUNCTION("""COMPUTED_VALUE"""),"EMPTY")</f>
        <v>EMPTY</v>
      </c>
      <c r="J1422" s="211">
        <f>IFERROR(__xludf.DUMMYFUNCTION("""COMPUTED_VALUE"""),1.0)</f>
        <v>1</v>
      </c>
      <c r="K1422" s="210" t="str">
        <f>IFERROR(__xludf.DUMMYFUNCTION("""COMPUTED_VALUE"""),"1190")</f>
        <v>1190</v>
      </c>
      <c r="L1422" s="211">
        <f>IFERROR(__xludf.DUMMYFUNCTION("""COMPUTED_VALUE"""),0.0)</f>
        <v>0</v>
      </c>
      <c r="M1422" s="211"/>
      <c r="N1422" s="211"/>
      <c r="O1422" s="211"/>
      <c r="Q1422" s="210" t="str">
        <f>IFERROR(__xludf.DUMMYFUNCTION("""COMPUTED_VALUE"""),"1025201422")</f>
        <v>1025201422</v>
      </c>
      <c r="R1422" s="210" t="str">
        <f>IFERROR(__xludf.DUMMYFUNCTION("""COMPUTED_VALUE"""),"1025201422")</f>
        <v>1025201422</v>
      </c>
      <c r="S1422" s="211" t="str">
        <f>IFERROR(__xludf.DUMMYFUNCTION("""COMPUTED_VALUE"""),"b2b5f2c5")</f>
        <v>b2b5f2c5</v>
      </c>
      <c r="T1422" s="211" t="str">
        <f>IFERROR(__xludf.DUMMYFUNCTION("""COMPUTED_VALUE"""),"Bengkel Las Bpk. Ari")</f>
        <v>Bengkel Las Bpk. Ari</v>
      </c>
      <c r="U1422" s="215">
        <f>IFERROR(__xludf.DUMMYFUNCTION("""COMPUTED_VALUE"""),45941.381215277775)</f>
        <v>45941.38122</v>
      </c>
      <c r="V1422" s="211" t="str">
        <f>IFERROR(__xludf.DUMMYFUNCTION("""COMPUTED_VALUE"""),"Sumber Kembar, Wonodadi, Kec. Kutorejo, Kabupaten Mojokerto, Jawa Timur")</f>
        <v>Sumber Kembar, Wonodadi, Kec. Kutorejo, Kabupaten Mojokerto, Jawa Timur</v>
      </c>
      <c r="W1422" s="211" t="str">
        <f>IFERROR(__xludf.DUMMYFUNCTION("""COMPUTED_VALUE"""),"OUT")</f>
        <v>OUT</v>
      </c>
      <c r="X1422" s="211"/>
      <c r="AL1422" s="211"/>
      <c r="AM1422" s="211"/>
      <c r="AN1422" s="211"/>
      <c r="AO1422" s="211"/>
      <c r="AP1422" s="215"/>
      <c r="AQ1422" s="218"/>
      <c r="AR1422" s="211"/>
    </row>
    <row r="1423">
      <c r="A1423" s="210" t="str">
        <f>IFERROR(__xludf.DUMMYFUNCTION("""COMPUTED_VALUE"""),"70d872ca")</f>
        <v>70d872ca</v>
      </c>
      <c r="B1423" s="210" t="str">
        <f>IFERROR(__xludf.DUMMYFUNCTION("""COMPUTED_VALUE"""),"70d872ca")</f>
        <v>70d872ca</v>
      </c>
      <c r="C1423" s="215">
        <f>IFERROR(__xludf.DUMMYFUNCTION("""COMPUTED_VALUE"""),45863.677777777775)</f>
        <v>45863.67778</v>
      </c>
      <c r="D1423" s="211" t="str">
        <f>IFERROR(__xludf.DUMMYFUNCTION("""COMPUTED_VALUE"""),"8f5ebaea")</f>
        <v>8f5ebaea</v>
      </c>
      <c r="E1423" s="211" t="str">
        <f>IFERROR(__xludf.DUMMYFUNCTION("""COMPUTED_VALUE"""),"PT Hua Zong Mesindo")</f>
        <v>PT Hua Zong Mesindo</v>
      </c>
      <c r="F1423" s="211" t="str">
        <f>IFERROR(__xludf.DUMMYFUNCTION("""COMPUTED_VALUE"""),"66af7c72")</f>
        <v>66af7c72</v>
      </c>
      <c r="G1423" s="211" t="str">
        <f>IFERROR(__xludf.DUMMYFUNCTION("""COMPUTED_VALUE"""),"Argon 6m3")</f>
        <v>Argon 6m3</v>
      </c>
      <c r="H1423" s="214" t="str">
        <f>IFERROR(__xludf.DUMMYFUNCTION("""COMPUTED_VALUE"""),"IN")</f>
        <v>IN</v>
      </c>
      <c r="I1423" s="214" t="str">
        <f>IFERROR(__xludf.DUMMYFUNCTION("""COMPUTED_VALUE"""),"EMPTY")</f>
        <v>EMPTY</v>
      </c>
      <c r="J1423" s="211">
        <f>IFERROR(__xludf.DUMMYFUNCTION("""COMPUTED_VALUE"""),1.0)</f>
        <v>1</v>
      </c>
      <c r="K1423" s="210" t="str">
        <f>IFERROR(__xludf.DUMMYFUNCTION("""COMPUTED_VALUE"""),"12058")</f>
        <v>12058</v>
      </c>
      <c r="L1423" s="211">
        <f>IFERROR(__xludf.DUMMYFUNCTION("""COMPUTED_VALUE"""),0.0)</f>
        <v>0</v>
      </c>
      <c r="M1423" s="211"/>
      <c r="N1423" s="211"/>
      <c r="O1423" s="211"/>
      <c r="Q1423" s="210" t="str">
        <f>IFERROR(__xludf.DUMMYFUNCTION("""COMPUTED_VALUE"""),"1025571423")</f>
        <v>1025571423</v>
      </c>
      <c r="R1423" s="210" t="str">
        <f>IFERROR(__xludf.DUMMYFUNCTION("""COMPUTED_VALUE"""),"1025571423")</f>
        <v>1025571423</v>
      </c>
      <c r="S1423" s="211" t="str">
        <f>IFERROR(__xludf.DUMMYFUNCTION("""COMPUTED_VALUE"""),"e86baf3b")</f>
        <v>e86baf3b</v>
      </c>
      <c r="T1423" s="211" t="str">
        <f>IFERROR(__xludf.DUMMYFUNCTION("""COMPUTED_VALUE"""),"PT GEMILANG CIPTA WAWASAN")</f>
        <v>PT GEMILANG CIPTA WAWASAN</v>
      </c>
      <c r="U1423" s="215">
        <f>IFERROR(__xludf.DUMMYFUNCTION("""COMPUTED_VALUE"""),45941.42616898148)</f>
        <v>45941.42617</v>
      </c>
      <c r="V1423" s="211" t="str">
        <f>IFERROR(__xludf.DUMMYFUNCTION("""COMPUTED_VALUE"""),"JL TEBET RAYA, 2A, TEBET BARAT, TEBET, KOTA ADM, JAKARTA SELATAN, DKI JAKARTA")</f>
        <v>JL TEBET RAYA, 2A, TEBET BARAT, TEBET, KOTA ADM, JAKARTA SELATAN, DKI JAKARTA</v>
      </c>
      <c r="W1423" s="211" t="str">
        <f>IFERROR(__xludf.DUMMYFUNCTION("""COMPUTED_VALUE"""),"OUT")</f>
        <v>OUT</v>
      </c>
      <c r="X1423" s="211"/>
      <c r="AL1423" s="211"/>
      <c r="AM1423" s="211"/>
      <c r="AN1423" s="211"/>
      <c r="AO1423" s="211"/>
      <c r="AP1423" s="215"/>
      <c r="AQ1423" s="218"/>
      <c r="AR1423" s="211"/>
    </row>
    <row r="1424">
      <c r="A1424" s="210" t="str">
        <f>IFERROR(__xludf.DUMMYFUNCTION("""COMPUTED_VALUE"""),"567d9367")</f>
        <v>567d9367</v>
      </c>
      <c r="B1424" s="210" t="str">
        <f>IFERROR(__xludf.DUMMYFUNCTION("""COMPUTED_VALUE"""),"567d9367")</f>
        <v>567d9367</v>
      </c>
      <c r="C1424" s="215">
        <f>IFERROR(__xludf.DUMMYFUNCTION("""COMPUTED_VALUE"""),45863.67847222222)</f>
        <v>45863.67847</v>
      </c>
      <c r="D1424" s="211" t="str">
        <f>IFERROR(__xludf.DUMMYFUNCTION("""COMPUTED_VALUE"""),"2d88931c")</f>
        <v>2d88931c</v>
      </c>
      <c r="E1424" s="211" t="str">
        <f>IFERROR(__xludf.DUMMYFUNCTION("""COMPUTED_VALUE"""),"PT Dunia Berkat Marga Mulya")</f>
        <v>PT Dunia Berkat Marga Mulya</v>
      </c>
      <c r="F1424" s="211" t="str">
        <f>IFERROR(__xludf.DUMMYFUNCTION("""COMPUTED_VALUE"""),"8bdbe149")</f>
        <v>8bdbe149</v>
      </c>
      <c r="G1424" s="211" t="str">
        <f>IFERROR(__xludf.DUMMYFUNCTION("""COMPUTED_VALUE"""),"Oksigen 6m3")</f>
        <v>Oksigen 6m3</v>
      </c>
      <c r="H1424" s="214" t="str">
        <f>IFERROR(__xludf.DUMMYFUNCTION("""COMPUTED_VALUE"""),"IN")</f>
        <v>IN</v>
      </c>
      <c r="I1424" s="214" t="str">
        <f>IFERROR(__xludf.DUMMYFUNCTION("""COMPUTED_VALUE"""),"EMPTY")</f>
        <v>EMPTY</v>
      </c>
      <c r="J1424" s="211">
        <f>IFERROR(__xludf.DUMMYFUNCTION("""COMPUTED_VALUE"""),1.0)</f>
        <v>1</v>
      </c>
      <c r="K1424" s="210" t="str">
        <f>IFERROR(__xludf.DUMMYFUNCTION("""COMPUTED_VALUE"""),"11122")</f>
        <v>11122</v>
      </c>
      <c r="L1424" s="211">
        <f>IFERROR(__xludf.DUMMYFUNCTION("""COMPUTED_VALUE"""),0.0)</f>
        <v>0</v>
      </c>
      <c r="M1424" s="211"/>
      <c r="N1424" s="211"/>
      <c r="O1424" s="211"/>
      <c r="Q1424" s="210" t="str">
        <f>IFERROR(__xludf.DUMMYFUNCTION("""COMPUTED_VALUE"""),"1250628")</f>
        <v>1250628</v>
      </c>
      <c r="R1424" s="210" t="str">
        <f>IFERROR(__xludf.DUMMYFUNCTION("""COMPUTED_VALUE"""),"1250628")</f>
        <v>1250628</v>
      </c>
      <c r="S1424" s="211" t="str">
        <f>IFERROR(__xludf.DUMMYFUNCTION("""COMPUTED_VALUE"""),"8ea74d81")</f>
        <v>8ea74d81</v>
      </c>
      <c r="T1424" s="211" t="str">
        <f>IFERROR(__xludf.DUMMYFUNCTION("""COMPUTED_VALUE"""),"Bengkel Adi Putra")</f>
        <v>Bengkel Adi Putra</v>
      </c>
      <c r="U1424" s="215">
        <f>IFERROR(__xludf.DUMMYFUNCTION("""COMPUTED_VALUE"""),45941.4369212963)</f>
        <v>45941.43692</v>
      </c>
      <c r="V1424" s="211" t="str">
        <f>IFERROR(__xludf.DUMMYFUNCTION("""COMPUTED_VALUE"""),"Bypass Balongbendo")</f>
        <v>Bypass Balongbendo</v>
      </c>
      <c r="W1424" s="211" t="str">
        <f>IFERROR(__xludf.DUMMYFUNCTION("""COMPUTED_VALUE"""),"IN")</f>
        <v>IN</v>
      </c>
      <c r="X1424" s="211"/>
      <c r="AL1424" s="211"/>
      <c r="AM1424" s="211"/>
      <c r="AN1424" s="211"/>
      <c r="AO1424" s="211"/>
      <c r="AP1424" s="215"/>
      <c r="AQ1424" s="218"/>
      <c r="AR1424" s="211"/>
    </row>
    <row r="1425">
      <c r="A1425" s="210" t="str">
        <f>IFERROR(__xludf.DUMMYFUNCTION("""COMPUTED_VALUE"""),"567d9367")</f>
        <v>567d9367</v>
      </c>
      <c r="B1425" s="210" t="str">
        <f>IFERROR(__xludf.DUMMYFUNCTION("""COMPUTED_VALUE"""),"567d9367")</f>
        <v>567d9367</v>
      </c>
      <c r="C1425" s="215">
        <f>IFERROR(__xludf.DUMMYFUNCTION("""COMPUTED_VALUE"""),45863.67847222222)</f>
        <v>45863.67847</v>
      </c>
      <c r="D1425" s="211" t="str">
        <f>IFERROR(__xludf.DUMMYFUNCTION("""COMPUTED_VALUE"""),"2d88931c")</f>
        <v>2d88931c</v>
      </c>
      <c r="E1425" s="211" t="str">
        <f>IFERROR(__xludf.DUMMYFUNCTION("""COMPUTED_VALUE"""),"PT Dunia Berkat Marga Mulya")</f>
        <v>PT Dunia Berkat Marga Mulya</v>
      </c>
      <c r="F1425" s="211" t="str">
        <f>IFERROR(__xludf.DUMMYFUNCTION("""COMPUTED_VALUE"""),"7d2764f1")</f>
        <v>7d2764f1</v>
      </c>
      <c r="G1425" s="211" t="str">
        <f>IFERROR(__xludf.DUMMYFUNCTION("""COMPUTED_VALUE"""),"Oksigen 7m3")</f>
        <v>Oksigen 7m3</v>
      </c>
      <c r="H1425" s="214" t="str">
        <f>IFERROR(__xludf.DUMMYFUNCTION("""COMPUTED_VALUE"""),"IN")</f>
        <v>IN</v>
      </c>
      <c r="I1425" s="214" t="str">
        <f>IFERROR(__xludf.DUMMYFUNCTION("""COMPUTED_VALUE"""),"EMPTY")</f>
        <v>EMPTY</v>
      </c>
      <c r="J1425" s="211">
        <f>IFERROR(__xludf.DUMMYFUNCTION("""COMPUTED_VALUE"""),2.0)</f>
        <v>2</v>
      </c>
      <c r="K1425" s="210" t="str">
        <f>IFERROR(__xludf.DUMMYFUNCTION("""COMPUTED_VALUE"""),"11139 11146")</f>
        <v>11139 11146</v>
      </c>
      <c r="L1425" s="211">
        <f>IFERROR(__xludf.DUMMYFUNCTION("""COMPUTED_VALUE"""),0.0)</f>
        <v>0</v>
      </c>
      <c r="M1425" s="211"/>
      <c r="N1425" s="211"/>
      <c r="O1425" s="211"/>
      <c r="Q1425" s="210" t="str">
        <f>IFERROR(__xludf.DUMMYFUNCTION("""COMPUTED_VALUE"""),"1250660")</f>
        <v>1250660</v>
      </c>
      <c r="R1425" s="210" t="str">
        <f>IFERROR(__xludf.DUMMYFUNCTION("""COMPUTED_VALUE"""),"1250660")</f>
        <v>1250660</v>
      </c>
      <c r="S1425" s="211" t="str">
        <f>IFERROR(__xludf.DUMMYFUNCTION("""COMPUTED_VALUE"""),"ec231cc9")</f>
        <v>ec231cc9</v>
      </c>
      <c r="T1425" s="211" t="str">
        <f>IFERROR(__xludf.DUMMYFUNCTION("""COMPUTED_VALUE"""),"Bpk. Kohir (Maintenance Velg)")</f>
        <v>Bpk. Kohir (Maintenance Velg)</v>
      </c>
      <c r="U1425" s="215">
        <f>IFERROR(__xludf.DUMMYFUNCTION("""COMPUTED_VALUE"""),45941.437569444446)</f>
        <v>45941.43757</v>
      </c>
      <c r="V1425" s="211" t="str">
        <f>IFERROR(__xludf.DUMMYFUNCTION("""COMPUTED_VALUE"""),"Jl. Lkr. Bypass Krian Timur, Sidogolong, Watugolong, Kec. Krian, Kabupaten Sidoarjo, Jawa Timur 61262")</f>
        <v>Jl. Lkr. Bypass Krian Timur, Sidogolong, Watugolong, Kec. Krian, Kabupaten Sidoarjo, Jawa Timur 61262</v>
      </c>
      <c r="W1425" s="211" t="str">
        <f>IFERROR(__xludf.DUMMYFUNCTION("""COMPUTED_VALUE"""),"IN")</f>
        <v>IN</v>
      </c>
      <c r="X1425" s="211"/>
      <c r="AL1425" s="211"/>
      <c r="AM1425" s="211"/>
      <c r="AN1425" s="211"/>
      <c r="AO1425" s="211"/>
      <c r="AP1425" s="215"/>
      <c r="AQ1425" s="218"/>
      <c r="AR1425" s="211"/>
    </row>
    <row r="1426">
      <c r="A1426" s="210" t="str">
        <f>IFERROR(__xludf.DUMMYFUNCTION("""COMPUTED_VALUE"""),"e1f2152b")</f>
        <v>e1f2152b</v>
      </c>
      <c r="B1426" s="210" t="str">
        <f>IFERROR(__xludf.DUMMYFUNCTION("""COMPUTED_VALUE"""),"e1f2152b")</f>
        <v>e1f2152b</v>
      </c>
      <c r="C1426" s="215">
        <f>IFERROR(__xludf.DUMMYFUNCTION("""COMPUTED_VALUE"""),45863.67916666667)</f>
        <v>45863.67917</v>
      </c>
      <c r="D1426" s="211" t="str">
        <f>IFERROR(__xludf.DUMMYFUNCTION("""COMPUTED_VALUE"""),"01158be1")</f>
        <v>01158be1</v>
      </c>
      <c r="E1426" s="211" t="str">
        <f>IFERROR(__xludf.DUMMYFUNCTION("""COMPUTED_VALUE"""),"GYF")</f>
        <v>GYF</v>
      </c>
      <c r="F1426" s="211" t="str">
        <f>IFERROR(__xludf.DUMMYFUNCTION("""COMPUTED_VALUE"""),"8bdbe149")</f>
        <v>8bdbe149</v>
      </c>
      <c r="G1426" s="211" t="str">
        <f>IFERROR(__xludf.DUMMYFUNCTION("""COMPUTED_VALUE"""),"Oksigen 6m3")</f>
        <v>Oksigen 6m3</v>
      </c>
      <c r="H1426" s="214" t="str">
        <f>IFERROR(__xludf.DUMMYFUNCTION("""COMPUTED_VALUE"""),"IN")</f>
        <v>IN</v>
      </c>
      <c r="I1426" s="214" t="str">
        <f>IFERROR(__xludf.DUMMYFUNCTION("""COMPUTED_VALUE"""),"EMPTY")</f>
        <v>EMPTY</v>
      </c>
      <c r="J1426" s="211">
        <f>IFERROR(__xludf.DUMMYFUNCTION("""COMPUTED_VALUE"""),4.0)</f>
        <v>4</v>
      </c>
      <c r="K1426" s="210" t="str">
        <f>IFERROR(__xludf.DUMMYFUNCTION("""COMPUTED_VALUE"""),"1181 11135 1107 11276")</f>
        <v>1181 11135 1107 11276</v>
      </c>
      <c r="L1426" s="211">
        <f>IFERROR(__xludf.DUMMYFUNCTION("""COMPUTED_VALUE"""),0.0)</f>
        <v>0</v>
      </c>
      <c r="M1426" s="211"/>
      <c r="N1426" s="211"/>
      <c r="O1426" s="211"/>
      <c r="Q1426" s="210" t="str">
        <f>IFERROR(__xludf.DUMMYFUNCTION("""COMPUTED_VALUE"""),"1025151424")</f>
        <v>1025151424</v>
      </c>
      <c r="R1426" s="210" t="str">
        <f>IFERROR(__xludf.DUMMYFUNCTION("""COMPUTED_VALUE"""),"1025151424")</f>
        <v>1025151424</v>
      </c>
      <c r="S1426" s="211" t="str">
        <f>IFERROR(__xludf.DUMMYFUNCTION("""COMPUTED_VALUE"""),"e968afef")</f>
        <v>e968afef</v>
      </c>
      <c r="T1426" s="211" t="str">
        <f>IFERROR(__xludf.DUMMYFUNCTION("""COMPUTED_VALUE"""),"Bpk. Agus")</f>
        <v>Bpk. Agus</v>
      </c>
      <c r="U1426" s="215">
        <f>IFERROR(__xludf.DUMMYFUNCTION("""COMPUTED_VALUE"""),45941.534004629626)</f>
        <v>45941.534</v>
      </c>
      <c r="V1426" s="211" t="str">
        <f>IFERROR(__xludf.DUMMYFUNCTION("""COMPUTED_VALUE"""),"Jl. Parengan 13, Semawut, Balongbendo, Kec. BalongBendo, Kabupaten Sidoarjo, Jawa Timur 61263")</f>
        <v>Jl. Parengan 13, Semawut, Balongbendo, Kec. BalongBendo, Kabupaten Sidoarjo, Jawa Timur 61263</v>
      </c>
      <c r="W1426" s="211" t="str">
        <f>IFERROR(__xludf.DUMMYFUNCTION("""COMPUTED_VALUE"""),"OUT")</f>
        <v>OUT</v>
      </c>
      <c r="X1426" s="211"/>
      <c r="AL1426" s="211"/>
      <c r="AM1426" s="211"/>
      <c r="AN1426" s="211"/>
      <c r="AO1426" s="211"/>
      <c r="AP1426" s="215"/>
      <c r="AQ1426" s="218"/>
      <c r="AR1426" s="211"/>
    </row>
    <row r="1427">
      <c r="A1427" s="210" t="str">
        <f>IFERROR(__xludf.DUMMYFUNCTION("""COMPUTED_VALUE"""),"407250019")</f>
        <v>407250019</v>
      </c>
      <c r="B1427" s="210" t="str">
        <f>IFERROR(__xludf.DUMMYFUNCTION("""COMPUTED_VALUE"""),"407250019")</f>
        <v>407250019</v>
      </c>
      <c r="C1427" s="215">
        <f>IFERROR(__xludf.DUMMYFUNCTION("""COMPUTED_VALUE"""),45866.55486111111)</f>
        <v>45866.55486</v>
      </c>
      <c r="D1427" s="211" t="str">
        <f>IFERROR(__xludf.DUMMYFUNCTION("""COMPUTED_VALUE"""),"182fb0fe")</f>
        <v>182fb0fe</v>
      </c>
      <c r="E1427" s="211" t="str">
        <f>IFERROR(__xludf.DUMMYFUNCTION("""COMPUTED_VALUE"""),"PT Amtech")</f>
        <v>PT Amtech</v>
      </c>
      <c r="F1427" s="211" t="str">
        <f>IFERROR(__xludf.DUMMYFUNCTION("""COMPUTED_VALUE"""),"66af7c72")</f>
        <v>66af7c72</v>
      </c>
      <c r="G1427" s="211" t="str">
        <f>IFERROR(__xludf.DUMMYFUNCTION("""COMPUTED_VALUE"""),"Argon 6m3")</f>
        <v>Argon 6m3</v>
      </c>
      <c r="H1427" s="214" t="str">
        <f>IFERROR(__xludf.DUMMYFUNCTION("""COMPUTED_VALUE"""),"OTHER")</f>
        <v>OTHER</v>
      </c>
      <c r="I1427" s="214" t="str">
        <f>IFERROR(__xludf.DUMMYFUNCTION("""COMPUTED_VALUE"""),"RETUR CLAIM")</f>
        <v>RETUR CLAIM</v>
      </c>
      <c r="J1427" s="211">
        <f>IFERROR(__xludf.DUMMYFUNCTION("""COMPUTED_VALUE"""),1.0)</f>
        <v>1</v>
      </c>
      <c r="K1427" s="210" t="str">
        <f>IFERROR(__xludf.DUMMYFUNCTION("""COMPUTED_VALUE"""),"12036")</f>
        <v>12036</v>
      </c>
      <c r="L1427" s="211">
        <f>IFERROR(__xludf.DUMMYFUNCTION("""COMPUTED_VALUE"""),0.0)</f>
        <v>0</v>
      </c>
      <c r="M1427" s="211"/>
      <c r="N1427" s="211"/>
      <c r="O1427" s="211"/>
      <c r="Q1427" s="210" t="str">
        <f>IFERROR(__xludf.DUMMYFUNCTION("""COMPUTED_VALUE"""),"1250667")</f>
        <v>1250667</v>
      </c>
      <c r="R1427" s="210" t="str">
        <f>IFERROR(__xludf.DUMMYFUNCTION("""COMPUTED_VALUE"""),"1250667")</f>
        <v>1250667</v>
      </c>
      <c r="S1427" s="211" t="str">
        <f>IFERROR(__xludf.DUMMYFUNCTION("""COMPUTED_VALUE"""),"b2b5f2c5")</f>
        <v>b2b5f2c5</v>
      </c>
      <c r="T1427" s="211" t="str">
        <f>IFERROR(__xludf.DUMMYFUNCTION("""COMPUTED_VALUE"""),"Bengkel Las Bpk. Ari")</f>
        <v>Bengkel Las Bpk. Ari</v>
      </c>
      <c r="U1427" s="215">
        <f>IFERROR(__xludf.DUMMYFUNCTION("""COMPUTED_VALUE"""),45940.9530787037)</f>
        <v>45940.95308</v>
      </c>
      <c r="V1427" s="211" t="str">
        <f>IFERROR(__xludf.DUMMYFUNCTION("""COMPUTED_VALUE"""),"Sumber Kembar, Wonodadi, Kec. Kutorejo, Kabupaten Mojokerto, Jawa Timur")</f>
        <v>Sumber Kembar, Wonodadi, Kec. Kutorejo, Kabupaten Mojokerto, Jawa Timur</v>
      </c>
      <c r="W1427" s="211" t="str">
        <f>IFERROR(__xludf.DUMMYFUNCTION("""COMPUTED_VALUE"""),"IN")</f>
        <v>IN</v>
      </c>
      <c r="X1427" s="211"/>
      <c r="AL1427" s="211"/>
      <c r="AM1427" s="211"/>
      <c r="AN1427" s="211"/>
      <c r="AO1427" s="211"/>
      <c r="AP1427" s="215"/>
      <c r="AQ1427" s="218"/>
      <c r="AR1427" s="211"/>
    </row>
    <row r="1428">
      <c r="A1428" s="210" t="str">
        <f>IFERROR(__xludf.DUMMYFUNCTION("""COMPUTED_VALUE"""),"07250610")</f>
        <v>07250610</v>
      </c>
      <c r="B1428" s="210" t="str">
        <f>IFERROR(__xludf.DUMMYFUNCTION("""COMPUTED_VALUE"""),"07250610")</f>
        <v>07250610</v>
      </c>
      <c r="C1428" s="215">
        <f>IFERROR(__xludf.DUMMYFUNCTION("""COMPUTED_VALUE"""),45867.36111111111)</f>
        <v>45867.36111</v>
      </c>
      <c r="D1428" s="211" t="str">
        <f>IFERROR(__xludf.DUMMYFUNCTION("""COMPUTED_VALUE"""),"196b24da")</f>
        <v>196b24da</v>
      </c>
      <c r="E1428" s="211" t="str">
        <f>IFERROR(__xludf.DUMMYFUNCTION("""COMPUTED_VALUE"""),"PT Samudra Cipta Enjineering")</f>
        <v>PT Samudra Cipta Enjineering</v>
      </c>
      <c r="F1428" s="211" t="str">
        <f>IFERROR(__xludf.DUMMYFUNCTION("""COMPUTED_VALUE"""),"ef306e54")</f>
        <v>ef306e54</v>
      </c>
      <c r="G1428" s="211" t="str">
        <f>IFERROR(__xludf.DUMMYFUNCTION("""COMPUTED_VALUE"""),"Karbondioksida")</f>
        <v>Karbondioksida</v>
      </c>
      <c r="H1428" s="214" t="str">
        <f>IFERROR(__xludf.DUMMYFUNCTION("""COMPUTED_VALUE"""),"OUT")</f>
        <v>OUT</v>
      </c>
      <c r="I1428" s="214" t="str">
        <f>IFERROR(__xludf.DUMMYFUNCTION("""COMPUTED_VALUE"""),"NORMAL")</f>
        <v>NORMAL</v>
      </c>
      <c r="J1428" s="211">
        <f>IFERROR(__xludf.DUMMYFUNCTION("""COMPUTED_VALUE"""),3.0)</f>
        <v>3</v>
      </c>
      <c r="K1428" s="210" t="str">
        <f>IFERROR(__xludf.DUMMYFUNCTION("""COMPUTED_VALUE"""),"13001 13015 13007")</f>
        <v>13001 13015 13007</v>
      </c>
      <c r="L1428" s="211">
        <f>IFERROR(__xludf.DUMMYFUNCTION("""COMPUTED_VALUE"""),160000.0)</f>
        <v>160000</v>
      </c>
      <c r="M1428" s="211"/>
      <c r="N1428" s="211"/>
      <c r="O1428" s="211"/>
      <c r="Q1428" s="210" t="str">
        <f>IFERROR(__xludf.DUMMYFUNCTION("""COMPUTED_VALUE"""),"1250655")</f>
        <v>1250655</v>
      </c>
      <c r="R1428" s="210" t="str">
        <f>IFERROR(__xludf.DUMMYFUNCTION("""COMPUTED_VALUE"""),"1250655")</f>
        <v>1250655</v>
      </c>
      <c r="S1428" s="211" t="str">
        <f>IFERROR(__xludf.DUMMYFUNCTION("""COMPUTED_VALUE"""),"e86baf3b")</f>
        <v>e86baf3b</v>
      </c>
      <c r="T1428" s="211" t="str">
        <f>IFERROR(__xludf.DUMMYFUNCTION("""COMPUTED_VALUE"""),"PT GEMILANG CIPTA WAWASAN")</f>
        <v>PT GEMILANG CIPTA WAWASAN</v>
      </c>
      <c r="U1428" s="215">
        <f>IFERROR(__xludf.DUMMYFUNCTION("""COMPUTED_VALUE"""),45941.56730324074)</f>
        <v>45941.5673</v>
      </c>
      <c r="V1428" s="211" t="str">
        <f>IFERROR(__xludf.DUMMYFUNCTION("""COMPUTED_VALUE"""),"JL TEBET RAYA, 2A, TEBET BARAT, TEBET, KOTA ADM, JAKARTA SELATAN, DKI JAKARTA")</f>
        <v>JL TEBET RAYA, 2A, TEBET BARAT, TEBET, KOTA ADM, JAKARTA SELATAN, DKI JAKARTA</v>
      </c>
      <c r="W1428" s="211" t="str">
        <f>IFERROR(__xludf.DUMMYFUNCTION("""COMPUTED_VALUE"""),"IN")</f>
        <v>IN</v>
      </c>
      <c r="X1428" s="211"/>
      <c r="AL1428" s="211"/>
      <c r="AM1428" s="211"/>
      <c r="AN1428" s="211"/>
      <c r="AO1428" s="211"/>
      <c r="AP1428" s="215"/>
      <c r="AQ1428" s="218"/>
      <c r="AR1428" s="211"/>
    </row>
    <row r="1429">
      <c r="A1429" s="210" t="str">
        <f>IFERROR(__xludf.DUMMYFUNCTION("""COMPUTED_VALUE"""),"57d2874d")</f>
        <v>57d2874d</v>
      </c>
      <c r="B1429" s="210" t="str">
        <f>IFERROR(__xludf.DUMMYFUNCTION("""COMPUTED_VALUE"""),"57d2874d")</f>
        <v>57d2874d</v>
      </c>
      <c r="C1429" s="215">
        <f>IFERROR(__xludf.DUMMYFUNCTION("""COMPUTED_VALUE"""),45866.72361111111)</f>
        <v>45866.72361</v>
      </c>
      <c r="D1429" s="211" t="str">
        <f>IFERROR(__xludf.DUMMYFUNCTION("""COMPUTED_VALUE"""),"182fb0fe")</f>
        <v>182fb0fe</v>
      </c>
      <c r="E1429" s="211" t="str">
        <f>IFERROR(__xludf.DUMMYFUNCTION("""COMPUTED_VALUE"""),"PT Amtech")</f>
        <v>PT Amtech</v>
      </c>
      <c r="F1429" s="211" t="str">
        <f>IFERROR(__xludf.DUMMYFUNCTION("""COMPUTED_VALUE"""),"8bdbe149")</f>
        <v>8bdbe149</v>
      </c>
      <c r="G1429" s="211" t="str">
        <f>IFERROR(__xludf.DUMMYFUNCTION("""COMPUTED_VALUE"""),"Oksigen 6m3")</f>
        <v>Oksigen 6m3</v>
      </c>
      <c r="H1429" s="214" t="str">
        <f>IFERROR(__xludf.DUMMYFUNCTION("""COMPUTED_VALUE"""),"IN")</f>
        <v>IN</v>
      </c>
      <c r="I1429" s="214" t="str">
        <f>IFERROR(__xludf.DUMMYFUNCTION("""COMPUTED_VALUE"""),"EMPTY")</f>
        <v>EMPTY</v>
      </c>
      <c r="J1429" s="211">
        <f>IFERROR(__xludf.DUMMYFUNCTION("""COMPUTED_VALUE"""),5.0)</f>
        <v>5</v>
      </c>
      <c r="K1429" s="210" t="str">
        <f>IFERROR(__xludf.DUMMYFUNCTION("""COMPUTED_VALUE"""),"1122 1129 1126 1141 1152")</f>
        <v>1122 1129 1126 1141 1152</v>
      </c>
      <c r="L1429" s="211">
        <f>IFERROR(__xludf.DUMMYFUNCTION("""COMPUTED_VALUE"""),0.0)</f>
        <v>0</v>
      </c>
      <c r="M1429" s="211"/>
      <c r="N1429" s="211"/>
      <c r="O1429" s="211"/>
      <c r="Q1429" s="210" t="str">
        <f>IFERROR(__xludf.DUMMYFUNCTION("""COMPUTED_VALUE"""),"1250661")</f>
        <v>1250661</v>
      </c>
      <c r="R1429" s="210" t="str">
        <f>IFERROR(__xludf.DUMMYFUNCTION("""COMPUTED_VALUE"""),"1250661")</f>
        <v>1250661</v>
      </c>
      <c r="S1429" s="211" t="str">
        <f>IFERROR(__xludf.DUMMYFUNCTION("""COMPUTED_VALUE"""),"e968afef")</f>
        <v>e968afef</v>
      </c>
      <c r="T1429" s="211" t="str">
        <f>IFERROR(__xludf.DUMMYFUNCTION("""COMPUTED_VALUE"""),"Bpk. Agus")</f>
        <v>Bpk. Agus</v>
      </c>
      <c r="U1429" s="215">
        <f>IFERROR(__xludf.DUMMYFUNCTION("""COMPUTED_VALUE"""),45941.58078703703)</f>
        <v>45941.58079</v>
      </c>
      <c r="V1429" s="211" t="str">
        <f>IFERROR(__xludf.DUMMYFUNCTION("""COMPUTED_VALUE"""),"Jl. Parengan 13, Semawut, Balongbendo, Kec. BalongBendo, Kabupaten Sidoarjo, Jawa Timur 61263")</f>
        <v>Jl. Parengan 13, Semawut, Balongbendo, Kec. BalongBendo, Kabupaten Sidoarjo, Jawa Timur 61263</v>
      </c>
      <c r="W1429" s="211" t="str">
        <f>IFERROR(__xludf.DUMMYFUNCTION("""COMPUTED_VALUE"""),"IN")</f>
        <v>IN</v>
      </c>
      <c r="X1429" s="211"/>
      <c r="AL1429" s="211"/>
      <c r="AM1429" s="211"/>
      <c r="AN1429" s="211"/>
      <c r="AO1429" s="211"/>
      <c r="AP1429" s="215"/>
      <c r="AQ1429" s="218"/>
      <c r="AR1429" s="211"/>
    </row>
    <row r="1430">
      <c r="A1430" s="210" t="str">
        <f>IFERROR(__xludf.DUMMYFUNCTION("""COMPUTED_VALUE"""),"b1d8be8d")</f>
        <v>b1d8be8d</v>
      </c>
      <c r="B1430" s="210" t="str">
        <f>IFERROR(__xludf.DUMMYFUNCTION("""COMPUTED_VALUE"""),"b1d8be8d")</f>
        <v>b1d8be8d</v>
      </c>
      <c r="C1430" s="215">
        <f>IFERROR(__xludf.DUMMYFUNCTION("""COMPUTED_VALUE"""),45866.72430555556)</f>
        <v>45866.72431</v>
      </c>
      <c r="D1430" s="211" t="str">
        <f>IFERROR(__xludf.DUMMYFUNCTION("""COMPUTED_VALUE"""),"3bcd7fe6")</f>
        <v>3bcd7fe6</v>
      </c>
      <c r="E1430" s="211" t="str">
        <f>IFERROR(__xludf.DUMMYFUNCTION("""COMPUTED_VALUE"""),"Bpk. Alvin (LB Group)")</f>
        <v>Bpk. Alvin (LB Group)</v>
      </c>
      <c r="F1430" s="211" t="str">
        <f>IFERROR(__xludf.DUMMYFUNCTION("""COMPUTED_VALUE"""),"7d2764f1")</f>
        <v>7d2764f1</v>
      </c>
      <c r="G1430" s="211" t="str">
        <f>IFERROR(__xludf.DUMMYFUNCTION("""COMPUTED_VALUE"""),"Oksigen 7m3")</f>
        <v>Oksigen 7m3</v>
      </c>
      <c r="H1430" s="214" t="str">
        <f>IFERROR(__xludf.DUMMYFUNCTION("""COMPUTED_VALUE"""),"IN")</f>
        <v>IN</v>
      </c>
      <c r="I1430" s="214" t="str">
        <f>IFERROR(__xludf.DUMMYFUNCTION("""COMPUTED_VALUE"""),"EMPTY")</f>
        <v>EMPTY</v>
      </c>
      <c r="J1430" s="211">
        <f>IFERROR(__xludf.DUMMYFUNCTION("""COMPUTED_VALUE"""),2.0)</f>
        <v>2</v>
      </c>
      <c r="K1430" s="210" t="str">
        <f>IFERROR(__xludf.DUMMYFUNCTION("""COMPUTED_VALUE"""),"11155 11148")</f>
        <v>11155 11148</v>
      </c>
      <c r="L1430" s="211">
        <f>IFERROR(__xludf.DUMMYFUNCTION("""COMPUTED_VALUE"""),0.0)</f>
        <v>0</v>
      </c>
      <c r="M1430" s="211"/>
      <c r="N1430" s="211"/>
      <c r="O1430" s="211"/>
      <c r="Q1430" s="210" t="str">
        <f>IFERROR(__xludf.DUMMYFUNCTION("""COMPUTED_VALUE"""),"1025141427")</f>
        <v>1025141427</v>
      </c>
      <c r="R1430" s="210" t="str">
        <f>IFERROR(__xludf.DUMMYFUNCTION("""COMPUTED_VALUE"""),"1025141427")</f>
        <v>1025141427</v>
      </c>
      <c r="S1430" s="211" t="str">
        <f>IFERROR(__xludf.DUMMYFUNCTION("""COMPUTED_VALUE"""),"d78b2eaf")</f>
        <v>d78b2eaf</v>
      </c>
      <c r="T1430" s="211" t="str">
        <f>IFERROR(__xludf.DUMMYFUNCTION("""COMPUTED_VALUE"""),"PT Sinar Indogreen Kencana")</f>
        <v>PT Sinar Indogreen Kencana</v>
      </c>
      <c r="U1430" s="215">
        <f>IFERROR(__xludf.DUMMYFUNCTION("""COMPUTED_VALUE"""),45943.418078703704)</f>
        <v>45943.41808</v>
      </c>
      <c r="V1430" s="211" t="str">
        <f>IFERROR(__xludf.DUMMYFUNCTION("""COMPUTED_VALUE"""),"Jl. Raya Ponokawan 8b RT/001 RW/002, Ponokawan, Krian, Sidoarjo")</f>
        <v>Jl. Raya Ponokawan 8b RT/001 RW/002, Ponokawan, Krian, Sidoarjo</v>
      </c>
      <c r="W1430" s="211" t="str">
        <f>IFERROR(__xludf.DUMMYFUNCTION("""COMPUTED_VALUE"""),"OUT")</f>
        <v>OUT</v>
      </c>
      <c r="X1430" s="211"/>
      <c r="AL1430" s="211"/>
      <c r="AM1430" s="211"/>
      <c r="AN1430" s="211"/>
      <c r="AO1430" s="211"/>
      <c r="AP1430" s="215"/>
      <c r="AQ1430" s="218"/>
      <c r="AR1430" s="211"/>
    </row>
    <row r="1431">
      <c r="A1431" s="210" t="str">
        <f>IFERROR(__xludf.DUMMYFUNCTION("""COMPUTED_VALUE"""),"57d2874d")</f>
        <v>57d2874d</v>
      </c>
      <c r="B1431" s="210" t="str">
        <f>IFERROR(__xludf.DUMMYFUNCTION("""COMPUTED_VALUE"""),"57d2874d")</f>
        <v>57d2874d</v>
      </c>
      <c r="C1431" s="215">
        <f>IFERROR(__xludf.DUMMYFUNCTION("""COMPUTED_VALUE"""),45866.725694444445)</f>
        <v>45866.72569</v>
      </c>
      <c r="D1431" s="211" t="str">
        <f>IFERROR(__xludf.DUMMYFUNCTION("""COMPUTED_VALUE"""),"182fb0fe")</f>
        <v>182fb0fe</v>
      </c>
      <c r="E1431" s="211" t="str">
        <f>IFERROR(__xludf.DUMMYFUNCTION("""COMPUTED_VALUE"""),"PT Amtech")</f>
        <v>PT Amtech</v>
      </c>
      <c r="F1431" s="211" t="str">
        <f>IFERROR(__xludf.DUMMYFUNCTION("""COMPUTED_VALUE"""),"66af7c72")</f>
        <v>66af7c72</v>
      </c>
      <c r="G1431" s="211" t="str">
        <f>IFERROR(__xludf.DUMMYFUNCTION("""COMPUTED_VALUE"""),"Argon 6m3")</f>
        <v>Argon 6m3</v>
      </c>
      <c r="H1431" s="214" t="str">
        <f>IFERROR(__xludf.DUMMYFUNCTION("""COMPUTED_VALUE"""),"IN")</f>
        <v>IN</v>
      </c>
      <c r="I1431" s="214" t="str">
        <f>IFERROR(__xludf.DUMMYFUNCTION("""COMPUTED_VALUE"""),"CLAIM")</f>
        <v>CLAIM</v>
      </c>
      <c r="J1431" s="211">
        <f>IFERROR(__xludf.DUMMYFUNCTION("""COMPUTED_VALUE"""),1.0)</f>
        <v>1</v>
      </c>
      <c r="K1431" s="210" t="str">
        <f>IFERROR(__xludf.DUMMYFUNCTION("""COMPUTED_VALUE"""),"12072")</f>
        <v>12072</v>
      </c>
      <c r="L1431" s="211">
        <f>IFERROR(__xludf.DUMMYFUNCTION("""COMPUTED_VALUE"""),0.0)</f>
        <v>0</v>
      </c>
      <c r="M1431" s="211"/>
      <c r="N1431" s="211"/>
      <c r="O1431" s="211"/>
      <c r="Q1431" s="210" t="str">
        <f>IFERROR(__xludf.DUMMYFUNCTION("""COMPUTED_VALUE"""),"102531431")</f>
        <v>102531431</v>
      </c>
      <c r="R1431" s="210" t="str">
        <f>IFERROR(__xludf.DUMMYFUNCTION("""COMPUTED_VALUE"""),"102531431")</f>
        <v>102531431</v>
      </c>
      <c r="S1431" s="211" t="str">
        <f>IFERROR(__xludf.DUMMYFUNCTION("""COMPUTED_VALUE"""),"9e31e9f4")</f>
        <v>9e31e9f4</v>
      </c>
      <c r="T1431" s="211" t="str">
        <f>IFERROR(__xludf.DUMMYFUNCTION("""COMPUTED_VALUE"""),"Bpk. Eko Iswantoro")</f>
        <v>Bpk. Eko Iswantoro</v>
      </c>
      <c r="U1431" s="215">
        <f>IFERROR(__xludf.DUMMYFUNCTION("""COMPUTED_VALUE"""),45943.43068287037)</f>
        <v>45943.43068</v>
      </c>
      <c r="V1431" s="211" t="str">
        <f>IFERROR(__xludf.DUMMYFUNCTION("""COMPUTED_VALUE"""),"HHWW+8J Kemasan, Kec. Krian, Kabupaten Sidoarjo, Jawa Timur, Indonesia")</f>
        <v>HHWW+8J Kemasan, Kec. Krian, Kabupaten Sidoarjo, Jawa Timur, Indonesia</v>
      </c>
      <c r="W1431" s="211" t="str">
        <f>IFERROR(__xludf.DUMMYFUNCTION("""COMPUTED_VALUE"""),"OUT")</f>
        <v>OUT</v>
      </c>
      <c r="X1431" s="211"/>
      <c r="AL1431" s="211"/>
      <c r="AM1431" s="211"/>
      <c r="AN1431" s="211"/>
      <c r="AO1431" s="211"/>
      <c r="AP1431" s="215"/>
      <c r="AQ1431" s="218"/>
      <c r="AR1431" s="211"/>
    </row>
    <row r="1432">
      <c r="A1432" s="210" t="str">
        <f>IFERROR(__xludf.DUMMYFUNCTION("""COMPUTED_VALUE"""),"57d2874d")</f>
        <v>57d2874d</v>
      </c>
      <c r="B1432" s="210" t="str">
        <f>IFERROR(__xludf.DUMMYFUNCTION("""COMPUTED_VALUE"""),"57d2874d")</f>
        <v>57d2874d</v>
      </c>
      <c r="C1432" s="215">
        <f>IFERROR(__xludf.DUMMYFUNCTION("""COMPUTED_VALUE"""),45866.72638888889)</f>
        <v>45866.72639</v>
      </c>
      <c r="D1432" s="211" t="str">
        <f>IFERROR(__xludf.DUMMYFUNCTION("""COMPUTED_VALUE"""),"182fb0fe")</f>
        <v>182fb0fe</v>
      </c>
      <c r="E1432" s="211" t="str">
        <f>IFERROR(__xludf.DUMMYFUNCTION("""COMPUTED_VALUE"""),"PT Amtech")</f>
        <v>PT Amtech</v>
      </c>
      <c r="F1432" s="211" t="str">
        <f>IFERROR(__xludf.DUMMYFUNCTION("""COMPUTED_VALUE"""),"66af7c72")</f>
        <v>66af7c72</v>
      </c>
      <c r="G1432" s="211" t="str">
        <f>IFERROR(__xludf.DUMMYFUNCTION("""COMPUTED_VALUE"""),"Argon 6m3")</f>
        <v>Argon 6m3</v>
      </c>
      <c r="H1432" s="214" t="str">
        <f>IFERROR(__xludf.DUMMYFUNCTION("""COMPUTED_VALUE"""),"IN")</f>
        <v>IN</v>
      </c>
      <c r="I1432" s="214" t="str">
        <f>IFERROR(__xludf.DUMMYFUNCTION("""COMPUTED_VALUE"""),"EMPTY")</f>
        <v>EMPTY</v>
      </c>
      <c r="J1432" s="211">
        <f>IFERROR(__xludf.DUMMYFUNCTION("""COMPUTED_VALUE"""),3.0)</f>
        <v>3</v>
      </c>
      <c r="K1432" s="210" t="str">
        <f>IFERROR(__xludf.DUMMYFUNCTION("""COMPUTED_VALUE"""),"12021 12042 12047")</f>
        <v>12021 12042 12047</v>
      </c>
      <c r="L1432" s="211">
        <f>IFERROR(__xludf.DUMMYFUNCTION("""COMPUTED_VALUE"""),0.0)</f>
        <v>0</v>
      </c>
      <c r="M1432" s="211"/>
      <c r="N1432" s="211"/>
      <c r="O1432" s="211"/>
      <c r="Q1432" s="210" t="str">
        <f>IFERROR(__xludf.DUMMYFUNCTION("""COMPUTED_VALUE"""),"102531432")</f>
        <v>102531432</v>
      </c>
      <c r="R1432" s="210" t="str">
        <f>IFERROR(__xludf.DUMMYFUNCTION("""COMPUTED_VALUE"""),"102531432")</f>
        <v>102531432</v>
      </c>
      <c r="S1432" s="211" t="str">
        <f>IFERROR(__xludf.DUMMYFUNCTION("""COMPUTED_VALUE"""),"56828503")</f>
        <v>56828503</v>
      </c>
      <c r="T1432" s="211" t="str">
        <f>IFERROR(__xludf.DUMMYFUNCTION("""COMPUTED_VALUE"""),"Bpk. Widodo (Wringinanom)")</f>
        <v>Bpk. Widodo (Wringinanom)</v>
      </c>
      <c r="U1432" s="215">
        <f>IFERROR(__xludf.DUMMYFUNCTION("""COMPUTED_VALUE"""),45943.43388888889)</f>
        <v>45943.43389</v>
      </c>
      <c r="V1432" s="211" t="str">
        <f>IFERROR(__xludf.DUMMYFUNCTION("""COMPUTED_VALUE"""),"JG4H+3J Area Sawah/Kebun, Lebaniwaras, Kec. Wringinanom, Kabupaten Gresik, Jawa Timur, Indonesia")</f>
        <v>JG4H+3J Area Sawah/Kebun, Lebaniwaras, Kec. Wringinanom, Kabupaten Gresik, Jawa Timur, Indonesia</v>
      </c>
      <c r="W1432" s="211" t="str">
        <f>IFERROR(__xludf.DUMMYFUNCTION("""COMPUTED_VALUE"""),"OUT")</f>
        <v>OUT</v>
      </c>
      <c r="X1432" s="211"/>
      <c r="AL1432" s="211"/>
      <c r="AM1432" s="211"/>
      <c r="AN1432" s="211"/>
      <c r="AO1432" s="211"/>
      <c r="AP1432" s="215"/>
      <c r="AQ1432" s="218"/>
      <c r="AR1432" s="211"/>
    </row>
    <row r="1433">
      <c r="A1433" s="210" t="str">
        <f>IFERROR(__xludf.DUMMYFUNCTION("""COMPUTED_VALUE"""),"07250611")</f>
        <v>07250611</v>
      </c>
      <c r="B1433" s="210" t="str">
        <f>IFERROR(__xludf.DUMMYFUNCTION("""COMPUTED_VALUE"""),"07250611")</f>
        <v>07250611</v>
      </c>
      <c r="C1433" s="215">
        <f>IFERROR(__xludf.DUMMYFUNCTION("""COMPUTED_VALUE"""),45867.36597222222)</f>
        <v>45867.36597</v>
      </c>
      <c r="D1433" s="211" t="str">
        <f>IFERROR(__xludf.DUMMYFUNCTION("""COMPUTED_VALUE"""),"ed2cc96a")</f>
        <v>ed2cc96a</v>
      </c>
      <c r="E1433" s="211" t="str">
        <f>IFERROR(__xludf.DUMMYFUNCTION("""COMPUTED_VALUE"""),"Bengkel Dian Jaya")</f>
        <v>Bengkel Dian Jaya</v>
      </c>
      <c r="F1433" s="211" t="str">
        <f>IFERROR(__xludf.DUMMYFUNCTION("""COMPUTED_VALUE"""),"8bdbe149")</f>
        <v>8bdbe149</v>
      </c>
      <c r="G1433" s="211" t="str">
        <f>IFERROR(__xludf.DUMMYFUNCTION("""COMPUTED_VALUE"""),"Oksigen 6m3")</f>
        <v>Oksigen 6m3</v>
      </c>
      <c r="H1433" s="214" t="str">
        <f>IFERROR(__xludf.DUMMYFUNCTION("""COMPUTED_VALUE"""),"OUT")</f>
        <v>OUT</v>
      </c>
      <c r="I1433" s="214" t="str">
        <f>IFERROR(__xludf.DUMMYFUNCTION("""COMPUTED_VALUE"""),"NORMAL")</f>
        <v>NORMAL</v>
      </c>
      <c r="J1433" s="211">
        <f>IFERROR(__xludf.DUMMYFUNCTION("""COMPUTED_VALUE"""),10.0)</f>
        <v>10</v>
      </c>
      <c r="K1433" s="210" t="str">
        <f>IFERROR(__xludf.DUMMYFUNCTION("""COMPUTED_VALUE"""),"11206 11108 1107 1190 11111 11122 1106 11276 11262 1181")</f>
        <v>11206 11108 1107 1190 11111 11122 1106 11276 11262 1181</v>
      </c>
      <c r="L1433" s="211">
        <f>IFERROR(__xludf.DUMMYFUNCTION("""COMPUTED_VALUE"""),50000.0)</f>
        <v>50000</v>
      </c>
      <c r="M1433" s="211"/>
      <c r="N1433" s="211"/>
      <c r="O1433" s="211"/>
      <c r="Q1433" s="210" t="str">
        <f>IFERROR(__xludf.DUMMYFUNCTION("""COMPUTED_VALUE"""),"1025131433")</f>
        <v>1025131433</v>
      </c>
      <c r="R1433" s="210" t="str">
        <f>IFERROR(__xludf.DUMMYFUNCTION("""COMPUTED_VALUE"""),"1025131433")</f>
        <v>1025131433</v>
      </c>
      <c r="S1433" s="211" t="str">
        <f>IFERROR(__xludf.DUMMYFUNCTION("""COMPUTED_VALUE"""),"4ec68cf6")</f>
        <v>4ec68cf6</v>
      </c>
      <c r="T1433" s="211" t="str">
        <f>IFERROR(__xludf.DUMMYFUNCTION("""COMPUTED_VALUE"""),"CV Sido Mukti Karya")</f>
        <v>CV Sido Mukti Karya</v>
      </c>
      <c r="U1433" s="215">
        <f>IFERROR(__xludf.DUMMYFUNCTION("""COMPUTED_VALUE"""),45943.440671296295)</f>
        <v>45943.44067</v>
      </c>
      <c r="V1433" s="211" t="str">
        <f>IFERROR(__xludf.DUMMYFUNCTION("""COMPUTED_VALUE"""),"Pergudangan Center Point no A3, Kemangsen")</f>
        <v>Pergudangan Center Point no A3, Kemangsen</v>
      </c>
      <c r="W1433" s="211" t="str">
        <f>IFERROR(__xludf.DUMMYFUNCTION("""COMPUTED_VALUE"""),"OUT")</f>
        <v>OUT</v>
      </c>
      <c r="X1433" s="211"/>
      <c r="AL1433" s="211"/>
      <c r="AM1433" s="211"/>
      <c r="AN1433" s="211"/>
      <c r="AO1433" s="211"/>
      <c r="AP1433" s="215"/>
      <c r="AQ1433" s="218"/>
      <c r="AR1433" s="211"/>
    </row>
    <row r="1434">
      <c r="A1434" s="210" t="str">
        <f>IFERROR(__xludf.DUMMYFUNCTION("""COMPUTED_VALUE"""),"07250612")</f>
        <v>07250612</v>
      </c>
      <c r="B1434" s="210" t="str">
        <f>IFERROR(__xludf.DUMMYFUNCTION("""COMPUTED_VALUE"""),"07250612")</f>
        <v>07250612</v>
      </c>
      <c r="C1434" s="215">
        <f>IFERROR(__xludf.DUMMYFUNCTION("""COMPUTED_VALUE"""),45867.42569444444)</f>
        <v>45867.42569</v>
      </c>
      <c r="D1434" s="211" t="str">
        <f>IFERROR(__xludf.DUMMYFUNCTION("""COMPUTED_VALUE"""),"7b9d8eba")</f>
        <v>7b9d8eba</v>
      </c>
      <c r="E1434" s="211" t="str">
        <f>IFERROR(__xludf.DUMMYFUNCTION("""COMPUTED_VALUE"""),"PT PELANGI INDOKARYA")</f>
        <v>PT PELANGI INDOKARYA</v>
      </c>
      <c r="F1434" s="211" t="str">
        <f>IFERROR(__xludf.DUMMYFUNCTION("""COMPUTED_VALUE"""),"8bdbe149")</f>
        <v>8bdbe149</v>
      </c>
      <c r="G1434" s="211" t="str">
        <f>IFERROR(__xludf.DUMMYFUNCTION("""COMPUTED_VALUE"""),"Oksigen 6m3")</f>
        <v>Oksigen 6m3</v>
      </c>
      <c r="H1434" s="214" t="str">
        <f>IFERROR(__xludf.DUMMYFUNCTION("""COMPUTED_VALUE"""),"OUT")</f>
        <v>OUT</v>
      </c>
      <c r="I1434" s="214" t="str">
        <f>IFERROR(__xludf.DUMMYFUNCTION("""COMPUTED_VALUE"""),"NORMAL")</f>
        <v>NORMAL</v>
      </c>
      <c r="J1434" s="211">
        <f>IFERROR(__xludf.DUMMYFUNCTION("""COMPUTED_VALUE"""),5.0)</f>
        <v>5</v>
      </c>
      <c r="K1434" s="210" t="str">
        <f>IFERROR(__xludf.DUMMYFUNCTION("""COMPUTED_VALUE"""),"11171 11150 11157 11135 11146")</f>
        <v>11171 11150 11157 11135 11146</v>
      </c>
      <c r="L1434" s="211">
        <f>IFERROR(__xludf.DUMMYFUNCTION("""COMPUTED_VALUE"""),60000.0)</f>
        <v>60000</v>
      </c>
      <c r="M1434" s="211"/>
      <c r="N1434" s="211"/>
      <c r="O1434" s="211"/>
      <c r="Q1434" s="210" t="str">
        <f>IFERROR(__xludf.DUMMYFUNCTION("""COMPUTED_VALUE"""),"1025281434")</f>
        <v>1025281434</v>
      </c>
      <c r="R1434" s="210" t="str">
        <f>IFERROR(__xludf.DUMMYFUNCTION("""COMPUTED_VALUE"""),"1025281434")</f>
        <v>1025281434</v>
      </c>
      <c r="S1434" s="211" t="str">
        <f>IFERROR(__xludf.DUMMYFUNCTION("""COMPUTED_VALUE"""),"5f23ba17")</f>
        <v>5f23ba17</v>
      </c>
      <c r="T1434" s="211" t="str">
        <f>IFERROR(__xludf.DUMMYFUNCTION("""COMPUTED_VALUE"""),"Bpk. Joko (Gresik)")</f>
        <v>Bpk. Joko (Gresik)</v>
      </c>
      <c r="U1434" s="215">
        <f>IFERROR(__xludf.DUMMYFUNCTION("""COMPUTED_VALUE"""),45943.48337962963)</f>
        <v>45943.48338</v>
      </c>
      <c r="V1434" s="211" t="str">
        <f>IFERROR(__xludf.DUMMYFUNCTION("""COMPUTED_VALUE"""),"Tanggungan, Lebaniwaras, Kec. Wringinanom, Kabupaten Gresik, Jawa Timur")</f>
        <v>Tanggungan, Lebaniwaras, Kec. Wringinanom, Kabupaten Gresik, Jawa Timur</v>
      </c>
      <c r="W1434" s="211" t="str">
        <f>IFERROR(__xludf.DUMMYFUNCTION("""COMPUTED_VALUE"""),"OUT")</f>
        <v>OUT</v>
      </c>
      <c r="X1434" s="211"/>
      <c r="AL1434" s="211"/>
      <c r="AM1434" s="211"/>
      <c r="AN1434" s="211"/>
      <c r="AO1434" s="211"/>
      <c r="AP1434" s="215"/>
      <c r="AQ1434" s="218"/>
      <c r="AR1434" s="211"/>
    </row>
    <row r="1435">
      <c r="A1435" s="210" t="str">
        <f>IFERROR(__xludf.DUMMYFUNCTION("""COMPUTED_VALUE"""),"07250613")</f>
        <v>07250613</v>
      </c>
      <c r="B1435" s="210" t="str">
        <f>IFERROR(__xludf.DUMMYFUNCTION("""COMPUTED_VALUE"""),"07250613")</f>
        <v>07250613</v>
      </c>
      <c r="C1435" s="215">
        <f>IFERROR(__xludf.DUMMYFUNCTION("""COMPUTED_VALUE"""),45867.490277777775)</f>
        <v>45867.49028</v>
      </c>
      <c r="D1435" s="211" t="str">
        <f>IFERROR(__xludf.DUMMYFUNCTION("""COMPUTED_VALUE"""),"b2b5f2c5")</f>
        <v>b2b5f2c5</v>
      </c>
      <c r="E1435" s="211" t="str">
        <f>IFERROR(__xludf.DUMMYFUNCTION("""COMPUTED_VALUE"""),"Bengkel Las Bpk. Ari")</f>
        <v>Bengkel Las Bpk. Ari</v>
      </c>
      <c r="F1435" s="211" t="str">
        <f>IFERROR(__xludf.DUMMYFUNCTION("""COMPUTED_VALUE"""),"8bdbe149")</f>
        <v>8bdbe149</v>
      </c>
      <c r="G1435" s="211" t="str">
        <f>IFERROR(__xludf.DUMMYFUNCTION("""COMPUTED_VALUE"""),"Oksigen 6m3")</f>
        <v>Oksigen 6m3</v>
      </c>
      <c r="H1435" s="214" t="str">
        <f>IFERROR(__xludf.DUMMYFUNCTION("""COMPUTED_VALUE"""),"OUT")</f>
        <v>OUT</v>
      </c>
      <c r="I1435" s="214" t="str">
        <f>IFERROR(__xludf.DUMMYFUNCTION("""COMPUTED_VALUE"""),"NORMAL")</f>
        <v>NORMAL</v>
      </c>
      <c r="J1435" s="211">
        <f>IFERROR(__xludf.DUMMYFUNCTION("""COMPUTED_VALUE"""),5.0)</f>
        <v>5</v>
      </c>
      <c r="K1435" s="210" t="str">
        <f>IFERROR(__xludf.DUMMYFUNCTION("""COMPUTED_VALUE"""),"11213 11220 11170 11139 1122")</f>
        <v>11213 11220 11170 11139 1122</v>
      </c>
      <c r="L1435" s="211">
        <f>IFERROR(__xludf.DUMMYFUNCTION("""COMPUTED_VALUE"""),60000.0)</f>
        <v>60000</v>
      </c>
      <c r="M1435" s="211"/>
      <c r="N1435" s="211"/>
      <c r="O1435" s="211"/>
      <c r="Q1435" s="210" t="str">
        <f>IFERROR(__xludf.DUMMYFUNCTION("""COMPUTED_VALUE"""),"1250656")</f>
        <v>1250656</v>
      </c>
      <c r="R1435" s="210" t="str">
        <f>IFERROR(__xludf.DUMMYFUNCTION("""COMPUTED_VALUE"""),"1250656")</f>
        <v>1250656</v>
      </c>
      <c r="S1435" s="211" t="str">
        <f>IFERROR(__xludf.DUMMYFUNCTION("""COMPUTED_VALUE"""),"4ec68cf6")</f>
        <v>4ec68cf6</v>
      </c>
      <c r="T1435" s="211" t="str">
        <f>IFERROR(__xludf.DUMMYFUNCTION("""COMPUTED_VALUE"""),"CV Sido Mukti Karya")</f>
        <v>CV Sido Mukti Karya</v>
      </c>
      <c r="U1435" s="215">
        <f>IFERROR(__xludf.DUMMYFUNCTION("""COMPUTED_VALUE"""),45943.51568287037)</f>
        <v>45943.51568</v>
      </c>
      <c r="V1435" s="211" t="str">
        <f>IFERROR(__xludf.DUMMYFUNCTION("""COMPUTED_VALUE"""),"Pergudangan Center Point no A3, Kemangsen")</f>
        <v>Pergudangan Center Point no A3, Kemangsen</v>
      </c>
      <c r="W1435" s="211" t="str">
        <f>IFERROR(__xludf.DUMMYFUNCTION("""COMPUTED_VALUE"""),"IN")</f>
        <v>IN</v>
      </c>
      <c r="X1435" s="211"/>
      <c r="AL1435" s="211"/>
      <c r="AM1435" s="211"/>
      <c r="AN1435" s="211"/>
      <c r="AO1435" s="211"/>
      <c r="AP1435" s="215"/>
      <c r="AQ1435" s="218"/>
      <c r="AR1435" s="211"/>
    </row>
    <row r="1436">
      <c r="A1436" s="210" t="str">
        <f>IFERROR(__xludf.DUMMYFUNCTION("""COMPUTED_VALUE"""),"07250614")</f>
        <v>07250614</v>
      </c>
      <c r="B1436" s="210" t="str">
        <f>IFERROR(__xludf.DUMMYFUNCTION("""COMPUTED_VALUE"""),"07250614")</f>
        <v>07250614</v>
      </c>
      <c r="C1436" s="215">
        <f>IFERROR(__xludf.DUMMYFUNCTION("""COMPUTED_VALUE"""),45867.57986111111)</f>
        <v>45867.57986</v>
      </c>
      <c r="D1436" s="211" t="str">
        <f>IFERROR(__xludf.DUMMYFUNCTION("""COMPUTED_VALUE"""),"e76bc39c")</f>
        <v>e76bc39c</v>
      </c>
      <c r="E1436" s="211" t="str">
        <f>IFERROR(__xludf.DUMMYFUNCTION("""COMPUTED_VALUE"""),"Bpk. Irul")</f>
        <v>Bpk. Irul</v>
      </c>
      <c r="F1436" s="211" t="str">
        <f>IFERROR(__xludf.DUMMYFUNCTION("""COMPUTED_VALUE"""),"8bdbe149")</f>
        <v>8bdbe149</v>
      </c>
      <c r="G1436" s="211" t="str">
        <f>IFERROR(__xludf.DUMMYFUNCTION("""COMPUTED_VALUE"""),"Oksigen 6m3")</f>
        <v>Oksigen 6m3</v>
      </c>
      <c r="H1436" s="214" t="str">
        <f>IFERROR(__xludf.DUMMYFUNCTION("""COMPUTED_VALUE"""),"OUT")</f>
        <v>OUT</v>
      </c>
      <c r="I1436" s="214" t="str">
        <f>IFERROR(__xludf.DUMMYFUNCTION("""COMPUTED_VALUE"""),"NORMAL")</f>
        <v>NORMAL</v>
      </c>
      <c r="J1436" s="211">
        <f>IFERROR(__xludf.DUMMYFUNCTION("""COMPUTED_VALUE"""),1.0)</f>
        <v>1</v>
      </c>
      <c r="K1436" s="210" t="str">
        <f>IFERROR(__xludf.DUMMYFUNCTION("""COMPUTED_VALUE"""),"11209")</f>
        <v>11209</v>
      </c>
      <c r="L1436" s="211">
        <f>IFERROR(__xludf.DUMMYFUNCTION("""COMPUTED_VALUE"""),65000.0)</f>
        <v>65000</v>
      </c>
      <c r="M1436" s="211"/>
      <c r="N1436" s="211"/>
      <c r="O1436" s="211"/>
      <c r="Q1436" s="210" t="str">
        <f>IFERROR(__xludf.DUMMYFUNCTION("""COMPUTED_VALUE"""),"1250658")</f>
        <v>1250658</v>
      </c>
      <c r="R1436" s="210" t="str">
        <f>IFERROR(__xludf.DUMMYFUNCTION("""COMPUTED_VALUE"""),"1250658")</f>
        <v>1250658</v>
      </c>
      <c r="S1436" s="211" t="str">
        <f>IFERROR(__xludf.DUMMYFUNCTION("""COMPUTED_VALUE"""),"ec231cc9")</f>
        <v>ec231cc9</v>
      </c>
      <c r="T1436" s="211" t="str">
        <f>IFERROR(__xludf.DUMMYFUNCTION("""COMPUTED_VALUE"""),"Bpk. Kohir (Maintenance Velg)")</f>
        <v>Bpk. Kohir (Maintenance Velg)</v>
      </c>
      <c r="U1436" s="215">
        <f>IFERROR(__xludf.DUMMYFUNCTION("""COMPUTED_VALUE"""),45943.51634259259)</f>
        <v>45943.51634</v>
      </c>
      <c r="V1436" s="211" t="str">
        <f>IFERROR(__xludf.DUMMYFUNCTION("""COMPUTED_VALUE"""),"Jl. Lkr. Bypass Krian Timur, Sidogolong, Watugolong, Kec. Krian, Kabupaten Sidoarjo, Jawa Timur 61262")</f>
        <v>Jl. Lkr. Bypass Krian Timur, Sidogolong, Watugolong, Kec. Krian, Kabupaten Sidoarjo, Jawa Timur 61262</v>
      </c>
      <c r="W1436" s="211" t="str">
        <f>IFERROR(__xludf.DUMMYFUNCTION("""COMPUTED_VALUE"""),"IN")</f>
        <v>IN</v>
      </c>
      <c r="X1436" s="211"/>
      <c r="AL1436" s="211"/>
      <c r="AM1436" s="211"/>
      <c r="AN1436" s="211"/>
      <c r="AO1436" s="211"/>
      <c r="AP1436" s="215"/>
      <c r="AQ1436" s="218"/>
      <c r="AR1436" s="211"/>
    </row>
    <row r="1437">
      <c r="A1437" s="210" t="str">
        <f>IFERROR(__xludf.DUMMYFUNCTION("""COMPUTED_VALUE"""),"dc638d37")</f>
        <v>dc638d37</v>
      </c>
      <c r="B1437" s="210" t="str">
        <f>IFERROR(__xludf.DUMMYFUNCTION("""COMPUTED_VALUE"""),"dc638d37")</f>
        <v>dc638d37</v>
      </c>
      <c r="C1437" s="215">
        <f>IFERROR(__xludf.DUMMYFUNCTION("""COMPUTED_VALUE"""),45867.666666666664)</f>
        <v>45867.66667</v>
      </c>
      <c r="D1437" s="211" t="str">
        <f>IFERROR(__xludf.DUMMYFUNCTION("""COMPUTED_VALUE"""),"b2b5f2c5")</f>
        <v>b2b5f2c5</v>
      </c>
      <c r="E1437" s="211" t="str">
        <f>IFERROR(__xludf.DUMMYFUNCTION("""COMPUTED_VALUE"""),"Bengkel Las Bpk. Ari")</f>
        <v>Bengkel Las Bpk. Ari</v>
      </c>
      <c r="F1437" s="211" t="str">
        <f>IFERROR(__xludf.DUMMYFUNCTION("""COMPUTED_VALUE"""),"8bdbe149")</f>
        <v>8bdbe149</v>
      </c>
      <c r="G1437" s="211" t="str">
        <f>IFERROR(__xludf.DUMMYFUNCTION("""COMPUTED_VALUE"""),"Oksigen 6m3")</f>
        <v>Oksigen 6m3</v>
      </c>
      <c r="H1437" s="214" t="str">
        <f>IFERROR(__xludf.DUMMYFUNCTION("""COMPUTED_VALUE"""),"IN")</f>
        <v>IN</v>
      </c>
      <c r="I1437" s="214" t="str">
        <f>IFERROR(__xludf.DUMMYFUNCTION("""COMPUTED_VALUE"""),"EMPTY")</f>
        <v>EMPTY</v>
      </c>
      <c r="J1437" s="211">
        <f>IFERROR(__xludf.DUMMYFUNCTION("""COMPUTED_VALUE"""),1.0)</f>
        <v>1</v>
      </c>
      <c r="K1437" s="210" t="str">
        <f>IFERROR(__xludf.DUMMYFUNCTION("""COMPUTED_VALUE"""),"1187")</f>
        <v>1187</v>
      </c>
      <c r="L1437" s="211">
        <f>IFERROR(__xludf.DUMMYFUNCTION("""COMPUTED_VALUE"""),0.0)</f>
        <v>0</v>
      </c>
      <c r="M1437" s="211"/>
      <c r="N1437" s="211"/>
      <c r="O1437" s="211"/>
      <c r="Q1437" s="210" t="str">
        <f>IFERROR(__xludf.DUMMYFUNCTION("""COMPUTED_VALUE"""),"1250657")</f>
        <v>1250657</v>
      </c>
      <c r="R1437" s="210" t="str">
        <f>IFERROR(__xludf.DUMMYFUNCTION("""COMPUTED_VALUE"""),"1250657")</f>
        <v>1250657</v>
      </c>
      <c r="S1437" s="211" t="str">
        <f>IFERROR(__xludf.DUMMYFUNCTION("""COMPUTED_VALUE"""),"d78b2eaf")</f>
        <v>d78b2eaf</v>
      </c>
      <c r="T1437" s="211" t="str">
        <f>IFERROR(__xludf.DUMMYFUNCTION("""COMPUTED_VALUE"""),"PT Sinar Indogreen Kencana")</f>
        <v>PT Sinar Indogreen Kencana</v>
      </c>
      <c r="U1437" s="215">
        <f>IFERROR(__xludf.DUMMYFUNCTION("""COMPUTED_VALUE"""),45943.5168287037)</f>
        <v>45943.51683</v>
      </c>
      <c r="V1437" s="211" t="str">
        <f>IFERROR(__xludf.DUMMYFUNCTION("""COMPUTED_VALUE"""),"Jl. Raya Ponokawan 8b RT/001 RW/002, Ponokawan, Krian, Sidoarjo")</f>
        <v>Jl. Raya Ponokawan 8b RT/001 RW/002, Ponokawan, Krian, Sidoarjo</v>
      </c>
      <c r="W1437" s="211" t="str">
        <f>IFERROR(__xludf.DUMMYFUNCTION("""COMPUTED_VALUE"""),"IN")</f>
        <v>IN</v>
      </c>
      <c r="X1437" s="211"/>
      <c r="AL1437" s="211"/>
      <c r="AM1437" s="211"/>
      <c r="AN1437" s="211"/>
      <c r="AO1437" s="211"/>
      <c r="AP1437" s="215"/>
      <c r="AQ1437" s="218"/>
      <c r="AR1437" s="211"/>
    </row>
    <row r="1438">
      <c r="A1438" s="210" t="str">
        <f>IFERROR(__xludf.DUMMYFUNCTION("""COMPUTED_VALUE"""),"036fb907")</f>
        <v>036fb907</v>
      </c>
      <c r="B1438" s="210" t="str">
        <f>IFERROR(__xludf.DUMMYFUNCTION("""COMPUTED_VALUE"""),"036fb907")</f>
        <v>036fb907</v>
      </c>
      <c r="C1438" s="215">
        <f>IFERROR(__xludf.DUMMYFUNCTION("""COMPUTED_VALUE"""),45867.66805555556)</f>
        <v>45867.66806</v>
      </c>
      <c r="D1438" s="211" t="str">
        <f>IFERROR(__xludf.DUMMYFUNCTION("""COMPUTED_VALUE"""),"7b9d8eba")</f>
        <v>7b9d8eba</v>
      </c>
      <c r="E1438" s="211" t="str">
        <f>IFERROR(__xludf.DUMMYFUNCTION("""COMPUTED_VALUE"""),"PT PELANGI INDOKARYA")</f>
        <v>PT PELANGI INDOKARYA</v>
      </c>
      <c r="F1438" s="211" t="str">
        <f>IFERROR(__xludf.DUMMYFUNCTION("""COMPUTED_VALUE"""),"8bdbe149")</f>
        <v>8bdbe149</v>
      </c>
      <c r="G1438" s="211" t="str">
        <f>IFERROR(__xludf.DUMMYFUNCTION("""COMPUTED_VALUE"""),"Oksigen 6m3")</f>
        <v>Oksigen 6m3</v>
      </c>
      <c r="H1438" s="214" t="str">
        <f>IFERROR(__xludf.DUMMYFUNCTION("""COMPUTED_VALUE"""),"IN")</f>
        <v>IN</v>
      </c>
      <c r="I1438" s="214" t="str">
        <f>IFERROR(__xludf.DUMMYFUNCTION("""COMPUTED_VALUE"""),"EMPTY")</f>
        <v>EMPTY</v>
      </c>
      <c r="J1438" s="211">
        <f>IFERROR(__xludf.DUMMYFUNCTION("""COMPUTED_VALUE"""),6.0)</f>
        <v>6</v>
      </c>
      <c r="K1438" s="210" t="str">
        <f>IFERROR(__xludf.DUMMYFUNCTION("""COMPUTED_VALUE"""),"11187 11250 11260 11251 11272 1134")</f>
        <v>11187 11250 11260 11251 11272 1134</v>
      </c>
      <c r="L1438" s="211">
        <f>IFERROR(__xludf.DUMMYFUNCTION("""COMPUTED_VALUE"""),0.0)</f>
        <v>0</v>
      </c>
      <c r="M1438" s="211"/>
      <c r="N1438" s="211"/>
      <c r="O1438" s="211"/>
      <c r="Q1438" s="210" t="str">
        <f>IFERROR(__xludf.DUMMYFUNCTION("""COMPUTED_VALUE"""),"1250662")</f>
        <v>1250662</v>
      </c>
      <c r="R1438" s="210" t="str">
        <f>IFERROR(__xludf.DUMMYFUNCTION("""COMPUTED_VALUE"""),"1250662")</f>
        <v>1250662</v>
      </c>
      <c r="S1438" s="211" t="str">
        <f>IFERROR(__xludf.DUMMYFUNCTION("""COMPUTED_VALUE"""),"56828503")</f>
        <v>56828503</v>
      </c>
      <c r="T1438" s="211" t="str">
        <f>IFERROR(__xludf.DUMMYFUNCTION("""COMPUTED_VALUE"""),"Bpk. Widodo (Wringinanom)")</f>
        <v>Bpk. Widodo (Wringinanom)</v>
      </c>
      <c r="U1438" s="215">
        <f>IFERROR(__xludf.DUMMYFUNCTION("""COMPUTED_VALUE"""),45943.53596064815)</f>
        <v>45943.53596</v>
      </c>
      <c r="V1438" s="211" t="str">
        <f>IFERROR(__xludf.DUMMYFUNCTION("""COMPUTED_VALUE"""),"JG4H+3J Area Sawah/Kebun, Lebaniwaras, Kec. Wringinanom, Kabupaten Gresik, Jawa Timur, Indonesia")</f>
        <v>JG4H+3J Area Sawah/Kebun, Lebaniwaras, Kec. Wringinanom, Kabupaten Gresik, Jawa Timur, Indonesia</v>
      </c>
      <c r="W1438" s="211" t="str">
        <f>IFERROR(__xludf.DUMMYFUNCTION("""COMPUTED_VALUE"""),"IN")</f>
        <v>IN</v>
      </c>
      <c r="X1438" s="211"/>
      <c r="AL1438" s="211"/>
      <c r="AM1438" s="211"/>
      <c r="AN1438" s="211"/>
      <c r="AO1438" s="211"/>
      <c r="AP1438" s="215"/>
      <c r="AQ1438" s="218"/>
      <c r="AR1438" s="211"/>
    </row>
    <row r="1439">
      <c r="A1439" s="210" t="str">
        <f>IFERROR(__xludf.DUMMYFUNCTION("""COMPUTED_VALUE"""),"8128f000")</f>
        <v>8128f000</v>
      </c>
      <c r="B1439" s="210" t="str">
        <f>IFERROR(__xludf.DUMMYFUNCTION("""COMPUTED_VALUE"""),"8128f000")</f>
        <v>8128f000</v>
      </c>
      <c r="C1439" s="215">
        <f>IFERROR(__xludf.DUMMYFUNCTION("""COMPUTED_VALUE"""),45867.67013888889)</f>
        <v>45867.67014</v>
      </c>
      <c r="D1439" s="211" t="str">
        <f>IFERROR(__xludf.DUMMYFUNCTION("""COMPUTED_VALUE"""),"ed2cc96a")</f>
        <v>ed2cc96a</v>
      </c>
      <c r="E1439" s="211" t="str">
        <f>IFERROR(__xludf.DUMMYFUNCTION("""COMPUTED_VALUE"""),"Bengkel Dian Jaya")</f>
        <v>Bengkel Dian Jaya</v>
      </c>
      <c r="F1439" s="211" t="str">
        <f>IFERROR(__xludf.DUMMYFUNCTION("""COMPUTED_VALUE"""),"8bdbe149")</f>
        <v>8bdbe149</v>
      </c>
      <c r="G1439" s="211" t="str">
        <f>IFERROR(__xludf.DUMMYFUNCTION("""COMPUTED_VALUE"""),"Oksigen 6m3")</f>
        <v>Oksigen 6m3</v>
      </c>
      <c r="H1439" s="214" t="str">
        <f>IFERROR(__xludf.DUMMYFUNCTION("""COMPUTED_VALUE"""),"IN")</f>
        <v>IN</v>
      </c>
      <c r="I1439" s="214" t="str">
        <f>IFERROR(__xludf.DUMMYFUNCTION("""COMPUTED_VALUE"""),"EMPTY")</f>
        <v>EMPTY</v>
      </c>
      <c r="J1439" s="211">
        <f>IFERROR(__xludf.DUMMYFUNCTION("""COMPUTED_VALUE"""),8.0)</f>
        <v>8</v>
      </c>
      <c r="K1439" s="210" t="str">
        <f>IFERROR(__xludf.DUMMYFUNCTION("""COMPUTED_VALUE"""),"1135 11114 11110 1116 1146 1147 11106 11189")</f>
        <v>1135 11114 11110 1116 1146 1147 11106 11189</v>
      </c>
      <c r="L1439" s="211">
        <f>IFERROR(__xludf.DUMMYFUNCTION("""COMPUTED_VALUE"""),0.0)</f>
        <v>0</v>
      </c>
      <c r="M1439" s="211"/>
      <c r="N1439" s="211"/>
      <c r="O1439" s="211"/>
      <c r="Q1439" s="210" t="str">
        <f>IFERROR(__xludf.DUMMYFUNCTION("""COMPUTED_VALUE"""),"1250663")</f>
        <v>1250663</v>
      </c>
      <c r="R1439" s="210" t="str">
        <f>IFERROR(__xludf.DUMMYFUNCTION("""COMPUTED_VALUE"""),"1250663")</f>
        <v>1250663</v>
      </c>
      <c r="S1439" s="211" t="str">
        <f>IFERROR(__xludf.DUMMYFUNCTION("""COMPUTED_VALUE"""),"5f23ba17")</f>
        <v>5f23ba17</v>
      </c>
      <c r="T1439" s="211" t="str">
        <f>IFERROR(__xludf.DUMMYFUNCTION("""COMPUTED_VALUE"""),"Bpk. Joko (Gresik)")</f>
        <v>Bpk. Joko (Gresik)</v>
      </c>
      <c r="U1439" s="215">
        <f>IFERROR(__xludf.DUMMYFUNCTION("""COMPUTED_VALUE"""),45943.537094907406)</f>
        <v>45943.53709</v>
      </c>
      <c r="V1439" s="211" t="str">
        <f>IFERROR(__xludf.DUMMYFUNCTION("""COMPUTED_VALUE"""),"Tanggungan, Lebaniwaras, Kec. Wringinanom, Kabupaten Gresik, Jawa Timur")</f>
        <v>Tanggungan, Lebaniwaras, Kec. Wringinanom, Kabupaten Gresik, Jawa Timur</v>
      </c>
      <c r="W1439" s="211" t="str">
        <f>IFERROR(__xludf.DUMMYFUNCTION("""COMPUTED_VALUE"""),"IN")</f>
        <v>IN</v>
      </c>
      <c r="X1439" s="211"/>
      <c r="AL1439" s="211"/>
      <c r="AM1439" s="211"/>
      <c r="AN1439" s="211"/>
      <c r="AO1439" s="211"/>
      <c r="AP1439" s="215"/>
      <c r="AQ1439" s="218"/>
      <c r="AR1439" s="211"/>
    </row>
    <row r="1440">
      <c r="A1440" s="210" t="str">
        <f>IFERROR(__xludf.DUMMYFUNCTION("""COMPUTED_VALUE"""),"8128f000")</f>
        <v>8128f000</v>
      </c>
      <c r="B1440" s="210" t="str">
        <f>IFERROR(__xludf.DUMMYFUNCTION("""COMPUTED_VALUE"""),"8128f000")</f>
        <v>8128f000</v>
      </c>
      <c r="C1440" s="215">
        <f>IFERROR(__xludf.DUMMYFUNCTION("""COMPUTED_VALUE"""),45867.67013888889)</f>
        <v>45867.67014</v>
      </c>
      <c r="D1440" s="211" t="str">
        <f>IFERROR(__xludf.DUMMYFUNCTION("""COMPUTED_VALUE"""),"ed2cc96a")</f>
        <v>ed2cc96a</v>
      </c>
      <c r="E1440" s="211" t="str">
        <f>IFERROR(__xludf.DUMMYFUNCTION("""COMPUTED_VALUE"""),"Bengkel Dian Jaya")</f>
        <v>Bengkel Dian Jaya</v>
      </c>
      <c r="F1440" s="211" t="str">
        <f>IFERROR(__xludf.DUMMYFUNCTION("""COMPUTED_VALUE"""),"8bdbe149")</f>
        <v>8bdbe149</v>
      </c>
      <c r="G1440" s="211" t="str">
        <f>IFERROR(__xludf.DUMMYFUNCTION("""COMPUTED_VALUE"""),"Oksigen 6m3")</f>
        <v>Oksigen 6m3</v>
      </c>
      <c r="H1440" s="214" t="str">
        <f>IFERROR(__xludf.DUMMYFUNCTION("""COMPUTED_VALUE"""),"IN")</f>
        <v>IN</v>
      </c>
      <c r="I1440" s="214" t="str">
        <f>IFERROR(__xludf.DUMMYFUNCTION("""COMPUTED_VALUE"""),"CLAIM")</f>
        <v>CLAIM</v>
      </c>
      <c r="J1440" s="211">
        <f>IFERROR(__xludf.DUMMYFUNCTION("""COMPUTED_VALUE"""),2.0)</f>
        <v>2</v>
      </c>
      <c r="K1440" s="210" t="str">
        <f>IFERROR(__xludf.DUMMYFUNCTION("""COMPUTED_VALUE"""),"11200 11132")</f>
        <v>11200 11132</v>
      </c>
      <c r="L1440" s="211">
        <f>IFERROR(__xludf.DUMMYFUNCTION("""COMPUTED_VALUE"""),0.0)</f>
        <v>0</v>
      </c>
      <c r="M1440" s="211"/>
      <c r="N1440" s="211"/>
      <c r="O1440" s="211"/>
      <c r="Q1440" s="210" t="str">
        <f>IFERROR(__xludf.DUMMYFUNCTION("""COMPUTED_VALUE"""),"1025141435")</f>
        <v>1025141435</v>
      </c>
      <c r="R1440" s="210" t="str">
        <f>IFERROR(__xludf.DUMMYFUNCTION("""COMPUTED_VALUE"""),"1025141435")</f>
        <v>1025141435</v>
      </c>
      <c r="S1440" s="211" t="str">
        <f>IFERROR(__xludf.DUMMYFUNCTION("""COMPUTED_VALUE"""),"4ec68cf6")</f>
        <v>4ec68cf6</v>
      </c>
      <c r="T1440" s="211" t="str">
        <f>IFERROR(__xludf.DUMMYFUNCTION("""COMPUTED_VALUE"""),"CV Sido Mukti Karya")</f>
        <v>CV Sido Mukti Karya</v>
      </c>
      <c r="U1440" s="215">
        <f>IFERROR(__xludf.DUMMYFUNCTION("""COMPUTED_VALUE"""),45943.612592592595)</f>
        <v>45943.61259</v>
      </c>
      <c r="V1440" s="211" t="str">
        <f>IFERROR(__xludf.DUMMYFUNCTION("""COMPUTED_VALUE"""),"Pergudangan Center Point no A3, Kemangsen")</f>
        <v>Pergudangan Center Point no A3, Kemangsen</v>
      </c>
      <c r="W1440" s="211" t="str">
        <f>IFERROR(__xludf.DUMMYFUNCTION("""COMPUTED_VALUE"""),"OUT")</f>
        <v>OUT</v>
      </c>
      <c r="X1440" s="211"/>
      <c r="AL1440" s="211"/>
      <c r="AM1440" s="211"/>
      <c r="AN1440" s="211"/>
      <c r="AO1440" s="211"/>
      <c r="AP1440" s="215"/>
      <c r="AQ1440" s="218"/>
      <c r="AR1440" s="211"/>
    </row>
    <row r="1441">
      <c r="A1441" s="210" t="str">
        <f>IFERROR(__xludf.DUMMYFUNCTION("""COMPUTED_VALUE"""),"2f918338")</f>
        <v>2f918338</v>
      </c>
      <c r="B1441" s="210" t="str">
        <f>IFERROR(__xludf.DUMMYFUNCTION("""COMPUTED_VALUE"""),"2f918338")</f>
        <v>2f918338</v>
      </c>
      <c r="C1441" s="215">
        <f>IFERROR(__xludf.DUMMYFUNCTION("""COMPUTED_VALUE"""),45867.705555555556)</f>
        <v>45867.70556</v>
      </c>
      <c r="D1441" s="211" t="str">
        <f>IFERROR(__xludf.DUMMYFUNCTION("""COMPUTED_VALUE"""),"e76bc39c")</f>
        <v>e76bc39c</v>
      </c>
      <c r="E1441" s="211" t="str">
        <f>IFERROR(__xludf.DUMMYFUNCTION("""COMPUTED_VALUE"""),"Bpk. Irul")</f>
        <v>Bpk. Irul</v>
      </c>
      <c r="F1441" s="211" t="str">
        <f>IFERROR(__xludf.DUMMYFUNCTION("""COMPUTED_VALUE"""),"8bdbe149")</f>
        <v>8bdbe149</v>
      </c>
      <c r="G1441" s="211" t="str">
        <f>IFERROR(__xludf.DUMMYFUNCTION("""COMPUTED_VALUE"""),"Oksigen 6m3")</f>
        <v>Oksigen 6m3</v>
      </c>
      <c r="H1441" s="214" t="str">
        <f>IFERROR(__xludf.DUMMYFUNCTION("""COMPUTED_VALUE"""),"IN")</f>
        <v>IN</v>
      </c>
      <c r="I1441" s="214" t="str">
        <f>IFERROR(__xludf.DUMMYFUNCTION("""COMPUTED_VALUE"""),"EMPTY")</f>
        <v>EMPTY</v>
      </c>
      <c r="J1441" s="211">
        <f>IFERROR(__xludf.DUMMYFUNCTION("""COMPUTED_VALUE"""),1.0)</f>
        <v>1</v>
      </c>
      <c r="K1441" s="210" t="str">
        <f>IFERROR(__xludf.DUMMYFUNCTION("""COMPUTED_VALUE"""),"1188")</f>
        <v>1188</v>
      </c>
      <c r="L1441" s="211">
        <f>IFERROR(__xludf.DUMMYFUNCTION("""COMPUTED_VALUE"""),0.0)</f>
        <v>0</v>
      </c>
      <c r="M1441" s="211"/>
      <c r="N1441" s="211"/>
      <c r="O1441" s="211"/>
      <c r="Q1441" s="210" t="str">
        <f>IFERROR(__xludf.DUMMYFUNCTION("""COMPUTED_VALUE"""),"1250664")</f>
        <v>1250664</v>
      </c>
      <c r="R1441" s="210" t="str">
        <f>IFERROR(__xludf.DUMMYFUNCTION("""COMPUTED_VALUE"""),"1250664")</f>
        <v>1250664</v>
      </c>
      <c r="S1441" s="211" t="str">
        <f>IFERROR(__xludf.DUMMYFUNCTION("""COMPUTED_VALUE"""),"5f23ba17")</f>
        <v>5f23ba17</v>
      </c>
      <c r="T1441" s="211" t="str">
        <f>IFERROR(__xludf.DUMMYFUNCTION("""COMPUTED_VALUE"""),"Bpk. Joko (Gresik)")</f>
        <v>Bpk. Joko (Gresik)</v>
      </c>
      <c r="U1441" s="215">
        <f>IFERROR(__xludf.DUMMYFUNCTION("""COMPUTED_VALUE"""),45943.67273148148)</f>
        <v>45943.67273</v>
      </c>
      <c r="V1441" s="211" t="str">
        <f>IFERROR(__xludf.DUMMYFUNCTION("""COMPUTED_VALUE"""),"Tanggungan, Lebaniwaras, Kec. Wringinanom, Kabupaten Gresik, Jawa Timur")</f>
        <v>Tanggungan, Lebaniwaras, Kec. Wringinanom, Kabupaten Gresik, Jawa Timur</v>
      </c>
      <c r="W1441" s="211" t="str">
        <f>IFERROR(__xludf.DUMMYFUNCTION("""COMPUTED_VALUE"""),"IN")</f>
        <v>IN</v>
      </c>
      <c r="X1441" s="211"/>
      <c r="AL1441" s="211"/>
      <c r="AM1441" s="211"/>
      <c r="AN1441" s="211"/>
      <c r="AO1441" s="211"/>
      <c r="AP1441" s="215"/>
      <c r="AQ1441" s="218"/>
      <c r="AR1441" s="211"/>
    </row>
    <row r="1442">
      <c r="A1442" s="210" t="str">
        <f>IFERROR(__xludf.DUMMYFUNCTION("""COMPUTED_VALUE"""),"741474b6")</f>
        <v>741474b6</v>
      </c>
      <c r="B1442" s="210" t="str">
        <f>IFERROR(__xludf.DUMMYFUNCTION("""COMPUTED_VALUE"""),"741474b6")</f>
        <v>741474b6</v>
      </c>
      <c r="C1442" s="215">
        <f>IFERROR(__xludf.DUMMYFUNCTION("""COMPUTED_VALUE"""),45867.70694444444)</f>
        <v>45867.70694</v>
      </c>
      <c r="D1442" s="211" t="str">
        <f>IFERROR(__xludf.DUMMYFUNCTION("""COMPUTED_VALUE"""),"e86baf3b")</f>
        <v>e86baf3b</v>
      </c>
      <c r="E1442" s="211" t="str">
        <f>IFERROR(__xludf.DUMMYFUNCTION("""COMPUTED_VALUE"""),"PT GEMILANG CIPTA WAWASAN")</f>
        <v>PT GEMILANG CIPTA WAWASAN</v>
      </c>
      <c r="F1442" s="211" t="str">
        <f>IFERROR(__xludf.DUMMYFUNCTION("""COMPUTED_VALUE"""),"8bdbe149")</f>
        <v>8bdbe149</v>
      </c>
      <c r="G1442" s="211" t="str">
        <f>IFERROR(__xludf.DUMMYFUNCTION("""COMPUTED_VALUE"""),"Oksigen 6m3")</f>
        <v>Oksigen 6m3</v>
      </c>
      <c r="H1442" s="214" t="str">
        <f>IFERROR(__xludf.DUMMYFUNCTION("""COMPUTED_VALUE"""),"IN")</f>
        <v>IN</v>
      </c>
      <c r="I1442" s="214" t="str">
        <f>IFERROR(__xludf.DUMMYFUNCTION("""COMPUTED_VALUE"""),"EMPTY")</f>
        <v>EMPTY</v>
      </c>
      <c r="J1442" s="211">
        <f>IFERROR(__xludf.DUMMYFUNCTION("""COMPUTED_VALUE"""),4.0)</f>
        <v>4</v>
      </c>
      <c r="K1442" s="210" t="str">
        <f>IFERROR(__xludf.DUMMYFUNCTION("""COMPUTED_VALUE"""),"1195 1124 1197 1111")</f>
        <v>1195 1124 1197 1111</v>
      </c>
      <c r="L1442" s="211">
        <f>IFERROR(__xludf.DUMMYFUNCTION("""COMPUTED_VALUE"""),0.0)</f>
        <v>0</v>
      </c>
      <c r="M1442" s="211"/>
      <c r="N1442" s="211"/>
      <c r="O1442" s="211"/>
      <c r="Q1442" s="210" t="str">
        <f>IFERROR(__xludf.DUMMYFUNCTION("""COMPUTED_VALUE"""),"102531427")</f>
        <v>102531427</v>
      </c>
      <c r="R1442" s="210" t="str">
        <f>IFERROR(__xludf.DUMMYFUNCTION("""COMPUTED_VALUE"""),"102531427")</f>
        <v>102531427</v>
      </c>
      <c r="S1442" s="211" t="str">
        <f>IFERROR(__xludf.DUMMYFUNCTION("""COMPUTED_VALUE"""),"f98b1e81")</f>
        <v>f98b1e81</v>
      </c>
      <c r="T1442" s="211" t="str">
        <f>IFERROR(__xludf.DUMMYFUNCTION("""COMPUTED_VALUE"""),"CV. Greenlife Tirta Sentosa")</f>
        <v>CV. Greenlife Tirta Sentosa</v>
      </c>
      <c r="U1442" s="215">
        <f>IFERROR(__xludf.DUMMYFUNCTION("""COMPUTED_VALUE"""),45944.344039351854)</f>
        <v>45944.34404</v>
      </c>
      <c r="V1442" s="211" t="str">
        <f>IFERROR(__xludf.DUMMYFUNCTION("""COMPUTED_VALUE"""),"Jl. Parengan NO.354 Semawut, Balongbendo, Kec. Krian Sidoarjo, Jawa Timur 61263")</f>
        <v>Jl. Parengan NO.354 Semawut, Balongbendo, Kec. Krian Sidoarjo, Jawa Timur 61263</v>
      </c>
      <c r="W1442" s="211" t="str">
        <f>IFERROR(__xludf.DUMMYFUNCTION("""COMPUTED_VALUE"""),"OUT")</f>
        <v>OUT</v>
      </c>
      <c r="X1442" s="211"/>
      <c r="AL1442" s="211"/>
      <c r="AM1442" s="211"/>
      <c r="AN1442" s="211"/>
      <c r="AO1442" s="211"/>
      <c r="AP1442" s="215"/>
      <c r="AQ1442" s="218"/>
      <c r="AR1442" s="211"/>
    </row>
    <row r="1443">
      <c r="A1443" s="210" t="str">
        <f>IFERROR(__xludf.DUMMYFUNCTION("""COMPUTED_VALUE"""),"741474b6")</f>
        <v>741474b6</v>
      </c>
      <c r="B1443" s="210" t="str">
        <f>IFERROR(__xludf.DUMMYFUNCTION("""COMPUTED_VALUE"""),"741474b6")</f>
        <v>741474b6</v>
      </c>
      <c r="C1443" s="215">
        <f>IFERROR(__xludf.DUMMYFUNCTION("""COMPUTED_VALUE"""),45867.70763888889)</f>
        <v>45867.70764</v>
      </c>
      <c r="D1443" s="211" t="str">
        <f>IFERROR(__xludf.DUMMYFUNCTION("""COMPUTED_VALUE"""),"e86baf3b")</f>
        <v>e86baf3b</v>
      </c>
      <c r="E1443" s="211" t="str">
        <f>IFERROR(__xludf.DUMMYFUNCTION("""COMPUTED_VALUE"""),"PT GEMILANG CIPTA WAWASAN")</f>
        <v>PT GEMILANG CIPTA WAWASAN</v>
      </c>
      <c r="F1443" s="211" t="str">
        <f>IFERROR(__xludf.DUMMYFUNCTION("""COMPUTED_VALUE"""),"66af7c72")</f>
        <v>66af7c72</v>
      </c>
      <c r="G1443" s="211" t="str">
        <f>IFERROR(__xludf.DUMMYFUNCTION("""COMPUTED_VALUE"""),"Argon 6m3")</f>
        <v>Argon 6m3</v>
      </c>
      <c r="H1443" s="214" t="str">
        <f>IFERROR(__xludf.DUMMYFUNCTION("""COMPUTED_VALUE"""),"IN")</f>
        <v>IN</v>
      </c>
      <c r="I1443" s="214" t="str">
        <f>IFERROR(__xludf.DUMMYFUNCTION("""COMPUTED_VALUE"""),"EMPTY")</f>
        <v>EMPTY</v>
      </c>
      <c r="J1443" s="211">
        <f>IFERROR(__xludf.DUMMYFUNCTION("""COMPUTED_VALUE"""),9.0)</f>
        <v>9</v>
      </c>
      <c r="K1443" s="210" t="str">
        <f>IFERROR(__xludf.DUMMYFUNCTION("""COMPUTED_VALUE"""),"12054 12033 12051 12030 12026 12050 12061 12065 12015")</f>
        <v>12054 12033 12051 12030 12026 12050 12061 12065 12015</v>
      </c>
      <c r="L1443" s="211">
        <f>IFERROR(__xludf.DUMMYFUNCTION("""COMPUTED_VALUE"""),0.0)</f>
        <v>0</v>
      </c>
      <c r="M1443" s="211"/>
      <c r="N1443" s="211"/>
      <c r="O1443" s="211"/>
      <c r="Q1443" s="210" t="str">
        <f>IFERROR(__xludf.DUMMYFUNCTION("""COMPUTED_VALUE"""),"1025381443")</f>
        <v>1025381443</v>
      </c>
      <c r="R1443" s="210" t="str">
        <f>IFERROR(__xludf.DUMMYFUNCTION("""COMPUTED_VALUE"""),"1025381443")</f>
        <v>1025381443</v>
      </c>
      <c r="S1443" s="211" t="str">
        <f>IFERROR(__xludf.DUMMYFUNCTION("""COMPUTED_VALUE"""),"785e0e07")</f>
        <v>785e0e07</v>
      </c>
      <c r="T1443" s="211" t="str">
        <f>IFERROR(__xludf.DUMMYFUNCTION("""COMPUTED_VALUE"""),"Bpk. Sukirno (Bejo)")</f>
        <v>Bpk. Sukirno (Bejo)</v>
      </c>
      <c r="U1443" s="215">
        <f>IFERROR(__xludf.DUMMYFUNCTION("""COMPUTED_VALUE"""),45944.35037037037)</f>
        <v>45944.35037</v>
      </c>
      <c r="V1443" s="211" t="str">
        <f>IFERROR(__xludf.DUMMYFUNCTION("""COMPUTED_VALUE"""),"Krajan I, Wringinanom, Kec. Wringinanom, Kabupaten Gresik, Jawa Timur 61176")</f>
        <v>Krajan I, Wringinanom, Kec. Wringinanom, Kabupaten Gresik, Jawa Timur 61176</v>
      </c>
      <c r="W1443" s="211" t="str">
        <f>IFERROR(__xludf.DUMMYFUNCTION("""COMPUTED_VALUE"""),"OUT")</f>
        <v>OUT</v>
      </c>
      <c r="X1443" s="211"/>
      <c r="AL1443" s="211"/>
      <c r="AM1443" s="211"/>
      <c r="AN1443" s="211"/>
      <c r="AO1443" s="211"/>
      <c r="AP1443" s="215"/>
      <c r="AQ1443" s="218"/>
      <c r="AR1443" s="211"/>
    </row>
    <row r="1444">
      <c r="A1444" s="210" t="str">
        <f>IFERROR(__xludf.DUMMYFUNCTION("""COMPUTED_VALUE"""),"07250615")</f>
        <v>07250615</v>
      </c>
      <c r="B1444" s="210" t="str">
        <f>IFERROR(__xludf.DUMMYFUNCTION("""COMPUTED_VALUE"""),"07250615")</f>
        <v>07250615</v>
      </c>
      <c r="C1444" s="215">
        <f>IFERROR(__xludf.DUMMYFUNCTION("""COMPUTED_VALUE"""),45868.35)</f>
        <v>45868.35</v>
      </c>
      <c r="D1444" s="211" t="str">
        <f>IFERROR(__xludf.DUMMYFUNCTION("""COMPUTED_VALUE"""),"ce83e171")</f>
        <v>ce83e171</v>
      </c>
      <c r="E1444" s="211" t="str">
        <f>IFERROR(__xludf.DUMMYFUNCTION("""COMPUTED_VALUE"""),"Bpk. Sulaiman")</f>
        <v>Bpk. Sulaiman</v>
      </c>
      <c r="F1444" s="211" t="str">
        <f>IFERROR(__xludf.DUMMYFUNCTION("""COMPUTED_VALUE"""),"7d2764f1")</f>
        <v>7d2764f1</v>
      </c>
      <c r="G1444" s="211" t="str">
        <f>IFERROR(__xludf.DUMMYFUNCTION("""COMPUTED_VALUE"""),"Oksigen 7m3")</f>
        <v>Oksigen 7m3</v>
      </c>
      <c r="H1444" s="214" t="str">
        <f>IFERROR(__xludf.DUMMYFUNCTION("""COMPUTED_VALUE"""),"OUT")</f>
        <v>OUT</v>
      </c>
      <c r="I1444" s="214" t="str">
        <f>IFERROR(__xludf.DUMMYFUNCTION("""COMPUTED_VALUE"""),"NORMAL")</f>
        <v>NORMAL</v>
      </c>
      <c r="J1444" s="211">
        <f>IFERROR(__xludf.DUMMYFUNCTION("""COMPUTED_VALUE"""),5.0)</f>
        <v>5</v>
      </c>
      <c r="K1444" s="210" t="str">
        <f>IFERROR(__xludf.DUMMYFUNCTION("""COMPUTED_VALUE"""),"11217 11148 11173 11155 11228")</f>
        <v>11217 11148 11173 11155 11228</v>
      </c>
      <c r="L1444" s="211">
        <f>IFERROR(__xludf.DUMMYFUNCTION("""COMPUTED_VALUE"""),55000.0)</f>
        <v>55000</v>
      </c>
      <c r="M1444" s="211"/>
      <c r="N1444" s="211"/>
      <c r="O1444" s="211"/>
      <c r="Q1444" s="210" t="str">
        <f>IFERROR(__xludf.DUMMYFUNCTION("""COMPUTED_VALUE"""),"1250659")</f>
        <v>1250659</v>
      </c>
      <c r="R1444" s="210" t="str">
        <f>IFERROR(__xludf.DUMMYFUNCTION("""COMPUTED_VALUE"""),"1250659")</f>
        <v>1250659</v>
      </c>
      <c r="S1444" s="211" t="str">
        <f>IFERROR(__xludf.DUMMYFUNCTION("""COMPUTED_VALUE"""),"b218b89b")</f>
        <v>b218b89b</v>
      </c>
      <c r="T1444" s="211" t="str">
        <f>IFERROR(__xludf.DUMMYFUNCTION("""COMPUTED_VALUE"""),"PT Harapan Sentosa")</f>
        <v>PT Harapan Sentosa</v>
      </c>
      <c r="U1444" s="215">
        <f>IFERROR(__xludf.DUMMYFUNCTION("""COMPUTED_VALUE"""),45944.35423611111)</f>
        <v>45944.35424</v>
      </c>
      <c r="V1444" s="211" t="str">
        <f>IFERROR(__xludf.DUMMYFUNCTION("""COMPUTED_VALUE"""),"Seketi, Jl. Purboyo II Selatan, RT.02/RW.02, Seketi, Kec. BalongBendo, Kabupaten Sidoarjo, Jawa Timur 61263")</f>
        <v>Seketi, Jl. Purboyo II Selatan, RT.02/RW.02, Seketi, Kec. BalongBendo, Kabupaten Sidoarjo, Jawa Timur 61263</v>
      </c>
      <c r="W1444" s="211" t="str">
        <f>IFERROR(__xludf.DUMMYFUNCTION("""COMPUTED_VALUE"""),"IN")</f>
        <v>IN</v>
      </c>
      <c r="X1444" s="211"/>
      <c r="AL1444" s="211"/>
      <c r="AM1444" s="211"/>
      <c r="AN1444" s="211"/>
      <c r="AO1444" s="211"/>
      <c r="AP1444" s="215"/>
      <c r="AQ1444" s="218"/>
      <c r="AR1444" s="211"/>
    </row>
    <row r="1445">
      <c r="A1445" s="210" t="str">
        <f>IFERROR(__xludf.DUMMYFUNCTION("""COMPUTED_VALUE"""),"09a943c2")</f>
        <v>09a943c2</v>
      </c>
      <c r="B1445" s="210" t="str">
        <f>IFERROR(__xludf.DUMMYFUNCTION("""COMPUTED_VALUE"""),"09a943c2")</f>
        <v>09a943c2</v>
      </c>
      <c r="C1445" s="215">
        <f>IFERROR(__xludf.DUMMYFUNCTION("""COMPUTED_VALUE"""),45868.50902777778)</f>
        <v>45868.50903</v>
      </c>
      <c r="D1445" s="211" t="str">
        <f>IFERROR(__xludf.DUMMYFUNCTION("""COMPUTED_VALUE"""),"103f3ae7")</f>
        <v>103f3ae7</v>
      </c>
      <c r="E1445" s="211" t="str">
        <f>IFERROR(__xludf.DUMMYFUNCTION("""COMPUTED_VALUE"""),"PT ARYANA CAKASANA")</f>
        <v>PT ARYANA CAKASANA</v>
      </c>
      <c r="F1445" s="211" t="str">
        <f>IFERROR(__xludf.DUMMYFUNCTION("""COMPUTED_VALUE"""),"8bdbe149")</f>
        <v>8bdbe149</v>
      </c>
      <c r="G1445" s="211" t="str">
        <f>IFERROR(__xludf.DUMMYFUNCTION("""COMPUTED_VALUE"""),"Oksigen 6m3")</f>
        <v>Oksigen 6m3</v>
      </c>
      <c r="H1445" s="214" t="str">
        <f>IFERROR(__xludf.DUMMYFUNCTION("""COMPUTED_VALUE"""),"IN")</f>
        <v>IN</v>
      </c>
      <c r="I1445" s="214" t="str">
        <f>IFERROR(__xludf.DUMMYFUNCTION("""COMPUTED_VALUE"""),"EMPTY")</f>
        <v>EMPTY</v>
      </c>
      <c r="J1445" s="211">
        <f>IFERROR(__xludf.DUMMYFUNCTION("""COMPUTED_VALUE"""),4.0)</f>
        <v>4</v>
      </c>
      <c r="K1445" s="210" t="str">
        <f>IFERROR(__xludf.DUMMYFUNCTION("""COMPUTED_VALUE"""),"11235 1168 11267 11239")</f>
        <v>11235 1168 11267 11239</v>
      </c>
      <c r="L1445" s="211">
        <f>IFERROR(__xludf.DUMMYFUNCTION("""COMPUTED_VALUE"""),0.0)</f>
        <v>0</v>
      </c>
      <c r="M1445" s="211"/>
      <c r="N1445" s="211"/>
      <c r="O1445" s="211"/>
      <c r="Q1445" s="210" t="str">
        <f>IFERROR(__xludf.DUMMYFUNCTION("""COMPUTED_VALUE"""),"1250670")</f>
        <v>1250670</v>
      </c>
      <c r="R1445" s="210" t="str">
        <f>IFERROR(__xludf.DUMMYFUNCTION("""COMPUTED_VALUE"""),"1250670")</f>
        <v>1250670</v>
      </c>
      <c r="S1445" s="211" t="str">
        <f>IFERROR(__xludf.DUMMYFUNCTION("""COMPUTED_VALUE"""),"ed4307f6")</f>
        <v>ed4307f6</v>
      </c>
      <c r="T1445" s="211" t="str">
        <f>IFERROR(__xludf.DUMMYFUNCTION("""COMPUTED_VALUE"""),"Bpk. Andi (Jetis)")</f>
        <v>Bpk. Andi (Jetis)</v>
      </c>
      <c r="U1445" s="215">
        <f>IFERROR(__xludf.DUMMYFUNCTION("""COMPUTED_VALUE"""),45944.35853009259)</f>
        <v>45944.35853</v>
      </c>
      <c r="V1445" s="211" t="str">
        <f>IFERROR(__xludf.DUMMYFUNCTION("""COMPUTED_VALUE"""),"HFH9+P7 Pelabuhan Kidul, Jetis, Kec. Jetis, Kabupaten Mojokerto, Jawa Timur, Indonesia")</f>
        <v>HFH9+P7 Pelabuhan Kidul, Jetis, Kec. Jetis, Kabupaten Mojokerto, Jawa Timur, Indonesia</v>
      </c>
      <c r="W1445" s="211" t="str">
        <f>IFERROR(__xludf.DUMMYFUNCTION("""COMPUTED_VALUE"""),"IN")</f>
        <v>IN</v>
      </c>
      <c r="X1445" s="211"/>
      <c r="AL1445" s="211"/>
      <c r="AM1445" s="211"/>
      <c r="AN1445" s="211"/>
      <c r="AO1445" s="211"/>
      <c r="AP1445" s="215"/>
      <c r="AQ1445" s="218"/>
      <c r="AR1445" s="211"/>
    </row>
    <row r="1446">
      <c r="A1446" s="210" t="str">
        <f>IFERROR(__xludf.DUMMYFUNCTION("""COMPUTED_VALUE"""),"0e04fedd")</f>
        <v>0e04fedd</v>
      </c>
      <c r="B1446" s="210" t="str">
        <f>IFERROR(__xludf.DUMMYFUNCTION("""COMPUTED_VALUE"""),"0e04fedd")</f>
        <v>0e04fedd</v>
      </c>
      <c r="C1446" s="215">
        <f>IFERROR(__xludf.DUMMYFUNCTION("""COMPUTED_VALUE"""),45868.510416666664)</f>
        <v>45868.51042</v>
      </c>
      <c r="D1446" s="211" t="str">
        <f>IFERROR(__xludf.DUMMYFUNCTION("""COMPUTED_VALUE"""),"609d620d")</f>
        <v>609d620d</v>
      </c>
      <c r="E1446" s="211" t="str">
        <f>IFERROR(__xludf.DUMMYFUNCTION("""COMPUTED_VALUE"""),"PT Pandu Mulia Bersama")</f>
        <v>PT Pandu Mulia Bersama</v>
      </c>
      <c r="F1446" s="211" t="str">
        <f>IFERROR(__xludf.DUMMYFUNCTION("""COMPUTED_VALUE"""),"7d2764f1")</f>
        <v>7d2764f1</v>
      </c>
      <c r="G1446" s="211" t="str">
        <f>IFERROR(__xludf.DUMMYFUNCTION("""COMPUTED_VALUE"""),"Oksigen 7m3")</f>
        <v>Oksigen 7m3</v>
      </c>
      <c r="H1446" s="214" t="str">
        <f>IFERROR(__xludf.DUMMYFUNCTION("""COMPUTED_VALUE"""),"IN")</f>
        <v>IN</v>
      </c>
      <c r="I1446" s="214" t="str">
        <f>IFERROR(__xludf.DUMMYFUNCTION("""COMPUTED_VALUE"""),"EMPTY")</f>
        <v>EMPTY</v>
      </c>
      <c r="J1446" s="211">
        <f>IFERROR(__xludf.DUMMYFUNCTION("""COMPUTED_VALUE"""),8.0)</f>
        <v>8</v>
      </c>
      <c r="K1446" s="210" t="str">
        <f>IFERROR(__xludf.DUMMYFUNCTION("""COMPUTED_VALUE"""),"11136 11158 11137 11160 11162 11172 11291 11166")</f>
        <v>11136 11158 11137 11160 11162 11172 11291 11166</v>
      </c>
      <c r="L1446" s="211">
        <f>IFERROR(__xludf.DUMMYFUNCTION("""COMPUTED_VALUE"""),0.0)</f>
        <v>0</v>
      </c>
      <c r="M1446" s="211"/>
      <c r="N1446" s="211"/>
      <c r="O1446" s="211"/>
      <c r="Q1446" s="210" t="str">
        <f>IFERROR(__xludf.DUMMYFUNCTION("""COMPUTED_VALUE"""),"1025211441")</f>
        <v>1025211441</v>
      </c>
      <c r="R1446" s="210" t="str">
        <f>IFERROR(__xludf.DUMMYFUNCTION("""COMPUTED_VALUE"""),"1025211441")</f>
        <v>1025211441</v>
      </c>
      <c r="S1446" s="211" t="str">
        <f>IFERROR(__xludf.DUMMYFUNCTION("""COMPUTED_VALUE"""),"b2b5f2c5")</f>
        <v>b2b5f2c5</v>
      </c>
      <c r="T1446" s="211" t="str">
        <f>IFERROR(__xludf.DUMMYFUNCTION("""COMPUTED_VALUE"""),"Bengkel Las Bpk. Ari")</f>
        <v>Bengkel Las Bpk. Ari</v>
      </c>
      <c r="U1446" s="215">
        <f>IFERROR(__xludf.DUMMYFUNCTION("""COMPUTED_VALUE"""),45944.40820601852)</f>
        <v>45944.40821</v>
      </c>
      <c r="V1446" s="211" t="str">
        <f>IFERROR(__xludf.DUMMYFUNCTION("""COMPUTED_VALUE"""),"Sumber Kembar, Wonodadi, Kec. Kutorejo, Kabupaten Mojokerto, Jawa Timur")</f>
        <v>Sumber Kembar, Wonodadi, Kec. Kutorejo, Kabupaten Mojokerto, Jawa Timur</v>
      </c>
      <c r="W1446" s="211" t="str">
        <f>IFERROR(__xludf.DUMMYFUNCTION("""COMPUTED_VALUE"""),"OUT")</f>
        <v>OUT</v>
      </c>
      <c r="X1446" s="211"/>
      <c r="AL1446" s="211"/>
      <c r="AM1446" s="211"/>
      <c r="AN1446" s="211"/>
      <c r="AO1446" s="211"/>
      <c r="AP1446" s="215"/>
      <c r="AQ1446" s="218"/>
      <c r="AR1446" s="211"/>
    </row>
    <row r="1447">
      <c r="A1447" s="210" t="str">
        <f>IFERROR(__xludf.DUMMYFUNCTION("""COMPUTED_VALUE"""),"0e04fedd")</f>
        <v>0e04fedd</v>
      </c>
      <c r="B1447" s="210" t="str">
        <f>IFERROR(__xludf.DUMMYFUNCTION("""COMPUTED_VALUE"""),"0e04fedd")</f>
        <v>0e04fedd</v>
      </c>
      <c r="C1447" s="215">
        <f>IFERROR(__xludf.DUMMYFUNCTION("""COMPUTED_VALUE"""),45868.510416666664)</f>
        <v>45868.51042</v>
      </c>
      <c r="D1447" s="211" t="str">
        <f>IFERROR(__xludf.DUMMYFUNCTION("""COMPUTED_VALUE"""),"609d620d")</f>
        <v>609d620d</v>
      </c>
      <c r="E1447" s="211" t="str">
        <f>IFERROR(__xludf.DUMMYFUNCTION("""COMPUTED_VALUE"""),"PT Pandu Mulia Bersama")</f>
        <v>PT Pandu Mulia Bersama</v>
      </c>
      <c r="F1447" s="211" t="str">
        <f>IFERROR(__xludf.DUMMYFUNCTION("""COMPUTED_VALUE"""),"be525f3b")</f>
        <v>be525f3b</v>
      </c>
      <c r="G1447" s="211" t="str">
        <f>IFERROR(__xludf.DUMMYFUNCTION("""COMPUTED_VALUE"""),"LPG 12kg")</f>
        <v>LPG 12kg</v>
      </c>
      <c r="H1447" s="214" t="str">
        <f>IFERROR(__xludf.DUMMYFUNCTION("""COMPUTED_VALUE"""),"IN")</f>
        <v>IN</v>
      </c>
      <c r="I1447" s="214" t="str">
        <f>IFERROR(__xludf.DUMMYFUNCTION("""COMPUTED_VALUE"""),"EMPTY")</f>
        <v>EMPTY</v>
      </c>
      <c r="J1447" s="211">
        <f>IFERROR(__xludf.DUMMYFUNCTION("""COMPUTED_VALUE"""),2.0)</f>
        <v>2</v>
      </c>
      <c r="K1447" s="211"/>
      <c r="L1447" s="211">
        <f>IFERROR(__xludf.DUMMYFUNCTION("""COMPUTED_VALUE"""),0.0)</f>
        <v>0</v>
      </c>
      <c r="M1447" s="211"/>
      <c r="N1447" s="211"/>
      <c r="O1447" s="211"/>
      <c r="Q1447" s="210" t="str">
        <f>IFERROR(__xludf.DUMMYFUNCTION("""COMPUTED_VALUE"""),"102521447")</f>
        <v>102521447</v>
      </c>
      <c r="R1447" s="210" t="str">
        <f>IFERROR(__xludf.DUMMYFUNCTION("""COMPUTED_VALUE"""),"102521447")</f>
        <v>102521447</v>
      </c>
      <c r="S1447" s="211" t="str">
        <f>IFERROR(__xludf.DUMMYFUNCTION("""COMPUTED_VALUE"""),"ed4307f6")</f>
        <v>ed4307f6</v>
      </c>
      <c r="T1447" s="211" t="str">
        <f>IFERROR(__xludf.DUMMYFUNCTION("""COMPUTED_VALUE"""),"Bpk. Andi (Jetis)")</f>
        <v>Bpk. Andi (Jetis)</v>
      </c>
      <c r="U1447" s="215">
        <f>IFERROR(__xludf.DUMMYFUNCTION("""COMPUTED_VALUE"""),45944.43466435185)</f>
        <v>45944.43466</v>
      </c>
      <c r="V1447" s="211" t="str">
        <f>IFERROR(__xludf.DUMMYFUNCTION("""COMPUTED_VALUE"""),"HFH9+P7 Pelabuhan Kidul, Jetis, Kec. Jetis, Kabupaten Mojokerto, Jawa Timur, Indonesia")</f>
        <v>HFH9+P7 Pelabuhan Kidul, Jetis, Kec. Jetis, Kabupaten Mojokerto, Jawa Timur, Indonesia</v>
      </c>
      <c r="W1447" s="211" t="str">
        <f>IFERROR(__xludf.DUMMYFUNCTION("""COMPUTED_VALUE"""),"OUT")</f>
        <v>OUT</v>
      </c>
      <c r="X1447" s="211"/>
      <c r="AL1447" s="211"/>
      <c r="AM1447" s="211"/>
      <c r="AN1447" s="211"/>
      <c r="AO1447" s="211"/>
      <c r="AP1447" s="215"/>
      <c r="AQ1447" s="218"/>
      <c r="AR1447" s="211"/>
    </row>
    <row r="1448">
      <c r="A1448" s="210" t="str">
        <f>IFERROR(__xludf.DUMMYFUNCTION("""COMPUTED_VALUE"""),"eaed35ff")</f>
        <v>eaed35ff</v>
      </c>
      <c r="B1448" s="210" t="str">
        <f>IFERROR(__xludf.DUMMYFUNCTION("""COMPUTED_VALUE"""),"eaed35ff")</f>
        <v>eaed35ff</v>
      </c>
      <c r="C1448" s="215">
        <f>IFERROR(__xludf.DUMMYFUNCTION("""COMPUTED_VALUE"""),45868.51111111111)</f>
        <v>45868.51111</v>
      </c>
      <c r="D1448" s="211" t="str">
        <f>IFERROR(__xludf.DUMMYFUNCTION("""COMPUTED_VALUE"""),"01158be1")</f>
        <v>01158be1</v>
      </c>
      <c r="E1448" s="211" t="str">
        <f>IFERROR(__xludf.DUMMYFUNCTION("""COMPUTED_VALUE"""),"GYF")</f>
        <v>GYF</v>
      </c>
      <c r="F1448" s="211" t="str">
        <f>IFERROR(__xludf.DUMMYFUNCTION("""COMPUTED_VALUE"""),"8bdbe149")</f>
        <v>8bdbe149</v>
      </c>
      <c r="G1448" s="211" t="str">
        <f>IFERROR(__xludf.DUMMYFUNCTION("""COMPUTED_VALUE"""),"Oksigen 6m3")</f>
        <v>Oksigen 6m3</v>
      </c>
      <c r="H1448" s="214" t="str">
        <f>IFERROR(__xludf.DUMMYFUNCTION("""COMPUTED_VALUE"""),"IN")</f>
        <v>IN</v>
      </c>
      <c r="I1448" s="214" t="str">
        <f>IFERROR(__xludf.DUMMYFUNCTION("""COMPUTED_VALUE"""),"EMPTY")</f>
        <v>EMPTY</v>
      </c>
      <c r="J1448" s="211">
        <f>IFERROR(__xludf.DUMMYFUNCTION("""COMPUTED_VALUE"""),2.0)</f>
        <v>2</v>
      </c>
      <c r="K1448" s="210" t="str">
        <f>IFERROR(__xludf.DUMMYFUNCTION("""COMPUTED_VALUE"""),"1121 11149")</f>
        <v>1121 11149</v>
      </c>
      <c r="L1448" s="211">
        <f>IFERROR(__xludf.DUMMYFUNCTION("""COMPUTED_VALUE"""),0.0)</f>
        <v>0</v>
      </c>
      <c r="M1448" s="211"/>
      <c r="N1448" s="211"/>
      <c r="O1448" s="211"/>
      <c r="Q1448" s="210" t="str">
        <f>IFERROR(__xludf.DUMMYFUNCTION("""COMPUTED_VALUE"""),"1250665")</f>
        <v>1250665</v>
      </c>
      <c r="R1448" s="210" t="str">
        <f>IFERROR(__xludf.DUMMYFUNCTION("""COMPUTED_VALUE"""),"1250665")</f>
        <v>1250665</v>
      </c>
      <c r="S1448" s="211" t="str">
        <f>IFERROR(__xludf.DUMMYFUNCTION("""COMPUTED_VALUE"""),"b2b5f2c5")</f>
        <v>b2b5f2c5</v>
      </c>
      <c r="T1448" s="211" t="str">
        <f>IFERROR(__xludf.DUMMYFUNCTION("""COMPUTED_VALUE"""),"Bengkel Las Bpk. Ari")</f>
        <v>Bengkel Las Bpk. Ari</v>
      </c>
      <c r="U1448" s="215">
        <f>IFERROR(__xludf.DUMMYFUNCTION("""COMPUTED_VALUE"""),45944.5865162037)</f>
        <v>45944.58652</v>
      </c>
      <c r="V1448" s="211" t="str">
        <f>IFERROR(__xludf.DUMMYFUNCTION("""COMPUTED_VALUE"""),"Sumber Kembar, Wonodadi, Kec. Kutorejo, Kabupaten Mojokerto, Jawa Timur")</f>
        <v>Sumber Kembar, Wonodadi, Kec. Kutorejo, Kabupaten Mojokerto, Jawa Timur</v>
      </c>
      <c r="W1448" s="211" t="str">
        <f>IFERROR(__xludf.DUMMYFUNCTION("""COMPUTED_VALUE"""),"IN")</f>
        <v>IN</v>
      </c>
      <c r="X1448" s="211"/>
      <c r="AL1448" s="211"/>
      <c r="AM1448" s="211"/>
      <c r="AN1448" s="211"/>
      <c r="AO1448" s="211"/>
      <c r="AP1448" s="215"/>
      <c r="AQ1448" s="218"/>
      <c r="AR1448" s="211"/>
    </row>
    <row r="1449">
      <c r="A1449" s="210" t="str">
        <f>IFERROR(__xludf.DUMMYFUNCTION("""COMPUTED_VALUE"""),"07250616")</f>
        <v>07250616</v>
      </c>
      <c r="B1449" s="210" t="str">
        <f>IFERROR(__xludf.DUMMYFUNCTION("""COMPUTED_VALUE"""),"07250616")</f>
        <v>07250616</v>
      </c>
      <c r="C1449" s="215">
        <f>IFERROR(__xludf.DUMMYFUNCTION("""COMPUTED_VALUE"""),45869.37152777778)</f>
        <v>45869.37153</v>
      </c>
      <c r="D1449" s="211" t="str">
        <f>IFERROR(__xludf.DUMMYFUNCTION("""COMPUTED_VALUE"""),"1bf27092")</f>
        <v>1bf27092</v>
      </c>
      <c r="E1449" s="211" t="str">
        <f>IFERROR(__xludf.DUMMYFUNCTION("""COMPUTED_VALUE"""),"Bpk. Ari Budiarto")</f>
        <v>Bpk. Ari Budiarto</v>
      </c>
      <c r="F1449" s="211" t="str">
        <f>IFERROR(__xludf.DUMMYFUNCTION("""COMPUTED_VALUE"""),"66af7c72")</f>
        <v>66af7c72</v>
      </c>
      <c r="G1449" s="211" t="str">
        <f>IFERROR(__xludf.DUMMYFUNCTION("""COMPUTED_VALUE"""),"Argon 6m3")</f>
        <v>Argon 6m3</v>
      </c>
      <c r="H1449" s="214" t="str">
        <f>IFERROR(__xludf.DUMMYFUNCTION("""COMPUTED_VALUE"""),"OUT")</f>
        <v>OUT</v>
      </c>
      <c r="I1449" s="214" t="str">
        <f>IFERROR(__xludf.DUMMYFUNCTION("""COMPUTED_VALUE"""),"NORMAL")</f>
        <v>NORMAL</v>
      </c>
      <c r="J1449" s="211">
        <f>IFERROR(__xludf.DUMMYFUNCTION("""COMPUTED_VALUE"""),1.0)</f>
        <v>1</v>
      </c>
      <c r="K1449" s="210" t="str">
        <f>IFERROR(__xludf.DUMMYFUNCTION("""COMPUTED_VALUE"""),"12058")</f>
        <v>12058</v>
      </c>
      <c r="L1449" s="211">
        <f>IFERROR(__xludf.DUMMYFUNCTION("""COMPUTED_VALUE"""),200000.0)</f>
        <v>200000</v>
      </c>
      <c r="M1449" s="211"/>
      <c r="N1449" s="211"/>
      <c r="O1449" s="211"/>
      <c r="Q1449" s="210" t="str">
        <f>IFERROR(__xludf.DUMMYFUNCTION("""COMPUTED_VALUE"""),"1250671")</f>
        <v>1250671</v>
      </c>
      <c r="R1449" s="210" t="str">
        <f>IFERROR(__xludf.DUMMYFUNCTION("""COMPUTED_VALUE"""),"1250671")</f>
        <v>1250671</v>
      </c>
      <c r="S1449" s="211" t="str">
        <f>IFERROR(__xludf.DUMMYFUNCTION("""COMPUTED_VALUE"""),"f98b1e81")</f>
        <v>f98b1e81</v>
      </c>
      <c r="T1449" s="211" t="str">
        <f>IFERROR(__xludf.DUMMYFUNCTION("""COMPUTED_VALUE"""),"CV. Greenlife Tirta Sentosa")</f>
        <v>CV. Greenlife Tirta Sentosa</v>
      </c>
      <c r="U1449" s="215">
        <f>IFERROR(__xludf.DUMMYFUNCTION("""COMPUTED_VALUE"""),45944.59799768519)</f>
        <v>45944.598</v>
      </c>
      <c r="V1449" s="211" t="str">
        <f>IFERROR(__xludf.DUMMYFUNCTION("""COMPUTED_VALUE"""),"Jl. Parengan NO.354 Semawut, Balongbendo, Kec. Krian Sidoarjo, Jawa Timur 61263")</f>
        <v>Jl. Parengan NO.354 Semawut, Balongbendo, Kec. Krian Sidoarjo, Jawa Timur 61263</v>
      </c>
      <c r="W1449" s="211" t="str">
        <f>IFERROR(__xludf.DUMMYFUNCTION("""COMPUTED_VALUE"""),"IN")</f>
        <v>IN</v>
      </c>
      <c r="X1449" s="211"/>
      <c r="AL1449" s="211"/>
      <c r="AM1449" s="211"/>
      <c r="AN1449" s="211"/>
      <c r="AO1449" s="211"/>
      <c r="AP1449" s="215"/>
      <c r="AQ1449" s="218"/>
      <c r="AR1449" s="211"/>
    </row>
    <row r="1450">
      <c r="A1450" s="210" t="str">
        <f>IFERROR(__xludf.DUMMYFUNCTION("""COMPUTED_VALUE"""),"07250617")</f>
        <v>07250617</v>
      </c>
      <c r="B1450" s="210" t="str">
        <f>IFERROR(__xludf.DUMMYFUNCTION("""COMPUTED_VALUE"""),"07250617")</f>
        <v>07250617</v>
      </c>
      <c r="C1450" s="215">
        <f>IFERROR(__xludf.DUMMYFUNCTION("""COMPUTED_VALUE"""),45869.34444444445)</f>
        <v>45869.34444</v>
      </c>
      <c r="D1450" s="211" t="str">
        <f>IFERROR(__xludf.DUMMYFUNCTION("""COMPUTED_VALUE"""),"ec231cc9")</f>
        <v>ec231cc9</v>
      </c>
      <c r="E1450" s="211" t="str">
        <f>IFERROR(__xludf.DUMMYFUNCTION("""COMPUTED_VALUE"""),"Bpk. Kohir (Maintenance Velg)")</f>
        <v>Bpk. Kohir (Maintenance Velg)</v>
      </c>
      <c r="F1450" s="211" t="str">
        <f>IFERROR(__xludf.DUMMYFUNCTION("""COMPUTED_VALUE"""),"8bdbe149")</f>
        <v>8bdbe149</v>
      </c>
      <c r="G1450" s="211" t="str">
        <f>IFERROR(__xludf.DUMMYFUNCTION("""COMPUTED_VALUE"""),"Oksigen 6m3")</f>
        <v>Oksigen 6m3</v>
      </c>
      <c r="H1450" s="214" t="str">
        <f>IFERROR(__xludf.DUMMYFUNCTION("""COMPUTED_VALUE"""),"OUT")</f>
        <v>OUT</v>
      </c>
      <c r="I1450" s="214" t="str">
        <f>IFERROR(__xludf.DUMMYFUNCTION("""COMPUTED_VALUE"""),"NORMAL")</f>
        <v>NORMAL</v>
      </c>
      <c r="J1450" s="211">
        <f>IFERROR(__xludf.DUMMYFUNCTION("""COMPUTED_VALUE"""),5.0)</f>
        <v>5</v>
      </c>
      <c r="K1450" s="210" t="str">
        <f>IFERROR(__xludf.DUMMYFUNCTION("""COMPUTED_VALUE"""),"1188 1111 1124 1195 11110")</f>
        <v>1188 1111 1124 1195 11110</v>
      </c>
      <c r="L1450" s="211">
        <f>IFERROR(__xludf.DUMMYFUNCTION("""COMPUTED_VALUE"""),55000.0)</f>
        <v>55000</v>
      </c>
      <c r="M1450" s="211"/>
      <c r="N1450" s="211"/>
      <c r="O1450" s="211"/>
      <c r="Q1450" s="210" t="str">
        <f>IFERROR(__xludf.DUMMYFUNCTION("""COMPUTED_VALUE"""),"1025291448")</f>
        <v>1025291448</v>
      </c>
      <c r="R1450" s="210" t="str">
        <f>IFERROR(__xludf.DUMMYFUNCTION("""COMPUTED_VALUE"""),"1025291448")</f>
        <v>1025291448</v>
      </c>
      <c r="S1450" s="211" t="str">
        <f>IFERROR(__xludf.DUMMYFUNCTION("""COMPUTED_VALUE"""),"5f23ba17")</f>
        <v>5f23ba17</v>
      </c>
      <c r="T1450" s="211" t="str">
        <f>IFERROR(__xludf.DUMMYFUNCTION("""COMPUTED_VALUE"""),"Bpk. Joko (Gresik)")</f>
        <v>Bpk. Joko (Gresik)</v>
      </c>
      <c r="U1450" s="215">
        <f>IFERROR(__xludf.DUMMYFUNCTION("""COMPUTED_VALUE"""),45945.34211805555)</f>
        <v>45945.34212</v>
      </c>
      <c r="V1450" s="211" t="str">
        <f>IFERROR(__xludf.DUMMYFUNCTION("""COMPUTED_VALUE"""),"Tanggungan, Lebaniwaras, Kec. Wringinanom, Kabupaten Gresik, Jawa Timur")</f>
        <v>Tanggungan, Lebaniwaras, Kec. Wringinanom, Kabupaten Gresik, Jawa Timur</v>
      </c>
      <c r="W1450" s="211" t="str">
        <f>IFERROR(__xludf.DUMMYFUNCTION("""COMPUTED_VALUE"""),"OUT")</f>
        <v>OUT</v>
      </c>
      <c r="X1450" s="211"/>
      <c r="AL1450" s="211"/>
      <c r="AM1450" s="211"/>
      <c r="AN1450" s="211"/>
      <c r="AO1450" s="211"/>
      <c r="AP1450" s="215"/>
      <c r="AQ1450" s="218"/>
      <c r="AR1450" s="211"/>
    </row>
    <row r="1451">
      <c r="A1451" s="210" t="str">
        <f>IFERROR(__xludf.DUMMYFUNCTION("""COMPUTED_VALUE"""),"07250618")</f>
        <v>07250618</v>
      </c>
      <c r="B1451" s="210" t="str">
        <f>IFERROR(__xludf.DUMMYFUNCTION("""COMPUTED_VALUE"""),"07250618")</f>
        <v>07250618</v>
      </c>
      <c r="C1451" s="215">
        <f>IFERROR(__xludf.DUMMYFUNCTION("""COMPUTED_VALUE"""),45869.40694444445)</f>
        <v>45869.40694</v>
      </c>
      <c r="D1451" s="211" t="str">
        <f>IFERROR(__xludf.DUMMYFUNCTION("""COMPUTED_VALUE"""),"a343b84d")</f>
        <v>a343b84d</v>
      </c>
      <c r="E1451" s="211" t="str">
        <f>IFERROR(__xludf.DUMMYFUNCTION("""COMPUTED_VALUE"""),"PT Utama Alim Sejahtera")</f>
        <v>PT Utama Alim Sejahtera</v>
      </c>
      <c r="F1451" s="211" t="str">
        <f>IFERROR(__xludf.DUMMYFUNCTION("""COMPUTED_VALUE"""),"7d2764f1")</f>
        <v>7d2764f1</v>
      </c>
      <c r="G1451" s="211" t="str">
        <f>IFERROR(__xludf.DUMMYFUNCTION("""COMPUTED_VALUE"""),"Oksigen 7m3")</f>
        <v>Oksigen 7m3</v>
      </c>
      <c r="H1451" s="214" t="str">
        <f>IFERROR(__xludf.DUMMYFUNCTION("""COMPUTED_VALUE"""),"OUT")</f>
        <v>OUT</v>
      </c>
      <c r="I1451" s="214" t="str">
        <f>IFERROR(__xludf.DUMMYFUNCTION("""COMPUTED_VALUE"""),"NORMAL")</f>
        <v>NORMAL</v>
      </c>
      <c r="J1451" s="211">
        <f>IFERROR(__xludf.DUMMYFUNCTION("""COMPUTED_VALUE"""),5.0)</f>
        <v>5</v>
      </c>
      <c r="K1451" s="210" t="str">
        <f>IFERROR(__xludf.DUMMYFUNCTION("""COMPUTED_VALUE"""),"11160 11162 11137 11172 11149")</f>
        <v>11160 11162 11137 11172 11149</v>
      </c>
      <c r="L1451" s="211">
        <f>IFERROR(__xludf.DUMMYFUNCTION("""COMPUTED_VALUE"""),58558.56)</f>
        <v>58558.56</v>
      </c>
      <c r="M1451" s="211"/>
      <c r="N1451" s="211"/>
      <c r="O1451" s="211"/>
      <c r="Q1451" s="210" t="str">
        <f>IFERROR(__xludf.DUMMYFUNCTION("""COMPUTED_VALUE"""),"1025161451")</f>
        <v>1025161451</v>
      </c>
      <c r="R1451" s="210" t="str">
        <f>IFERROR(__xludf.DUMMYFUNCTION("""COMPUTED_VALUE"""),"1025161451")</f>
        <v>1025161451</v>
      </c>
      <c r="S1451" s="211" t="str">
        <f>IFERROR(__xludf.DUMMYFUNCTION("""COMPUTED_VALUE"""),"182fb0fe")</f>
        <v>182fb0fe</v>
      </c>
      <c r="T1451" s="211" t="str">
        <f>IFERROR(__xludf.DUMMYFUNCTION("""COMPUTED_VALUE"""),"PT Amtech")</f>
        <v>PT Amtech</v>
      </c>
      <c r="U1451" s="215">
        <f>IFERROR(__xludf.DUMMYFUNCTION("""COMPUTED_VALUE"""),45945.35493055556)</f>
        <v>45945.35493</v>
      </c>
      <c r="V1451"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451" s="211" t="str">
        <f>IFERROR(__xludf.DUMMYFUNCTION("""COMPUTED_VALUE"""),"OUT")</f>
        <v>OUT</v>
      </c>
      <c r="X1451" s="211"/>
      <c r="AL1451" s="211"/>
      <c r="AM1451" s="211"/>
      <c r="AN1451" s="211"/>
      <c r="AO1451" s="211"/>
      <c r="AP1451" s="215"/>
      <c r="AQ1451" s="218"/>
      <c r="AR1451" s="211"/>
    </row>
    <row r="1452">
      <c r="A1452" s="210" t="str">
        <f>IFERROR(__xludf.DUMMYFUNCTION("""COMPUTED_VALUE"""),"07250618")</f>
        <v>07250618</v>
      </c>
      <c r="B1452" s="210" t="str">
        <f>IFERROR(__xludf.DUMMYFUNCTION("""COMPUTED_VALUE"""),"07250618")</f>
        <v>07250618</v>
      </c>
      <c r="C1452" s="215">
        <f>IFERROR(__xludf.DUMMYFUNCTION("""COMPUTED_VALUE"""),45869.40694444445)</f>
        <v>45869.40694</v>
      </c>
      <c r="D1452" s="211" t="str">
        <f>IFERROR(__xludf.DUMMYFUNCTION("""COMPUTED_VALUE"""),"a343b84d")</f>
        <v>a343b84d</v>
      </c>
      <c r="E1452" s="211" t="str">
        <f>IFERROR(__xludf.DUMMYFUNCTION("""COMPUTED_VALUE"""),"PT Utama Alim Sejahtera")</f>
        <v>PT Utama Alim Sejahtera</v>
      </c>
      <c r="F1452" s="211" t="str">
        <f>IFERROR(__xludf.DUMMYFUNCTION("""COMPUTED_VALUE"""),"ef306e54")</f>
        <v>ef306e54</v>
      </c>
      <c r="G1452" s="211" t="str">
        <f>IFERROR(__xludf.DUMMYFUNCTION("""COMPUTED_VALUE"""),"Karbondioksida")</f>
        <v>Karbondioksida</v>
      </c>
      <c r="H1452" s="214" t="str">
        <f>IFERROR(__xludf.DUMMYFUNCTION("""COMPUTED_VALUE"""),"OUT")</f>
        <v>OUT</v>
      </c>
      <c r="I1452" s="214" t="str">
        <f>IFERROR(__xludf.DUMMYFUNCTION("""COMPUTED_VALUE"""),"NORMAL")</f>
        <v>NORMAL</v>
      </c>
      <c r="J1452" s="211">
        <f>IFERROR(__xludf.DUMMYFUNCTION("""COMPUTED_VALUE"""),3.0)</f>
        <v>3</v>
      </c>
      <c r="K1452" s="210" t="str">
        <f>IFERROR(__xludf.DUMMYFUNCTION("""COMPUTED_VALUE"""),"13005 13003 13004")</f>
        <v>13005 13003 13004</v>
      </c>
      <c r="L1452" s="211">
        <f>IFERROR(__xludf.DUMMYFUNCTION("""COMPUTED_VALUE"""),189189.19)</f>
        <v>189189.19</v>
      </c>
      <c r="M1452" s="211"/>
      <c r="N1452" s="211"/>
      <c r="O1452" s="211"/>
      <c r="Q1452" s="211"/>
      <c r="R1452" s="211"/>
      <c r="S1452" s="211"/>
      <c r="T1452" s="211"/>
      <c r="U1452" s="211"/>
      <c r="V1452" s="211"/>
      <c r="W1452" s="211"/>
      <c r="X1452" s="211"/>
      <c r="AL1452" s="211"/>
      <c r="AM1452" s="211"/>
      <c r="AN1452" s="211"/>
      <c r="AO1452" s="211"/>
      <c r="AP1452" s="215"/>
      <c r="AQ1452" s="218"/>
      <c r="AR1452" s="211"/>
    </row>
    <row r="1453">
      <c r="A1453" s="210" t="str">
        <f>IFERROR(__xludf.DUMMYFUNCTION("""COMPUTED_VALUE"""),"3e3f2c35")</f>
        <v>3e3f2c35</v>
      </c>
      <c r="B1453" s="210" t="str">
        <f>IFERROR(__xludf.DUMMYFUNCTION("""COMPUTED_VALUE"""),"3e3f2c35")</f>
        <v>3e3f2c35</v>
      </c>
      <c r="C1453" s="215">
        <f>IFERROR(__xludf.DUMMYFUNCTION("""COMPUTED_VALUE"""),45869.5)</f>
        <v>45869.5</v>
      </c>
      <c r="D1453" s="211" t="str">
        <f>IFERROR(__xludf.DUMMYFUNCTION("""COMPUTED_VALUE"""),"ec231cc9")</f>
        <v>ec231cc9</v>
      </c>
      <c r="E1453" s="211" t="str">
        <f>IFERROR(__xludf.DUMMYFUNCTION("""COMPUTED_VALUE"""),"Bpk. Kohir (Maintenance Velg)")</f>
        <v>Bpk. Kohir (Maintenance Velg)</v>
      </c>
      <c r="F1453" s="211" t="str">
        <f>IFERROR(__xludf.DUMMYFUNCTION("""COMPUTED_VALUE"""),"8bdbe149")</f>
        <v>8bdbe149</v>
      </c>
      <c r="G1453" s="211" t="str">
        <f>IFERROR(__xludf.DUMMYFUNCTION("""COMPUTED_VALUE"""),"Oksigen 6m3")</f>
        <v>Oksigen 6m3</v>
      </c>
      <c r="H1453" s="214" t="str">
        <f>IFERROR(__xludf.DUMMYFUNCTION("""COMPUTED_VALUE"""),"IN")</f>
        <v>IN</v>
      </c>
      <c r="I1453" s="214" t="str">
        <f>IFERROR(__xludf.DUMMYFUNCTION("""COMPUTED_VALUE"""),"EMPTY")</f>
        <v>EMPTY</v>
      </c>
      <c r="J1453" s="211">
        <f>IFERROR(__xludf.DUMMYFUNCTION("""COMPUTED_VALUE"""),4.0)</f>
        <v>4</v>
      </c>
      <c r="K1453" s="210" t="str">
        <f>IFERROR(__xludf.DUMMYFUNCTION("""COMPUTED_VALUE"""),"1118 11128 1108 1185")</f>
        <v>1118 11128 1108 1185</v>
      </c>
      <c r="L1453" s="211">
        <f>IFERROR(__xludf.DUMMYFUNCTION("""COMPUTED_VALUE"""),0.0)</f>
        <v>0</v>
      </c>
      <c r="M1453" s="211"/>
      <c r="N1453" s="211"/>
      <c r="O1453" s="211"/>
      <c r="Q1453" s="210" t="str">
        <f>IFERROR(__xludf.DUMMYFUNCTION("""COMPUTED_VALUE"""),"102541444")</f>
        <v>102541444</v>
      </c>
      <c r="R1453" s="210" t="str">
        <f>IFERROR(__xludf.DUMMYFUNCTION("""COMPUTED_VALUE"""),"102541444")</f>
        <v>102541444</v>
      </c>
      <c r="S1453" s="211" t="str">
        <f>IFERROR(__xludf.DUMMYFUNCTION("""COMPUTED_VALUE"""),"9e31e9f4")</f>
        <v>9e31e9f4</v>
      </c>
      <c r="T1453" s="211" t="str">
        <f>IFERROR(__xludf.DUMMYFUNCTION("""COMPUTED_VALUE"""),"Bpk. Eko Iswantoro")</f>
        <v>Bpk. Eko Iswantoro</v>
      </c>
      <c r="U1453" s="215">
        <f>IFERROR(__xludf.DUMMYFUNCTION("""COMPUTED_VALUE"""),45945.48181712963)</f>
        <v>45945.48182</v>
      </c>
      <c r="V1453" s="211" t="str">
        <f>IFERROR(__xludf.DUMMYFUNCTION("""COMPUTED_VALUE"""),"HHWW+8J Kemasan, Kec. Krian, Kabupaten Sidoarjo, Jawa Timur, Indonesia")</f>
        <v>HHWW+8J Kemasan, Kec. Krian, Kabupaten Sidoarjo, Jawa Timur, Indonesia</v>
      </c>
      <c r="W1453" s="211" t="str">
        <f>IFERROR(__xludf.DUMMYFUNCTION("""COMPUTED_VALUE"""),"OUT")</f>
        <v>OUT</v>
      </c>
      <c r="X1453" s="211"/>
      <c r="AL1453" s="211"/>
      <c r="AM1453" s="211"/>
      <c r="AN1453" s="211"/>
      <c r="AO1453" s="211"/>
      <c r="AP1453" s="215"/>
      <c r="AQ1453" s="218"/>
      <c r="AR1453" s="211"/>
    </row>
    <row r="1454">
      <c r="A1454" s="211"/>
      <c r="B1454" s="211"/>
      <c r="C1454" s="211"/>
      <c r="D1454" s="211"/>
      <c r="E1454" s="211"/>
      <c r="F1454" s="211"/>
      <c r="G1454" s="211"/>
      <c r="H1454" s="211"/>
      <c r="I1454" s="211"/>
      <c r="J1454" s="211"/>
      <c r="K1454" s="211"/>
      <c r="L1454" s="211"/>
      <c r="M1454" s="211"/>
      <c r="N1454" s="211"/>
      <c r="O1454" s="211"/>
      <c r="Q1454" s="210" t="str">
        <f>IFERROR(__xludf.DUMMYFUNCTION("""COMPUTED_VALUE"""),"1250673")</f>
        <v>1250673</v>
      </c>
      <c r="R1454" s="210" t="str">
        <f>IFERROR(__xludf.DUMMYFUNCTION("""COMPUTED_VALUE"""),"1250673")</f>
        <v>1250673</v>
      </c>
      <c r="S1454" s="211" t="str">
        <f>IFERROR(__xludf.DUMMYFUNCTION("""COMPUTED_VALUE"""),"9e31e9f4")</f>
        <v>9e31e9f4</v>
      </c>
      <c r="T1454" s="211" t="str">
        <f>IFERROR(__xludf.DUMMYFUNCTION("""COMPUTED_VALUE"""),"Bpk. Eko Iswantoro")</f>
        <v>Bpk. Eko Iswantoro</v>
      </c>
      <c r="U1454" s="215">
        <f>IFERROR(__xludf.DUMMYFUNCTION("""COMPUTED_VALUE"""),45945.52868055556)</f>
        <v>45945.52868</v>
      </c>
      <c r="V1454" s="211" t="str">
        <f>IFERROR(__xludf.DUMMYFUNCTION("""COMPUTED_VALUE"""),"HHWW+8J Kemasan, Kec. Krian, Kabupaten Sidoarjo, Jawa Timur, Indonesia")</f>
        <v>HHWW+8J Kemasan, Kec. Krian, Kabupaten Sidoarjo, Jawa Timur, Indonesia</v>
      </c>
      <c r="W1454" s="211" t="str">
        <f>IFERROR(__xludf.DUMMYFUNCTION("""COMPUTED_VALUE"""),"IN")</f>
        <v>IN</v>
      </c>
      <c r="X1454" s="211"/>
      <c r="AL1454" s="211"/>
      <c r="AM1454" s="211"/>
      <c r="AN1454" s="211"/>
      <c r="AO1454" s="211"/>
      <c r="AP1454" s="215"/>
      <c r="AQ1454" s="218"/>
      <c r="AR1454" s="211"/>
    </row>
    <row r="1455">
      <c r="A1455" s="210" t="str">
        <f>IFERROR(__xludf.DUMMYFUNCTION("""COMPUTED_VALUE"""),"1250488")</f>
        <v>1250488</v>
      </c>
      <c r="B1455" s="210" t="str">
        <f>IFERROR(__xludf.DUMMYFUNCTION("""COMPUTED_VALUE"""),"1250488")</f>
        <v>1250488</v>
      </c>
      <c r="C1455" s="213">
        <f>IFERROR(__xludf.DUMMYFUNCTION("""COMPUTED_VALUE"""),45870.57943287037)</f>
        <v>45870.57943</v>
      </c>
      <c r="D1455" s="211" t="str">
        <f>IFERROR(__xludf.DUMMYFUNCTION("""COMPUTED_VALUE"""),"b2b5f2c5")</f>
        <v>b2b5f2c5</v>
      </c>
      <c r="E1455" s="211" t="str">
        <f>IFERROR(__xludf.DUMMYFUNCTION("""COMPUTED_VALUE"""),"Bengkel Las Bpk. Ari")</f>
        <v>Bengkel Las Bpk. Ari</v>
      </c>
      <c r="F1455" s="211" t="str">
        <f>IFERROR(__xludf.DUMMYFUNCTION("""COMPUTED_VALUE"""),"8bdbe149")</f>
        <v>8bdbe149</v>
      </c>
      <c r="G1455" s="211" t="str">
        <f>IFERROR(__xludf.DUMMYFUNCTION("""COMPUTED_VALUE"""),"Oksigen 6m3")</f>
        <v>Oksigen 6m3</v>
      </c>
      <c r="H1455" s="211" t="str">
        <f>IFERROR(__xludf.DUMMYFUNCTION("""COMPUTED_VALUE"""),"IN")</f>
        <v>IN</v>
      </c>
      <c r="I1455" s="211" t="str">
        <f>IFERROR(__xludf.DUMMYFUNCTION("""COMPUTED_VALUE"""),"EMPTY")</f>
        <v>EMPTY</v>
      </c>
      <c r="J1455" s="211">
        <f>IFERROR(__xludf.DUMMYFUNCTION("""COMPUTED_VALUE"""),4.0)</f>
        <v>4</v>
      </c>
      <c r="K1455" s="210" t="str">
        <f>IFERROR(__xludf.DUMMYFUNCTION("""COMPUTED_VALUE"""),"1148 1136 11213 11170")</f>
        <v>1148 1136 11213 11170</v>
      </c>
      <c r="L1455" s="211">
        <f>IFERROR(__xludf.DUMMYFUNCTION("""COMPUTED_VALUE"""),0.0)</f>
        <v>0</v>
      </c>
      <c r="M1455" s="211"/>
      <c r="N1455" s="211"/>
      <c r="O1455" s="211"/>
      <c r="Q1455" s="210" t="str">
        <f>IFERROR(__xludf.DUMMYFUNCTION("""COMPUTED_VALUE"""),"1250672")</f>
        <v>1250672</v>
      </c>
      <c r="R1455" s="210" t="str">
        <f>IFERROR(__xludf.DUMMYFUNCTION("""COMPUTED_VALUE"""),"1250672")</f>
        <v>1250672</v>
      </c>
      <c r="S1455" s="211" t="str">
        <f>IFERROR(__xludf.DUMMYFUNCTION("""COMPUTED_VALUE"""),"e86baf3b")</f>
        <v>e86baf3b</v>
      </c>
      <c r="T1455" s="211" t="str">
        <f>IFERROR(__xludf.DUMMYFUNCTION("""COMPUTED_VALUE"""),"PT GEMILANG CIPTA WAWASAN")</f>
        <v>PT GEMILANG CIPTA WAWASAN</v>
      </c>
      <c r="U1455" s="215">
        <f>IFERROR(__xludf.DUMMYFUNCTION("""COMPUTED_VALUE"""),45945.530439814815)</f>
        <v>45945.53044</v>
      </c>
      <c r="V1455" s="211" t="str">
        <f>IFERROR(__xludf.DUMMYFUNCTION("""COMPUTED_VALUE"""),"JL TEBET RAYA, 2A, TEBET BARAT, TEBET, KOTA ADM, JAKARTA SELATAN, DKI JAKARTA")</f>
        <v>JL TEBET RAYA, 2A, TEBET BARAT, TEBET, KOTA ADM, JAKARTA SELATAN, DKI JAKARTA</v>
      </c>
      <c r="W1455" s="211" t="str">
        <f>IFERROR(__xludf.DUMMYFUNCTION("""COMPUTED_VALUE"""),"IN")</f>
        <v>IN</v>
      </c>
      <c r="X1455" s="211"/>
      <c r="AL1455" s="211"/>
      <c r="AM1455" s="211"/>
      <c r="AN1455" s="211"/>
      <c r="AO1455" s="211"/>
      <c r="AP1455" s="215"/>
      <c r="AQ1455" s="218"/>
      <c r="AR1455" s="211"/>
    </row>
    <row r="1456">
      <c r="A1456" s="210" t="str">
        <f>IFERROR(__xludf.DUMMYFUNCTION("""COMPUTED_VALUE"""),"1250488")</f>
        <v>1250488</v>
      </c>
      <c r="B1456" s="210" t="str">
        <f>IFERROR(__xludf.DUMMYFUNCTION("""COMPUTED_VALUE"""),"1250488")</f>
        <v>1250488</v>
      </c>
      <c r="C1456" s="213">
        <f>IFERROR(__xludf.DUMMYFUNCTION("""COMPUTED_VALUE"""),45870.57943287037)</f>
        <v>45870.57943</v>
      </c>
      <c r="D1456" s="211" t="str">
        <f>IFERROR(__xludf.DUMMYFUNCTION("""COMPUTED_VALUE"""),"b2b5f2c5")</f>
        <v>b2b5f2c5</v>
      </c>
      <c r="E1456" s="211" t="str">
        <f>IFERROR(__xludf.DUMMYFUNCTION("""COMPUTED_VALUE"""),"Bengkel Las Bpk. Ari")</f>
        <v>Bengkel Las Bpk. Ari</v>
      </c>
      <c r="F1456" s="211" t="str">
        <f>IFERROR(__xludf.DUMMYFUNCTION("""COMPUTED_VALUE"""),"ef306e54")</f>
        <v>ef306e54</v>
      </c>
      <c r="G1456" s="211" t="str">
        <f>IFERROR(__xludf.DUMMYFUNCTION("""COMPUTED_VALUE"""),"Karbondioksida")</f>
        <v>Karbondioksida</v>
      </c>
      <c r="H1456" s="211" t="str">
        <f>IFERROR(__xludf.DUMMYFUNCTION("""COMPUTED_VALUE"""),"IN")</f>
        <v>IN</v>
      </c>
      <c r="I1456" s="211" t="str">
        <f>IFERROR(__xludf.DUMMYFUNCTION("""COMPUTED_VALUE"""),"EMPTY")</f>
        <v>EMPTY</v>
      </c>
      <c r="J1456" s="211">
        <f>IFERROR(__xludf.DUMMYFUNCTION("""COMPUTED_VALUE"""),1.0)</f>
        <v>1</v>
      </c>
      <c r="K1456" s="210" t="str">
        <f>IFERROR(__xludf.DUMMYFUNCTION("""COMPUTED_VALUE"""),"13022")</f>
        <v>13022</v>
      </c>
      <c r="L1456" s="211">
        <f>IFERROR(__xludf.DUMMYFUNCTION("""COMPUTED_VALUE"""),0.0)</f>
        <v>0</v>
      </c>
      <c r="M1456" s="211"/>
      <c r="N1456" s="211"/>
      <c r="O1456" s="211"/>
      <c r="Q1456" s="210" t="str">
        <f>IFERROR(__xludf.DUMMYFUNCTION("""COMPUTED_VALUE"""),"1025101454")</f>
        <v>1025101454</v>
      </c>
      <c r="R1456" s="210" t="str">
        <f>IFERROR(__xludf.DUMMYFUNCTION("""COMPUTED_VALUE"""),"1025101454")</f>
        <v>1025101454</v>
      </c>
      <c r="S1456" s="211" t="str">
        <f>IFERROR(__xludf.DUMMYFUNCTION("""COMPUTED_VALUE"""),"ed2cc96a")</f>
        <v>ed2cc96a</v>
      </c>
      <c r="T1456" s="211" t="str">
        <f>IFERROR(__xludf.DUMMYFUNCTION("""COMPUTED_VALUE"""),"Bengkel Dian Jaya")</f>
        <v>Bengkel Dian Jaya</v>
      </c>
      <c r="U1456" s="215">
        <f>IFERROR(__xludf.DUMMYFUNCTION("""COMPUTED_VALUE"""),45945.54178240741)</f>
        <v>45945.54178</v>
      </c>
      <c r="V1456" s="211" t="str">
        <f>IFERROR(__xludf.DUMMYFUNCTION("""COMPUTED_VALUE"""),"Gg. 2, Kejagan, Kec. Trowulan, Kabupaten Mojokerto, Jawa Timur 61362")</f>
        <v>Gg. 2, Kejagan, Kec. Trowulan, Kabupaten Mojokerto, Jawa Timur 61362</v>
      </c>
      <c r="W1456" s="211" t="str">
        <f>IFERROR(__xludf.DUMMYFUNCTION("""COMPUTED_VALUE"""),"OUT")</f>
        <v>OUT</v>
      </c>
      <c r="X1456" s="211"/>
      <c r="AL1456" s="211"/>
      <c r="AM1456" s="211"/>
      <c r="AN1456" s="211"/>
      <c r="AO1456" s="211"/>
      <c r="AP1456" s="215"/>
      <c r="AQ1456" s="218"/>
      <c r="AR1456" s="211"/>
    </row>
    <row r="1457">
      <c r="A1457" s="210" t="str">
        <f>IFERROR(__xludf.DUMMYFUNCTION("""COMPUTED_VALUE"""),"08250618")</f>
        <v>08250618</v>
      </c>
      <c r="B1457" s="210" t="str">
        <f>IFERROR(__xludf.DUMMYFUNCTION("""COMPUTED_VALUE"""),"08250618")</f>
        <v>08250618</v>
      </c>
      <c r="C1457" s="213">
        <f>IFERROR(__xludf.DUMMYFUNCTION("""COMPUTED_VALUE"""),45870.39513888889)</f>
        <v>45870.39514</v>
      </c>
      <c r="D1457" s="211" t="str">
        <f>IFERROR(__xludf.DUMMYFUNCTION("""COMPUTED_VALUE"""),"b2b5f2c5")</f>
        <v>b2b5f2c5</v>
      </c>
      <c r="E1457" s="211" t="str">
        <f>IFERROR(__xludf.DUMMYFUNCTION("""COMPUTED_VALUE"""),"Bengkel Las Bpk. Ari")</f>
        <v>Bengkel Las Bpk. Ari</v>
      </c>
      <c r="F1457" s="211" t="str">
        <f>IFERROR(__xludf.DUMMYFUNCTION("""COMPUTED_VALUE"""),"8bdbe149")</f>
        <v>8bdbe149</v>
      </c>
      <c r="G1457" s="211" t="str">
        <f>IFERROR(__xludf.DUMMYFUNCTION("""COMPUTED_VALUE"""),"Oksigen 6m3")</f>
        <v>Oksigen 6m3</v>
      </c>
      <c r="H1457" s="211" t="str">
        <f>IFERROR(__xludf.DUMMYFUNCTION("""COMPUTED_VALUE"""),"OUT")</f>
        <v>OUT</v>
      </c>
      <c r="I1457" s="211" t="str">
        <f>IFERROR(__xludf.DUMMYFUNCTION("""COMPUTED_VALUE"""),"NORMAL")</f>
        <v>NORMAL</v>
      </c>
      <c r="J1457" s="211">
        <f>IFERROR(__xludf.DUMMYFUNCTION("""COMPUTED_VALUE"""),5.0)</f>
        <v>5</v>
      </c>
      <c r="K1457" s="210" t="str">
        <f>IFERROR(__xludf.DUMMYFUNCTION("""COMPUTED_VALUE"""),"1121 1197 1134 11267 11239")</f>
        <v>1121 1197 1134 11267 11239</v>
      </c>
      <c r="L1457" s="211">
        <f>IFERROR(__xludf.DUMMYFUNCTION("""COMPUTED_VALUE"""),60000.0)</f>
        <v>60000</v>
      </c>
      <c r="M1457" s="211"/>
      <c r="N1457" s="211"/>
      <c r="O1457" s="211"/>
      <c r="Q1457" s="210" t="str">
        <f>IFERROR(__xludf.DUMMYFUNCTION("""COMPUTED_VALUE"""),"1250666")</f>
        <v>1250666</v>
      </c>
      <c r="R1457" s="210" t="str">
        <f>IFERROR(__xludf.DUMMYFUNCTION("""COMPUTED_VALUE"""),"1250666")</f>
        <v>1250666</v>
      </c>
      <c r="S1457" s="211" t="str">
        <f>IFERROR(__xludf.DUMMYFUNCTION("""COMPUTED_VALUE"""),"ed2cc96a")</f>
        <v>ed2cc96a</v>
      </c>
      <c r="T1457" s="211" t="str">
        <f>IFERROR(__xludf.DUMMYFUNCTION("""COMPUTED_VALUE"""),"Bengkel Dian Jaya")</f>
        <v>Bengkel Dian Jaya</v>
      </c>
      <c r="U1457" s="215">
        <f>IFERROR(__xludf.DUMMYFUNCTION("""COMPUTED_VALUE"""),45945.65557870371)</f>
        <v>45945.65558</v>
      </c>
      <c r="V1457" s="211" t="str">
        <f>IFERROR(__xludf.DUMMYFUNCTION("""COMPUTED_VALUE"""),"Gg. 2, Kejagan, Kec. Trowulan, Kabupaten Mojokerto, Jawa Timur 61362")</f>
        <v>Gg. 2, Kejagan, Kec. Trowulan, Kabupaten Mojokerto, Jawa Timur 61362</v>
      </c>
      <c r="W1457" s="211" t="str">
        <f>IFERROR(__xludf.DUMMYFUNCTION("""COMPUTED_VALUE"""),"IN")</f>
        <v>IN</v>
      </c>
      <c r="X1457" s="211"/>
      <c r="AL1457" s="211"/>
      <c r="AM1457" s="211"/>
      <c r="AN1457" s="211"/>
      <c r="AO1457" s="211"/>
      <c r="AP1457" s="215"/>
      <c r="AQ1457" s="218"/>
      <c r="AR1457" s="211"/>
    </row>
    <row r="1458">
      <c r="A1458" s="210" t="str">
        <f>IFERROR(__xludf.DUMMYFUNCTION("""COMPUTED_VALUE"""),"08250618")</f>
        <v>08250618</v>
      </c>
      <c r="B1458" s="210" t="str">
        <f>IFERROR(__xludf.DUMMYFUNCTION("""COMPUTED_VALUE"""),"08250618")</f>
        <v>08250618</v>
      </c>
      <c r="C1458" s="213">
        <f>IFERROR(__xludf.DUMMYFUNCTION("""COMPUTED_VALUE"""),45870.39513888889)</f>
        <v>45870.39514</v>
      </c>
      <c r="D1458" s="211" t="str">
        <f>IFERROR(__xludf.DUMMYFUNCTION("""COMPUTED_VALUE"""),"b2b5f2c5")</f>
        <v>b2b5f2c5</v>
      </c>
      <c r="E1458" s="211" t="str">
        <f>IFERROR(__xludf.DUMMYFUNCTION("""COMPUTED_VALUE"""),"Bengkel Las Bpk. Ari")</f>
        <v>Bengkel Las Bpk. Ari</v>
      </c>
      <c r="F1458" s="211" t="str">
        <f>IFERROR(__xludf.DUMMYFUNCTION("""COMPUTED_VALUE"""),"ef306e54")</f>
        <v>ef306e54</v>
      </c>
      <c r="G1458" s="211" t="str">
        <f>IFERROR(__xludf.DUMMYFUNCTION("""COMPUTED_VALUE"""),"Karbondioksida")</f>
        <v>Karbondioksida</v>
      </c>
      <c r="H1458" s="211" t="str">
        <f>IFERROR(__xludf.DUMMYFUNCTION("""COMPUTED_VALUE"""),"OUT")</f>
        <v>OUT</v>
      </c>
      <c r="I1458" s="211" t="str">
        <f>IFERROR(__xludf.DUMMYFUNCTION("""COMPUTED_VALUE"""),"NORMAL")</f>
        <v>NORMAL</v>
      </c>
      <c r="J1458" s="211">
        <f>IFERROR(__xludf.DUMMYFUNCTION("""COMPUTED_VALUE"""),1.0)</f>
        <v>1</v>
      </c>
      <c r="K1458" s="210" t="str">
        <f>IFERROR(__xludf.DUMMYFUNCTION("""COMPUTED_VALUE"""),"13024")</f>
        <v>13024</v>
      </c>
      <c r="L1458" s="211">
        <f>IFERROR(__xludf.DUMMYFUNCTION("""COMPUTED_VALUE"""),170000.0)</f>
        <v>170000</v>
      </c>
      <c r="M1458" s="211"/>
      <c r="N1458" s="211"/>
      <c r="O1458" s="211"/>
      <c r="Q1458" s="210" t="str">
        <f>IFERROR(__xludf.DUMMYFUNCTION("""COMPUTED_VALUE"""),"1025231454")</f>
        <v>1025231454</v>
      </c>
      <c r="R1458" s="210" t="str">
        <f>IFERROR(__xludf.DUMMYFUNCTION("""COMPUTED_VALUE"""),"1025231454")</f>
        <v>1025231454</v>
      </c>
      <c r="S1458" s="211" t="str">
        <f>IFERROR(__xludf.DUMMYFUNCTION("""COMPUTED_VALUE"""),"8f5ebaea")</f>
        <v>8f5ebaea</v>
      </c>
      <c r="T1458" s="211" t="str">
        <f>IFERROR(__xludf.DUMMYFUNCTION("""COMPUTED_VALUE"""),"PT Hua Zong Mesindo")</f>
        <v>PT Hua Zong Mesindo</v>
      </c>
      <c r="U1458" s="215">
        <f>IFERROR(__xludf.DUMMYFUNCTION("""COMPUTED_VALUE"""),45946.45172453704)</f>
        <v>45946.45172</v>
      </c>
      <c r="V1458" s="211" t="str">
        <f>IFERROR(__xludf.DUMMYFUNCTION("""COMPUTED_VALUE"""),"Jl. Bypass Krian, Sidotemo, Sidomulyo, Kec. Krian, Kabupaten Sidoarjo, Jawa Timur 61262")</f>
        <v>Jl. Bypass Krian, Sidotemo, Sidomulyo, Kec. Krian, Kabupaten Sidoarjo, Jawa Timur 61262</v>
      </c>
      <c r="W1458" s="211" t="str">
        <f>IFERROR(__xludf.DUMMYFUNCTION("""COMPUTED_VALUE"""),"OUT")</f>
        <v>OUT</v>
      </c>
      <c r="X1458" s="211"/>
      <c r="AL1458" s="211"/>
      <c r="AM1458" s="211"/>
      <c r="AN1458" s="211"/>
      <c r="AO1458" s="211"/>
      <c r="AP1458" s="215"/>
      <c r="AQ1458" s="218"/>
      <c r="AR1458" s="211"/>
    </row>
    <row r="1459">
      <c r="A1459" s="210" t="str">
        <f>IFERROR(__xludf.DUMMYFUNCTION("""COMPUTED_VALUE"""),"0825211076")</f>
        <v>0825211076</v>
      </c>
      <c r="B1459" s="210" t="str">
        <f>IFERROR(__xludf.DUMMYFUNCTION("""COMPUTED_VALUE"""),"0825211076")</f>
        <v>0825211076</v>
      </c>
      <c r="C1459" s="213">
        <f>IFERROR(__xludf.DUMMYFUNCTION("""COMPUTED_VALUE"""),45870.84732638889)</f>
        <v>45870.84733</v>
      </c>
      <c r="D1459" s="211" t="str">
        <f>IFERROR(__xludf.DUMMYFUNCTION("""COMPUTED_VALUE"""),"2d88931c")</f>
        <v>2d88931c</v>
      </c>
      <c r="E1459" s="211" t="str">
        <f>IFERROR(__xludf.DUMMYFUNCTION("""COMPUTED_VALUE"""),"PT Dunia Berkat Marga Mulya")</f>
        <v>PT Dunia Berkat Marga Mulya</v>
      </c>
      <c r="F1459" s="211" t="str">
        <f>IFERROR(__xludf.DUMMYFUNCTION("""COMPUTED_VALUE"""),"8bdbe149")</f>
        <v>8bdbe149</v>
      </c>
      <c r="G1459" s="211" t="str">
        <f>IFERROR(__xludf.DUMMYFUNCTION("""COMPUTED_VALUE"""),"Oksigen 6m3")</f>
        <v>Oksigen 6m3</v>
      </c>
      <c r="H1459" s="211" t="str">
        <f>IFERROR(__xludf.DUMMYFUNCTION("""COMPUTED_VALUE"""),"OUT")</f>
        <v>OUT</v>
      </c>
      <c r="I1459" s="211" t="str">
        <f>IFERROR(__xludf.DUMMYFUNCTION("""COMPUTED_VALUE"""),"NORMAL")</f>
        <v>NORMAL</v>
      </c>
      <c r="J1459" s="211">
        <f>IFERROR(__xludf.DUMMYFUNCTION("""COMPUTED_VALUE"""),5.0)</f>
        <v>5</v>
      </c>
      <c r="K1459" s="210" t="str">
        <f>IFERROR(__xludf.DUMMYFUNCTION("""COMPUTED_VALUE"""),"1147 11235 11272 1116 11106")</f>
        <v>1147 11235 11272 1116 11106</v>
      </c>
      <c r="L1459" s="211">
        <f>IFERROR(__xludf.DUMMYFUNCTION("""COMPUTED_VALUE"""),60000.0)</f>
        <v>60000</v>
      </c>
      <c r="M1459" s="211"/>
      <c r="N1459" s="211"/>
      <c r="O1459" s="211"/>
      <c r="Q1459" s="210" t="str">
        <f>IFERROR(__xludf.DUMMYFUNCTION("""COMPUTED_VALUE"""),"1025221459")</f>
        <v>1025221459</v>
      </c>
      <c r="R1459" s="210" t="str">
        <f>IFERROR(__xludf.DUMMYFUNCTION("""COMPUTED_VALUE"""),"1025221459")</f>
        <v>1025221459</v>
      </c>
      <c r="S1459" s="211" t="str">
        <f>IFERROR(__xludf.DUMMYFUNCTION("""COMPUTED_VALUE"""),"b2b5f2c5")</f>
        <v>b2b5f2c5</v>
      </c>
      <c r="T1459" s="211" t="str">
        <f>IFERROR(__xludf.DUMMYFUNCTION("""COMPUTED_VALUE"""),"Bengkel Las Bpk. Ari")</f>
        <v>Bengkel Las Bpk. Ari</v>
      </c>
      <c r="U1459" s="215">
        <f>IFERROR(__xludf.DUMMYFUNCTION("""COMPUTED_VALUE"""),45946.452939814815)</f>
        <v>45946.45294</v>
      </c>
      <c r="V1459" s="211" t="str">
        <f>IFERROR(__xludf.DUMMYFUNCTION("""COMPUTED_VALUE"""),"Sumber Kembar, Wonodadi, Kec. Kutorejo, Kabupaten Mojokerto, Jawa Timur")</f>
        <v>Sumber Kembar, Wonodadi, Kec. Kutorejo, Kabupaten Mojokerto, Jawa Timur</v>
      </c>
      <c r="W1459" s="211" t="str">
        <f>IFERROR(__xludf.DUMMYFUNCTION("""COMPUTED_VALUE"""),"OUT")</f>
        <v>OUT</v>
      </c>
      <c r="X1459" s="211"/>
      <c r="AL1459" s="211"/>
      <c r="AM1459" s="211"/>
      <c r="AN1459" s="211"/>
      <c r="AO1459" s="211"/>
      <c r="AP1459" s="215"/>
      <c r="AQ1459" s="218"/>
      <c r="AR1459" s="211"/>
    </row>
    <row r="1460">
      <c r="A1460" s="210" t="str">
        <f>IFERROR(__xludf.DUMMYFUNCTION("""COMPUTED_VALUE"""),"0825371077")</f>
        <v>0825371077</v>
      </c>
      <c r="B1460" s="210" t="str">
        <f>IFERROR(__xludf.DUMMYFUNCTION("""COMPUTED_VALUE"""),"0825371077")</f>
        <v>0825371077</v>
      </c>
      <c r="C1460" s="213">
        <f>IFERROR(__xludf.DUMMYFUNCTION("""COMPUTED_VALUE"""),45873.39252314815)</f>
        <v>45873.39252</v>
      </c>
      <c r="D1460" s="211" t="str">
        <f>IFERROR(__xludf.DUMMYFUNCTION("""COMPUTED_VALUE"""),"e86baf3b")</f>
        <v>e86baf3b</v>
      </c>
      <c r="E1460" s="211" t="str">
        <f>IFERROR(__xludf.DUMMYFUNCTION("""COMPUTED_VALUE"""),"PT GEMILANG CIPTA WAWASAN")</f>
        <v>PT GEMILANG CIPTA WAWASAN</v>
      </c>
      <c r="F1460" s="211" t="str">
        <f>IFERROR(__xludf.DUMMYFUNCTION("""COMPUTED_VALUE"""),"8bdbe149")</f>
        <v>8bdbe149</v>
      </c>
      <c r="G1460" s="211" t="str">
        <f>IFERROR(__xludf.DUMMYFUNCTION("""COMPUTED_VALUE"""),"Oksigen 6m3")</f>
        <v>Oksigen 6m3</v>
      </c>
      <c r="H1460" s="211" t="str">
        <f>IFERROR(__xludf.DUMMYFUNCTION("""COMPUTED_VALUE"""),"OUT")</f>
        <v>OUT</v>
      </c>
      <c r="I1460" s="211" t="str">
        <f>IFERROR(__xludf.DUMMYFUNCTION("""COMPUTED_VALUE"""),"NORMAL")</f>
        <v>NORMAL</v>
      </c>
      <c r="J1460" s="211">
        <f>IFERROR(__xludf.DUMMYFUNCTION("""COMPUTED_VALUE"""),10.0)</f>
        <v>10</v>
      </c>
      <c r="K1460" s="210" t="str">
        <f>IFERROR(__xludf.DUMMYFUNCTION("""COMPUTED_VALUE"""),"1168 1118 1108 1185 1141 11128 11181 11189 11132 11251")</f>
        <v>1168 1118 1108 1185 1141 11128 11181 11189 11132 11251</v>
      </c>
      <c r="L1460" s="211">
        <f>IFERROR(__xludf.DUMMYFUNCTION("""COMPUTED_VALUE"""),60000.0)</f>
        <v>60000</v>
      </c>
      <c r="M1460" s="211"/>
      <c r="N1460" s="211"/>
      <c r="O1460" s="211"/>
      <c r="Q1460" s="210" t="str">
        <f>IFERROR(__xludf.DUMMYFUNCTION("""COMPUTED_VALUE"""),"1250676")</f>
        <v>1250676</v>
      </c>
      <c r="R1460" s="210" t="str">
        <f>IFERROR(__xludf.DUMMYFUNCTION("""COMPUTED_VALUE"""),"1250676")</f>
        <v>1250676</v>
      </c>
      <c r="S1460" s="211" t="str">
        <f>IFERROR(__xludf.DUMMYFUNCTION("""COMPUTED_VALUE"""),"ec231cc9")</f>
        <v>ec231cc9</v>
      </c>
      <c r="T1460" s="211" t="str">
        <f>IFERROR(__xludf.DUMMYFUNCTION("""COMPUTED_VALUE"""),"Bpk. Kohir (Maintenance Velg)")</f>
        <v>Bpk. Kohir (Maintenance Velg)</v>
      </c>
      <c r="U1460" s="215">
        <f>IFERROR(__xludf.DUMMYFUNCTION("""COMPUTED_VALUE"""),45946.47357638889)</f>
        <v>45946.47358</v>
      </c>
      <c r="V1460" s="211" t="str">
        <f>IFERROR(__xludf.DUMMYFUNCTION("""COMPUTED_VALUE"""),"Jl. Lkr. Bypass Krian Timur, Sidogolong, Watugolong, Kec. Krian, Kabupaten Sidoarjo, Jawa Timur 61262")</f>
        <v>Jl. Lkr. Bypass Krian Timur, Sidogolong, Watugolong, Kec. Krian, Kabupaten Sidoarjo, Jawa Timur 61262</v>
      </c>
      <c r="W1460" s="211" t="str">
        <f>IFERROR(__xludf.DUMMYFUNCTION("""COMPUTED_VALUE"""),"IN")</f>
        <v>IN</v>
      </c>
      <c r="X1460" s="211"/>
      <c r="AL1460" s="211"/>
      <c r="AM1460" s="211"/>
      <c r="AN1460" s="211"/>
      <c r="AO1460" s="211"/>
      <c r="AP1460" s="215"/>
      <c r="AQ1460" s="218"/>
      <c r="AR1460" s="211"/>
    </row>
    <row r="1461">
      <c r="A1461" s="210" t="str">
        <f>IFERROR(__xludf.DUMMYFUNCTION("""COMPUTED_VALUE"""),"0825371077")</f>
        <v>0825371077</v>
      </c>
      <c r="B1461" s="210" t="str">
        <f>IFERROR(__xludf.DUMMYFUNCTION("""COMPUTED_VALUE"""),"0825371077")</f>
        <v>0825371077</v>
      </c>
      <c r="C1461" s="213">
        <f>IFERROR(__xludf.DUMMYFUNCTION("""COMPUTED_VALUE"""),45873.39252314815)</f>
        <v>45873.39252</v>
      </c>
      <c r="D1461" s="211" t="str">
        <f>IFERROR(__xludf.DUMMYFUNCTION("""COMPUTED_VALUE"""),"e86baf3b")</f>
        <v>e86baf3b</v>
      </c>
      <c r="E1461" s="211" t="str">
        <f>IFERROR(__xludf.DUMMYFUNCTION("""COMPUTED_VALUE"""),"PT GEMILANG CIPTA WAWASAN")</f>
        <v>PT GEMILANG CIPTA WAWASAN</v>
      </c>
      <c r="F1461" s="211" t="str">
        <f>IFERROR(__xludf.DUMMYFUNCTION("""COMPUTED_VALUE"""),"66af7c72")</f>
        <v>66af7c72</v>
      </c>
      <c r="G1461" s="211" t="str">
        <f>IFERROR(__xludf.DUMMYFUNCTION("""COMPUTED_VALUE"""),"Argon 6m3")</f>
        <v>Argon 6m3</v>
      </c>
      <c r="H1461" s="211" t="str">
        <f>IFERROR(__xludf.DUMMYFUNCTION("""COMPUTED_VALUE"""),"OUT")</f>
        <v>OUT</v>
      </c>
      <c r="I1461" s="211" t="str">
        <f>IFERROR(__xludf.DUMMYFUNCTION("""COMPUTED_VALUE"""),"NORMAL")</f>
        <v>NORMAL</v>
      </c>
      <c r="J1461" s="211">
        <f>IFERROR(__xludf.DUMMYFUNCTION("""COMPUTED_VALUE"""),10.0)</f>
        <v>10</v>
      </c>
      <c r="K1461" s="210" t="str">
        <f>IFERROR(__xludf.DUMMYFUNCTION("""COMPUTED_VALUE"""),"12054 12030 12057 12020 12056 12042 12065 12021 12047 12072")</f>
        <v>12054 12030 12057 12020 12056 12042 12065 12021 12047 12072</v>
      </c>
      <c r="L1461" s="211">
        <f>IFERROR(__xludf.DUMMYFUNCTION("""COMPUTED_VALUE"""),185000.0)</f>
        <v>185000</v>
      </c>
      <c r="M1461" s="211"/>
      <c r="N1461" s="211"/>
      <c r="O1461" s="211"/>
      <c r="Q1461" s="210" t="str">
        <f>IFERROR(__xludf.DUMMYFUNCTION("""COMPUTED_VALUE"""),"1250674")</f>
        <v>1250674</v>
      </c>
      <c r="R1461" s="210" t="str">
        <f>IFERROR(__xludf.DUMMYFUNCTION("""COMPUTED_VALUE"""),"1250674")</f>
        <v>1250674</v>
      </c>
      <c r="S1461" s="211" t="str">
        <f>IFERROR(__xludf.DUMMYFUNCTION("""COMPUTED_VALUE"""),"196b24da")</f>
        <v>196b24da</v>
      </c>
      <c r="T1461" s="211" t="str">
        <f>IFERROR(__xludf.DUMMYFUNCTION("""COMPUTED_VALUE"""),"PT Samudra Cipta Enjineering")</f>
        <v>PT Samudra Cipta Enjineering</v>
      </c>
      <c r="U1461" s="215">
        <f>IFERROR(__xludf.DUMMYFUNCTION("""COMPUTED_VALUE"""),45946.34722222222)</f>
        <v>45946.34722</v>
      </c>
      <c r="V1461" s="211" t="str">
        <f>IFERROR(__xludf.DUMMYFUNCTION("""COMPUTED_VALUE"""),"Pergudangan Center Point Blok C4   Ds. Kemangsen  Balongbendo")</f>
        <v>Pergudangan Center Point Blok C4   Ds. Kemangsen  Balongbendo</v>
      </c>
      <c r="W1461" s="211" t="str">
        <f>IFERROR(__xludf.DUMMYFUNCTION("""COMPUTED_VALUE"""),"IN")</f>
        <v>IN</v>
      </c>
      <c r="X1461" s="211"/>
      <c r="AL1461" s="211"/>
      <c r="AM1461" s="211"/>
      <c r="AN1461" s="211"/>
      <c r="AO1461" s="211"/>
      <c r="AP1461" s="215"/>
      <c r="AQ1461" s="218"/>
      <c r="AR1461" s="211"/>
    </row>
    <row r="1462">
      <c r="A1462" s="211"/>
      <c r="B1462" s="211"/>
      <c r="C1462" s="211"/>
      <c r="D1462" s="211"/>
      <c r="E1462" s="211"/>
      <c r="F1462" s="211"/>
      <c r="G1462" s="211"/>
      <c r="H1462" s="211"/>
      <c r="I1462" s="211"/>
      <c r="J1462" s="211"/>
      <c r="K1462" s="211"/>
      <c r="L1462" s="211"/>
      <c r="M1462" s="211"/>
      <c r="N1462" s="211"/>
      <c r="O1462" s="211"/>
      <c r="Q1462" s="210" t="str">
        <f>IFERROR(__xludf.DUMMYFUNCTION("""COMPUTED_VALUE"""),"1250675")</f>
        <v>1250675</v>
      </c>
      <c r="R1462" s="210" t="str">
        <f>IFERROR(__xludf.DUMMYFUNCTION("""COMPUTED_VALUE"""),"1250675")</f>
        <v>1250675</v>
      </c>
      <c r="S1462" s="211" t="str">
        <f>IFERROR(__xludf.DUMMYFUNCTION("""COMPUTED_VALUE"""),"8f5ebaea")</f>
        <v>8f5ebaea</v>
      </c>
      <c r="T1462" s="211" t="str">
        <f>IFERROR(__xludf.DUMMYFUNCTION("""COMPUTED_VALUE"""),"PT Hua Zong Mesindo")</f>
        <v>PT Hua Zong Mesindo</v>
      </c>
      <c r="U1462" s="215">
        <f>IFERROR(__xludf.DUMMYFUNCTION("""COMPUTED_VALUE"""),45946.47681712963)</f>
        <v>45946.47682</v>
      </c>
      <c r="V1462" s="211" t="str">
        <f>IFERROR(__xludf.DUMMYFUNCTION("""COMPUTED_VALUE"""),"Jl. Bypass Krian, Sidotemo, Sidomulyo, Kec. Krian, Kabupaten Sidoarjo, Jawa Timur 61262")</f>
        <v>Jl. Bypass Krian, Sidotemo, Sidomulyo, Kec. Krian, Kabupaten Sidoarjo, Jawa Timur 61262</v>
      </c>
      <c r="W1462" s="211" t="str">
        <f>IFERROR(__xludf.DUMMYFUNCTION("""COMPUTED_VALUE"""),"IN")</f>
        <v>IN</v>
      </c>
      <c r="X1462" s="211"/>
      <c r="AL1462" s="211"/>
      <c r="AM1462" s="211"/>
      <c r="AN1462" s="211"/>
      <c r="AO1462" s="211"/>
      <c r="AP1462" s="215"/>
      <c r="AQ1462" s="218"/>
      <c r="AR1462" s="211"/>
    </row>
    <row r="1463">
      <c r="A1463" s="210" t="str">
        <f>IFERROR(__xludf.DUMMYFUNCTION("""COMPUTED_VALUE"""),"082531079")</f>
        <v>082531079</v>
      </c>
      <c r="B1463" s="210" t="str">
        <f>IFERROR(__xludf.DUMMYFUNCTION("""COMPUTED_VALUE"""),"082531079")</f>
        <v>082531079</v>
      </c>
      <c r="C1463" s="213">
        <f>IFERROR(__xludf.DUMMYFUNCTION("""COMPUTED_VALUE"""),45873.510671296295)</f>
        <v>45873.51067</v>
      </c>
      <c r="D1463" s="211" t="str">
        <f>IFERROR(__xludf.DUMMYFUNCTION("""COMPUTED_VALUE"""),"196b24da")</f>
        <v>196b24da</v>
      </c>
      <c r="E1463" s="211" t="str">
        <f>IFERROR(__xludf.DUMMYFUNCTION("""COMPUTED_VALUE"""),"PT Samudra Cipta Enjineering")</f>
        <v>PT Samudra Cipta Enjineering</v>
      </c>
      <c r="F1463" s="211" t="str">
        <f>IFERROR(__xludf.DUMMYFUNCTION("""COMPUTED_VALUE"""),"b7a8fff1")</f>
        <v>b7a8fff1</v>
      </c>
      <c r="G1463" s="211" t="str">
        <f>IFERROR(__xludf.DUMMYFUNCTION("""COMPUTED_VALUE"""),"LPG 50kg")</f>
        <v>LPG 50kg</v>
      </c>
      <c r="H1463" s="211" t="str">
        <f>IFERROR(__xludf.DUMMYFUNCTION("""COMPUTED_VALUE"""),"OUT")</f>
        <v>OUT</v>
      </c>
      <c r="I1463" s="211" t="str">
        <f>IFERROR(__xludf.DUMMYFUNCTION("""COMPUTED_VALUE"""),"NORMAL")</f>
        <v>NORMAL</v>
      </c>
      <c r="J1463" s="211">
        <f>IFERROR(__xludf.DUMMYFUNCTION("""COMPUTED_VALUE"""),2.0)</f>
        <v>2</v>
      </c>
      <c r="K1463" s="211"/>
      <c r="L1463" s="211">
        <f>IFERROR(__xludf.DUMMYFUNCTION("""COMPUTED_VALUE"""),900000.0)</f>
        <v>900000</v>
      </c>
      <c r="M1463" s="211"/>
      <c r="N1463" s="211"/>
      <c r="O1463" s="211"/>
      <c r="Q1463" s="210" t="str">
        <f>IFERROR(__xludf.DUMMYFUNCTION("""COMPUTED_VALUE"""),"1250677")</f>
        <v>1250677</v>
      </c>
      <c r="R1463" s="210" t="str">
        <f>IFERROR(__xludf.DUMMYFUNCTION("""COMPUTED_VALUE"""),"1250677")</f>
        <v>1250677</v>
      </c>
      <c r="S1463" s="211" t="str">
        <f>IFERROR(__xludf.DUMMYFUNCTION("""COMPUTED_VALUE"""),"8f5ebaea")</f>
        <v>8f5ebaea</v>
      </c>
      <c r="T1463" s="211" t="str">
        <f>IFERROR(__xludf.DUMMYFUNCTION("""COMPUTED_VALUE"""),"PT Hua Zong Mesindo")</f>
        <v>PT Hua Zong Mesindo</v>
      </c>
      <c r="U1463" s="215">
        <f>IFERROR(__xludf.DUMMYFUNCTION("""COMPUTED_VALUE"""),45946.58607638889)</f>
        <v>45946.58608</v>
      </c>
      <c r="V1463" s="211" t="str">
        <f>IFERROR(__xludf.DUMMYFUNCTION("""COMPUTED_VALUE"""),"Jl. Bypass Krian, Sidotemo, Sidomulyo, Kec. Krian, Kabupaten Sidoarjo, Jawa Timur 61262")</f>
        <v>Jl. Bypass Krian, Sidotemo, Sidomulyo, Kec. Krian, Kabupaten Sidoarjo, Jawa Timur 61262</v>
      </c>
      <c r="W1463" s="211" t="str">
        <f>IFERROR(__xludf.DUMMYFUNCTION("""COMPUTED_VALUE"""),"IN")</f>
        <v>IN</v>
      </c>
      <c r="X1463" s="211"/>
      <c r="AL1463" s="211"/>
      <c r="AM1463" s="211"/>
      <c r="AN1463" s="211"/>
      <c r="AO1463" s="211"/>
      <c r="AP1463" s="215"/>
      <c r="AQ1463" s="218"/>
      <c r="AR1463" s="211"/>
    </row>
    <row r="1464">
      <c r="A1464" s="210" t="str">
        <f>IFERROR(__xludf.DUMMYFUNCTION("""COMPUTED_VALUE"""),"1250490")</f>
        <v>1250490</v>
      </c>
      <c r="B1464" s="210" t="str">
        <f>IFERROR(__xludf.DUMMYFUNCTION("""COMPUTED_VALUE"""),"1250490")</f>
        <v>1250490</v>
      </c>
      <c r="C1464" s="213">
        <f>IFERROR(__xludf.DUMMYFUNCTION("""COMPUTED_VALUE"""),45873.53440972222)</f>
        <v>45873.53441</v>
      </c>
      <c r="D1464" s="211" t="str">
        <f>IFERROR(__xludf.DUMMYFUNCTION("""COMPUTED_VALUE"""),"8f5ebaea")</f>
        <v>8f5ebaea</v>
      </c>
      <c r="E1464" s="211" t="str">
        <f>IFERROR(__xludf.DUMMYFUNCTION("""COMPUTED_VALUE"""),"PT Hua Zong Mesindo")</f>
        <v>PT Hua Zong Mesindo</v>
      </c>
      <c r="F1464" s="211" t="str">
        <f>IFERROR(__xludf.DUMMYFUNCTION("""COMPUTED_VALUE"""),"ef306e54")</f>
        <v>ef306e54</v>
      </c>
      <c r="G1464" s="211" t="str">
        <f>IFERROR(__xludf.DUMMYFUNCTION("""COMPUTED_VALUE"""),"Karbondioksida")</f>
        <v>Karbondioksida</v>
      </c>
      <c r="H1464" s="211" t="str">
        <f>IFERROR(__xludf.DUMMYFUNCTION("""COMPUTED_VALUE"""),"IN")</f>
        <v>IN</v>
      </c>
      <c r="I1464" s="211" t="str">
        <f>IFERROR(__xludf.DUMMYFUNCTION("""COMPUTED_VALUE"""),"EMPTY")</f>
        <v>EMPTY</v>
      </c>
      <c r="J1464" s="211">
        <f>IFERROR(__xludf.DUMMYFUNCTION("""COMPUTED_VALUE"""),1.0)</f>
        <v>1</v>
      </c>
      <c r="K1464" s="210" t="str">
        <f>IFERROR(__xludf.DUMMYFUNCTION("""COMPUTED_VALUE"""),"13023")</f>
        <v>13023</v>
      </c>
      <c r="L1464" s="211">
        <f>IFERROR(__xludf.DUMMYFUNCTION("""COMPUTED_VALUE"""),0.0)</f>
        <v>0</v>
      </c>
      <c r="M1464" s="211"/>
      <c r="N1464" s="211"/>
      <c r="O1464" s="211"/>
      <c r="Q1464" s="210" t="str">
        <f>IFERROR(__xludf.DUMMYFUNCTION("""COMPUTED_VALUE"""),"1250668")</f>
        <v>1250668</v>
      </c>
      <c r="R1464" s="210" t="str">
        <f>IFERROR(__xludf.DUMMYFUNCTION("""COMPUTED_VALUE"""),"1250668")</f>
        <v>1250668</v>
      </c>
      <c r="S1464" s="211" t="str">
        <f>IFERROR(__xludf.DUMMYFUNCTION("""COMPUTED_VALUE"""),"b2b5f2c5")</f>
        <v>b2b5f2c5</v>
      </c>
      <c r="T1464" s="211" t="str">
        <f>IFERROR(__xludf.DUMMYFUNCTION("""COMPUTED_VALUE"""),"Bengkel Las Bpk. Ari")</f>
        <v>Bengkel Las Bpk. Ari</v>
      </c>
      <c r="U1464" s="215">
        <f>IFERROR(__xludf.DUMMYFUNCTION("""COMPUTED_VALUE"""),45946.61587962963)</f>
        <v>45946.61588</v>
      </c>
      <c r="V1464" s="211" t="str">
        <f>IFERROR(__xludf.DUMMYFUNCTION("""COMPUTED_VALUE"""),"Sumber Kembar, Wonodadi, Kec. Kutorejo, Kabupaten Mojokerto, Jawa Timur")</f>
        <v>Sumber Kembar, Wonodadi, Kec. Kutorejo, Kabupaten Mojokerto, Jawa Timur</v>
      </c>
      <c r="W1464" s="211" t="str">
        <f>IFERROR(__xludf.DUMMYFUNCTION("""COMPUTED_VALUE"""),"IN")</f>
        <v>IN</v>
      </c>
      <c r="X1464" s="211"/>
      <c r="AL1464" s="211"/>
      <c r="AM1464" s="211"/>
      <c r="AN1464" s="211"/>
      <c r="AO1464" s="211"/>
      <c r="AP1464" s="215"/>
      <c r="AQ1464" s="218"/>
      <c r="AR1464" s="211"/>
    </row>
    <row r="1465">
      <c r="A1465" s="210" t="str">
        <f>IFERROR(__xludf.DUMMYFUNCTION("""COMPUTED_VALUE"""),"1250490")</f>
        <v>1250490</v>
      </c>
      <c r="B1465" s="210" t="str">
        <f>IFERROR(__xludf.DUMMYFUNCTION("""COMPUTED_VALUE"""),"1250490")</f>
        <v>1250490</v>
      </c>
      <c r="C1465" s="213">
        <f>IFERROR(__xludf.DUMMYFUNCTION("""COMPUTED_VALUE"""),45873.53440972222)</f>
        <v>45873.53441</v>
      </c>
      <c r="D1465" s="211" t="str">
        <f>IFERROR(__xludf.DUMMYFUNCTION("""COMPUTED_VALUE"""),"8f5ebaea")</f>
        <v>8f5ebaea</v>
      </c>
      <c r="E1465" s="211" t="str">
        <f>IFERROR(__xludf.DUMMYFUNCTION("""COMPUTED_VALUE"""),"PT Hua Zong Mesindo")</f>
        <v>PT Hua Zong Mesindo</v>
      </c>
      <c r="F1465" s="211" t="str">
        <f>IFERROR(__xludf.DUMMYFUNCTION("""COMPUTED_VALUE"""),"66af7c72")</f>
        <v>66af7c72</v>
      </c>
      <c r="G1465" s="211" t="str">
        <f>IFERROR(__xludf.DUMMYFUNCTION("""COMPUTED_VALUE"""),"Argon 6m3")</f>
        <v>Argon 6m3</v>
      </c>
      <c r="H1465" s="211" t="str">
        <f>IFERROR(__xludf.DUMMYFUNCTION("""COMPUTED_VALUE"""),"IN")</f>
        <v>IN</v>
      </c>
      <c r="I1465" s="211" t="str">
        <f>IFERROR(__xludf.DUMMYFUNCTION("""COMPUTED_VALUE"""),"EMPTY")</f>
        <v>EMPTY</v>
      </c>
      <c r="J1465" s="211">
        <f>IFERROR(__xludf.DUMMYFUNCTION("""COMPUTED_VALUE"""),1.0)</f>
        <v>1</v>
      </c>
      <c r="K1465" s="210" t="str">
        <f>IFERROR(__xludf.DUMMYFUNCTION("""COMPUTED_VALUE"""),"12038")</f>
        <v>12038</v>
      </c>
      <c r="L1465" s="211">
        <f>IFERROR(__xludf.DUMMYFUNCTION("""COMPUTED_VALUE"""),0.0)</f>
        <v>0</v>
      </c>
      <c r="M1465" s="211"/>
      <c r="N1465" s="211"/>
      <c r="O1465" s="211"/>
      <c r="Q1465" s="210" t="str">
        <f>IFERROR(__xludf.DUMMYFUNCTION("""COMPUTED_VALUE"""),"1250678")</f>
        <v>1250678</v>
      </c>
      <c r="R1465" s="210" t="str">
        <f>IFERROR(__xludf.DUMMYFUNCTION("""COMPUTED_VALUE"""),"1250678")</f>
        <v>1250678</v>
      </c>
      <c r="S1465" s="211" t="str">
        <f>IFERROR(__xludf.DUMMYFUNCTION("""COMPUTED_VALUE"""),"06d600f6")</f>
        <v>06d600f6</v>
      </c>
      <c r="T1465" s="211" t="str">
        <f>IFERROR(__xludf.DUMMYFUNCTION("""COMPUTED_VALUE"""),"Ibu Ida")</f>
        <v>Ibu Ida</v>
      </c>
      <c r="U1465" s="215">
        <f>IFERROR(__xludf.DUMMYFUNCTION("""COMPUTED_VALUE"""),45946.64258101852)</f>
        <v>45946.64258</v>
      </c>
      <c r="V1465" s="211" t="str">
        <f>IFERROR(__xludf.DUMMYFUNCTION("""COMPUTED_VALUE"""),"Wonoayu rt 1 rw 4, Kec wonoayu, Kab. Sidoarjo")</f>
        <v>Wonoayu rt 1 rw 4, Kec wonoayu, Kab. Sidoarjo</v>
      </c>
      <c r="W1465" s="211" t="str">
        <f>IFERROR(__xludf.DUMMYFUNCTION("""COMPUTED_VALUE"""),"IN")</f>
        <v>IN</v>
      </c>
      <c r="X1465" s="211"/>
      <c r="AL1465" s="211"/>
      <c r="AM1465" s="211"/>
      <c r="AN1465" s="211"/>
      <c r="AO1465" s="211"/>
      <c r="AP1465" s="215"/>
      <c r="AQ1465" s="218"/>
      <c r="AR1465" s="211"/>
    </row>
    <row r="1466">
      <c r="A1466" s="210" t="str">
        <f>IFERROR(__xludf.DUMMYFUNCTION("""COMPUTED_VALUE"""),"082561080")</f>
        <v>082561080</v>
      </c>
      <c r="B1466" s="210" t="str">
        <f>IFERROR(__xludf.DUMMYFUNCTION("""COMPUTED_VALUE"""),"082561080")</f>
        <v>082561080</v>
      </c>
      <c r="C1466" s="213">
        <f>IFERROR(__xludf.DUMMYFUNCTION("""COMPUTED_VALUE"""),45873.536087962966)</f>
        <v>45873.53609</v>
      </c>
      <c r="D1466" s="211" t="str">
        <f>IFERROR(__xludf.DUMMYFUNCTION("""COMPUTED_VALUE"""),"b218b89b")</f>
        <v>b218b89b</v>
      </c>
      <c r="E1466" s="211" t="str">
        <f>IFERROR(__xludf.DUMMYFUNCTION("""COMPUTED_VALUE"""),"PT Harapan Sentosa")</f>
        <v>PT Harapan Sentosa</v>
      </c>
      <c r="F1466" s="211" t="str">
        <f>IFERROR(__xludf.DUMMYFUNCTION("""COMPUTED_VALUE"""),"ef306e54")</f>
        <v>ef306e54</v>
      </c>
      <c r="G1466" s="211" t="str">
        <f>IFERROR(__xludf.DUMMYFUNCTION("""COMPUTED_VALUE"""),"Karbondioksida")</f>
        <v>Karbondioksida</v>
      </c>
      <c r="H1466" s="211" t="str">
        <f>IFERROR(__xludf.DUMMYFUNCTION("""COMPUTED_VALUE"""),"OUT")</f>
        <v>OUT</v>
      </c>
      <c r="I1466" s="211" t="str">
        <f>IFERROR(__xludf.DUMMYFUNCTION("""COMPUTED_VALUE"""),"NORMAL")</f>
        <v>NORMAL</v>
      </c>
      <c r="J1466" s="211">
        <f>IFERROR(__xludf.DUMMYFUNCTION("""COMPUTED_VALUE"""),5.0)</f>
        <v>5</v>
      </c>
      <c r="K1466" s="210" t="str">
        <f>IFERROR(__xludf.DUMMYFUNCTION("""COMPUTED_VALUE"""),"1193 11203 11201 1157 11252")</f>
        <v>1193 11203 11201 1157 11252</v>
      </c>
      <c r="L1466" s="211">
        <f>IFERROR(__xludf.DUMMYFUNCTION("""COMPUTED_VALUE"""),210000.0)</f>
        <v>210000</v>
      </c>
      <c r="M1466" s="211"/>
      <c r="N1466" s="211"/>
      <c r="O1466" s="211"/>
      <c r="Q1466" s="210" t="str">
        <f>IFERROR(__xludf.DUMMYFUNCTION("""COMPUTED_VALUE"""),"4102511419")</f>
        <v>4102511419</v>
      </c>
      <c r="R1466" s="210" t="str">
        <f>IFERROR(__xludf.DUMMYFUNCTION("""COMPUTED_VALUE"""),"4102511419")</f>
        <v>4102511419</v>
      </c>
      <c r="S1466" s="211" t="str">
        <f>IFERROR(__xludf.DUMMYFUNCTION("""COMPUTED_VALUE"""),"b2b5f2c5")</f>
        <v>b2b5f2c5</v>
      </c>
      <c r="T1466" s="211" t="str">
        <f>IFERROR(__xludf.DUMMYFUNCTION("""COMPUTED_VALUE"""),"Bengkel Las Bpk. Ari")</f>
        <v>Bengkel Las Bpk. Ari</v>
      </c>
      <c r="U1466" s="215">
        <f>IFERROR(__xludf.DUMMYFUNCTION("""COMPUTED_VALUE"""),45947.34284722222)</f>
        <v>45947.34285</v>
      </c>
      <c r="V1466" s="211" t="str">
        <f>IFERROR(__xludf.DUMMYFUNCTION("""COMPUTED_VALUE"""),"Sumber Kembar, Wonodadi, Kec. Kutorejo, Kabupaten Mojokerto, Jawa Timur")</f>
        <v>Sumber Kembar, Wonodadi, Kec. Kutorejo, Kabupaten Mojokerto, Jawa Timur</v>
      </c>
      <c r="W1466" s="211" t="str">
        <f>IFERROR(__xludf.DUMMYFUNCTION("""COMPUTED_VALUE"""),"OTHER")</f>
        <v>OTHER</v>
      </c>
      <c r="X1466" s="211"/>
      <c r="AL1466" s="211"/>
      <c r="AM1466" s="211"/>
      <c r="AN1466" s="211"/>
      <c r="AO1466" s="211"/>
      <c r="AP1466" s="215"/>
      <c r="AQ1466" s="218"/>
      <c r="AR1466" s="211"/>
    </row>
    <row r="1467">
      <c r="A1467" s="210" t="str">
        <f>IFERROR(__xludf.DUMMYFUNCTION("""COMPUTED_VALUE"""),"1250491")</f>
        <v>1250491</v>
      </c>
      <c r="B1467" s="210" t="str">
        <f>IFERROR(__xludf.DUMMYFUNCTION("""COMPUTED_VALUE"""),"1250491")</f>
        <v>1250491</v>
      </c>
      <c r="C1467" s="213">
        <f>IFERROR(__xludf.DUMMYFUNCTION("""COMPUTED_VALUE"""),45873.541284722225)</f>
        <v>45873.54128</v>
      </c>
      <c r="D1467" s="211" t="str">
        <f>IFERROR(__xludf.DUMMYFUNCTION("""COMPUTED_VALUE"""),"01158be1")</f>
        <v>01158be1</v>
      </c>
      <c r="E1467" s="211" t="str">
        <f>IFERROR(__xludf.DUMMYFUNCTION("""COMPUTED_VALUE"""),"GYF")</f>
        <v>GYF</v>
      </c>
      <c r="F1467" s="211" t="str">
        <f>IFERROR(__xludf.DUMMYFUNCTION("""COMPUTED_VALUE"""),"8bdbe149")</f>
        <v>8bdbe149</v>
      </c>
      <c r="G1467" s="211" t="str">
        <f>IFERROR(__xludf.DUMMYFUNCTION("""COMPUTED_VALUE"""),"Oksigen 6m3")</f>
        <v>Oksigen 6m3</v>
      </c>
      <c r="H1467" s="211" t="str">
        <f>IFERROR(__xludf.DUMMYFUNCTION("""COMPUTED_VALUE"""),"IN")</f>
        <v>IN</v>
      </c>
      <c r="I1467" s="211" t="str">
        <f>IFERROR(__xludf.DUMMYFUNCTION("""COMPUTED_VALUE"""),"EMPTY")</f>
        <v>EMPTY</v>
      </c>
      <c r="J1467" s="211">
        <f>IFERROR(__xludf.DUMMYFUNCTION("""COMPUTED_VALUE"""),7.0)</f>
        <v>7</v>
      </c>
      <c r="K1467" s="210" t="str">
        <f>IFERROR(__xludf.DUMMYFUNCTION("""COMPUTED_VALUE"""),"1193 11201 11203 1182 1133 11252 1157")</f>
        <v>1193 11201 11203 1182 1133 11252 1157</v>
      </c>
      <c r="L1467" s="211">
        <f>IFERROR(__xludf.DUMMYFUNCTION("""COMPUTED_VALUE"""),0.0)</f>
        <v>0</v>
      </c>
      <c r="M1467" s="211"/>
      <c r="N1467" s="211"/>
      <c r="O1467" s="211"/>
      <c r="Q1467" s="210" t="str">
        <f>IFERROR(__xludf.DUMMYFUNCTION("""COMPUTED_VALUE"""),"1025241460")</f>
        <v>1025241460</v>
      </c>
      <c r="R1467" s="210" t="str">
        <f>IFERROR(__xludf.DUMMYFUNCTION("""COMPUTED_VALUE"""),"1025241460")</f>
        <v>1025241460</v>
      </c>
      <c r="S1467" s="211" t="str">
        <f>IFERROR(__xludf.DUMMYFUNCTION("""COMPUTED_VALUE"""),"8f5ebaea")</f>
        <v>8f5ebaea</v>
      </c>
      <c r="T1467" s="211" t="str">
        <f>IFERROR(__xludf.DUMMYFUNCTION("""COMPUTED_VALUE"""),"PT Hua Zong Mesindo")</f>
        <v>PT Hua Zong Mesindo</v>
      </c>
      <c r="U1467" s="215">
        <f>IFERROR(__xludf.DUMMYFUNCTION("""COMPUTED_VALUE"""),45947.34385416667)</f>
        <v>45947.34385</v>
      </c>
      <c r="V1467" s="211" t="str">
        <f>IFERROR(__xludf.DUMMYFUNCTION("""COMPUTED_VALUE"""),"Jl. Bypass Krian, Sidotemo, Sidomulyo, Kec. Krian, Kabupaten Sidoarjo, Jawa Timur 61262")</f>
        <v>Jl. Bypass Krian, Sidotemo, Sidomulyo, Kec. Krian, Kabupaten Sidoarjo, Jawa Timur 61262</v>
      </c>
      <c r="W1467" s="211" t="str">
        <f>IFERROR(__xludf.DUMMYFUNCTION("""COMPUTED_VALUE"""),"OUT")</f>
        <v>OUT</v>
      </c>
      <c r="X1467" s="211"/>
      <c r="AL1467" s="211"/>
      <c r="AM1467" s="211"/>
      <c r="AN1467" s="211"/>
      <c r="AO1467" s="211"/>
      <c r="AP1467" s="215"/>
      <c r="AQ1467" s="218"/>
      <c r="AR1467" s="211"/>
    </row>
    <row r="1468">
      <c r="A1468" s="210" t="str">
        <f>IFERROR(__xludf.DUMMYFUNCTION("""COMPUTED_VALUE"""),"1250493")</f>
        <v>1250493</v>
      </c>
      <c r="B1468" s="210" t="str">
        <f>IFERROR(__xludf.DUMMYFUNCTION("""COMPUTED_VALUE"""),"1250493")</f>
        <v>1250493</v>
      </c>
      <c r="C1468" s="213">
        <f>IFERROR(__xludf.DUMMYFUNCTION("""COMPUTED_VALUE"""),45873.593460648146)</f>
        <v>45873.59346</v>
      </c>
      <c r="D1468" s="211" t="str">
        <f>IFERROR(__xludf.DUMMYFUNCTION("""COMPUTED_VALUE"""),"b218b89b")</f>
        <v>b218b89b</v>
      </c>
      <c r="E1468" s="211" t="str">
        <f>IFERROR(__xludf.DUMMYFUNCTION("""COMPUTED_VALUE"""),"PT Harapan Sentosa")</f>
        <v>PT Harapan Sentosa</v>
      </c>
      <c r="F1468" s="211" t="str">
        <f>IFERROR(__xludf.DUMMYFUNCTION("""COMPUTED_VALUE"""),"7d2764f1")</f>
        <v>7d2764f1</v>
      </c>
      <c r="G1468" s="211" t="str">
        <f>IFERROR(__xludf.DUMMYFUNCTION("""COMPUTED_VALUE"""),"Oksigen 7m3")</f>
        <v>Oksigen 7m3</v>
      </c>
      <c r="H1468" s="211" t="str">
        <f>IFERROR(__xludf.DUMMYFUNCTION("""COMPUTED_VALUE"""),"IN")</f>
        <v>IN</v>
      </c>
      <c r="I1468" s="211" t="str">
        <f>IFERROR(__xludf.DUMMYFUNCTION("""COMPUTED_VALUE"""),"EMPTY")</f>
        <v>EMPTY</v>
      </c>
      <c r="J1468" s="211">
        <f>IFERROR(__xludf.DUMMYFUNCTION("""COMPUTED_VALUE"""),2.0)</f>
        <v>2</v>
      </c>
      <c r="K1468" s="210" t="str">
        <f>IFERROR(__xludf.DUMMYFUNCTION("""COMPUTED_VALUE"""),"11139 11161")</f>
        <v>11139 11161</v>
      </c>
      <c r="L1468" s="211">
        <f>IFERROR(__xludf.DUMMYFUNCTION("""COMPUTED_VALUE"""),0.0)</f>
        <v>0</v>
      </c>
      <c r="M1468" s="211"/>
      <c r="N1468" s="211"/>
      <c r="O1468" s="211"/>
      <c r="Q1468" s="210" t="str">
        <f>IFERROR(__xludf.DUMMYFUNCTION("""COMPUTED_VALUE"""),"102551468")</f>
        <v>102551468</v>
      </c>
      <c r="R1468" s="210" t="str">
        <f>IFERROR(__xludf.DUMMYFUNCTION("""COMPUTED_VALUE"""),"102551468")</f>
        <v>102551468</v>
      </c>
      <c r="S1468" s="211" t="str">
        <f>IFERROR(__xludf.DUMMYFUNCTION("""COMPUTED_VALUE"""),"06d600f6")</f>
        <v>06d600f6</v>
      </c>
      <c r="T1468" s="211" t="str">
        <f>IFERROR(__xludf.DUMMYFUNCTION("""COMPUTED_VALUE"""),"Ibu Ida")</f>
        <v>Ibu Ida</v>
      </c>
      <c r="U1468" s="215">
        <f>IFERROR(__xludf.DUMMYFUNCTION("""COMPUTED_VALUE"""),45947.34658564815)</f>
        <v>45947.34659</v>
      </c>
      <c r="V1468" s="211" t="str">
        <f>IFERROR(__xludf.DUMMYFUNCTION("""COMPUTED_VALUE"""),"Wonoayu rt 1 rw 4, Kec wonoayu, Kab. Sidoarjo")</f>
        <v>Wonoayu rt 1 rw 4, Kec wonoayu, Kab. Sidoarjo</v>
      </c>
      <c r="W1468" s="211" t="str">
        <f>IFERROR(__xludf.DUMMYFUNCTION("""COMPUTED_VALUE"""),"OUT")</f>
        <v>OUT</v>
      </c>
      <c r="X1468" s="211"/>
      <c r="AL1468" s="211"/>
      <c r="AM1468" s="211"/>
      <c r="AN1468" s="211"/>
      <c r="AO1468" s="211"/>
      <c r="AP1468" s="215"/>
      <c r="AQ1468" s="218"/>
      <c r="AR1468" s="211"/>
    </row>
    <row r="1469">
      <c r="A1469" s="210" t="str">
        <f>IFERROR(__xludf.DUMMYFUNCTION("""COMPUTED_VALUE"""),"1250493")</f>
        <v>1250493</v>
      </c>
      <c r="B1469" s="210" t="str">
        <f>IFERROR(__xludf.DUMMYFUNCTION("""COMPUTED_VALUE"""),"1250493")</f>
        <v>1250493</v>
      </c>
      <c r="C1469" s="213">
        <f>IFERROR(__xludf.DUMMYFUNCTION("""COMPUTED_VALUE"""),45873.593460648146)</f>
        <v>45873.59346</v>
      </c>
      <c r="D1469" s="211" t="str">
        <f>IFERROR(__xludf.DUMMYFUNCTION("""COMPUTED_VALUE"""),"b218b89b")</f>
        <v>b218b89b</v>
      </c>
      <c r="E1469" s="211" t="str">
        <f>IFERROR(__xludf.DUMMYFUNCTION("""COMPUTED_VALUE"""),"PT Harapan Sentosa")</f>
        <v>PT Harapan Sentosa</v>
      </c>
      <c r="F1469" s="211" t="str">
        <f>IFERROR(__xludf.DUMMYFUNCTION("""COMPUTED_VALUE"""),"ef306e54")</f>
        <v>ef306e54</v>
      </c>
      <c r="G1469" s="211" t="str">
        <f>IFERROR(__xludf.DUMMYFUNCTION("""COMPUTED_VALUE"""),"Karbondioksida")</f>
        <v>Karbondioksida</v>
      </c>
      <c r="H1469" s="211" t="str">
        <f>IFERROR(__xludf.DUMMYFUNCTION("""COMPUTED_VALUE"""),"IN")</f>
        <v>IN</v>
      </c>
      <c r="I1469" s="211" t="str">
        <f>IFERROR(__xludf.DUMMYFUNCTION("""COMPUTED_VALUE"""),"EMPTY")</f>
        <v>EMPTY</v>
      </c>
      <c r="J1469" s="211">
        <f>IFERROR(__xludf.DUMMYFUNCTION("""COMPUTED_VALUE"""),3.0)</f>
        <v>3</v>
      </c>
      <c r="K1469" s="210" t="str">
        <f>IFERROR(__xludf.DUMMYFUNCTION("""COMPUTED_VALUE"""),"13010 13012 13020")</f>
        <v>13010 13012 13020</v>
      </c>
      <c r="L1469" s="211">
        <f>IFERROR(__xludf.DUMMYFUNCTION("""COMPUTED_VALUE"""),0.0)</f>
        <v>0</v>
      </c>
      <c r="M1469" s="211"/>
      <c r="N1469" s="211"/>
      <c r="O1469" s="211"/>
      <c r="Q1469" s="210" t="str">
        <f>IFERROR(__xludf.DUMMYFUNCTION("""COMPUTED_VALUE"""),"1025151469")</f>
        <v>1025151469</v>
      </c>
      <c r="R1469" s="210" t="str">
        <f>IFERROR(__xludf.DUMMYFUNCTION("""COMPUTED_VALUE"""),"1025151469")</f>
        <v>1025151469</v>
      </c>
      <c r="S1469" s="211" t="str">
        <f>IFERROR(__xludf.DUMMYFUNCTION("""COMPUTED_VALUE"""),"b218b89b")</f>
        <v>b218b89b</v>
      </c>
      <c r="T1469" s="211" t="str">
        <f>IFERROR(__xludf.DUMMYFUNCTION("""COMPUTED_VALUE"""),"PT Harapan Sentosa")</f>
        <v>PT Harapan Sentosa</v>
      </c>
      <c r="U1469" s="215">
        <f>IFERROR(__xludf.DUMMYFUNCTION("""COMPUTED_VALUE"""),45947.415914351855)</f>
        <v>45947.41591</v>
      </c>
      <c r="V1469" s="211" t="str">
        <f>IFERROR(__xludf.DUMMYFUNCTION("""COMPUTED_VALUE"""),"Seketi, Jl. Purboyo II Selatan, RT.02/RW.02, Seketi, Kec. BalongBendo, Kabupaten Sidoarjo, Jawa Timur 61263")</f>
        <v>Seketi, Jl. Purboyo II Selatan, RT.02/RW.02, Seketi, Kec. BalongBendo, Kabupaten Sidoarjo, Jawa Timur 61263</v>
      </c>
      <c r="W1469" s="211" t="str">
        <f>IFERROR(__xludf.DUMMYFUNCTION("""COMPUTED_VALUE"""),"OUT")</f>
        <v>OUT</v>
      </c>
      <c r="X1469" s="211"/>
      <c r="AL1469" s="211"/>
      <c r="AM1469" s="211"/>
      <c r="AN1469" s="211"/>
      <c r="AO1469" s="211"/>
      <c r="AP1469" s="215"/>
      <c r="AQ1469" s="218"/>
      <c r="AR1469" s="211"/>
    </row>
    <row r="1470">
      <c r="A1470" s="210" t="str">
        <f>IFERROR(__xludf.DUMMYFUNCTION("""COMPUTED_VALUE"""),"1250492")</f>
        <v>1250492</v>
      </c>
      <c r="B1470" s="210" t="str">
        <f>IFERROR(__xludf.DUMMYFUNCTION("""COMPUTED_VALUE"""),"1250492")</f>
        <v>1250492</v>
      </c>
      <c r="C1470" s="213">
        <f>IFERROR(__xludf.DUMMYFUNCTION("""COMPUTED_VALUE"""),45873.59543981482)</f>
        <v>45873.59544</v>
      </c>
      <c r="D1470" s="211" t="str">
        <f>IFERROR(__xludf.DUMMYFUNCTION("""COMPUTED_VALUE"""),"196b24da")</f>
        <v>196b24da</v>
      </c>
      <c r="E1470" s="211" t="str">
        <f>IFERROR(__xludf.DUMMYFUNCTION("""COMPUTED_VALUE"""),"PT Samudra Cipta Enjineering")</f>
        <v>PT Samudra Cipta Enjineering</v>
      </c>
      <c r="F1470" s="211" t="str">
        <f>IFERROR(__xludf.DUMMYFUNCTION("""COMPUTED_VALUE"""),"b7a8fff1")</f>
        <v>b7a8fff1</v>
      </c>
      <c r="G1470" s="211" t="str">
        <f>IFERROR(__xludf.DUMMYFUNCTION("""COMPUTED_VALUE"""),"LPG 50kg")</f>
        <v>LPG 50kg</v>
      </c>
      <c r="H1470" s="211" t="str">
        <f>IFERROR(__xludf.DUMMYFUNCTION("""COMPUTED_VALUE"""),"IN")</f>
        <v>IN</v>
      </c>
      <c r="I1470" s="211" t="str">
        <f>IFERROR(__xludf.DUMMYFUNCTION("""COMPUTED_VALUE"""),"EMPTY")</f>
        <v>EMPTY</v>
      </c>
      <c r="J1470" s="211">
        <f>IFERROR(__xludf.DUMMYFUNCTION("""COMPUTED_VALUE"""),2.0)</f>
        <v>2</v>
      </c>
      <c r="K1470" s="211"/>
      <c r="L1470" s="211">
        <f>IFERROR(__xludf.DUMMYFUNCTION("""COMPUTED_VALUE"""),0.0)</f>
        <v>0</v>
      </c>
      <c r="M1470" s="211"/>
      <c r="N1470" s="211"/>
      <c r="O1470" s="211"/>
      <c r="Q1470" s="210" t="str">
        <f>IFERROR(__xludf.DUMMYFUNCTION("""COMPUTED_VALUE"""),"1025581470")</f>
        <v>1025581470</v>
      </c>
      <c r="R1470" s="210" t="str">
        <f>IFERROR(__xludf.DUMMYFUNCTION("""COMPUTED_VALUE"""),"1025581470")</f>
        <v>1025581470</v>
      </c>
      <c r="S1470" s="211" t="str">
        <f>IFERROR(__xludf.DUMMYFUNCTION("""COMPUTED_VALUE"""),"e86baf3b")</f>
        <v>e86baf3b</v>
      </c>
      <c r="T1470" s="211" t="str">
        <f>IFERROR(__xludf.DUMMYFUNCTION("""COMPUTED_VALUE"""),"PT GEMILANG CIPTA WAWASAN")</f>
        <v>PT GEMILANG CIPTA WAWASAN</v>
      </c>
      <c r="U1470" s="215">
        <f>IFERROR(__xludf.DUMMYFUNCTION("""COMPUTED_VALUE"""),45947.41853009259)</f>
        <v>45947.41853</v>
      </c>
      <c r="V1470" s="211" t="str">
        <f>IFERROR(__xludf.DUMMYFUNCTION("""COMPUTED_VALUE"""),"JL TEBET RAYA, 2A, TEBET BARAT, TEBET, KOTA ADM, JAKARTA SELATAN, DKI JAKARTA")</f>
        <v>JL TEBET RAYA, 2A, TEBET BARAT, TEBET, KOTA ADM, JAKARTA SELATAN, DKI JAKARTA</v>
      </c>
      <c r="W1470" s="211" t="str">
        <f>IFERROR(__xludf.DUMMYFUNCTION("""COMPUTED_VALUE"""),"OUT")</f>
        <v>OUT</v>
      </c>
      <c r="X1470" s="211"/>
      <c r="AL1470" s="211"/>
      <c r="AM1470" s="211"/>
      <c r="AN1470" s="211"/>
      <c r="AO1470" s="211"/>
      <c r="AP1470" s="215"/>
      <c r="AQ1470" s="218"/>
      <c r="AR1470" s="211"/>
    </row>
    <row r="1471">
      <c r="A1471" s="210" t="str">
        <f>IFERROR(__xludf.DUMMYFUNCTION("""COMPUTED_VALUE"""),"0825221082")</f>
        <v>0825221082</v>
      </c>
      <c r="B1471" s="210" t="str">
        <f>IFERROR(__xludf.DUMMYFUNCTION("""COMPUTED_VALUE"""),"0825221082")</f>
        <v>0825221082</v>
      </c>
      <c r="C1471" s="213">
        <f>IFERROR(__xludf.DUMMYFUNCTION("""COMPUTED_VALUE"""),45874.41515046296)</f>
        <v>45874.41515</v>
      </c>
      <c r="D1471" s="211" t="str">
        <f>IFERROR(__xludf.DUMMYFUNCTION("""COMPUTED_VALUE"""),"ce83e171")</f>
        <v>ce83e171</v>
      </c>
      <c r="E1471" s="211" t="str">
        <f>IFERROR(__xludf.DUMMYFUNCTION("""COMPUTED_VALUE"""),"Bpk. Sulaiman")</f>
        <v>Bpk. Sulaiman</v>
      </c>
      <c r="F1471" s="211" t="str">
        <f>IFERROR(__xludf.DUMMYFUNCTION("""COMPUTED_VALUE"""),"7d2764f1")</f>
        <v>7d2764f1</v>
      </c>
      <c r="G1471" s="211" t="str">
        <f>IFERROR(__xludf.DUMMYFUNCTION("""COMPUTED_VALUE"""),"Oksigen 7m3")</f>
        <v>Oksigen 7m3</v>
      </c>
      <c r="H1471" s="211" t="str">
        <f>IFERROR(__xludf.DUMMYFUNCTION("""COMPUTED_VALUE"""),"OUT")</f>
        <v>OUT</v>
      </c>
      <c r="I1471" s="211" t="str">
        <f>IFERROR(__xludf.DUMMYFUNCTION("""COMPUTED_VALUE"""),"NORMAL")</f>
        <v>NORMAL</v>
      </c>
      <c r="J1471" s="211">
        <f>IFERROR(__xludf.DUMMYFUNCTION("""COMPUTED_VALUE"""),5.0)</f>
        <v>5</v>
      </c>
      <c r="K1471" s="210" t="str">
        <f>IFERROR(__xludf.DUMMYFUNCTION("""COMPUTED_VALUE"""),"11158 11166 11136 11229 11216")</f>
        <v>11158 11166 11136 11229 11216</v>
      </c>
      <c r="L1471" s="211">
        <f>IFERROR(__xludf.DUMMYFUNCTION("""COMPUTED_VALUE"""),55000.0)</f>
        <v>55000</v>
      </c>
      <c r="M1471" s="211"/>
      <c r="N1471" s="211"/>
      <c r="O1471" s="211"/>
      <c r="Q1471" s="210" t="str">
        <f>IFERROR(__xludf.DUMMYFUNCTION("""COMPUTED_VALUE"""),"1025171471")</f>
        <v>1025171471</v>
      </c>
      <c r="R1471" s="210" t="str">
        <f>IFERROR(__xludf.DUMMYFUNCTION("""COMPUTED_VALUE"""),"1025171471")</f>
        <v>1025171471</v>
      </c>
      <c r="S1471" s="211" t="str">
        <f>IFERROR(__xludf.DUMMYFUNCTION("""COMPUTED_VALUE"""),"182fb0fe")</f>
        <v>182fb0fe</v>
      </c>
      <c r="T1471" s="211" t="str">
        <f>IFERROR(__xludf.DUMMYFUNCTION("""COMPUTED_VALUE"""),"PT Amtech")</f>
        <v>PT Amtech</v>
      </c>
      <c r="U1471" s="215">
        <f>IFERROR(__xludf.DUMMYFUNCTION("""COMPUTED_VALUE"""),45947.41998842593)</f>
        <v>45947.41999</v>
      </c>
      <c r="V1471"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471" s="211" t="str">
        <f>IFERROR(__xludf.DUMMYFUNCTION("""COMPUTED_VALUE"""),"OUT")</f>
        <v>OUT</v>
      </c>
      <c r="X1471" s="211"/>
      <c r="AL1471" s="211"/>
      <c r="AM1471" s="211"/>
      <c r="AN1471" s="211"/>
      <c r="AO1471" s="211"/>
      <c r="AP1471" s="215"/>
      <c r="AQ1471" s="218"/>
      <c r="AR1471" s="211"/>
    </row>
    <row r="1472">
      <c r="A1472" s="210" t="str">
        <f>IFERROR(__xludf.DUMMYFUNCTION("""COMPUTED_VALUE"""),"082531086")</f>
        <v>082531086</v>
      </c>
      <c r="B1472" s="210" t="str">
        <f>IFERROR(__xludf.DUMMYFUNCTION("""COMPUTED_VALUE"""),"082531086")</f>
        <v>082531086</v>
      </c>
      <c r="C1472" s="213">
        <f>IFERROR(__xludf.DUMMYFUNCTION("""COMPUTED_VALUE"""),45874.458449074074)</f>
        <v>45874.45845</v>
      </c>
      <c r="D1472" s="211" t="str">
        <f>IFERROR(__xludf.DUMMYFUNCTION("""COMPUTED_VALUE"""),"dcdf8b31")</f>
        <v>dcdf8b31</v>
      </c>
      <c r="E1472" s="211" t="str">
        <f>IFERROR(__xludf.DUMMYFUNCTION("""COMPUTED_VALUE"""),"Bpk. Samsul (Jetis)")</f>
        <v>Bpk. Samsul (Jetis)</v>
      </c>
      <c r="F1472" s="211" t="str">
        <f>IFERROR(__xludf.DUMMYFUNCTION("""COMPUTED_VALUE"""),"7d2764f1")</f>
        <v>7d2764f1</v>
      </c>
      <c r="G1472" s="211" t="str">
        <f>IFERROR(__xludf.DUMMYFUNCTION("""COMPUTED_VALUE"""),"Oksigen 7m3")</f>
        <v>Oksigen 7m3</v>
      </c>
      <c r="H1472" s="211" t="str">
        <f>IFERROR(__xludf.DUMMYFUNCTION("""COMPUTED_VALUE"""),"OUT")</f>
        <v>OUT</v>
      </c>
      <c r="I1472" s="211" t="str">
        <f>IFERROR(__xludf.DUMMYFUNCTION("""COMPUTED_VALUE"""),"NORMAL")</f>
        <v>NORMAL</v>
      </c>
      <c r="J1472" s="211">
        <f>IFERROR(__xludf.DUMMYFUNCTION("""COMPUTED_VALUE"""),3.0)</f>
        <v>3</v>
      </c>
      <c r="K1472" s="210" t="str">
        <f>IFERROR(__xludf.DUMMYFUNCTION("""COMPUTED_VALUE"""),"11225 11214 11219")</f>
        <v>11225 11214 11219</v>
      </c>
      <c r="L1472" s="211">
        <f>IFERROR(__xludf.DUMMYFUNCTION("""COMPUTED_VALUE"""),75000.0)</f>
        <v>75000</v>
      </c>
      <c r="M1472" s="211"/>
      <c r="N1472" s="211"/>
      <c r="O1472" s="211"/>
      <c r="Q1472" s="210" t="str">
        <f>IFERROR(__xludf.DUMMYFUNCTION("""COMPUTED_VALUE"""),"1250679")</f>
        <v>1250679</v>
      </c>
      <c r="R1472" s="210" t="str">
        <f>IFERROR(__xludf.DUMMYFUNCTION("""COMPUTED_VALUE"""),"1250679")</f>
        <v>1250679</v>
      </c>
      <c r="S1472" s="211" t="str">
        <f>IFERROR(__xludf.DUMMYFUNCTION("""COMPUTED_VALUE"""),"b218b89b")</f>
        <v>b218b89b</v>
      </c>
      <c r="T1472" s="211" t="str">
        <f>IFERROR(__xludf.DUMMYFUNCTION("""COMPUTED_VALUE"""),"PT Harapan Sentosa")</f>
        <v>PT Harapan Sentosa</v>
      </c>
      <c r="U1472" s="215">
        <f>IFERROR(__xludf.DUMMYFUNCTION("""COMPUTED_VALUE"""),45947.55255787037)</f>
        <v>45947.55256</v>
      </c>
      <c r="V1472" s="211" t="str">
        <f>IFERROR(__xludf.DUMMYFUNCTION("""COMPUTED_VALUE"""),"Seketi, Jl. Purboyo II Selatan, RT.02/RW.02, Seketi, Kec. BalongBendo, Kabupaten Sidoarjo, Jawa Timur 61263")</f>
        <v>Seketi, Jl. Purboyo II Selatan, RT.02/RW.02, Seketi, Kec. BalongBendo, Kabupaten Sidoarjo, Jawa Timur 61263</v>
      </c>
      <c r="W1472" s="211" t="str">
        <f>IFERROR(__xludf.DUMMYFUNCTION("""COMPUTED_VALUE"""),"IN")</f>
        <v>IN</v>
      </c>
      <c r="X1472" s="211"/>
      <c r="AL1472" s="211"/>
      <c r="AM1472" s="211"/>
      <c r="AN1472" s="211"/>
      <c r="AO1472" s="211"/>
      <c r="AP1472" s="215"/>
      <c r="AQ1472" s="218"/>
      <c r="AR1472" s="211"/>
    </row>
    <row r="1473">
      <c r="A1473" s="210" t="str">
        <f>IFERROR(__xludf.DUMMYFUNCTION("""COMPUTED_VALUE"""),"1250494")</f>
        <v>1250494</v>
      </c>
      <c r="B1473" s="210" t="str">
        <f>IFERROR(__xludf.DUMMYFUNCTION("""COMPUTED_VALUE"""),"1250494")</f>
        <v>1250494</v>
      </c>
      <c r="C1473" s="213">
        <f>IFERROR(__xludf.DUMMYFUNCTION("""COMPUTED_VALUE"""),45874.47688657408)</f>
        <v>45874.47689</v>
      </c>
      <c r="D1473" s="211" t="str">
        <f>IFERROR(__xludf.DUMMYFUNCTION("""COMPUTED_VALUE"""),"ce83e171")</f>
        <v>ce83e171</v>
      </c>
      <c r="E1473" s="211" t="str">
        <f>IFERROR(__xludf.DUMMYFUNCTION("""COMPUTED_VALUE"""),"Bpk. Sulaiman")</f>
        <v>Bpk. Sulaiman</v>
      </c>
      <c r="F1473" s="211" t="str">
        <f>IFERROR(__xludf.DUMMYFUNCTION("""COMPUTED_VALUE"""),"7d2764f1")</f>
        <v>7d2764f1</v>
      </c>
      <c r="G1473" s="211" t="str">
        <f>IFERROR(__xludf.DUMMYFUNCTION("""COMPUTED_VALUE"""),"Oksigen 7m3")</f>
        <v>Oksigen 7m3</v>
      </c>
      <c r="H1473" s="211" t="str">
        <f>IFERROR(__xludf.DUMMYFUNCTION("""COMPUTED_VALUE"""),"IN")</f>
        <v>IN</v>
      </c>
      <c r="I1473" s="211" t="str">
        <f>IFERROR(__xludf.DUMMYFUNCTION("""COMPUTED_VALUE"""),"EMPTY")</f>
        <v>EMPTY</v>
      </c>
      <c r="J1473" s="211">
        <f>IFERROR(__xludf.DUMMYFUNCTION("""COMPUTED_VALUE"""),2.0)</f>
        <v>2</v>
      </c>
      <c r="K1473" s="210" t="str">
        <f>IFERROR(__xludf.DUMMYFUNCTION("""COMPUTED_VALUE"""),"11173 11217")</f>
        <v>11173 11217</v>
      </c>
      <c r="L1473" s="211">
        <f>IFERROR(__xludf.DUMMYFUNCTION("""COMPUTED_VALUE"""),0.0)</f>
        <v>0</v>
      </c>
      <c r="M1473" s="211"/>
      <c r="N1473" s="211"/>
      <c r="O1473" s="211"/>
      <c r="Q1473" s="210" t="str">
        <f>IFERROR(__xludf.DUMMYFUNCTION("""COMPUTED_VALUE"""),"1250669")</f>
        <v>1250669</v>
      </c>
      <c r="R1473" s="210" t="str">
        <f>IFERROR(__xludf.DUMMYFUNCTION("""COMPUTED_VALUE"""),"1250669")</f>
        <v>1250669</v>
      </c>
      <c r="S1473" s="211" t="str">
        <f>IFERROR(__xludf.DUMMYFUNCTION("""COMPUTED_VALUE"""),"182fb0fe")</f>
        <v>182fb0fe</v>
      </c>
      <c r="T1473" s="211" t="str">
        <f>IFERROR(__xludf.DUMMYFUNCTION("""COMPUTED_VALUE"""),"PT Amtech")</f>
        <v>PT Amtech</v>
      </c>
      <c r="U1473" s="215">
        <f>IFERROR(__xludf.DUMMYFUNCTION("""COMPUTED_VALUE"""),45947.64142361111)</f>
        <v>45947.64142</v>
      </c>
      <c r="V1473"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473" s="211" t="str">
        <f>IFERROR(__xludf.DUMMYFUNCTION("""COMPUTED_VALUE"""),"IN")</f>
        <v>IN</v>
      </c>
      <c r="X1473" s="211"/>
      <c r="AL1473" s="211"/>
      <c r="AM1473" s="211"/>
      <c r="AN1473" s="211"/>
      <c r="AO1473" s="211"/>
      <c r="AP1473" s="215"/>
      <c r="AQ1473" s="218"/>
      <c r="AR1473" s="211"/>
    </row>
    <row r="1474">
      <c r="A1474" s="210" t="str">
        <f>IFERROR(__xludf.DUMMYFUNCTION("""COMPUTED_VALUE"""),"1250494")</f>
        <v>1250494</v>
      </c>
      <c r="B1474" s="210" t="str">
        <f>IFERROR(__xludf.DUMMYFUNCTION("""COMPUTED_VALUE"""),"1250494")</f>
        <v>1250494</v>
      </c>
      <c r="C1474" s="213">
        <f>IFERROR(__xludf.DUMMYFUNCTION("""COMPUTED_VALUE"""),45874.47688657408)</f>
        <v>45874.47689</v>
      </c>
      <c r="D1474" s="211" t="str">
        <f>IFERROR(__xludf.DUMMYFUNCTION("""COMPUTED_VALUE"""),"ce83e171")</f>
        <v>ce83e171</v>
      </c>
      <c r="E1474" s="211" t="str">
        <f>IFERROR(__xludf.DUMMYFUNCTION("""COMPUTED_VALUE"""),"Bpk. Sulaiman")</f>
        <v>Bpk. Sulaiman</v>
      </c>
      <c r="F1474" s="211" t="str">
        <f>IFERROR(__xludf.DUMMYFUNCTION("""COMPUTED_VALUE"""),"f6aab7a9")</f>
        <v>f6aab7a9</v>
      </c>
      <c r="G1474" s="211" t="str">
        <f>IFERROR(__xludf.DUMMYFUNCTION("""COMPUTED_VALUE"""),"Oksigen 6m3 MR")</f>
        <v>Oksigen 6m3 MR</v>
      </c>
      <c r="H1474" s="211" t="str">
        <f>IFERROR(__xludf.DUMMYFUNCTION("""COMPUTED_VALUE"""),"IN")</f>
        <v>IN</v>
      </c>
      <c r="I1474" s="211" t="str">
        <f>IFERROR(__xludf.DUMMYFUNCTION("""COMPUTED_VALUE"""),"EMPTY")</f>
        <v>EMPTY</v>
      </c>
      <c r="J1474" s="211">
        <f>IFERROR(__xludf.DUMMYFUNCTION("""COMPUTED_VALUE"""),2.0)</f>
        <v>2</v>
      </c>
      <c r="K1474" s="210" t="str">
        <f>IFERROR(__xludf.DUMMYFUNCTION("""COMPUTED_VALUE"""),"75 76")</f>
        <v>75 76</v>
      </c>
      <c r="L1474" s="211">
        <f>IFERROR(__xludf.DUMMYFUNCTION("""COMPUTED_VALUE"""),0.0)</f>
        <v>0</v>
      </c>
      <c r="M1474" s="211"/>
      <c r="N1474" s="211"/>
      <c r="O1474" s="211"/>
      <c r="Q1474" s="210" t="str">
        <f>IFERROR(__xludf.DUMMYFUNCTION("""COMPUTED_VALUE"""),"1250690")</f>
        <v>1250690</v>
      </c>
      <c r="R1474" s="210" t="str">
        <f>IFERROR(__xludf.DUMMYFUNCTION("""COMPUTED_VALUE"""),"1250690")</f>
        <v>1250690</v>
      </c>
      <c r="S1474" s="211" t="str">
        <f>IFERROR(__xludf.DUMMYFUNCTION("""COMPUTED_VALUE"""),"440df1db")</f>
        <v>440df1db</v>
      </c>
      <c r="T1474" s="211" t="str">
        <f>IFERROR(__xludf.DUMMYFUNCTION("""COMPUTED_VALUE"""),"PT. Mecca Abadi Sejahtera")</f>
        <v>PT. Mecca Abadi Sejahtera</v>
      </c>
      <c r="U1474" s="215">
        <f>IFERROR(__xludf.DUMMYFUNCTION("""COMPUTED_VALUE"""),45948.45806712963)</f>
        <v>45948.45807</v>
      </c>
      <c r="V1474" s="211" t="str">
        <f>IFERROR(__xludf.DUMMYFUNCTION("""COMPUTED_VALUE"""),"Jl. Raya Sawocangkring, RT.006/RW.002, Sawo, Sawocangkring, Kec. Wonoayu, Kabupaten Sidoarjo, Jawa Timur 61261")</f>
        <v>Jl. Raya Sawocangkring, RT.006/RW.002, Sawo, Sawocangkring, Kec. Wonoayu, Kabupaten Sidoarjo, Jawa Timur 61261</v>
      </c>
      <c r="W1474" s="211" t="str">
        <f>IFERROR(__xludf.DUMMYFUNCTION("""COMPUTED_VALUE"""),"IN")</f>
        <v>IN</v>
      </c>
      <c r="X1474" s="211"/>
      <c r="AL1474" s="211"/>
      <c r="AM1474" s="211"/>
      <c r="AN1474" s="211"/>
      <c r="AO1474" s="211"/>
      <c r="AP1474" s="215"/>
      <c r="AQ1474" s="218"/>
      <c r="AR1474" s="211"/>
    </row>
    <row r="1475">
      <c r="A1475" s="210" t="str">
        <f>IFERROR(__xludf.DUMMYFUNCTION("""COMPUTED_VALUE"""),"0825131087")</f>
        <v>0825131087</v>
      </c>
      <c r="B1475" s="210" t="str">
        <f>IFERROR(__xludf.DUMMYFUNCTION("""COMPUTED_VALUE"""),"0825131087")</f>
        <v>0825131087</v>
      </c>
      <c r="C1475" s="213">
        <f>IFERROR(__xludf.DUMMYFUNCTION("""COMPUTED_VALUE"""),45874.49930555555)</f>
        <v>45874.49931</v>
      </c>
      <c r="D1475" s="211" t="str">
        <f>IFERROR(__xludf.DUMMYFUNCTION("""COMPUTED_VALUE"""),"ec231cc9")</f>
        <v>ec231cc9</v>
      </c>
      <c r="E1475" s="211" t="str">
        <f>IFERROR(__xludf.DUMMYFUNCTION("""COMPUTED_VALUE"""),"Bpk. Kohir (Maintenance Velg)")</f>
        <v>Bpk. Kohir (Maintenance Velg)</v>
      </c>
      <c r="F1475" s="211" t="str">
        <f>IFERROR(__xludf.DUMMYFUNCTION("""COMPUTED_VALUE"""),"ef306e54")</f>
        <v>ef306e54</v>
      </c>
      <c r="G1475" s="211" t="str">
        <f>IFERROR(__xludf.DUMMYFUNCTION("""COMPUTED_VALUE"""),"Karbondioksida")</f>
        <v>Karbondioksida</v>
      </c>
      <c r="H1475" s="211" t="str">
        <f>IFERROR(__xludf.DUMMYFUNCTION("""COMPUTED_VALUE"""),"OUT")</f>
        <v>OUT</v>
      </c>
      <c r="I1475" s="211" t="str">
        <f>IFERROR(__xludf.DUMMYFUNCTION("""COMPUTED_VALUE"""),"NORMAL")</f>
        <v>NORMAL</v>
      </c>
      <c r="J1475" s="211">
        <f>IFERROR(__xludf.DUMMYFUNCTION("""COMPUTED_VALUE"""),1.0)</f>
        <v>1</v>
      </c>
      <c r="K1475" s="210" t="str">
        <f>IFERROR(__xludf.DUMMYFUNCTION("""COMPUTED_VALUE"""),"13011")</f>
        <v>13011</v>
      </c>
      <c r="L1475" s="211">
        <f>IFERROR(__xludf.DUMMYFUNCTION("""COMPUTED_VALUE"""),165000.0)</f>
        <v>165000</v>
      </c>
      <c r="M1475" s="211"/>
      <c r="N1475" s="211"/>
      <c r="O1475" s="211"/>
      <c r="Q1475" s="210" t="str">
        <f>IFERROR(__xludf.DUMMYFUNCTION("""COMPUTED_VALUE"""),"1025231472")</f>
        <v>1025231472</v>
      </c>
      <c r="R1475" s="210" t="str">
        <f>IFERROR(__xludf.DUMMYFUNCTION("""COMPUTED_VALUE"""),"1025231472")</f>
        <v>1025231472</v>
      </c>
      <c r="S1475" s="211" t="str">
        <f>IFERROR(__xludf.DUMMYFUNCTION("""COMPUTED_VALUE"""),"b2b5f2c5")</f>
        <v>b2b5f2c5</v>
      </c>
      <c r="T1475" s="211" t="str">
        <f>IFERROR(__xludf.DUMMYFUNCTION("""COMPUTED_VALUE"""),"Bengkel Las Bpk. Ari")</f>
        <v>Bengkel Las Bpk. Ari</v>
      </c>
      <c r="U1475" s="215">
        <f>IFERROR(__xludf.DUMMYFUNCTION("""COMPUTED_VALUE"""),45948.45922453704)</f>
        <v>45948.45922</v>
      </c>
      <c r="V1475" s="211" t="str">
        <f>IFERROR(__xludf.DUMMYFUNCTION("""COMPUTED_VALUE"""),"Sumber Kembar, Wonodadi, Kec. Kutorejo, Kabupaten Mojokerto, Jawa Timur")</f>
        <v>Sumber Kembar, Wonodadi, Kec. Kutorejo, Kabupaten Mojokerto, Jawa Timur</v>
      </c>
      <c r="W1475" s="211" t="str">
        <f>IFERROR(__xludf.DUMMYFUNCTION("""COMPUTED_VALUE"""),"OUT")</f>
        <v>OUT</v>
      </c>
      <c r="X1475" s="211"/>
      <c r="AL1475" s="211"/>
      <c r="AM1475" s="211"/>
      <c r="AN1475" s="211"/>
      <c r="AO1475" s="211"/>
      <c r="AP1475" s="215"/>
      <c r="AQ1475" s="218"/>
      <c r="AR1475" s="211"/>
    </row>
    <row r="1476">
      <c r="A1476" s="210" t="str">
        <f>IFERROR(__xludf.DUMMYFUNCTION("""COMPUTED_VALUE"""),"0825131087")</f>
        <v>0825131087</v>
      </c>
      <c r="B1476" s="210" t="str">
        <f>IFERROR(__xludf.DUMMYFUNCTION("""COMPUTED_VALUE"""),"0825131087")</f>
        <v>0825131087</v>
      </c>
      <c r="C1476" s="213">
        <f>IFERROR(__xludf.DUMMYFUNCTION("""COMPUTED_VALUE"""),45874.49930555555)</f>
        <v>45874.49931</v>
      </c>
      <c r="D1476" s="211" t="str">
        <f>IFERROR(__xludf.DUMMYFUNCTION("""COMPUTED_VALUE"""),"ec231cc9")</f>
        <v>ec231cc9</v>
      </c>
      <c r="E1476" s="211" t="str">
        <f>IFERROR(__xludf.DUMMYFUNCTION("""COMPUTED_VALUE"""),"Bpk. Kohir (Maintenance Velg)")</f>
        <v>Bpk. Kohir (Maintenance Velg)</v>
      </c>
      <c r="F1476" s="211" t="str">
        <f>IFERROR(__xludf.DUMMYFUNCTION("""COMPUTED_VALUE"""),"8bdbe149")</f>
        <v>8bdbe149</v>
      </c>
      <c r="G1476" s="211" t="str">
        <f>IFERROR(__xludf.DUMMYFUNCTION("""COMPUTED_VALUE"""),"Oksigen 6m3")</f>
        <v>Oksigen 6m3</v>
      </c>
      <c r="H1476" s="211" t="str">
        <f>IFERROR(__xludf.DUMMYFUNCTION("""COMPUTED_VALUE"""),"OUT")</f>
        <v>OUT</v>
      </c>
      <c r="I1476" s="211" t="str">
        <f>IFERROR(__xludf.DUMMYFUNCTION("""COMPUTED_VALUE"""),"NORMAL")</f>
        <v>NORMAL</v>
      </c>
      <c r="J1476" s="211">
        <f>IFERROR(__xludf.DUMMYFUNCTION("""COMPUTED_VALUE"""),4.0)</f>
        <v>4</v>
      </c>
      <c r="K1476" s="210" t="str">
        <f>IFERROR(__xludf.DUMMYFUNCTION("""COMPUTED_VALUE"""),"1129 1146 11114 1136")</f>
        <v>1129 1146 11114 1136</v>
      </c>
      <c r="L1476" s="211">
        <f>IFERROR(__xludf.DUMMYFUNCTION("""COMPUTED_VALUE"""),55000.0)</f>
        <v>55000</v>
      </c>
      <c r="M1476" s="211"/>
      <c r="N1476" s="211"/>
      <c r="O1476" s="211"/>
      <c r="Q1476" s="210" t="str">
        <f>IFERROR(__xludf.DUMMYFUNCTION("""COMPUTED_VALUE"""),"102511476")</f>
        <v>102511476</v>
      </c>
      <c r="R1476" s="210" t="str">
        <f>IFERROR(__xludf.DUMMYFUNCTION("""COMPUTED_VALUE"""),"102511476")</f>
        <v>102511476</v>
      </c>
      <c r="S1476" s="211" t="str">
        <f>IFERROR(__xludf.DUMMYFUNCTION("""COMPUTED_VALUE"""),"ca4876e2")</f>
        <v>ca4876e2</v>
      </c>
      <c r="T1476" s="211" t="str">
        <f>IFERROR(__xludf.DUMMYFUNCTION("""COMPUTED_VALUE"""),"Bengkel Mustika Mojosari")</f>
        <v>Bengkel Mustika Mojosari</v>
      </c>
      <c r="U1476" s="215">
        <f>IFERROR(__xludf.DUMMYFUNCTION("""COMPUTED_VALUE"""),45948.46082175926)</f>
        <v>45948.46082</v>
      </c>
      <c r="V1476" s="211" t="str">
        <f>IFERROR(__xludf.DUMMYFUNCTION("""COMPUTED_VALUE"""),"Jl. Kusuma Bangsa, Bulanan, Randubango, Kec. Mojosari, Kabupaten Mojokerto, Jawa Timur 61382")</f>
        <v>Jl. Kusuma Bangsa, Bulanan, Randubango, Kec. Mojosari, Kabupaten Mojokerto, Jawa Timur 61382</v>
      </c>
      <c r="W1476" s="211" t="str">
        <f>IFERROR(__xludf.DUMMYFUNCTION("""COMPUTED_VALUE"""),"OUT")</f>
        <v>OUT</v>
      </c>
      <c r="X1476" s="211"/>
      <c r="AL1476" s="211"/>
      <c r="AM1476" s="211"/>
      <c r="AN1476" s="211"/>
      <c r="AO1476" s="211"/>
      <c r="AP1476" s="215"/>
      <c r="AQ1476" s="218"/>
      <c r="AR1476" s="211"/>
    </row>
    <row r="1477">
      <c r="A1477" s="210" t="str">
        <f>IFERROR(__xludf.DUMMYFUNCTION("""COMPUTED_VALUE"""),"0825211089")</f>
        <v>0825211089</v>
      </c>
      <c r="B1477" s="210" t="str">
        <f>IFERROR(__xludf.DUMMYFUNCTION("""COMPUTED_VALUE"""),"0825211089")</f>
        <v>0825211089</v>
      </c>
      <c r="C1477" s="213">
        <f>IFERROR(__xludf.DUMMYFUNCTION("""COMPUTED_VALUE"""),45874.506944444445)</f>
        <v>45874.50694</v>
      </c>
      <c r="D1477" s="211" t="str">
        <f>IFERROR(__xludf.DUMMYFUNCTION("""COMPUTED_VALUE"""),"5f23ba17")</f>
        <v>5f23ba17</v>
      </c>
      <c r="E1477" s="211" t="str">
        <f>IFERROR(__xludf.DUMMYFUNCTION("""COMPUTED_VALUE"""),"Bpk. Joko (Gresik)")</f>
        <v>Bpk. Joko (Gresik)</v>
      </c>
      <c r="F1477" s="211" t="str">
        <f>IFERROR(__xludf.DUMMYFUNCTION("""COMPUTED_VALUE"""),"ef306e54")</f>
        <v>ef306e54</v>
      </c>
      <c r="G1477" s="211" t="str">
        <f>IFERROR(__xludf.DUMMYFUNCTION("""COMPUTED_VALUE"""),"Karbondioksida")</f>
        <v>Karbondioksida</v>
      </c>
      <c r="H1477" s="211" t="str">
        <f>IFERROR(__xludf.DUMMYFUNCTION("""COMPUTED_VALUE"""),"OUT")</f>
        <v>OUT</v>
      </c>
      <c r="I1477" s="211" t="str">
        <f>IFERROR(__xludf.DUMMYFUNCTION("""COMPUTED_VALUE"""),"NORMAL")</f>
        <v>NORMAL</v>
      </c>
      <c r="J1477" s="211">
        <f>IFERROR(__xludf.DUMMYFUNCTION("""COMPUTED_VALUE"""),1.0)</f>
        <v>1</v>
      </c>
      <c r="K1477" s="210" t="str">
        <f>IFERROR(__xludf.DUMMYFUNCTION("""COMPUTED_VALUE"""),"13023")</f>
        <v>13023</v>
      </c>
      <c r="L1477" s="211">
        <f>IFERROR(__xludf.DUMMYFUNCTION("""COMPUTED_VALUE"""),160000.0)</f>
        <v>160000</v>
      </c>
      <c r="M1477" s="211"/>
      <c r="N1477" s="211"/>
      <c r="O1477" s="211"/>
      <c r="Q1477" s="210" t="str">
        <f>IFERROR(__xludf.DUMMYFUNCTION("""COMPUTED_VALUE"""),"1025331477")</f>
        <v>1025331477</v>
      </c>
      <c r="R1477" s="210" t="str">
        <f>IFERROR(__xludf.DUMMYFUNCTION("""COMPUTED_VALUE"""),"1025331477")</f>
        <v>1025331477</v>
      </c>
      <c r="S1477" s="211" t="str">
        <f>IFERROR(__xludf.DUMMYFUNCTION("""COMPUTED_VALUE"""),"01158be1")</f>
        <v>01158be1</v>
      </c>
      <c r="T1477" s="211" t="str">
        <f>IFERROR(__xludf.DUMMYFUNCTION("""COMPUTED_VALUE"""),"GYF")</f>
        <v>GYF</v>
      </c>
      <c r="U1477" s="215">
        <f>IFERROR(__xludf.DUMMYFUNCTION("""COMPUTED_VALUE"""),45948.46366898148)</f>
        <v>45948.46367</v>
      </c>
      <c r="V1477" s="211" t="str">
        <f>IFERROR(__xludf.DUMMYFUNCTION("""COMPUTED_VALUE"""),"Kangkungan, Lengkong, Kec. Mojoanyar, Kabupaten Mojokerto, Jawa Timur")</f>
        <v>Kangkungan, Lengkong, Kec. Mojoanyar, Kabupaten Mojokerto, Jawa Timur</v>
      </c>
      <c r="W1477" s="211" t="str">
        <f>IFERROR(__xludf.DUMMYFUNCTION("""COMPUTED_VALUE"""),"OUT")</f>
        <v>OUT</v>
      </c>
      <c r="X1477" s="211"/>
      <c r="AL1477" s="211"/>
      <c r="AM1477" s="211"/>
      <c r="AN1477" s="211"/>
      <c r="AO1477" s="211"/>
      <c r="AP1477" s="215"/>
      <c r="AQ1477" s="218"/>
      <c r="AR1477" s="211"/>
    </row>
    <row r="1478">
      <c r="A1478" s="210" t="str">
        <f>IFERROR(__xludf.DUMMYFUNCTION("""COMPUTED_VALUE"""),"0825211089")</f>
        <v>0825211089</v>
      </c>
      <c r="B1478" s="210" t="str">
        <f>IFERROR(__xludf.DUMMYFUNCTION("""COMPUTED_VALUE"""),"0825211089")</f>
        <v>0825211089</v>
      </c>
      <c r="C1478" s="213">
        <f>IFERROR(__xludf.DUMMYFUNCTION("""COMPUTED_VALUE"""),45874.506944444445)</f>
        <v>45874.50694</v>
      </c>
      <c r="D1478" s="211" t="str">
        <f>IFERROR(__xludf.DUMMYFUNCTION("""COMPUTED_VALUE"""),"5f23ba17")</f>
        <v>5f23ba17</v>
      </c>
      <c r="E1478" s="211" t="str">
        <f>IFERROR(__xludf.DUMMYFUNCTION("""COMPUTED_VALUE"""),"Bpk. Joko (Gresik)")</f>
        <v>Bpk. Joko (Gresik)</v>
      </c>
      <c r="F1478" s="211" t="str">
        <f>IFERROR(__xludf.DUMMYFUNCTION("""COMPUTED_VALUE"""),"be525f3b")</f>
        <v>be525f3b</v>
      </c>
      <c r="G1478" s="211" t="str">
        <f>IFERROR(__xludf.DUMMYFUNCTION("""COMPUTED_VALUE"""),"LPG 12kg")</f>
        <v>LPG 12kg</v>
      </c>
      <c r="H1478" s="211" t="str">
        <f>IFERROR(__xludf.DUMMYFUNCTION("""COMPUTED_VALUE"""),"OUT")</f>
        <v>OUT</v>
      </c>
      <c r="I1478" s="211" t="str">
        <f>IFERROR(__xludf.DUMMYFUNCTION("""COMPUTED_VALUE"""),"NORMAL")</f>
        <v>NORMAL</v>
      </c>
      <c r="J1478" s="211">
        <f>IFERROR(__xludf.DUMMYFUNCTION("""COMPUTED_VALUE"""),3.0)</f>
        <v>3</v>
      </c>
      <c r="K1478" s="211"/>
      <c r="L1478" s="211">
        <f>IFERROR(__xludf.DUMMYFUNCTION("""COMPUTED_VALUE"""),200000.0)</f>
        <v>200000</v>
      </c>
      <c r="M1478" s="211"/>
      <c r="N1478" s="211"/>
      <c r="O1478" s="211"/>
      <c r="Q1478" s="210" t="str">
        <f>IFERROR(__xludf.DUMMYFUNCTION("""COMPUTED_VALUE"""),"102521478")</f>
        <v>102521478</v>
      </c>
      <c r="R1478" s="210" t="str">
        <f>IFERROR(__xludf.DUMMYFUNCTION("""COMPUTED_VALUE"""),"102521478")</f>
        <v>102521478</v>
      </c>
      <c r="S1478" s="211" t="str">
        <f>IFERROR(__xludf.DUMMYFUNCTION("""COMPUTED_VALUE"""),"3a48ba8b")</f>
        <v>3a48ba8b</v>
      </c>
      <c r="T1478" s="211" t="str">
        <f>IFERROR(__xludf.DUMMYFUNCTION("""COMPUTED_VALUE"""),"Bpk. Kacung")</f>
        <v>Bpk. Kacung</v>
      </c>
      <c r="U1478" s="215">
        <f>IFERROR(__xludf.DUMMYFUNCTION("""COMPUTED_VALUE"""),45948.52778935185)</f>
        <v>45948.52779</v>
      </c>
      <c r="V1478" s="211" t="str">
        <f>IFERROR(__xludf.DUMMYFUNCTION("""COMPUTED_VALUE"""),"Parengan RT. 17 RW 04 Kraton Krian Sidoarjo")</f>
        <v>Parengan RT. 17 RW 04 Kraton Krian Sidoarjo</v>
      </c>
      <c r="W1478" s="211" t="str">
        <f>IFERROR(__xludf.DUMMYFUNCTION("""COMPUTED_VALUE"""),"OUT")</f>
        <v>OUT</v>
      </c>
      <c r="X1478" s="211"/>
      <c r="AL1478" s="211"/>
      <c r="AM1478" s="211"/>
      <c r="AN1478" s="211"/>
      <c r="AO1478" s="211"/>
      <c r="AP1478" s="215"/>
      <c r="AQ1478" s="218"/>
      <c r="AR1478" s="211"/>
    </row>
    <row r="1479">
      <c r="A1479" s="210" t="str">
        <f>IFERROR(__xludf.DUMMYFUNCTION("""COMPUTED_VALUE"""),"1250495")</f>
        <v>1250495</v>
      </c>
      <c r="B1479" s="210" t="str">
        <f>IFERROR(__xludf.DUMMYFUNCTION("""COMPUTED_VALUE"""),"1250495")</f>
        <v>1250495</v>
      </c>
      <c r="C1479" s="213">
        <f>IFERROR(__xludf.DUMMYFUNCTION("""COMPUTED_VALUE"""),45874.58673611111)</f>
        <v>45874.58674</v>
      </c>
      <c r="D1479" s="211" t="str">
        <f>IFERROR(__xludf.DUMMYFUNCTION("""COMPUTED_VALUE"""),"dcdf8b31")</f>
        <v>dcdf8b31</v>
      </c>
      <c r="E1479" s="211" t="str">
        <f>IFERROR(__xludf.DUMMYFUNCTION("""COMPUTED_VALUE"""),"Bpk. Samsul (Jetis)")</f>
        <v>Bpk. Samsul (Jetis)</v>
      </c>
      <c r="F1479" s="211" t="str">
        <f>IFERROR(__xludf.DUMMYFUNCTION("""COMPUTED_VALUE"""),"7d2764f1")</f>
        <v>7d2764f1</v>
      </c>
      <c r="G1479" s="211" t="str">
        <f>IFERROR(__xludf.DUMMYFUNCTION("""COMPUTED_VALUE"""),"Oksigen 7m3")</f>
        <v>Oksigen 7m3</v>
      </c>
      <c r="H1479" s="211" t="str">
        <f>IFERROR(__xludf.DUMMYFUNCTION("""COMPUTED_VALUE"""),"IN")</f>
        <v>IN</v>
      </c>
      <c r="I1479" s="211" t="str">
        <f>IFERROR(__xludf.DUMMYFUNCTION("""COMPUTED_VALUE"""),"EMPTY")</f>
        <v>EMPTY</v>
      </c>
      <c r="J1479" s="211">
        <f>IFERROR(__xludf.DUMMYFUNCTION("""COMPUTED_VALUE"""),3.0)</f>
        <v>3</v>
      </c>
      <c r="K1479" s="210" t="str">
        <f>IFERROR(__xludf.DUMMYFUNCTION("""COMPUTED_VALUE"""),"1189 11125 1139")</f>
        <v>1189 11125 1139</v>
      </c>
      <c r="L1479" s="211">
        <f>IFERROR(__xludf.DUMMYFUNCTION("""COMPUTED_VALUE"""),0.0)</f>
        <v>0</v>
      </c>
      <c r="M1479" s="211"/>
      <c r="N1479" s="211"/>
      <c r="O1479" s="211"/>
      <c r="Q1479" s="210" t="str">
        <f>IFERROR(__xludf.DUMMYFUNCTION("""COMPUTED_VALUE"""),"1250692")</f>
        <v>1250692</v>
      </c>
      <c r="R1479" s="210" t="str">
        <f>IFERROR(__xludf.DUMMYFUNCTION("""COMPUTED_VALUE"""),"1250692")</f>
        <v>1250692</v>
      </c>
      <c r="S1479" s="211" t="str">
        <f>IFERROR(__xludf.DUMMYFUNCTION("""COMPUTED_VALUE"""),"3a48ba8b")</f>
        <v>3a48ba8b</v>
      </c>
      <c r="T1479" s="211" t="str">
        <f>IFERROR(__xludf.DUMMYFUNCTION("""COMPUTED_VALUE"""),"Bpk. Kacung")</f>
        <v>Bpk. Kacung</v>
      </c>
      <c r="U1479" s="215">
        <f>IFERROR(__xludf.DUMMYFUNCTION("""COMPUTED_VALUE"""),45948.5753125)</f>
        <v>45948.57531</v>
      </c>
      <c r="V1479" s="211" t="str">
        <f>IFERROR(__xludf.DUMMYFUNCTION("""COMPUTED_VALUE"""),"Parengan RT. 17 RW 04 Kraton Krian Sidoarjo")</f>
        <v>Parengan RT. 17 RW 04 Kraton Krian Sidoarjo</v>
      </c>
      <c r="W1479" s="211" t="str">
        <f>IFERROR(__xludf.DUMMYFUNCTION("""COMPUTED_VALUE"""),"IN")</f>
        <v>IN</v>
      </c>
      <c r="X1479" s="211"/>
      <c r="AL1479" s="211"/>
      <c r="AM1479" s="211"/>
      <c r="AN1479" s="211"/>
      <c r="AO1479" s="211"/>
      <c r="AP1479" s="215"/>
      <c r="AQ1479" s="218"/>
      <c r="AR1479" s="211"/>
    </row>
    <row r="1480">
      <c r="A1480" s="210" t="str">
        <f>IFERROR(__xludf.DUMMYFUNCTION("""COMPUTED_VALUE"""),"1250496")</f>
        <v>1250496</v>
      </c>
      <c r="B1480" s="210" t="str">
        <f>IFERROR(__xludf.DUMMYFUNCTION("""COMPUTED_VALUE"""),"1250496")</f>
        <v>1250496</v>
      </c>
      <c r="C1480" s="213">
        <f>IFERROR(__xludf.DUMMYFUNCTION("""COMPUTED_VALUE"""),45874.5890625)</f>
        <v>45874.58906</v>
      </c>
      <c r="D1480" s="211" t="str">
        <f>IFERROR(__xludf.DUMMYFUNCTION("""COMPUTED_VALUE"""),"5f23ba17")</f>
        <v>5f23ba17</v>
      </c>
      <c r="E1480" s="211" t="str">
        <f>IFERROR(__xludf.DUMMYFUNCTION("""COMPUTED_VALUE"""),"Bpk. Joko (Gresik)")</f>
        <v>Bpk. Joko (Gresik)</v>
      </c>
      <c r="F1480" s="211" t="str">
        <f>IFERROR(__xludf.DUMMYFUNCTION("""COMPUTED_VALUE"""),"f6aab7a9")</f>
        <v>f6aab7a9</v>
      </c>
      <c r="G1480" s="211" t="str">
        <f>IFERROR(__xludf.DUMMYFUNCTION("""COMPUTED_VALUE"""),"Oksigen 6m3 MR")</f>
        <v>Oksigen 6m3 MR</v>
      </c>
      <c r="H1480" s="211" t="str">
        <f>IFERROR(__xludf.DUMMYFUNCTION("""COMPUTED_VALUE"""),"IN")</f>
        <v>IN</v>
      </c>
      <c r="I1480" s="211" t="str">
        <f>IFERROR(__xludf.DUMMYFUNCTION("""COMPUTED_VALUE"""),"EMPTY")</f>
        <v>EMPTY</v>
      </c>
      <c r="J1480" s="211">
        <f>IFERROR(__xludf.DUMMYFUNCTION("""COMPUTED_VALUE"""),5.0)</f>
        <v>5</v>
      </c>
      <c r="K1480" s="211"/>
      <c r="L1480" s="211">
        <f>IFERROR(__xludf.DUMMYFUNCTION("""COMPUTED_VALUE"""),0.0)</f>
        <v>0</v>
      </c>
      <c r="M1480" s="211"/>
      <c r="N1480" s="211"/>
      <c r="O1480" s="211"/>
      <c r="Q1480" s="210" t="str">
        <f>IFERROR(__xludf.DUMMYFUNCTION("""COMPUTED_VALUE"""),"1025591479")</f>
        <v>1025591479</v>
      </c>
      <c r="R1480" s="210" t="str">
        <f>IFERROR(__xludf.DUMMYFUNCTION("""COMPUTED_VALUE"""),"1025591479")</f>
        <v>1025591479</v>
      </c>
      <c r="S1480" s="211" t="str">
        <f>IFERROR(__xludf.DUMMYFUNCTION("""COMPUTED_VALUE"""),"e86baf3b")</f>
        <v>e86baf3b</v>
      </c>
      <c r="T1480" s="211" t="str">
        <f>IFERROR(__xludf.DUMMYFUNCTION("""COMPUTED_VALUE"""),"PT GEMILANG CIPTA WAWASAN")</f>
        <v>PT GEMILANG CIPTA WAWASAN</v>
      </c>
      <c r="U1480" s="215">
        <f>IFERROR(__xludf.DUMMYFUNCTION("""COMPUTED_VALUE"""),45948.5762962963)</f>
        <v>45948.5763</v>
      </c>
      <c r="V1480" s="211" t="str">
        <f>IFERROR(__xludf.DUMMYFUNCTION("""COMPUTED_VALUE"""),"JL TEBET RAYA, 2A, TEBET BARAT, TEBET, KOTA ADM, JAKARTA SELATAN, DKI JAKARTA")</f>
        <v>JL TEBET RAYA, 2A, TEBET BARAT, TEBET, KOTA ADM, JAKARTA SELATAN, DKI JAKARTA</v>
      </c>
      <c r="W1480" s="211" t="str">
        <f>IFERROR(__xludf.DUMMYFUNCTION("""COMPUTED_VALUE"""),"OUT")</f>
        <v>OUT</v>
      </c>
      <c r="X1480" s="211"/>
      <c r="AL1480" s="211"/>
      <c r="AM1480" s="211"/>
      <c r="AN1480" s="211"/>
      <c r="AO1480" s="211"/>
      <c r="AP1480" s="215"/>
      <c r="AQ1480" s="218"/>
      <c r="AR1480" s="211"/>
    </row>
    <row r="1481">
      <c r="A1481" s="210" t="str">
        <f>IFERROR(__xludf.DUMMYFUNCTION("""COMPUTED_VALUE"""),"1250496")</f>
        <v>1250496</v>
      </c>
      <c r="B1481" s="210" t="str">
        <f>IFERROR(__xludf.DUMMYFUNCTION("""COMPUTED_VALUE"""),"1250496")</f>
        <v>1250496</v>
      </c>
      <c r="C1481" s="213">
        <f>IFERROR(__xludf.DUMMYFUNCTION("""COMPUTED_VALUE"""),45874.5890625)</f>
        <v>45874.58906</v>
      </c>
      <c r="D1481" s="211" t="str">
        <f>IFERROR(__xludf.DUMMYFUNCTION("""COMPUTED_VALUE"""),"5f23ba17")</f>
        <v>5f23ba17</v>
      </c>
      <c r="E1481" s="211" t="str">
        <f>IFERROR(__xludf.DUMMYFUNCTION("""COMPUTED_VALUE"""),"Bpk. Joko (Gresik)")</f>
        <v>Bpk. Joko (Gresik)</v>
      </c>
      <c r="F1481" s="211" t="str">
        <f>IFERROR(__xludf.DUMMYFUNCTION("""COMPUTED_VALUE"""),"439cf836")</f>
        <v>439cf836</v>
      </c>
      <c r="G1481" s="211" t="str">
        <f>IFERROR(__xludf.DUMMYFUNCTION("""COMPUTED_VALUE"""),"Karbondioksida MR")</f>
        <v>Karbondioksida MR</v>
      </c>
      <c r="H1481" s="211" t="str">
        <f>IFERROR(__xludf.DUMMYFUNCTION("""COMPUTED_VALUE"""),"IN")</f>
        <v>IN</v>
      </c>
      <c r="I1481" s="211" t="str">
        <f>IFERROR(__xludf.DUMMYFUNCTION("""COMPUTED_VALUE"""),"EMPTY")</f>
        <v>EMPTY</v>
      </c>
      <c r="J1481" s="211">
        <f>IFERROR(__xludf.DUMMYFUNCTION("""COMPUTED_VALUE"""),1.0)</f>
        <v>1</v>
      </c>
      <c r="K1481" s="211"/>
      <c r="L1481" s="211">
        <f>IFERROR(__xludf.DUMMYFUNCTION("""COMPUTED_VALUE"""),0.0)</f>
        <v>0</v>
      </c>
      <c r="M1481" s="211"/>
      <c r="N1481" s="211"/>
      <c r="O1481" s="211"/>
      <c r="Q1481" s="210" t="str">
        <f>IFERROR(__xludf.DUMMYFUNCTION("""COMPUTED_VALUE"""),"1250691")</f>
        <v>1250691</v>
      </c>
      <c r="R1481" s="210" t="str">
        <f>IFERROR(__xludf.DUMMYFUNCTION("""COMPUTED_VALUE"""),"1250691")</f>
        <v>1250691</v>
      </c>
      <c r="S1481" s="211" t="str">
        <f>IFERROR(__xludf.DUMMYFUNCTION("""COMPUTED_VALUE"""),"b2b5f2c5")</f>
        <v>b2b5f2c5</v>
      </c>
      <c r="T1481" s="211" t="str">
        <f>IFERROR(__xludf.DUMMYFUNCTION("""COMPUTED_VALUE"""),"Bengkel Las Bpk. Ari")</f>
        <v>Bengkel Las Bpk. Ari</v>
      </c>
      <c r="U1481" s="215">
        <f>IFERROR(__xludf.DUMMYFUNCTION("""COMPUTED_VALUE"""),45948.57711805555)</f>
        <v>45948.57712</v>
      </c>
      <c r="V1481" s="211" t="str">
        <f>IFERROR(__xludf.DUMMYFUNCTION("""COMPUTED_VALUE"""),"Sumber Kembar, Wonodadi, Kec. Kutorejo, Kabupaten Mojokerto, Jawa Timur")</f>
        <v>Sumber Kembar, Wonodadi, Kec. Kutorejo, Kabupaten Mojokerto, Jawa Timur</v>
      </c>
      <c r="W1481" s="211" t="str">
        <f>IFERROR(__xludf.DUMMYFUNCTION("""COMPUTED_VALUE"""),"IN")</f>
        <v>IN</v>
      </c>
      <c r="X1481" s="211"/>
      <c r="AL1481" s="211"/>
      <c r="AM1481" s="211"/>
      <c r="AN1481" s="211"/>
      <c r="AO1481" s="211"/>
      <c r="AP1481" s="215"/>
      <c r="AQ1481" s="218"/>
      <c r="AR1481" s="211"/>
    </row>
    <row r="1482">
      <c r="A1482" s="210" t="str">
        <f>IFERROR(__xludf.DUMMYFUNCTION("""COMPUTED_VALUE"""),"1250496")</f>
        <v>1250496</v>
      </c>
      <c r="B1482" s="210" t="str">
        <f>IFERROR(__xludf.DUMMYFUNCTION("""COMPUTED_VALUE"""),"1250496")</f>
        <v>1250496</v>
      </c>
      <c r="C1482" s="213">
        <f>IFERROR(__xludf.DUMMYFUNCTION("""COMPUTED_VALUE"""),45874.5890625)</f>
        <v>45874.58906</v>
      </c>
      <c r="D1482" s="211" t="str">
        <f>IFERROR(__xludf.DUMMYFUNCTION("""COMPUTED_VALUE"""),"5f23ba17")</f>
        <v>5f23ba17</v>
      </c>
      <c r="E1482" s="211" t="str">
        <f>IFERROR(__xludf.DUMMYFUNCTION("""COMPUTED_VALUE"""),"Bpk. Joko (Gresik)")</f>
        <v>Bpk. Joko (Gresik)</v>
      </c>
      <c r="F1482" s="211" t="str">
        <f>IFERROR(__xludf.DUMMYFUNCTION("""COMPUTED_VALUE"""),"be525f3b")</f>
        <v>be525f3b</v>
      </c>
      <c r="G1482" s="211" t="str">
        <f>IFERROR(__xludf.DUMMYFUNCTION("""COMPUTED_VALUE"""),"LPG 12kg")</f>
        <v>LPG 12kg</v>
      </c>
      <c r="H1482" s="211" t="str">
        <f>IFERROR(__xludf.DUMMYFUNCTION("""COMPUTED_VALUE"""),"IN")</f>
        <v>IN</v>
      </c>
      <c r="I1482" s="211" t="str">
        <f>IFERROR(__xludf.DUMMYFUNCTION("""COMPUTED_VALUE"""),"EMPTY")</f>
        <v>EMPTY</v>
      </c>
      <c r="J1482" s="211">
        <f>IFERROR(__xludf.DUMMYFUNCTION("""COMPUTED_VALUE"""),3.0)</f>
        <v>3</v>
      </c>
      <c r="K1482" s="211"/>
      <c r="L1482" s="211">
        <f>IFERROR(__xludf.DUMMYFUNCTION("""COMPUTED_VALUE"""),0.0)</f>
        <v>0</v>
      </c>
      <c r="M1482" s="211"/>
      <c r="N1482" s="211"/>
      <c r="O1482" s="211"/>
      <c r="Q1482" s="210" t="str">
        <f>IFERROR(__xludf.DUMMYFUNCTION("""COMPUTED_VALUE"""),"1250680")</f>
        <v>1250680</v>
      </c>
      <c r="R1482" s="210" t="str">
        <f>IFERROR(__xludf.DUMMYFUNCTION("""COMPUTED_VALUE"""),"1250680")</f>
        <v>1250680</v>
      </c>
      <c r="S1482" s="211" t="str">
        <f>IFERROR(__xludf.DUMMYFUNCTION("""COMPUTED_VALUE"""),"01158be1")</f>
        <v>01158be1</v>
      </c>
      <c r="T1482" s="211" t="str">
        <f>IFERROR(__xludf.DUMMYFUNCTION("""COMPUTED_VALUE"""),"GYF")</f>
        <v>GYF</v>
      </c>
      <c r="U1482" s="215">
        <f>IFERROR(__xludf.DUMMYFUNCTION("""COMPUTED_VALUE"""),45948.61890046296)</f>
        <v>45948.6189</v>
      </c>
      <c r="V1482" s="211" t="str">
        <f>IFERROR(__xludf.DUMMYFUNCTION("""COMPUTED_VALUE"""),"Kangkungan, Lengkong, Kec. Mojoanyar, Kabupaten Mojokerto, Jawa Timur")</f>
        <v>Kangkungan, Lengkong, Kec. Mojoanyar, Kabupaten Mojokerto, Jawa Timur</v>
      </c>
      <c r="W1482" s="211" t="str">
        <f>IFERROR(__xludf.DUMMYFUNCTION("""COMPUTED_VALUE"""),"IN")</f>
        <v>IN</v>
      </c>
      <c r="X1482" s="211"/>
      <c r="AL1482" s="211"/>
      <c r="AM1482" s="211"/>
      <c r="AN1482" s="211"/>
      <c r="AO1482" s="211"/>
      <c r="AP1482" s="215"/>
      <c r="AQ1482" s="218"/>
      <c r="AR1482" s="211"/>
    </row>
    <row r="1483">
      <c r="A1483" s="210" t="str">
        <f>IFERROR(__xludf.DUMMYFUNCTION("""COMPUTED_VALUE"""),"1250497")</f>
        <v>1250497</v>
      </c>
      <c r="B1483" s="210" t="str">
        <f>IFERROR(__xludf.DUMMYFUNCTION("""COMPUTED_VALUE"""),"1250497")</f>
        <v>1250497</v>
      </c>
      <c r="C1483" s="213">
        <f>IFERROR(__xludf.DUMMYFUNCTION("""COMPUTED_VALUE"""),45874.655636574076)</f>
        <v>45874.65564</v>
      </c>
      <c r="D1483" s="211" t="str">
        <f>IFERROR(__xludf.DUMMYFUNCTION("""COMPUTED_VALUE"""),"ec231cc9")</f>
        <v>ec231cc9</v>
      </c>
      <c r="E1483" s="211" t="str">
        <f>IFERROR(__xludf.DUMMYFUNCTION("""COMPUTED_VALUE"""),"Bpk. Kohir (Maintenance Velg)")</f>
        <v>Bpk. Kohir (Maintenance Velg)</v>
      </c>
      <c r="F1483" s="211" t="str">
        <f>IFERROR(__xludf.DUMMYFUNCTION("""COMPUTED_VALUE"""),"8bdbe149")</f>
        <v>8bdbe149</v>
      </c>
      <c r="G1483" s="211" t="str">
        <f>IFERROR(__xludf.DUMMYFUNCTION("""COMPUTED_VALUE"""),"Oksigen 6m3")</f>
        <v>Oksigen 6m3</v>
      </c>
      <c r="H1483" s="211" t="str">
        <f>IFERROR(__xludf.DUMMYFUNCTION("""COMPUTED_VALUE"""),"IN")</f>
        <v>IN</v>
      </c>
      <c r="I1483" s="211" t="str">
        <f>IFERROR(__xludf.DUMMYFUNCTION("""COMPUTED_VALUE"""),"EMPTY")</f>
        <v>EMPTY</v>
      </c>
      <c r="J1483" s="211">
        <f>IFERROR(__xludf.DUMMYFUNCTION("""COMPUTED_VALUE"""),5.0)</f>
        <v>5</v>
      </c>
      <c r="K1483" s="210" t="str">
        <f>IFERROR(__xludf.DUMMYFUNCTION("""COMPUTED_VALUE"""),"1195 1111 1124 11118 11110")</f>
        <v>1195 1111 1124 11118 11110</v>
      </c>
      <c r="L1483" s="211">
        <f>IFERROR(__xludf.DUMMYFUNCTION("""COMPUTED_VALUE"""),0.0)</f>
        <v>0</v>
      </c>
      <c r="M1483" s="211"/>
      <c r="N1483" s="211"/>
      <c r="O1483" s="211"/>
      <c r="Q1483" s="210" t="str">
        <f>IFERROR(__xludf.DUMMYFUNCTION("""COMPUTED_VALUE"""),"102571481")</f>
        <v>102571481</v>
      </c>
      <c r="R1483" s="210" t="str">
        <f>IFERROR(__xludf.DUMMYFUNCTION("""COMPUTED_VALUE"""),"102571481")</f>
        <v>102571481</v>
      </c>
      <c r="S1483" s="211" t="str">
        <f>IFERROR(__xludf.DUMMYFUNCTION("""COMPUTED_VALUE"""),"dcdf8b31")</f>
        <v>dcdf8b31</v>
      </c>
      <c r="T1483" s="211" t="str">
        <f>IFERROR(__xludf.DUMMYFUNCTION("""COMPUTED_VALUE"""),"Bpk. Samsul (Jetis)")</f>
        <v>Bpk. Samsul (Jetis)</v>
      </c>
      <c r="U1483" s="215">
        <f>IFERROR(__xludf.DUMMYFUNCTION("""COMPUTED_VALUE"""),45950.350324074076)</f>
        <v>45950.35032</v>
      </c>
      <c r="V1483" s="211" t="str">
        <f>IFERROR(__xludf.DUMMYFUNCTION("""COMPUTED_VALUE"""),"HFWF+9FG, Sido Wangi, Paringan, Kec. Jetis, Kabupaten Mojokerto, Jawa Timur")</f>
        <v>HFWF+9FG, Sido Wangi, Paringan, Kec. Jetis, Kabupaten Mojokerto, Jawa Timur</v>
      </c>
      <c r="W1483" s="211" t="str">
        <f>IFERROR(__xludf.DUMMYFUNCTION("""COMPUTED_VALUE"""),"OUT")</f>
        <v>OUT</v>
      </c>
      <c r="X1483" s="211"/>
      <c r="AL1483" s="211"/>
      <c r="AM1483" s="211"/>
      <c r="AN1483" s="211"/>
      <c r="AO1483" s="211"/>
      <c r="AP1483" s="215"/>
      <c r="AQ1483" s="218"/>
      <c r="AR1483" s="211"/>
    </row>
    <row r="1484">
      <c r="A1484" s="210" t="str">
        <f>IFERROR(__xludf.DUMMYFUNCTION("""COMPUTED_VALUE"""),"1250497")</f>
        <v>1250497</v>
      </c>
      <c r="B1484" s="210" t="str">
        <f>IFERROR(__xludf.DUMMYFUNCTION("""COMPUTED_VALUE"""),"1250497")</f>
        <v>1250497</v>
      </c>
      <c r="C1484" s="213">
        <f>IFERROR(__xludf.DUMMYFUNCTION("""COMPUTED_VALUE"""),45874.655636574076)</f>
        <v>45874.65564</v>
      </c>
      <c r="D1484" s="211" t="str">
        <f>IFERROR(__xludf.DUMMYFUNCTION("""COMPUTED_VALUE"""),"ec231cc9")</f>
        <v>ec231cc9</v>
      </c>
      <c r="E1484" s="211" t="str">
        <f>IFERROR(__xludf.DUMMYFUNCTION("""COMPUTED_VALUE"""),"Bpk. Kohir (Maintenance Velg)")</f>
        <v>Bpk. Kohir (Maintenance Velg)</v>
      </c>
      <c r="F1484" s="211" t="str">
        <f>IFERROR(__xludf.DUMMYFUNCTION("""COMPUTED_VALUE"""),"ef306e54")</f>
        <v>ef306e54</v>
      </c>
      <c r="G1484" s="211" t="str">
        <f>IFERROR(__xludf.DUMMYFUNCTION("""COMPUTED_VALUE"""),"Karbondioksida")</f>
        <v>Karbondioksida</v>
      </c>
      <c r="H1484" s="211" t="str">
        <f>IFERROR(__xludf.DUMMYFUNCTION("""COMPUTED_VALUE"""),"IN")</f>
        <v>IN</v>
      </c>
      <c r="I1484" s="211" t="str">
        <f>IFERROR(__xludf.DUMMYFUNCTION("""COMPUTED_VALUE"""),"EMPTY")</f>
        <v>EMPTY</v>
      </c>
      <c r="J1484" s="211">
        <f>IFERROR(__xludf.DUMMYFUNCTION("""COMPUTED_VALUE"""),1.0)</f>
        <v>1</v>
      </c>
      <c r="K1484" s="210" t="str">
        <f>IFERROR(__xludf.DUMMYFUNCTION("""COMPUTED_VALUE"""),"13014")</f>
        <v>13014</v>
      </c>
      <c r="L1484" s="211">
        <f>IFERROR(__xludf.DUMMYFUNCTION("""COMPUTED_VALUE"""),0.0)</f>
        <v>0</v>
      </c>
      <c r="M1484" s="211"/>
      <c r="N1484" s="211"/>
      <c r="O1484" s="211"/>
      <c r="Q1484" s="210" t="str">
        <f>IFERROR(__xludf.DUMMYFUNCTION("""COMPUTED_VALUE"""),"1250681")</f>
        <v>1250681</v>
      </c>
      <c r="R1484" s="210" t="str">
        <f>IFERROR(__xludf.DUMMYFUNCTION("""COMPUTED_VALUE"""),"1250681")</f>
        <v>1250681</v>
      </c>
      <c r="S1484" s="211" t="str">
        <f>IFERROR(__xludf.DUMMYFUNCTION("""COMPUTED_VALUE"""),"e968afef")</f>
        <v>e968afef</v>
      </c>
      <c r="T1484" s="211" t="str">
        <f>IFERROR(__xludf.DUMMYFUNCTION("""COMPUTED_VALUE"""),"Bpk. Agus")</f>
        <v>Bpk. Agus</v>
      </c>
      <c r="U1484" s="215">
        <f>IFERROR(__xludf.DUMMYFUNCTION("""COMPUTED_VALUE"""),45950.609131944446)</f>
        <v>45950.60913</v>
      </c>
      <c r="V1484" s="211" t="str">
        <f>IFERROR(__xludf.DUMMYFUNCTION("""COMPUTED_VALUE"""),"Jl. Parengan 13, Semawut, Balongbendo, Kec. BalongBendo, Kabupaten Sidoarjo, Jawa Timur 61263")</f>
        <v>Jl. Parengan 13, Semawut, Balongbendo, Kec. BalongBendo, Kabupaten Sidoarjo, Jawa Timur 61263</v>
      </c>
      <c r="W1484" s="211" t="str">
        <f>IFERROR(__xludf.DUMMYFUNCTION("""COMPUTED_VALUE"""),"IN")</f>
        <v>IN</v>
      </c>
      <c r="X1484" s="211"/>
      <c r="AL1484" s="211"/>
      <c r="AM1484" s="211"/>
      <c r="AN1484" s="211"/>
      <c r="AO1484" s="211"/>
      <c r="AP1484" s="215"/>
      <c r="AQ1484" s="218"/>
      <c r="AR1484" s="211"/>
    </row>
    <row r="1485">
      <c r="A1485" s="210" t="str">
        <f>IFERROR(__xludf.DUMMYFUNCTION("""COMPUTED_VALUE"""),"0825101094")</f>
        <v>0825101094</v>
      </c>
      <c r="B1485" s="210" t="str">
        <f>IFERROR(__xludf.DUMMYFUNCTION("""COMPUTED_VALUE"""),"0825101094")</f>
        <v>0825101094</v>
      </c>
      <c r="C1485" s="213">
        <f>IFERROR(__xludf.DUMMYFUNCTION("""COMPUTED_VALUE"""),45875.48800925926)</f>
        <v>45875.48801</v>
      </c>
      <c r="D1485" s="211" t="str">
        <f>IFERROR(__xludf.DUMMYFUNCTION("""COMPUTED_VALUE"""),"182fb0fe")</f>
        <v>182fb0fe</v>
      </c>
      <c r="E1485" s="211" t="str">
        <f>IFERROR(__xludf.DUMMYFUNCTION("""COMPUTED_VALUE"""),"PT Amtech")</f>
        <v>PT Amtech</v>
      </c>
      <c r="F1485" s="211" t="str">
        <f>IFERROR(__xludf.DUMMYFUNCTION("""COMPUTED_VALUE"""),"66af7c72")</f>
        <v>66af7c72</v>
      </c>
      <c r="G1485" s="211" t="str">
        <f>IFERROR(__xludf.DUMMYFUNCTION("""COMPUTED_VALUE"""),"Argon 6m3")</f>
        <v>Argon 6m3</v>
      </c>
      <c r="H1485" s="211" t="str">
        <f>IFERROR(__xludf.DUMMYFUNCTION("""COMPUTED_VALUE"""),"OUT")</f>
        <v>OUT</v>
      </c>
      <c r="I1485" s="211" t="str">
        <f>IFERROR(__xludf.DUMMYFUNCTION("""COMPUTED_VALUE"""),"NORMAL")</f>
        <v>NORMAL</v>
      </c>
      <c r="J1485" s="211">
        <f>IFERROR(__xludf.DUMMYFUNCTION("""COMPUTED_VALUE"""),7.0)</f>
        <v>7</v>
      </c>
      <c r="K1485" s="210" t="str">
        <f>IFERROR(__xludf.DUMMYFUNCTION("""COMPUTED_VALUE"""),"12033 12050 12015 12046 12061 12026 12038")</f>
        <v>12033 12050 12015 12046 12061 12026 12038</v>
      </c>
      <c r="L1485" s="211">
        <f>IFERROR(__xludf.DUMMYFUNCTION("""COMPUTED_VALUE"""),195000.0)</f>
        <v>195000</v>
      </c>
      <c r="M1485" s="211"/>
      <c r="N1485" s="211"/>
      <c r="O1485" s="211"/>
      <c r="Q1485" s="210" t="str">
        <f>IFERROR(__xludf.DUMMYFUNCTION("""COMPUTED_VALUE"""),"1025241484")</f>
        <v>1025241484</v>
      </c>
      <c r="R1485" s="210" t="str">
        <f>IFERROR(__xludf.DUMMYFUNCTION("""COMPUTED_VALUE"""),"1025241484")</f>
        <v>1025241484</v>
      </c>
      <c r="S1485" s="211" t="str">
        <f>IFERROR(__xludf.DUMMYFUNCTION("""COMPUTED_VALUE"""),"b2b5f2c5")</f>
        <v>b2b5f2c5</v>
      </c>
      <c r="T1485" s="211" t="str">
        <f>IFERROR(__xludf.DUMMYFUNCTION("""COMPUTED_VALUE"""),"Bengkel Las Bpk. Ari")</f>
        <v>Bengkel Las Bpk. Ari</v>
      </c>
      <c r="U1485" s="215">
        <f>IFERROR(__xludf.DUMMYFUNCTION("""COMPUTED_VALUE"""),45950.61042824074)</f>
        <v>45950.61043</v>
      </c>
      <c r="V1485" s="211" t="str">
        <f>IFERROR(__xludf.DUMMYFUNCTION("""COMPUTED_VALUE"""),"Sumber Kembar, Wonodadi, Kec. Kutorejo, Kabupaten Mojokerto, Jawa Timur")</f>
        <v>Sumber Kembar, Wonodadi, Kec. Kutorejo, Kabupaten Mojokerto, Jawa Timur</v>
      </c>
      <c r="W1485" s="211" t="str">
        <f>IFERROR(__xludf.DUMMYFUNCTION("""COMPUTED_VALUE"""),"OUT")</f>
        <v>OUT</v>
      </c>
      <c r="X1485" s="211"/>
      <c r="AL1485" s="211"/>
      <c r="AM1485" s="211"/>
      <c r="AN1485" s="211"/>
      <c r="AO1485" s="211"/>
      <c r="AP1485" s="215"/>
      <c r="AQ1485" s="218"/>
      <c r="AR1485" s="211"/>
    </row>
    <row r="1486">
      <c r="A1486" s="210" t="str">
        <f>IFERROR(__xludf.DUMMYFUNCTION("""COMPUTED_VALUE"""),"0825101094")</f>
        <v>0825101094</v>
      </c>
      <c r="B1486" s="210" t="str">
        <f>IFERROR(__xludf.DUMMYFUNCTION("""COMPUTED_VALUE"""),"0825101094")</f>
        <v>0825101094</v>
      </c>
      <c r="C1486" s="213">
        <f>IFERROR(__xludf.DUMMYFUNCTION("""COMPUTED_VALUE"""),45875.48800925926)</f>
        <v>45875.48801</v>
      </c>
      <c r="D1486" s="211" t="str">
        <f>IFERROR(__xludf.DUMMYFUNCTION("""COMPUTED_VALUE"""),"182fb0fe")</f>
        <v>182fb0fe</v>
      </c>
      <c r="E1486" s="211" t="str">
        <f>IFERROR(__xludf.DUMMYFUNCTION("""COMPUTED_VALUE"""),"PT Amtech")</f>
        <v>PT Amtech</v>
      </c>
      <c r="F1486" s="211" t="str">
        <f>IFERROR(__xludf.DUMMYFUNCTION("""COMPUTED_VALUE"""),"8bdbe149")</f>
        <v>8bdbe149</v>
      </c>
      <c r="G1486" s="211" t="str">
        <f>IFERROR(__xludf.DUMMYFUNCTION("""COMPUTED_VALUE"""),"Oksigen 6m3")</f>
        <v>Oksigen 6m3</v>
      </c>
      <c r="H1486" s="211" t="str">
        <f>IFERROR(__xludf.DUMMYFUNCTION("""COMPUTED_VALUE"""),"OUT")</f>
        <v>OUT</v>
      </c>
      <c r="I1486" s="211" t="str">
        <f>IFERROR(__xludf.DUMMYFUNCTION("""COMPUTED_VALUE"""),"NORMAL")</f>
        <v>NORMAL</v>
      </c>
      <c r="J1486" s="211">
        <f>IFERROR(__xludf.DUMMYFUNCTION("""COMPUTED_VALUE"""),5.0)</f>
        <v>5</v>
      </c>
      <c r="K1486" s="210" t="str">
        <f>IFERROR(__xludf.DUMMYFUNCTION("""COMPUTED_VALUE"""),"1126 11250 1187 1133 1182")</f>
        <v>1126 11250 1187 1133 1182</v>
      </c>
      <c r="L1486" s="211">
        <f>IFERROR(__xludf.DUMMYFUNCTION("""COMPUTED_VALUE"""),60000.0)</f>
        <v>60000</v>
      </c>
      <c r="M1486" s="211"/>
      <c r="N1486" s="211"/>
      <c r="O1486" s="211"/>
      <c r="Q1486" s="210" t="str">
        <f>IFERROR(__xludf.DUMMYFUNCTION("""COMPUTED_VALUE"""),"1025251486")</f>
        <v>1025251486</v>
      </c>
      <c r="R1486" s="210" t="str">
        <f>IFERROR(__xludf.DUMMYFUNCTION("""COMPUTED_VALUE"""),"1025251486")</f>
        <v>1025251486</v>
      </c>
      <c r="S1486" s="211" t="str">
        <f>IFERROR(__xludf.DUMMYFUNCTION("""COMPUTED_VALUE"""),"2d88931c")</f>
        <v>2d88931c</v>
      </c>
      <c r="T1486" s="211" t="str">
        <f>IFERROR(__xludf.DUMMYFUNCTION("""COMPUTED_VALUE"""),"PT Dunia Berkat Marga Mulya")</f>
        <v>PT Dunia Berkat Marga Mulya</v>
      </c>
      <c r="U1486" s="215">
        <f>IFERROR(__xludf.DUMMYFUNCTION("""COMPUTED_VALUE"""),45950.613229166665)</f>
        <v>45950.61323</v>
      </c>
      <c r="V1486" s="211" t="str">
        <f>IFERROR(__xludf.DUMMYFUNCTION("""COMPUTED_VALUE"""),"JL JABARAN, WATESARI, BALONGBENDO, SIDOARJO, JAWA TIMUR")</f>
        <v>JL JABARAN, WATESARI, BALONGBENDO, SIDOARJO, JAWA TIMUR</v>
      </c>
      <c r="W1486" s="211" t="str">
        <f>IFERROR(__xludf.DUMMYFUNCTION("""COMPUTED_VALUE"""),"OUT")</f>
        <v>OUT</v>
      </c>
      <c r="X1486" s="211"/>
      <c r="AL1486" s="211"/>
      <c r="AM1486" s="211"/>
      <c r="AN1486" s="211"/>
      <c r="AO1486" s="211"/>
      <c r="AP1486" s="215"/>
      <c r="AQ1486" s="218"/>
      <c r="AR1486" s="211"/>
    </row>
    <row r="1487">
      <c r="A1487" s="210" t="str">
        <f>IFERROR(__xludf.DUMMYFUNCTION("""COMPUTED_VALUE"""),"1250506")</f>
        <v>1250506</v>
      </c>
      <c r="B1487" s="210" t="str">
        <f>IFERROR(__xludf.DUMMYFUNCTION("""COMPUTED_VALUE"""),"1250506")</f>
        <v>1250506</v>
      </c>
      <c r="C1487" s="213">
        <f>IFERROR(__xludf.DUMMYFUNCTION("""COMPUTED_VALUE"""),45875.64878472222)</f>
        <v>45875.64878</v>
      </c>
      <c r="D1487" s="211" t="str">
        <f>IFERROR(__xludf.DUMMYFUNCTION("""COMPUTED_VALUE"""),"182fb0fe")</f>
        <v>182fb0fe</v>
      </c>
      <c r="E1487" s="211" t="str">
        <f>IFERROR(__xludf.DUMMYFUNCTION("""COMPUTED_VALUE"""),"PT Amtech")</f>
        <v>PT Amtech</v>
      </c>
      <c r="F1487" s="211" t="str">
        <f>IFERROR(__xludf.DUMMYFUNCTION("""COMPUTED_VALUE"""),"8bdbe149")</f>
        <v>8bdbe149</v>
      </c>
      <c r="G1487" s="211" t="str">
        <f>IFERROR(__xludf.DUMMYFUNCTION("""COMPUTED_VALUE"""),"Oksigen 6m3")</f>
        <v>Oksigen 6m3</v>
      </c>
      <c r="H1487" s="211" t="str">
        <f>IFERROR(__xludf.DUMMYFUNCTION("""COMPUTED_VALUE"""),"IN")</f>
        <v>IN</v>
      </c>
      <c r="I1487" s="211" t="str">
        <f>IFERROR(__xludf.DUMMYFUNCTION("""COMPUTED_VALUE"""),"EMPTY")</f>
        <v>EMPTY</v>
      </c>
      <c r="J1487" s="211">
        <f>IFERROR(__xludf.DUMMYFUNCTION("""COMPUTED_VALUE"""),8.0)</f>
        <v>8</v>
      </c>
      <c r="K1487" s="210" t="str">
        <f>IFERROR(__xludf.DUMMYFUNCTION("""COMPUTED_VALUE"""),"1115 11102 11204 11183 11289 11285 11200 11178")</f>
        <v>1115 11102 11204 11183 11289 11285 11200 11178</v>
      </c>
      <c r="L1487" s="211">
        <f>IFERROR(__xludf.DUMMYFUNCTION("""COMPUTED_VALUE"""),0.0)</f>
        <v>0</v>
      </c>
      <c r="M1487" s="211"/>
      <c r="N1487" s="211"/>
      <c r="O1487" s="211"/>
      <c r="Q1487" s="210" t="str">
        <f>IFERROR(__xludf.DUMMYFUNCTION("""COMPUTED_VALUE"""),"1025151487")</f>
        <v>1025151487</v>
      </c>
      <c r="R1487" s="210" t="str">
        <f>IFERROR(__xludf.DUMMYFUNCTION("""COMPUTED_VALUE"""),"1025151487")</f>
        <v>1025151487</v>
      </c>
      <c r="S1487" s="211" t="str">
        <f>IFERROR(__xludf.DUMMYFUNCTION("""COMPUTED_VALUE"""),"4ec68cf6")</f>
        <v>4ec68cf6</v>
      </c>
      <c r="T1487" s="211" t="str">
        <f>IFERROR(__xludf.DUMMYFUNCTION("""COMPUTED_VALUE"""),"CV Sido Mukti Karya")</f>
        <v>CV Sido Mukti Karya</v>
      </c>
      <c r="U1487" s="215">
        <f>IFERROR(__xludf.DUMMYFUNCTION("""COMPUTED_VALUE"""),45950.61371527778)</f>
        <v>45950.61372</v>
      </c>
      <c r="V1487" s="211" t="str">
        <f>IFERROR(__xludf.DUMMYFUNCTION("""COMPUTED_VALUE"""),"Pergudangan Center Point no A3, Kemangsen")</f>
        <v>Pergudangan Center Point no A3, Kemangsen</v>
      </c>
      <c r="W1487" s="211" t="str">
        <f>IFERROR(__xludf.DUMMYFUNCTION("""COMPUTED_VALUE"""),"OUT")</f>
        <v>OUT</v>
      </c>
      <c r="X1487" s="211"/>
      <c r="AL1487" s="211"/>
      <c r="AM1487" s="211"/>
      <c r="AN1487" s="211"/>
      <c r="AO1487" s="211"/>
      <c r="AP1487" s="215"/>
      <c r="AQ1487" s="218"/>
      <c r="AR1487" s="211"/>
    </row>
    <row r="1488">
      <c r="A1488" s="210" t="str">
        <f>IFERROR(__xludf.DUMMYFUNCTION("""COMPUTED_VALUE"""),"1250507")</f>
        <v>1250507</v>
      </c>
      <c r="B1488" s="210" t="str">
        <f>IFERROR(__xludf.DUMMYFUNCTION("""COMPUTED_VALUE"""),"1250507")</f>
        <v>1250507</v>
      </c>
      <c r="C1488" s="213">
        <f>IFERROR(__xludf.DUMMYFUNCTION("""COMPUTED_VALUE"""),45875.651550925926)</f>
        <v>45875.65155</v>
      </c>
      <c r="D1488" s="211" t="str">
        <f>IFERROR(__xludf.DUMMYFUNCTION("""COMPUTED_VALUE"""),"182fb0fe")</f>
        <v>182fb0fe</v>
      </c>
      <c r="E1488" s="211" t="str">
        <f>IFERROR(__xludf.DUMMYFUNCTION("""COMPUTED_VALUE"""),"PT Amtech")</f>
        <v>PT Amtech</v>
      </c>
      <c r="F1488" s="211" t="str">
        <f>IFERROR(__xludf.DUMMYFUNCTION("""COMPUTED_VALUE"""),"8bdbe149")</f>
        <v>8bdbe149</v>
      </c>
      <c r="G1488" s="211" t="str">
        <f>IFERROR(__xludf.DUMMYFUNCTION("""COMPUTED_VALUE"""),"Oksigen 6m3")</f>
        <v>Oksigen 6m3</v>
      </c>
      <c r="H1488" s="211" t="str">
        <f>IFERROR(__xludf.DUMMYFUNCTION("""COMPUTED_VALUE"""),"IN")</f>
        <v>IN</v>
      </c>
      <c r="I1488" s="211" t="str">
        <f>IFERROR(__xludf.DUMMYFUNCTION("""COMPUTED_VALUE"""),"EMPTY")</f>
        <v>EMPTY</v>
      </c>
      <c r="J1488" s="211">
        <f>IFERROR(__xludf.DUMMYFUNCTION("""COMPUTED_VALUE"""),5.0)</f>
        <v>5</v>
      </c>
      <c r="K1488" s="210" t="str">
        <f>IFERROR(__xludf.DUMMYFUNCTION("""COMPUTED_VALUE"""),"1198 11101 1154 11176 1183")</f>
        <v>1198 11101 1154 11176 1183</v>
      </c>
      <c r="L1488" s="211">
        <f>IFERROR(__xludf.DUMMYFUNCTION("""COMPUTED_VALUE"""),0.0)</f>
        <v>0</v>
      </c>
      <c r="M1488" s="211"/>
      <c r="N1488" s="211"/>
      <c r="O1488" s="211"/>
      <c r="Q1488" s="210" t="str">
        <f>IFERROR(__xludf.DUMMYFUNCTION("""COMPUTED_VALUE"""),"102571488")</f>
        <v>102571488</v>
      </c>
      <c r="R1488" s="210" t="str">
        <f>IFERROR(__xludf.DUMMYFUNCTION("""COMPUTED_VALUE"""),"102571488")</f>
        <v>102571488</v>
      </c>
      <c r="S1488" s="211" t="str">
        <f>IFERROR(__xludf.DUMMYFUNCTION("""COMPUTED_VALUE"""),"196b24da")</f>
        <v>196b24da</v>
      </c>
      <c r="T1488" s="211" t="str">
        <f>IFERROR(__xludf.DUMMYFUNCTION("""COMPUTED_VALUE"""),"PT Samudra Cipta Enjineering")</f>
        <v>PT Samudra Cipta Enjineering</v>
      </c>
      <c r="U1488" s="215">
        <f>IFERROR(__xludf.DUMMYFUNCTION("""COMPUTED_VALUE"""),45950.617627314816)</f>
        <v>45950.61763</v>
      </c>
      <c r="V1488" s="211" t="str">
        <f>IFERROR(__xludf.DUMMYFUNCTION("""COMPUTED_VALUE"""),"Pergudangan Center Point Blok C4   Ds. Kemangsen  Balongbendo")</f>
        <v>Pergudangan Center Point Blok C4   Ds. Kemangsen  Balongbendo</v>
      </c>
      <c r="W1488" s="211" t="str">
        <f>IFERROR(__xludf.DUMMYFUNCTION("""COMPUTED_VALUE"""),"OUT")</f>
        <v>OUT</v>
      </c>
      <c r="X1488" s="211"/>
      <c r="AL1488" s="211"/>
      <c r="AM1488" s="211"/>
      <c r="AN1488" s="211"/>
      <c r="AO1488" s="211"/>
      <c r="AP1488" s="215"/>
      <c r="AQ1488" s="218"/>
      <c r="AR1488" s="211"/>
    </row>
    <row r="1489">
      <c r="A1489" s="210" t="str">
        <f>IFERROR(__xludf.DUMMYFUNCTION("""COMPUTED_VALUE"""),"1250507")</f>
        <v>1250507</v>
      </c>
      <c r="B1489" s="210" t="str">
        <f>IFERROR(__xludf.DUMMYFUNCTION("""COMPUTED_VALUE"""),"1250507")</f>
        <v>1250507</v>
      </c>
      <c r="C1489" s="213">
        <f>IFERROR(__xludf.DUMMYFUNCTION("""COMPUTED_VALUE"""),45875.651550925926)</f>
        <v>45875.65155</v>
      </c>
      <c r="D1489" s="211" t="str">
        <f>IFERROR(__xludf.DUMMYFUNCTION("""COMPUTED_VALUE"""),"182fb0fe")</f>
        <v>182fb0fe</v>
      </c>
      <c r="E1489" s="211" t="str">
        <f>IFERROR(__xludf.DUMMYFUNCTION("""COMPUTED_VALUE"""),"PT Amtech")</f>
        <v>PT Amtech</v>
      </c>
      <c r="F1489" s="211" t="str">
        <f>IFERROR(__xludf.DUMMYFUNCTION("""COMPUTED_VALUE"""),"66af7c72")</f>
        <v>66af7c72</v>
      </c>
      <c r="G1489" s="211" t="str">
        <f>IFERROR(__xludf.DUMMYFUNCTION("""COMPUTED_VALUE"""),"Argon 6m3")</f>
        <v>Argon 6m3</v>
      </c>
      <c r="H1489" s="211" t="str">
        <f>IFERROR(__xludf.DUMMYFUNCTION("""COMPUTED_VALUE"""),"IN")</f>
        <v>IN</v>
      </c>
      <c r="I1489" s="211" t="str">
        <f>IFERROR(__xludf.DUMMYFUNCTION("""COMPUTED_VALUE"""),"EMPTY")</f>
        <v>EMPTY</v>
      </c>
      <c r="J1489" s="211">
        <f>IFERROR(__xludf.DUMMYFUNCTION("""COMPUTED_VALUE"""),6.0)</f>
        <v>6</v>
      </c>
      <c r="K1489" s="210" t="str">
        <f>IFERROR(__xludf.DUMMYFUNCTION("""COMPUTED_VALUE"""),"12029 12025 12019 12036 12069 12071")</f>
        <v>12029 12025 12019 12036 12069 12071</v>
      </c>
      <c r="L1489" s="211">
        <f>IFERROR(__xludf.DUMMYFUNCTION("""COMPUTED_VALUE"""),0.0)</f>
        <v>0</v>
      </c>
      <c r="M1489" s="211"/>
      <c r="N1489" s="211"/>
      <c r="O1489" s="211"/>
      <c r="Q1489" s="210" t="str">
        <f>IFERROR(__xludf.DUMMYFUNCTION("""COMPUTED_VALUE"""),"1250697")</f>
        <v>1250697</v>
      </c>
      <c r="R1489" s="210" t="str">
        <f>IFERROR(__xludf.DUMMYFUNCTION("""COMPUTED_VALUE"""),"1250697")</f>
        <v>1250697</v>
      </c>
      <c r="S1489" s="211" t="str">
        <f>IFERROR(__xludf.DUMMYFUNCTION("""COMPUTED_VALUE"""),"e86baf3b")</f>
        <v>e86baf3b</v>
      </c>
      <c r="T1489" s="211" t="str">
        <f>IFERROR(__xludf.DUMMYFUNCTION("""COMPUTED_VALUE"""),"PT GEMILANG CIPTA WAWASAN")</f>
        <v>PT GEMILANG CIPTA WAWASAN</v>
      </c>
      <c r="U1489" s="215">
        <f>IFERROR(__xludf.DUMMYFUNCTION("""COMPUTED_VALUE"""),45950.625706018516)</f>
        <v>45950.62571</v>
      </c>
      <c r="V1489" s="211" t="str">
        <f>IFERROR(__xludf.DUMMYFUNCTION("""COMPUTED_VALUE"""),"JL TEBET RAYA, 2A, TEBET BARAT, TEBET, KOTA ADM, JAKARTA SELATAN, DKI JAKARTA")</f>
        <v>JL TEBET RAYA, 2A, TEBET BARAT, TEBET, KOTA ADM, JAKARTA SELATAN, DKI JAKARTA</v>
      </c>
      <c r="W1489" s="211" t="str">
        <f>IFERROR(__xludf.DUMMYFUNCTION("""COMPUTED_VALUE"""),"IN")</f>
        <v>IN</v>
      </c>
      <c r="X1489" s="211"/>
      <c r="AL1489" s="211"/>
      <c r="AM1489" s="211"/>
      <c r="AN1489" s="211"/>
      <c r="AO1489" s="211"/>
      <c r="AP1489" s="215"/>
      <c r="AQ1489" s="218"/>
      <c r="AR1489" s="211"/>
    </row>
    <row r="1490">
      <c r="A1490" s="211"/>
      <c r="B1490" s="211"/>
      <c r="C1490" s="211"/>
      <c r="D1490" s="211"/>
      <c r="E1490" s="211"/>
      <c r="F1490" s="211"/>
      <c r="G1490" s="211"/>
      <c r="H1490" s="211"/>
      <c r="I1490" s="211"/>
      <c r="J1490" s="211"/>
      <c r="K1490" s="211"/>
      <c r="L1490" s="211">
        <f>IFERROR(__xludf.DUMMYFUNCTION("""COMPUTED_VALUE"""),55000.0)</f>
        <v>55000</v>
      </c>
      <c r="M1490" s="211"/>
      <c r="N1490" s="211"/>
      <c r="O1490" s="211"/>
      <c r="Q1490" s="210" t="str">
        <f>IFERROR(__xludf.DUMMYFUNCTION("""COMPUTED_VALUE"""),"1250694")</f>
        <v>1250694</v>
      </c>
      <c r="R1490" s="210" t="str">
        <f>IFERROR(__xludf.DUMMYFUNCTION("""COMPUTED_VALUE"""),"1250694")</f>
        <v>1250694</v>
      </c>
      <c r="S1490" s="211" t="str">
        <f>IFERROR(__xludf.DUMMYFUNCTION("""COMPUTED_VALUE"""),"785e0e07")</f>
        <v>785e0e07</v>
      </c>
      <c r="T1490" s="211" t="str">
        <f>IFERROR(__xludf.DUMMYFUNCTION("""COMPUTED_VALUE"""),"Bpk. Sukirno (Bejo)")</f>
        <v>Bpk. Sukirno (Bejo)</v>
      </c>
      <c r="U1490" s="215">
        <f>IFERROR(__xludf.DUMMYFUNCTION("""COMPUTED_VALUE"""),45950.636516203704)</f>
        <v>45950.63652</v>
      </c>
      <c r="V1490" s="211" t="str">
        <f>IFERROR(__xludf.DUMMYFUNCTION("""COMPUTED_VALUE"""),"Krajan I, Wringinanom, Kec. Wringinanom, Kabupaten Gresik, Jawa Timur 61176")</f>
        <v>Krajan I, Wringinanom, Kec. Wringinanom, Kabupaten Gresik, Jawa Timur 61176</v>
      </c>
      <c r="W1490" s="211" t="str">
        <f>IFERROR(__xludf.DUMMYFUNCTION("""COMPUTED_VALUE"""),"IN")</f>
        <v>IN</v>
      </c>
      <c r="X1490" s="211"/>
      <c r="AL1490" s="211"/>
      <c r="AM1490" s="211"/>
      <c r="AN1490" s="211"/>
      <c r="AO1490" s="211"/>
      <c r="AP1490" s="215"/>
      <c r="AQ1490" s="218"/>
      <c r="AR1490" s="211"/>
    </row>
    <row r="1491">
      <c r="A1491" s="210" t="str">
        <f>IFERROR(__xludf.DUMMYFUNCTION("""COMPUTED_VALUE"""),"0825231094")</f>
        <v>0825231094</v>
      </c>
      <c r="B1491" s="210" t="str">
        <f>IFERROR(__xludf.DUMMYFUNCTION("""COMPUTED_VALUE"""),"0825231094")</f>
        <v>0825231094</v>
      </c>
      <c r="C1491" s="213">
        <f>IFERROR(__xludf.DUMMYFUNCTION("""COMPUTED_VALUE"""),45876.35826388889)</f>
        <v>45876.35826</v>
      </c>
      <c r="D1491" s="211" t="str">
        <f>IFERROR(__xludf.DUMMYFUNCTION("""COMPUTED_VALUE"""),"ce83e171")</f>
        <v>ce83e171</v>
      </c>
      <c r="E1491" s="211" t="str">
        <f>IFERROR(__xludf.DUMMYFUNCTION("""COMPUTED_VALUE"""),"Bpk. Sulaiman")</f>
        <v>Bpk. Sulaiman</v>
      </c>
      <c r="F1491" s="211" t="str">
        <f>IFERROR(__xludf.DUMMYFUNCTION("""COMPUTED_VALUE"""),"f6aab7a9")</f>
        <v>f6aab7a9</v>
      </c>
      <c r="G1491" s="211" t="str">
        <f>IFERROR(__xludf.DUMMYFUNCTION("""COMPUTED_VALUE"""),"Oksigen 6m3 MR")</f>
        <v>Oksigen 6m3 MR</v>
      </c>
      <c r="H1491" s="211" t="str">
        <f>IFERROR(__xludf.DUMMYFUNCTION("""COMPUTED_VALUE"""),"OUT")</f>
        <v>OUT</v>
      </c>
      <c r="I1491" s="211" t="str">
        <f>IFERROR(__xludf.DUMMYFUNCTION("""COMPUTED_VALUE"""),"NORMAL")</f>
        <v>NORMAL</v>
      </c>
      <c r="J1491" s="211">
        <f>IFERROR(__xludf.DUMMYFUNCTION("""COMPUTED_VALUE"""),2.0)</f>
        <v>2</v>
      </c>
      <c r="K1491" s="211"/>
      <c r="L1491" s="211">
        <f>IFERROR(__xludf.DUMMYFUNCTION("""COMPUTED_VALUE"""),55000.0)</f>
        <v>55000</v>
      </c>
      <c r="M1491" s="211"/>
      <c r="N1491" s="211"/>
      <c r="O1491" s="211"/>
      <c r="Q1491" s="210" t="str">
        <f>IFERROR(__xludf.DUMMYFUNCTION("""COMPUTED_VALUE"""),"1250695")</f>
        <v>1250695</v>
      </c>
      <c r="R1491" s="210" t="str">
        <f>IFERROR(__xludf.DUMMYFUNCTION("""COMPUTED_VALUE"""),"1250695")</f>
        <v>1250695</v>
      </c>
      <c r="S1491" s="211" t="str">
        <f>IFERROR(__xludf.DUMMYFUNCTION("""COMPUTED_VALUE"""),"dcdf8b31")</f>
        <v>dcdf8b31</v>
      </c>
      <c r="T1491" s="211" t="str">
        <f>IFERROR(__xludf.DUMMYFUNCTION("""COMPUTED_VALUE"""),"Bpk. Samsul (Jetis)")</f>
        <v>Bpk. Samsul (Jetis)</v>
      </c>
      <c r="U1491" s="215">
        <f>IFERROR(__xludf.DUMMYFUNCTION("""COMPUTED_VALUE"""),45950.638240740744)</f>
        <v>45950.63824</v>
      </c>
      <c r="V1491" s="211" t="str">
        <f>IFERROR(__xludf.DUMMYFUNCTION("""COMPUTED_VALUE"""),"HFWF+9FG, Sido Wangi, Paringan, Kec. Jetis, Kabupaten Mojokerto, Jawa Timur")</f>
        <v>HFWF+9FG, Sido Wangi, Paringan, Kec. Jetis, Kabupaten Mojokerto, Jawa Timur</v>
      </c>
      <c r="W1491" s="211" t="str">
        <f>IFERROR(__xludf.DUMMYFUNCTION("""COMPUTED_VALUE"""),"IN")</f>
        <v>IN</v>
      </c>
      <c r="X1491" s="211"/>
      <c r="AL1491" s="211"/>
      <c r="AM1491" s="211"/>
      <c r="AN1491" s="211"/>
      <c r="AO1491" s="211"/>
      <c r="AP1491" s="215"/>
      <c r="AQ1491" s="218"/>
      <c r="AR1491" s="211"/>
    </row>
    <row r="1492">
      <c r="A1492" s="210" t="str">
        <f>IFERROR(__xludf.DUMMYFUNCTION("""COMPUTED_VALUE"""),"0825221097")</f>
        <v>0825221097</v>
      </c>
      <c r="B1492" s="210" t="str">
        <f>IFERROR(__xludf.DUMMYFUNCTION("""COMPUTED_VALUE"""),"0825221097")</f>
        <v>0825221097</v>
      </c>
      <c r="C1492" s="213">
        <f>IFERROR(__xludf.DUMMYFUNCTION("""COMPUTED_VALUE"""),45876.36454861111)</f>
        <v>45876.36455</v>
      </c>
      <c r="D1492" s="211" t="str">
        <f>IFERROR(__xludf.DUMMYFUNCTION("""COMPUTED_VALUE"""),"5f23ba17")</f>
        <v>5f23ba17</v>
      </c>
      <c r="E1492" s="211" t="str">
        <f>IFERROR(__xludf.DUMMYFUNCTION("""COMPUTED_VALUE"""),"Bpk. Joko (Gresik)")</f>
        <v>Bpk. Joko (Gresik)</v>
      </c>
      <c r="F1492" s="211" t="str">
        <f>IFERROR(__xludf.DUMMYFUNCTION("""COMPUTED_VALUE"""),"f6aab7a9")</f>
        <v>f6aab7a9</v>
      </c>
      <c r="G1492" s="211" t="str">
        <f>IFERROR(__xludf.DUMMYFUNCTION("""COMPUTED_VALUE"""),"Oksigen 6m3 MR")</f>
        <v>Oksigen 6m3 MR</v>
      </c>
      <c r="H1492" s="211" t="str">
        <f>IFERROR(__xludf.DUMMYFUNCTION("""COMPUTED_VALUE"""),"OUT")</f>
        <v>OUT</v>
      </c>
      <c r="I1492" s="211" t="str">
        <f>IFERROR(__xludf.DUMMYFUNCTION("""COMPUTED_VALUE"""),"NORMAL")</f>
        <v>NORMAL</v>
      </c>
      <c r="J1492" s="211">
        <f>IFERROR(__xludf.DUMMYFUNCTION("""COMPUTED_VALUE"""),5.0)</f>
        <v>5</v>
      </c>
      <c r="K1492" s="211"/>
      <c r="L1492" s="211">
        <f>IFERROR(__xludf.DUMMYFUNCTION("""COMPUTED_VALUE"""),55000.0)</f>
        <v>55000</v>
      </c>
      <c r="M1492" s="211"/>
      <c r="N1492" s="211"/>
      <c r="O1492" s="211"/>
      <c r="Q1492" s="210" t="str">
        <f>IFERROR(__xludf.DUMMYFUNCTION("""COMPUTED_VALUE"""),"1250696")</f>
        <v>1250696</v>
      </c>
      <c r="R1492" s="210" t="str">
        <f>IFERROR(__xludf.DUMMYFUNCTION("""COMPUTED_VALUE"""),"1250696")</f>
        <v>1250696</v>
      </c>
      <c r="S1492" s="211" t="str">
        <f>IFERROR(__xludf.DUMMYFUNCTION("""COMPUTED_VALUE"""),"3bcd7fe6")</f>
        <v>3bcd7fe6</v>
      </c>
      <c r="T1492" s="211" t="str">
        <f>IFERROR(__xludf.DUMMYFUNCTION("""COMPUTED_VALUE"""),"Bpk. Alvin (LB Group)")</f>
        <v>Bpk. Alvin (LB Group)</v>
      </c>
      <c r="U1492" s="215">
        <f>IFERROR(__xludf.DUMMYFUNCTION("""COMPUTED_VALUE"""),45950.639236111114)</f>
        <v>45950.63924</v>
      </c>
      <c r="V1492" s="211" t="str">
        <f>IFERROR(__xludf.DUMMYFUNCTION("""COMPUTED_VALUE"""),"MFF9+XHC, Jalan, Tambakrejo, Temuireng, Kec. Dawar Blandong, Kabupaten Mojokerto, Jawa Timur 61354")</f>
        <v>MFF9+XHC, Jalan, Tambakrejo, Temuireng, Kec. Dawar Blandong, Kabupaten Mojokerto, Jawa Timur 61354</v>
      </c>
      <c r="W1492" s="211" t="str">
        <f>IFERROR(__xludf.DUMMYFUNCTION("""COMPUTED_VALUE"""),"IN")</f>
        <v>IN</v>
      </c>
      <c r="X1492" s="211"/>
      <c r="AL1492" s="211"/>
      <c r="AM1492" s="211"/>
      <c r="AN1492" s="211"/>
      <c r="AO1492" s="211"/>
      <c r="AP1492" s="215"/>
      <c r="AQ1492" s="218"/>
      <c r="AR1492" s="211"/>
    </row>
    <row r="1493">
      <c r="A1493" s="210" t="str">
        <f>IFERROR(__xludf.DUMMYFUNCTION("""COMPUTED_VALUE"""),"0825221097")</f>
        <v>0825221097</v>
      </c>
      <c r="B1493" s="210" t="str">
        <f>IFERROR(__xludf.DUMMYFUNCTION("""COMPUTED_VALUE"""),"0825221097")</f>
        <v>0825221097</v>
      </c>
      <c r="C1493" s="213">
        <f>IFERROR(__xludf.DUMMYFUNCTION("""COMPUTED_VALUE"""),45876.36454861111)</f>
        <v>45876.36455</v>
      </c>
      <c r="D1493" s="211" t="str">
        <f>IFERROR(__xludf.DUMMYFUNCTION("""COMPUTED_VALUE"""),"5f23ba17")</f>
        <v>5f23ba17</v>
      </c>
      <c r="E1493" s="211" t="str">
        <f>IFERROR(__xludf.DUMMYFUNCTION("""COMPUTED_VALUE"""),"Bpk. Joko (Gresik)")</f>
        <v>Bpk. Joko (Gresik)</v>
      </c>
      <c r="F1493" s="211" t="str">
        <f>IFERROR(__xludf.DUMMYFUNCTION("""COMPUTED_VALUE"""),"439cf836")</f>
        <v>439cf836</v>
      </c>
      <c r="G1493" s="211" t="str">
        <f>IFERROR(__xludf.DUMMYFUNCTION("""COMPUTED_VALUE"""),"Karbondioksida MR")</f>
        <v>Karbondioksida MR</v>
      </c>
      <c r="H1493" s="211" t="str">
        <f>IFERROR(__xludf.DUMMYFUNCTION("""COMPUTED_VALUE"""),"OUT")</f>
        <v>OUT</v>
      </c>
      <c r="I1493" s="211" t="str">
        <f>IFERROR(__xludf.DUMMYFUNCTION("""COMPUTED_VALUE"""),"NORMAL")</f>
        <v>NORMAL</v>
      </c>
      <c r="J1493" s="211">
        <f>IFERROR(__xludf.DUMMYFUNCTION("""COMPUTED_VALUE"""),1.0)</f>
        <v>1</v>
      </c>
      <c r="K1493" s="211"/>
      <c r="L1493" s="211">
        <f>IFERROR(__xludf.DUMMYFUNCTION("""COMPUTED_VALUE"""),160000.0)</f>
        <v>160000</v>
      </c>
      <c r="M1493" s="211"/>
      <c r="N1493" s="211"/>
      <c r="O1493" s="211"/>
      <c r="Q1493" s="210" t="str">
        <f>IFERROR(__xludf.DUMMYFUNCTION("""COMPUTED_VALUE"""),"1250698")</f>
        <v>1250698</v>
      </c>
      <c r="R1493" s="210" t="str">
        <f>IFERROR(__xludf.DUMMYFUNCTION("""COMPUTED_VALUE"""),"1250698")</f>
        <v>1250698</v>
      </c>
      <c r="S1493" s="211" t="str">
        <f>IFERROR(__xludf.DUMMYFUNCTION("""COMPUTED_VALUE"""),"4ec68cf6")</f>
        <v>4ec68cf6</v>
      </c>
      <c r="T1493" s="211" t="str">
        <f>IFERROR(__xludf.DUMMYFUNCTION("""COMPUTED_VALUE"""),"CV Sido Mukti Karya")</f>
        <v>CV Sido Mukti Karya</v>
      </c>
      <c r="U1493" s="215">
        <f>IFERROR(__xludf.DUMMYFUNCTION("""COMPUTED_VALUE"""),45950.663148148145)</f>
        <v>45950.66315</v>
      </c>
      <c r="V1493" s="211" t="str">
        <f>IFERROR(__xludf.DUMMYFUNCTION("""COMPUTED_VALUE"""),"Pergudangan Center Point no A3, Kemangsen")</f>
        <v>Pergudangan Center Point no A3, Kemangsen</v>
      </c>
      <c r="W1493" s="211" t="str">
        <f>IFERROR(__xludf.DUMMYFUNCTION("""COMPUTED_VALUE"""),"IN")</f>
        <v>IN</v>
      </c>
      <c r="X1493" s="211"/>
      <c r="AL1493" s="211"/>
      <c r="AM1493" s="211"/>
      <c r="AN1493" s="211"/>
      <c r="AO1493" s="211"/>
      <c r="AP1493" s="215"/>
      <c r="AQ1493" s="218"/>
      <c r="AR1493" s="211"/>
    </row>
    <row r="1494">
      <c r="A1494" s="210" t="str">
        <f>IFERROR(__xludf.DUMMYFUNCTION("""COMPUTED_VALUE"""),"0825131098")</f>
        <v>0825131098</v>
      </c>
      <c r="B1494" s="210" t="str">
        <f>IFERROR(__xludf.DUMMYFUNCTION("""COMPUTED_VALUE"""),"0825131098")</f>
        <v>0825131098</v>
      </c>
      <c r="C1494" s="213">
        <f>IFERROR(__xludf.DUMMYFUNCTION("""COMPUTED_VALUE"""),45876.37938657407)</f>
        <v>45876.37939</v>
      </c>
      <c r="D1494" s="211" t="str">
        <f>IFERROR(__xludf.DUMMYFUNCTION("""COMPUTED_VALUE"""),"b2b5f2c5")</f>
        <v>b2b5f2c5</v>
      </c>
      <c r="E1494" s="211" t="str">
        <f>IFERROR(__xludf.DUMMYFUNCTION("""COMPUTED_VALUE"""),"Bengkel Las Bpk. Ari")</f>
        <v>Bengkel Las Bpk. Ari</v>
      </c>
      <c r="F1494" s="211" t="str">
        <f>IFERROR(__xludf.DUMMYFUNCTION("""COMPUTED_VALUE"""),"8bdbe149")</f>
        <v>8bdbe149</v>
      </c>
      <c r="G1494" s="211" t="str">
        <f>IFERROR(__xludf.DUMMYFUNCTION("""COMPUTED_VALUE"""),"Oksigen 6m3")</f>
        <v>Oksigen 6m3</v>
      </c>
      <c r="H1494" s="211" t="str">
        <f>IFERROR(__xludf.DUMMYFUNCTION("""COMPUTED_VALUE"""),"OUT")</f>
        <v>OUT</v>
      </c>
      <c r="I1494" s="211" t="str">
        <f>IFERROR(__xludf.DUMMYFUNCTION("""COMPUTED_VALUE"""),"NORMAL")</f>
        <v>NORMAL</v>
      </c>
      <c r="J1494" s="211">
        <f>IFERROR(__xludf.DUMMYFUNCTION("""COMPUTED_VALUE"""),2.0)</f>
        <v>2</v>
      </c>
      <c r="K1494" s="210" t="str">
        <f>IFERROR(__xludf.DUMMYFUNCTION("""COMPUTED_VALUE"""),"1189 1195")</f>
        <v>1189 1195</v>
      </c>
      <c r="L1494" s="211">
        <f>IFERROR(__xludf.DUMMYFUNCTION("""COMPUTED_VALUE"""),60000.0)</f>
        <v>60000</v>
      </c>
      <c r="M1494" s="211"/>
      <c r="N1494" s="211"/>
      <c r="O1494" s="211"/>
      <c r="Q1494" s="210" t="str">
        <f>IFERROR(__xludf.DUMMYFUNCTION("""COMPUTED_VALUE"""),"1250682")</f>
        <v>1250682</v>
      </c>
      <c r="R1494" s="210" t="str">
        <f>IFERROR(__xludf.DUMMYFUNCTION("""COMPUTED_VALUE"""),"1250682")</f>
        <v>1250682</v>
      </c>
      <c r="S1494" s="211" t="str">
        <f>IFERROR(__xludf.DUMMYFUNCTION("""COMPUTED_VALUE"""),"b2b5f2c5")</f>
        <v>b2b5f2c5</v>
      </c>
      <c r="T1494" s="211" t="str">
        <f>IFERROR(__xludf.DUMMYFUNCTION("""COMPUTED_VALUE"""),"Bengkel Las Bpk. Ari")</f>
        <v>Bengkel Las Bpk. Ari</v>
      </c>
      <c r="U1494" s="215">
        <f>IFERROR(__xludf.DUMMYFUNCTION("""COMPUTED_VALUE"""),45950.69126157407)</f>
        <v>45950.69126</v>
      </c>
      <c r="V1494" s="211" t="str">
        <f>IFERROR(__xludf.DUMMYFUNCTION("""COMPUTED_VALUE"""),"Sumber Kembar, Wonodadi, Kec. Kutorejo, Kabupaten Mojokerto, Jawa Timur")</f>
        <v>Sumber Kembar, Wonodadi, Kec. Kutorejo, Kabupaten Mojokerto, Jawa Timur</v>
      </c>
      <c r="W1494" s="211" t="str">
        <f>IFERROR(__xludf.DUMMYFUNCTION("""COMPUTED_VALUE"""),"IN")</f>
        <v>IN</v>
      </c>
      <c r="X1494" s="211"/>
      <c r="AL1494" s="211"/>
      <c r="AM1494" s="211"/>
      <c r="AN1494" s="211"/>
      <c r="AO1494" s="211"/>
      <c r="AP1494" s="215"/>
      <c r="AQ1494" s="218"/>
      <c r="AR1494" s="211"/>
    </row>
    <row r="1495">
      <c r="A1495" s="210" t="str">
        <f>IFERROR(__xludf.DUMMYFUNCTION("""COMPUTED_VALUE"""),"0825131098")</f>
        <v>0825131098</v>
      </c>
      <c r="B1495" s="210" t="str">
        <f>IFERROR(__xludf.DUMMYFUNCTION("""COMPUTED_VALUE"""),"0825131098")</f>
        <v>0825131098</v>
      </c>
      <c r="C1495" s="213">
        <f>IFERROR(__xludf.DUMMYFUNCTION("""COMPUTED_VALUE"""),45876.37938657407)</f>
        <v>45876.37939</v>
      </c>
      <c r="D1495" s="211" t="str">
        <f>IFERROR(__xludf.DUMMYFUNCTION("""COMPUTED_VALUE"""),"b2b5f2c5")</f>
        <v>b2b5f2c5</v>
      </c>
      <c r="E1495" s="211" t="str">
        <f>IFERROR(__xludf.DUMMYFUNCTION("""COMPUTED_VALUE"""),"Bengkel Las Bpk. Ari")</f>
        <v>Bengkel Las Bpk. Ari</v>
      </c>
      <c r="F1495" s="211" t="str">
        <f>IFERROR(__xludf.DUMMYFUNCTION("""COMPUTED_VALUE"""),"ef306e54")</f>
        <v>ef306e54</v>
      </c>
      <c r="G1495" s="211" t="str">
        <f>IFERROR(__xludf.DUMMYFUNCTION("""COMPUTED_VALUE"""),"Karbondioksida")</f>
        <v>Karbondioksida</v>
      </c>
      <c r="H1495" s="211" t="str">
        <f>IFERROR(__xludf.DUMMYFUNCTION("""COMPUTED_VALUE"""),"OUT")</f>
        <v>OUT</v>
      </c>
      <c r="I1495" s="211" t="str">
        <f>IFERROR(__xludf.DUMMYFUNCTION("""COMPUTED_VALUE"""),"NORMAL")</f>
        <v>NORMAL</v>
      </c>
      <c r="J1495" s="211">
        <f>IFERROR(__xludf.DUMMYFUNCTION("""COMPUTED_VALUE"""),1.0)</f>
        <v>1</v>
      </c>
      <c r="K1495" s="210" t="str">
        <f>IFERROR(__xludf.DUMMYFUNCTION("""COMPUTED_VALUE"""),"13014")</f>
        <v>13014</v>
      </c>
      <c r="L1495" s="211">
        <f>IFERROR(__xludf.DUMMYFUNCTION("""COMPUTED_VALUE"""),170000.0)</f>
        <v>170000</v>
      </c>
      <c r="M1495" s="211"/>
      <c r="N1495" s="211"/>
      <c r="O1495" s="211"/>
      <c r="Q1495" s="210" t="str">
        <f>IFERROR(__xludf.DUMMYFUNCTION("""COMPUTED_VALUE"""),"1025161489")</f>
        <v>1025161489</v>
      </c>
      <c r="R1495" s="210" t="str">
        <f>IFERROR(__xludf.DUMMYFUNCTION("""COMPUTED_VALUE"""),"1025161489")</f>
        <v>1025161489</v>
      </c>
      <c r="S1495" s="211" t="str">
        <f>IFERROR(__xludf.DUMMYFUNCTION("""COMPUTED_VALUE"""),"3bcd7fe6")</f>
        <v>3bcd7fe6</v>
      </c>
      <c r="T1495" s="211" t="str">
        <f>IFERROR(__xludf.DUMMYFUNCTION("""COMPUTED_VALUE"""),"Bpk. Alvin (LB Group)")</f>
        <v>Bpk. Alvin (LB Group)</v>
      </c>
      <c r="U1495" s="215">
        <f>IFERROR(__xludf.DUMMYFUNCTION("""COMPUTED_VALUE"""),45951.426354166666)</f>
        <v>45951.42635</v>
      </c>
      <c r="V1495" s="211" t="str">
        <f>IFERROR(__xludf.DUMMYFUNCTION("""COMPUTED_VALUE"""),"MFF9+XHC, Jalan, Tambakrejo, Temuireng, Kec. Dawar Blandong, Kabupaten Mojokerto, Jawa Timur 61354")</f>
        <v>MFF9+XHC, Jalan, Tambakrejo, Temuireng, Kec. Dawar Blandong, Kabupaten Mojokerto, Jawa Timur 61354</v>
      </c>
      <c r="W1495" s="211" t="str">
        <f>IFERROR(__xludf.DUMMYFUNCTION("""COMPUTED_VALUE"""),"OUT")</f>
        <v>OUT</v>
      </c>
      <c r="X1495" s="211"/>
      <c r="AL1495" s="211"/>
      <c r="AM1495" s="211"/>
      <c r="AN1495" s="211"/>
      <c r="AO1495" s="211"/>
      <c r="AP1495" s="215"/>
      <c r="AQ1495" s="218"/>
      <c r="AR1495" s="211"/>
    </row>
    <row r="1496">
      <c r="A1496" s="210" t="str">
        <f>IFERROR(__xludf.DUMMYFUNCTION("""COMPUTED_VALUE"""),"0825191099")</f>
        <v>0825191099</v>
      </c>
      <c r="B1496" s="210" t="str">
        <f>IFERROR(__xludf.DUMMYFUNCTION("""COMPUTED_VALUE"""),"0825191099")</f>
        <v>0825191099</v>
      </c>
      <c r="C1496" s="213">
        <f>IFERROR(__xludf.DUMMYFUNCTION("""COMPUTED_VALUE"""),45876.62321759259)</f>
        <v>45876.62322</v>
      </c>
      <c r="D1496" s="211" t="str">
        <f>IFERROR(__xludf.DUMMYFUNCTION("""COMPUTED_VALUE"""),"8f5ebaea")</f>
        <v>8f5ebaea</v>
      </c>
      <c r="E1496" s="211" t="str">
        <f>IFERROR(__xludf.DUMMYFUNCTION("""COMPUTED_VALUE"""),"PT Hua Zong Mesindo")</f>
        <v>PT Hua Zong Mesindo</v>
      </c>
      <c r="F1496" s="211" t="str">
        <f>IFERROR(__xludf.DUMMYFUNCTION("""COMPUTED_VALUE"""),"66af7c72")</f>
        <v>66af7c72</v>
      </c>
      <c r="G1496" s="211" t="str">
        <f>IFERROR(__xludf.DUMMYFUNCTION("""COMPUTED_VALUE"""),"Argon 6m3")</f>
        <v>Argon 6m3</v>
      </c>
      <c r="H1496" s="211" t="str">
        <f>IFERROR(__xludf.DUMMYFUNCTION("""COMPUTED_VALUE"""),"OUT")</f>
        <v>OUT</v>
      </c>
      <c r="I1496" s="211" t="str">
        <f>IFERROR(__xludf.DUMMYFUNCTION("""COMPUTED_VALUE"""),"NORMAL")</f>
        <v>NORMAL</v>
      </c>
      <c r="J1496" s="211">
        <f>IFERROR(__xludf.DUMMYFUNCTION("""COMPUTED_VALUE"""),4.0)</f>
        <v>4</v>
      </c>
      <c r="K1496" s="210" t="str">
        <f>IFERROR(__xludf.DUMMYFUNCTION("""COMPUTED_VALUE"""),"12034 12051 12023 12012")</f>
        <v>12034 12051 12023 12012</v>
      </c>
      <c r="L1496" s="211">
        <f>IFERROR(__xludf.DUMMYFUNCTION("""COMPUTED_VALUE"""),190000.0)</f>
        <v>190000</v>
      </c>
      <c r="M1496" s="211"/>
      <c r="N1496" s="211"/>
      <c r="O1496" s="211"/>
      <c r="Q1496" s="210" t="str">
        <f>IFERROR(__xludf.DUMMYFUNCTION("""COMPUTED_VALUE"""),"4102531467")</f>
        <v>4102531467</v>
      </c>
      <c r="R1496" s="210" t="str">
        <f>IFERROR(__xludf.DUMMYFUNCTION("""COMPUTED_VALUE"""),"4102531467")</f>
        <v>4102531467</v>
      </c>
      <c r="S1496" s="211" t="str">
        <f>IFERROR(__xludf.DUMMYFUNCTION("""COMPUTED_VALUE"""),"3bcd7fe6")</f>
        <v>3bcd7fe6</v>
      </c>
      <c r="T1496" s="211" t="str">
        <f>IFERROR(__xludf.DUMMYFUNCTION("""COMPUTED_VALUE"""),"Bpk. Alvin (LB Group)")</f>
        <v>Bpk. Alvin (LB Group)</v>
      </c>
      <c r="U1496" s="215">
        <f>IFERROR(__xludf.DUMMYFUNCTION("""COMPUTED_VALUE"""),45951.43142361111)</f>
        <v>45951.43142</v>
      </c>
      <c r="V1496" s="211" t="str">
        <f>IFERROR(__xludf.DUMMYFUNCTION("""COMPUTED_VALUE"""),"MFF9+XHC, Jalan, Tambakrejo, Temuireng, Kec. Dawar Blandong, Kabupaten Mojokerto, Jawa Timur 61354")</f>
        <v>MFF9+XHC, Jalan, Tambakrejo, Temuireng, Kec. Dawar Blandong, Kabupaten Mojokerto, Jawa Timur 61354</v>
      </c>
      <c r="W1496" s="211" t="str">
        <f>IFERROR(__xludf.DUMMYFUNCTION("""COMPUTED_VALUE"""),"OTHER")</f>
        <v>OTHER</v>
      </c>
      <c r="X1496" s="211"/>
      <c r="AL1496" s="211"/>
      <c r="AM1496" s="211"/>
      <c r="AN1496" s="211"/>
      <c r="AO1496" s="211"/>
      <c r="AP1496" s="215"/>
      <c r="AQ1496" s="218"/>
      <c r="AR1496" s="211"/>
    </row>
    <row r="1497">
      <c r="A1497" s="210" t="str">
        <f>IFERROR(__xludf.DUMMYFUNCTION("""COMPUTED_VALUE"""),"0825191099")</f>
        <v>0825191099</v>
      </c>
      <c r="B1497" s="210" t="str">
        <f>IFERROR(__xludf.DUMMYFUNCTION("""COMPUTED_VALUE"""),"0825191099")</f>
        <v>0825191099</v>
      </c>
      <c r="C1497" s="213">
        <f>IFERROR(__xludf.DUMMYFUNCTION("""COMPUTED_VALUE"""),45876.62321759259)</f>
        <v>45876.62322</v>
      </c>
      <c r="D1497" s="211" t="str">
        <f>IFERROR(__xludf.DUMMYFUNCTION("""COMPUTED_VALUE"""),"8f5ebaea")</f>
        <v>8f5ebaea</v>
      </c>
      <c r="E1497" s="211" t="str">
        <f>IFERROR(__xludf.DUMMYFUNCTION("""COMPUTED_VALUE"""),"PT Hua Zong Mesindo")</f>
        <v>PT Hua Zong Mesindo</v>
      </c>
      <c r="F1497" s="211" t="str">
        <f>IFERROR(__xludf.DUMMYFUNCTION("""COMPUTED_VALUE"""),"ef306e54")</f>
        <v>ef306e54</v>
      </c>
      <c r="G1497" s="211" t="str">
        <f>IFERROR(__xludf.DUMMYFUNCTION("""COMPUTED_VALUE"""),"Karbondioksida")</f>
        <v>Karbondioksida</v>
      </c>
      <c r="H1497" s="211" t="str">
        <f>IFERROR(__xludf.DUMMYFUNCTION("""COMPUTED_VALUE"""),"OUT")</f>
        <v>OUT</v>
      </c>
      <c r="I1497" s="211" t="str">
        <f>IFERROR(__xludf.DUMMYFUNCTION("""COMPUTED_VALUE"""),"NORMAL")</f>
        <v>NORMAL</v>
      </c>
      <c r="J1497" s="211">
        <f>IFERROR(__xludf.DUMMYFUNCTION("""COMPUTED_VALUE"""),1.0)</f>
        <v>1</v>
      </c>
      <c r="K1497" s="210" t="str">
        <f>IFERROR(__xludf.DUMMYFUNCTION("""COMPUTED_VALUE"""),"13022")</f>
        <v>13022</v>
      </c>
      <c r="L1497" s="211">
        <f>IFERROR(__xludf.DUMMYFUNCTION("""COMPUTED_VALUE"""),160000.0)</f>
        <v>160000</v>
      </c>
      <c r="M1497" s="211"/>
      <c r="N1497" s="211"/>
      <c r="O1497" s="211"/>
      <c r="Q1497" s="210" t="str">
        <f>IFERROR(__xludf.DUMMYFUNCTION("""COMPUTED_VALUE"""),"1025601496")</f>
        <v>1025601496</v>
      </c>
      <c r="R1497" s="210" t="str">
        <f>IFERROR(__xludf.DUMMYFUNCTION("""COMPUTED_VALUE"""),"1025601496")</f>
        <v>1025601496</v>
      </c>
      <c r="S1497" s="211" t="str">
        <f>IFERROR(__xludf.DUMMYFUNCTION("""COMPUTED_VALUE"""),"e86baf3b")</f>
        <v>e86baf3b</v>
      </c>
      <c r="T1497" s="211" t="str">
        <f>IFERROR(__xludf.DUMMYFUNCTION("""COMPUTED_VALUE"""),"PT GEMILANG CIPTA WAWASAN")</f>
        <v>PT GEMILANG CIPTA WAWASAN</v>
      </c>
      <c r="U1497" s="215">
        <f>IFERROR(__xludf.DUMMYFUNCTION("""COMPUTED_VALUE"""),45951.433912037035)</f>
        <v>45951.43391</v>
      </c>
      <c r="V1497" s="211" t="str">
        <f>IFERROR(__xludf.DUMMYFUNCTION("""COMPUTED_VALUE"""),"JL TEBET RAYA, 2A, TEBET BARAT, TEBET, KOTA ADM, JAKARTA SELATAN, DKI JAKARTA")</f>
        <v>JL TEBET RAYA, 2A, TEBET BARAT, TEBET, KOTA ADM, JAKARTA SELATAN, DKI JAKARTA</v>
      </c>
      <c r="W1497" s="211" t="str">
        <f>IFERROR(__xludf.DUMMYFUNCTION("""COMPUTED_VALUE"""),"OUT")</f>
        <v>OUT</v>
      </c>
      <c r="X1497" s="211"/>
      <c r="AL1497" s="211"/>
      <c r="AM1497" s="211"/>
      <c r="AN1497" s="211"/>
      <c r="AO1497" s="211"/>
      <c r="AP1497" s="215"/>
      <c r="AQ1497" s="218"/>
      <c r="AR1497" s="211"/>
    </row>
    <row r="1498">
      <c r="A1498" s="210" t="str">
        <f>IFERROR(__xludf.DUMMYFUNCTION("""COMPUTED_VALUE"""),"0825191099")</f>
        <v>0825191099</v>
      </c>
      <c r="B1498" s="210" t="str">
        <f>IFERROR(__xludf.DUMMYFUNCTION("""COMPUTED_VALUE"""),"0825191099")</f>
        <v>0825191099</v>
      </c>
      <c r="C1498" s="213">
        <f>IFERROR(__xludf.DUMMYFUNCTION("""COMPUTED_VALUE"""),45876.62321759259)</f>
        <v>45876.62322</v>
      </c>
      <c r="D1498" s="211" t="str">
        <f>IFERROR(__xludf.DUMMYFUNCTION("""COMPUTED_VALUE"""),"8f5ebaea")</f>
        <v>8f5ebaea</v>
      </c>
      <c r="E1498" s="211" t="str">
        <f>IFERROR(__xludf.DUMMYFUNCTION("""COMPUTED_VALUE"""),"PT Hua Zong Mesindo")</f>
        <v>PT Hua Zong Mesindo</v>
      </c>
      <c r="F1498" s="211" t="str">
        <f>IFERROR(__xludf.DUMMYFUNCTION("""COMPUTED_VALUE"""),"8bdbe149")</f>
        <v>8bdbe149</v>
      </c>
      <c r="G1498" s="211" t="str">
        <f>IFERROR(__xludf.DUMMYFUNCTION("""COMPUTED_VALUE"""),"Oksigen 6m3")</f>
        <v>Oksigen 6m3</v>
      </c>
      <c r="H1498" s="211" t="str">
        <f>IFERROR(__xludf.DUMMYFUNCTION("""COMPUTED_VALUE"""),"OUT")</f>
        <v>OUT</v>
      </c>
      <c r="I1498" s="211" t="str">
        <f>IFERROR(__xludf.DUMMYFUNCTION("""COMPUTED_VALUE"""),"NORMAL")</f>
        <v>NORMAL</v>
      </c>
      <c r="J1498" s="211">
        <f>IFERROR(__xludf.DUMMYFUNCTION("""COMPUTED_VALUE"""),3.0)</f>
        <v>3</v>
      </c>
      <c r="K1498" s="210" t="str">
        <f>IFERROR(__xludf.DUMMYFUNCTION("""COMPUTED_VALUE"""),"1183 1154 1115")</f>
        <v>1183 1154 1115</v>
      </c>
      <c r="L1498" s="211">
        <f>IFERROR(__xludf.DUMMYFUNCTION("""COMPUTED_VALUE"""),60000.0)</f>
        <v>60000</v>
      </c>
      <c r="M1498" s="211"/>
      <c r="N1498" s="211"/>
      <c r="O1498" s="211"/>
      <c r="Q1498" s="210" t="str">
        <f>IFERROR(__xludf.DUMMYFUNCTION("""COMPUTED_VALUE"""),"1025341498")</f>
        <v>1025341498</v>
      </c>
      <c r="R1498" s="210" t="str">
        <f>IFERROR(__xludf.DUMMYFUNCTION("""COMPUTED_VALUE"""),"1025341498")</f>
        <v>1025341498</v>
      </c>
      <c r="S1498" s="211" t="str">
        <f>IFERROR(__xludf.DUMMYFUNCTION("""COMPUTED_VALUE"""),"01158be1")</f>
        <v>01158be1</v>
      </c>
      <c r="T1498" s="211" t="str">
        <f>IFERROR(__xludf.DUMMYFUNCTION("""COMPUTED_VALUE"""),"GYF")</f>
        <v>GYF</v>
      </c>
      <c r="U1498" s="215">
        <f>IFERROR(__xludf.DUMMYFUNCTION("""COMPUTED_VALUE"""),45951.44097222222)</f>
        <v>45951.44097</v>
      </c>
      <c r="V1498" s="211" t="str">
        <f>IFERROR(__xludf.DUMMYFUNCTION("""COMPUTED_VALUE"""),"Kangkungan, Lengkong, Kec. Mojoanyar, Kabupaten Mojokerto, Jawa Timur")</f>
        <v>Kangkungan, Lengkong, Kec. Mojoanyar, Kabupaten Mojokerto, Jawa Timur</v>
      </c>
      <c r="W1498" s="211" t="str">
        <f>IFERROR(__xludf.DUMMYFUNCTION("""COMPUTED_VALUE"""),"OUT")</f>
        <v>OUT</v>
      </c>
      <c r="X1498" s="211"/>
      <c r="AL1498" s="211"/>
      <c r="AM1498" s="211"/>
      <c r="AN1498" s="211"/>
      <c r="AO1498" s="211"/>
      <c r="AP1498" s="215"/>
      <c r="AQ1498" s="218"/>
      <c r="AR1498" s="211"/>
    </row>
    <row r="1499">
      <c r="A1499" s="210" t="str">
        <f>IFERROR(__xludf.DUMMYFUNCTION("""COMPUTED_VALUE"""),"1250503")</f>
        <v>1250503</v>
      </c>
      <c r="B1499" s="210" t="str">
        <f>IFERROR(__xludf.DUMMYFUNCTION("""COMPUTED_VALUE"""),"1250503")</f>
        <v>1250503</v>
      </c>
      <c r="C1499" s="213">
        <f>IFERROR(__xludf.DUMMYFUNCTION("""COMPUTED_VALUE"""),45876.81581018519)</f>
        <v>45876.81581</v>
      </c>
      <c r="D1499" s="211" t="str">
        <f>IFERROR(__xludf.DUMMYFUNCTION("""COMPUTED_VALUE"""),"8f5ebaea")</f>
        <v>8f5ebaea</v>
      </c>
      <c r="E1499" s="211" t="str">
        <f>IFERROR(__xludf.DUMMYFUNCTION("""COMPUTED_VALUE"""),"PT Hua Zong Mesindo")</f>
        <v>PT Hua Zong Mesindo</v>
      </c>
      <c r="F1499" s="211" t="str">
        <f>IFERROR(__xludf.DUMMYFUNCTION("""COMPUTED_VALUE"""),"66af7c72")</f>
        <v>66af7c72</v>
      </c>
      <c r="G1499" s="211" t="str">
        <f>IFERROR(__xludf.DUMMYFUNCTION("""COMPUTED_VALUE"""),"Argon 6m3")</f>
        <v>Argon 6m3</v>
      </c>
      <c r="H1499" s="211" t="str">
        <f>IFERROR(__xludf.DUMMYFUNCTION("""COMPUTED_VALUE"""),"IN")</f>
        <v>IN</v>
      </c>
      <c r="I1499" s="211" t="str">
        <f>IFERROR(__xludf.DUMMYFUNCTION("""COMPUTED_VALUE"""),"EMPTY")</f>
        <v>EMPTY</v>
      </c>
      <c r="J1499" s="211">
        <f>IFERROR(__xludf.DUMMYFUNCTION("""COMPUTED_VALUE"""),1.0)</f>
        <v>1</v>
      </c>
      <c r="K1499" s="210" t="str">
        <f>IFERROR(__xludf.DUMMYFUNCTION("""COMPUTED_VALUE"""),"12055")</f>
        <v>12055</v>
      </c>
      <c r="L1499" s="211">
        <f>IFERROR(__xludf.DUMMYFUNCTION("""COMPUTED_VALUE"""),0.0)</f>
        <v>0</v>
      </c>
      <c r="M1499" s="211"/>
      <c r="N1499" s="211"/>
      <c r="O1499" s="211"/>
      <c r="Q1499" s="210" t="str">
        <f>IFERROR(__xludf.DUMMYFUNCTION("""COMPUTED_VALUE"""),"1250699")</f>
        <v>1250699</v>
      </c>
      <c r="R1499" s="210" t="str">
        <f>IFERROR(__xludf.DUMMYFUNCTION("""COMPUTED_VALUE"""),"1250699")</f>
        <v>1250699</v>
      </c>
      <c r="S1499" s="211" t="str">
        <f>IFERROR(__xludf.DUMMYFUNCTION("""COMPUTED_VALUE"""),"ce83e171")</f>
        <v>ce83e171</v>
      </c>
      <c r="T1499" s="211" t="str">
        <f>IFERROR(__xludf.DUMMYFUNCTION("""COMPUTED_VALUE"""),"Bpk. Sulaiman")</f>
        <v>Bpk. Sulaiman</v>
      </c>
      <c r="U1499" s="215">
        <f>IFERROR(__xludf.DUMMYFUNCTION("""COMPUTED_VALUE"""),45951.52545138889)</f>
        <v>45951.52545</v>
      </c>
      <c r="V1499" s="211" t="str">
        <f>IFERROR(__xludf.DUMMYFUNCTION("""COMPUTED_VALUE"""),"Jl. Raya Kramat Temenggung No.43, Kramat, Kramat Temenggung, Kec. Tarik, Kabupaten Sidoarjo, Jawa Timur 61265")</f>
        <v>Jl. Raya Kramat Temenggung No.43, Kramat, Kramat Temenggung, Kec. Tarik, Kabupaten Sidoarjo, Jawa Timur 61265</v>
      </c>
      <c r="W1499" s="211" t="str">
        <f>IFERROR(__xludf.DUMMYFUNCTION("""COMPUTED_VALUE"""),"IN")</f>
        <v>IN</v>
      </c>
      <c r="X1499" s="211"/>
      <c r="AL1499" s="211"/>
      <c r="AM1499" s="211"/>
      <c r="AN1499" s="211"/>
      <c r="AO1499" s="211"/>
      <c r="AP1499" s="215"/>
      <c r="AQ1499" s="218"/>
      <c r="AR1499" s="211"/>
    </row>
    <row r="1500">
      <c r="A1500" s="210" t="str">
        <f>IFERROR(__xludf.DUMMYFUNCTION("""COMPUTED_VALUE"""),"1250503")</f>
        <v>1250503</v>
      </c>
      <c r="B1500" s="210" t="str">
        <f>IFERROR(__xludf.DUMMYFUNCTION("""COMPUTED_VALUE"""),"1250503")</f>
        <v>1250503</v>
      </c>
      <c r="C1500" s="213">
        <f>IFERROR(__xludf.DUMMYFUNCTION("""COMPUTED_VALUE"""),45876.81581018519)</f>
        <v>45876.81581</v>
      </c>
      <c r="D1500" s="211" t="str">
        <f>IFERROR(__xludf.DUMMYFUNCTION("""COMPUTED_VALUE"""),"8f5ebaea")</f>
        <v>8f5ebaea</v>
      </c>
      <c r="E1500" s="211" t="str">
        <f>IFERROR(__xludf.DUMMYFUNCTION("""COMPUTED_VALUE"""),"PT Hua Zong Mesindo")</f>
        <v>PT Hua Zong Mesindo</v>
      </c>
      <c r="F1500" s="211" t="str">
        <f>IFERROR(__xludf.DUMMYFUNCTION("""COMPUTED_VALUE"""),"8bdbe149")</f>
        <v>8bdbe149</v>
      </c>
      <c r="G1500" s="211" t="str">
        <f>IFERROR(__xludf.DUMMYFUNCTION("""COMPUTED_VALUE"""),"Oksigen 6m3")</f>
        <v>Oksigen 6m3</v>
      </c>
      <c r="H1500" s="211" t="str">
        <f>IFERROR(__xludf.DUMMYFUNCTION("""COMPUTED_VALUE"""),"IN")</f>
        <v>IN</v>
      </c>
      <c r="I1500" s="211" t="str">
        <f>IFERROR(__xludf.DUMMYFUNCTION("""COMPUTED_VALUE"""),"EMPTY")</f>
        <v>EMPTY</v>
      </c>
      <c r="J1500" s="211">
        <f>IFERROR(__xludf.DUMMYFUNCTION("""COMPUTED_VALUE"""),1.0)</f>
        <v>1</v>
      </c>
      <c r="K1500" s="210" t="str">
        <f>IFERROR(__xludf.DUMMYFUNCTION("""COMPUTED_VALUE"""),"11280")</f>
        <v>11280</v>
      </c>
      <c r="L1500" s="211">
        <f>IFERROR(__xludf.DUMMYFUNCTION("""COMPUTED_VALUE"""),0.0)</f>
        <v>0</v>
      </c>
      <c r="M1500" s="211"/>
      <c r="N1500" s="211"/>
      <c r="O1500" s="211"/>
      <c r="Q1500" s="210" t="str">
        <f>IFERROR(__xludf.DUMMYFUNCTION("""COMPUTED_VALUE"""),"1250700")</f>
        <v>1250700</v>
      </c>
      <c r="R1500" s="210" t="str">
        <f>IFERROR(__xludf.DUMMYFUNCTION("""COMPUTED_VALUE"""),"1250700")</f>
        <v>1250700</v>
      </c>
      <c r="S1500" s="211" t="str">
        <f>IFERROR(__xludf.DUMMYFUNCTION("""COMPUTED_VALUE"""),"b0735da4")</f>
        <v>b0735da4</v>
      </c>
      <c r="T1500" s="211" t="str">
        <f>IFERROR(__xludf.DUMMYFUNCTION("""COMPUTED_VALUE"""),"Bpk. Amer Ciro")</f>
        <v>Bpk. Amer Ciro</v>
      </c>
      <c r="U1500" s="215">
        <f>IFERROR(__xludf.DUMMYFUNCTION("""COMPUTED_VALUE"""),45951.525925925926)</f>
        <v>45951.52593</v>
      </c>
      <c r="V1500" s="211" t="str">
        <f>IFERROR(__xludf.DUMMYFUNCTION("""COMPUTED_VALUE"""),"HFJR+FV8 Bakungtemenggungan, Kabupaten Sidoarjo, Jawa Timur")</f>
        <v>HFJR+FV8 Bakungtemenggungan, Kabupaten Sidoarjo, Jawa Timur</v>
      </c>
      <c r="W1500" s="211" t="str">
        <f>IFERROR(__xludf.DUMMYFUNCTION("""COMPUTED_VALUE"""),"IN")</f>
        <v>IN</v>
      </c>
      <c r="X1500" s="211"/>
      <c r="AL1500" s="211"/>
      <c r="AM1500" s="211"/>
      <c r="AN1500" s="211"/>
      <c r="AO1500" s="211"/>
      <c r="AP1500" s="215"/>
      <c r="AQ1500" s="218"/>
      <c r="AR1500" s="211"/>
    </row>
    <row r="1501">
      <c r="A1501" s="210" t="str">
        <f>IFERROR(__xludf.DUMMYFUNCTION("""COMPUTED_VALUE"""),"1250505")</f>
        <v>1250505</v>
      </c>
      <c r="B1501" s="210" t="str">
        <f>IFERROR(__xludf.DUMMYFUNCTION("""COMPUTED_VALUE"""),"1250505")</f>
        <v>1250505</v>
      </c>
      <c r="C1501" s="213">
        <f>IFERROR(__xludf.DUMMYFUNCTION("""COMPUTED_VALUE"""),45876.81653935185)</f>
        <v>45876.81654</v>
      </c>
      <c r="D1501" s="211" t="str">
        <f>IFERROR(__xludf.DUMMYFUNCTION("""COMPUTED_VALUE"""),"5f23ba17")</f>
        <v>5f23ba17</v>
      </c>
      <c r="E1501" s="211" t="str">
        <f>IFERROR(__xludf.DUMMYFUNCTION("""COMPUTED_VALUE"""),"Bpk. Joko (Gresik)")</f>
        <v>Bpk. Joko (Gresik)</v>
      </c>
      <c r="F1501" s="211" t="str">
        <f>IFERROR(__xludf.DUMMYFUNCTION("""COMPUTED_VALUE"""),"f6aab7a9")</f>
        <v>f6aab7a9</v>
      </c>
      <c r="G1501" s="211" t="str">
        <f>IFERROR(__xludf.DUMMYFUNCTION("""COMPUTED_VALUE"""),"Oksigen 6m3 MR")</f>
        <v>Oksigen 6m3 MR</v>
      </c>
      <c r="H1501" s="211" t="str">
        <f>IFERROR(__xludf.DUMMYFUNCTION("""COMPUTED_VALUE"""),"IN")</f>
        <v>IN</v>
      </c>
      <c r="I1501" s="211" t="str">
        <f>IFERROR(__xludf.DUMMYFUNCTION("""COMPUTED_VALUE"""),"EMPTY")</f>
        <v>EMPTY</v>
      </c>
      <c r="J1501" s="211">
        <f>IFERROR(__xludf.DUMMYFUNCTION("""COMPUTED_VALUE"""),5.0)</f>
        <v>5</v>
      </c>
      <c r="K1501" s="211"/>
      <c r="L1501" s="211">
        <f>IFERROR(__xludf.DUMMYFUNCTION("""COMPUTED_VALUE"""),0.0)</f>
        <v>0</v>
      </c>
      <c r="M1501" s="211"/>
      <c r="N1501" s="211"/>
      <c r="O1501" s="211"/>
      <c r="Q1501" s="210" t="str">
        <f>IFERROR(__xludf.DUMMYFUNCTION("""COMPUTED_VALUE"""),"1025241499")</f>
        <v>1025241499</v>
      </c>
      <c r="R1501" s="210" t="str">
        <f>IFERROR(__xludf.DUMMYFUNCTION("""COMPUTED_VALUE"""),"1025241499")</f>
        <v>1025241499</v>
      </c>
      <c r="S1501" s="211" t="str">
        <f>IFERROR(__xludf.DUMMYFUNCTION("""COMPUTED_VALUE"""),"ec231cc9")</f>
        <v>ec231cc9</v>
      </c>
      <c r="T1501" s="211" t="str">
        <f>IFERROR(__xludf.DUMMYFUNCTION("""COMPUTED_VALUE"""),"Bpk. Kohir (Maintenance Velg)")</f>
        <v>Bpk. Kohir (Maintenance Velg)</v>
      </c>
      <c r="U1501" s="215">
        <f>IFERROR(__xludf.DUMMYFUNCTION("""COMPUTED_VALUE"""),45951.53780092593)</f>
        <v>45951.5378</v>
      </c>
      <c r="V1501" s="211" t="str">
        <f>IFERROR(__xludf.DUMMYFUNCTION("""COMPUTED_VALUE"""),"Jl. Lkr. Bypass Krian Timur, Sidogolong, Watugolong, Kec. Krian, Kabupaten Sidoarjo, Jawa Timur 61262")</f>
        <v>Jl. Lkr. Bypass Krian Timur, Sidogolong, Watugolong, Kec. Krian, Kabupaten Sidoarjo, Jawa Timur 61262</v>
      </c>
      <c r="W1501" s="211" t="str">
        <f>IFERROR(__xludf.DUMMYFUNCTION("""COMPUTED_VALUE"""),"OUT")</f>
        <v>OUT</v>
      </c>
      <c r="X1501" s="211"/>
      <c r="AL1501" s="211"/>
      <c r="AM1501" s="211"/>
      <c r="AN1501" s="211"/>
      <c r="AO1501" s="211"/>
      <c r="AP1501" s="215"/>
      <c r="AQ1501" s="218"/>
      <c r="AR1501" s="211"/>
    </row>
    <row r="1502">
      <c r="A1502" s="210" t="str">
        <f>IFERROR(__xludf.DUMMYFUNCTION("""COMPUTED_VALUE"""),"1250504")</f>
        <v>1250504</v>
      </c>
      <c r="B1502" s="210" t="str">
        <f>IFERROR(__xludf.DUMMYFUNCTION("""COMPUTED_VALUE"""),"1250504")</f>
        <v>1250504</v>
      </c>
      <c r="C1502" s="213">
        <f>IFERROR(__xludf.DUMMYFUNCTION("""COMPUTED_VALUE"""),45876.81722222222)</f>
        <v>45876.81722</v>
      </c>
      <c r="D1502" s="211" t="str">
        <f>IFERROR(__xludf.DUMMYFUNCTION("""COMPUTED_VALUE"""),"b2b5f2c5")</f>
        <v>b2b5f2c5</v>
      </c>
      <c r="E1502" s="211" t="str">
        <f>IFERROR(__xludf.DUMMYFUNCTION("""COMPUTED_VALUE"""),"Bengkel Las Bpk. Ari")</f>
        <v>Bengkel Las Bpk. Ari</v>
      </c>
      <c r="F1502" s="211" t="str">
        <f>IFERROR(__xludf.DUMMYFUNCTION("""COMPUTED_VALUE"""),"8bdbe149")</f>
        <v>8bdbe149</v>
      </c>
      <c r="G1502" s="211" t="str">
        <f>IFERROR(__xludf.DUMMYFUNCTION("""COMPUTED_VALUE"""),"Oksigen 6m3")</f>
        <v>Oksigen 6m3</v>
      </c>
      <c r="H1502" s="211" t="str">
        <f>IFERROR(__xludf.DUMMYFUNCTION("""COMPUTED_VALUE"""),"IN")</f>
        <v>IN</v>
      </c>
      <c r="I1502" s="211" t="str">
        <f>IFERROR(__xludf.DUMMYFUNCTION("""COMPUTED_VALUE"""),"EMPTY")</f>
        <v>EMPTY</v>
      </c>
      <c r="J1502" s="211">
        <f>IFERROR(__xludf.DUMMYFUNCTION("""COMPUTED_VALUE"""),3.0)</f>
        <v>3</v>
      </c>
      <c r="K1502" s="210" t="str">
        <f>IFERROR(__xludf.DUMMYFUNCTION("""COMPUTED_VALUE"""),"11220 1122 11239")</f>
        <v>11220 1122 11239</v>
      </c>
      <c r="L1502" s="211">
        <f>IFERROR(__xludf.DUMMYFUNCTION("""COMPUTED_VALUE"""),0.0)</f>
        <v>0</v>
      </c>
      <c r="M1502" s="211"/>
      <c r="N1502" s="211"/>
      <c r="O1502" s="211"/>
      <c r="Q1502" s="210" t="str">
        <f>IFERROR(__xludf.DUMMYFUNCTION("""COMPUTED_VALUE"""),"1250701")</f>
        <v>1250701</v>
      </c>
      <c r="R1502" s="210" t="str">
        <f>IFERROR(__xludf.DUMMYFUNCTION("""COMPUTED_VALUE"""),"1250701")</f>
        <v>1250701</v>
      </c>
      <c r="S1502" s="211" t="str">
        <f>IFERROR(__xludf.DUMMYFUNCTION("""COMPUTED_VALUE"""),"8f5ebaea")</f>
        <v>8f5ebaea</v>
      </c>
      <c r="T1502" s="211" t="str">
        <f>IFERROR(__xludf.DUMMYFUNCTION("""COMPUTED_VALUE"""),"PT Hua Zong Mesindo")</f>
        <v>PT Hua Zong Mesindo</v>
      </c>
      <c r="U1502" s="215">
        <f>IFERROR(__xludf.DUMMYFUNCTION("""COMPUTED_VALUE"""),45951.65675925926)</f>
        <v>45951.65676</v>
      </c>
      <c r="V1502" s="211" t="str">
        <f>IFERROR(__xludf.DUMMYFUNCTION("""COMPUTED_VALUE"""),"Jl. Bypass Krian, Sidotemo, Sidomulyo, Kec. Krian, Kabupaten Sidoarjo, Jawa Timur 61262")</f>
        <v>Jl. Bypass Krian, Sidotemo, Sidomulyo, Kec. Krian, Kabupaten Sidoarjo, Jawa Timur 61262</v>
      </c>
      <c r="W1502" s="211" t="str">
        <f>IFERROR(__xludf.DUMMYFUNCTION("""COMPUTED_VALUE"""),"IN")</f>
        <v>IN</v>
      </c>
      <c r="X1502" s="211"/>
      <c r="AL1502" s="211"/>
      <c r="AM1502" s="211"/>
      <c r="AN1502" s="211"/>
      <c r="AO1502" s="211"/>
      <c r="AP1502" s="215"/>
      <c r="AQ1502" s="218"/>
      <c r="AR1502" s="211"/>
    </row>
    <row r="1503">
      <c r="A1503" s="210" t="str">
        <f>IFERROR(__xludf.DUMMYFUNCTION("""COMPUTED_VALUE"""),"0825231100")</f>
        <v>0825231100</v>
      </c>
      <c r="B1503" s="210" t="str">
        <f>IFERROR(__xludf.DUMMYFUNCTION("""COMPUTED_VALUE"""),"0825231100")</f>
        <v>0825231100</v>
      </c>
      <c r="C1503" s="213">
        <f>IFERROR(__xludf.DUMMYFUNCTION("""COMPUTED_VALUE"""),45877.38659722222)</f>
        <v>45877.3866</v>
      </c>
      <c r="D1503" s="211" t="str">
        <f>IFERROR(__xludf.DUMMYFUNCTION("""COMPUTED_VALUE"""),"5f23ba17")</f>
        <v>5f23ba17</v>
      </c>
      <c r="E1503" s="211" t="str">
        <f>IFERROR(__xludf.DUMMYFUNCTION("""COMPUTED_VALUE"""),"Bpk. Joko (Gresik)")</f>
        <v>Bpk. Joko (Gresik)</v>
      </c>
      <c r="F1503" s="211" t="str">
        <f>IFERROR(__xludf.DUMMYFUNCTION("""COMPUTED_VALUE"""),"f6aab7a9")</f>
        <v>f6aab7a9</v>
      </c>
      <c r="G1503" s="211" t="str">
        <f>IFERROR(__xludf.DUMMYFUNCTION("""COMPUTED_VALUE"""),"Oksigen 6m3 MR")</f>
        <v>Oksigen 6m3 MR</v>
      </c>
      <c r="H1503" s="211" t="str">
        <f>IFERROR(__xludf.DUMMYFUNCTION("""COMPUTED_VALUE"""),"OUT")</f>
        <v>OUT</v>
      </c>
      <c r="I1503" s="211" t="str">
        <f>IFERROR(__xludf.DUMMYFUNCTION("""COMPUTED_VALUE"""),"NORMAL")</f>
        <v>NORMAL</v>
      </c>
      <c r="J1503" s="211">
        <f>IFERROR(__xludf.DUMMYFUNCTION("""COMPUTED_VALUE"""),5.0)</f>
        <v>5</v>
      </c>
      <c r="K1503" s="211"/>
      <c r="L1503" s="211">
        <f>IFERROR(__xludf.DUMMYFUNCTION("""COMPUTED_VALUE"""),55000.0)</f>
        <v>55000</v>
      </c>
      <c r="M1503" s="211"/>
      <c r="N1503" s="211"/>
      <c r="O1503" s="211"/>
      <c r="Q1503" s="210" t="str">
        <f>IFERROR(__xludf.DUMMYFUNCTION("""COMPUTED_VALUE"""),"1250702")</f>
        <v>1250702</v>
      </c>
      <c r="R1503" s="210" t="str">
        <f>IFERROR(__xludf.DUMMYFUNCTION("""COMPUTED_VALUE"""),"1250702")</f>
        <v>1250702</v>
      </c>
      <c r="S1503" s="211" t="str">
        <f>IFERROR(__xludf.DUMMYFUNCTION("""COMPUTED_VALUE"""),"7b9d8eba")</f>
        <v>7b9d8eba</v>
      </c>
      <c r="T1503" s="211" t="str">
        <f>IFERROR(__xludf.DUMMYFUNCTION("""COMPUTED_VALUE"""),"PT PELANGI INDOKARYA")</f>
        <v>PT PELANGI INDOKARYA</v>
      </c>
      <c r="U1503" s="215">
        <f>IFERROR(__xludf.DUMMYFUNCTION("""COMPUTED_VALUE"""),45951.658900462964)</f>
        <v>45951.6589</v>
      </c>
      <c r="V150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503" s="211" t="str">
        <f>IFERROR(__xludf.DUMMYFUNCTION("""COMPUTED_VALUE"""),"IN")</f>
        <v>IN</v>
      </c>
      <c r="X1503" s="211"/>
      <c r="AL1503" s="211"/>
      <c r="AM1503" s="211"/>
      <c r="AN1503" s="211"/>
      <c r="AO1503" s="211"/>
      <c r="AP1503" s="215"/>
      <c r="AQ1503" s="218"/>
      <c r="AR1503" s="211"/>
    </row>
    <row r="1504">
      <c r="A1504" s="211"/>
      <c r="B1504" s="211"/>
      <c r="C1504" s="211"/>
      <c r="D1504" s="211"/>
      <c r="E1504" s="211"/>
      <c r="F1504" s="211"/>
      <c r="G1504" s="211"/>
      <c r="H1504" s="211"/>
      <c r="I1504" s="211"/>
      <c r="J1504" s="211"/>
      <c r="K1504" s="211"/>
      <c r="L1504" s="211">
        <f>IFERROR(__xludf.DUMMYFUNCTION("""COMPUTED_VALUE"""),45000.0)</f>
        <v>45000</v>
      </c>
      <c r="M1504" s="211"/>
      <c r="N1504" s="211"/>
      <c r="O1504" s="211"/>
      <c r="Q1504" s="210" t="str">
        <f>IFERROR(__xludf.DUMMYFUNCTION("""COMPUTED_VALUE"""),"1250703")</f>
        <v>1250703</v>
      </c>
      <c r="R1504" s="210" t="str">
        <f>IFERROR(__xludf.DUMMYFUNCTION("""COMPUTED_VALUE"""),"1250703")</f>
        <v>1250703</v>
      </c>
      <c r="S1504" s="211" t="str">
        <f>IFERROR(__xludf.DUMMYFUNCTION("""COMPUTED_VALUE"""),"2d88931c")</f>
        <v>2d88931c</v>
      </c>
      <c r="T1504" s="211" t="str">
        <f>IFERROR(__xludf.DUMMYFUNCTION("""COMPUTED_VALUE"""),"PT Dunia Berkat Marga Mulya")</f>
        <v>PT Dunia Berkat Marga Mulya</v>
      </c>
      <c r="U1504" s="215">
        <f>IFERROR(__xludf.DUMMYFUNCTION("""COMPUTED_VALUE"""),45951.65961805556)</f>
        <v>45951.65962</v>
      </c>
      <c r="V1504" s="211" t="str">
        <f>IFERROR(__xludf.DUMMYFUNCTION("""COMPUTED_VALUE"""),"JL JABARAN, WATESARI, BALONGBENDO, SIDOARJO, JAWA TIMUR")</f>
        <v>JL JABARAN, WATESARI, BALONGBENDO, SIDOARJO, JAWA TIMUR</v>
      </c>
      <c r="W1504" s="211" t="str">
        <f>IFERROR(__xludf.DUMMYFUNCTION("""COMPUTED_VALUE"""),"IN")</f>
        <v>IN</v>
      </c>
      <c r="X1504" s="211"/>
      <c r="AL1504" s="211"/>
      <c r="AM1504" s="211"/>
      <c r="AN1504" s="211"/>
      <c r="AO1504" s="211"/>
      <c r="AP1504" s="215"/>
      <c r="AQ1504" s="218"/>
      <c r="AR1504" s="211"/>
    </row>
    <row r="1505">
      <c r="A1505" s="210" t="str">
        <f>IFERROR(__xludf.DUMMYFUNCTION("""COMPUTED_VALUE"""),"0825251104")</f>
        <v>0825251104</v>
      </c>
      <c r="B1505" s="210" t="str">
        <f>IFERROR(__xludf.DUMMYFUNCTION("""COMPUTED_VALUE"""),"0825251104")</f>
        <v>0825251104</v>
      </c>
      <c r="C1505" s="213">
        <f>IFERROR(__xludf.DUMMYFUNCTION("""COMPUTED_VALUE"""),45877.45050925926)</f>
        <v>45877.45051</v>
      </c>
      <c r="D1505" s="211" t="str">
        <f>IFERROR(__xludf.DUMMYFUNCTION("""COMPUTED_VALUE"""),"01158be1")</f>
        <v>01158be1</v>
      </c>
      <c r="E1505" s="211" t="str">
        <f>IFERROR(__xludf.DUMMYFUNCTION("""COMPUTED_VALUE"""),"GYF")</f>
        <v>GYF</v>
      </c>
      <c r="F1505" s="211" t="str">
        <f>IFERROR(__xludf.DUMMYFUNCTION("""COMPUTED_VALUE"""),"8bdbe149")</f>
        <v>8bdbe149</v>
      </c>
      <c r="G1505" s="211" t="str">
        <f>IFERROR(__xludf.DUMMYFUNCTION("""COMPUTED_VALUE"""),"Oksigen 6m3")</f>
        <v>Oksigen 6m3</v>
      </c>
      <c r="H1505" s="211" t="str">
        <f>IFERROR(__xludf.DUMMYFUNCTION("""COMPUTED_VALUE"""),"OUT")</f>
        <v>OUT</v>
      </c>
      <c r="I1505" s="211" t="str">
        <f>IFERROR(__xludf.DUMMYFUNCTION("""COMPUTED_VALUE"""),"NORMAL")</f>
        <v>NORMAL</v>
      </c>
      <c r="J1505" s="211">
        <f>IFERROR(__xludf.DUMMYFUNCTION("""COMPUTED_VALUE"""),10.0)</f>
        <v>10</v>
      </c>
      <c r="K1505" s="210" t="str">
        <f>IFERROR(__xludf.DUMMYFUNCTION("""COMPUTED_VALUE"""),"11200 11102 11178 11285 1198 1148 1111 1139 11101 11176")</f>
        <v>11200 11102 11178 11285 1198 1148 1111 1139 11101 11176</v>
      </c>
      <c r="L1505" s="211">
        <f>IFERROR(__xludf.DUMMYFUNCTION("""COMPUTED_VALUE"""),45000.0)</f>
        <v>45000</v>
      </c>
      <c r="M1505" s="211"/>
      <c r="N1505" s="211"/>
      <c r="O1505" s="211"/>
      <c r="Q1505" s="210" t="str">
        <f>IFERROR(__xludf.DUMMYFUNCTION("""COMPUTED_VALUE"""),"1250683")</f>
        <v>1250683</v>
      </c>
      <c r="R1505" s="210" t="str">
        <f>IFERROR(__xludf.DUMMYFUNCTION("""COMPUTED_VALUE"""),"1250683")</f>
        <v>1250683</v>
      </c>
      <c r="S1505" s="211" t="str">
        <f>IFERROR(__xludf.DUMMYFUNCTION("""COMPUTED_VALUE"""),"01158be1")</f>
        <v>01158be1</v>
      </c>
      <c r="T1505" s="211" t="str">
        <f>IFERROR(__xludf.DUMMYFUNCTION("""COMPUTED_VALUE"""),"GYF")</f>
        <v>GYF</v>
      </c>
      <c r="U1505" s="215">
        <f>IFERROR(__xludf.DUMMYFUNCTION("""COMPUTED_VALUE"""),45951.66751157407)</f>
        <v>45951.66751</v>
      </c>
      <c r="V1505" s="211" t="str">
        <f>IFERROR(__xludf.DUMMYFUNCTION("""COMPUTED_VALUE"""),"Kangkungan, Lengkong, Kec. Mojoanyar, Kabupaten Mojokerto, Jawa Timur")</f>
        <v>Kangkungan, Lengkong, Kec. Mojoanyar, Kabupaten Mojokerto, Jawa Timur</v>
      </c>
      <c r="W1505" s="211" t="str">
        <f>IFERROR(__xludf.DUMMYFUNCTION("""COMPUTED_VALUE"""),"IN")</f>
        <v>IN</v>
      </c>
      <c r="X1505" s="211"/>
      <c r="AL1505" s="211"/>
      <c r="AM1505" s="211"/>
      <c r="AN1505" s="211"/>
      <c r="AO1505" s="211"/>
      <c r="AP1505" s="215"/>
      <c r="AQ1505" s="218"/>
      <c r="AR1505" s="211"/>
    </row>
    <row r="1506">
      <c r="A1506" s="210" t="str">
        <f>IFERROR(__xludf.DUMMYFUNCTION("""COMPUTED_VALUE"""),"0825251104")</f>
        <v>0825251104</v>
      </c>
      <c r="B1506" s="210" t="str">
        <f>IFERROR(__xludf.DUMMYFUNCTION("""COMPUTED_VALUE"""),"0825251104")</f>
        <v>0825251104</v>
      </c>
      <c r="C1506" s="213">
        <f>IFERROR(__xludf.DUMMYFUNCTION("""COMPUTED_VALUE"""),45877.45050925926)</f>
        <v>45877.45051</v>
      </c>
      <c r="D1506" s="211" t="str">
        <f>IFERROR(__xludf.DUMMYFUNCTION("""COMPUTED_VALUE"""),"01158be1")</f>
        <v>01158be1</v>
      </c>
      <c r="E1506" s="211" t="str">
        <f>IFERROR(__xludf.DUMMYFUNCTION("""COMPUTED_VALUE"""),"GYF")</f>
        <v>GYF</v>
      </c>
      <c r="F1506" s="211" t="str">
        <f>IFERROR(__xludf.DUMMYFUNCTION("""COMPUTED_VALUE"""),"8bdbe149")</f>
        <v>8bdbe149</v>
      </c>
      <c r="G1506" s="211" t="str">
        <f>IFERROR(__xludf.DUMMYFUNCTION("""COMPUTED_VALUE"""),"Oksigen 6m3")</f>
        <v>Oksigen 6m3</v>
      </c>
      <c r="H1506" s="211" t="str">
        <f>IFERROR(__xludf.DUMMYFUNCTION("""COMPUTED_VALUE"""),"OUT")</f>
        <v>OUT</v>
      </c>
      <c r="I1506" s="211" t="str">
        <f>IFERROR(__xludf.DUMMYFUNCTION("""COMPUTED_VALUE"""),"NORMAL")</f>
        <v>NORMAL</v>
      </c>
      <c r="J1506" s="211">
        <f>IFERROR(__xludf.DUMMYFUNCTION("""COMPUTED_VALUE"""),5.0)</f>
        <v>5</v>
      </c>
      <c r="K1506" s="210" t="str">
        <f>IFERROR(__xludf.DUMMYFUNCTION("""COMPUTED_VALUE"""),"11289 11282 11187 11183 11204")</f>
        <v>11289 11282 11187 11183 11204</v>
      </c>
      <c r="L1506" s="211">
        <f>IFERROR(__xludf.DUMMYFUNCTION("""COMPUTED_VALUE"""),45000.0)</f>
        <v>45000</v>
      </c>
      <c r="M1506" s="211"/>
      <c r="N1506" s="211"/>
      <c r="O1506" s="211"/>
      <c r="Q1506" s="210" t="str">
        <f>IFERROR(__xludf.DUMMYFUNCTION("""COMPUTED_VALUE"""),"1025251502")</f>
        <v>1025251502</v>
      </c>
      <c r="R1506" s="210" t="str">
        <f>IFERROR(__xludf.DUMMYFUNCTION("""COMPUTED_VALUE"""),"1025251502")</f>
        <v>1025251502</v>
      </c>
      <c r="S1506" s="211" t="str">
        <f>IFERROR(__xludf.DUMMYFUNCTION("""COMPUTED_VALUE"""),"b2b5f2c5")</f>
        <v>b2b5f2c5</v>
      </c>
      <c r="T1506" s="211" t="str">
        <f>IFERROR(__xludf.DUMMYFUNCTION("""COMPUTED_VALUE"""),"Bengkel Las Bpk. Ari")</f>
        <v>Bengkel Las Bpk. Ari</v>
      </c>
      <c r="U1506" s="215">
        <f>IFERROR(__xludf.DUMMYFUNCTION("""COMPUTED_VALUE"""),45952.34341435185)</f>
        <v>45952.34341</v>
      </c>
      <c r="V1506" s="211" t="str">
        <f>IFERROR(__xludf.DUMMYFUNCTION("""COMPUTED_VALUE"""),"Sumber Kembar, Wonodadi, Kec. Kutorejo, Kabupaten Mojokerto, Jawa Timur")</f>
        <v>Sumber Kembar, Wonodadi, Kec. Kutorejo, Kabupaten Mojokerto, Jawa Timur</v>
      </c>
      <c r="W1506" s="211" t="str">
        <f>IFERROR(__xludf.DUMMYFUNCTION("""COMPUTED_VALUE"""),"OUT")</f>
        <v>OUT</v>
      </c>
      <c r="X1506" s="211"/>
      <c r="AL1506" s="211"/>
      <c r="AM1506" s="211"/>
      <c r="AN1506" s="211"/>
      <c r="AO1506" s="211"/>
      <c r="AP1506" s="215"/>
      <c r="AQ1506" s="218"/>
      <c r="AR1506" s="211"/>
    </row>
    <row r="1507">
      <c r="A1507" s="210" t="str">
        <f>IFERROR(__xludf.DUMMYFUNCTION("""COMPUTED_VALUE"""),"1250502")</f>
        <v>1250502</v>
      </c>
      <c r="B1507" s="210" t="str">
        <f>IFERROR(__xludf.DUMMYFUNCTION("""COMPUTED_VALUE"""),"1250502")</f>
        <v>1250502</v>
      </c>
      <c r="C1507" s="213">
        <f>IFERROR(__xludf.DUMMYFUNCTION("""COMPUTED_VALUE"""),45877.467152777775)</f>
        <v>45877.46715</v>
      </c>
      <c r="D1507" s="211" t="str">
        <f>IFERROR(__xludf.DUMMYFUNCTION("""COMPUTED_VALUE"""),"3bcd7fe6")</f>
        <v>3bcd7fe6</v>
      </c>
      <c r="E1507" s="211" t="str">
        <f>IFERROR(__xludf.DUMMYFUNCTION("""COMPUTED_VALUE"""),"Bpk. Alvin (LB Group)")</f>
        <v>Bpk. Alvin (LB Group)</v>
      </c>
      <c r="F1507" s="211" t="str">
        <f>IFERROR(__xludf.DUMMYFUNCTION("""COMPUTED_VALUE"""),"8bdbe149")</f>
        <v>8bdbe149</v>
      </c>
      <c r="G1507" s="211" t="str">
        <f>IFERROR(__xludf.DUMMYFUNCTION("""COMPUTED_VALUE"""),"Oksigen 6m3")</f>
        <v>Oksigen 6m3</v>
      </c>
      <c r="H1507" s="211" t="str">
        <f>IFERROR(__xludf.DUMMYFUNCTION("""COMPUTED_VALUE"""),"IN")</f>
        <v>IN</v>
      </c>
      <c r="I1507" s="211" t="str">
        <f>IFERROR(__xludf.DUMMYFUNCTION("""COMPUTED_VALUE"""),"EMPTY")</f>
        <v>EMPTY</v>
      </c>
      <c r="J1507" s="211">
        <f>IFERROR(__xludf.DUMMYFUNCTION("""COMPUTED_VALUE"""),1.0)</f>
        <v>1</v>
      </c>
      <c r="K1507" s="210" t="str">
        <f>IFERROR(__xludf.DUMMYFUNCTION("""COMPUTED_VALUE"""),"11228")</f>
        <v>11228</v>
      </c>
      <c r="L1507" s="211">
        <f>IFERROR(__xludf.DUMMYFUNCTION("""COMPUTED_VALUE"""),0.0)</f>
        <v>0</v>
      </c>
      <c r="M1507" s="211"/>
      <c r="N1507" s="211"/>
      <c r="O1507" s="211"/>
      <c r="Q1507" s="210" t="str">
        <f>IFERROR(__xludf.DUMMYFUNCTION("""COMPUTED_VALUE"""),"4102521497")</f>
        <v>4102521497</v>
      </c>
      <c r="R1507" s="210" t="str">
        <f>IFERROR(__xludf.DUMMYFUNCTION("""COMPUTED_VALUE"""),"4102521497")</f>
        <v>4102521497</v>
      </c>
      <c r="S1507" s="211" t="str">
        <f>IFERROR(__xludf.DUMMYFUNCTION("""COMPUTED_VALUE"""),"b2b5f2c5")</f>
        <v>b2b5f2c5</v>
      </c>
      <c r="T1507" s="211" t="str">
        <f>IFERROR(__xludf.DUMMYFUNCTION("""COMPUTED_VALUE"""),"Bengkel Las Bpk. Ari")</f>
        <v>Bengkel Las Bpk. Ari</v>
      </c>
      <c r="U1507" s="215">
        <f>IFERROR(__xludf.DUMMYFUNCTION("""COMPUTED_VALUE"""),45952.34517361111)</f>
        <v>45952.34517</v>
      </c>
      <c r="V1507" s="211" t="str">
        <f>IFERROR(__xludf.DUMMYFUNCTION("""COMPUTED_VALUE"""),"Sumber Kembar, Wonodadi, Kec. Kutorejo, Kabupaten Mojokerto, Jawa Timur")</f>
        <v>Sumber Kembar, Wonodadi, Kec. Kutorejo, Kabupaten Mojokerto, Jawa Timur</v>
      </c>
      <c r="W1507" s="211" t="str">
        <f>IFERROR(__xludf.DUMMYFUNCTION("""COMPUTED_VALUE"""),"OTHER")</f>
        <v>OTHER</v>
      </c>
      <c r="X1507" s="211"/>
      <c r="AL1507" s="211"/>
      <c r="AM1507" s="211"/>
      <c r="AN1507" s="211"/>
      <c r="AO1507" s="211"/>
      <c r="AP1507" s="215"/>
      <c r="AQ1507" s="218"/>
      <c r="AR1507" s="211"/>
    </row>
    <row r="1508">
      <c r="A1508" s="210" t="str">
        <f>IFERROR(__xludf.DUMMYFUNCTION("""COMPUTED_VALUE"""),"1250501")</f>
        <v>1250501</v>
      </c>
      <c r="B1508" s="210" t="str">
        <f>IFERROR(__xludf.DUMMYFUNCTION("""COMPUTED_VALUE"""),"1250501")</f>
        <v>1250501</v>
      </c>
      <c r="C1508" s="213">
        <f>IFERROR(__xludf.DUMMYFUNCTION("""COMPUTED_VALUE"""),45877.59657407407)</f>
        <v>45877.59657</v>
      </c>
      <c r="D1508" s="211" t="str">
        <f>IFERROR(__xludf.DUMMYFUNCTION("""COMPUTED_VALUE"""),"01158be1")</f>
        <v>01158be1</v>
      </c>
      <c r="E1508" s="211" t="str">
        <f>IFERROR(__xludf.DUMMYFUNCTION("""COMPUTED_VALUE"""),"GYF")</f>
        <v>GYF</v>
      </c>
      <c r="F1508" s="211" t="str">
        <f>IFERROR(__xludf.DUMMYFUNCTION("""COMPUTED_VALUE"""),"8bdbe149")</f>
        <v>8bdbe149</v>
      </c>
      <c r="G1508" s="211" t="str">
        <f>IFERROR(__xludf.DUMMYFUNCTION("""COMPUTED_VALUE"""),"Oksigen 6m3")</f>
        <v>Oksigen 6m3</v>
      </c>
      <c r="H1508" s="211" t="str">
        <f>IFERROR(__xludf.DUMMYFUNCTION("""COMPUTED_VALUE"""),"IN")</f>
        <v>IN</v>
      </c>
      <c r="I1508" s="211" t="str">
        <f>IFERROR(__xludf.DUMMYFUNCTION("""COMPUTED_VALUE"""),"CLAIM")</f>
        <v>CLAIM</v>
      </c>
      <c r="J1508" s="211">
        <f>IFERROR(__xludf.DUMMYFUNCTION("""COMPUTED_VALUE"""),1.0)</f>
        <v>1</v>
      </c>
      <c r="K1508" s="210" t="str">
        <f>IFERROR(__xludf.DUMMYFUNCTION("""COMPUTED_VALUE"""),"1162")</f>
        <v>1162</v>
      </c>
      <c r="L1508" s="211">
        <f>IFERROR(__xludf.DUMMYFUNCTION("""COMPUTED_VALUE"""),0.0)</f>
        <v>0</v>
      </c>
      <c r="M1508" s="211"/>
      <c r="N1508" s="211"/>
      <c r="O1508" s="211"/>
      <c r="Q1508" s="210" t="str">
        <f>IFERROR(__xludf.DUMMYFUNCTION("""COMPUTED_VALUE"""),"1250704")</f>
        <v>1250704</v>
      </c>
      <c r="R1508" s="210" t="str">
        <f>IFERROR(__xludf.DUMMYFUNCTION("""COMPUTED_VALUE"""),"1250704")</f>
        <v>1250704</v>
      </c>
      <c r="S1508" s="211" t="str">
        <f>IFERROR(__xludf.DUMMYFUNCTION("""COMPUTED_VALUE"""),"b2b5f2c5")</f>
        <v>b2b5f2c5</v>
      </c>
      <c r="T1508" s="211" t="str">
        <f>IFERROR(__xludf.DUMMYFUNCTION("""COMPUTED_VALUE"""),"Bengkel Las Bpk. Ari")</f>
        <v>Bengkel Las Bpk. Ari</v>
      </c>
      <c r="U1508" s="215">
        <f>IFERROR(__xludf.DUMMYFUNCTION("""COMPUTED_VALUE"""),45952.449525462966)</f>
        <v>45952.44953</v>
      </c>
      <c r="V1508" s="211" t="str">
        <f>IFERROR(__xludf.DUMMYFUNCTION("""COMPUTED_VALUE"""),"Sumber Kembar, Wonodadi, Kec. Kutorejo, Kabupaten Mojokerto, Jawa Timur")</f>
        <v>Sumber Kembar, Wonodadi, Kec. Kutorejo, Kabupaten Mojokerto, Jawa Timur</v>
      </c>
      <c r="W1508" s="211" t="str">
        <f>IFERROR(__xludf.DUMMYFUNCTION("""COMPUTED_VALUE"""),"IN")</f>
        <v>IN</v>
      </c>
      <c r="X1508" s="211"/>
      <c r="AL1508" s="211"/>
      <c r="AM1508" s="211"/>
      <c r="AN1508" s="211"/>
      <c r="AO1508" s="211"/>
      <c r="AP1508" s="215"/>
      <c r="AQ1508" s="218"/>
      <c r="AR1508" s="211"/>
    </row>
    <row r="1509">
      <c r="A1509" s="210" t="str">
        <f>IFERROR(__xludf.DUMMYFUNCTION("""COMPUTED_VALUE"""),"1250501")</f>
        <v>1250501</v>
      </c>
      <c r="B1509" s="210" t="str">
        <f>IFERROR(__xludf.DUMMYFUNCTION("""COMPUTED_VALUE"""),"1250501")</f>
        <v>1250501</v>
      </c>
      <c r="C1509" s="213">
        <f>IFERROR(__xludf.DUMMYFUNCTION("""COMPUTED_VALUE"""),45877.59657407407)</f>
        <v>45877.59657</v>
      </c>
      <c r="D1509" s="211" t="str">
        <f>IFERROR(__xludf.DUMMYFUNCTION("""COMPUTED_VALUE"""),"01158be1")</f>
        <v>01158be1</v>
      </c>
      <c r="E1509" s="211" t="str">
        <f>IFERROR(__xludf.DUMMYFUNCTION("""COMPUTED_VALUE"""),"GYF")</f>
        <v>GYF</v>
      </c>
      <c r="F1509" s="211" t="str">
        <f>IFERROR(__xludf.DUMMYFUNCTION("""COMPUTED_VALUE"""),"8bdbe149")</f>
        <v>8bdbe149</v>
      </c>
      <c r="G1509" s="211" t="str">
        <f>IFERROR(__xludf.DUMMYFUNCTION("""COMPUTED_VALUE"""),"Oksigen 6m3")</f>
        <v>Oksigen 6m3</v>
      </c>
      <c r="H1509" s="211" t="str">
        <f>IFERROR(__xludf.DUMMYFUNCTION("""COMPUTED_VALUE"""),"IN")</f>
        <v>IN</v>
      </c>
      <c r="I1509" s="211" t="str">
        <f>IFERROR(__xludf.DUMMYFUNCTION("""COMPUTED_VALUE"""),"EMPTY")</f>
        <v>EMPTY</v>
      </c>
      <c r="J1509" s="211">
        <f>IFERROR(__xludf.DUMMYFUNCTION("""COMPUTED_VALUE"""),9.0)</f>
        <v>9</v>
      </c>
      <c r="K1509" s="210" t="str">
        <f>IFERROR(__xludf.DUMMYFUNCTION("""COMPUTED_VALUE"""),"11186 1125 11105 11245 1191 11278 11256 11154 11242")</f>
        <v>11186 1125 11105 11245 1191 11278 11256 11154 11242</v>
      </c>
      <c r="L1509" s="211">
        <f>IFERROR(__xludf.DUMMYFUNCTION("""COMPUTED_VALUE"""),0.0)</f>
        <v>0</v>
      </c>
      <c r="M1509" s="211"/>
      <c r="N1509" s="211"/>
      <c r="O1509" s="211"/>
      <c r="Q1509" s="210" t="str">
        <f>IFERROR(__xludf.DUMMYFUNCTION("""COMPUTED_VALUE"""),"102521507")</f>
        <v>102521507</v>
      </c>
      <c r="R1509" s="210" t="str">
        <f>IFERROR(__xludf.DUMMYFUNCTION("""COMPUTED_VALUE"""),"102521507")</f>
        <v>102521507</v>
      </c>
      <c r="S1509" s="211" t="str">
        <f>IFERROR(__xludf.DUMMYFUNCTION("""COMPUTED_VALUE"""),"440df1db")</f>
        <v>440df1db</v>
      </c>
      <c r="T1509" s="211" t="str">
        <f>IFERROR(__xludf.DUMMYFUNCTION("""COMPUTED_VALUE"""),"PT. Mecca Abadi Sejahtera")</f>
        <v>PT. Mecca Abadi Sejahtera</v>
      </c>
      <c r="U1509" s="215">
        <f>IFERROR(__xludf.DUMMYFUNCTION("""COMPUTED_VALUE"""),45952.4516087963)</f>
        <v>45952.45161</v>
      </c>
      <c r="V1509" s="211" t="str">
        <f>IFERROR(__xludf.DUMMYFUNCTION("""COMPUTED_VALUE"""),"Jl. Raya Sawocangkring, RT.006/RW.002, Sawo, Sawocangkring, Kec. Wonoayu, Kabupaten Sidoarjo, Jawa Timur 61261")</f>
        <v>Jl. Raya Sawocangkring, RT.006/RW.002, Sawo, Sawocangkring, Kec. Wonoayu, Kabupaten Sidoarjo, Jawa Timur 61261</v>
      </c>
      <c r="W1509" s="211" t="str">
        <f>IFERROR(__xludf.DUMMYFUNCTION("""COMPUTED_VALUE"""),"OUT")</f>
        <v>OUT</v>
      </c>
      <c r="X1509" s="211"/>
      <c r="AL1509" s="211"/>
      <c r="AM1509" s="211"/>
      <c r="AN1509" s="211"/>
      <c r="AO1509" s="211"/>
      <c r="AP1509" s="215"/>
      <c r="AQ1509" s="218"/>
      <c r="AR1509" s="211"/>
    </row>
    <row r="1510">
      <c r="A1510" s="210" t="str">
        <f>IFERROR(__xludf.DUMMYFUNCTION("""COMPUTED_VALUE"""),"0825251104")</f>
        <v>0825251104</v>
      </c>
      <c r="B1510" s="210" t="str">
        <f>IFERROR(__xludf.DUMMYFUNCTION("""COMPUTED_VALUE"""),"0825251104")</f>
        <v>0825251104</v>
      </c>
      <c r="C1510" s="213">
        <f>IFERROR(__xludf.DUMMYFUNCTION("""COMPUTED_VALUE"""),45877.45050925926)</f>
        <v>45877.45051</v>
      </c>
      <c r="D1510" s="211" t="str">
        <f>IFERROR(__xludf.DUMMYFUNCTION("""COMPUTED_VALUE"""),"01158be1")</f>
        <v>01158be1</v>
      </c>
      <c r="E1510" s="211" t="str">
        <f>IFERROR(__xludf.DUMMYFUNCTION("""COMPUTED_VALUE"""),"GYF")</f>
        <v>GYF</v>
      </c>
      <c r="F1510" s="211" t="str">
        <f>IFERROR(__xludf.DUMMYFUNCTION("""COMPUTED_VALUE"""),"8bdbe149")</f>
        <v>8bdbe149</v>
      </c>
      <c r="G1510" s="211" t="str">
        <f>IFERROR(__xludf.DUMMYFUNCTION("""COMPUTED_VALUE"""),"Oksigen 6m3")</f>
        <v>Oksigen 6m3</v>
      </c>
      <c r="H1510" s="211" t="str">
        <f>IFERROR(__xludf.DUMMYFUNCTION("""COMPUTED_VALUE"""),"OUT")</f>
        <v>OUT</v>
      </c>
      <c r="I1510" s="211" t="str">
        <f>IFERROR(__xludf.DUMMYFUNCTION("""COMPUTED_VALUE"""),"NORMAL")</f>
        <v>NORMAL</v>
      </c>
      <c r="J1510" s="211">
        <f>IFERROR(__xludf.DUMMYFUNCTION("""COMPUTED_VALUE"""),4.0)</f>
        <v>4</v>
      </c>
      <c r="K1510" s="210" t="str">
        <f>IFERROR(__xludf.DUMMYFUNCTION("""COMPUTED_VALUE"""),"11260 11110 11125 11118")</f>
        <v>11260 11110 11125 11118</v>
      </c>
      <c r="L1510" s="211">
        <f>IFERROR(__xludf.DUMMYFUNCTION("""COMPUTED_VALUE"""),45000.0)</f>
        <v>45000</v>
      </c>
      <c r="M1510" s="211"/>
      <c r="N1510" s="211"/>
      <c r="O1510" s="211"/>
      <c r="Q1510" s="210" t="str">
        <f>IFERROR(__xludf.DUMMYFUNCTION("""COMPUTED_VALUE"""),"1025251510")</f>
        <v>1025251510</v>
      </c>
      <c r="R1510" s="210" t="str">
        <f>IFERROR(__xludf.DUMMYFUNCTION("""COMPUTED_VALUE"""),"1025251510")</f>
        <v>1025251510</v>
      </c>
      <c r="S1510" s="211" t="str">
        <f>IFERROR(__xludf.DUMMYFUNCTION("""COMPUTED_VALUE"""),"8f5ebaea")</f>
        <v>8f5ebaea</v>
      </c>
      <c r="T1510" s="211" t="str">
        <f>IFERROR(__xludf.DUMMYFUNCTION("""COMPUTED_VALUE"""),"PT Hua Zong Mesindo")</f>
        <v>PT Hua Zong Mesindo</v>
      </c>
      <c r="U1510" s="215">
        <f>IFERROR(__xludf.DUMMYFUNCTION("""COMPUTED_VALUE"""),45952.45814814815)</f>
        <v>45952.45815</v>
      </c>
      <c r="V1510" s="211" t="str">
        <f>IFERROR(__xludf.DUMMYFUNCTION("""COMPUTED_VALUE"""),"Jl. Bypass Krian, Sidotemo, Sidomulyo, Kec. Krian, Kabupaten Sidoarjo, Jawa Timur 61262")</f>
        <v>Jl. Bypass Krian, Sidotemo, Sidomulyo, Kec. Krian, Kabupaten Sidoarjo, Jawa Timur 61262</v>
      </c>
      <c r="W1510" s="211" t="str">
        <f>IFERROR(__xludf.DUMMYFUNCTION("""COMPUTED_VALUE"""),"OUT")</f>
        <v>OUT</v>
      </c>
      <c r="X1510" s="211"/>
      <c r="AL1510" s="211"/>
      <c r="AM1510" s="211"/>
      <c r="AN1510" s="211"/>
      <c r="AO1510" s="211"/>
      <c r="AP1510" s="215"/>
      <c r="AQ1510" s="218"/>
      <c r="AR1510" s="211"/>
    </row>
    <row r="1511">
      <c r="A1511" s="210" t="str">
        <f>IFERROR(__xludf.DUMMYFUNCTION("""COMPUTED_VALUE"""),"4082521054")</f>
        <v>4082521054</v>
      </c>
      <c r="B1511" s="210" t="str">
        <f>IFERROR(__xludf.DUMMYFUNCTION("""COMPUTED_VALUE"""),"4082521054")</f>
        <v>4082521054</v>
      </c>
      <c r="C1511" s="213">
        <f>IFERROR(__xludf.DUMMYFUNCTION("""COMPUTED_VALUE"""),45877.60041666667)</f>
        <v>45877.60042</v>
      </c>
      <c r="D1511" s="211" t="str">
        <f>IFERROR(__xludf.DUMMYFUNCTION("""COMPUTED_VALUE"""),"01158be1")</f>
        <v>01158be1</v>
      </c>
      <c r="E1511" s="211" t="str">
        <f>IFERROR(__xludf.DUMMYFUNCTION("""COMPUTED_VALUE"""),"GYF")</f>
        <v>GYF</v>
      </c>
      <c r="F1511" s="211" t="str">
        <f>IFERROR(__xludf.DUMMYFUNCTION("""COMPUTED_VALUE"""),"8bdbe149")</f>
        <v>8bdbe149</v>
      </c>
      <c r="G1511" s="211" t="str">
        <f>IFERROR(__xludf.DUMMYFUNCTION("""COMPUTED_VALUE"""),"Oksigen 6m3")</f>
        <v>Oksigen 6m3</v>
      </c>
      <c r="H1511" s="211" t="str">
        <f>IFERROR(__xludf.DUMMYFUNCTION("""COMPUTED_VALUE"""),"OTHER")</f>
        <v>OTHER</v>
      </c>
      <c r="I1511" s="211" t="str">
        <f>IFERROR(__xludf.DUMMYFUNCTION("""COMPUTED_VALUE"""),"RETUR CLAIM")</f>
        <v>RETUR CLAIM</v>
      </c>
      <c r="J1511" s="211">
        <f>IFERROR(__xludf.DUMMYFUNCTION("""COMPUTED_VALUE"""),1.0)</f>
        <v>1</v>
      </c>
      <c r="K1511" s="210" t="str">
        <f>IFERROR(__xludf.DUMMYFUNCTION("""COMPUTED_VALUE"""),"1136")</f>
        <v>1136</v>
      </c>
      <c r="L1511" s="211">
        <f>IFERROR(__xludf.DUMMYFUNCTION("""COMPUTED_VALUE"""),0.0)</f>
        <v>0</v>
      </c>
      <c r="M1511" s="211"/>
      <c r="N1511" s="211"/>
      <c r="O1511" s="211"/>
      <c r="Q1511" s="210" t="str">
        <f>IFERROR(__xludf.DUMMYFUNCTION("""COMPUTED_VALUE"""),"1025611511")</f>
        <v>1025611511</v>
      </c>
      <c r="R1511" s="210" t="str">
        <f>IFERROR(__xludf.DUMMYFUNCTION("""COMPUTED_VALUE"""),"1025611511")</f>
        <v>1025611511</v>
      </c>
      <c r="S1511" s="211" t="str">
        <f>IFERROR(__xludf.DUMMYFUNCTION("""COMPUTED_VALUE"""),"e86baf3b")</f>
        <v>e86baf3b</v>
      </c>
      <c r="T1511" s="211" t="str">
        <f>IFERROR(__xludf.DUMMYFUNCTION("""COMPUTED_VALUE"""),"PT GEMILANG CIPTA WAWASAN")</f>
        <v>PT GEMILANG CIPTA WAWASAN</v>
      </c>
      <c r="U1511" s="215">
        <f>IFERROR(__xludf.DUMMYFUNCTION("""COMPUTED_VALUE"""),45952.460023148145)</f>
        <v>45952.46002</v>
      </c>
      <c r="V1511" s="211" t="str">
        <f>IFERROR(__xludf.DUMMYFUNCTION("""COMPUTED_VALUE"""),"JL TEBET RAYA, 2A, TEBET BARAT, TEBET, KOTA ADM, JAKARTA SELATAN, DKI JAKARTA")</f>
        <v>JL TEBET RAYA, 2A, TEBET BARAT, TEBET, KOTA ADM, JAKARTA SELATAN, DKI JAKARTA</v>
      </c>
      <c r="W1511" s="211" t="str">
        <f>IFERROR(__xludf.DUMMYFUNCTION("""COMPUTED_VALUE"""),"OUT")</f>
        <v>OUT</v>
      </c>
      <c r="X1511" s="211"/>
      <c r="AL1511" s="211"/>
      <c r="AM1511" s="211"/>
      <c r="AN1511" s="211"/>
      <c r="AO1511" s="211"/>
      <c r="AP1511" s="215"/>
      <c r="AQ1511" s="218"/>
      <c r="AR1511" s="211"/>
    </row>
    <row r="1512">
      <c r="A1512" s="211"/>
      <c r="B1512" s="211"/>
      <c r="C1512" s="211"/>
      <c r="D1512" s="211"/>
      <c r="E1512" s="211"/>
      <c r="F1512" s="211"/>
      <c r="G1512" s="211"/>
      <c r="H1512" s="211"/>
      <c r="I1512" s="211"/>
      <c r="J1512" s="211"/>
      <c r="K1512" s="211"/>
      <c r="L1512" s="211">
        <f>IFERROR(__xludf.DUMMYFUNCTION("""COMPUTED_VALUE"""),60000.0)</f>
        <v>60000</v>
      </c>
      <c r="M1512" s="211"/>
      <c r="N1512" s="211"/>
      <c r="O1512" s="211"/>
      <c r="Q1512" s="210" t="str">
        <f>IFERROR(__xludf.DUMMYFUNCTION("""COMPUTED_VALUE"""),"1250684")</f>
        <v>1250684</v>
      </c>
      <c r="R1512" s="210" t="str">
        <f>IFERROR(__xludf.DUMMYFUNCTION("""COMPUTED_VALUE"""),"1250684")</f>
        <v>1250684</v>
      </c>
      <c r="S1512" s="211" t="str">
        <f>IFERROR(__xludf.DUMMYFUNCTION("""COMPUTED_VALUE"""),"b218b89b")</f>
        <v>b218b89b</v>
      </c>
      <c r="T1512" s="211" t="str">
        <f>IFERROR(__xludf.DUMMYFUNCTION("""COMPUTED_VALUE"""),"PT Harapan Sentosa")</f>
        <v>PT Harapan Sentosa</v>
      </c>
      <c r="U1512" s="215">
        <f>IFERROR(__xludf.DUMMYFUNCTION("""COMPUTED_VALUE"""),45952.46258101852)</f>
        <v>45952.46258</v>
      </c>
      <c r="V1512" s="211" t="str">
        <f>IFERROR(__xludf.DUMMYFUNCTION("""COMPUTED_VALUE"""),"Seketi, Jl. Purboyo II Selatan, RT.02/RW.02, Seketi, Kec. BalongBendo, Kabupaten Sidoarjo, Jawa Timur 61263")</f>
        <v>Seketi, Jl. Purboyo II Selatan, RT.02/RW.02, Seketi, Kec. BalongBendo, Kabupaten Sidoarjo, Jawa Timur 61263</v>
      </c>
      <c r="W1512" s="211" t="str">
        <f>IFERROR(__xludf.DUMMYFUNCTION("""COMPUTED_VALUE"""),"IN")</f>
        <v>IN</v>
      </c>
      <c r="X1512" s="211"/>
      <c r="AL1512" s="211"/>
      <c r="AM1512" s="211"/>
      <c r="AN1512" s="211"/>
      <c r="AO1512" s="211"/>
      <c r="AP1512" s="215"/>
      <c r="AQ1512" s="218"/>
      <c r="AR1512" s="211"/>
    </row>
    <row r="1513">
      <c r="A1513" s="211"/>
      <c r="B1513" s="211"/>
      <c r="C1513" s="211"/>
      <c r="D1513" s="211"/>
      <c r="E1513" s="211"/>
      <c r="F1513" s="211"/>
      <c r="G1513" s="211"/>
      <c r="H1513" s="211"/>
      <c r="I1513" s="211"/>
      <c r="J1513" s="211"/>
      <c r="K1513" s="211"/>
      <c r="L1513" s="211">
        <f>IFERROR(__xludf.DUMMYFUNCTION("""COMPUTED_VALUE"""),60000.0)</f>
        <v>60000</v>
      </c>
      <c r="M1513" s="211"/>
      <c r="N1513" s="211"/>
      <c r="O1513" s="211"/>
      <c r="Q1513" s="210" t="str">
        <f>IFERROR(__xludf.DUMMYFUNCTION("""COMPUTED_VALUE"""),"102511512")</f>
        <v>102511512</v>
      </c>
      <c r="R1513" s="210" t="str">
        <f>IFERROR(__xludf.DUMMYFUNCTION("""COMPUTED_VALUE"""),"102511512")</f>
        <v>102511512</v>
      </c>
      <c r="S1513" s="211" t="str">
        <f>IFERROR(__xludf.DUMMYFUNCTION("""COMPUTED_VALUE"""),"9e5d8274")</f>
        <v>9e5d8274</v>
      </c>
      <c r="T1513" s="211" t="str">
        <f>IFERROR(__xludf.DUMMYFUNCTION("""COMPUTED_VALUE"""),"Bpk. Erry ( Lik Trosobo )")</f>
        <v>Bpk. Erry ( Lik Trosobo )</v>
      </c>
      <c r="U1513" s="215">
        <f>IFERROR(__xludf.DUMMYFUNCTION("""COMPUTED_VALUE"""),45952.518900462965)</f>
        <v>45952.5189</v>
      </c>
      <c r="V1513" s="211" t="str">
        <f>IFERROR(__xludf.DUMMYFUNCTION("""COMPUTED_VALUE"""),"Trosobo Taman")</f>
        <v>Trosobo Taman</v>
      </c>
      <c r="W1513" s="211" t="str">
        <f>IFERROR(__xludf.DUMMYFUNCTION("""COMPUTED_VALUE"""),"OUT")</f>
        <v>OUT</v>
      </c>
      <c r="X1513" s="211"/>
      <c r="AL1513" s="211"/>
      <c r="AM1513" s="211"/>
      <c r="AN1513" s="211"/>
      <c r="AO1513" s="211"/>
      <c r="AP1513" s="215"/>
      <c r="AQ1513" s="218"/>
      <c r="AR1513" s="211"/>
    </row>
    <row r="1514">
      <c r="A1514" s="210" t="str">
        <f>IFERROR(__xludf.DUMMYFUNCTION("""COMPUTED_VALUE"""),"082571105")</f>
        <v>082571105</v>
      </c>
      <c r="B1514" s="210" t="str">
        <f>IFERROR(__xludf.DUMMYFUNCTION("""COMPUTED_VALUE"""),"082571105")</f>
        <v>082571105</v>
      </c>
      <c r="C1514" s="213">
        <f>IFERROR(__xludf.DUMMYFUNCTION("""COMPUTED_VALUE"""),45878.34489583333)</f>
        <v>45878.3449</v>
      </c>
      <c r="D1514" s="211" t="str">
        <f>IFERROR(__xludf.DUMMYFUNCTION("""COMPUTED_VALUE"""),"e76bc39c")</f>
        <v>e76bc39c</v>
      </c>
      <c r="E1514" s="211" t="str">
        <f>IFERROR(__xludf.DUMMYFUNCTION("""COMPUTED_VALUE"""),"Bpk. Irul")</f>
        <v>Bpk. Irul</v>
      </c>
      <c r="F1514" s="211" t="str">
        <f>IFERROR(__xludf.DUMMYFUNCTION("""COMPUTED_VALUE"""),"8bdbe149")</f>
        <v>8bdbe149</v>
      </c>
      <c r="G1514" s="211" t="str">
        <f>IFERROR(__xludf.DUMMYFUNCTION("""COMPUTED_VALUE"""),"Oksigen 6m3")</f>
        <v>Oksigen 6m3</v>
      </c>
      <c r="H1514" s="211" t="str">
        <f>IFERROR(__xludf.DUMMYFUNCTION("""COMPUTED_VALUE"""),"OUT")</f>
        <v>OUT</v>
      </c>
      <c r="I1514" s="211" t="str">
        <f>IFERROR(__xludf.DUMMYFUNCTION("""COMPUTED_VALUE"""),"NORMAL")</f>
        <v>NORMAL</v>
      </c>
      <c r="J1514" s="211">
        <f>IFERROR(__xludf.DUMMYFUNCTION("""COMPUTED_VALUE"""),5.0)</f>
        <v>5</v>
      </c>
      <c r="K1514" s="210" t="str">
        <f>IFERROR(__xludf.DUMMYFUNCTION("""COMPUTED_VALUE"""),"11170 11159 11173 11139 11161")</f>
        <v>11170 11159 11173 11139 11161</v>
      </c>
      <c r="L1514" s="211">
        <f>IFERROR(__xludf.DUMMYFUNCTION("""COMPUTED_VALUE"""),65000.0)</f>
        <v>65000</v>
      </c>
      <c r="M1514" s="211"/>
      <c r="N1514" s="211"/>
      <c r="O1514" s="211"/>
      <c r="Q1514" s="210" t="str">
        <f>IFERROR(__xludf.DUMMYFUNCTION("""COMPUTED_VALUE"""),"1250705")</f>
        <v>1250705</v>
      </c>
      <c r="R1514" s="210" t="str">
        <f>IFERROR(__xludf.DUMMYFUNCTION("""COMPUTED_VALUE"""),"1250705")</f>
        <v>1250705</v>
      </c>
      <c r="S1514" s="211" t="str">
        <f>IFERROR(__xludf.DUMMYFUNCTION("""COMPUTED_VALUE"""),"440df1db")</f>
        <v>440df1db</v>
      </c>
      <c r="T1514" s="211" t="str">
        <f>IFERROR(__xludf.DUMMYFUNCTION("""COMPUTED_VALUE"""),"PT. Mecca Abadi Sejahtera")</f>
        <v>PT. Mecca Abadi Sejahtera</v>
      </c>
      <c r="U1514" s="215">
        <f>IFERROR(__xludf.DUMMYFUNCTION("""COMPUTED_VALUE"""),45952.57927083333)</f>
        <v>45952.57927</v>
      </c>
      <c r="V1514" s="211" t="str">
        <f>IFERROR(__xludf.DUMMYFUNCTION("""COMPUTED_VALUE"""),"Jl. Raya Sawocangkring, RT.006/RW.002, Sawo, Sawocangkring, Kec. Wonoayu, Kabupaten Sidoarjo, Jawa Timur 61261")</f>
        <v>Jl. Raya Sawocangkring, RT.006/RW.002, Sawo, Sawocangkring, Kec. Wonoayu, Kabupaten Sidoarjo, Jawa Timur 61261</v>
      </c>
      <c r="W1514" s="211" t="str">
        <f>IFERROR(__xludf.DUMMYFUNCTION("""COMPUTED_VALUE"""),"IN")</f>
        <v>IN</v>
      </c>
      <c r="X1514" s="211"/>
      <c r="AL1514" s="211"/>
      <c r="AM1514" s="211"/>
      <c r="AN1514" s="211"/>
      <c r="AO1514" s="211"/>
      <c r="AP1514" s="215"/>
      <c r="AQ1514" s="218"/>
      <c r="AR1514" s="211"/>
    </row>
    <row r="1515">
      <c r="A1515" s="210" t="str">
        <f>IFERROR(__xludf.DUMMYFUNCTION("""COMPUTED_VALUE"""),"0825141109")</f>
        <v>0825141109</v>
      </c>
      <c r="B1515" s="210" t="str">
        <f>IFERROR(__xludf.DUMMYFUNCTION("""COMPUTED_VALUE"""),"0825141109")</f>
        <v>0825141109</v>
      </c>
      <c r="C1515" s="213">
        <f>IFERROR(__xludf.DUMMYFUNCTION("""COMPUTED_VALUE"""),45878.34614583333)</f>
        <v>45878.34615</v>
      </c>
      <c r="D1515" s="211" t="str">
        <f>IFERROR(__xludf.DUMMYFUNCTION("""COMPUTED_VALUE"""),"b2b5f2c5")</f>
        <v>b2b5f2c5</v>
      </c>
      <c r="E1515" s="211" t="str">
        <f>IFERROR(__xludf.DUMMYFUNCTION("""COMPUTED_VALUE"""),"Bengkel Las Bpk. Ari")</f>
        <v>Bengkel Las Bpk. Ari</v>
      </c>
      <c r="F1515" s="211" t="str">
        <f>IFERROR(__xludf.DUMMYFUNCTION("""COMPUTED_VALUE"""),"8bdbe149")</f>
        <v>8bdbe149</v>
      </c>
      <c r="G1515" s="211" t="str">
        <f>IFERROR(__xludf.DUMMYFUNCTION("""COMPUTED_VALUE"""),"Oksigen 6m3")</f>
        <v>Oksigen 6m3</v>
      </c>
      <c r="H1515" s="211" t="str">
        <f>IFERROR(__xludf.DUMMYFUNCTION("""COMPUTED_VALUE"""),"OUT")</f>
        <v>OUT</v>
      </c>
      <c r="I1515" s="211" t="str">
        <f>IFERROR(__xludf.DUMMYFUNCTION("""COMPUTED_VALUE"""),"NORMAL")</f>
        <v>NORMAL</v>
      </c>
      <c r="J1515" s="211">
        <f>IFERROR(__xludf.DUMMYFUNCTION("""COMPUTED_VALUE"""),1.0)</f>
        <v>1</v>
      </c>
      <c r="K1515" s="210" t="str">
        <f>IFERROR(__xludf.DUMMYFUNCTION("""COMPUTED_VALUE"""),"1122")</f>
        <v>1122</v>
      </c>
      <c r="L1515" s="211">
        <f>IFERROR(__xludf.DUMMYFUNCTION("""COMPUTED_VALUE"""),60000.0)</f>
        <v>60000</v>
      </c>
      <c r="M1515" s="211"/>
      <c r="N1515" s="211"/>
      <c r="O1515" s="211"/>
      <c r="Q1515" s="210" t="str">
        <f>IFERROR(__xludf.DUMMYFUNCTION("""COMPUTED_VALUE"""),"1250706")</f>
        <v>1250706</v>
      </c>
      <c r="R1515" s="210" t="str">
        <f>IFERROR(__xludf.DUMMYFUNCTION("""COMPUTED_VALUE"""),"1250706")</f>
        <v>1250706</v>
      </c>
      <c r="S1515" s="211" t="str">
        <f>IFERROR(__xludf.DUMMYFUNCTION("""COMPUTED_VALUE"""),"9e5d8274")</f>
        <v>9e5d8274</v>
      </c>
      <c r="T1515" s="211" t="str">
        <f>IFERROR(__xludf.DUMMYFUNCTION("""COMPUTED_VALUE"""),"Bpk. Erry ( Lik Trosobo )")</f>
        <v>Bpk. Erry ( Lik Trosobo )</v>
      </c>
      <c r="U1515" s="215">
        <f>IFERROR(__xludf.DUMMYFUNCTION("""COMPUTED_VALUE"""),45952.58011574074)</f>
        <v>45952.58012</v>
      </c>
      <c r="V1515" s="211" t="str">
        <f>IFERROR(__xludf.DUMMYFUNCTION("""COMPUTED_VALUE"""),"Trosobo Taman")</f>
        <v>Trosobo Taman</v>
      </c>
      <c r="W1515" s="211" t="str">
        <f>IFERROR(__xludf.DUMMYFUNCTION("""COMPUTED_VALUE"""),"IN")</f>
        <v>IN</v>
      </c>
      <c r="X1515" s="211"/>
      <c r="AL1515" s="211"/>
      <c r="AM1515" s="211"/>
      <c r="AN1515" s="211"/>
      <c r="AO1515" s="211"/>
      <c r="AP1515" s="215"/>
      <c r="AQ1515" s="218"/>
      <c r="AR1515" s="211"/>
    </row>
    <row r="1516">
      <c r="A1516" s="210" t="str">
        <f>IFERROR(__xludf.DUMMYFUNCTION("""COMPUTED_VALUE"""),"0825141109")</f>
        <v>0825141109</v>
      </c>
      <c r="B1516" s="210" t="str">
        <f>IFERROR(__xludf.DUMMYFUNCTION("""COMPUTED_VALUE"""),"0825141109")</f>
        <v>0825141109</v>
      </c>
      <c r="C1516" s="213">
        <f>IFERROR(__xludf.DUMMYFUNCTION("""COMPUTED_VALUE"""),45878.34614583333)</f>
        <v>45878.34615</v>
      </c>
      <c r="D1516" s="211" t="str">
        <f>IFERROR(__xludf.DUMMYFUNCTION("""COMPUTED_VALUE"""),"b2b5f2c5")</f>
        <v>b2b5f2c5</v>
      </c>
      <c r="E1516" s="211" t="str">
        <f>IFERROR(__xludf.DUMMYFUNCTION("""COMPUTED_VALUE"""),"Bengkel Las Bpk. Ari")</f>
        <v>Bengkel Las Bpk. Ari</v>
      </c>
      <c r="F1516" s="211" t="str">
        <f>IFERROR(__xludf.DUMMYFUNCTION("""COMPUTED_VALUE"""),"ef306e54")</f>
        <v>ef306e54</v>
      </c>
      <c r="G1516" s="211" t="str">
        <f>IFERROR(__xludf.DUMMYFUNCTION("""COMPUTED_VALUE"""),"Karbondioksida")</f>
        <v>Karbondioksida</v>
      </c>
      <c r="H1516" s="211" t="str">
        <f>IFERROR(__xludf.DUMMYFUNCTION("""COMPUTED_VALUE"""),"OUT")</f>
        <v>OUT</v>
      </c>
      <c r="I1516" s="211" t="str">
        <f>IFERROR(__xludf.DUMMYFUNCTION("""COMPUTED_VALUE"""),"NORMAL")</f>
        <v>NORMAL</v>
      </c>
      <c r="J1516" s="211">
        <f>IFERROR(__xludf.DUMMYFUNCTION("""COMPUTED_VALUE"""),2.0)</f>
        <v>2</v>
      </c>
      <c r="K1516" s="210" t="str">
        <f>IFERROR(__xludf.DUMMYFUNCTION("""COMPUTED_VALUE"""),"13010 13020")</f>
        <v>13010 13020</v>
      </c>
      <c r="L1516" s="211">
        <f>IFERROR(__xludf.DUMMYFUNCTION("""COMPUTED_VALUE"""),170000.0)</f>
        <v>170000</v>
      </c>
      <c r="M1516" s="211"/>
      <c r="N1516" s="211"/>
      <c r="O1516" s="211"/>
      <c r="Q1516" s="210" t="str">
        <f>IFERROR(__xludf.DUMMYFUNCTION("""COMPUTED_VALUE"""),"102521514")</f>
        <v>102521514</v>
      </c>
      <c r="R1516" s="210" t="str">
        <f>IFERROR(__xludf.DUMMYFUNCTION("""COMPUTED_VALUE"""),"102521514")</f>
        <v>102521514</v>
      </c>
      <c r="S1516" s="211" t="str">
        <f>IFERROR(__xludf.DUMMYFUNCTION("""COMPUTED_VALUE"""),"f49860e4")</f>
        <v>f49860e4</v>
      </c>
      <c r="T1516" s="211" t="str">
        <f>IFERROR(__xludf.DUMMYFUNCTION("""COMPUTED_VALUE"""),"Mas Nur ( Jetis )")</f>
        <v>Mas Nur ( Jetis )</v>
      </c>
      <c r="U1516" s="215">
        <f>IFERROR(__xludf.DUMMYFUNCTION("""COMPUTED_VALUE"""),45953.36607638889)</f>
        <v>45953.36608</v>
      </c>
      <c r="V1516" s="211" t="str">
        <f>IFERROR(__xludf.DUMMYFUNCTION("""COMPUTED_VALUE"""),"HFVF+CCG, JL.Raya Jetis, jetis, Kec. Jetis Kabupaten Mojokerto Jawa Timur 61352")</f>
        <v>HFVF+CCG, JL.Raya Jetis, jetis, Kec. Jetis Kabupaten Mojokerto Jawa Timur 61352</v>
      </c>
      <c r="W1516" s="211" t="str">
        <f>IFERROR(__xludf.DUMMYFUNCTION("""COMPUTED_VALUE"""),"OUT")</f>
        <v>OUT</v>
      </c>
      <c r="X1516" s="211"/>
      <c r="AL1516" s="211"/>
      <c r="AM1516" s="211"/>
      <c r="AN1516" s="211"/>
      <c r="AO1516" s="211"/>
      <c r="AP1516" s="215"/>
      <c r="AQ1516" s="218"/>
      <c r="AR1516" s="211"/>
    </row>
    <row r="1517">
      <c r="A1517" s="210" t="str">
        <f>IFERROR(__xludf.DUMMYFUNCTION("""COMPUTED_VALUE"""),"082511110")</f>
        <v>082511110</v>
      </c>
      <c r="B1517" s="210" t="str">
        <f>IFERROR(__xludf.DUMMYFUNCTION("""COMPUTED_VALUE"""),"082511110")</f>
        <v>082511110</v>
      </c>
      <c r="C1517" s="213">
        <f>IFERROR(__xludf.DUMMYFUNCTION("""COMPUTED_VALUE"""),45878.723969907405)</f>
        <v>45878.72397</v>
      </c>
      <c r="D1517" s="211" t="str">
        <f>IFERROR(__xludf.DUMMYFUNCTION("""COMPUTED_VALUE"""),"5e174cd0")</f>
        <v>5e174cd0</v>
      </c>
      <c r="E1517" s="211" t="str">
        <f>IFERROR(__xludf.DUMMYFUNCTION("""COMPUTED_VALUE"""),"Maherdi")</f>
        <v>Maherdi</v>
      </c>
      <c r="F1517" s="211" t="str">
        <f>IFERROR(__xludf.DUMMYFUNCTION("""COMPUTED_VALUE"""),"e8544a46")</f>
        <v>e8544a46</v>
      </c>
      <c r="G1517" s="211" t="str">
        <f>IFERROR(__xludf.DUMMYFUNCTION("""COMPUTED_VALUE"""),"Oksigen 1m3")</f>
        <v>Oksigen 1m3</v>
      </c>
      <c r="H1517" s="211" t="str">
        <f>IFERROR(__xludf.DUMMYFUNCTION("""COMPUTED_VALUE"""),"OUT")</f>
        <v>OUT</v>
      </c>
      <c r="I1517" s="211" t="str">
        <f>IFERROR(__xludf.DUMMYFUNCTION("""COMPUTED_VALUE"""),"NORMAL")</f>
        <v>NORMAL</v>
      </c>
      <c r="J1517" s="211">
        <f>IFERROR(__xludf.DUMMYFUNCTION("""COMPUTED_VALUE"""),1.0)</f>
        <v>1</v>
      </c>
      <c r="K1517" s="211"/>
      <c r="L1517" s="211">
        <f>IFERROR(__xludf.DUMMYFUNCTION("""COMPUTED_VALUE"""),80000.0)</f>
        <v>80000</v>
      </c>
      <c r="M1517" s="211"/>
      <c r="N1517" s="211"/>
      <c r="O1517" s="211"/>
      <c r="Q1517" s="210" t="str">
        <f>IFERROR(__xludf.DUMMYFUNCTION("""COMPUTED_VALUE"""),"1025261517")</f>
        <v>1025261517</v>
      </c>
      <c r="R1517" s="210" t="str">
        <f>IFERROR(__xludf.DUMMYFUNCTION("""COMPUTED_VALUE"""),"1025261517")</f>
        <v>1025261517</v>
      </c>
      <c r="S1517" s="211" t="str">
        <f>IFERROR(__xludf.DUMMYFUNCTION("""COMPUTED_VALUE"""),"b2b5f2c5")</f>
        <v>b2b5f2c5</v>
      </c>
      <c r="T1517" s="211" t="str">
        <f>IFERROR(__xludf.DUMMYFUNCTION("""COMPUTED_VALUE"""),"Bengkel Las Bpk. Ari")</f>
        <v>Bengkel Las Bpk. Ari</v>
      </c>
      <c r="U1517" s="215">
        <f>IFERROR(__xludf.DUMMYFUNCTION("""COMPUTED_VALUE"""),45953.44002314815)</f>
        <v>45953.44002</v>
      </c>
      <c r="V1517" s="211" t="str">
        <f>IFERROR(__xludf.DUMMYFUNCTION("""COMPUTED_VALUE"""),"Sumber Kembar, Wonodadi, Kec. Kutorejo, Kabupaten Mojokerto, Jawa Timur")</f>
        <v>Sumber Kembar, Wonodadi, Kec. Kutorejo, Kabupaten Mojokerto, Jawa Timur</v>
      </c>
      <c r="W1517" s="211" t="str">
        <f>IFERROR(__xludf.DUMMYFUNCTION("""COMPUTED_VALUE"""),"OUT")</f>
        <v>OUT</v>
      </c>
      <c r="X1517" s="211"/>
      <c r="AL1517" s="211"/>
      <c r="AM1517" s="211"/>
      <c r="AN1517" s="211"/>
      <c r="AO1517" s="211"/>
      <c r="AP1517" s="215"/>
      <c r="AQ1517" s="218"/>
      <c r="AR1517" s="211"/>
    </row>
    <row r="1518">
      <c r="A1518" s="210" t="str">
        <f>IFERROR(__xludf.DUMMYFUNCTION("""COMPUTED_VALUE"""),"0825121111")</f>
        <v>0825121111</v>
      </c>
      <c r="B1518" s="210" t="str">
        <f>IFERROR(__xludf.DUMMYFUNCTION("""COMPUTED_VALUE"""),"0825121111")</f>
        <v>0825121111</v>
      </c>
      <c r="C1518" s="213">
        <f>IFERROR(__xludf.DUMMYFUNCTION("""COMPUTED_VALUE"""),45880.44131944444)</f>
        <v>45880.44132</v>
      </c>
      <c r="D1518" s="211" t="str">
        <f>IFERROR(__xludf.DUMMYFUNCTION("""COMPUTED_VALUE"""),"d78b2eaf")</f>
        <v>d78b2eaf</v>
      </c>
      <c r="E1518" s="211" t="str">
        <f>IFERROR(__xludf.DUMMYFUNCTION("""COMPUTED_VALUE"""),"PT Sinar Indogreen Kencana")</f>
        <v>PT Sinar Indogreen Kencana</v>
      </c>
      <c r="F1518" s="211" t="str">
        <f>IFERROR(__xludf.DUMMYFUNCTION("""COMPUTED_VALUE"""),"be525f3b")</f>
        <v>be525f3b</v>
      </c>
      <c r="G1518" s="211" t="str">
        <f>IFERROR(__xludf.DUMMYFUNCTION("""COMPUTED_VALUE"""),"LPG 12kg")</f>
        <v>LPG 12kg</v>
      </c>
      <c r="H1518" s="211" t="str">
        <f>IFERROR(__xludf.DUMMYFUNCTION("""COMPUTED_VALUE"""),"OUT")</f>
        <v>OUT</v>
      </c>
      <c r="I1518" s="211" t="str">
        <f>IFERROR(__xludf.DUMMYFUNCTION("""COMPUTED_VALUE"""),"NORMAL")</f>
        <v>NORMAL</v>
      </c>
      <c r="J1518" s="211">
        <f>IFERROR(__xludf.DUMMYFUNCTION("""COMPUTED_VALUE"""),1.0)</f>
        <v>1</v>
      </c>
      <c r="K1518" s="211"/>
      <c r="L1518" s="211">
        <f>IFERROR(__xludf.DUMMYFUNCTION("""COMPUTED_VALUE"""),189189.19)</f>
        <v>189189.19</v>
      </c>
      <c r="M1518" s="211"/>
      <c r="N1518" s="211"/>
      <c r="O1518" s="211"/>
      <c r="Q1518" s="210" t="str">
        <f>IFERROR(__xludf.DUMMYFUNCTION("""COMPUTED_VALUE"""),"1250707")</f>
        <v>1250707</v>
      </c>
      <c r="R1518" s="210" t="str">
        <f>IFERROR(__xludf.DUMMYFUNCTION("""COMPUTED_VALUE"""),"1250707")</f>
        <v>1250707</v>
      </c>
      <c r="S1518" s="211" t="str">
        <f>IFERROR(__xludf.DUMMYFUNCTION("""COMPUTED_VALUE"""),"f49860e4")</f>
        <v>f49860e4</v>
      </c>
      <c r="T1518" s="211" t="str">
        <f>IFERROR(__xludf.DUMMYFUNCTION("""COMPUTED_VALUE"""),"Mas Nur ( Jetis )")</f>
        <v>Mas Nur ( Jetis )</v>
      </c>
      <c r="U1518" s="215">
        <f>IFERROR(__xludf.DUMMYFUNCTION("""COMPUTED_VALUE"""),45953.49215277778)</f>
        <v>45953.49215</v>
      </c>
      <c r="V1518" s="211" t="str">
        <f>IFERROR(__xludf.DUMMYFUNCTION("""COMPUTED_VALUE"""),"HFVF+CCG, JL.Raya Jetis, jetis, Kec. Jetis Kabupaten Mojokerto Jawa Timur 61352")</f>
        <v>HFVF+CCG, JL.Raya Jetis, jetis, Kec. Jetis Kabupaten Mojokerto Jawa Timur 61352</v>
      </c>
      <c r="W1518" s="211" t="str">
        <f>IFERROR(__xludf.DUMMYFUNCTION("""COMPUTED_VALUE"""),"IN")</f>
        <v>IN</v>
      </c>
      <c r="X1518" s="211"/>
      <c r="AL1518" s="211"/>
      <c r="AM1518" s="211"/>
      <c r="AN1518" s="211"/>
      <c r="AO1518" s="211"/>
      <c r="AP1518" s="215"/>
      <c r="AQ1518" s="218"/>
      <c r="AR1518" s="211"/>
    </row>
    <row r="1519">
      <c r="A1519" s="210" t="str">
        <f>IFERROR(__xludf.DUMMYFUNCTION("""COMPUTED_VALUE"""),"1250508")</f>
        <v>1250508</v>
      </c>
      <c r="B1519" s="210" t="str">
        <f>IFERROR(__xludf.DUMMYFUNCTION("""COMPUTED_VALUE"""),"1250508")</f>
        <v>1250508</v>
      </c>
      <c r="C1519" s="213">
        <f>IFERROR(__xludf.DUMMYFUNCTION("""COMPUTED_VALUE"""),45880.4484375)</f>
        <v>45880.44844</v>
      </c>
      <c r="D1519" s="211" t="str">
        <f>IFERROR(__xludf.DUMMYFUNCTION("""COMPUTED_VALUE"""),"ec231cc9")</f>
        <v>ec231cc9</v>
      </c>
      <c r="E1519" s="211" t="str">
        <f>IFERROR(__xludf.DUMMYFUNCTION("""COMPUTED_VALUE"""),"Bpk. Kohir (Maintenance Velg)")</f>
        <v>Bpk. Kohir (Maintenance Velg)</v>
      </c>
      <c r="F1519" s="211" t="str">
        <f>IFERROR(__xludf.DUMMYFUNCTION("""COMPUTED_VALUE"""),"8bdbe149")</f>
        <v>8bdbe149</v>
      </c>
      <c r="G1519" s="211" t="str">
        <f>IFERROR(__xludf.DUMMYFUNCTION("""COMPUTED_VALUE"""),"Oksigen 6m3")</f>
        <v>Oksigen 6m3</v>
      </c>
      <c r="H1519" s="211" t="str">
        <f>IFERROR(__xludf.DUMMYFUNCTION("""COMPUTED_VALUE"""),"IN")</f>
        <v>IN</v>
      </c>
      <c r="I1519" s="211" t="str">
        <f>IFERROR(__xludf.DUMMYFUNCTION("""COMPUTED_VALUE"""),"EMPTY")</f>
        <v>EMPTY</v>
      </c>
      <c r="J1519" s="211">
        <f>IFERROR(__xludf.DUMMYFUNCTION("""COMPUTED_VALUE"""),3.0)</f>
        <v>3</v>
      </c>
      <c r="K1519" s="210" t="str">
        <f>IFERROR(__xludf.DUMMYFUNCTION("""COMPUTED_VALUE"""),"1188 1129 1146")</f>
        <v>1188 1129 1146</v>
      </c>
      <c r="L1519" s="211">
        <f>IFERROR(__xludf.DUMMYFUNCTION("""COMPUTED_VALUE"""),0.0)</f>
        <v>0</v>
      </c>
      <c r="M1519" s="211"/>
      <c r="N1519" s="211"/>
      <c r="O1519" s="211"/>
      <c r="Q1519" s="210" t="str">
        <f>IFERROR(__xludf.DUMMYFUNCTION("""COMPUTED_VALUE"""),"1250685")</f>
        <v>1250685</v>
      </c>
      <c r="R1519" s="210" t="str">
        <f>IFERROR(__xludf.DUMMYFUNCTION("""COMPUTED_VALUE"""),"1250685")</f>
        <v>1250685</v>
      </c>
      <c r="S1519" s="211" t="str">
        <f>IFERROR(__xludf.DUMMYFUNCTION("""COMPUTED_VALUE"""),"4ec68cf6")</f>
        <v>4ec68cf6</v>
      </c>
      <c r="T1519" s="211" t="str">
        <f>IFERROR(__xludf.DUMMYFUNCTION("""COMPUTED_VALUE"""),"CV Sido Mukti Karya")</f>
        <v>CV Sido Mukti Karya</v>
      </c>
      <c r="U1519" s="215">
        <f>IFERROR(__xludf.DUMMYFUNCTION("""COMPUTED_VALUE"""),45953.55740740741)</f>
        <v>45953.55741</v>
      </c>
      <c r="V1519" s="211" t="str">
        <f>IFERROR(__xludf.DUMMYFUNCTION("""COMPUTED_VALUE"""),"Pergudangan Center Point no A3, Kemangsen")</f>
        <v>Pergudangan Center Point no A3, Kemangsen</v>
      </c>
      <c r="W1519" s="211" t="str">
        <f>IFERROR(__xludf.DUMMYFUNCTION("""COMPUTED_VALUE"""),"IN")</f>
        <v>IN</v>
      </c>
      <c r="X1519" s="211"/>
      <c r="AL1519" s="211"/>
      <c r="AM1519" s="211"/>
      <c r="AN1519" s="211"/>
      <c r="AO1519" s="211"/>
      <c r="AP1519" s="215"/>
      <c r="AQ1519" s="218"/>
      <c r="AR1519" s="211"/>
    </row>
    <row r="1520">
      <c r="A1520" s="210" t="str">
        <f>IFERROR(__xludf.DUMMYFUNCTION("""COMPUTED_VALUE"""),"1250508")</f>
        <v>1250508</v>
      </c>
      <c r="B1520" s="210" t="str">
        <f>IFERROR(__xludf.DUMMYFUNCTION("""COMPUTED_VALUE"""),"1250508")</f>
        <v>1250508</v>
      </c>
      <c r="C1520" s="213">
        <f>IFERROR(__xludf.DUMMYFUNCTION("""COMPUTED_VALUE"""),45880.4484375)</f>
        <v>45880.44844</v>
      </c>
      <c r="D1520" s="211" t="str">
        <f>IFERROR(__xludf.DUMMYFUNCTION("""COMPUTED_VALUE"""),"ec231cc9")</f>
        <v>ec231cc9</v>
      </c>
      <c r="E1520" s="211" t="str">
        <f>IFERROR(__xludf.DUMMYFUNCTION("""COMPUTED_VALUE"""),"Bpk. Kohir (Maintenance Velg)")</f>
        <v>Bpk. Kohir (Maintenance Velg)</v>
      </c>
      <c r="F1520" s="211" t="str">
        <f>IFERROR(__xludf.DUMMYFUNCTION("""COMPUTED_VALUE"""),"ef306e54")</f>
        <v>ef306e54</v>
      </c>
      <c r="G1520" s="211" t="str">
        <f>IFERROR(__xludf.DUMMYFUNCTION("""COMPUTED_VALUE"""),"Karbondioksida")</f>
        <v>Karbondioksida</v>
      </c>
      <c r="H1520" s="211" t="str">
        <f>IFERROR(__xludf.DUMMYFUNCTION("""COMPUTED_VALUE"""),"IN")</f>
        <v>IN</v>
      </c>
      <c r="I1520" s="211" t="str">
        <f>IFERROR(__xludf.DUMMYFUNCTION("""COMPUTED_VALUE"""),"EMPTY")</f>
        <v>EMPTY</v>
      </c>
      <c r="J1520" s="211">
        <f>IFERROR(__xludf.DUMMYFUNCTION("""COMPUTED_VALUE"""),1.0)</f>
        <v>1</v>
      </c>
      <c r="K1520" s="210" t="str">
        <f>IFERROR(__xludf.DUMMYFUNCTION("""COMPUTED_VALUE"""),"13008")</f>
        <v>13008</v>
      </c>
      <c r="L1520" s="211">
        <f>IFERROR(__xludf.DUMMYFUNCTION("""COMPUTED_VALUE"""),0.0)</f>
        <v>0</v>
      </c>
      <c r="M1520" s="211"/>
      <c r="N1520" s="211"/>
      <c r="O1520" s="211"/>
      <c r="Q1520" s="210" t="str">
        <f>IFERROR(__xludf.DUMMYFUNCTION("""COMPUTED_VALUE"""),"1250686")</f>
        <v>1250686</v>
      </c>
      <c r="R1520" s="210" t="str">
        <f>IFERROR(__xludf.DUMMYFUNCTION("""COMPUTED_VALUE"""),"1250686")</f>
        <v>1250686</v>
      </c>
      <c r="S1520" s="211" t="str">
        <f>IFERROR(__xludf.DUMMYFUNCTION("""COMPUTED_VALUE"""),"b2b5f2c5")</f>
        <v>b2b5f2c5</v>
      </c>
      <c r="T1520" s="211" t="str">
        <f>IFERROR(__xludf.DUMMYFUNCTION("""COMPUTED_VALUE"""),"Bengkel Las Bpk. Ari")</f>
        <v>Bengkel Las Bpk. Ari</v>
      </c>
      <c r="U1520" s="215">
        <f>IFERROR(__xludf.DUMMYFUNCTION("""COMPUTED_VALUE"""),45953.5584375)</f>
        <v>45953.55844</v>
      </c>
      <c r="V1520" s="211" t="str">
        <f>IFERROR(__xludf.DUMMYFUNCTION("""COMPUTED_VALUE"""),"Sumber Kembar, Wonodadi, Kec. Kutorejo, Kabupaten Mojokerto, Jawa Timur")</f>
        <v>Sumber Kembar, Wonodadi, Kec. Kutorejo, Kabupaten Mojokerto, Jawa Timur</v>
      </c>
      <c r="W1520" s="211" t="str">
        <f>IFERROR(__xludf.DUMMYFUNCTION("""COMPUTED_VALUE"""),"IN")</f>
        <v>IN</v>
      </c>
      <c r="X1520" s="211"/>
      <c r="AL1520" s="211"/>
      <c r="AM1520" s="211"/>
      <c r="AN1520" s="211"/>
      <c r="AO1520" s="211"/>
      <c r="AP1520" s="215"/>
      <c r="AQ1520" s="218"/>
      <c r="AR1520" s="211"/>
    </row>
    <row r="1521">
      <c r="A1521" s="210" t="str">
        <f>IFERROR(__xludf.DUMMYFUNCTION("""COMPUTED_VALUE"""),"1250498")</f>
        <v>1250498</v>
      </c>
      <c r="B1521" s="210" t="str">
        <f>IFERROR(__xludf.DUMMYFUNCTION("""COMPUTED_VALUE"""),"1250498")</f>
        <v>1250498</v>
      </c>
      <c r="C1521" s="213">
        <f>IFERROR(__xludf.DUMMYFUNCTION("""COMPUTED_VALUE"""),45880.456655092596)</f>
        <v>45880.45666</v>
      </c>
      <c r="D1521" s="211" t="str">
        <f>IFERROR(__xludf.DUMMYFUNCTION("""COMPUTED_VALUE"""),"2d88931c")</f>
        <v>2d88931c</v>
      </c>
      <c r="E1521" s="211" t="str">
        <f>IFERROR(__xludf.DUMMYFUNCTION("""COMPUTED_VALUE"""),"PT Dunia Berkat Marga Mulya")</f>
        <v>PT Dunia Berkat Marga Mulya</v>
      </c>
      <c r="F1521" s="211" t="str">
        <f>IFERROR(__xludf.DUMMYFUNCTION("""COMPUTED_VALUE"""),"8bdbe149")</f>
        <v>8bdbe149</v>
      </c>
      <c r="G1521" s="211" t="str">
        <f>IFERROR(__xludf.DUMMYFUNCTION("""COMPUTED_VALUE"""),"Oksigen 6m3")</f>
        <v>Oksigen 6m3</v>
      </c>
      <c r="H1521" s="211" t="str">
        <f>IFERROR(__xludf.DUMMYFUNCTION("""COMPUTED_VALUE"""),"IN")</f>
        <v>IN</v>
      </c>
      <c r="I1521" s="211" t="str">
        <f>IFERROR(__xludf.DUMMYFUNCTION("""COMPUTED_VALUE"""),"EMPTY")</f>
        <v>EMPTY</v>
      </c>
      <c r="J1521" s="211">
        <f>IFERROR(__xludf.DUMMYFUNCTION("""COMPUTED_VALUE"""),2.0)</f>
        <v>2</v>
      </c>
      <c r="K1521" s="210" t="str">
        <f>IFERROR(__xludf.DUMMYFUNCTION("""COMPUTED_VALUE"""),"1116 11151")</f>
        <v>1116 11151</v>
      </c>
      <c r="L1521" s="211">
        <f>IFERROR(__xludf.DUMMYFUNCTION("""COMPUTED_VALUE"""),0.0)</f>
        <v>0</v>
      </c>
      <c r="M1521" s="211"/>
      <c r="N1521" s="211"/>
      <c r="O1521" s="211"/>
      <c r="Q1521" s="210" t="str">
        <f>IFERROR(__xludf.DUMMYFUNCTION("""COMPUTED_VALUE"""),"102511518")</f>
        <v>102511518</v>
      </c>
      <c r="R1521" s="210" t="str">
        <f>IFERROR(__xludf.DUMMYFUNCTION("""COMPUTED_VALUE"""),"102511518")</f>
        <v>102511518</v>
      </c>
      <c r="S1521" s="211" t="str">
        <f>IFERROR(__xludf.DUMMYFUNCTION("""COMPUTED_VALUE"""),"ba97d58d")</f>
        <v>ba97d58d</v>
      </c>
      <c r="T1521" s="211" t="str">
        <f>IFERROR(__xludf.DUMMYFUNCTION("""COMPUTED_VALUE"""),"Bengkel Citra Mojosari")</f>
        <v>Bengkel Citra Mojosari</v>
      </c>
      <c r="U1521" s="215">
        <f>IFERROR(__xludf.DUMMYFUNCTION("""COMPUTED_VALUE"""),45954.359143518515)</f>
        <v>45954.35914</v>
      </c>
      <c r="V1521" s="211" t="str">
        <f>IFERROR(__xludf.DUMMYFUNCTION("""COMPUTED_VALUE"""),"Jl. Raden Wijaya, Kemloko, Jotangan, Kec. Mojosari, Kabupaten Mojokerto, Jawa Timur 61382")</f>
        <v>Jl. Raden Wijaya, Kemloko, Jotangan, Kec. Mojosari, Kabupaten Mojokerto, Jawa Timur 61382</v>
      </c>
      <c r="W1521" s="211" t="str">
        <f>IFERROR(__xludf.DUMMYFUNCTION("""COMPUTED_VALUE"""),"OUT")</f>
        <v>OUT</v>
      </c>
      <c r="X1521" s="211"/>
      <c r="AL1521" s="211"/>
      <c r="AM1521" s="211"/>
      <c r="AN1521" s="211"/>
      <c r="AO1521" s="211"/>
      <c r="AP1521" s="215"/>
      <c r="AQ1521" s="218"/>
      <c r="AR1521" s="211"/>
    </row>
    <row r="1522">
      <c r="A1522" s="210" t="str">
        <f>IFERROR(__xludf.DUMMYFUNCTION("""COMPUTED_VALUE"""),"1250499")</f>
        <v>1250499</v>
      </c>
      <c r="B1522" s="210" t="str">
        <f>IFERROR(__xludf.DUMMYFUNCTION("""COMPUTED_VALUE"""),"1250499")</f>
        <v>1250499</v>
      </c>
      <c r="C1522" s="213">
        <f>IFERROR(__xludf.DUMMYFUNCTION("""COMPUTED_VALUE"""),45880.45767361111)</f>
        <v>45880.45767</v>
      </c>
      <c r="D1522" s="211" t="str">
        <f>IFERROR(__xludf.DUMMYFUNCTION("""COMPUTED_VALUE"""),"e86baf3b")</f>
        <v>e86baf3b</v>
      </c>
      <c r="E1522" s="211" t="str">
        <f>IFERROR(__xludf.DUMMYFUNCTION("""COMPUTED_VALUE"""),"PT GEMILANG CIPTA WAWASAN")</f>
        <v>PT GEMILANG CIPTA WAWASAN</v>
      </c>
      <c r="F1522" s="211" t="str">
        <f>IFERROR(__xludf.DUMMYFUNCTION("""COMPUTED_VALUE"""),"ef306e54")</f>
        <v>ef306e54</v>
      </c>
      <c r="G1522" s="211" t="str">
        <f>IFERROR(__xludf.DUMMYFUNCTION("""COMPUTED_VALUE"""),"Karbondioksida")</f>
        <v>Karbondioksida</v>
      </c>
      <c r="H1522" s="211" t="str">
        <f>IFERROR(__xludf.DUMMYFUNCTION("""COMPUTED_VALUE"""),"IN")</f>
        <v>IN</v>
      </c>
      <c r="I1522" s="211" t="str">
        <f>IFERROR(__xludf.DUMMYFUNCTION("""COMPUTED_VALUE"""),"EMPTY")</f>
        <v>EMPTY</v>
      </c>
      <c r="J1522" s="211">
        <f>IFERROR(__xludf.DUMMYFUNCTION("""COMPUTED_VALUE"""),1.0)</f>
        <v>1</v>
      </c>
      <c r="K1522" s="210" t="str">
        <f>IFERROR(__xludf.DUMMYFUNCTION("""COMPUTED_VALUE"""),"13016")</f>
        <v>13016</v>
      </c>
      <c r="L1522" s="211">
        <f>IFERROR(__xludf.DUMMYFUNCTION("""COMPUTED_VALUE"""),0.0)</f>
        <v>0</v>
      </c>
      <c r="M1522" s="211"/>
      <c r="N1522" s="211"/>
      <c r="O1522" s="211"/>
      <c r="Q1522" s="210" t="str">
        <f>IFERROR(__xludf.DUMMYFUNCTION("""COMPUTED_VALUE"""),"102531522")</f>
        <v>102531522</v>
      </c>
      <c r="R1522" s="210" t="str">
        <f>IFERROR(__xludf.DUMMYFUNCTION("""COMPUTED_VALUE"""),"102531522")</f>
        <v>102531522</v>
      </c>
      <c r="S1522" s="211" t="str">
        <f>IFERROR(__xludf.DUMMYFUNCTION("""COMPUTED_VALUE"""),"440df1db")</f>
        <v>440df1db</v>
      </c>
      <c r="T1522" s="211" t="str">
        <f>IFERROR(__xludf.DUMMYFUNCTION("""COMPUTED_VALUE"""),"PT. Mecca Abadi Sejahtera")</f>
        <v>PT. Mecca Abadi Sejahtera</v>
      </c>
      <c r="U1522" s="215">
        <f>IFERROR(__xludf.DUMMYFUNCTION("""COMPUTED_VALUE"""),45954.45784722222)</f>
        <v>45954.45785</v>
      </c>
      <c r="V1522" s="211" t="str">
        <f>IFERROR(__xludf.DUMMYFUNCTION("""COMPUTED_VALUE"""),"Jl. Raya Sawocangkring, RT.006/RW.002, Sawo, Sawocangkring, Kec. Wonoayu, Kabupaten Sidoarjo, Jawa Timur 61261")</f>
        <v>Jl. Raya Sawocangkring, RT.006/RW.002, Sawo, Sawocangkring, Kec. Wonoayu, Kabupaten Sidoarjo, Jawa Timur 61261</v>
      </c>
      <c r="W1522" s="211" t="str">
        <f>IFERROR(__xludf.DUMMYFUNCTION("""COMPUTED_VALUE"""),"OUT")</f>
        <v>OUT</v>
      </c>
      <c r="X1522" s="211"/>
      <c r="AL1522" s="211"/>
      <c r="AM1522" s="211"/>
      <c r="AN1522" s="211"/>
      <c r="AO1522" s="211"/>
      <c r="AP1522" s="215"/>
      <c r="AQ1522" s="218"/>
      <c r="AR1522" s="211"/>
    </row>
    <row r="1523">
      <c r="A1523" s="210" t="str">
        <f>IFERROR(__xludf.DUMMYFUNCTION("""COMPUTED_VALUE"""),"082511112")</f>
        <v>082511112</v>
      </c>
      <c r="B1523" s="210" t="str">
        <f>IFERROR(__xludf.DUMMYFUNCTION("""COMPUTED_VALUE"""),"082511112")</f>
        <v>082511112</v>
      </c>
      <c r="C1523" s="213">
        <f>IFERROR(__xludf.DUMMYFUNCTION("""COMPUTED_VALUE"""),45880.51509259259)</f>
        <v>45880.51509</v>
      </c>
      <c r="D1523" s="211" t="str">
        <f>IFERROR(__xludf.DUMMYFUNCTION("""COMPUTED_VALUE"""),"bdb5baf3")</f>
        <v>bdb5baf3</v>
      </c>
      <c r="E1523" s="211" t="str">
        <f>IFERROR(__xludf.DUMMYFUNCTION("""COMPUTED_VALUE"""),"Bpk. Abdul")</f>
        <v>Bpk. Abdul</v>
      </c>
      <c r="F1523" s="211" t="str">
        <f>IFERROR(__xludf.DUMMYFUNCTION("""COMPUTED_VALUE"""),"0e3fc7f3")</f>
        <v>0e3fc7f3</v>
      </c>
      <c r="G1523" s="211" t="str">
        <f>IFERROR(__xludf.DUMMYFUNCTION("""COMPUTED_VALUE"""),"Acetylene MR")</f>
        <v>Acetylene MR</v>
      </c>
      <c r="H1523" s="211" t="str">
        <f>IFERROR(__xludf.DUMMYFUNCTION("""COMPUTED_VALUE"""),"OUT")</f>
        <v>OUT</v>
      </c>
      <c r="I1523" s="211" t="str">
        <f>IFERROR(__xludf.DUMMYFUNCTION("""COMPUTED_VALUE"""),"NORMAL")</f>
        <v>NORMAL</v>
      </c>
      <c r="J1523" s="211">
        <f>IFERROR(__xludf.DUMMYFUNCTION("""COMPUTED_VALUE"""),1.0)</f>
        <v>1</v>
      </c>
      <c r="K1523" s="211"/>
      <c r="L1523" s="211">
        <f>IFERROR(__xludf.DUMMYFUNCTION("""COMPUTED_VALUE"""),400000.0)</f>
        <v>400000</v>
      </c>
      <c r="M1523" s="211"/>
      <c r="N1523" s="211"/>
      <c r="O1523" s="211"/>
      <c r="Q1523" s="210" t="str">
        <f>IFERROR(__xludf.DUMMYFUNCTION("""COMPUTED_VALUE"""),"1250708")</f>
        <v>1250708</v>
      </c>
      <c r="R1523" s="210" t="str">
        <f>IFERROR(__xludf.DUMMYFUNCTION("""COMPUTED_VALUE"""),"1250708")</f>
        <v>1250708</v>
      </c>
      <c r="S1523" s="211" t="str">
        <f>IFERROR(__xludf.DUMMYFUNCTION("""COMPUTED_VALUE"""),"e86baf3b")</f>
        <v>e86baf3b</v>
      </c>
      <c r="T1523" s="211" t="str">
        <f>IFERROR(__xludf.DUMMYFUNCTION("""COMPUTED_VALUE"""),"PT GEMILANG CIPTA WAWASAN")</f>
        <v>PT GEMILANG CIPTA WAWASAN</v>
      </c>
      <c r="U1523" s="215">
        <f>IFERROR(__xludf.DUMMYFUNCTION("""COMPUTED_VALUE"""),45954.458599537036)</f>
        <v>45954.4586</v>
      </c>
      <c r="V1523" s="211" t="str">
        <f>IFERROR(__xludf.DUMMYFUNCTION("""COMPUTED_VALUE"""),"JL TEBET RAYA, 2A, TEBET BARAT, TEBET, KOTA ADM, JAKARTA SELATAN, DKI JAKARTA")</f>
        <v>JL TEBET RAYA, 2A, TEBET BARAT, TEBET, KOTA ADM, JAKARTA SELATAN, DKI JAKARTA</v>
      </c>
      <c r="W1523" s="211" t="str">
        <f>IFERROR(__xludf.DUMMYFUNCTION("""COMPUTED_VALUE"""),"IN")</f>
        <v>IN</v>
      </c>
      <c r="X1523" s="211"/>
      <c r="AL1523" s="211"/>
      <c r="AM1523" s="211"/>
      <c r="AN1523" s="211"/>
      <c r="AO1523" s="211"/>
      <c r="AP1523" s="215"/>
      <c r="AQ1523" s="218"/>
      <c r="AR1523" s="211"/>
    </row>
    <row r="1524">
      <c r="A1524" s="210" t="str">
        <f>IFERROR(__xludf.DUMMYFUNCTION("""COMPUTED_VALUE"""),"082571116")</f>
        <v>082571116</v>
      </c>
      <c r="B1524" s="210" t="str">
        <f>IFERROR(__xludf.DUMMYFUNCTION("""COMPUTED_VALUE"""),"082571116")</f>
        <v>082571116</v>
      </c>
      <c r="C1524" s="213">
        <f>IFERROR(__xludf.DUMMYFUNCTION("""COMPUTED_VALUE"""),45880.5531712963)</f>
        <v>45880.55317</v>
      </c>
      <c r="D1524" s="211" t="str">
        <f>IFERROR(__xludf.DUMMYFUNCTION("""COMPUTED_VALUE"""),"b218b89b")</f>
        <v>b218b89b</v>
      </c>
      <c r="E1524" s="211" t="str">
        <f>IFERROR(__xludf.DUMMYFUNCTION("""COMPUTED_VALUE"""),"PT Harapan Sentosa")</f>
        <v>PT Harapan Sentosa</v>
      </c>
      <c r="F1524" s="211" t="str">
        <f>IFERROR(__xludf.DUMMYFUNCTION("""COMPUTED_VALUE"""),"ef306e54")</f>
        <v>ef306e54</v>
      </c>
      <c r="G1524" s="211" t="str">
        <f>IFERROR(__xludf.DUMMYFUNCTION("""COMPUTED_VALUE"""),"Karbondioksida")</f>
        <v>Karbondioksida</v>
      </c>
      <c r="H1524" s="211" t="str">
        <f>IFERROR(__xludf.DUMMYFUNCTION("""COMPUTED_VALUE"""),"OUT")</f>
        <v>OUT</v>
      </c>
      <c r="I1524" s="211" t="str">
        <f>IFERROR(__xludf.DUMMYFUNCTION("""COMPUTED_VALUE"""),"NORMAL")</f>
        <v>NORMAL</v>
      </c>
      <c r="J1524" s="211">
        <f>IFERROR(__xludf.DUMMYFUNCTION("""COMPUTED_VALUE"""),5.0)</f>
        <v>5</v>
      </c>
      <c r="K1524" s="210" t="str">
        <f>IFERROR(__xludf.DUMMYFUNCTION("""COMPUTED_VALUE"""),"13008 13016 1188 1116 1129")</f>
        <v>13008 13016 1188 1116 1129</v>
      </c>
      <c r="L1524" s="211">
        <f>IFERROR(__xludf.DUMMYFUNCTION("""COMPUTED_VALUE"""),210000.0)</f>
        <v>210000</v>
      </c>
      <c r="M1524" s="211"/>
      <c r="N1524" s="211"/>
      <c r="O1524" s="211"/>
      <c r="Q1524" s="210" t="str">
        <f>IFERROR(__xludf.DUMMYFUNCTION("""COMPUTED_VALUE"""),"1250687")</f>
        <v>1250687</v>
      </c>
      <c r="R1524" s="210" t="str">
        <f>IFERROR(__xludf.DUMMYFUNCTION("""COMPUTED_VALUE"""),"1250687")</f>
        <v>1250687</v>
      </c>
      <c r="S1524" s="211" t="str">
        <f>IFERROR(__xludf.DUMMYFUNCTION("""COMPUTED_VALUE"""),"b2b5f2c5")</f>
        <v>b2b5f2c5</v>
      </c>
      <c r="T1524" s="211" t="str">
        <f>IFERROR(__xludf.DUMMYFUNCTION("""COMPUTED_VALUE"""),"Bengkel Las Bpk. Ari")</f>
        <v>Bengkel Las Bpk. Ari</v>
      </c>
      <c r="U1524" s="215">
        <f>IFERROR(__xludf.DUMMYFUNCTION("""COMPUTED_VALUE"""),45954.47542824074)</f>
        <v>45954.47543</v>
      </c>
      <c r="V1524" s="211" t="str">
        <f>IFERROR(__xludf.DUMMYFUNCTION("""COMPUTED_VALUE"""),"Sumber Kembar, Wonodadi, Kec. Kutorejo, Kabupaten Mojokerto, Jawa Timur")</f>
        <v>Sumber Kembar, Wonodadi, Kec. Kutorejo, Kabupaten Mojokerto, Jawa Timur</v>
      </c>
      <c r="W1524" s="211" t="str">
        <f>IFERROR(__xludf.DUMMYFUNCTION("""COMPUTED_VALUE"""),"IN")</f>
        <v>IN</v>
      </c>
      <c r="X1524" s="211"/>
      <c r="AL1524" s="211"/>
      <c r="AM1524" s="211"/>
      <c r="AN1524" s="211"/>
      <c r="AO1524" s="211"/>
      <c r="AP1524" s="215"/>
      <c r="AQ1524" s="218"/>
      <c r="AR1524" s="211"/>
    </row>
    <row r="1525">
      <c r="A1525" s="210" t="str">
        <f>IFERROR(__xludf.DUMMYFUNCTION("""COMPUTED_VALUE"""),"1250509")</f>
        <v>1250509</v>
      </c>
      <c r="B1525" s="210" t="str">
        <f>IFERROR(__xludf.DUMMYFUNCTION("""COMPUTED_VALUE"""),"1250509")</f>
        <v>1250509</v>
      </c>
      <c r="C1525" s="213">
        <f>IFERROR(__xludf.DUMMYFUNCTION("""COMPUTED_VALUE"""),45880.6275)</f>
        <v>45880.6275</v>
      </c>
      <c r="D1525" s="211" t="str">
        <f>IFERROR(__xludf.DUMMYFUNCTION("""COMPUTED_VALUE"""),"d78b2eaf")</f>
        <v>d78b2eaf</v>
      </c>
      <c r="E1525" s="211" t="str">
        <f>IFERROR(__xludf.DUMMYFUNCTION("""COMPUTED_VALUE"""),"PT Sinar Indogreen Kencana")</f>
        <v>PT Sinar Indogreen Kencana</v>
      </c>
      <c r="F1525" s="211" t="str">
        <f>IFERROR(__xludf.DUMMYFUNCTION("""COMPUTED_VALUE"""),"be525f3b")</f>
        <v>be525f3b</v>
      </c>
      <c r="G1525" s="211" t="str">
        <f>IFERROR(__xludf.DUMMYFUNCTION("""COMPUTED_VALUE"""),"LPG 12kg")</f>
        <v>LPG 12kg</v>
      </c>
      <c r="H1525" s="211" t="str">
        <f>IFERROR(__xludf.DUMMYFUNCTION("""COMPUTED_VALUE"""),"IN")</f>
        <v>IN</v>
      </c>
      <c r="I1525" s="211" t="str">
        <f>IFERROR(__xludf.DUMMYFUNCTION("""COMPUTED_VALUE"""),"EMPTY")</f>
        <v>EMPTY</v>
      </c>
      <c r="J1525" s="211">
        <f>IFERROR(__xludf.DUMMYFUNCTION("""COMPUTED_VALUE"""),1.0)</f>
        <v>1</v>
      </c>
      <c r="K1525" s="211"/>
      <c r="L1525" s="211">
        <f>IFERROR(__xludf.DUMMYFUNCTION("""COMPUTED_VALUE"""),0.0)</f>
        <v>0</v>
      </c>
      <c r="M1525" s="211"/>
      <c r="N1525" s="211"/>
      <c r="O1525" s="211"/>
      <c r="Q1525" s="210" t="str">
        <f>IFERROR(__xludf.DUMMYFUNCTION("""COMPUTED_VALUE"""),"102511523")</f>
        <v>102511523</v>
      </c>
      <c r="R1525" s="210" t="str">
        <f>IFERROR(__xludf.DUMMYFUNCTION("""COMPUTED_VALUE"""),"102511523")</f>
        <v>102511523</v>
      </c>
      <c r="S1525" s="211" t="str">
        <f>IFERROR(__xludf.DUMMYFUNCTION("""COMPUTED_VALUE"""),"bf8a2c8b")</f>
        <v>bf8a2c8b</v>
      </c>
      <c r="T1525" s="211" t="str">
        <f>IFERROR(__xludf.DUMMYFUNCTION("""COMPUTED_VALUE"""),"Abah Fadholi")</f>
        <v>Abah Fadholi</v>
      </c>
      <c r="U1525" s="215">
        <f>IFERROR(__xludf.DUMMYFUNCTION("""COMPUTED_VALUE"""),45954.52258101852)</f>
        <v>45954.52258</v>
      </c>
      <c r="V1525" s="211" t="str">
        <f>IFERROR(__xludf.DUMMYFUNCTION("""COMPUTED_VALUE"""),"Sidowaras Kraton Krian Sidoarjo")</f>
        <v>Sidowaras Kraton Krian Sidoarjo</v>
      </c>
      <c r="W1525" s="211" t="str">
        <f>IFERROR(__xludf.DUMMYFUNCTION("""COMPUTED_VALUE"""),"OUT")</f>
        <v>OUT</v>
      </c>
      <c r="X1525" s="211"/>
      <c r="AL1525" s="211"/>
      <c r="AM1525" s="211"/>
      <c r="AN1525" s="211"/>
      <c r="AO1525" s="211"/>
      <c r="AP1525" s="215"/>
      <c r="AQ1525" s="218"/>
      <c r="AR1525" s="211"/>
    </row>
    <row r="1526">
      <c r="A1526" s="210" t="str">
        <f>IFERROR(__xludf.DUMMYFUNCTION("""COMPUTED_VALUE"""),"1250510")</f>
        <v>1250510</v>
      </c>
      <c r="B1526" s="210" t="str">
        <f>IFERROR(__xludf.DUMMYFUNCTION("""COMPUTED_VALUE"""),"1250510")</f>
        <v>1250510</v>
      </c>
      <c r="C1526" s="213">
        <f>IFERROR(__xludf.DUMMYFUNCTION("""COMPUTED_VALUE"""),45880.68482638889)</f>
        <v>45880.68483</v>
      </c>
      <c r="D1526" s="211" t="str">
        <f>IFERROR(__xludf.DUMMYFUNCTION("""COMPUTED_VALUE"""),"b218b89b")</f>
        <v>b218b89b</v>
      </c>
      <c r="E1526" s="211" t="str">
        <f>IFERROR(__xludf.DUMMYFUNCTION("""COMPUTED_VALUE"""),"PT Harapan Sentosa")</f>
        <v>PT Harapan Sentosa</v>
      </c>
      <c r="F1526" s="211" t="str">
        <f>IFERROR(__xludf.DUMMYFUNCTION("""COMPUTED_VALUE"""),"7d2764f1")</f>
        <v>7d2764f1</v>
      </c>
      <c r="G1526" s="211" t="str">
        <f>IFERROR(__xludf.DUMMYFUNCTION("""COMPUTED_VALUE"""),"Oksigen 7m3")</f>
        <v>Oksigen 7m3</v>
      </c>
      <c r="H1526" s="211" t="str">
        <f>IFERROR(__xludf.DUMMYFUNCTION("""COMPUTED_VALUE"""),"IN")</f>
        <v>IN</v>
      </c>
      <c r="I1526" s="211" t="str">
        <f>IFERROR(__xludf.DUMMYFUNCTION("""COMPUTED_VALUE"""),"EMPTY")</f>
        <v>EMPTY</v>
      </c>
      <c r="J1526" s="211">
        <f>IFERROR(__xludf.DUMMYFUNCTION("""COMPUTED_VALUE"""),4.0)</f>
        <v>4</v>
      </c>
      <c r="K1526" s="210" t="str">
        <f>IFERROR(__xludf.DUMMYFUNCTION("""COMPUTED_VALUE"""),"11142 11138 11144 11153")</f>
        <v>11142 11138 11144 11153</v>
      </c>
      <c r="L1526" s="211">
        <f>IFERROR(__xludf.DUMMYFUNCTION("""COMPUTED_VALUE"""),0.0)</f>
        <v>0</v>
      </c>
      <c r="M1526" s="211"/>
      <c r="N1526" s="211"/>
      <c r="O1526" s="211"/>
      <c r="Q1526" s="210" t="str">
        <f>IFERROR(__xludf.DUMMYFUNCTION("""COMPUTED_VALUE"""),"1250688")</f>
        <v>1250688</v>
      </c>
      <c r="R1526" s="210" t="str">
        <f>IFERROR(__xludf.DUMMYFUNCTION("""COMPUTED_VALUE"""),"1250688")</f>
        <v>1250688</v>
      </c>
      <c r="S1526" s="211" t="str">
        <f>IFERROR(__xludf.DUMMYFUNCTION("""COMPUTED_VALUE"""),"bf8a2c8b")</f>
        <v>bf8a2c8b</v>
      </c>
      <c r="T1526" s="211" t="str">
        <f>IFERROR(__xludf.DUMMYFUNCTION("""COMPUTED_VALUE"""),"Abah Fadholi")</f>
        <v>Abah Fadholi</v>
      </c>
      <c r="U1526" s="215">
        <f>IFERROR(__xludf.DUMMYFUNCTION("""COMPUTED_VALUE"""),45954.548993055556)</f>
        <v>45954.54899</v>
      </c>
      <c r="V1526" s="211" t="str">
        <f>IFERROR(__xludf.DUMMYFUNCTION("""COMPUTED_VALUE"""),"Sidowaras Kraton Krian Sidoarjo")</f>
        <v>Sidowaras Kraton Krian Sidoarjo</v>
      </c>
      <c r="W1526" s="211" t="str">
        <f>IFERROR(__xludf.DUMMYFUNCTION("""COMPUTED_VALUE"""),"IN")</f>
        <v>IN</v>
      </c>
      <c r="X1526" s="211"/>
      <c r="AL1526" s="211"/>
      <c r="AM1526" s="211"/>
      <c r="AN1526" s="211"/>
      <c r="AO1526" s="211"/>
      <c r="AP1526" s="215"/>
      <c r="AQ1526" s="218"/>
      <c r="AR1526" s="211"/>
    </row>
    <row r="1527">
      <c r="A1527" s="210" t="str">
        <f>IFERROR(__xludf.DUMMYFUNCTION("""COMPUTED_VALUE"""),"1250510")</f>
        <v>1250510</v>
      </c>
      <c r="B1527" s="210" t="str">
        <f>IFERROR(__xludf.DUMMYFUNCTION("""COMPUTED_VALUE"""),"1250510")</f>
        <v>1250510</v>
      </c>
      <c r="C1527" s="213">
        <f>IFERROR(__xludf.DUMMYFUNCTION("""COMPUTED_VALUE"""),45880.68482638889)</f>
        <v>45880.68483</v>
      </c>
      <c r="D1527" s="211" t="str">
        <f>IFERROR(__xludf.DUMMYFUNCTION("""COMPUTED_VALUE"""),"b218b89b")</f>
        <v>b218b89b</v>
      </c>
      <c r="E1527" s="211" t="str">
        <f>IFERROR(__xludf.DUMMYFUNCTION("""COMPUTED_VALUE"""),"PT Harapan Sentosa")</f>
        <v>PT Harapan Sentosa</v>
      </c>
      <c r="F1527" s="211" t="str">
        <f>IFERROR(__xludf.DUMMYFUNCTION("""COMPUTED_VALUE"""),"ef306e54")</f>
        <v>ef306e54</v>
      </c>
      <c r="G1527" s="211" t="str">
        <f>IFERROR(__xludf.DUMMYFUNCTION("""COMPUTED_VALUE"""),"Karbondioksida")</f>
        <v>Karbondioksida</v>
      </c>
      <c r="H1527" s="211" t="str">
        <f>IFERROR(__xludf.DUMMYFUNCTION("""COMPUTED_VALUE"""),"IN")</f>
        <v>IN</v>
      </c>
      <c r="I1527" s="211" t="str">
        <f>IFERROR(__xludf.DUMMYFUNCTION("""COMPUTED_VALUE"""),"EMPTY")</f>
        <v>EMPTY</v>
      </c>
      <c r="J1527" s="211">
        <f>IFERROR(__xludf.DUMMYFUNCTION("""COMPUTED_VALUE"""),4.0)</f>
        <v>4</v>
      </c>
      <c r="K1527" s="210" t="str">
        <f>IFERROR(__xludf.DUMMYFUNCTION("""COMPUTED_VALUE"""),"11252 13006 11201 1193")</f>
        <v>11252 13006 11201 1193</v>
      </c>
      <c r="L1527" s="211">
        <f>IFERROR(__xludf.DUMMYFUNCTION("""COMPUTED_VALUE"""),0.0)</f>
        <v>0</v>
      </c>
      <c r="M1527" s="211"/>
      <c r="N1527" s="211"/>
      <c r="O1527" s="211"/>
      <c r="Q1527" s="210" t="str">
        <f>IFERROR(__xludf.DUMMYFUNCTION("""COMPUTED_VALUE"""),"1025271526")</f>
        <v>1025271526</v>
      </c>
      <c r="R1527" s="210" t="str">
        <f>IFERROR(__xludf.DUMMYFUNCTION("""COMPUTED_VALUE"""),"1025271526")</f>
        <v>1025271526</v>
      </c>
      <c r="S1527" s="211" t="str">
        <f>IFERROR(__xludf.DUMMYFUNCTION("""COMPUTED_VALUE"""),"b2b5f2c5")</f>
        <v>b2b5f2c5</v>
      </c>
      <c r="T1527" s="211" t="str">
        <f>IFERROR(__xludf.DUMMYFUNCTION("""COMPUTED_VALUE"""),"Bengkel Las Bpk. Ari")</f>
        <v>Bengkel Las Bpk. Ari</v>
      </c>
      <c r="U1527" s="215">
        <f>IFERROR(__xludf.DUMMYFUNCTION("""COMPUTED_VALUE"""),45955.34459490741)</f>
        <v>45955.34459</v>
      </c>
      <c r="V1527" s="211" t="str">
        <f>IFERROR(__xludf.DUMMYFUNCTION("""COMPUTED_VALUE"""),"Sumber Kembar, Wonodadi, Kec. Kutorejo, Kabupaten Mojokerto, Jawa Timur")</f>
        <v>Sumber Kembar, Wonodadi, Kec. Kutorejo, Kabupaten Mojokerto, Jawa Timur</v>
      </c>
      <c r="W1527" s="211" t="str">
        <f>IFERROR(__xludf.DUMMYFUNCTION("""COMPUTED_VALUE"""),"OUT")</f>
        <v>OUT</v>
      </c>
      <c r="X1527" s="211"/>
      <c r="AL1527" s="211"/>
      <c r="AM1527" s="211"/>
      <c r="AN1527" s="211"/>
      <c r="AO1527" s="211"/>
      <c r="AP1527" s="215"/>
      <c r="AQ1527" s="218"/>
      <c r="AR1527" s="211"/>
    </row>
    <row r="1528">
      <c r="A1528" s="210" t="str">
        <f>IFERROR(__xludf.DUMMYFUNCTION("""COMPUTED_VALUE"""),"1250510")</f>
        <v>1250510</v>
      </c>
      <c r="B1528" s="210" t="str">
        <f>IFERROR(__xludf.DUMMYFUNCTION("""COMPUTED_VALUE"""),"1250510")</f>
        <v>1250510</v>
      </c>
      <c r="C1528" s="213">
        <f>IFERROR(__xludf.DUMMYFUNCTION("""COMPUTED_VALUE"""),45880.68482638889)</f>
        <v>45880.68483</v>
      </c>
      <c r="D1528" s="211" t="str">
        <f>IFERROR(__xludf.DUMMYFUNCTION("""COMPUTED_VALUE"""),"b218b89b")</f>
        <v>b218b89b</v>
      </c>
      <c r="E1528" s="211" t="str">
        <f>IFERROR(__xludf.DUMMYFUNCTION("""COMPUTED_VALUE"""),"PT Harapan Sentosa")</f>
        <v>PT Harapan Sentosa</v>
      </c>
      <c r="F1528" s="211" t="str">
        <f>IFERROR(__xludf.DUMMYFUNCTION("""COMPUTED_VALUE"""),"ef306e54")</f>
        <v>ef306e54</v>
      </c>
      <c r="G1528" s="211" t="str">
        <f>IFERROR(__xludf.DUMMYFUNCTION("""COMPUTED_VALUE"""),"Karbondioksida")</f>
        <v>Karbondioksida</v>
      </c>
      <c r="H1528" s="211" t="str">
        <f>IFERROR(__xludf.DUMMYFUNCTION("""COMPUTED_VALUE"""),"IN")</f>
        <v>IN</v>
      </c>
      <c r="I1528" s="211" t="str">
        <f>IFERROR(__xludf.DUMMYFUNCTION("""COMPUTED_VALUE"""),"CLAIM")</f>
        <v>CLAIM</v>
      </c>
      <c r="J1528" s="211">
        <f>IFERROR(__xludf.DUMMYFUNCTION("""COMPUTED_VALUE"""),1.0)</f>
        <v>1</v>
      </c>
      <c r="K1528" s="210" t="str">
        <f>IFERROR(__xludf.DUMMYFUNCTION("""COMPUTED_VALUE"""),"11203")</f>
        <v>11203</v>
      </c>
      <c r="L1528" s="211">
        <f>IFERROR(__xludf.DUMMYFUNCTION("""COMPUTED_VALUE"""),0.0)</f>
        <v>0</v>
      </c>
      <c r="M1528" s="211"/>
      <c r="N1528" s="211"/>
      <c r="O1528" s="211"/>
      <c r="Q1528" s="210" t="str">
        <f>IFERROR(__xludf.DUMMYFUNCTION("""COMPUTED_VALUE"""),"1025291528")</f>
        <v>1025291528</v>
      </c>
      <c r="R1528" s="210" t="str">
        <f>IFERROR(__xludf.DUMMYFUNCTION("""COMPUTED_VALUE"""),"1025291528")</f>
        <v>1025291528</v>
      </c>
      <c r="S1528" s="211" t="str">
        <f>IFERROR(__xludf.DUMMYFUNCTION("""COMPUTED_VALUE"""),"ce83e171")</f>
        <v>ce83e171</v>
      </c>
      <c r="T1528" s="211" t="str">
        <f>IFERROR(__xludf.DUMMYFUNCTION("""COMPUTED_VALUE"""),"Bpk. Sulaiman")</f>
        <v>Bpk. Sulaiman</v>
      </c>
      <c r="U1528" s="215">
        <f>IFERROR(__xludf.DUMMYFUNCTION("""COMPUTED_VALUE"""),45955.34546296296)</f>
        <v>45955.34546</v>
      </c>
      <c r="V1528" s="211" t="str">
        <f>IFERROR(__xludf.DUMMYFUNCTION("""COMPUTED_VALUE"""),"Jl. Raya Kramat Temenggung No.43, Kramat, Kramat Temenggung, Kec. Tarik, Kabupaten Sidoarjo, Jawa Timur 61265")</f>
        <v>Jl. Raya Kramat Temenggung No.43, Kramat, Kramat Temenggung, Kec. Tarik, Kabupaten Sidoarjo, Jawa Timur 61265</v>
      </c>
      <c r="W1528" s="211" t="str">
        <f>IFERROR(__xludf.DUMMYFUNCTION("""COMPUTED_VALUE"""),"OUT")</f>
        <v>OUT</v>
      </c>
      <c r="X1528" s="211"/>
      <c r="AL1528" s="211"/>
      <c r="AM1528" s="211"/>
      <c r="AN1528" s="211"/>
      <c r="AO1528" s="211"/>
      <c r="AP1528" s="215"/>
      <c r="AQ1528" s="218"/>
      <c r="AR1528" s="211"/>
    </row>
    <row r="1529">
      <c r="A1529" s="210" t="str">
        <f>IFERROR(__xludf.DUMMYFUNCTION("""COMPUTED_VALUE"""),"0825341111")</f>
        <v>0825341111</v>
      </c>
      <c r="B1529" s="210" t="str">
        <f>IFERROR(__xludf.DUMMYFUNCTION("""COMPUTED_VALUE"""),"0825341111")</f>
        <v>0825341111</v>
      </c>
      <c r="C1529" s="213">
        <f>IFERROR(__xludf.DUMMYFUNCTION("""COMPUTED_VALUE"""),45881.339467592596)</f>
        <v>45881.33947</v>
      </c>
      <c r="D1529" s="211" t="str">
        <f>IFERROR(__xludf.DUMMYFUNCTION("""COMPUTED_VALUE"""),"785e0e07")</f>
        <v>785e0e07</v>
      </c>
      <c r="E1529" s="211" t="str">
        <f>IFERROR(__xludf.DUMMYFUNCTION("""COMPUTED_VALUE"""),"Bpk. Sukirno (Bejo)")</f>
        <v>Bpk. Sukirno (Bejo)</v>
      </c>
      <c r="F1529" s="211" t="str">
        <f>IFERROR(__xludf.DUMMYFUNCTION("""COMPUTED_VALUE"""),"8bdbe149")</f>
        <v>8bdbe149</v>
      </c>
      <c r="G1529" s="211" t="str">
        <f>IFERROR(__xludf.DUMMYFUNCTION("""COMPUTED_VALUE"""),"Oksigen 6m3")</f>
        <v>Oksigen 6m3</v>
      </c>
      <c r="H1529" s="211" t="str">
        <f>IFERROR(__xludf.DUMMYFUNCTION("""COMPUTED_VALUE"""),"OUT")</f>
        <v>OUT</v>
      </c>
      <c r="I1529" s="211" t="str">
        <f>IFERROR(__xludf.DUMMYFUNCTION("""COMPUTED_VALUE"""),"NORMAL")</f>
        <v>NORMAL</v>
      </c>
      <c r="J1529" s="211">
        <f>IFERROR(__xludf.DUMMYFUNCTION("""COMPUTED_VALUE"""),7.0)</f>
        <v>7</v>
      </c>
      <c r="K1529" s="210" t="str">
        <f>IFERROR(__xludf.DUMMYFUNCTION("""COMPUTED_VALUE"""),"11221 11223 11230 11215 11213 11227 11220")</f>
        <v>11221 11223 11230 11215 11213 11227 11220</v>
      </c>
      <c r="L1529" s="211">
        <f>IFERROR(__xludf.DUMMYFUNCTION("""COMPUTED_VALUE"""),60000.0)</f>
        <v>60000</v>
      </c>
      <c r="M1529" s="211"/>
      <c r="N1529" s="211"/>
      <c r="O1529" s="211"/>
      <c r="Q1529" s="210" t="str">
        <f>IFERROR(__xludf.DUMMYFUNCTION("""COMPUTED_VALUE"""),"1250720")</f>
        <v>1250720</v>
      </c>
      <c r="R1529" s="210" t="str">
        <f>IFERROR(__xludf.DUMMYFUNCTION("""COMPUTED_VALUE"""),"1250720")</f>
        <v>1250720</v>
      </c>
      <c r="S1529" s="211" t="str">
        <f>IFERROR(__xludf.DUMMYFUNCTION("""COMPUTED_VALUE"""),"01158be1")</f>
        <v>01158be1</v>
      </c>
      <c r="T1529" s="211" t="str">
        <f>IFERROR(__xludf.DUMMYFUNCTION("""COMPUTED_VALUE"""),"GYF")</f>
        <v>GYF</v>
      </c>
      <c r="U1529" s="215">
        <f>IFERROR(__xludf.DUMMYFUNCTION("""COMPUTED_VALUE"""),45955.464525462965)</f>
        <v>45955.46453</v>
      </c>
      <c r="V1529" s="211" t="str">
        <f>IFERROR(__xludf.DUMMYFUNCTION("""COMPUTED_VALUE"""),"Kangkungan, Lengkong, Kec. Mojoanyar, Kabupaten Mojokerto, Jawa Timur")</f>
        <v>Kangkungan, Lengkong, Kec. Mojoanyar, Kabupaten Mojokerto, Jawa Timur</v>
      </c>
      <c r="W1529" s="211" t="str">
        <f>IFERROR(__xludf.DUMMYFUNCTION("""COMPUTED_VALUE"""),"IN")</f>
        <v>IN</v>
      </c>
      <c r="X1529" s="211"/>
      <c r="AL1529" s="211"/>
      <c r="AM1529" s="211"/>
      <c r="AN1529" s="211"/>
      <c r="AO1529" s="211"/>
      <c r="AP1529" s="215"/>
      <c r="AQ1529" s="218"/>
      <c r="AR1529" s="211"/>
    </row>
    <row r="1530">
      <c r="A1530" s="210" t="str">
        <f>IFERROR(__xludf.DUMMYFUNCTION("""COMPUTED_VALUE"""),"1250511")</f>
        <v>1250511</v>
      </c>
      <c r="B1530" s="210" t="str">
        <f>IFERROR(__xludf.DUMMYFUNCTION("""COMPUTED_VALUE"""),"1250511")</f>
        <v>1250511</v>
      </c>
      <c r="C1530" s="213">
        <f>IFERROR(__xludf.DUMMYFUNCTION("""COMPUTED_VALUE"""),45881.42590277778)</f>
        <v>45881.4259</v>
      </c>
      <c r="D1530" s="211" t="str">
        <f>IFERROR(__xludf.DUMMYFUNCTION("""COMPUTED_VALUE"""),"785e0e07")</f>
        <v>785e0e07</v>
      </c>
      <c r="E1530" s="211" t="str">
        <f>IFERROR(__xludf.DUMMYFUNCTION("""COMPUTED_VALUE"""),"Bpk. Sukirno (Bejo)")</f>
        <v>Bpk. Sukirno (Bejo)</v>
      </c>
      <c r="F1530" s="211" t="str">
        <f>IFERROR(__xludf.DUMMYFUNCTION("""COMPUTED_VALUE"""),"8bdbe149")</f>
        <v>8bdbe149</v>
      </c>
      <c r="G1530" s="211" t="str">
        <f>IFERROR(__xludf.DUMMYFUNCTION("""COMPUTED_VALUE"""),"Oksigen 6m3")</f>
        <v>Oksigen 6m3</v>
      </c>
      <c r="H1530" s="211" t="str">
        <f>IFERROR(__xludf.DUMMYFUNCTION("""COMPUTED_VALUE"""),"IN")</f>
        <v>IN</v>
      </c>
      <c r="I1530" s="211" t="str">
        <f>IFERROR(__xludf.DUMMYFUNCTION("""COMPUTED_VALUE"""),"EMPTY")</f>
        <v>EMPTY</v>
      </c>
      <c r="J1530" s="211">
        <f>IFERROR(__xludf.DUMMYFUNCTION("""COMPUTED_VALUE"""),7.0)</f>
        <v>7</v>
      </c>
      <c r="K1530" s="210" t="str">
        <f>IFERROR(__xludf.DUMMYFUNCTION("""COMPUTED_VALUE"""),"11231 11129 11100 11120 11198 1153 11188")</f>
        <v>11231 11129 11100 11120 11198 1153 11188</v>
      </c>
      <c r="L1530" s="211">
        <f>IFERROR(__xludf.DUMMYFUNCTION("""COMPUTED_VALUE"""),0.0)</f>
        <v>0</v>
      </c>
      <c r="M1530" s="211"/>
      <c r="N1530" s="211"/>
      <c r="O1530" s="211"/>
      <c r="Q1530" s="210" t="str">
        <f>IFERROR(__xludf.DUMMYFUNCTION("""COMPUTED_VALUE"""),"1025621529")</f>
        <v>1025621529</v>
      </c>
      <c r="R1530" s="210" t="str">
        <f>IFERROR(__xludf.DUMMYFUNCTION("""COMPUTED_VALUE"""),"1025621529")</f>
        <v>1025621529</v>
      </c>
      <c r="S1530" s="211" t="str">
        <f>IFERROR(__xludf.DUMMYFUNCTION("""COMPUTED_VALUE"""),"e86baf3b")</f>
        <v>e86baf3b</v>
      </c>
      <c r="T1530" s="211" t="str">
        <f>IFERROR(__xludf.DUMMYFUNCTION("""COMPUTED_VALUE"""),"PT GEMILANG CIPTA WAWASAN")</f>
        <v>PT GEMILANG CIPTA WAWASAN</v>
      </c>
      <c r="U1530" s="215">
        <f>IFERROR(__xludf.DUMMYFUNCTION("""COMPUTED_VALUE"""),45955.565474537034)</f>
        <v>45955.56547</v>
      </c>
      <c r="V1530" s="211" t="str">
        <f>IFERROR(__xludf.DUMMYFUNCTION("""COMPUTED_VALUE"""),"JL TEBET RAYA, 2A, TEBET BARAT, TEBET, KOTA ADM, JAKARTA SELATAN, DKI JAKARTA")</f>
        <v>JL TEBET RAYA, 2A, TEBET BARAT, TEBET, KOTA ADM, JAKARTA SELATAN, DKI JAKARTA</v>
      </c>
      <c r="W1530" s="211" t="str">
        <f>IFERROR(__xludf.DUMMYFUNCTION("""COMPUTED_VALUE"""),"OUT")</f>
        <v>OUT</v>
      </c>
      <c r="X1530" s="211"/>
      <c r="AL1530" s="211"/>
      <c r="AM1530" s="211"/>
      <c r="AN1530" s="211"/>
      <c r="AO1530" s="211"/>
      <c r="AP1530" s="215"/>
      <c r="AQ1530" s="218"/>
      <c r="AR1530" s="211"/>
    </row>
    <row r="1531">
      <c r="A1531" s="210" t="str">
        <f>IFERROR(__xludf.DUMMYFUNCTION("""COMPUTED_VALUE"""),"082541120")</f>
        <v>082541120</v>
      </c>
      <c r="B1531" s="210" t="str">
        <f>IFERROR(__xludf.DUMMYFUNCTION("""COMPUTED_VALUE"""),"082541120")</f>
        <v>082541120</v>
      </c>
      <c r="C1531" s="213">
        <f>IFERROR(__xludf.DUMMYFUNCTION("""COMPUTED_VALUE"""),45882.3537037037)</f>
        <v>45882.3537</v>
      </c>
      <c r="D1531" s="211" t="str">
        <f>IFERROR(__xludf.DUMMYFUNCTION("""COMPUTED_VALUE"""),"196b24da")</f>
        <v>196b24da</v>
      </c>
      <c r="E1531" s="211" t="str">
        <f>IFERROR(__xludf.DUMMYFUNCTION("""COMPUTED_VALUE"""),"PT Samudra Cipta Enjineering")</f>
        <v>PT Samudra Cipta Enjineering</v>
      </c>
      <c r="F1531" s="211" t="str">
        <f>IFERROR(__xludf.DUMMYFUNCTION("""COMPUTED_VALUE"""),"b7a8fff1")</f>
        <v>b7a8fff1</v>
      </c>
      <c r="G1531" s="211" t="str">
        <f>IFERROR(__xludf.DUMMYFUNCTION("""COMPUTED_VALUE"""),"LPG 50kg")</f>
        <v>LPG 50kg</v>
      </c>
      <c r="H1531" s="211" t="str">
        <f>IFERROR(__xludf.DUMMYFUNCTION("""COMPUTED_VALUE"""),"OUT")</f>
        <v>OUT</v>
      </c>
      <c r="I1531" s="211" t="str">
        <f>IFERROR(__xludf.DUMMYFUNCTION("""COMPUTED_VALUE"""),"NORMAL")</f>
        <v>NORMAL</v>
      </c>
      <c r="J1531" s="211">
        <f>IFERROR(__xludf.DUMMYFUNCTION("""COMPUTED_VALUE"""),2.0)</f>
        <v>2</v>
      </c>
      <c r="K1531" s="211"/>
      <c r="L1531" s="211">
        <f>IFERROR(__xludf.DUMMYFUNCTION("""COMPUTED_VALUE"""),900000.0)</f>
        <v>900000</v>
      </c>
      <c r="M1531" s="211"/>
      <c r="N1531" s="211"/>
      <c r="O1531" s="211"/>
      <c r="Q1531" s="210" t="str">
        <f>IFERROR(__xludf.DUMMYFUNCTION("""COMPUTED_VALUE"""),"102521530")</f>
        <v>102521530</v>
      </c>
      <c r="R1531" s="210" t="str">
        <f>IFERROR(__xludf.DUMMYFUNCTION("""COMPUTED_VALUE"""),"102521530")</f>
        <v>102521530</v>
      </c>
      <c r="S1531" s="211" t="str">
        <f>IFERROR(__xludf.DUMMYFUNCTION("""COMPUTED_VALUE"""),"b0735da4")</f>
        <v>b0735da4</v>
      </c>
      <c r="T1531" s="211" t="str">
        <f>IFERROR(__xludf.DUMMYFUNCTION("""COMPUTED_VALUE"""),"Bpk. Amer Ciro")</f>
        <v>Bpk. Amer Ciro</v>
      </c>
      <c r="U1531" s="215">
        <f>IFERROR(__xludf.DUMMYFUNCTION("""COMPUTED_VALUE"""),45955.458599537036)</f>
        <v>45955.4586</v>
      </c>
      <c r="V1531" s="211" t="str">
        <f>IFERROR(__xludf.DUMMYFUNCTION("""COMPUTED_VALUE"""),"HFJR+FV8 Bakungtemenggungan, Kabupaten Sidoarjo, Jawa Timur")</f>
        <v>HFJR+FV8 Bakungtemenggungan, Kabupaten Sidoarjo, Jawa Timur</v>
      </c>
      <c r="W1531" s="211" t="str">
        <f>IFERROR(__xludf.DUMMYFUNCTION("""COMPUTED_VALUE"""),"OUT")</f>
        <v>OUT</v>
      </c>
      <c r="X1531" s="211"/>
      <c r="AL1531" s="211"/>
      <c r="AM1531" s="211"/>
      <c r="AN1531" s="211"/>
      <c r="AO1531" s="211"/>
      <c r="AP1531" s="215"/>
      <c r="AQ1531" s="218"/>
      <c r="AR1531" s="211"/>
    </row>
    <row r="1532">
      <c r="A1532" s="210" t="str">
        <f>IFERROR(__xludf.DUMMYFUNCTION("""COMPUTED_VALUE"""),"0825381122")</f>
        <v>0825381122</v>
      </c>
      <c r="B1532" s="210" t="str">
        <f>IFERROR(__xludf.DUMMYFUNCTION("""COMPUTED_VALUE"""),"0825381122")</f>
        <v>0825381122</v>
      </c>
      <c r="C1532" s="213">
        <f>IFERROR(__xludf.DUMMYFUNCTION("""COMPUTED_VALUE"""),45882.35675925926)</f>
        <v>45882.35676</v>
      </c>
      <c r="D1532" s="211" t="str">
        <f>IFERROR(__xludf.DUMMYFUNCTION("""COMPUTED_VALUE"""),"e86baf3b")</f>
        <v>e86baf3b</v>
      </c>
      <c r="E1532" s="211" t="str">
        <f>IFERROR(__xludf.DUMMYFUNCTION("""COMPUTED_VALUE"""),"PT GEMILANG CIPTA WAWASAN")</f>
        <v>PT GEMILANG CIPTA WAWASAN</v>
      </c>
      <c r="F1532" s="211" t="str">
        <f>IFERROR(__xludf.DUMMYFUNCTION("""COMPUTED_VALUE"""),"8bdbe149")</f>
        <v>8bdbe149</v>
      </c>
      <c r="G1532" s="211" t="str">
        <f>IFERROR(__xludf.DUMMYFUNCTION("""COMPUTED_VALUE"""),"Oksigen 6m3")</f>
        <v>Oksigen 6m3</v>
      </c>
      <c r="H1532" s="211" t="str">
        <f>IFERROR(__xludf.DUMMYFUNCTION("""COMPUTED_VALUE"""),"OUT")</f>
        <v>OUT</v>
      </c>
      <c r="I1532" s="211" t="str">
        <f>IFERROR(__xludf.DUMMYFUNCTION("""COMPUTED_VALUE"""),"NORMAL")</f>
        <v>NORMAL</v>
      </c>
      <c r="J1532" s="211">
        <f>IFERROR(__xludf.DUMMYFUNCTION("""COMPUTED_VALUE"""),5.0)</f>
        <v>5</v>
      </c>
      <c r="K1532" s="210" t="str">
        <f>IFERROR(__xludf.DUMMYFUNCTION("""COMPUTED_VALUE"""),"11228 11278 11105 11186 1162")</f>
        <v>11228 11278 11105 11186 1162</v>
      </c>
      <c r="L1532" s="211">
        <f>IFERROR(__xludf.DUMMYFUNCTION("""COMPUTED_VALUE"""),60000.0)</f>
        <v>60000</v>
      </c>
      <c r="M1532" s="211"/>
      <c r="N1532" s="211"/>
      <c r="O1532" s="211"/>
      <c r="Q1532" s="210" t="str">
        <f>IFERROR(__xludf.DUMMYFUNCTION("""COMPUTED_VALUE"""),"102521532")</f>
        <v>102521532</v>
      </c>
      <c r="R1532" s="210" t="str">
        <f>IFERROR(__xludf.DUMMYFUNCTION("""COMPUTED_VALUE"""),"102521532")</f>
        <v>102521532</v>
      </c>
      <c r="S1532" s="211" t="str">
        <f>IFERROR(__xludf.DUMMYFUNCTION("""COMPUTED_VALUE"""),"4c3a2a5f")</f>
        <v>4c3a2a5f</v>
      </c>
      <c r="T1532" s="211" t="str">
        <f>IFERROR(__xludf.DUMMYFUNCTION("""COMPUTED_VALUE"""),"CV Matahari Mitra Sukses")</f>
        <v>CV Matahari Mitra Sukses</v>
      </c>
      <c r="U1532" s="215">
        <f>IFERROR(__xludf.DUMMYFUNCTION("""COMPUTED_VALUE"""),45957.34722222222)</f>
        <v>45957.34722</v>
      </c>
      <c r="V1532" s="211" t="str">
        <f>IFERROR(__xludf.DUMMYFUNCTION("""COMPUTED_VALUE"""),"Jl. Raya Hj. Fatimah 01, Tarik, Kabupaten Sidoarjo, Jawa Timur 61265, Indonesia")</f>
        <v>Jl. Raya Hj. Fatimah 01, Tarik, Kabupaten Sidoarjo, Jawa Timur 61265, Indonesia</v>
      </c>
      <c r="W1532" s="211" t="str">
        <f>IFERROR(__xludf.DUMMYFUNCTION("""COMPUTED_VALUE"""),"OUT")</f>
        <v>OUT</v>
      </c>
      <c r="X1532" s="211"/>
      <c r="AL1532" s="211"/>
      <c r="AM1532" s="211"/>
      <c r="AN1532" s="211"/>
      <c r="AO1532" s="211"/>
      <c r="AP1532" s="215"/>
      <c r="AQ1532" s="218"/>
      <c r="AR1532" s="211"/>
    </row>
    <row r="1533">
      <c r="A1533" s="210" t="str">
        <f>IFERROR(__xludf.DUMMYFUNCTION("""COMPUTED_VALUE"""),"0825381122")</f>
        <v>0825381122</v>
      </c>
      <c r="B1533" s="210" t="str">
        <f>IFERROR(__xludf.DUMMYFUNCTION("""COMPUTED_VALUE"""),"0825381122")</f>
        <v>0825381122</v>
      </c>
      <c r="C1533" s="213">
        <f>IFERROR(__xludf.DUMMYFUNCTION("""COMPUTED_VALUE"""),45882.35675925926)</f>
        <v>45882.35676</v>
      </c>
      <c r="D1533" s="211" t="str">
        <f>IFERROR(__xludf.DUMMYFUNCTION("""COMPUTED_VALUE"""),"e86baf3b")</f>
        <v>e86baf3b</v>
      </c>
      <c r="E1533" s="211" t="str">
        <f>IFERROR(__xludf.DUMMYFUNCTION("""COMPUTED_VALUE"""),"PT GEMILANG CIPTA WAWASAN")</f>
        <v>PT GEMILANG CIPTA WAWASAN</v>
      </c>
      <c r="F1533" s="211" t="str">
        <f>IFERROR(__xludf.DUMMYFUNCTION("""COMPUTED_VALUE"""),"66af7c72")</f>
        <v>66af7c72</v>
      </c>
      <c r="G1533" s="211" t="str">
        <f>IFERROR(__xludf.DUMMYFUNCTION("""COMPUTED_VALUE"""),"Argon 6m3")</f>
        <v>Argon 6m3</v>
      </c>
      <c r="H1533" s="211" t="str">
        <f>IFERROR(__xludf.DUMMYFUNCTION("""COMPUTED_VALUE"""),"OUT")</f>
        <v>OUT</v>
      </c>
      <c r="I1533" s="211" t="str">
        <f>IFERROR(__xludf.DUMMYFUNCTION("""COMPUTED_VALUE"""),"NORMAL")</f>
        <v>NORMAL</v>
      </c>
      <c r="J1533" s="211">
        <f>IFERROR(__xludf.DUMMYFUNCTION("""COMPUTED_VALUE"""),10.0)</f>
        <v>10</v>
      </c>
      <c r="K1533" s="210" t="str">
        <f>IFERROR(__xludf.DUMMYFUNCTION("""COMPUTED_VALUE"""),"12019 12025 12036 12071 12024 12069 12031 12018 12039 12029")</f>
        <v>12019 12025 12036 12071 12024 12069 12031 12018 12039 12029</v>
      </c>
      <c r="L1533" s="211">
        <f>IFERROR(__xludf.DUMMYFUNCTION("""COMPUTED_VALUE"""),185000.0)</f>
        <v>185000</v>
      </c>
      <c r="M1533" s="211"/>
      <c r="N1533" s="211"/>
      <c r="O1533" s="211"/>
      <c r="Q1533" s="210" t="str">
        <f>IFERROR(__xludf.DUMMYFUNCTION("""COMPUTED_VALUE"""),"1250710")</f>
        <v>1250710</v>
      </c>
      <c r="R1533" s="210" t="str">
        <f>IFERROR(__xludf.DUMMYFUNCTION("""COMPUTED_VALUE"""),"1250710")</f>
        <v>1250710</v>
      </c>
      <c r="S1533" s="211" t="str">
        <f>IFERROR(__xludf.DUMMYFUNCTION("""COMPUTED_VALUE"""),"b2b5f2c5")</f>
        <v>b2b5f2c5</v>
      </c>
      <c r="T1533" s="211" t="str">
        <f>IFERROR(__xludf.DUMMYFUNCTION("""COMPUTED_VALUE"""),"Bengkel Las Bpk. Ari")</f>
        <v>Bengkel Las Bpk. Ari</v>
      </c>
      <c r="U1533" s="215">
        <f>IFERROR(__xludf.DUMMYFUNCTION("""COMPUTED_VALUE"""),45955.56458333333)</f>
        <v>45955.56458</v>
      </c>
      <c r="V1533" s="211" t="str">
        <f>IFERROR(__xludf.DUMMYFUNCTION("""COMPUTED_VALUE"""),"Sumber Kembar, Wonodadi, Kec. Kutorejo, Kabupaten Mojokerto, Jawa Timur")</f>
        <v>Sumber Kembar, Wonodadi, Kec. Kutorejo, Kabupaten Mojokerto, Jawa Timur</v>
      </c>
      <c r="W1533" s="211" t="str">
        <f>IFERROR(__xludf.DUMMYFUNCTION("""COMPUTED_VALUE"""),"IN")</f>
        <v>IN</v>
      </c>
      <c r="X1533" s="211"/>
      <c r="AL1533" s="211"/>
      <c r="AM1533" s="211"/>
      <c r="AN1533" s="211"/>
      <c r="AO1533" s="211"/>
      <c r="AP1533" s="215"/>
      <c r="AQ1533" s="218"/>
      <c r="AR1533" s="211"/>
    </row>
    <row r="1534">
      <c r="A1534" s="210" t="str">
        <f>IFERROR(__xludf.DUMMYFUNCTION("""COMPUTED_VALUE"""),"1250512")</f>
        <v>1250512</v>
      </c>
      <c r="B1534" s="210" t="str">
        <f>IFERROR(__xludf.DUMMYFUNCTION("""COMPUTED_VALUE"""),"1250512")</f>
        <v>1250512</v>
      </c>
      <c r="C1534" s="213">
        <f>IFERROR(__xludf.DUMMYFUNCTION("""COMPUTED_VALUE"""),45882.37621527778)</f>
        <v>45882.37622</v>
      </c>
      <c r="D1534" s="211" t="str">
        <f>IFERROR(__xludf.DUMMYFUNCTION("""COMPUTED_VALUE"""),"196b24da")</f>
        <v>196b24da</v>
      </c>
      <c r="E1534" s="211" t="str">
        <f>IFERROR(__xludf.DUMMYFUNCTION("""COMPUTED_VALUE"""),"PT Samudra Cipta Enjineering")</f>
        <v>PT Samudra Cipta Enjineering</v>
      </c>
      <c r="F1534" s="211" t="str">
        <f>IFERROR(__xludf.DUMMYFUNCTION("""COMPUTED_VALUE"""),"b7a8fff1")</f>
        <v>b7a8fff1</v>
      </c>
      <c r="G1534" s="211" t="str">
        <f>IFERROR(__xludf.DUMMYFUNCTION("""COMPUTED_VALUE"""),"LPG 50kg")</f>
        <v>LPG 50kg</v>
      </c>
      <c r="H1534" s="211" t="str">
        <f>IFERROR(__xludf.DUMMYFUNCTION("""COMPUTED_VALUE"""),"IN")</f>
        <v>IN</v>
      </c>
      <c r="I1534" s="211" t="str">
        <f>IFERROR(__xludf.DUMMYFUNCTION("""COMPUTED_VALUE"""),"EMPTY")</f>
        <v>EMPTY</v>
      </c>
      <c r="J1534" s="211">
        <f>IFERROR(__xludf.DUMMYFUNCTION("""COMPUTED_VALUE"""),2.0)</f>
        <v>2</v>
      </c>
      <c r="K1534" s="211"/>
      <c r="L1534" s="211">
        <f>IFERROR(__xludf.DUMMYFUNCTION("""COMPUTED_VALUE"""),0.0)</f>
        <v>0</v>
      </c>
      <c r="M1534" s="211"/>
      <c r="N1534" s="211"/>
      <c r="O1534" s="211"/>
      <c r="Q1534" s="210" t="str">
        <f>IFERROR(__xludf.DUMMYFUNCTION("""COMPUTED_VALUE"""),"1250709")</f>
        <v>1250709</v>
      </c>
      <c r="R1534" s="210" t="str">
        <f>IFERROR(__xludf.DUMMYFUNCTION("""COMPUTED_VALUE"""),"1250709")</f>
        <v>1250709</v>
      </c>
      <c r="S1534" s="211" t="str">
        <f>IFERROR(__xludf.DUMMYFUNCTION("""COMPUTED_VALUE"""),"ce83e171")</f>
        <v>ce83e171</v>
      </c>
      <c r="T1534" s="211" t="str">
        <f>IFERROR(__xludf.DUMMYFUNCTION("""COMPUTED_VALUE"""),"Bpk. Sulaiman")</f>
        <v>Bpk. Sulaiman</v>
      </c>
      <c r="U1534" s="215">
        <f>IFERROR(__xludf.DUMMYFUNCTION("""COMPUTED_VALUE"""),45955.56527777778)</f>
        <v>45955.56528</v>
      </c>
      <c r="V1534" s="211" t="str">
        <f>IFERROR(__xludf.DUMMYFUNCTION("""COMPUTED_VALUE"""),"Jl. Raya Kramat Temenggung No.43, Kramat, Kramat Temenggung, Kec. Tarik, Kabupaten Sidoarjo, Jawa Timur 61265")</f>
        <v>Jl. Raya Kramat Temenggung No.43, Kramat, Kramat Temenggung, Kec. Tarik, Kabupaten Sidoarjo, Jawa Timur 61265</v>
      </c>
      <c r="W1534" s="211" t="str">
        <f>IFERROR(__xludf.DUMMYFUNCTION("""COMPUTED_VALUE"""),"IN")</f>
        <v>IN</v>
      </c>
      <c r="X1534" s="211"/>
      <c r="AL1534" s="211"/>
      <c r="AM1534" s="211"/>
      <c r="AN1534" s="211"/>
      <c r="AO1534" s="211"/>
      <c r="AP1534" s="215"/>
      <c r="AQ1534" s="218"/>
      <c r="AR1534" s="211"/>
    </row>
    <row r="1535">
      <c r="A1535" s="210" t="str">
        <f>IFERROR(__xludf.DUMMYFUNCTION("""COMPUTED_VALUE"""),"1250513")</f>
        <v>1250513</v>
      </c>
      <c r="B1535" s="210" t="str">
        <f>IFERROR(__xludf.DUMMYFUNCTION("""COMPUTED_VALUE"""),"1250513")</f>
        <v>1250513</v>
      </c>
      <c r="C1535" s="213">
        <f>IFERROR(__xludf.DUMMYFUNCTION("""COMPUTED_VALUE"""),45882.4512962963)</f>
        <v>45882.4513</v>
      </c>
      <c r="D1535" s="211" t="str">
        <f>IFERROR(__xludf.DUMMYFUNCTION("""COMPUTED_VALUE"""),"e86baf3b")</f>
        <v>e86baf3b</v>
      </c>
      <c r="E1535" s="211" t="str">
        <f>IFERROR(__xludf.DUMMYFUNCTION("""COMPUTED_VALUE"""),"PT GEMILANG CIPTA WAWASAN")</f>
        <v>PT GEMILANG CIPTA WAWASAN</v>
      </c>
      <c r="F1535" s="211" t="str">
        <f>IFERROR(__xludf.DUMMYFUNCTION("""COMPUTED_VALUE"""),"be525f3b")</f>
        <v>be525f3b</v>
      </c>
      <c r="G1535" s="211" t="str">
        <f>IFERROR(__xludf.DUMMYFUNCTION("""COMPUTED_VALUE"""),"LPG 12kg")</f>
        <v>LPG 12kg</v>
      </c>
      <c r="H1535" s="211" t="str">
        <f>IFERROR(__xludf.DUMMYFUNCTION("""COMPUTED_VALUE"""),"IN")</f>
        <v>IN</v>
      </c>
      <c r="I1535" s="211" t="str">
        <f>IFERROR(__xludf.DUMMYFUNCTION("""COMPUTED_VALUE"""),"EMPTY")</f>
        <v>EMPTY</v>
      </c>
      <c r="J1535" s="211">
        <f>IFERROR(__xludf.DUMMYFUNCTION("""COMPUTED_VALUE"""),4.0)</f>
        <v>4</v>
      </c>
      <c r="K1535" s="211"/>
      <c r="L1535" s="211">
        <f>IFERROR(__xludf.DUMMYFUNCTION("""COMPUTED_VALUE"""),0.0)</f>
        <v>0</v>
      </c>
      <c r="M1535" s="211"/>
      <c r="N1535" s="211"/>
      <c r="O1535" s="211"/>
      <c r="Q1535" s="210" t="str">
        <f>IFERROR(__xludf.DUMMYFUNCTION("""COMPUTED_VALUE"""),"1250721")</f>
        <v>1250721</v>
      </c>
      <c r="R1535" s="210" t="str">
        <f>IFERROR(__xludf.DUMMYFUNCTION("""COMPUTED_VALUE"""),"1250721")</f>
        <v>1250721</v>
      </c>
      <c r="S1535" s="211" t="str">
        <f>IFERROR(__xludf.DUMMYFUNCTION("""COMPUTED_VALUE"""),"9b941888")</f>
        <v>9b941888</v>
      </c>
      <c r="T1535" s="211" t="str">
        <f>IFERROR(__xludf.DUMMYFUNCTION("""COMPUTED_VALUE"""),"Mas Devi ( Parengan )")</f>
        <v>Mas Devi ( Parengan )</v>
      </c>
      <c r="U1535" s="215">
        <f>IFERROR(__xludf.DUMMYFUNCTION("""COMPUTED_VALUE"""),45957.36834490741)</f>
        <v>45957.36834</v>
      </c>
      <c r="V1535" s="211" t="str">
        <f>IFERROR(__xludf.DUMMYFUNCTION("""COMPUTED_VALUE"""),"Kraton Krian Sidoarjo, ( sebelah tower listrik )")</f>
        <v>Kraton Krian Sidoarjo, ( sebelah tower listrik )</v>
      </c>
      <c r="W1535" s="211" t="str">
        <f>IFERROR(__xludf.DUMMYFUNCTION("""COMPUTED_VALUE"""),"IN")</f>
        <v>IN</v>
      </c>
      <c r="X1535" s="211"/>
      <c r="AL1535" s="211"/>
      <c r="AM1535" s="211"/>
      <c r="AN1535" s="211"/>
      <c r="AO1535" s="211"/>
      <c r="AP1535" s="215"/>
      <c r="AQ1535" s="218"/>
      <c r="AR1535" s="211"/>
    </row>
    <row r="1536">
      <c r="A1536" s="210" t="str">
        <f>IFERROR(__xludf.DUMMYFUNCTION("""COMPUTED_VALUE"""),"1250513")</f>
        <v>1250513</v>
      </c>
      <c r="B1536" s="210" t="str">
        <f>IFERROR(__xludf.DUMMYFUNCTION("""COMPUTED_VALUE"""),"1250513")</f>
        <v>1250513</v>
      </c>
      <c r="C1536" s="213">
        <f>IFERROR(__xludf.DUMMYFUNCTION("""COMPUTED_VALUE"""),45882.4512962963)</f>
        <v>45882.4513</v>
      </c>
      <c r="D1536" s="211" t="str">
        <f>IFERROR(__xludf.DUMMYFUNCTION("""COMPUTED_VALUE"""),"e86baf3b")</f>
        <v>e86baf3b</v>
      </c>
      <c r="E1536" s="211" t="str">
        <f>IFERROR(__xludf.DUMMYFUNCTION("""COMPUTED_VALUE"""),"PT GEMILANG CIPTA WAWASAN")</f>
        <v>PT GEMILANG CIPTA WAWASAN</v>
      </c>
      <c r="F1536" s="211" t="str">
        <f>IFERROR(__xludf.DUMMYFUNCTION("""COMPUTED_VALUE"""),"8bdbe149")</f>
        <v>8bdbe149</v>
      </c>
      <c r="G1536" s="211" t="str">
        <f>IFERROR(__xludf.DUMMYFUNCTION("""COMPUTED_VALUE"""),"Oksigen 6m3")</f>
        <v>Oksigen 6m3</v>
      </c>
      <c r="H1536" s="211" t="str">
        <f>IFERROR(__xludf.DUMMYFUNCTION("""COMPUTED_VALUE"""),"IN")</f>
        <v>IN</v>
      </c>
      <c r="I1536" s="211" t="str">
        <f>IFERROR(__xludf.DUMMYFUNCTION("""COMPUTED_VALUE"""),"EMPTY")</f>
        <v>EMPTY</v>
      </c>
      <c r="J1536" s="211">
        <f>IFERROR(__xludf.DUMMYFUNCTION("""COMPUTED_VALUE"""),10.0)</f>
        <v>10</v>
      </c>
      <c r="K1536" s="210" t="str">
        <f>IFERROR(__xludf.DUMMYFUNCTION("""COMPUTED_VALUE"""),"1155 11175 1151 11109 11247 11210 1194 1149 11258 1164")</f>
        <v>1155 11175 1151 11109 11247 11210 1194 1149 11258 1164</v>
      </c>
      <c r="L1536" s="211">
        <f>IFERROR(__xludf.DUMMYFUNCTION("""COMPUTED_VALUE"""),0.0)</f>
        <v>0</v>
      </c>
      <c r="M1536" s="211"/>
      <c r="N1536" s="211"/>
      <c r="O1536" s="211"/>
      <c r="Q1536" s="210" t="str">
        <f>IFERROR(__xludf.DUMMYFUNCTION("""COMPUTED_VALUE"""),"1250722")</f>
        <v>1250722</v>
      </c>
      <c r="R1536" s="210" t="str">
        <f>IFERROR(__xludf.DUMMYFUNCTION("""COMPUTED_VALUE"""),"1250722")</f>
        <v>1250722</v>
      </c>
      <c r="S1536" s="211" t="str">
        <f>IFERROR(__xludf.DUMMYFUNCTION("""COMPUTED_VALUE"""),"ec231cc9")</f>
        <v>ec231cc9</v>
      </c>
      <c r="T1536" s="211" t="str">
        <f>IFERROR(__xludf.DUMMYFUNCTION("""COMPUTED_VALUE"""),"Bpk. Kohir (Maintenance Velg)")</f>
        <v>Bpk. Kohir (Maintenance Velg)</v>
      </c>
      <c r="U1536" s="215">
        <f>IFERROR(__xludf.DUMMYFUNCTION("""COMPUTED_VALUE"""),45957.4134837963)</f>
        <v>45957.41348</v>
      </c>
      <c r="V1536" s="211" t="str">
        <f>IFERROR(__xludf.DUMMYFUNCTION("""COMPUTED_VALUE"""),"Jl. Lkr. Bypass Krian Timur, Sidogolong, Watugolong, Kec. Krian, Kabupaten Sidoarjo, Jawa Timur 61262")</f>
        <v>Jl. Lkr. Bypass Krian Timur, Sidogolong, Watugolong, Kec. Krian, Kabupaten Sidoarjo, Jawa Timur 61262</v>
      </c>
      <c r="W1536" s="211" t="str">
        <f>IFERROR(__xludf.DUMMYFUNCTION("""COMPUTED_VALUE"""),"IN")</f>
        <v>IN</v>
      </c>
      <c r="X1536" s="211"/>
      <c r="AL1536" s="211"/>
      <c r="AM1536" s="211"/>
      <c r="AN1536" s="211"/>
      <c r="AO1536" s="211"/>
      <c r="AP1536" s="215"/>
      <c r="AQ1536" s="218"/>
      <c r="AR1536" s="211"/>
    </row>
    <row r="1537">
      <c r="A1537" s="210" t="str">
        <f>IFERROR(__xludf.DUMMYFUNCTION("""COMPUTED_VALUE"""),"1250513")</f>
        <v>1250513</v>
      </c>
      <c r="B1537" s="210" t="str">
        <f>IFERROR(__xludf.DUMMYFUNCTION("""COMPUTED_VALUE"""),"1250513")</f>
        <v>1250513</v>
      </c>
      <c r="C1537" s="213">
        <f>IFERROR(__xludf.DUMMYFUNCTION("""COMPUTED_VALUE"""),45882.4512962963)</f>
        <v>45882.4513</v>
      </c>
      <c r="D1537" s="211" t="str">
        <f>IFERROR(__xludf.DUMMYFUNCTION("""COMPUTED_VALUE"""),"e86baf3b")</f>
        <v>e86baf3b</v>
      </c>
      <c r="E1537" s="211" t="str">
        <f>IFERROR(__xludf.DUMMYFUNCTION("""COMPUTED_VALUE"""),"PT GEMILANG CIPTA WAWASAN")</f>
        <v>PT GEMILANG CIPTA WAWASAN</v>
      </c>
      <c r="F1537" s="211" t="str">
        <f>IFERROR(__xludf.DUMMYFUNCTION("""COMPUTED_VALUE"""),"66af7c72")</f>
        <v>66af7c72</v>
      </c>
      <c r="G1537" s="211" t="str">
        <f>IFERROR(__xludf.DUMMYFUNCTION("""COMPUTED_VALUE"""),"Argon 6m3")</f>
        <v>Argon 6m3</v>
      </c>
      <c r="H1537" s="211" t="str">
        <f>IFERROR(__xludf.DUMMYFUNCTION("""COMPUTED_VALUE"""),"IN")</f>
        <v>IN</v>
      </c>
      <c r="I1537" s="211" t="str">
        <f>IFERROR(__xludf.DUMMYFUNCTION("""COMPUTED_VALUE"""),"EMPTY")</f>
        <v>EMPTY</v>
      </c>
      <c r="J1537" s="211">
        <f>IFERROR(__xludf.DUMMYFUNCTION("""COMPUTED_VALUE"""),17.0)</f>
        <v>17</v>
      </c>
      <c r="K1537" s="210" t="str">
        <f>IFERROR(__xludf.DUMMYFUNCTION("""COMPUTED_VALUE"""),"12060 12067 12037 12049 12062 12064 12045 12035 12014 12052 12063 12044 12011 12066 12040 12048 12003")</f>
        <v>12060 12067 12037 12049 12062 12064 12045 12035 12014 12052 12063 12044 12011 12066 12040 12048 12003</v>
      </c>
      <c r="L1537" s="211">
        <f>IFERROR(__xludf.DUMMYFUNCTION("""COMPUTED_VALUE"""),0.0)</f>
        <v>0</v>
      </c>
      <c r="M1537" s="211"/>
      <c r="N1537" s="211"/>
      <c r="O1537" s="211"/>
      <c r="Q1537" s="210" t="str">
        <f>IFERROR(__xludf.DUMMYFUNCTION("""COMPUTED_VALUE"""),"1250723")</f>
        <v>1250723</v>
      </c>
      <c r="R1537" s="210" t="str">
        <f>IFERROR(__xludf.DUMMYFUNCTION("""COMPUTED_VALUE"""),"1250723")</f>
        <v>1250723</v>
      </c>
      <c r="S1537" s="211" t="str">
        <f>IFERROR(__xludf.DUMMYFUNCTION("""COMPUTED_VALUE"""),"8f5ebaea")</f>
        <v>8f5ebaea</v>
      </c>
      <c r="T1537" s="211" t="str">
        <f>IFERROR(__xludf.DUMMYFUNCTION("""COMPUTED_VALUE"""),"PT Hua Zong Mesindo")</f>
        <v>PT Hua Zong Mesindo</v>
      </c>
      <c r="U1537" s="215">
        <f>IFERROR(__xludf.DUMMYFUNCTION("""COMPUTED_VALUE"""),45957.41486111111)</f>
        <v>45957.41486</v>
      </c>
      <c r="V1537" s="211" t="str">
        <f>IFERROR(__xludf.DUMMYFUNCTION("""COMPUTED_VALUE"""),"Jl. Bypass Krian, Sidotemo, Sidomulyo, Kec. Krian, Kabupaten Sidoarjo, Jawa Timur 61262")</f>
        <v>Jl. Bypass Krian, Sidotemo, Sidomulyo, Kec. Krian, Kabupaten Sidoarjo, Jawa Timur 61262</v>
      </c>
      <c r="W1537" s="211" t="str">
        <f>IFERROR(__xludf.DUMMYFUNCTION("""COMPUTED_VALUE"""),"IN")</f>
        <v>IN</v>
      </c>
      <c r="X1537" s="211"/>
      <c r="AL1537" s="211"/>
      <c r="AM1537" s="211"/>
      <c r="AN1537" s="211"/>
      <c r="AO1537" s="211"/>
      <c r="AP1537" s="215"/>
      <c r="AQ1537" s="218"/>
      <c r="AR1537" s="211"/>
    </row>
    <row r="1538">
      <c r="A1538" s="210" t="str">
        <f>IFERROR(__xludf.DUMMYFUNCTION("""COMPUTED_VALUE"""),"1250485")</f>
        <v>1250485</v>
      </c>
      <c r="B1538" s="210" t="str">
        <f>IFERROR(__xludf.DUMMYFUNCTION("""COMPUTED_VALUE"""),"1250485")</f>
        <v>1250485</v>
      </c>
      <c r="C1538" s="213">
        <f>IFERROR(__xludf.DUMMYFUNCTION("""COMPUTED_VALUE"""),45882.63003472222)</f>
        <v>45882.63003</v>
      </c>
      <c r="D1538" s="211" t="str">
        <f>IFERROR(__xludf.DUMMYFUNCTION("""COMPUTED_VALUE"""),"1bf27092")</f>
        <v>1bf27092</v>
      </c>
      <c r="E1538" s="211" t="str">
        <f>IFERROR(__xludf.DUMMYFUNCTION("""COMPUTED_VALUE"""),"Bpk. Ari Budiarto")</f>
        <v>Bpk. Ari Budiarto</v>
      </c>
      <c r="F1538" s="211" t="str">
        <f>IFERROR(__xludf.DUMMYFUNCTION("""COMPUTED_VALUE"""),"66af7c72")</f>
        <v>66af7c72</v>
      </c>
      <c r="G1538" s="211" t="str">
        <f>IFERROR(__xludf.DUMMYFUNCTION("""COMPUTED_VALUE"""),"Argon 6m3")</f>
        <v>Argon 6m3</v>
      </c>
      <c r="H1538" s="211" t="str">
        <f>IFERROR(__xludf.DUMMYFUNCTION("""COMPUTED_VALUE"""),"IN")</f>
        <v>IN</v>
      </c>
      <c r="I1538" s="211" t="str">
        <f>IFERROR(__xludf.DUMMYFUNCTION("""COMPUTED_VALUE"""),"EMPTY")</f>
        <v>EMPTY</v>
      </c>
      <c r="J1538" s="211">
        <f>IFERROR(__xludf.DUMMYFUNCTION("""COMPUTED_VALUE"""),1.0)</f>
        <v>1</v>
      </c>
      <c r="K1538" s="210" t="str">
        <f>IFERROR(__xludf.DUMMYFUNCTION("""COMPUTED_VALUE"""),"12046")</f>
        <v>12046</v>
      </c>
      <c r="L1538" s="211">
        <f>IFERROR(__xludf.DUMMYFUNCTION("""COMPUTED_VALUE"""),0.0)</f>
        <v>0</v>
      </c>
      <c r="M1538" s="211"/>
      <c r="N1538" s="211"/>
      <c r="O1538" s="211"/>
      <c r="Q1538" s="210" t="str">
        <f>IFERROR(__xludf.DUMMYFUNCTION("""COMPUTED_VALUE"""),"1025281533")</f>
        <v>1025281533</v>
      </c>
      <c r="R1538" s="210" t="str">
        <f>IFERROR(__xludf.DUMMYFUNCTION("""COMPUTED_VALUE"""),"1025281533")</f>
        <v>1025281533</v>
      </c>
      <c r="S1538" s="211" t="str">
        <f>IFERROR(__xludf.DUMMYFUNCTION("""COMPUTED_VALUE"""),"b2b5f2c5")</f>
        <v>b2b5f2c5</v>
      </c>
      <c r="T1538" s="211" t="str">
        <f>IFERROR(__xludf.DUMMYFUNCTION("""COMPUTED_VALUE"""),"Bengkel Las Bpk. Ari")</f>
        <v>Bengkel Las Bpk. Ari</v>
      </c>
      <c r="U1538" s="215">
        <f>IFERROR(__xludf.DUMMYFUNCTION("""COMPUTED_VALUE"""),45957.44943287037)</f>
        <v>45957.44943</v>
      </c>
      <c r="V1538" s="211" t="str">
        <f>IFERROR(__xludf.DUMMYFUNCTION("""COMPUTED_VALUE"""),"Sumber Kembar, Wonodadi, Kec. Kutorejo, Kabupaten Mojokerto, Jawa Timur")</f>
        <v>Sumber Kembar, Wonodadi, Kec. Kutorejo, Kabupaten Mojokerto, Jawa Timur</v>
      </c>
      <c r="W1538" s="211" t="str">
        <f>IFERROR(__xludf.DUMMYFUNCTION("""COMPUTED_VALUE"""),"OUT")</f>
        <v>OUT</v>
      </c>
      <c r="X1538" s="211"/>
      <c r="AL1538" s="211"/>
      <c r="AM1538" s="211"/>
      <c r="AN1538" s="211"/>
      <c r="AO1538" s="211"/>
      <c r="AP1538" s="215"/>
      <c r="AQ1538" s="218"/>
      <c r="AR1538" s="211"/>
    </row>
    <row r="1539">
      <c r="A1539" s="210" t="str">
        <f>IFERROR(__xludf.DUMMYFUNCTION("""COMPUTED_VALUE"""),"1250402")</f>
        <v>1250402</v>
      </c>
      <c r="B1539" s="210" t="str">
        <f>IFERROR(__xludf.DUMMYFUNCTION("""COMPUTED_VALUE"""),"1250402")</f>
        <v>1250402</v>
      </c>
      <c r="C1539" s="213">
        <f>IFERROR(__xludf.DUMMYFUNCTION("""COMPUTED_VALUE"""),45831.39236111111)</f>
        <v>45831.39236</v>
      </c>
      <c r="D1539" s="211" t="str">
        <f>IFERROR(__xludf.DUMMYFUNCTION("""COMPUTED_VALUE"""),"3bcd7fe6")</f>
        <v>3bcd7fe6</v>
      </c>
      <c r="E1539" s="211" t="str">
        <f>IFERROR(__xludf.DUMMYFUNCTION("""COMPUTED_VALUE"""),"Bpk. Alvin (LB Group)")</f>
        <v>Bpk. Alvin (LB Group)</v>
      </c>
      <c r="F1539" s="211" t="str">
        <f>IFERROR(__xludf.DUMMYFUNCTION("""COMPUTED_VALUE"""),"7d2764f1")</f>
        <v>7d2764f1</v>
      </c>
      <c r="G1539" s="211" t="str">
        <f>IFERROR(__xludf.DUMMYFUNCTION("""COMPUTED_VALUE"""),"Oksigen 7m3")</f>
        <v>Oksigen 7m3</v>
      </c>
      <c r="H1539" s="211" t="str">
        <f>IFERROR(__xludf.DUMMYFUNCTION("""COMPUTED_VALUE"""),"IN")</f>
        <v>IN</v>
      </c>
      <c r="I1539" s="211" t="str">
        <f>IFERROR(__xludf.DUMMYFUNCTION("""COMPUTED_VALUE"""),"EMPTY")</f>
        <v>EMPTY</v>
      </c>
      <c r="J1539" s="211">
        <f>IFERROR(__xludf.DUMMYFUNCTION("""COMPUTED_VALUE"""),3.0)</f>
        <v>3</v>
      </c>
      <c r="K1539" s="210" t="str">
        <f>IFERROR(__xludf.DUMMYFUNCTION("""COMPUTED_VALUE"""),"11215 11221 11218")</f>
        <v>11215 11221 11218</v>
      </c>
      <c r="L1539" s="211">
        <f>IFERROR(__xludf.DUMMYFUNCTION("""COMPUTED_VALUE"""),0.0)</f>
        <v>0</v>
      </c>
      <c r="M1539" s="211"/>
      <c r="N1539" s="211"/>
      <c r="O1539" s="211"/>
      <c r="Q1539" s="210" t="str">
        <f>IFERROR(__xludf.DUMMYFUNCTION("""COMPUTED_VALUE"""),"1250725")</f>
        <v>1250725</v>
      </c>
      <c r="R1539" s="210" t="str">
        <f>IFERROR(__xludf.DUMMYFUNCTION("""COMPUTED_VALUE"""),"1250725")</f>
        <v>1250725</v>
      </c>
      <c r="S1539" s="211" t="str">
        <f>IFERROR(__xludf.DUMMYFUNCTION("""COMPUTED_VALUE"""),"b218b89b")</f>
        <v>b218b89b</v>
      </c>
      <c r="T1539" s="211" t="str">
        <f>IFERROR(__xludf.DUMMYFUNCTION("""COMPUTED_VALUE"""),"PT Harapan Sentosa")</f>
        <v>PT Harapan Sentosa</v>
      </c>
      <c r="U1539" s="215">
        <f>IFERROR(__xludf.DUMMYFUNCTION("""COMPUTED_VALUE"""),45957.66763888889)</f>
        <v>45957.66764</v>
      </c>
      <c r="V1539" s="211" t="str">
        <f>IFERROR(__xludf.DUMMYFUNCTION("""COMPUTED_VALUE"""),"Seketi, Jl. Purboyo II Selatan, RT.02/RW.02, Seketi, Kec. BalongBendo, Kabupaten Sidoarjo, Jawa Timur 61263")</f>
        <v>Seketi, Jl. Purboyo II Selatan, RT.02/RW.02, Seketi, Kec. BalongBendo, Kabupaten Sidoarjo, Jawa Timur 61263</v>
      </c>
      <c r="W1539" s="211" t="str">
        <f>IFERROR(__xludf.DUMMYFUNCTION("""COMPUTED_VALUE"""),"IN")</f>
        <v>IN</v>
      </c>
      <c r="X1539" s="211"/>
      <c r="AL1539" s="211"/>
      <c r="AM1539" s="211"/>
      <c r="AN1539" s="211"/>
      <c r="AO1539" s="211"/>
      <c r="AP1539" s="215"/>
      <c r="AQ1539" s="218"/>
      <c r="AR1539" s="211"/>
    </row>
    <row r="1540">
      <c r="A1540" s="210" t="str">
        <f>IFERROR(__xludf.DUMMYFUNCTION("""COMPUTED_VALUE"""),"0825151128")</f>
        <v>0825151128</v>
      </c>
      <c r="B1540" s="210" t="str">
        <f>IFERROR(__xludf.DUMMYFUNCTION("""COMPUTED_VALUE"""),"0825151128")</f>
        <v>0825151128</v>
      </c>
      <c r="C1540" s="213">
        <f>IFERROR(__xludf.DUMMYFUNCTION("""COMPUTED_VALUE"""),45883.60422453703)</f>
        <v>45883.60422</v>
      </c>
      <c r="D1540" s="211" t="str">
        <f>IFERROR(__xludf.DUMMYFUNCTION("""COMPUTED_VALUE"""),"ec231cc9")</f>
        <v>ec231cc9</v>
      </c>
      <c r="E1540" s="211" t="str">
        <f>IFERROR(__xludf.DUMMYFUNCTION("""COMPUTED_VALUE"""),"Bpk. Kohir (Maintenance Velg)")</f>
        <v>Bpk. Kohir (Maintenance Velg)</v>
      </c>
      <c r="F1540" s="211" t="str">
        <f>IFERROR(__xludf.DUMMYFUNCTION("""COMPUTED_VALUE"""),"ef306e54")</f>
        <v>ef306e54</v>
      </c>
      <c r="G1540" s="211" t="str">
        <f>IFERROR(__xludf.DUMMYFUNCTION("""COMPUTED_VALUE"""),"Karbondioksida")</f>
        <v>Karbondioksida</v>
      </c>
      <c r="H1540" s="211" t="str">
        <f>IFERROR(__xludf.DUMMYFUNCTION("""COMPUTED_VALUE"""),"OUT")</f>
        <v>OUT</v>
      </c>
      <c r="I1540" s="211" t="str">
        <f>IFERROR(__xludf.DUMMYFUNCTION("""COMPUTED_VALUE"""),"NORMAL")</f>
        <v>NORMAL</v>
      </c>
      <c r="J1540" s="211">
        <f>IFERROR(__xludf.DUMMYFUNCTION("""COMPUTED_VALUE"""),1.0)</f>
        <v>1</v>
      </c>
      <c r="K1540" s="210" t="str">
        <f>IFERROR(__xludf.DUMMYFUNCTION("""COMPUTED_VALUE"""),"13028")</f>
        <v>13028</v>
      </c>
      <c r="L1540" s="211">
        <f>IFERROR(__xludf.DUMMYFUNCTION("""COMPUTED_VALUE"""),165000.0)</f>
        <v>165000</v>
      </c>
      <c r="M1540" s="211"/>
      <c r="N1540" s="211"/>
      <c r="O1540" s="211"/>
      <c r="Q1540" s="210" t="str">
        <f>IFERROR(__xludf.DUMMYFUNCTION("""COMPUTED_VALUE"""),"1250724")</f>
        <v>1250724</v>
      </c>
      <c r="R1540" s="210" t="str">
        <f>IFERROR(__xludf.DUMMYFUNCTION("""COMPUTED_VALUE"""),"1250724")</f>
        <v>1250724</v>
      </c>
      <c r="S1540" s="211" t="str">
        <f>IFERROR(__xludf.DUMMYFUNCTION("""COMPUTED_VALUE"""),"4ec68cf6")</f>
        <v>4ec68cf6</v>
      </c>
      <c r="T1540" s="211" t="str">
        <f>IFERROR(__xludf.DUMMYFUNCTION("""COMPUTED_VALUE"""),"CV Sido Mukti Karya")</f>
        <v>CV Sido Mukti Karya</v>
      </c>
      <c r="U1540" s="215">
        <f>IFERROR(__xludf.DUMMYFUNCTION("""COMPUTED_VALUE"""),45957.669270833336)</f>
        <v>45957.66927</v>
      </c>
      <c r="V1540" s="211" t="str">
        <f>IFERROR(__xludf.DUMMYFUNCTION("""COMPUTED_VALUE"""),"Pergudangan Center Point no A3, Kemangsen")</f>
        <v>Pergudangan Center Point no A3, Kemangsen</v>
      </c>
      <c r="W1540" s="211" t="str">
        <f>IFERROR(__xludf.DUMMYFUNCTION("""COMPUTED_VALUE"""),"IN")</f>
        <v>IN</v>
      </c>
      <c r="X1540" s="211"/>
      <c r="AL1540" s="211"/>
      <c r="AM1540" s="211"/>
      <c r="AN1540" s="211"/>
      <c r="AO1540" s="211"/>
      <c r="AP1540" s="215"/>
      <c r="AQ1540" s="218"/>
      <c r="AR1540" s="211"/>
    </row>
    <row r="1541">
      <c r="A1541" s="210" t="str">
        <f>IFERROR(__xludf.DUMMYFUNCTION("""COMPUTED_VALUE"""),"0825151128")</f>
        <v>0825151128</v>
      </c>
      <c r="B1541" s="210" t="str">
        <f>IFERROR(__xludf.DUMMYFUNCTION("""COMPUTED_VALUE"""),"0825151128")</f>
        <v>0825151128</v>
      </c>
      <c r="C1541" s="213">
        <f>IFERROR(__xludf.DUMMYFUNCTION("""COMPUTED_VALUE"""),45883.60422453703)</f>
        <v>45883.60422</v>
      </c>
      <c r="D1541" s="211" t="str">
        <f>IFERROR(__xludf.DUMMYFUNCTION("""COMPUTED_VALUE"""),"ec231cc9")</f>
        <v>ec231cc9</v>
      </c>
      <c r="E1541" s="211" t="str">
        <f>IFERROR(__xludf.DUMMYFUNCTION("""COMPUTED_VALUE"""),"Bpk. Kohir (Maintenance Velg)")</f>
        <v>Bpk. Kohir (Maintenance Velg)</v>
      </c>
      <c r="F1541" s="211" t="str">
        <f>IFERROR(__xludf.DUMMYFUNCTION("""COMPUTED_VALUE"""),"8bdbe149")</f>
        <v>8bdbe149</v>
      </c>
      <c r="G1541" s="211" t="str">
        <f>IFERROR(__xludf.DUMMYFUNCTION("""COMPUTED_VALUE"""),"Oksigen 6m3")</f>
        <v>Oksigen 6m3</v>
      </c>
      <c r="H1541" s="211" t="str">
        <f>IFERROR(__xludf.DUMMYFUNCTION("""COMPUTED_VALUE"""),"OUT")</f>
        <v>OUT</v>
      </c>
      <c r="I1541" s="211" t="str">
        <f>IFERROR(__xludf.DUMMYFUNCTION("""COMPUTED_VALUE"""),"NORMAL")</f>
        <v>NORMAL</v>
      </c>
      <c r="J1541" s="211">
        <f>IFERROR(__xludf.DUMMYFUNCTION("""COMPUTED_VALUE"""),4.0)</f>
        <v>4</v>
      </c>
      <c r="K1541" s="210" t="str">
        <f>IFERROR(__xludf.DUMMYFUNCTION("""COMPUTED_VALUE"""),"1155 1149 11100 11258")</f>
        <v>1155 1149 11100 11258</v>
      </c>
      <c r="L1541" s="211">
        <f>IFERROR(__xludf.DUMMYFUNCTION("""COMPUTED_VALUE"""),55000.0)</f>
        <v>55000</v>
      </c>
      <c r="M1541" s="211"/>
      <c r="N1541" s="211"/>
      <c r="O1541" s="211"/>
      <c r="Q1541" s="210" t="str">
        <f>IFERROR(__xludf.DUMMYFUNCTION("""COMPUTED_VALUE"""),"1250713")</f>
        <v>1250713</v>
      </c>
      <c r="R1541" s="210" t="str">
        <f>IFERROR(__xludf.DUMMYFUNCTION("""COMPUTED_VALUE"""),"1250713")</f>
        <v>1250713</v>
      </c>
      <c r="S1541" s="211" t="str">
        <f>IFERROR(__xludf.DUMMYFUNCTION("""COMPUTED_VALUE"""),"b2b5f2c5")</f>
        <v>b2b5f2c5</v>
      </c>
      <c r="T1541" s="211" t="str">
        <f>IFERROR(__xludf.DUMMYFUNCTION("""COMPUTED_VALUE"""),"Bengkel Las Bpk. Ari")</f>
        <v>Bengkel Las Bpk. Ari</v>
      </c>
      <c r="U1541" s="215">
        <f>IFERROR(__xludf.DUMMYFUNCTION("""COMPUTED_VALUE"""),45957.67024305555)</f>
        <v>45957.67024</v>
      </c>
      <c r="V1541" s="211" t="str">
        <f>IFERROR(__xludf.DUMMYFUNCTION("""COMPUTED_VALUE"""),"Sumber Kembar, Wonodadi, Kec. Kutorejo, Kabupaten Mojokerto, Jawa Timur")</f>
        <v>Sumber Kembar, Wonodadi, Kec. Kutorejo, Kabupaten Mojokerto, Jawa Timur</v>
      </c>
      <c r="W1541" s="211" t="str">
        <f>IFERROR(__xludf.DUMMYFUNCTION("""COMPUTED_VALUE"""),"IN")</f>
        <v>IN</v>
      </c>
      <c r="X1541" s="211"/>
      <c r="AL1541" s="211"/>
      <c r="AM1541" s="211"/>
      <c r="AN1541" s="211"/>
      <c r="AO1541" s="211"/>
      <c r="AP1541" s="215"/>
      <c r="AQ1541" s="218"/>
      <c r="AR1541" s="211"/>
    </row>
    <row r="1542">
      <c r="A1542" s="210" t="str">
        <f>IFERROR(__xludf.DUMMYFUNCTION("""COMPUTED_VALUE"""),"1250514")</f>
        <v>1250514</v>
      </c>
      <c r="B1542" s="210" t="str">
        <f>IFERROR(__xludf.DUMMYFUNCTION("""COMPUTED_VALUE"""),"1250514")</f>
        <v>1250514</v>
      </c>
      <c r="C1542" s="213">
        <f>IFERROR(__xludf.DUMMYFUNCTION("""COMPUTED_VALUE"""),45883.640694444446)</f>
        <v>45883.64069</v>
      </c>
      <c r="D1542" s="211" t="str">
        <f>IFERROR(__xludf.DUMMYFUNCTION("""COMPUTED_VALUE"""),"ec231cc9")</f>
        <v>ec231cc9</v>
      </c>
      <c r="E1542" s="211" t="str">
        <f>IFERROR(__xludf.DUMMYFUNCTION("""COMPUTED_VALUE"""),"Bpk. Kohir (Maintenance Velg)")</f>
        <v>Bpk. Kohir (Maintenance Velg)</v>
      </c>
      <c r="F1542" s="211" t="str">
        <f>IFERROR(__xludf.DUMMYFUNCTION("""COMPUTED_VALUE"""),"8bdbe149")</f>
        <v>8bdbe149</v>
      </c>
      <c r="G1542" s="211" t="str">
        <f>IFERROR(__xludf.DUMMYFUNCTION("""COMPUTED_VALUE"""),"Oksigen 6m3")</f>
        <v>Oksigen 6m3</v>
      </c>
      <c r="H1542" s="211" t="str">
        <f>IFERROR(__xludf.DUMMYFUNCTION("""COMPUTED_VALUE"""),"IN")</f>
        <v>IN</v>
      </c>
      <c r="I1542" s="211" t="str">
        <f>IFERROR(__xludf.DUMMYFUNCTION("""COMPUTED_VALUE"""),"EMPTY")</f>
        <v>EMPTY</v>
      </c>
      <c r="J1542" s="211">
        <f>IFERROR(__xludf.DUMMYFUNCTION("""COMPUTED_VALUE"""),2.0)</f>
        <v>2</v>
      </c>
      <c r="K1542" s="210" t="str">
        <f>IFERROR(__xludf.DUMMYFUNCTION("""COMPUTED_VALUE"""),"11114 1135")</f>
        <v>11114 1135</v>
      </c>
      <c r="L1542" s="211">
        <f>IFERROR(__xludf.DUMMYFUNCTION("""COMPUTED_VALUE"""),0.0)</f>
        <v>0</v>
      </c>
      <c r="M1542" s="211"/>
      <c r="N1542" s="211"/>
      <c r="O1542" s="211"/>
      <c r="Q1542" s="210" t="str">
        <f>IFERROR(__xludf.DUMMYFUNCTION("""COMPUTED_VALUE"""),"1250712")</f>
        <v>1250712</v>
      </c>
      <c r="R1542" s="210" t="str">
        <f>IFERROR(__xludf.DUMMYFUNCTION("""COMPUTED_VALUE"""),"1250712")</f>
        <v>1250712</v>
      </c>
      <c r="S1542" s="211" t="str">
        <f>IFERROR(__xludf.DUMMYFUNCTION("""COMPUTED_VALUE"""),"4c3a2a5f")</f>
        <v>4c3a2a5f</v>
      </c>
      <c r="T1542" s="211" t="str">
        <f>IFERROR(__xludf.DUMMYFUNCTION("""COMPUTED_VALUE"""),"CV Matahari Mitra Sukses")</f>
        <v>CV Matahari Mitra Sukses</v>
      </c>
      <c r="U1542" s="215">
        <f>IFERROR(__xludf.DUMMYFUNCTION("""COMPUTED_VALUE"""),45957.67140046296)</f>
        <v>45957.6714</v>
      </c>
      <c r="V1542" s="211" t="str">
        <f>IFERROR(__xludf.DUMMYFUNCTION("""COMPUTED_VALUE"""),"Jl. Raya Hj. Fatimah 01, Tarik, Kabupaten Sidoarjo, Jawa Timur 61265, Indonesia")</f>
        <v>Jl. Raya Hj. Fatimah 01, Tarik, Kabupaten Sidoarjo, Jawa Timur 61265, Indonesia</v>
      </c>
      <c r="W1542" s="211" t="str">
        <f>IFERROR(__xludf.DUMMYFUNCTION("""COMPUTED_VALUE"""),"IN")</f>
        <v>IN</v>
      </c>
      <c r="X1542" s="211"/>
      <c r="AL1542" s="211"/>
      <c r="AM1542" s="211"/>
      <c r="AN1542" s="211"/>
      <c r="AO1542" s="211"/>
      <c r="AP1542" s="215"/>
      <c r="AQ1542" s="218"/>
      <c r="AR1542" s="211"/>
    </row>
    <row r="1543">
      <c r="A1543" s="210" t="str">
        <f>IFERROR(__xludf.DUMMYFUNCTION("""COMPUTED_VALUE"""),"0825151129")</f>
        <v>0825151129</v>
      </c>
      <c r="B1543" s="210" t="str">
        <f>IFERROR(__xludf.DUMMYFUNCTION("""COMPUTED_VALUE"""),"0825151129")</f>
        <v>0825151129</v>
      </c>
      <c r="C1543" s="213">
        <f>IFERROR(__xludf.DUMMYFUNCTION("""COMPUTED_VALUE"""),45884.435949074075)</f>
        <v>45884.43595</v>
      </c>
      <c r="D1543" s="211" t="str">
        <f>IFERROR(__xludf.DUMMYFUNCTION("""COMPUTED_VALUE"""),"b2b5f2c5")</f>
        <v>b2b5f2c5</v>
      </c>
      <c r="E1543" s="211" t="str">
        <f>IFERROR(__xludf.DUMMYFUNCTION("""COMPUTED_VALUE"""),"Bengkel Las Bpk. Ari")</f>
        <v>Bengkel Las Bpk. Ari</v>
      </c>
      <c r="F1543" s="211" t="str">
        <f>IFERROR(__xludf.DUMMYFUNCTION("""COMPUTED_VALUE"""),"8bdbe149")</f>
        <v>8bdbe149</v>
      </c>
      <c r="G1543" s="211" t="str">
        <f>IFERROR(__xludf.DUMMYFUNCTION("""COMPUTED_VALUE"""),"Oksigen 6m3")</f>
        <v>Oksigen 6m3</v>
      </c>
      <c r="H1543" s="211" t="str">
        <f>IFERROR(__xludf.DUMMYFUNCTION("""COMPUTED_VALUE"""),"OUT")</f>
        <v>OUT</v>
      </c>
      <c r="I1543" s="211" t="str">
        <f>IFERROR(__xludf.DUMMYFUNCTION("""COMPUTED_VALUE"""),"NORMAL")</f>
        <v>NORMAL</v>
      </c>
      <c r="J1543" s="211">
        <f>IFERROR(__xludf.DUMMYFUNCTION("""COMPUTED_VALUE"""),6.0)</f>
        <v>6</v>
      </c>
      <c r="K1543" s="210" t="str">
        <f>IFERROR(__xludf.DUMMYFUNCTION("""COMPUTED_VALUE"""),"11188 11129 1164 11175 11210 11198")</f>
        <v>11188 11129 1164 11175 11210 11198</v>
      </c>
      <c r="L1543" s="211">
        <f>IFERROR(__xludf.DUMMYFUNCTION("""COMPUTED_VALUE"""),60000.0)</f>
        <v>60000</v>
      </c>
      <c r="M1543" s="211"/>
      <c r="N1543" s="211"/>
      <c r="O1543" s="211"/>
      <c r="Q1543" s="210" t="str">
        <f>IFERROR(__xludf.DUMMYFUNCTION("""COMPUTED_VALUE"""),"1025181539")</f>
        <v>1025181539</v>
      </c>
      <c r="R1543" s="210" t="str">
        <f>IFERROR(__xludf.DUMMYFUNCTION("""COMPUTED_VALUE"""),"1025181539")</f>
        <v>1025181539</v>
      </c>
      <c r="S1543" s="211" t="str">
        <f>IFERROR(__xludf.DUMMYFUNCTION("""COMPUTED_VALUE"""),"182fb0fe")</f>
        <v>182fb0fe</v>
      </c>
      <c r="T1543" s="211" t="str">
        <f>IFERROR(__xludf.DUMMYFUNCTION("""COMPUTED_VALUE"""),"PT Amtech")</f>
        <v>PT Amtech</v>
      </c>
      <c r="U1543" s="215">
        <f>IFERROR(__xludf.DUMMYFUNCTION("""COMPUTED_VALUE"""),45958.354166666664)</f>
        <v>45958.35417</v>
      </c>
      <c r="V1543"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543" s="211" t="str">
        <f>IFERROR(__xludf.DUMMYFUNCTION("""COMPUTED_VALUE"""),"OUT")</f>
        <v>OUT</v>
      </c>
      <c r="X1543" s="211"/>
      <c r="AL1543" s="211"/>
      <c r="AM1543" s="211"/>
      <c r="AN1543" s="211"/>
      <c r="AO1543" s="211"/>
      <c r="AP1543" s="215"/>
      <c r="AQ1543" s="218"/>
      <c r="AR1543" s="211"/>
    </row>
    <row r="1544">
      <c r="A1544" s="210" t="str">
        <f>IFERROR(__xludf.DUMMYFUNCTION("""COMPUTED_VALUE"""),"1250516")</f>
        <v>1250516</v>
      </c>
      <c r="B1544" s="210" t="str">
        <f>IFERROR(__xludf.DUMMYFUNCTION("""COMPUTED_VALUE"""),"1250516")</f>
        <v>1250516</v>
      </c>
      <c r="C1544" s="213">
        <f>IFERROR(__xludf.DUMMYFUNCTION("""COMPUTED_VALUE"""),45884.48370370371)</f>
        <v>45884.4837</v>
      </c>
      <c r="D1544" s="211" t="str">
        <f>IFERROR(__xludf.DUMMYFUNCTION("""COMPUTED_VALUE"""),"b2b5f2c5")</f>
        <v>b2b5f2c5</v>
      </c>
      <c r="E1544" s="211" t="str">
        <f>IFERROR(__xludf.DUMMYFUNCTION("""COMPUTED_VALUE"""),"Bengkel Las Bpk. Ari")</f>
        <v>Bengkel Las Bpk. Ari</v>
      </c>
      <c r="F1544" s="211" t="str">
        <f>IFERROR(__xludf.DUMMYFUNCTION("""COMPUTED_VALUE"""),"8bdbe149")</f>
        <v>8bdbe149</v>
      </c>
      <c r="G1544" s="211" t="str">
        <f>IFERROR(__xludf.DUMMYFUNCTION("""COMPUTED_VALUE"""),"Oksigen 6m3")</f>
        <v>Oksigen 6m3</v>
      </c>
      <c r="H1544" s="211" t="str">
        <f>IFERROR(__xludf.DUMMYFUNCTION("""COMPUTED_VALUE"""),"IN")</f>
        <v>IN</v>
      </c>
      <c r="I1544" s="211" t="str">
        <f>IFERROR(__xludf.DUMMYFUNCTION("""COMPUTED_VALUE"""),"EMPTY")</f>
        <v>EMPTY</v>
      </c>
      <c r="J1544" s="211">
        <f>IFERROR(__xludf.DUMMYFUNCTION("""COMPUTED_VALUE"""),3.0)</f>
        <v>3</v>
      </c>
      <c r="K1544" s="210" t="str">
        <f>IFERROR(__xludf.DUMMYFUNCTION("""COMPUTED_VALUE"""),"1121 1122 11267")</f>
        <v>1121 1122 11267</v>
      </c>
      <c r="L1544" s="211">
        <f>IFERROR(__xludf.DUMMYFUNCTION("""COMPUTED_VALUE"""),0.0)</f>
        <v>0</v>
      </c>
      <c r="M1544" s="211"/>
      <c r="N1544" s="211"/>
      <c r="O1544" s="211"/>
      <c r="Q1544" s="210" t="str">
        <f>IFERROR(__xludf.DUMMYFUNCTION("""COMPUTED_VALUE"""),"1025171544")</f>
        <v>1025171544</v>
      </c>
      <c r="R1544" s="210" t="str">
        <f>IFERROR(__xludf.DUMMYFUNCTION("""COMPUTED_VALUE"""),"1025171544")</f>
        <v>1025171544</v>
      </c>
      <c r="S1544" s="211" t="str">
        <f>IFERROR(__xludf.DUMMYFUNCTION("""COMPUTED_VALUE"""),"3bcd7fe6")</f>
        <v>3bcd7fe6</v>
      </c>
      <c r="T1544" s="211" t="str">
        <f>IFERROR(__xludf.DUMMYFUNCTION("""COMPUTED_VALUE"""),"Bpk. Alvin (LB Group)")</f>
        <v>Bpk. Alvin (LB Group)</v>
      </c>
      <c r="U1544" s="215">
        <f>IFERROR(__xludf.DUMMYFUNCTION("""COMPUTED_VALUE"""),45958.35469907407)</f>
        <v>45958.3547</v>
      </c>
      <c r="V1544" s="211" t="str">
        <f>IFERROR(__xludf.DUMMYFUNCTION("""COMPUTED_VALUE"""),"MFF9+XHC, Jalan, Tambakrejo, Temuireng, Kec. Dawar Blandong, Kabupaten Mojokerto, Jawa Timur 61354")</f>
        <v>MFF9+XHC, Jalan, Tambakrejo, Temuireng, Kec. Dawar Blandong, Kabupaten Mojokerto, Jawa Timur 61354</v>
      </c>
      <c r="W1544" s="211" t="str">
        <f>IFERROR(__xludf.DUMMYFUNCTION("""COMPUTED_VALUE"""),"OUT")</f>
        <v>OUT</v>
      </c>
      <c r="X1544" s="211"/>
      <c r="AL1544" s="211"/>
      <c r="AM1544" s="211"/>
      <c r="AN1544" s="211"/>
      <c r="AO1544" s="211"/>
      <c r="AP1544" s="215"/>
      <c r="AQ1544" s="218"/>
      <c r="AR1544" s="211"/>
    </row>
    <row r="1545">
      <c r="A1545" s="210" t="str">
        <f>IFERROR(__xludf.DUMMYFUNCTION("""COMPUTED_VALUE"""),"1250516")</f>
        <v>1250516</v>
      </c>
      <c r="B1545" s="210" t="str">
        <f>IFERROR(__xludf.DUMMYFUNCTION("""COMPUTED_VALUE"""),"1250516")</f>
        <v>1250516</v>
      </c>
      <c r="C1545" s="213">
        <f>IFERROR(__xludf.DUMMYFUNCTION("""COMPUTED_VALUE"""),45884.48370370371)</f>
        <v>45884.4837</v>
      </c>
      <c r="D1545" s="211" t="str">
        <f>IFERROR(__xludf.DUMMYFUNCTION("""COMPUTED_VALUE"""),"b2b5f2c5")</f>
        <v>b2b5f2c5</v>
      </c>
      <c r="E1545" s="211" t="str">
        <f>IFERROR(__xludf.DUMMYFUNCTION("""COMPUTED_VALUE"""),"Bengkel Las Bpk. Ari")</f>
        <v>Bengkel Las Bpk. Ari</v>
      </c>
      <c r="F1545" s="211" t="str">
        <f>IFERROR(__xludf.DUMMYFUNCTION("""COMPUTED_VALUE"""),"ef306e54")</f>
        <v>ef306e54</v>
      </c>
      <c r="G1545" s="211" t="str">
        <f>IFERROR(__xludf.DUMMYFUNCTION("""COMPUTED_VALUE"""),"Karbondioksida")</f>
        <v>Karbondioksida</v>
      </c>
      <c r="H1545" s="211" t="str">
        <f>IFERROR(__xludf.DUMMYFUNCTION("""COMPUTED_VALUE"""),"IN")</f>
        <v>IN</v>
      </c>
      <c r="I1545" s="211" t="str">
        <f>IFERROR(__xludf.DUMMYFUNCTION("""COMPUTED_VALUE"""),"EMPTY")</f>
        <v>EMPTY</v>
      </c>
      <c r="J1545" s="211">
        <f>IFERROR(__xludf.DUMMYFUNCTION("""COMPUTED_VALUE"""),2.0)</f>
        <v>2</v>
      </c>
      <c r="K1545" s="210" t="str">
        <f>IFERROR(__xludf.DUMMYFUNCTION("""COMPUTED_VALUE"""),"13014 13024")</f>
        <v>13014 13024</v>
      </c>
      <c r="L1545" s="211">
        <f>IFERROR(__xludf.DUMMYFUNCTION("""COMPUTED_VALUE"""),0.0)</f>
        <v>0</v>
      </c>
      <c r="M1545" s="211"/>
      <c r="N1545" s="211"/>
      <c r="O1545" s="211"/>
      <c r="Q1545" s="210" t="str">
        <f>IFERROR(__xludf.DUMMYFUNCTION("""COMPUTED_VALUE"""),"4102541508")</f>
        <v>4102541508</v>
      </c>
      <c r="R1545" s="210" t="str">
        <f>IFERROR(__xludf.DUMMYFUNCTION("""COMPUTED_VALUE"""),"4102541508")</f>
        <v>4102541508</v>
      </c>
      <c r="S1545" s="211" t="str">
        <f>IFERROR(__xludf.DUMMYFUNCTION("""COMPUTED_VALUE"""),"3bcd7fe6")</f>
        <v>3bcd7fe6</v>
      </c>
      <c r="T1545" s="211" t="str">
        <f>IFERROR(__xludf.DUMMYFUNCTION("""COMPUTED_VALUE"""),"Bpk. Alvin (LB Group)")</f>
        <v>Bpk. Alvin (LB Group)</v>
      </c>
      <c r="U1545" s="215">
        <f>IFERROR(__xludf.DUMMYFUNCTION("""COMPUTED_VALUE"""),45958.35527777778)</f>
        <v>45958.35528</v>
      </c>
      <c r="V1545" s="211" t="str">
        <f>IFERROR(__xludf.DUMMYFUNCTION("""COMPUTED_VALUE"""),"MFF9+XHC, Jalan, Tambakrejo, Temuireng, Kec. Dawar Blandong, Kabupaten Mojokerto, Jawa Timur 61354")</f>
        <v>MFF9+XHC, Jalan, Tambakrejo, Temuireng, Kec. Dawar Blandong, Kabupaten Mojokerto, Jawa Timur 61354</v>
      </c>
      <c r="W1545" s="211" t="str">
        <f>IFERROR(__xludf.DUMMYFUNCTION("""COMPUTED_VALUE"""),"OTHER")</f>
        <v>OTHER</v>
      </c>
      <c r="X1545" s="211"/>
      <c r="AL1545" s="211"/>
      <c r="AM1545" s="211"/>
      <c r="AN1545" s="211"/>
      <c r="AO1545" s="211"/>
      <c r="AP1545" s="215"/>
      <c r="AQ1545" s="218"/>
      <c r="AR1545" s="211"/>
    </row>
    <row r="1546">
      <c r="A1546" s="210" t="str">
        <f>IFERROR(__xludf.DUMMYFUNCTION("""COMPUTED_VALUE"""),"1250515")</f>
        <v>1250515</v>
      </c>
      <c r="B1546" s="210" t="str">
        <f>IFERROR(__xludf.DUMMYFUNCTION("""COMPUTED_VALUE"""),"1250515")</f>
        <v>1250515</v>
      </c>
      <c r="C1546" s="213">
        <f>IFERROR(__xludf.DUMMYFUNCTION("""COMPUTED_VALUE"""),45884.48473379629)</f>
        <v>45884.48473</v>
      </c>
      <c r="D1546" s="211" t="str">
        <f>IFERROR(__xludf.DUMMYFUNCTION("""COMPUTED_VALUE"""),"b218b89b")</f>
        <v>b218b89b</v>
      </c>
      <c r="E1546" s="211" t="str">
        <f>IFERROR(__xludf.DUMMYFUNCTION("""COMPUTED_VALUE"""),"PT Harapan Sentosa")</f>
        <v>PT Harapan Sentosa</v>
      </c>
      <c r="F1546" s="211" t="str">
        <f>IFERROR(__xludf.DUMMYFUNCTION("""COMPUTED_VALUE"""),"7d2764f1")</f>
        <v>7d2764f1</v>
      </c>
      <c r="G1546" s="211" t="str">
        <f>IFERROR(__xludf.DUMMYFUNCTION("""COMPUTED_VALUE"""),"Oksigen 7m3")</f>
        <v>Oksigen 7m3</v>
      </c>
      <c r="H1546" s="211" t="str">
        <f>IFERROR(__xludf.DUMMYFUNCTION("""COMPUTED_VALUE"""),"IN")</f>
        <v>IN</v>
      </c>
      <c r="I1546" s="211" t="str">
        <f>IFERROR(__xludf.DUMMYFUNCTION("""COMPUTED_VALUE"""),"EMPTY")</f>
        <v>EMPTY</v>
      </c>
      <c r="J1546" s="211">
        <f>IFERROR(__xludf.DUMMYFUNCTION("""COMPUTED_VALUE"""),4.0)</f>
        <v>4</v>
      </c>
      <c r="K1546" s="210" t="str">
        <f>IFERROR(__xludf.DUMMYFUNCTION("""COMPUTED_VALUE"""),"11195 11152 11174 11164")</f>
        <v>11195 11152 11174 11164</v>
      </c>
      <c r="L1546" s="211">
        <f>IFERROR(__xludf.DUMMYFUNCTION("""COMPUTED_VALUE"""),0.0)</f>
        <v>0</v>
      </c>
      <c r="M1546" s="211"/>
      <c r="N1546" s="211"/>
      <c r="O1546" s="211"/>
      <c r="Q1546" s="210" t="str">
        <f>IFERROR(__xludf.DUMMYFUNCTION("""COMPUTED_VALUE"""),"102551545")</f>
        <v>102551545</v>
      </c>
      <c r="R1546" s="210" t="str">
        <f>IFERROR(__xludf.DUMMYFUNCTION("""COMPUTED_VALUE"""),"102551545")</f>
        <v>102551545</v>
      </c>
      <c r="S1546" s="211" t="str">
        <f>IFERROR(__xludf.DUMMYFUNCTION("""COMPUTED_VALUE"""),"9e31e9f4")</f>
        <v>9e31e9f4</v>
      </c>
      <c r="T1546" s="211" t="str">
        <f>IFERROR(__xludf.DUMMYFUNCTION("""COMPUTED_VALUE"""),"Bpk. Eko Iswantoro")</f>
        <v>Bpk. Eko Iswantoro</v>
      </c>
      <c r="U1546" s="215">
        <f>IFERROR(__xludf.DUMMYFUNCTION("""COMPUTED_VALUE"""),45958.35815972222)</f>
        <v>45958.35816</v>
      </c>
      <c r="V1546" s="211" t="str">
        <f>IFERROR(__xludf.DUMMYFUNCTION("""COMPUTED_VALUE"""),"HHWW+8J Kemasan, Kec. Krian, Kabupaten Sidoarjo, Jawa Timur, Indonesia")</f>
        <v>HHWW+8J Kemasan, Kec. Krian, Kabupaten Sidoarjo, Jawa Timur, Indonesia</v>
      </c>
      <c r="W1546" s="211" t="str">
        <f>IFERROR(__xludf.DUMMYFUNCTION("""COMPUTED_VALUE"""),"OUT")</f>
        <v>OUT</v>
      </c>
      <c r="X1546" s="211"/>
      <c r="AL1546" s="211"/>
      <c r="AM1546" s="211"/>
      <c r="AN1546" s="211"/>
      <c r="AO1546" s="211"/>
      <c r="AP1546" s="215"/>
      <c r="AQ1546" s="218"/>
      <c r="AR1546" s="211"/>
    </row>
    <row r="1547">
      <c r="A1547" s="210" t="str">
        <f>IFERROR(__xludf.DUMMYFUNCTION("""COMPUTED_VALUE"""),"0825391131")</f>
        <v>0825391131</v>
      </c>
      <c r="B1547" s="210" t="str">
        <f>IFERROR(__xludf.DUMMYFUNCTION("""COMPUTED_VALUE"""),"0825391131")</f>
        <v>0825391131</v>
      </c>
      <c r="C1547" s="213">
        <f>IFERROR(__xludf.DUMMYFUNCTION("""COMPUTED_VALUE"""),45885.34442129629)</f>
        <v>45885.34442</v>
      </c>
      <c r="D1547" s="211" t="str">
        <f>IFERROR(__xludf.DUMMYFUNCTION("""COMPUTED_VALUE"""),"e86baf3b")</f>
        <v>e86baf3b</v>
      </c>
      <c r="E1547" s="211" t="str">
        <f>IFERROR(__xludf.DUMMYFUNCTION("""COMPUTED_VALUE"""),"PT GEMILANG CIPTA WAWASAN")</f>
        <v>PT GEMILANG CIPTA WAWASAN</v>
      </c>
      <c r="F1547" s="211" t="str">
        <f>IFERROR(__xludf.DUMMYFUNCTION("""COMPUTED_VALUE"""),"66af7c72")</f>
        <v>66af7c72</v>
      </c>
      <c r="G1547" s="211" t="str">
        <f>IFERROR(__xludf.DUMMYFUNCTION("""COMPUTED_VALUE"""),"Argon 6m3")</f>
        <v>Argon 6m3</v>
      </c>
      <c r="H1547" s="211" t="str">
        <f>IFERROR(__xludf.DUMMYFUNCTION("""COMPUTED_VALUE"""),"OUT")</f>
        <v>OUT</v>
      </c>
      <c r="I1547" s="211" t="str">
        <f>IFERROR(__xludf.DUMMYFUNCTION("""COMPUTED_VALUE"""),"NORMAL")</f>
        <v>NORMAL</v>
      </c>
      <c r="J1547" s="211">
        <f>IFERROR(__xludf.DUMMYFUNCTION("""COMPUTED_VALUE"""),10.0)</f>
        <v>10</v>
      </c>
      <c r="K1547" s="210" t="str">
        <f>IFERROR(__xludf.DUMMYFUNCTION("""COMPUTED_VALUE"""),"12067 12064 12052 12011 12045 12048 12066 12003 12014 12063")</f>
        <v>12067 12064 12052 12011 12045 12048 12066 12003 12014 12063</v>
      </c>
      <c r="L1547" s="211">
        <f>IFERROR(__xludf.DUMMYFUNCTION("""COMPUTED_VALUE"""),185000.0)</f>
        <v>185000</v>
      </c>
      <c r="M1547" s="211"/>
      <c r="N1547" s="211"/>
      <c r="O1547" s="211"/>
      <c r="Q1547" s="210" t="str">
        <f>IFERROR(__xludf.DUMMYFUNCTION("""COMPUTED_VALUE"""),"1025631547")</f>
        <v>1025631547</v>
      </c>
      <c r="R1547" s="210" t="str">
        <f>IFERROR(__xludf.DUMMYFUNCTION("""COMPUTED_VALUE"""),"1025631547")</f>
        <v>1025631547</v>
      </c>
      <c r="S1547" s="211" t="str">
        <f>IFERROR(__xludf.DUMMYFUNCTION("""COMPUTED_VALUE"""),"e86baf3b")</f>
        <v>e86baf3b</v>
      </c>
      <c r="T1547" s="211" t="str">
        <f>IFERROR(__xludf.DUMMYFUNCTION("""COMPUTED_VALUE"""),"PT GEMILANG CIPTA WAWASAN")</f>
        <v>PT GEMILANG CIPTA WAWASAN</v>
      </c>
      <c r="U1547" s="215">
        <f>IFERROR(__xludf.DUMMYFUNCTION("""COMPUTED_VALUE"""),45958.36167824074)</f>
        <v>45958.36168</v>
      </c>
      <c r="V1547" s="211" t="str">
        <f>IFERROR(__xludf.DUMMYFUNCTION("""COMPUTED_VALUE"""),"JL TEBET RAYA, 2A, TEBET BARAT, TEBET, KOTA ADM, JAKARTA SELATAN, DKI JAKARTA")</f>
        <v>JL TEBET RAYA, 2A, TEBET BARAT, TEBET, KOTA ADM, JAKARTA SELATAN, DKI JAKARTA</v>
      </c>
      <c r="W1547" s="211" t="str">
        <f>IFERROR(__xludf.DUMMYFUNCTION("""COMPUTED_VALUE"""),"OUT")</f>
        <v>OUT</v>
      </c>
      <c r="X1547" s="211"/>
      <c r="AL1547" s="211"/>
      <c r="AM1547" s="211"/>
      <c r="AN1547" s="211"/>
      <c r="AO1547" s="211"/>
      <c r="AP1547" s="215"/>
      <c r="AQ1547" s="218"/>
      <c r="AR1547" s="211"/>
    </row>
    <row r="1548">
      <c r="A1548" s="210" t="str">
        <f>IFERROR(__xludf.DUMMYFUNCTION("""COMPUTED_VALUE"""),"0825391131")</f>
        <v>0825391131</v>
      </c>
      <c r="B1548" s="210" t="str">
        <f>IFERROR(__xludf.DUMMYFUNCTION("""COMPUTED_VALUE"""),"0825391131")</f>
        <v>0825391131</v>
      </c>
      <c r="C1548" s="213">
        <f>IFERROR(__xludf.DUMMYFUNCTION("""COMPUTED_VALUE"""),45885.34442129629)</f>
        <v>45885.34442</v>
      </c>
      <c r="D1548" s="211" t="str">
        <f>IFERROR(__xludf.DUMMYFUNCTION("""COMPUTED_VALUE"""),"e86baf3b")</f>
        <v>e86baf3b</v>
      </c>
      <c r="E1548" s="211" t="str">
        <f>IFERROR(__xludf.DUMMYFUNCTION("""COMPUTED_VALUE"""),"PT GEMILANG CIPTA WAWASAN")</f>
        <v>PT GEMILANG CIPTA WAWASAN</v>
      </c>
      <c r="F1548" s="211" t="str">
        <f>IFERROR(__xludf.DUMMYFUNCTION("""COMPUTED_VALUE"""),"8bdbe149")</f>
        <v>8bdbe149</v>
      </c>
      <c r="G1548" s="211" t="str">
        <f>IFERROR(__xludf.DUMMYFUNCTION("""COMPUTED_VALUE"""),"Oksigen 6m3")</f>
        <v>Oksigen 6m3</v>
      </c>
      <c r="H1548" s="211" t="str">
        <f>IFERROR(__xludf.DUMMYFUNCTION("""COMPUTED_VALUE"""),"OUT")</f>
        <v>OUT</v>
      </c>
      <c r="I1548" s="211" t="str">
        <f>IFERROR(__xludf.DUMMYFUNCTION("""COMPUTED_VALUE"""),"NORMAL")</f>
        <v>NORMAL</v>
      </c>
      <c r="J1548" s="211">
        <f>IFERROR(__xludf.DUMMYFUNCTION("""COMPUTED_VALUE"""),5.0)</f>
        <v>5</v>
      </c>
      <c r="K1548" s="210" t="str">
        <f>IFERROR(__xludf.DUMMYFUNCTION("""COMPUTED_VALUE"""),"1151 1194 1122 1121 11267")</f>
        <v>1151 1194 1122 1121 11267</v>
      </c>
      <c r="L1548" s="211">
        <f>IFERROR(__xludf.DUMMYFUNCTION("""COMPUTED_VALUE"""),60000.0)</f>
        <v>60000</v>
      </c>
      <c r="M1548" s="211"/>
      <c r="N1548" s="211"/>
      <c r="O1548" s="211"/>
      <c r="Q1548" s="210" t="str">
        <f>IFERROR(__xludf.DUMMYFUNCTION("""COMPUTED_VALUE"""),"1025161548")</f>
        <v>1025161548</v>
      </c>
      <c r="R1548" s="210" t="str">
        <f>IFERROR(__xludf.DUMMYFUNCTION("""COMPUTED_VALUE"""),"1025161548")</f>
        <v>1025161548</v>
      </c>
      <c r="S1548" s="211" t="str">
        <f>IFERROR(__xludf.DUMMYFUNCTION("""COMPUTED_VALUE"""),"4ec68cf6")</f>
        <v>4ec68cf6</v>
      </c>
      <c r="T1548" s="211" t="str">
        <f>IFERROR(__xludf.DUMMYFUNCTION("""COMPUTED_VALUE"""),"CV Sido Mukti Karya")</f>
        <v>CV Sido Mukti Karya</v>
      </c>
      <c r="U1548" s="215">
        <f>IFERROR(__xludf.DUMMYFUNCTION("""COMPUTED_VALUE"""),45958.458125)</f>
        <v>45958.45813</v>
      </c>
      <c r="V1548" s="211" t="str">
        <f>IFERROR(__xludf.DUMMYFUNCTION("""COMPUTED_VALUE"""),"Pergudangan Center Point no A3, Kemangsen")</f>
        <v>Pergudangan Center Point no A3, Kemangsen</v>
      </c>
      <c r="W1548" s="211" t="str">
        <f>IFERROR(__xludf.DUMMYFUNCTION("""COMPUTED_VALUE"""),"OUT")</f>
        <v>OUT</v>
      </c>
      <c r="X1548" s="211"/>
      <c r="AL1548" s="211"/>
      <c r="AM1548" s="211"/>
      <c r="AN1548" s="211"/>
      <c r="AO1548" s="211"/>
      <c r="AP1548" s="215"/>
      <c r="AQ1548" s="218"/>
      <c r="AR1548" s="211"/>
    </row>
    <row r="1549">
      <c r="A1549" s="210" t="str">
        <f>IFERROR(__xludf.DUMMYFUNCTION("""COMPUTED_VALUE"""),"1250517")</f>
        <v>1250517</v>
      </c>
      <c r="B1549" s="210" t="str">
        <f>IFERROR(__xludf.DUMMYFUNCTION("""COMPUTED_VALUE"""),"1250517")</f>
        <v>1250517</v>
      </c>
      <c r="C1549" s="213">
        <f>IFERROR(__xludf.DUMMYFUNCTION("""COMPUTED_VALUE"""),45885.45892361111)</f>
        <v>45885.45892</v>
      </c>
      <c r="D1549" s="211" t="str">
        <f>IFERROR(__xludf.DUMMYFUNCTION("""COMPUTED_VALUE"""),"01158be1")</f>
        <v>01158be1</v>
      </c>
      <c r="E1549" s="211" t="str">
        <f>IFERROR(__xludf.DUMMYFUNCTION("""COMPUTED_VALUE"""),"GYF")</f>
        <v>GYF</v>
      </c>
      <c r="F1549" s="211" t="str">
        <f>IFERROR(__xludf.DUMMYFUNCTION("""COMPUTED_VALUE"""),"8bdbe149")</f>
        <v>8bdbe149</v>
      </c>
      <c r="G1549" s="211" t="str">
        <f>IFERROR(__xludf.DUMMYFUNCTION("""COMPUTED_VALUE"""),"Oksigen 6m3")</f>
        <v>Oksigen 6m3</v>
      </c>
      <c r="H1549" s="211" t="str">
        <f>IFERROR(__xludf.DUMMYFUNCTION("""COMPUTED_VALUE"""),"IN")</f>
        <v>IN</v>
      </c>
      <c r="I1549" s="211" t="str">
        <f>IFERROR(__xludf.DUMMYFUNCTION("""COMPUTED_VALUE"""),"EMPTY")</f>
        <v>EMPTY</v>
      </c>
      <c r="J1549" s="211">
        <f>IFERROR(__xludf.DUMMYFUNCTION("""COMPUTED_VALUE"""),5.0)</f>
        <v>5</v>
      </c>
      <c r="K1549" s="210" t="str">
        <f>IFERROR(__xludf.DUMMYFUNCTION("""COMPUTED_VALUE"""),"11289 11178 11177 1143 11285")</f>
        <v>11289 11178 11177 1143 11285</v>
      </c>
      <c r="L1549" s="211">
        <f>IFERROR(__xludf.DUMMYFUNCTION("""COMPUTED_VALUE"""),0.0)</f>
        <v>0</v>
      </c>
      <c r="M1549" s="211"/>
      <c r="N1549" s="211"/>
      <c r="O1549" s="211"/>
      <c r="Q1549" s="210" t="str">
        <f>IFERROR(__xludf.DUMMYFUNCTION("""COMPUTED_VALUE"""),"1025251549")</f>
        <v>1025251549</v>
      </c>
      <c r="R1549" s="210" t="str">
        <f>IFERROR(__xludf.DUMMYFUNCTION("""COMPUTED_VALUE"""),"1025251549")</f>
        <v>1025251549</v>
      </c>
      <c r="S1549" s="211" t="str">
        <f>IFERROR(__xludf.DUMMYFUNCTION("""COMPUTED_VALUE"""),"ec231cc9")</f>
        <v>ec231cc9</v>
      </c>
      <c r="T1549" s="211" t="str">
        <f>IFERROR(__xludf.DUMMYFUNCTION("""COMPUTED_VALUE"""),"Bpk. Kohir (Maintenance Velg)")</f>
        <v>Bpk. Kohir (Maintenance Velg)</v>
      </c>
      <c r="U1549" s="215">
        <f>IFERROR(__xludf.DUMMYFUNCTION("""COMPUTED_VALUE"""),45958.47210648148)</f>
        <v>45958.47211</v>
      </c>
      <c r="V1549" s="211" t="str">
        <f>IFERROR(__xludf.DUMMYFUNCTION("""COMPUTED_VALUE"""),"Jl. Lkr. Bypass Krian Timur, Sidogolong, Watugolong, Kec. Krian, Kabupaten Sidoarjo, Jawa Timur 61262")</f>
        <v>Jl. Lkr. Bypass Krian Timur, Sidogolong, Watugolong, Kec. Krian, Kabupaten Sidoarjo, Jawa Timur 61262</v>
      </c>
      <c r="W1549" s="211" t="str">
        <f>IFERROR(__xludf.DUMMYFUNCTION("""COMPUTED_VALUE"""),"OUT")</f>
        <v>OUT</v>
      </c>
      <c r="X1549" s="211"/>
      <c r="AL1549" s="211"/>
      <c r="AM1549" s="211"/>
      <c r="AN1549" s="211"/>
      <c r="AO1549" s="211"/>
      <c r="AP1549" s="215"/>
      <c r="AQ1549" s="218"/>
      <c r="AR1549" s="211"/>
    </row>
    <row r="1550">
      <c r="A1550" s="211"/>
      <c r="B1550" s="211"/>
      <c r="C1550" s="211"/>
      <c r="D1550" s="211"/>
      <c r="E1550" s="211"/>
      <c r="F1550" s="211"/>
      <c r="G1550" s="211"/>
      <c r="H1550" s="211"/>
      <c r="I1550" s="211"/>
      <c r="J1550" s="211"/>
      <c r="K1550" s="211"/>
      <c r="L1550" s="211"/>
      <c r="M1550" s="211"/>
      <c r="N1550" s="211"/>
      <c r="O1550" s="211"/>
      <c r="Q1550" s="210" t="str">
        <f>IFERROR(__xludf.DUMMYFUNCTION("""COMPUTED_VALUE"""),"1025301550")</f>
        <v>1025301550</v>
      </c>
      <c r="R1550" s="210" t="str">
        <f>IFERROR(__xludf.DUMMYFUNCTION("""COMPUTED_VALUE"""),"1025301550")</f>
        <v>1025301550</v>
      </c>
      <c r="S1550" s="211" t="str">
        <f>IFERROR(__xludf.DUMMYFUNCTION("""COMPUTED_VALUE"""),"5f23ba17")</f>
        <v>5f23ba17</v>
      </c>
      <c r="T1550" s="211" t="str">
        <f>IFERROR(__xludf.DUMMYFUNCTION("""COMPUTED_VALUE"""),"Bpk. Joko (Gresik)")</f>
        <v>Bpk. Joko (Gresik)</v>
      </c>
      <c r="U1550" s="215">
        <f>IFERROR(__xludf.DUMMYFUNCTION("""COMPUTED_VALUE"""),45958.47336805556)</f>
        <v>45958.47337</v>
      </c>
      <c r="V1550" s="211" t="str">
        <f>IFERROR(__xludf.DUMMYFUNCTION("""COMPUTED_VALUE"""),"Tanggungan, Lebaniwaras, Kec. Wringinanom, Kabupaten Gresik, Jawa Timur")</f>
        <v>Tanggungan, Lebaniwaras, Kec. Wringinanom, Kabupaten Gresik, Jawa Timur</v>
      </c>
      <c r="W1550" s="211" t="str">
        <f>IFERROR(__xludf.DUMMYFUNCTION("""COMPUTED_VALUE"""),"OUT")</f>
        <v>OUT</v>
      </c>
      <c r="X1550" s="211"/>
      <c r="AL1550" s="211"/>
      <c r="AM1550" s="211"/>
      <c r="AN1550" s="211"/>
      <c r="AO1550" s="211"/>
      <c r="AP1550" s="215"/>
      <c r="AQ1550" s="218"/>
      <c r="AR1550" s="211"/>
    </row>
    <row r="1551">
      <c r="A1551" s="210" t="str">
        <f>IFERROR(__xludf.DUMMYFUNCTION("""COMPUTED_VALUE"""),"082591134")</f>
        <v>082591134</v>
      </c>
      <c r="B1551" s="210" t="str">
        <f>IFERROR(__xludf.DUMMYFUNCTION("""COMPUTED_VALUE"""),"082591134")</f>
        <v>082591134</v>
      </c>
      <c r="C1551" s="213">
        <f>IFERROR(__xludf.DUMMYFUNCTION("""COMPUTED_VALUE"""),45888.34855324074)</f>
        <v>45888.34855</v>
      </c>
      <c r="D1551" s="211" t="str">
        <f>IFERROR(__xludf.DUMMYFUNCTION("""COMPUTED_VALUE"""),"1bf27092")</f>
        <v>1bf27092</v>
      </c>
      <c r="E1551" s="211" t="str">
        <f>IFERROR(__xludf.DUMMYFUNCTION("""COMPUTED_VALUE"""),"Bpk. Ari Budiarto")</f>
        <v>Bpk. Ari Budiarto</v>
      </c>
      <c r="F1551" s="211" t="str">
        <f>IFERROR(__xludf.DUMMYFUNCTION("""COMPUTED_VALUE"""),"66af7c72")</f>
        <v>66af7c72</v>
      </c>
      <c r="G1551" s="211" t="str">
        <f>IFERROR(__xludf.DUMMYFUNCTION("""COMPUTED_VALUE"""),"Argon 6m3")</f>
        <v>Argon 6m3</v>
      </c>
      <c r="H1551" s="211" t="str">
        <f>IFERROR(__xludf.DUMMYFUNCTION("""COMPUTED_VALUE"""),"OUT")</f>
        <v>OUT</v>
      </c>
      <c r="I1551" s="211" t="str">
        <f>IFERROR(__xludf.DUMMYFUNCTION("""COMPUTED_VALUE"""),"NORMAL")</f>
        <v>NORMAL</v>
      </c>
      <c r="J1551" s="211">
        <f>IFERROR(__xludf.DUMMYFUNCTION("""COMPUTED_VALUE"""),1.0)</f>
        <v>1</v>
      </c>
      <c r="K1551" s="210" t="str">
        <f>IFERROR(__xludf.DUMMYFUNCTION("""COMPUTED_VALUE"""),"12007")</f>
        <v>12007</v>
      </c>
      <c r="L1551" s="211">
        <f>IFERROR(__xludf.DUMMYFUNCTION("""COMPUTED_VALUE"""),200000.0)</f>
        <v>200000</v>
      </c>
      <c r="M1551" s="211"/>
      <c r="N1551" s="211"/>
      <c r="O1551" s="211"/>
      <c r="Q1551" s="210" t="str">
        <f>IFERROR(__xludf.DUMMYFUNCTION("""COMPUTED_VALUE"""),"1250714")</f>
        <v>1250714</v>
      </c>
      <c r="R1551" s="210" t="str">
        <f>IFERROR(__xludf.DUMMYFUNCTION("""COMPUTED_VALUE"""),"1250714")</f>
        <v>1250714</v>
      </c>
      <c r="S1551" s="211" t="str">
        <f>IFERROR(__xludf.DUMMYFUNCTION("""COMPUTED_VALUE"""),"9e31e9f4")</f>
        <v>9e31e9f4</v>
      </c>
      <c r="T1551" s="211" t="str">
        <f>IFERROR(__xludf.DUMMYFUNCTION("""COMPUTED_VALUE"""),"Bpk. Eko Iswantoro")</f>
        <v>Bpk. Eko Iswantoro</v>
      </c>
      <c r="U1551" s="215">
        <f>IFERROR(__xludf.DUMMYFUNCTION("""COMPUTED_VALUE"""),45958.53486111111)</f>
        <v>45958.53486</v>
      </c>
      <c r="V1551" s="211" t="str">
        <f>IFERROR(__xludf.DUMMYFUNCTION("""COMPUTED_VALUE"""),"HHWW+8J Kemasan, Kec. Krian, Kabupaten Sidoarjo, Jawa Timur, Indonesia")</f>
        <v>HHWW+8J Kemasan, Kec. Krian, Kabupaten Sidoarjo, Jawa Timur, Indonesia</v>
      </c>
      <c r="W1551" s="211" t="str">
        <f>IFERROR(__xludf.DUMMYFUNCTION("""COMPUTED_VALUE"""),"IN")</f>
        <v>IN</v>
      </c>
      <c r="X1551" s="211"/>
      <c r="AL1551" s="211"/>
      <c r="AM1551" s="211"/>
      <c r="AN1551" s="211"/>
      <c r="AO1551" s="211"/>
      <c r="AP1551" s="215"/>
      <c r="AQ1551" s="218"/>
      <c r="AR1551" s="211"/>
    </row>
    <row r="1552">
      <c r="A1552" s="210" t="str">
        <f>IFERROR(__xludf.DUMMYFUNCTION("""COMPUTED_VALUE"""),"082581137")</f>
        <v>082581137</v>
      </c>
      <c r="B1552" s="210" t="str">
        <f>IFERROR(__xludf.DUMMYFUNCTION("""COMPUTED_VALUE"""),"082581137")</f>
        <v>082581137</v>
      </c>
      <c r="C1552" s="213">
        <f>IFERROR(__xludf.DUMMYFUNCTION("""COMPUTED_VALUE"""),45888.36211805556)</f>
        <v>45888.36212</v>
      </c>
      <c r="D1552" s="211" t="str">
        <f>IFERROR(__xludf.DUMMYFUNCTION("""COMPUTED_VALUE"""),"b218b89b")</f>
        <v>b218b89b</v>
      </c>
      <c r="E1552" s="211" t="str">
        <f>IFERROR(__xludf.DUMMYFUNCTION("""COMPUTED_VALUE"""),"PT Harapan Sentosa")</f>
        <v>PT Harapan Sentosa</v>
      </c>
      <c r="F1552" s="211" t="str">
        <f>IFERROR(__xludf.DUMMYFUNCTION("""COMPUTED_VALUE"""),"7d2764f1")</f>
        <v>7d2764f1</v>
      </c>
      <c r="G1552" s="211" t="str">
        <f>IFERROR(__xludf.DUMMYFUNCTION("""COMPUTED_VALUE"""),"Oksigen 7m3")</f>
        <v>Oksigen 7m3</v>
      </c>
      <c r="H1552" s="211" t="str">
        <f>IFERROR(__xludf.DUMMYFUNCTION("""COMPUTED_VALUE"""),"OUT")</f>
        <v>OUT</v>
      </c>
      <c r="I1552" s="211" t="str">
        <f>IFERROR(__xludf.DUMMYFUNCTION("""COMPUTED_VALUE"""),"NORMAL")</f>
        <v>NORMAL</v>
      </c>
      <c r="J1552" s="211">
        <f>IFERROR(__xludf.DUMMYFUNCTION("""COMPUTED_VALUE"""),10.0)</f>
        <v>10</v>
      </c>
      <c r="K1552" s="210" t="str">
        <f>IFERROR(__xludf.DUMMYFUNCTION("""COMPUTED_VALUE"""),"11138 11152 11153 11174 11151 11195 11144 11142 11154 11164")</f>
        <v>11138 11152 11153 11174 11151 11195 11144 11142 11154 11164</v>
      </c>
      <c r="L1552" s="211">
        <f>IFERROR(__xludf.DUMMYFUNCTION("""COMPUTED_VALUE"""),70000.0)</f>
        <v>70000</v>
      </c>
      <c r="M1552" s="211"/>
      <c r="N1552" s="211"/>
      <c r="O1552" s="211"/>
      <c r="Q1552" s="210" t="str">
        <f>IFERROR(__xludf.DUMMYFUNCTION("""COMPUTED_VALUE"""),"1250715")</f>
        <v>1250715</v>
      </c>
      <c r="R1552" s="210" t="str">
        <f>IFERROR(__xludf.DUMMYFUNCTION("""COMPUTED_VALUE"""),"1250715")</f>
        <v>1250715</v>
      </c>
      <c r="S1552" s="211" t="str">
        <f>IFERROR(__xludf.DUMMYFUNCTION("""COMPUTED_VALUE"""),"182fb0fe")</f>
        <v>182fb0fe</v>
      </c>
      <c r="T1552" s="211" t="str">
        <f>IFERROR(__xludf.DUMMYFUNCTION("""COMPUTED_VALUE"""),"PT Amtech")</f>
        <v>PT Amtech</v>
      </c>
      <c r="U1552" s="215">
        <f>IFERROR(__xludf.DUMMYFUNCTION("""COMPUTED_VALUE"""),45958.536990740744)</f>
        <v>45958.53699</v>
      </c>
      <c r="V1552" s="211" t="str">
        <f>IFERROR(__xludf.DUMMYFUNCTION("""COMPUTED_VALUE"""),"Jl. Morowudi, Ikerikergeger, Kabupaten Gresik, Jawa Timur")</f>
        <v>Jl. Morowudi, Ikerikergeger, Kabupaten Gresik, Jawa Timur</v>
      </c>
      <c r="W1552" s="211" t="str">
        <f>IFERROR(__xludf.DUMMYFUNCTION("""COMPUTED_VALUE"""),"IN")</f>
        <v>IN</v>
      </c>
      <c r="X1552" s="211"/>
      <c r="AL1552" s="211"/>
      <c r="AM1552" s="211"/>
      <c r="AN1552" s="211"/>
      <c r="AO1552" s="211"/>
      <c r="AP1552" s="215"/>
      <c r="AQ1552" s="218"/>
      <c r="AR1552" s="211"/>
    </row>
    <row r="1553">
      <c r="A1553" s="210" t="str">
        <f>IFERROR(__xludf.DUMMYFUNCTION("""COMPUTED_VALUE"""),"0825101138")</f>
        <v>0825101138</v>
      </c>
      <c r="B1553" s="210" t="str">
        <f>IFERROR(__xludf.DUMMYFUNCTION("""COMPUTED_VALUE"""),"0825101138")</f>
        <v>0825101138</v>
      </c>
      <c r="C1553" s="213">
        <f>IFERROR(__xludf.DUMMYFUNCTION("""COMPUTED_VALUE"""),45888.363287037035)</f>
        <v>45888.36329</v>
      </c>
      <c r="D1553" s="211" t="str">
        <f>IFERROR(__xludf.DUMMYFUNCTION("""COMPUTED_VALUE"""),"182fb0fe")</f>
        <v>182fb0fe</v>
      </c>
      <c r="E1553" s="211" t="str">
        <f>IFERROR(__xludf.DUMMYFUNCTION("""COMPUTED_VALUE"""),"PT Amtech")</f>
        <v>PT Amtech</v>
      </c>
      <c r="F1553" s="211" t="str">
        <f>IFERROR(__xludf.DUMMYFUNCTION("""COMPUTED_VALUE"""),"66af7c72")</f>
        <v>66af7c72</v>
      </c>
      <c r="G1553" s="211" t="str">
        <f>IFERROR(__xludf.DUMMYFUNCTION("""COMPUTED_VALUE"""),"Argon 6m3")</f>
        <v>Argon 6m3</v>
      </c>
      <c r="H1553" s="211" t="str">
        <f>IFERROR(__xludf.DUMMYFUNCTION("""COMPUTED_VALUE"""),"OUT")</f>
        <v>OUT</v>
      </c>
      <c r="I1553" s="211" t="str">
        <f>IFERROR(__xludf.DUMMYFUNCTION("""COMPUTED_VALUE"""),"NORMAL")</f>
        <v>NORMAL</v>
      </c>
      <c r="J1553" s="211">
        <f>IFERROR(__xludf.DUMMYFUNCTION("""COMPUTED_VALUE"""),8.0)</f>
        <v>8</v>
      </c>
      <c r="K1553" s="210" t="str">
        <f>IFERROR(__xludf.DUMMYFUNCTION("""COMPUTED_VALUE"""),"12055 12060 12062 12035 12044 12040 12037 12049")</f>
        <v>12055 12060 12062 12035 12044 12040 12037 12049</v>
      </c>
      <c r="L1553" s="211">
        <f>IFERROR(__xludf.DUMMYFUNCTION("""COMPUTED_VALUE"""),195000.0)</f>
        <v>195000</v>
      </c>
      <c r="M1553" s="211"/>
      <c r="N1553" s="211"/>
      <c r="O1553" s="211"/>
      <c r="Q1553" s="210" t="str">
        <f>IFERROR(__xludf.DUMMYFUNCTION("""COMPUTED_VALUE"""),"1250716")</f>
        <v>1250716</v>
      </c>
      <c r="R1553" s="210" t="str">
        <f>IFERROR(__xludf.DUMMYFUNCTION("""COMPUTED_VALUE"""),"1250716")</f>
        <v>1250716</v>
      </c>
      <c r="S1553" s="211" t="str">
        <f>IFERROR(__xludf.DUMMYFUNCTION("""COMPUTED_VALUE"""),"4ec68cf6")</f>
        <v>4ec68cf6</v>
      </c>
      <c r="T1553" s="211" t="str">
        <f>IFERROR(__xludf.DUMMYFUNCTION("""COMPUTED_VALUE"""),"CV Sido Mukti Karya")</f>
        <v>CV Sido Mukti Karya</v>
      </c>
      <c r="U1553" s="215">
        <f>IFERROR(__xludf.DUMMYFUNCTION("""COMPUTED_VALUE"""),45958.537939814814)</f>
        <v>45958.53794</v>
      </c>
      <c r="V1553" s="211" t="str">
        <f>IFERROR(__xludf.DUMMYFUNCTION("""COMPUTED_VALUE"""),"Pergudangan Center Point no A3, Kemangsen")</f>
        <v>Pergudangan Center Point no A3, Kemangsen</v>
      </c>
      <c r="W1553" s="211" t="str">
        <f>IFERROR(__xludf.DUMMYFUNCTION("""COMPUTED_VALUE"""),"IN")</f>
        <v>IN</v>
      </c>
      <c r="X1553" s="211"/>
      <c r="AL1553" s="211"/>
      <c r="AM1553" s="211"/>
      <c r="AN1553" s="211"/>
      <c r="AO1553" s="211"/>
      <c r="AP1553" s="215"/>
      <c r="AQ1553" s="218"/>
      <c r="AR1553" s="211"/>
    </row>
    <row r="1554">
      <c r="A1554" s="210" t="str">
        <f>IFERROR(__xludf.DUMMYFUNCTION("""COMPUTED_VALUE"""),"0825101138")</f>
        <v>0825101138</v>
      </c>
      <c r="B1554" s="210" t="str">
        <f>IFERROR(__xludf.DUMMYFUNCTION("""COMPUTED_VALUE"""),"0825101138")</f>
        <v>0825101138</v>
      </c>
      <c r="C1554" s="213">
        <f>IFERROR(__xludf.DUMMYFUNCTION("""COMPUTED_VALUE"""),45888.363287037035)</f>
        <v>45888.36329</v>
      </c>
      <c r="D1554" s="211" t="str">
        <f>IFERROR(__xludf.DUMMYFUNCTION("""COMPUTED_VALUE"""),"182fb0fe")</f>
        <v>182fb0fe</v>
      </c>
      <c r="E1554" s="211" t="str">
        <f>IFERROR(__xludf.DUMMYFUNCTION("""COMPUTED_VALUE"""),"PT Amtech")</f>
        <v>PT Amtech</v>
      </c>
      <c r="F1554" s="211" t="str">
        <f>IFERROR(__xludf.DUMMYFUNCTION("""COMPUTED_VALUE"""),"8bdbe149")</f>
        <v>8bdbe149</v>
      </c>
      <c r="G1554" s="211" t="str">
        <f>IFERROR(__xludf.DUMMYFUNCTION("""COMPUTED_VALUE"""),"Oksigen 6m3")</f>
        <v>Oksigen 6m3</v>
      </c>
      <c r="H1554" s="211" t="str">
        <f>IFERROR(__xludf.DUMMYFUNCTION("""COMPUTED_VALUE"""),"OUT")</f>
        <v>OUT</v>
      </c>
      <c r="I1554" s="211" t="str">
        <f>IFERROR(__xludf.DUMMYFUNCTION("""COMPUTED_VALUE"""),"NORMAL")</f>
        <v>NORMAL</v>
      </c>
      <c r="J1554" s="211">
        <f>IFERROR(__xludf.DUMMYFUNCTION("""COMPUTED_VALUE"""),5.0)</f>
        <v>5</v>
      </c>
      <c r="K1554" s="210" t="str">
        <f>IFERROR(__xludf.DUMMYFUNCTION("""COMPUTED_VALUE"""),"11280 11242 11245 11231 11247")</f>
        <v>11280 11242 11245 11231 11247</v>
      </c>
      <c r="L1554" s="211">
        <f>IFERROR(__xludf.DUMMYFUNCTION("""COMPUTED_VALUE"""),60000.0)</f>
        <v>60000</v>
      </c>
      <c r="M1554" s="211"/>
      <c r="N1554" s="211"/>
      <c r="O1554" s="211"/>
      <c r="Q1554" s="210" t="str">
        <f>IFERROR(__xludf.DUMMYFUNCTION("""COMPUTED_VALUE"""),"1250726")</f>
        <v>1250726</v>
      </c>
      <c r="R1554" s="210" t="str">
        <f>IFERROR(__xludf.DUMMYFUNCTION("""COMPUTED_VALUE"""),"1250726")</f>
        <v>1250726</v>
      </c>
      <c r="S1554" s="211" t="str">
        <f>IFERROR(__xludf.DUMMYFUNCTION("""COMPUTED_VALUE"""),"3bcd7fe6")</f>
        <v>3bcd7fe6</v>
      </c>
      <c r="T1554" s="211" t="str">
        <f>IFERROR(__xludf.DUMMYFUNCTION("""COMPUTED_VALUE"""),"Bpk. Alvin (LB Group)")</f>
        <v>Bpk. Alvin (LB Group)</v>
      </c>
      <c r="U1554" s="215">
        <f>IFERROR(__xludf.DUMMYFUNCTION("""COMPUTED_VALUE"""),45958.553611111114)</f>
        <v>45958.55361</v>
      </c>
      <c r="V1554" s="211" t="str">
        <f>IFERROR(__xludf.DUMMYFUNCTION("""COMPUTED_VALUE"""),"MFF9+XHC, Jalan, Tambakrejo, Temuireng, Kec. Dawar Blandong, Kabupaten Mojokerto, Jawa Timur 61354")</f>
        <v>MFF9+XHC, Jalan, Tambakrejo, Temuireng, Kec. Dawar Blandong, Kabupaten Mojokerto, Jawa Timur 61354</v>
      </c>
      <c r="W1554" s="211" t="str">
        <f>IFERROR(__xludf.DUMMYFUNCTION("""COMPUTED_VALUE"""),"IN")</f>
        <v>IN</v>
      </c>
      <c r="X1554" s="211"/>
      <c r="AL1554" s="211"/>
      <c r="AM1554" s="211"/>
      <c r="AN1554" s="211"/>
      <c r="AO1554" s="211"/>
      <c r="AP1554" s="215"/>
      <c r="AQ1554" s="218"/>
      <c r="AR1554" s="211"/>
    </row>
    <row r="1555">
      <c r="A1555" s="210" t="str">
        <f>IFERROR(__xludf.DUMMYFUNCTION("""COMPUTED_VALUE"""),"0825251140")</f>
        <v>0825251140</v>
      </c>
      <c r="B1555" s="210" t="str">
        <f>IFERROR(__xludf.DUMMYFUNCTION("""COMPUTED_VALUE"""),"0825251140")</f>
        <v>0825251140</v>
      </c>
      <c r="C1555" s="213">
        <f>IFERROR(__xludf.DUMMYFUNCTION("""COMPUTED_VALUE"""),45888.37018518519)</f>
        <v>45888.37019</v>
      </c>
      <c r="D1555" s="211" t="str">
        <f>IFERROR(__xludf.DUMMYFUNCTION("""COMPUTED_VALUE"""),"ce83e171")</f>
        <v>ce83e171</v>
      </c>
      <c r="E1555" s="211" t="str">
        <f>IFERROR(__xludf.DUMMYFUNCTION("""COMPUTED_VALUE"""),"Bpk. Sulaiman")</f>
        <v>Bpk. Sulaiman</v>
      </c>
      <c r="F1555" s="211" t="str">
        <f>IFERROR(__xludf.DUMMYFUNCTION("""COMPUTED_VALUE"""),"be525f3b")</f>
        <v>be525f3b</v>
      </c>
      <c r="G1555" s="211" t="str">
        <f>IFERROR(__xludf.DUMMYFUNCTION("""COMPUTED_VALUE"""),"LPG 12kg")</f>
        <v>LPG 12kg</v>
      </c>
      <c r="H1555" s="211" t="str">
        <f>IFERROR(__xludf.DUMMYFUNCTION("""COMPUTED_VALUE"""),"OUT")</f>
        <v>OUT</v>
      </c>
      <c r="I1555" s="211" t="str">
        <f>IFERROR(__xludf.DUMMYFUNCTION("""COMPUTED_VALUE"""),"NORMAL")</f>
        <v>NORMAL</v>
      </c>
      <c r="J1555" s="211">
        <f>IFERROR(__xludf.DUMMYFUNCTION("""COMPUTED_VALUE"""),1.0)</f>
        <v>1</v>
      </c>
      <c r="K1555" s="211"/>
      <c r="L1555" s="211">
        <f>IFERROR(__xludf.DUMMYFUNCTION("""COMPUTED_VALUE"""),210000.0)</f>
        <v>210000</v>
      </c>
      <c r="M1555" s="211"/>
      <c r="N1555" s="211"/>
      <c r="O1555" s="211"/>
      <c r="Q1555" s="210" t="str">
        <f>IFERROR(__xludf.DUMMYFUNCTION("""COMPUTED_VALUE"""),"1250727")</f>
        <v>1250727</v>
      </c>
      <c r="R1555" s="210" t="str">
        <f>IFERROR(__xludf.DUMMYFUNCTION("""COMPUTED_VALUE"""),"1250727")</f>
        <v>1250727</v>
      </c>
      <c r="S1555" s="211" t="str">
        <f>IFERROR(__xludf.DUMMYFUNCTION("""COMPUTED_VALUE"""),"e86baf3b")</f>
        <v>e86baf3b</v>
      </c>
      <c r="T1555" s="211" t="str">
        <f>IFERROR(__xludf.DUMMYFUNCTION("""COMPUTED_VALUE"""),"PT GEMILANG CIPTA WAWASAN")</f>
        <v>PT GEMILANG CIPTA WAWASAN</v>
      </c>
      <c r="U1555" s="215">
        <f>IFERROR(__xludf.DUMMYFUNCTION("""COMPUTED_VALUE"""),45958.573125)</f>
        <v>45958.57313</v>
      </c>
      <c r="V1555" s="211" t="str">
        <f>IFERROR(__xludf.DUMMYFUNCTION("""COMPUTED_VALUE"""),"JL TEBET RAYA, 2A, TEBET BARAT, TEBET, KOTA ADM, JAKARTA SELATAN, DKI JAKARTA")</f>
        <v>JL TEBET RAYA, 2A, TEBET BARAT, TEBET, KOTA ADM, JAKARTA SELATAN, DKI JAKARTA</v>
      </c>
      <c r="W1555" s="211" t="str">
        <f>IFERROR(__xludf.DUMMYFUNCTION("""COMPUTED_VALUE"""),"IN")</f>
        <v>IN</v>
      </c>
      <c r="X1555" s="211"/>
      <c r="AL1555" s="211"/>
      <c r="AM1555" s="211"/>
      <c r="AN1555" s="211"/>
      <c r="AO1555" s="211"/>
      <c r="AP1555" s="215"/>
      <c r="AQ1555" s="218"/>
      <c r="AR1555" s="211"/>
    </row>
    <row r="1556">
      <c r="A1556" s="210" t="str">
        <f>IFERROR(__xludf.DUMMYFUNCTION("""COMPUTED_VALUE"""),"0825251140")</f>
        <v>0825251140</v>
      </c>
      <c r="B1556" s="210" t="str">
        <f>IFERROR(__xludf.DUMMYFUNCTION("""COMPUTED_VALUE"""),"0825251140")</f>
        <v>0825251140</v>
      </c>
      <c r="C1556" s="213">
        <f>IFERROR(__xludf.DUMMYFUNCTION("""COMPUTED_VALUE"""),45888.37018518519)</f>
        <v>45888.37019</v>
      </c>
      <c r="D1556" s="211" t="str">
        <f>IFERROR(__xludf.DUMMYFUNCTION("""COMPUTED_VALUE"""),"ce83e171")</f>
        <v>ce83e171</v>
      </c>
      <c r="E1556" s="211" t="str">
        <f>IFERROR(__xludf.DUMMYFUNCTION("""COMPUTED_VALUE"""),"Bpk. Sulaiman")</f>
        <v>Bpk. Sulaiman</v>
      </c>
      <c r="F1556" s="211" t="str">
        <f>IFERROR(__xludf.DUMMYFUNCTION("""COMPUTED_VALUE"""),"7d2764f1")</f>
        <v>7d2764f1</v>
      </c>
      <c r="G1556" s="211" t="str">
        <f>IFERROR(__xludf.DUMMYFUNCTION("""COMPUTED_VALUE"""),"Oksigen 7m3")</f>
        <v>Oksigen 7m3</v>
      </c>
      <c r="H1556" s="211" t="str">
        <f>IFERROR(__xludf.DUMMYFUNCTION("""COMPUTED_VALUE"""),"OUT")</f>
        <v>OUT</v>
      </c>
      <c r="I1556" s="211" t="str">
        <f>IFERROR(__xludf.DUMMYFUNCTION("""COMPUTED_VALUE"""),"NORMAL")</f>
        <v>NORMAL</v>
      </c>
      <c r="J1556" s="211">
        <f>IFERROR(__xludf.DUMMYFUNCTION("""COMPUTED_VALUE"""),3.0)</f>
        <v>3</v>
      </c>
      <c r="K1556" s="210" t="str">
        <f>IFERROR(__xludf.DUMMYFUNCTION("""COMPUTED_VALUE"""),"11222 11217 11218")</f>
        <v>11222 11217 11218</v>
      </c>
      <c r="L1556" s="211">
        <f>IFERROR(__xludf.DUMMYFUNCTION("""COMPUTED_VALUE"""),55000.0)</f>
        <v>55000</v>
      </c>
      <c r="M1556" s="211"/>
      <c r="N1556" s="211"/>
      <c r="O1556" s="211"/>
      <c r="Q1556" s="210" t="str">
        <f>IFERROR(__xludf.DUMMYFUNCTION("""COMPUTED_VALUE"""),"1025351551")</f>
        <v>1025351551</v>
      </c>
      <c r="R1556" s="210" t="str">
        <f>IFERROR(__xludf.DUMMYFUNCTION("""COMPUTED_VALUE"""),"1025351551")</f>
        <v>1025351551</v>
      </c>
      <c r="S1556" s="211" t="str">
        <f>IFERROR(__xludf.DUMMYFUNCTION("""COMPUTED_VALUE"""),"01158be1")</f>
        <v>01158be1</v>
      </c>
      <c r="T1556" s="211" t="str">
        <f>IFERROR(__xludf.DUMMYFUNCTION("""COMPUTED_VALUE"""),"GYF")</f>
        <v>GYF</v>
      </c>
      <c r="U1556" s="215">
        <f>IFERROR(__xludf.DUMMYFUNCTION("""COMPUTED_VALUE"""),45958.64494212963)</f>
        <v>45958.64494</v>
      </c>
      <c r="V1556" s="211" t="str">
        <f>IFERROR(__xludf.DUMMYFUNCTION("""COMPUTED_VALUE"""),"Kangkungan, Lengkong, Kec. Mojoanyar, Kabupaten Mojokerto, Jawa Timur")</f>
        <v>Kangkungan, Lengkong, Kec. Mojoanyar, Kabupaten Mojokerto, Jawa Timur</v>
      </c>
      <c r="W1556" s="211" t="str">
        <f>IFERROR(__xludf.DUMMYFUNCTION("""COMPUTED_VALUE"""),"OUT")</f>
        <v>OUT</v>
      </c>
      <c r="X1556" s="211"/>
      <c r="AL1556" s="211"/>
      <c r="AM1556" s="211"/>
      <c r="AN1556" s="211"/>
      <c r="AO1556" s="211"/>
      <c r="AP1556" s="215"/>
      <c r="AQ1556" s="218"/>
      <c r="AR1556" s="211"/>
    </row>
    <row r="1557">
      <c r="A1557" s="210" t="str">
        <f>IFERROR(__xludf.DUMMYFUNCTION("""COMPUTED_VALUE"""),"1250518")</f>
        <v>1250518</v>
      </c>
      <c r="B1557" s="210" t="str">
        <f>IFERROR(__xludf.DUMMYFUNCTION("""COMPUTED_VALUE"""),"1250518")</f>
        <v>1250518</v>
      </c>
      <c r="C1557" s="213">
        <f>IFERROR(__xludf.DUMMYFUNCTION("""COMPUTED_VALUE"""),45888.37793981482)</f>
        <v>45888.37794</v>
      </c>
      <c r="D1557" s="211" t="str">
        <f>IFERROR(__xludf.DUMMYFUNCTION("""COMPUTED_VALUE"""),"1bf27092")</f>
        <v>1bf27092</v>
      </c>
      <c r="E1557" s="211" t="str">
        <f>IFERROR(__xludf.DUMMYFUNCTION("""COMPUTED_VALUE"""),"Bpk. Ari Budiarto")</f>
        <v>Bpk. Ari Budiarto</v>
      </c>
      <c r="F1557" s="211" t="str">
        <f>IFERROR(__xludf.DUMMYFUNCTION("""COMPUTED_VALUE"""),"66af7c72")</f>
        <v>66af7c72</v>
      </c>
      <c r="G1557" s="211" t="str">
        <f>IFERROR(__xludf.DUMMYFUNCTION("""COMPUTED_VALUE"""),"Argon 6m3")</f>
        <v>Argon 6m3</v>
      </c>
      <c r="H1557" s="211" t="str">
        <f>IFERROR(__xludf.DUMMYFUNCTION("""COMPUTED_VALUE"""),"IN")</f>
        <v>IN</v>
      </c>
      <c r="I1557" s="211" t="str">
        <f>IFERROR(__xludf.DUMMYFUNCTION("""COMPUTED_VALUE"""),"EMPTY")</f>
        <v>EMPTY</v>
      </c>
      <c r="J1557" s="211">
        <f>IFERROR(__xludf.DUMMYFUNCTION("""COMPUTED_VALUE"""),1.0)</f>
        <v>1</v>
      </c>
      <c r="K1557" s="210" t="str">
        <f>IFERROR(__xludf.DUMMYFUNCTION("""COMPUTED_VALUE"""),"12053")</f>
        <v>12053</v>
      </c>
      <c r="L1557" s="211">
        <f>IFERROR(__xludf.DUMMYFUNCTION("""COMPUTED_VALUE"""),0.0)</f>
        <v>0</v>
      </c>
      <c r="M1557" s="211"/>
      <c r="N1557" s="211"/>
      <c r="O1557" s="211"/>
      <c r="Q1557" s="210" t="str">
        <f>IFERROR(__xludf.DUMMYFUNCTION("""COMPUTED_VALUE"""),"1250729")</f>
        <v>1250729</v>
      </c>
      <c r="R1557" s="210" t="str">
        <f>IFERROR(__xludf.DUMMYFUNCTION("""COMPUTED_VALUE"""),"1250729")</f>
        <v>1250729</v>
      </c>
      <c r="S1557" s="211" t="str">
        <f>IFERROR(__xludf.DUMMYFUNCTION("""COMPUTED_VALUE"""),"5f23ba17")</f>
        <v>5f23ba17</v>
      </c>
      <c r="T1557" s="211" t="str">
        <f>IFERROR(__xludf.DUMMYFUNCTION("""COMPUTED_VALUE"""),"Bpk. Joko (Gresik)")</f>
        <v>Bpk. Joko (Gresik)</v>
      </c>
      <c r="U1557" s="215">
        <f>IFERROR(__xludf.DUMMYFUNCTION("""COMPUTED_VALUE"""),45958.68659722222)</f>
        <v>45958.6866</v>
      </c>
      <c r="V1557" s="211" t="str">
        <f>IFERROR(__xludf.DUMMYFUNCTION("""COMPUTED_VALUE"""),"Tanggungan, Lebaniwaras, Kec. Wringinanom, Kabupaten Gresik, Jawa Timur")</f>
        <v>Tanggungan, Lebaniwaras, Kec. Wringinanom, Kabupaten Gresik, Jawa Timur</v>
      </c>
      <c r="W1557" s="211" t="str">
        <f>IFERROR(__xludf.DUMMYFUNCTION("""COMPUTED_VALUE"""),"IN")</f>
        <v>IN</v>
      </c>
      <c r="X1557" s="211"/>
      <c r="AL1557" s="211"/>
      <c r="AM1557" s="211"/>
      <c r="AN1557" s="211"/>
      <c r="AO1557" s="211"/>
      <c r="AP1557" s="215"/>
      <c r="AQ1557" s="218"/>
      <c r="AR1557" s="211"/>
    </row>
    <row r="1558">
      <c r="A1558" s="210" t="str">
        <f>IFERROR(__xludf.DUMMYFUNCTION("""COMPUTED_VALUE"""),"0825131141")</f>
        <v>0825131141</v>
      </c>
      <c r="B1558" s="210" t="str">
        <f>IFERROR(__xludf.DUMMYFUNCTION("""COMPUTED_VALUE"""),"0825131141")</f>
        <v>0825131141</v>
      </c>
      <c r="C1558" s="213">
        <f>IFERROR(__xludf.DUMMYFUNCTION("""COMPUTED_VALUE"""),45888.40789351852)</f>
        <v>45888.40789</v>
      </c>
      <c r="D1558" s="211" t="str">
        <f>IFERROR(__xludf.DUMMYFUNCTION("""COMPUTED_VALUE"""),"d78b2eaf")</f>
        <v>d78b2eaf</v>
      </c>
      <c r="E1558" s="211" t="str">
        <f>IFERROR(__xludf.DUMMYFUNCTION("""COMPUTED_VALUE"""),"PT Sinar Indogreen Kencana")</f>
        <v>PT Sinar Indogreen Kencana</v>
      </c>
      <c r="F1558" s="211" t="str">
        <f>IFERROR(__xludf.DUMMYFUNCTION("""COMPUTED_VALUE"""),"be525f3b")</f>
        <v>be525f3b</v>
      </c>
      <c r="G1558" s="211" t="str">
        <f>IFERROR(__xludf.DUMMYFUNCTION("""COMPUTED_VALUE"""),"LPG 12kg")</f>
        <v>LPG 12kg</v>
      </c>
      <c r="H1558" s="211" t="str">
        <f>IFERROR(__xludf.DUMMYFUNCTION("""COMPUTED_VALUE"""),"OUT")</f>
        <v>OUT</v>
      </c>
      <c r="I1558" s="211" t="str">
        <f>IFERROR(__xludf.DUMMYFUNCTION("""COMPUTED_VALUE"""),"NORMAL")</f>
        <v>NORMAL</v>
      </c>
      <c r="J1558" s="211">
        <f>IFERROR(__xludf.DUMMYFUNCTION("""COMPUTED_VALUE"""),1.0)</f>
        <v>1</v>
      </c>
      <c r="K1558" s="211"/>
      <c r="L1558" s="211">
        <f>IFERROR(__xludf.DUMMYFUNCTION("""COMPUTED_VALUE"""),189189.19)</f>
        <v>189189.19</v>
      </c>
      <c r="M1558" s="211"/>
      <c r="N1558" s="211"/>
      <c r="O1558" s="211"/>
      <c r="Q1558" s="210" t="str">
        <f>IFERROR(__xludf.DUMMYFUNCTION("""COMPUTED_VALUE"""),"1250728")</f>
        <v>1250728</v>
      </c>
      <c r="R1558" s="210" t="str">
        <f>IFERROR(__xludf.DUMMYFUNCTION("""COMPUTED_VALUE"""),"1250728")</f>
        <v>1250728</v>
      </c>
      <c r="S1558" s="211" t="str">
        <f>IFERROR(__xludf.DUMMYFUNCTION("""COMPUTED_VALUE"""),"785e0e07")</f>
        <v>785e0e07</v>
      </c>
      <c r="T1558" s="211" t="str">
        <f>IFERROR(__xludf.DUMMYFUNCTION("""COMPUTED_VALUE"""),"Bpk. Sukirno (Bejo)")</f>
        <v>Bpk. Sukirno (Bejo)</v>
      </c>
      <c r="U1558" s="215">
        <f>IFERROR(__xludf.DUMMYFUNCTION("""COMPUTED_VALUE"""),45958.687314814815)</f>
        <v>45958.68731</v>
      </c>
      <c r="V1558" s="211" t="str">
        <f>IFERROR(__xludf.DUMMYFUNCTION("""COMPUTED_VALUE"""),"Krajan I, Wringinanom, Kec. Wringinanom, Kabupaten Gresik, Jawa Timur 61176")</f>
        <v>Krajan I, Wringinanom, Kec. Wringinanom, Kabupaten Gresik, Jawa Timur 61176</v>
      </c>
      <c r="W1558" s="211" t="str">
        <f>IFERROR(__xludf.DUMMYFUNCTION("""COMPUTED_VALUE"""),"IN")</f>
        <v>IN</v>
      </c>
      <c r="X1558" s="211"/>
      <c r="AL1558" s="211"/>
      <c r="AM1558" s="211"/>
      <c r="AN1558" s="211"/>
      <c r="AO1558" s="211"/>
      <c r="AP1558" s="215"/>
      <c r="AQ1558" s="218"/>
      <c r="AR1558" s="211"/>
    </row>
    <row r="1559">
      <c r="A1559" s="210" t="str">
        <f>IFERROR(__xludf.DUMMYFUNCTION("""COMPUTED_VALUE"""),"1250530")</f>
        <v>1250530</v>
      </c>
      <c r="B1559" s="210" t="str">
        <f>IFERROR(__xludf.DUMMYFUNCTION("""COMPUTED_VALUE"""),"1250530")</f>
        <v>1250530</v>
      </c>
      <c r="C1559" s="213">
        <f>IFERROR(__xludf.DUMMYFUNCTION("""COMPUTED_VALUE"""),45888.413125)</f>
        <v>45888.41313</v>
      </c>
      <c r="D1559" s="211" t="str">
        <f>IFERROR(__xludf.DUMMYFUNCTION("""COMPUTED_VALUE"""),"0411d86e")</f>
        <v>0411d86e</v>
      </c>
      <c r="E1559" s="211" t="str">
        <f>IFERROR(__xludf.DUMMYFUNCTION("""COMPUTED_VALUE"""),"Bpk. Subiantoro (Parengan)")</f>
        <v>Bpk. Subiantoro (Parengan)</v>
      </c>
      <c r="F1559" s="211" t="str">
        <f>IFERROR(__xludf.DUMMYFUNCTION("""COMPUTED_VALUE"""),"8bdbe149")</f>
        <v>8bdbe149</v>
      </c>
      <c r="G1559" s="211" t="str">
        <f>IFERROR(__xludf.DUMMYFUNCTION("""COMPUTED_VALUE"""),"Oksigen 6m3")</f>
        <v>Oksigen 6m3</v>
      </c>
      <c r="H1559" s="211" t="str">
        <f>IFERROR(__xludf.DUMMYFUNCTION("""COMPUTED_VALUE"""),"IN")</f>
        <v>IN</v>
      </c>
      <c r="I1559" s="211" t="str">
        <f>IFERROR(__xludf.DUMMYFUNCTION("""COMPUTED_VALUE"""),"EMPTY")</f>
        <v>EMPTY</v>
      </c>
      <c r="J1559" s="211">
        <f>IFERROR(__xludf.DUMMYFUNCTION("""COMPUTED_VALUE"""),9.0)</f>
        <v>9</v>
      </c>
      <c r="K1559" s="210" t="str">
        <f>IFERROR(__xludf.DUMMYFUNCTION("""COMPUTED_VALUE"""),"11241 11279 11287 11207 11284 11288 11263 11249 11265")</f>
        <v>11241 11279 11287 11207 11284 11288 11263 11249 11265</v>
      </c>
      <c r="L1559" s="211">
        <f>IFERROR(__xludf.DUMMYFUNCTION("""COMPUTED_VALUE"""),0.0)</f>
        <v>0</v>
      </c>
      <c r="M1559" s="211"/>
      <c r="N1559" s="211"/>
      <c r="O1559" s="211"/>
      <c r="Q1559" s="210" t="str">
        <f>IFERROR(__xludf.DUMMYFUNCTION("""COMPUTED_VALUE"""),"1250730")</f>
        <v>1250730</v>
      </c>
      <c r="R1559" s="210" t="str">
        <f>IFERROR(__xludf.DUMMYFUNCTION("""COMPUTED_VALUE"""),"1250730")</f>
        <v>1250730</v>
      </c>
      <c r="S1559" s="211" t="str">
        <f>IFERROR(__xludf.DUMMYFUNCTION("""COMPUTED_VALUE"""),"2d88931c")</f>
        <v>2d88931c</v>
      </c>
      <c r="T1559" s="211" t="str">
        <f>IFERROR(__xludf.DUMMYFUNCTION("""COMPUTED_VALUE"""),"PT Dunia Berkat Marga Mulya")</f>
        <v>PT Dunia Berkat Marga Mulya</v>
      </c>
      <c r="U1559" s="215">
        <f>IFERROR(__xludf.DUMMYFUNCTION("""COMPUTED_VALUE"""),45959.4705787037)</f>
        <v>45959.47058</v>
      </c>
      <c r="V1559" s="211" t="str">
        <f>IFERROR(__xludf.DUMMYFUNCTION("""COMPUTED_VALUE"""),"JL JABARAN, WATESARI, BALONGBENDO, SIDOARJO, JAWA TIMUR")</f>
        <v>JL JABARAN, WATESARI, BALONGBENDO, SIDOARJO, JAWA TIMUR</v>
      </c>
      <c r="W1559" s="211" t="str">
        <f>IFERROR(__xludf.DUMMYFUNCTION("""COMPUTED_VALUE"""),"IN")</f>
        <v>IN</v>
      </c>
      <c r="X1559" s="211"/>
      <c r="AL1559" s="211"/>
      <c r="AM1559" s="211"/>
      <c r="AN1559" s="211"/>
      <c r="AO1559" s="211"/>
      <c r="AP1559" s="215"/>
      <c r="AQ1559" s="218"/>
      <c r="AR1559" s="211"/>
    </row>
    <row r="1560">
      <c r="A1560" s="210" t="str">
        <f>IFERROR(__xludf.DUMMYFUNCTION("""COMPUTED_VALUE"""),"1250519")</f>
        <v>1250519</v>
      </c>
      <c r="B1560" s="210" t="str">
        <f>IFERROR(__xludf.DUMMYFUNCTION("""COMPUTED_VALUE"""),"1250519")</f>
        <v>1250519</v>
      </c>
      <c r="C1560" s="213">
        <f>IFERROR(__xludf.DUMMYFUNCTION("""COMPUTED_VALUE"""),45888.429027777776)</f>
        <v>45888.42903</v>
      </c>
      <c r="D1560" s="211" t="str">
        <f>IFERROR(__xludf.DUMMYFUNCTION("""COMPUTED_VALUE"""),"b218b89b")</f>
        <v>b218b89b</v>
      </c>
      <c r="E1560" s="211" t="str">
        <f>IFERROR(__xludf.DUMMYFUNCTION("""COMPUTED_VALUE"""),"PT Harapan Sentosa")</f>
        <v>PT Harapan Sentosa</v>
      </c>
      <c r="F1560" s="211" t="str">
        <f>IFERROR(__xludf.DUMMYFUNCTION("""COMPUTED_VALUE"""),"7d2764f1")</f>
        <v>7d2764f1</v>
      </c>
      <c r="G1560" s="211" t="str">
        <f>IFERROR(__xludf.DUMMYFUNCTION("""COMPUTED_VALUE"""),"Oksigen 7m3")</f>
        <v>Oksigen 7m3</v>
      </c>
      <c r="H1560" s="211" t="str">
        <f>IFERROR(__xludf.DUMMYFUNCTION("""COMPUTED_VALUE"""),"IN")</f>
        <v>IN</v>
      </c>
      <c r="I1560" s="211" t="str">
        <f>IFERROR(__xludf.DUMMYFUNCTION("""COMPUTED_VALUE"""),"EMPTY")</f>
        <v>EMPTY</v>
      </c>
      <c r="J1560" s="211">
        <f>IFERROR(__xludf.DUMMYFUNCTION("""COMPUTED_VALUE"""),4.0)</f>
        <v>4</v>
      </c>
      <c r="K1560" s="210" t="str">
        <f>IFERROR(__xludf.DUMMYFUNCTION("""COMPUTED_VALUE"""),"11220 1161 11224 11141")</f>
        <v>11220 1161 11224 11141</v>
      </c>
      <c r="L1560" s="211">
        <f>IFERROR(__xludf.DUMMYFUNCTION("""COMPUTED_VALUE"""),0.0)</f>
        <v>0</v>
      </c>
      <c r="M1560" s="211"/>
      <c r="N1560" s="211"/>
      <c r="O1560" s="211"/>
      <c r="Q1560" s="210" t="str">
        <f>IFERROR(__xludf.DUMMYFUNCTION("""COMPUTED_VALUE"""),"1025291557")</f>
        <v>1025291557</v>
      </c>
      <c r="R1560" s="210" t="str">
        <f>IFERROR(__xludf.DUMMYFUNCTION("""COMPUTED_VALUE"""),"1025291557")</f>
        <v>1025291557</v>
      </c>
      <c r="S1560" s="211" t="str">
        <f>IFERROR(__xludf.DUMMYFUNCTION("""COMPUTED_VALUE"""),"b2b5f2c5")</f>
        <v>b2b5f2c5</v>
      </c>
      <c r="T1560" s="211" t="str">
        <f>IFERROR(__xludf.DUMMYFUNCTION("""COMPUTED_VALUE"""),"Bengkel Las Bpk. Ari")</f>
        <v>Bengkel Las Bpk. Ari</v>
      </c>
      <c r="U1560" s="215">
        <f>IFERROR(__xludf.DUMMYFUNCTION("""COMPUTED_VALUE"""),45959.47224537037)</f>
        <v>45959.47225</v>
      </c>
      <c r="V1560" s="211" t="str">
        <f>IFERROR(__xludf.DUMMYFUNCTION("""COMPUTED_VALUE"""),"Sumber Kembar, Wonodadi, Kec. Kutorejo, Kabupaten Mojokerto, Jawa Timur")</f>
        <v>Sumber Kembar, Wonodadi, Kec. Kutorejo, Kabupaten Mojokerto, Jawa Timur</v>
      </c>
      <c r="W1560" s="211" t="str">
        <f>IFERROR(__xludf.DUMMYFUNCTION("""COMPUTED_VALUE"""),"OUT")</f>
        <v>OUT</v>
      </c>
      <c r="X1560" s="211"/>
      <c r="AL1560" s="211"/>
      <c r="AM1560" s="211"/>
      <c r="AN1560" s="211"/>
      <c r="AO1560" s="211"/>
      <c r="AP1560" s="215"/>
      <c r="AQ1560" s="218"/>
      <c r="AR1560" s="211"/>
    </row>
    <row r="1561">
      <c r="A1561" s="210" t="str">
        <f>IFERROR(__xludf.DUMMYFUNCTION("""COMPUTED_VALUE"""),"1250519")</f>
        <v>1250519</v>
      </c>
      <c r="B1561" s="210" t="str">
        <f>IFERROR(__xludf.DUMMYFUNCTION("""COMPUTED_VALUE"""),"1250519")</f>
        <v>1250519</v>
      </c>
      <c r="C1561" s="213">
        <f>IFERROR(__xludf.DUMMYFUNCTION("""COMPUTED_VALUE"""),45888.429027777776)</f>
        <v>45888.42903</v>
      </c>
      <c r="D1561" s="211" t="str">
        <f>IFERROR(__xludf.DUMMYFUNCTION("""COMPUTED_VALUE"""),"b218b89b")</f>
        <v>b218b89b</v>
      </c>
      <c r="E1561" s="211" t="str">
        <f>IFERROR(__xludf.DUMMYFUNCTION("""COMPUTED_VALUE"""),"PT Harapan Sentosa")</f>
        <v>PT Harapan Sentosa</v>
      </c>
      <c r="F1561" s="211" t="str">
        <f>IFERROR(__xludf.DUMMYFUNCTION("""COMPUTED_VALUE"""),"ef306e54")</f>
        <v>ef306e54</v>
      </c>
      <c r="G1561" s="211" t="str">
        <f>IFERROR(__xludf.DUMMYFUNCTION("""COMPUTED_VALUE"""),"Karbondioksida")</f>
        <v>Karbondioksida</v>
      </c>
      <c r="H1561" s="211" t="str">
        <f>IFERROR(__xludf.DUMMYFUNCTION("""COMPUTED_VALUE"""),"IN")</f>
        <v>IN</v>
      </c>
      <c r="I1561" s="211" t="str">
        <f>IFERROR(__xludf.DUMMYFUNCTION("""COMPUTED_VALUE"""),"EMPTY")</f>
        <v>EMPTY</v>
      </c>
      <c r="J1561" s="211">
        <f>IFERROR(__xludf.DUMMYFUNCTION("""COMPUTED_VALUE"""),2.0)</f>
        <v>2</v>
      </c>
      <c r="K1561" s="210" t="str">
        <f>IFERROR(__xludf.DUMMYFUNCTION("""COMPUTED_VALUE"""),"1157 1188")</f>
        <v>1157 1188</v>
      </c>
      <c r="L1561" s="211">
        <f>IFERROR(__xludf.DUMMYFUNCTION("""COMPUTED_VALUE"""),0.0)</f>
        <v>0</v>
      </c>
      <c r="M1561" s="211"/>
      <c r="N1561" s="211"/>
      <c r="O1561" s="211"/>
      <c r="Q1561" s="210" t="str">
        <f>IFERROR(__xludf.DUMMYFUNCTION("""COMPUTED_VALUE"""),"1025311561")</f>
        <v>1025311561</v>
      </c>
      <c r="R1561" s="210" t="str">
        <f>IFERROR(__xludf.DUMMYFUNCTION("""COMPUTED_VALUE"""),"1025311561")</f>
        <v>1025311561</v>
      </c>
      <c r="S1561" s="211" t="str">
        <f>IFERROR(__xludf.DUMMYFUNCTION("""COMPUTED_VALUE"""),"5f23ba17")</f>
        <v>5f23ba17</v>
      </c>
      <c r="T1561" s="211" t="str">
        <f>IFERROR(__xludf.DUMMYFUNCTION("""COMPUTED_VALUE"""),"Bpk. Joko (Gresik)")</f>
        <v>Bpk. Joko (Gresik)</v>
      </c>
      <c r="U1561" s="215">
        <f>IFERROR(__xludf.DUMMYFUNCTION("""COMPUTED_VALUE"""),45960.342361111114)</f>
        <v>45960.34236</v>
      </c>
      <c r="V1561" s="211" t="str">
        <f>IFERROR(__xludf.DUMMYFUNCTION("""COMPUTED_VALUE"""),"Tanggungan, Lebaniwaras, Kec. Wringinanom, Kabupaten Gresik, Jawa Timur")</f>
        <v>Tanggungan, Lebaniwaras, Kec. Wringinanom, Kabupaten Gresik, Jawa Timur</v>
      </c>
      <c r="W1561" s="211" t="str">
        <f>IFERROR(__xludf.DUMMYFUNCTION("""COMPUTED_VALUE"""),"OUT")</f>
        <v>OUT</v>
      </c>
      <c r="X1561" s="211"/>
      <c r="AL1561" s="211"/>
      <c r="AM1561" s="211"/>
      <c r="AN1561" s="211"/>
      <c r="AO1561" s="211"/>
      <c r="AP1561" s="215"/>
      <c r="AQ1561" s="218"/>
      <c r="AR1561" s="211"/>
    </row>
    <row r="1562">
      <c r="A1562" s="210" t="str">
        <f>IFERROR(__xludf.DUMMYFUNCTION("""COMPUTED_VALUE"""),"1250520")</f>
        <v>1250520</v>
      </c>
      <c r="B1562" s="210" t="str">
        <f>IFERROR(__xludf.DUMMYFUNCTION("""COMPUTED_VALUE"""),"1250520")</f>
        <v>1250520</v>
      </c>
      <c r="C1562" s="213">
        <f>IFERROR(__xludf.DUMMYFUNCTION("""COMPUTED_VALUE"""),45888.47076388889)</f>
        <v>45888.47076</v>
      </c>
      <c r="D1562" s="211" t="str">
        <f>IFERROR(__xludf.DUMMYFUNCTION("""COMPUTED_VALUE"""),"ce83e171")</f>
        <v>ce83e171</v>
      </c>
      <c r="E1562" s="211" t="str">
        <f>IFERROR(__xludf.DUMMYFUNCTION("""COMPUTED_VALUE"""),"Bpk. Sulaiman")</f>
        <v>Bpk. Sulaiman</v>
      </c>
      <c r="F1562" s="211" t="str">
        <f>IFERROR(__xludf.DUMMYFUNCTION("""COMPUTED_VALUE"""),"7d2764f1")</f>
        <v>7d2764f1</v>
      </c>
      <c r="G1562" s="211" t="str">
        <f>IFERROR(__xludf.DUMMYFUNCTION("""COMPUTED_VALUE"""),"Oksigen 7m3")</f>
        <v>Oksigen 7m3</v>
      </c>
      <c r="H1562" s="211" t="str">
        <f>IFERROR(__xludf.DUMMYFUNCTION("""COMPUTED_VALUE"""),"IN")</f>
        <v>IN</v>
      </c>
      <c r="I1562" s="211" t="str">
        <f>IFERROR(__xludf.DUMMYFUNCTION("""COMPUTED_VALUE"""),"EMPTY")</f>
        <v>EMPTY</v>
      </c>
      <c r="J1562" s="211">
        <f>IFERROR(__xludf.DUMMYFUNCTION("""COMPUTED_VALUE"""),4.0)</f>
        <v>4</v>
      </c>
      <c r="K1562" s="210" t="str">
        <f>IFERROR(__xludf.DUMMYFUNCTION("""COMPUTED_VALUE"""),"11136 11158 11166 11148")</f>
        <v>11136 11158 11166 11148</v>
      </c>
      <c r="L1562" s="211">
        <f>IFERROR(__xludf.DUMMYFUNCTION("""COMPUTED_VALUE"""),0.0)</f>
        <v>0</v>
      </c>
      <c r="M1562" s="211"/>
      <c r="N1562" s="211"/>
      <c r="O1562" s="211"/>
      <c r="Q1562" s="210" t="str">
        <f>IFERROR(__xludf.DUMMYFUNCTION("""COMPUTED_VALUE"""),"1250717")</f>
        <v>1250717</v>
      </c>
      <c r="R1562" s="210" t="str">
        <f>IFERROR(__xludf.DUMMYFUNCTION("""COMPUTED_VALUE"""),"1250717")</f>
        <v>1250717</v>
      </c>
      <c r="S1562" s="211" t="str">
        <f>IFERROR(__xludf.DUMMYFUNCTION("""COMPUTED_VALUE"""),"01158be1")</f>
        <v>01158be1</v>
      </c>
      <c r="T1562" s="211" t="str">
        <f>IFERROR(__xludf.DUMMYFUNCTION("""COMPUTED_VALUE"""),"GYF")</f>
        <v>GYF</v>
      </c>
      <c r="U1562" s="215">
        <f>IFERROR(__xludf.DUMMYFUNCTION("""COMPUTED_VALUE"""),45959.48335648148)</f>
        <v>45959.48336</v>
      </c>
      <c r="V1562" s="211" t="str">
        <f>IFERROR(__xludf.DUMMYFUNCTION("""COMPUTED_VALUE"""),"Kangkungan, Lengkong, Kec. Mojoanyar, Kabupaten Mojokerto, Jawa Timur")</f>
        <v>Kangkungan, Lengkong, Kec. Mojoanyar, Kabupaten Mojokerto, Jawa Timur</v>
      </c>
      <c r="W1562" s="211" t="str">
        <f>IFERROR(__xludf.DUMMYFUNCTION("""COMPUTED_VALUE"""),"IN")</f>
        <v>IN</v>
      </c>
      <c r="X1562" s="211"/>
      <c r="AL1562" s="211"/>
      <c r="AM1562" s="211"/>
      <c r="AN1562" s="211"/>
      <c r="AO1562" s="211"/>
      <c r="AP1562" s="215"/>
      <c r="AQ1562" s="218"/>
      <c r="AR1562" s="211"/>
    </row>
    <row r="1563">
      <c r="A1563" s="210" t="str">
        <f>IFERROR(__xludf.DUMMYFUNCTION("""COMPUTED_VALUE"""),"1250520")</f>
        <v>1250520</v>
      </c>
      <c r="B1563" s="210" t="str">
        <f>IFERROR(__xludf.DUMMYFUNCTION("""COMPUTED_VALUE"""),"1250520")</f>
        <v>1250520</v>
      </c>
      <c r="C1563" s="213">
        <f>IFERROR(__xludf.DUMMYFUNCTION("""COMPUTED_VALUE"""),45888.47076388889)</f>
        <v>45888.47076</v>
      </c>
      <c r="D1563" s="211" t="str">
        <f>IFERROR(__xludf.DUMMYFUNCTION("""COMPUTED_VALUE"""),"ce83e171")</f>
        <v>ce83e171</v>
      </c>
      <c r="E1563" s="211" t="str">
        <f>IFERROR(__xludf.DUMMYFUNCTION("""COMPUTED_VALUE"""),"Bpk. Sulaiman")</f>
        <v>Bpk. Sulaiman</v>
      </c>
      <c r="F1563" s="211" t="str">
        <f>IFERROR(__xludf.DUMMYFUNCTION("""COMPUTED_VALUE"""),"f6aab7a9")</f>
        <v>f6aab7a9</v>
      </c>
      <c r="G1563" s="211" t="str">
        <f>IFERROR(__xludf.DUMMYFUNCTION("""COMPUTED_VALUE"""),"Oksigen 6m3 MR")</f>
        <v>Oksigen 6m3 MR</v>
      </c>
      <c r="H1563" s="211" t="str">
        <f>IFERROR(__xludf.DUMMYFUNCTION("""COMPUTED_VALUE"""),"IN")</f>
        <v>IN</v>
      </c>
      <c r="I1563" s="211" t="str">
        <f>IFERROR(__xludf.DUMMYFUNCTION("""COMPUTED_VALUE"""),"EMPTY")</f>
        <v>EMPTY</v>
      </c>
      <c r="J1563" s="211">
        <f>IFERROR(__xludf.DUMMYFUNCTION("""COMPUTED_VALUE"""),1.0)</f>
        <v>1</v>
      </c>
      <c r="K1563" s="210" t="str">
        <f>IFERROR(__xludf.DUMMYFUNCTION("""COMPUTED_VALUE"""),"75")</f>
        <v>75</v>
      </c>
      <c r="L1563" s="211">
        <f>IFERROR(__xludf.DUMMYFUNCTION("""COMPUTED_VALUE"""),0.0)</f>
        <v>0</v>
      </c>
      <c r="M1563" s="211"/>
      <c r="N1563" s="211"/>
      <c r="O1563" s="211"/>
      <c r="Q1563" s="210" t="str">
        <f>IFERROR(__xludf.DUMMYFUNCTION("""COMPUTED_VALUE"""),"1250749")</f>
        <v>1250749</v>
      </c>
      <c r="R1563" s="210" t="str">
        <f>IFERROR(__xludf.DUMMYFUNCTION("""COMPUTED_VALUE"""),"1250749")</f>
        <v>1250749</v>
      </c>
      <c r="S1563" s="211" t="str">
        <f>IFERROR(__xludf.DUMMYFUNCTION("""COMPUTED_VALUE"""),"f98b1e81")</f>
        <v>f98b1e81</v>
      </c>
      <c r="T1563" s="211" t="str">
        <f>IFERROR(__xludf.DUMMYFUNCTION("""COMPUTED_VALUE"""),"CV. Greenlife Tirta Sentosa")</f>
        <v>CV. Greenlife Tirta Sentosa</v>
      </c>
      <c r="U1563" s="215">
        <f>IFERROR(__xludf.DUMMYFUNCTION("""COMPUTED_VALUE"""),45959.48434027778)</f>
        <v>45959.48434</v>
      </c>
      <c r="V1563" s="211" t="str">
        <f>IFERROR(__xludf.DUMMYFUNCTION("""COMPUTED_VALUE"""),"Jl. Parengan NO.354 Semawut, Balongbendo, Kec. Krian Sidoarjo, Jawa Timur 61263")</f>
        <v>Jl. Parengan NO.354 Semawut, Balongbendo, Kec. Krian Sidoarjo, Jawa Timur 61263</v>
      </c>
      <c r="W1563" s="211" t="str">
        <f>IFERROR(__xludf.DUMMYFUNCTION("""COMPUTED_VALUE"""),"IN")</f>
        <v>IN</v>
      </c>
      <c r="X1563" s="211"/>
      <c r="AL1563" s="211"/>
      <c r="AM1563" s="211"/>
      <c r="AN1563" s="211"/>
      <c r="AO1563" s="211"/>
      <c r="AP1563" s="215"/>
      <c r="AQ1563" s="218"/>
      <c r="AR1563" s="211"/>
    </row>
    <row r="1564">
      <c r="A1564" s="210" t="str">
        <f>IFERROR(__xludf.DUMMYFUNCTION("""COMPUTED_VALUE"""),"1250521")</f>
        <v>1250521</v>
      </c>
      <c r="B1564" s="210" t="str">
        <f>IFERROR(__xludf.DUMMYFUNCTION("""COMPUTED_VALUE"""),"1250521")</f>
        <v>1250521</v>
      </c>
      <c r="C1564" s="213">
        <f>IFERROR(__xludf.DUMMYFUNCTION("""COMPUTED_VALUE"""),45888.62630787037)</f>
        <v>45888.62631</v>
      </c>
      <c r="D1564" s="211" t="str">
        <f>IFERROR(__xludf.DUMMYFUNCTION("""COMPUTED_VALUE"""),"d78b2eaf")</f>
        <v>d78b2eaf</v>
      </c>
      <c r="E1564" s="211" t="str">
        <f>IFERROR(__xludf.DUMMYFUNCTION("""COMPUTED_VALUE"""),"PT Sinar Indogreen Kencana")</f>
        <v>PT Sinar Indogreen Kencana</v>
      </c>
      <c r="F1564" s="211" t="str">
        <f>IFERROR(__xludf.DUMMYFUNCTION("""COMPUTED_VALUE"""),"be525f3b")</f>
        <v>be525f3b</v>
      </c>
      <c r="G1564" s="211" t="str">
        <f>IFERROR(__xludf.DUMMYFUNCTION("""COMPUTED_VALUE"""),"LPG 12kg")</f>
        <v>LPG 12kg</v>
      </c>
      <c r="H1564" s="211" t="str">
        <f>IFERROR(__xludf.DUMMYFUNCTION("""COMPUTED_VALUE"""),"IN")</f>
        <v>IN</v>
      </c>
      <c r="I1564" s="211" t="str">
        <f>IFERROR(__xludf.DUMMYFUNCTION("""COMPUTED_VALUE"""),"EMPTY")</f>
        <v>EMPTY</v>
      </c>
      <c r="J1564" s="211">
        <f>IFERROR(__xludf.DUMMYFUNCTION("""COMPUTED_VALUE"""),2.0)</f>
        <v>2</v>
      </c>
      <c r="K1564" s="211"/>
      <c r="L1564" s="211">
        <f>IFERROR(__xludf.DUMMYFUNCTION("""COMPUTED_VALUE"""),0.0)</f>
        <v>0</v>
      </c>
      <c r="M1564" s="211"/>
      <c r="N1564" s="211"/>
      <c r="O1564" s="211"/>
      <c r="Q1564" s="210" t="str">
        <f>IFERROR(__xludf.DUMMYFUNCTION("""COMPUTED_VALUE"""),"1250718")</f>
        <v>1250718</v>
      </c>
      <c r="R1564" s="210" t="str">
        <f>IFERROR(__xludf.DUMMYFUNCTION("""COMPUTED_VALUE"""),"1250718")</f>
        <v>1250718</v>
      </c>
      <c r="S1564" s="211" t="str">
        <f>IFERROR(__xludf.DUMMYFUNCTION("""COMPUTED_VALUE"""),"b2b5f2c5")</f>
        <v>b2b5f2c5</v>
      </c>
      <c r="T1564" s="211" t="str">
        <f>IFERROR(__xludf.DUMMYFUNCTION("""COMPUTED_VALUE"""),"Bengkel Las Bpk. Ari")</f>
        <v>Bengkel Las Bpk. Ari</v>
      </c>
      <c r="U1564" s="215">
        <f>IFERROR(__xludf.DUMMYFUNCTION("""COMPUTED_VALUE"""),45959.63114583334)</f>
        <v>45959.63115</v>
      </c>
      <c r="V1564" s="211" t="str">
        <f>IFERROR(__xludf.DUMMYFUNCTION("""COMPUTED_VALUE"""),"Sumber Kembar, Wonodadi, Kec. Kutorejo, Kabupaten Mojokerto, Jawa Timur")</f>
        <v>Sumber Kembar, Wonodadi, Kec. Kutorejo, Kabupaten Mojokerto, Jawa Timur</v>
      </c>
      <c r="W1564" s="211" t="str">
        <f>IFERROR(__xludf.DUMMYFUNCTION("""COMPUTED_VALUE"""),"IN")</f>
        <v>IN</v>
      </c>
      <c r="X1564" s="211"/>
      <c r="AL1564" s="211"/>
      <c r="AM1564" s="211"/>
      <c r="AN1564" s="211"/>
      <c r="AO1564" s="211"/>
      <c r="AP1564" s="215"/>
      <c r="AQ1564" s="218"/>
      <c r="AR1564" s="211"/>
    </row>
    <row r="1565">
      <c r="A1565" s="210" t="str">
        <f>IFERROR(__xludf.DUMMYFUNCTION("""COMPUTED_VALUE"""),"1250522")</f>
        <v>1250522</v>
      </c>
      <c r="B1565" s="210" t="str">
        <f>IFERROR(__xludf.DUMMYFUNCTION("""COMPUTED_VALUE"""),"1250522")</f>
        <v>1250522</v>
      </c>
      <c r="C1565" s="213">
        <f>IFERROR(__xludf.DUMMYFUNCTION("""COMPUTED_VALUE"""),45888.62787037037)</f>
        <v>45888.62787</v>
      </c>
      <c r="D1565" s="211" t="str">
        <f>IFERROR(__xludf.DUMMYFUNCTION("""COMPUTED_VALUE"""),"182fb0fe")</f>
        <v>182fb0fe</v>
      </c>
      <c r="E1565" s="211" t="str">
        <f>IFERROR(__xludf.DUMMYFUNCTION("""COMPUTED_VALUE"""),"PT Amtech")</f>
        <v>PT Amtech</v>
      </c>
      <c r="F1565" s="211" t="str">
        <f>IFERROR(__xludf.DUMMYFUNCTION("""COMPUTED_VALUE"""),"8bdbe149")</f>
        <v>8bdbe149</v>
      </c>
      <c r="G1565" s="211" t="str">
        <f>IFERROR(__xludf.DUMMYFUNCTION("""COMPUTED_VALUE"""),"Oksigen 6m3")</f>
        <v>Oksigen 6m3</v>
      </c>
      <c r="H1565" s="211" t="str">
        <f>IFERROR(__xludf.DUMMYFUNCTION("""COMPUTED_VALUE"""),"IN")</f>
        <v>IN</v>
      </c>
      <c r="I1565" s="211" t="str">
        <f>IFERROR(__xludf.DUMMYFUNCTION("""COMPUTED_VALUE"""),"EMPTY")</f>
        <v>EMPTY</v>
      </c>
      <c r="J1565" s="211">
        <f>IFERROR(__xludf.DUMMYFUNCTION("""COMPUTED_VALUE"""),2.0)</f>
        <v>2</v>
      </c>
      <c r="K1565" s="210" t="str">
        <f>IFERROR(__xludf.DUMMYFUNCTION("""COMPUTED_VALUE"""),"11273 1187")</f>
        <v>11273 1187</v>
      </c>
      <c r="L1565" s="211">
        <f>IFERROR(__xludf.DUMMYFUNCTION("""COMPUTED_VALUE"""),0.0)</f>
        <v>0</v>
      </c>
      <c r="M1565" s="211"/>
      <c r="N1565" s="211"/>
      <c r="O1565" s="211"/>
      <c r="Q1565" s="210" t="str">
        <f>IFERROR(__xludf.DUMMYFUNCTION("""COMPUTED_VALUE"""),"1025161562")</f>
        <v>1025161562</v>
      </c>
      <c r="R1565" s="210" t="str">
        <f>IFERROR(__xludf.DUMMYFUNCTION("""COMPUTED_VALUE"""),"1025161562")</f>
        <v>1025161562</v>
      </c>
      <c r="S1565" s="211" t="str">
        <f>IFERROR(__xludf.DUMMYFUNCTION("""COMPUTED_VALUE"""),"e968afef")</f>
        <v>e968afef</v>
      </c>
      <c r="T1565" s="211" t="str">
        <f>IFERROR(__xludf.DUMMYFUNCTION("""COMPUTED_VALUE"""),"Bpk. Agus")</f>
        <v>Bpk. Agus</v>
      </c>
      <c r="U1565" s="215">
        <f>IFERROR(__xludf.DUMMYFUNCTION("""COMPUTED_VALUE"""),45960.34097222222)</f>
        <v>45960.34097</v>
      </c>
      <c r="V1565" s="211" t="str">
        <f>IFERROR(__xludf.DUMMYFUNCTION("""COMPUTED_VALUE"""),"Jl. Parengan 13, Semawut, Balongbendo, Kec. BalongBendo, Kabupaten Sidoarjo, Jawa Timur 61263")</f>
        <v>Jl. Parengan 13, Semawut, Balongbendo, Kec. BalongBendo, Kabupaten Sidoarjo, Jawa Timur 61263</v>
      </c>
      <c r="W1565" s="211" t="str">
        <f>IFERROR(__xludf.DUMMYFUNCTION("""COMPUTED_VALUE"""),"OUT")</f>
        <v>OUT</v>
      </c>
      <c r="X1565" s="211"/>
      <c r="AL1565" s="211"/>
      <c r="AM1565" s="211"/>
      <c r="AN1565" s="211"/>
      <c r="AO1565" s="211"/>
      <c r="AP1565" s="215"/>
      <c r="AQ1565" s="218"/>
      <c r="AR1565" s="211"/>
    </row>
    <row r="1566">
      <c r="A1566" s="210" t="str">
        <f>IFERROR(__xludf.DUMMYFUNCTION("""COMPUTED_VALUE"""),"1250522")</f>
        <v>1250522</v>
      </c>
      <c r="B1566" s="210" t="str">
        <f>IFERROR(__xludf.DUMMYFUNCTION("""COMPUTED_VALUE"""),"1250522")</f>
        <v>1250522</v>
      </c>
      <c r="C1566" s="213">
        <f>IFERROR(__xludf.DUMMYFUNCTION("""COMPUTED_VALUE"""),45888.62787037037)</f>
        <v>45888.62787</v>
      </c>
      <c r="D1566" s="211" t="str">
        <f>IFERROR(__xludf.DUMMYFUNCTION("""COMPUTED_VALUE"""),"182fb0fe")</f>
        <v>182fb0fe</v>
      </c>
      <c r="E1566" s="211" t="str">
        <f>IFERROR(__xludf.DUMMYFUNCTION("""COMPUTED_VALUE"""),"PT Amtech")</f>
        <v>PT Amtech</v>
      </c>
      <c r="F1566" s="211" t="str">
        <f>IFERROR(__xludf.DUMMYFUNCTION("""COMPUTED_VALUE"""),"66af7c72")</f>
        <v>66af7c72</v>
      </c>
      <c r="G1566" s="211" t="str">
        <f>IFERROR(__xludf.DUMMYFUNCTION("""COMPUTED_VALUE"""),"Argon 6m3")</f>
        <v>Argon 6m3</v>
      </c>
      <c r="H1566" s="211" t="str">
        <f>IFERROR(__xludf.DUMMYFUNCTION("""COMPUTED_VALUE"""),"IN")</f>
        <v>IN</v>
      </c>
      <c r="I1566" s="211" t="str">
        <f>IFERROR(__xludf.DUMMYFUNCTION("""COMPUTED_VALUE"""),"EMPTY")</f>
        <v>EMPTY</v>
      </c>
      <c r="J1566" s="211">
        <f>IFERROR(__xludf.DUMMYFUNCTION("""COMPUTED_VALUE"""),8.0)</f>
        <v>8</v>
      </c>
      <c r="K1566" s="210" t="str">
        <f>IFERROR(__xludf.DUMMYFUNCTION("""COMPUTED_VALUE"""),"12038 12046 12026 12015 12061 12050 12068 12070")</f>
        <v>12038 12046 12026 12015 12061 12050 12068 12070</v>
      </c>
      <c r="L1566" s="211">
        <f>IFERROR(__xludf.DUMMYFUNCTION("""COMPUTED_VALUE"""),0.0)</f>
        <v>0</v>
      </c>
      <c r="M1566" s="211"/>
      <c r="N1566" s="211"/>
      <c r="O1566" s="211"/>
      <c r="Q1566" s="210" t="str">
        <f>IFERROR(__xludf.DUMMYFUNCTION("""COMPUTED_VALUE"""),"102511566")</f>
        <v>102511566</v>
      </c>
      <c r="R1566" s="210" t="str">
        <f>IFERROR(__xludf.DUMMYFUNCTION("""COMPUTED_VALUE"""),"102511566")</f>
        <v>102511566</v>
      </c>
      <c r="S1566" s="211" t="str">
        <f>IFERROR(__xludf.DUMMYFUNCTION("""COMPUTED_VALUE"""),"86b29f43")</f>
        <v>86b29f43</v>
      </c>
      <c r="T1566" s="211" t="str">
        <f>IFERROR(__xludf.DUMMYFUNCTION("""COMPUTED_VALUE"""),"Bpk. Gaguk")</f>
        <v>Bpk. Gaguk</v>
      </c>
      <c r="U1566" s="215">
        <f>IFERROR(__xludf.DUMMYFUNCTION("""COMPUTED_VALUE"""),45960.39680555555)</f>
        <v>45960.39681</v>
      </c>
      <c r="V1566" s="211" t="str">
        <f>IFERROR(__xludf.DUMMYFUNCTION("""COMPUTED_VALUE"""),"Rumah sakit Sidoarjo barat, krian sidoarjo")</f>
        <v>Rumah sakit Sidoarjo barat, krian sidoarjo</v>
      </c>
      <c r="W1566" s="211" t="str">
        <f>IFERROR(__xludf.DUMMYFUNCTION("""COMPUTED_VALUE"""),"OUT")</f>
        <v>OUT</v>
      </c>
      <c r="X1566" s="211"/>
      <c r="AL1566" s="211"/>
      <c r="AM1566" s="211"/>
      <c r="AN1566" s="211"/>
      <c r="AO1566" s="211"/>
      <c r="AP1566" s="215"/>
      <c r="AQ1566" s="218"/>
      <c r="AR1566" s="211"/>
    </row>
    <row r="1567">
      <c r="A1567" s="211"/>
      <c r="B1567" s="211"/>
      <c r="C1567" s="211"/>
      <c r="D1567" s="211"/>
      <c r="E1567" s="211"/>
      <c r="F1567" s="211"/>
      <c r="G1567" s="211"/>
      <c r="H1567" s="211"/>
      <c r="I1567" s="211"/>
      <c r="J1567" s="211"/>
      <c r="K1567" s="211"/>
      <c r="L1567" s="211"/>
      <c r="M1567" s="211"/>
      <c r="N1567" s="211"/>
      <c r="O1567" s="211"/>
      <c r="Q1567" s="210" t="str">
        <f>IFERROR(__xludf.DUMMYFUNCTION("""COMPUTED_VALUE"""),"1025641567")</f>
        <v>1025641567</v>
      </c>
      <c r="R1567" s="210" t="str">
        <f>IFERROR(__xludf.DUMMYFUNCTION("""COMPUTED_VALUE"""),"1025641567")</f>
        <v>1025641567</v>
      </c>
      <c r="S1567" s="211" t="str">
        <f>IFERROR(__xludf.DUMMYFUNCTION("""COMPUTED_VALUE"""),"e86baf3b")</f>
        <v>e86baf3b</v>
      </c>
      <c r="T1567" s="211" t="str">
        <f>IFERROR(__xludf.DUMMYFUNCTION("""COMPUTED_VALUE"""),"PT GEMILANG CIPTA WAWASAN")</f>
        <v>PT GEMILANG CIPTA WAWASAN</v>
      </c>
      <c r="U1567" s="215">
        <f>IFERROR(__xludf.DUMMYFUNCTION("""COMPUTED_VALUE"""),45960.45584490741)</f>
        <v>45960.45584</v>
      </c>
      <c r="V1567" s="211" t="str">
        <f>IFERROR(__xludf.DUMMYFUNCTION("""COMPUTED_VALUE"""),"JL TEBET RAYA, 2A, TEBET BARAT, TEBET, KOTA ADM, JAKARTA SELATAN, DKI JAKARTA")</f>
        <v>JL TEBET RAYA, 2A, TEBET BARAT, TEBET, KOTA ADM, JAKARTA SELATAN, DKI JAKARTA</v>
      </c>
      <c r="W1567" s="211" t="str">
        <f>IFERROR(__xludf.DUMMYFUNCTION("""COMPUTED_VALUE"""),"OUT")</f>
        <v>OUT</v>
      </c>
      <c r="X1567" s="211"/>
      <c r="AL1567" s="211"/>
      <c r="AM1567" s="211"/>
      <c r="AN1567" s="211"/>
      <c r="AO1567" s="211"/>
      <c r="AP1567" s="215"/>
      <c r="AQ1567" s="218"/>
      <c r="AR1567" s="211"/>
    </row>
    <row r="1568">
      <c r="A1568" s="211"/>
      <c r="B1568" s="211"/>
      <c r="C1568" s="211"/>
      <c r="D1568" s="211"/>
      <c r="E1568" s="211"/>
      <c r="F1568" s="211"/>
      <c r="G1568" s="211"/>
      <c r="H1568" s="211"/>
      <c r="I1568" s="211"/>
      <c r="J1568" s="211"/>
      <c r="K1568" s="211"/>
      <c r="L1568" s="211"/>
      <c r="M1568" s="211"/>
      <c r="N1568" s="211"/>
      <c r="O1568" s="211"/>
      <c r="Q1568" s="210" t="str">
        <f>IFERROR(__xludf.DUMMYFUNCTION("""COMPUTED_VALUE"""),"1025151568")</f>
        <v>1025151568</v>
      </c>
      <c r="R1568" s="210" t="str">
        <f>IFERROR(__xludf.DUMMYFUNCTION("""COMPUTED_VALUE"""),"1025151568")</f>
        <v>1025151568</v>
      </c>
      <c r="S1568" s="211" t="str">
        <f>IFERROR(__xludf.DUMMYFUNCTION("""COMPUTED_VALUE"""),"d78b2eaf")</f>
        <v>d78b2eaf</v>
      </c>
      <c r="T1568" s="211" t="str">
        <f>IFERROR(__xludf.DUMMYFUNCTION("""COMPUTED_VALUE"""),"PT Sinar Indogreen Kencana")</f>
        <v>PT Sinar Indogreen Kencana</v>
      </c>
      <c r="U1568" s="215">
        <f>IFERROR(__xludf.DUMMYFUNCTION("""COMPUTED_VALUE"""),45960.49217592592)</f>
        <v>45960.49218</v>
      </c>
      <c r="V1568" s="211" t="str">
        <f>IFERROR(__xludf.DUMMYFUNCTION("""COMPUTED_VALUE"""),"Jl. Raya Ponokawan 8b RT/001 RW/002, Ponokawan, Krian, Sidoarjo")</f>
        <v>Jl. Raya Ponokawan 8b RT/001 RW/002, Ponokawan, Krian, Sidoarjo</v>
      </c>
      <c r="W1568" s="211" t="str">
        <f>IFERROR(__xludf.DUMMYFUNCTION("""COMPUTED_VALUE"""),"OUT")</f>
        <v>OUT</v>
      </c>
      <c r="X1568" s="211"/>
      <c r="AL1568" s="211"/>
      <c r="AM1568" s="211"/>
      <c r="AN1568" s="211"/>
      <c r="AO1568" s="211"/>
      <c r="AP1568" s="215"/>
      <c r="AQ1568" s="218"/>
      <c r="AR1568" s="211"/>
    </row>
    <row r="1569">
      <c r="A1569" s="211"/>
      <c r="B1569" s="211"/>
      <c r="C1569" s="211"/>
      <c r="D1569" s="211"/>
      <c r="E1569" s="211"/>
      <c r="F1569" s="211"/>
      <c r="G1569" s="211"/>
      <c r="H1569" s="211"/>
      <c r="I1569" s="211"/>
      <c r="J1569" s="211"/>
      <c r="K1569" s="211"/>
      <c r="L1569" s="211"/>
      <c r="M1569" s="211"/>
      <c r="N1569" s="211"/>
      <c r="O1569" s="211"/>
      <c r="Q1569" s="210" t="str">
        <f>IFERROR(__xludf.DUMMYFUNCTION("""COMPUTED_VALUE"""),"1250748")</f>
        <v>1250748</v>
      </c>
      <c r="R1569" s="210" t="str">
        <f>IFERROR(__xludf.DUMMYFUNCTION("""COMPUTED_VALUE"""),"1250748")</f>
        <v>1250748</v>
      </c>
      <c r="S1569" s="211" t="str">
        <f>IFERROR(__xludf.DUMMYFUNCTION("""COMPUTED_VALUE"""),"e968afef")</f>
        <v>e968afef</v>
      </c>
      <c r="T1569" s="211" t="str">
        <f>IFERROR(__xludf.DUMMYFUNCTION("""COMPUTED_VALUE"""),"Bpk. Agus")</f>
        <v>Bpk. Agus</v>
      </c>
      <c r="U1569" s="215">
        <f>IFERROR(__xludf.DUMMYFUNCTION("""COMPUTED_VALUE"""),45960.51168981481)</f>
        <v>45960.51169</v>
      </c>
      <c r="V1569" s="211" t="str">
        <f>IFERROR(__xludf.DUMMYFUNCTION("""COMPUTED_VALUE"""),"Jl. Parengan 13, Semawut, Balongbendo, Kec. BalongBendo, Kabupaten Sidoarjo, Jawa Timur 61263")</f>
        <v>Jl. Parengan 13, Semawut, Balongbendo, Kec. BalongBendo, Kabupaten Sidoarjo, Jawa Timur 61263</v>
      </c>
      <c r="W1569" s="211" t="str">
        <f>IFERROR(__xludf.DUMMYFUNCTION("""COMPUTED_VALUE"""),"IN")</f>
        <v>IN</v>
      </c>
      <c r="X1569" s="211"/>
      <c r="AL1569" s="211"/>
      <c r="AM1569" s="211"/>
      <c r="AN1569" s="211"/>
      <c r="AO1569" s="211"/>
      <c r="AP1569" s="215"/>
      <c r="AQ1569" s="218"/>
      <c r="AR1569" s="211"/>
    </row>
    <row r="1570">
      <c r="A1570" s="211"/>
      <c r="B1570" s="211"/>
      <c r="C1570" s="211"/>
      <c r="D1570" s="211"/>
      <c r="E1570" s="211"/>
      <c r="F1570" s="211"/>
      <c r="G1570" s="211"/>
      <c r="H1570" s="211"/>
      <c r="I1570" s="211"/>
      <c r="J1570" s="211"/>
      <c r="K1570" s="211"/>
      <c r="L1570" s="211"/>
      <c r="M1570" s="211"/>
      <c r="N1570" s="211"/>
      <c r="O1570" s="211"/>
      <c r="Q1570" s="210" t="str">
        <f>IFERROR(__xludf.DUMMYFUNCTION("""COMPUTED_VALUE"""),"1250741")</f>
        <v>1250741</v>
      </c>
      <c r="R1570" s="210" t="str">
        <f>IFERROR(__xludf.DUMMYFUNCTION("""COMPUTED_VALUE"""),"1250741")</f>
        <v>1250741</v>
      </c>
      <c r="S1570" s="211" t="str">
        <f>IFERROR(__xludf.DUMMYFUNCTION("""COMPUTED_VALUE"""),"d78b2eaf")</f>
        <v>d78b2eaf</v>
      </c>
      <c r="T1570" s="211" t="str">
        <f>IFERROR(__xludf.DUMMYFUNCTION("""COMPUTED_VALUE"""),"PT Sinar Indogreen Kencana")</f>
        <v>PT Sinar Indogreen Kencana</v>
      </c>
      <c r="U1570" s="215">
        <f>IFERROR(__xludf.DUMMYFUNCTION("""COMPUTED_VALUE"""),45960.5943287037)</f>
        <v>45960.59433</v>
      </c>
      <c r="V1570" s="211" t="str">
        <f>IFERROR(__xludf.DUMMYFUNCTION("""COMPUTED_VALUE"""),"Jl. Raya Ponokawan 8b RT/001 RW/002, Ponokawan, Krian, Sidoarjo")</f>
        <v>Jl. Raya Ponokawan 8b RT/001 RW/002, Ponokawan, Krian, Sidoarjo</v>
      </c>
      <c r="W1570" s="211" t="str">
        <f>IFERROR(__xludf.DUMMYFUNCTION("""COMPUTED_VALUE"""),"IN")</f>
        <v>IN</v>
      </c>
      <c r="X1570" s="211"/>
      <c r="AL1570" s="211"/>
      <c r="AM1570" s="211"/>
      <c r="AN1570" s="211"/>
      <c r="AO1570" s="211"/>
      <c r="AP1570" s="215"/>
      <c r="AQ1570" s="218"/>
      <c r="AR1570" s="211"/>
    </row>
    <row r="1571">
      <c r="A1571" s="210" t="str">
        <f>IFERROR(__xludf.DUMMYFUNCTION("""COMPUTED_VALUE"""),"1250523")</f>
        <v>1250523</v>
      </c>
      <c r="B1571" s="210" t="str">
        <f>IFERROR(__xludf.DUMMYFUNCTION("""COMPUTED_VALUE"""),"1250523")</f>
        <v>1250523</v>
      </c>
      <c r="C1571" s="213">
        <f>IFERROR(__xludf.DUMMYFUNCTION("""COMPUTED_VALUE"""),45889.625601851854)</f>
        <v>45889.6256</v>
      </c>
      <c r="D1571" s="211" t="str">
        <f>IFERROR(__xludf.DUMMYFUNCTION("""COMPUTED_VALUE"""),"5f23ba17")</f>
        <v>5f23ba17</v>
      </c>
      <c r="E1571" s="211" t="str">
        <f>IFERROR(__xludf.DUMMYFUNCTION("""COMPUTED_VALUE"""),"Bpk. Joko (Gresik)")</f>
        <v>Bpk. Joko (Gresik)</v>
      </c>
      <c r="F1571" s="211" t="str">
        <f>IFERROR(__xludf.DUMMYFUNCTION("""COMPUTED_VALUE"""),"439cf836")</f>
        <v>439cf836</v>
      </c>
      <c r="G1571" s="211" t="str">
        <f>IFERROR(__xludf.DUMMYFUNCTION("""COMPUTED_VALUE"""),"Karbondioksida MR")</f>
        <v>Karbondioksida MR</v>
      </c>
      <c r="H1571" s="211" t="str">
        <f>IFERROR(__xludf.DUMMYFUNCTION("""COMPUTED_VALUE"""),"IN")</f>
        <v>IN</v>
      </c>
      <c r="I1571" s="211" t="str">
        <f>IFERROR(__xludf.DUMMYFUNCTION("""COMPUTED_VALUE"""),"EMPTY")</f>
        <v>EMPTY</v>
      </c>
      <c r="J1571" s="211">
        <f>IFERROR(__xludf.DUMMYFUNCTION("""COMPUTED_VALUE"""),1.0)</f>
        <v>1</v>
      </c>
      <c r="K1571" s="210" t="str">
        <f>IFERROR(__xludf.DUMMYFUNCTION("""COMPUTED_VALUE"""),"16284")</f>
        <v>16284</v>
      </c>
      <c r="L1571" s="211">
        <f>IFERROR(__xludf.DUMMYFUNCTION("""COMPUTED_VALUE"""),0.0)</f>
        <v>0</v>
      </c>
      <c r="M1571" s="211"/>
      <c r="N1571" s="211"/>
      <c r="O1571" s="211"/>
      <c r="Q1571" s="210" t="str">
        <f>IFERROR(__xludf.DUMMYFUNCTION("""COMPUTED_VALUE"""),"1250719")</f>
        <v>1250719</v>
      </c>
      <c r="R1571" s="210" t="str">
        <f>IFERROR(__xludf.DUMMYFUNCTION("""COMPUTED_VALUE"""),"1250719")</f>
        <v>1250719</v>
      </c>
      <c r="S1571" s="211" t="str">
        <f>IFERROR(__xludf.DUMMYFUNCTION("""COMPUTED_VALUE"""),"ce83e171")</f>
        <v>ce83e171</v>
      </c>
      <c r="T1571" s="211" t="str">
        <f>IFERROR(__xludf.DUMMYFUNCTION("""COMPUTED_VALUE"""),"Bpk. Sulaiman")</f>
        <v>Bpk. Sulaiman</v>
      </c>
      <c r="U1571" s="215">
        <f>IFERROR(__xludf.DUMMYFUNCTION("""COMPUTED_VALUE"""),45960.61620370371)</f>
        <v>45960.6162</v>
      </c>
      <c r="V1571" s="211" t="str">
        <f>IFERROR(__xludf.DUMMYFUNCTION("""COMPUTED_VALUE"""),"Jl. Raya Kramat Temenggung No.43, Kramat, Kramat Temenggung, Kec. Tarik, Kabupaten Sidoarjo, Jawa Timur 61265")</f>
        <v>Jl. Raya Kramat Temenggung No.43, Kramat, Kramat Temenggung, Kec. Tarik, Kabupaten Sidoarjo, Jawa Timur 61265</v>
      </c>
      <c r="W1571" s="211" t="str">
        <f>IFERROR(__xludf.DUMMYFUNCTION("""COMPUTED_VALUE"""),"IN")</f>
        <v>IN</v>
      </c>
      <c r="X1571" s="211"/>
      <c r="AL1571" s="211"/>
      <c r="AM1571" s="211"/>
      <c r="AN1571" s="211"/>
      <c r="AO1571" s="211"/>
      <c r="AP1571" s="215"/>
      <c r="AQ1571" s="218"/>
      <c r="AR1571" s="211"/>
    </row>
    <row r="1572">
      <c r="A1572" s="210" t="str">
        <f>IFERROR(__xludf.DUMMYFUNCTION("""COMPUTED_VALUE"""),"1250523")</f>
        <v>1250523</v>
      </c>
      <c r="B1572" s="210" t="str">
        <f>IFERROR(__xludf.DUMMYFUNCTION("""COMPUTED_VALUE"""),"1250523")</f>
        <v>1250523</v>
      </c>
      <c r="C1572" s="213">
        <f>IFERROR(__xludf.DUMMYFUNCTION("""COMPUTED_VALUE"""),45889.625601851854)</f>
        <v>45889.6256</v>
      </c>
      <c r="D1572" s="211" t="str">
        <f>IFERROR(__xludf.DUMMYFUNCTION("""COMPUTED_VALUE"""),"5f23ba17")</f>
        <v>5f23ba17</v>
      </c>
      <c r="E1572" s="211" t="str">
        <f>IFERROR(__xludf.DUMMYFUNCTION("""COMPUTED_VALUE"""),"Bpk. Joko (Gresik)")</f>
        <v>Bpk. Joko (Gresik)</v>
      </c>
      <c r="F1572" s="211" t="str">
        <f>IFERROR(__xludf.DUMMYFUNCTION("""COMPUTED_VALUE"""),"be525f3b")</f>
        <v>be525f3b</v>
      </c>
      <c r="G1572" s="211" t="str">
        <f>IFERROR(__xludf.DUMMYFUNCTION("""COMPUTED_VALUE"""),"LPG 12kg")</f>
        <v>LPG 12kg</v>
      </c>
      <c r="H1572" s="211" t="str">
        <f>IFERROR(__xludf.DUMMYFUNCTION("""COMPUTED_VALUE"""),"IN")</f>
        <v>IN</v>
      </c>
      <c r="I1572" s="211" t="str">
        <f>IFERROR(__xludf.DUMMYFUNCTION("""COMPUTED_VALUE"""),"EMPTY")</f>
        <v>EMPTY</v>
      </c>
      <c r="J1572" s="211">
        <f>IFERROR(__xludf.DUMMYFUNCTION("""COMPUTED_VALUE"""),3.0)</f>
        <v>3</v>
      </c>
      <c r="K1572" s="211"/>
      <c r="L1572" s="211">
        <f>IFERROR(__xludf.DUMMYFUNCTION("""COMPUTED_VALUE"""),0.0)</f>
        <v>0</v>
      </c>
      <c r="M1572" s="211"/>
      <c r="N1572" s="211"/>
      <c r="O1572" s="211"/>
      <c r="Q1572" s="210" t="str">
        <f>IFERROR(__xludf.DUMMYFUNCTION("""COMPUTED_VALUE"""),"1025181569")</f>
        <v>1025181569</v>
      </c>
      <c r="R1572" s="210" t="str">
        <f>IFERROR(__xludf.DUMMYFUNCTION("""COMPUTED_VALUE"""),"1025181569")</f>
        <v>1025181569</v>
      </c>
      <c r="S1572" s="211" t="str">
        <f>IFERROR(__xludf.DUMMYFUNCTION("""COMPUTED_VALUE"""),"3bcd7fe6")</f>
        <v>3bcd7fe6</v>
      </c>
      <c r="T1572" s="211" t="str">
        <f>IFERROR(__xludf.DUMMYFUNCTION("""COMPUTED_VALUE"""),"Bpk. Alvin (LB Group)")</f>
        <v>Bpk. Alvin (LB Group)</v>
      </c>
      <c r="U1572" s="215">
        <f>IFERROR(__xludf.DUMMYFUNCTION("""COMPUTED_VALUE"""),45961.392430555556)</f>
        <v>45961.39243</v>
      </c>
      <c r="V1572" s="211" t="str">
        <f>IFERROR(__xludf.DUMMYFUNCTION("""COMPUTED_VALUE"""),"MFF9+XHC, Jalan, Tambakrejo, Temuireng, Kec. Dawar Blandong, Kabupaten Mojokerto, Jawa Timur 61354")</f>
        <v>MFF9+XHC, Jalan, Tambakrejo, Temuireng, Kec. Dawar Blandong, Kabupaten Mojokerto, Jawa Timur 61354</v>
      </c>
      <c r="W1572" s="211" t="str">
        <f>IFERROR(__xludf.DUMMYFUNCTION("""COMPUTED_VALUE"""),"OUT")</f>
        <v>OUT</v>
      </c>
      <c r="X1572" s="211"/>
      <c r="AL1572" s="211"/>
      <c r="AM1572" s="211"/>
      <c r="AN1572" s="211"/>
      <c r="AO1572" s="211"/>
      <c r="AP1572" s="215"/>
      <c r="AQ1572" s="218"/>
      <c r="AR1572" s="211"/>
    </row>
    <row r="1573">
      <c r="A1573" s="210" t="str">
        <f>IFERROR(__xludf.DUMMYFUNCTION("""COMPUTED_VALUE"""),"1250523")</f>
        <v>1250523</v>
      </c>
      <c r="B1573" s="210" t="str">
        <f>IFERROR(__xludf.DUMMYFUNCTION("""COMPUTED_VALUE"""),"1250523")</f>
        <v>1250523</v>
      </c>
      <c r="C1573" s="213">
        <f>IFERROR(__xludf.DUMMYFUNCTION("""COMPUTED_VALUE"""),45889.625601851854)</f>
        <v>45889.6256</v>
      </c>
      <c r="D1573" s="211" t="str">
        <f>IFERROR(__xludf.DUMMYFUNCTION("""COMPUTED_VALUE"""),"5f23ba17")</f>
        <v>5f23ba17</v>
      </c>
      <c r="E1573" s="211" t="str">
        <f>IFERROR(__xludf.DUMMYFUNCTION("""COMPUTED_VALUE"""),"Bpk. Joko (Gresik)")</f>
        <v>Bpk. Joko (Gresik)</v>
      </c>
      <c r="F1573" s="211" t="str">
        <f>IFERROR(__xludf.DUMMYFUNCTION("""COMPUTED_VALUE"""),"f6aab7a9")</f>
        <v>f6aab7a9</v>
      </c>
      <c r="G1573" s="211" t="str">
        <f>IFERROR(__xludf.DUMMYFUNCTION("""COMPUTED_VALUE"""),"Oksigen 6m3 MR")</f>
        <v>Oksigen 6m3 MR</v>
      </c>
      <c r="H1573" s="211" t="str">
        <f>IFERROR(__xludf.DUMMYFUNCTION("""COMPUTED_VALUE"""),"IN")</f>
        <v>IN</v>
      </c>
      <c r="I1573" s="211" t="str">
        <f>IFERROR(__xludf.DUMMYFUNCTION("""COMPUTED_VALUE"""),"EMPTY")</f>
        <v>EMPTY</v>
      </c>
      <c r="J1573" s="211">
        <f>IFERROR(__xludf.DUMMYFUNCTION("""COMPUTED_VALUE"""),10.0)</f>
        <v>10</v>
      </c>
      <c r="K1573" s="211"/>
      <c r="L1573" s="211">
        <f>IFERROR(__xludf.DUMMYFUNCTION("""COMPUTED_VALUE"""),0.0)</f>
        <v>0</v>
      </c>
      <c r="M1573" s="211"/>
      <c r="N1573" s="211"/>
      <c r="O1573" s="211"/>
      <c r="Q1573" s="210" t="str">
        <f>IFERROR(__xludf.DUMMYFUNCTION("""COMPUTED_VALUE"""),"1025301573")</f>
        <v>1025301573</v>
      </c>
      <c r="R1573" s="210" t="str">
        <f>IFERROR(__xludf.DUMMYFUNCTION("""COMPUTED_VALUE"""),"1025301573")</f>
        <v>1025301573</v>
      </c>
      <c r="S1573" s="211" t="str">
        <f>IFERROR(__xludf.DUMMYFUNCTION("""COMPUTED_VALUE"""),"b2b5f2c5")</f>
        <v>b2b5f2c5</v>
      </c>
      <c r="T1573" s="211" t="str">
        <f>IFERROR(__xludf.DUMMYFUNCTION("""COMPUTED_VALUE"""),"Bengkel Las Bpk. Ari")</f>
        <v>Bengkel Las Bpk. Ari</v>
      </c>
      <c r="U1573" s="215">
        <f>IFERROR(__xludf.DUMMYFUNCTION("""COMPUTED_VALUE"""),45961.394594907404)</f>
        <v>45961.39459</v>
      </c>
      <c r="V1573" s="211" t="str">
        <f>IFERROR(__xludf.DUMMYFUNCTION("""COMPUTED_VALUE"""),"Sumber Kembar, Wonodadi, Kec. Kutorejo, Kabupaten Mojokerto, Jawa Timur")</f>
        <v>Sumber Kembar, Wonodadi, Kec. Kutorejo, Kabupaten Mojokerto, Jawa Timur</v>
      </c>
      <c r="W1573" s="211" t="str">
        <f>IFERROR(__xludf.DUMMYFUNCTION("""COMPUTED_VALUE"""),"OUT")</f>
        <v>OUT</v>
      </c>
      <c r="X1573" s="211"/>
      <c r="AL1573" s="211"/>
      <c r="AM1573" s="211"/>
      <c r="AN1573" s="211"/>
      <c r="AO1573" s="211"/>
      <c r="AP1573" s="215"/>
      <c r="AQ1573" s="218"/>
      <c r="AR1573" s="211"/>
    </row>
    <row r="1574">
      <c r="A1574" s="210" t="str">
        <f>IFERROR(__xludf.DUMMYFUNCTION("""COMPUTED_VALUE"""),"0825181150")</f>
        <v>0825181150</v>
      </c>
      <c r="B1574" s="210" t="str">
        <f>IFERROR(__xludf.DUMMYFUNCTION("""COMPUTED_VALUE"""),"0825181150")</f>
        <v>0825181150</v>
      </c>
      <c r="C1574" s="213">
        <f>IFERROR(__xludf.DUMMYFUNCTION("""COMPUTED_VALUE"""),45890.3384375)</f>
        <v>45890.33844</v>
      </c>
      <c r="D1574" s="211" t="str">
        <f>IFERROR(__xludf.DUMMYFUNCTION("""COMPUTED_VALUE"""),"7b9d8eba")</f>
        <v>7b9d8eba</v>
      </c>
      <c r="E1574" s="211" t="str">
        <f>IFERROR(__xludf.DUMMYFUNCTION("""COMPUTED_VALUE"""),"PT PELANGI INDOKARYA")</f>
        <v>PT PELANGI INDOKARYA</v>
      </c>
      <c r="F1574" s="211" t="str">
        <f>IFERROR(__xludf.DUMMYFUNCTION("""COMPUTED_VALUE"""),"8bdbe149")</f>
        <v>8bdbe149</v>
      </c>
      <c r="G1574" s="211" t="str">
        <f>IFERROR(__xludf.DUMMYFUNCTION("""COMPUTED_VALUE"""),"Oksigen 6m3")</f>
        <v>Oksigen 6m3</v>
      </c>
      <c r="H1574" s="211" t="str">
        <f>IFERROR(__xludf.DUMMYFUNCTION("""COMPUTED_VALUE"""),"OUT")</f>
        <v>OUT</v>
      </c>
      <c r="I1574" s="211" t="str">
        <f>IFERROR(__xludf.DUMMYFUNCTION("""COMPUTED_VALUE"""),"NORMAL")</f>
        <v>NORMAL</v>
      </c>
      <c r="J1574" s="211">
        <f>IFERROR(__xludf.DUMMYFUNCTION("""COMPUTED_VALUE"""),5.0)</f>
        <v>5</v>
      </c>
      <c r="K1574" s="210" t="str">
        <f>IFERROR(__xludf.DUMMYFUNCTION("""COMPUTED_VALUE"""),"11256 11120 1125 1152 1124")</f>
        <v>11256 11120 1125 1152 1124</v>
      </c>
      <c r="L1574" s="211">
        <f>IFERROR(__xludf.DUMMYFUNCTION("""COMPUTED_VALUE"""),60000.0)</f>
        <v>60000</v>
      </c>
      <c r="M1574" s="211"/>
      <c r="N1574" s="211"/>
      <c r="O1574" s="211"/>
      <c r="Q1574" s="210" t="str">
        <f>IFERROR(__xludf.DUMMYFUNCTION("""COMPUTED_VALUE"""),"1025301574")</f>
        <v>1025301574</v>
      </c>
      <c r="R1574" s="210" t="str">
        <f>IFERROR(__xludf.DUMMYFUNCTION("""COMPUTED_VALUE"""),"1025301574")</f>
        <v>1025301574</v>
      </c>
      <c r="S1574" s="211" t="str">
        <f>IFERROR(__xludf.DUMMYFUNCTION("""COMPUTED_VALUE"""),"ce83e171")</f>
        <v>ce83e171</v>
      </c>
      <c r="T1574" s="211" t="str">
        <f>IFERROR(__xludf.DUMMYFUNCTION("""COMPUTED_VALUE"""),"Bpk. Sulaiman")</f>
        <v>Bpk. Sulaiman</v>
      </c>
      <c r="U1574" s="215">
        <f>IFERROR(__xludf.DUMMYFUNCTION("""COMPUTED_VALUE"""),45961.39618055556)</f>
        <v>45961.39618</v>
      </c>
      <c r="V1574" s="211" t="str">
        <f>IFERROR(__xludf.DUMMYFUNCTION("""COMPUTED_VALUE"""),"Jl. Raya Kramat Temenggung No.43, Kramat, Kramat Temenggung, Kec. Tarik, Kabupaten Sidoarjo, Jawa Timur 61265")</f>
        <v>Jl. Raya Kramat Temenggung No.43, Kramat, Kramat Temenggung, Kec. Tarik, Kabupaten Sidoarjo, Jawa Timur 61265</v>
      </c>
      <c r="W1574" s="211" t="str">
        <f>IFERROR(__xludf.DUMMYFUNCTION("""COMPUTED_VALUE"""),"OUT")</f>
        <v>OUT</v>
      </c>
      <c r="X1574" s="211"/>
      <c r="AL1574" s="211"/>
      <c r="AM1574" s="211"/>
      <c r="AN1574" s="211"/>
      <c r="AO1574" s="211"/>
      <c r="AP1574" s="215"/>
      <c r="AQ1574" s="218"/>
      <c r="AR1574" s="211"/>
    </row>
    <row r="1575">
      <c r="A1575" s="210" t="str">
        <f>IFERROR(__xludf.DUMMYFUNCTION("""COMPUTED_VALUE"""),"0825401152")</f>
        <v>0825401152</v>
      </c>
      <c r="B1575" s="210" t="str">
        <f>IFERROR(__xludf.DUMMYFUNCTION("""COMPUTED_VALUE"""),"0825401152")</f>
        <v>0825401152</v>
      </c>
      <c r="C1575" s="213">
        <f>IFERROR(__xludf.DUMMYFUNCTION("""COMPUTED_VALUE"""),45890.34763888889)</f>
        <v>45890.34764</v>
      </c>
      <c r="D1575" s="211" t="str">
        <f>IFERROR(__xludf.DUMMYFUNCTION("""COMPUTED_VALUE"""),"e86baf3b")</f>
        <v>e86baf3b</v>
      </c>
      <c r="E1575" s="211" t="str">
        <f>IFERROR(__xludf.DUMMYFUNCTION("""COMPUTED_VALUE"""),"PT GEMILANG CIPTA WAWASAN")</f>
        <v>PT GEMILANG CIPTA WAWASAN</v>
      </c>
      <c r="F1575" s="211" t="str">
        <f>IFERROR(__xludf.DUMMYFUNCTION("""COMPUTED_VALUE"""),"66af7c72")</f>
        <v>66af7c72</v>
      </c>
      <c r="G1575" s="211" t="str">
        <f>IFERROR(__xludf.DUMMYFUNCTION("""COMPUTED_VALUE"""),"Argon 6m3")</f>
        <v>Argon 6m3</v>
      </c>
      <c r="H1575" s="211" t="str">
        <f>IFERROR(__xludf.DUMMYFUNCTION("""COMPUTED_VALUE"""),"OUT")</f>
        <v>OUT</v>
      </c>
      <c r="I1575" s="211" t="str">
        <f>IFERROR(__xludf.DUMMYFUNCTION("""COMPUTED_VALUE"""),"NORMAL")</f>
        <v>NORMAL</v>
      </c>
      <c r="J1575" s="211">
        <f>IFERROR(__xludf.DUMMYFUNCTION("""COMPUTED_VALUE"""),10.0)</f>
        <v>10</v>
      </c>
      <c r="K1575" s="210" t="str">
        <f>IFERROR(__xludf.DUMMYFUNCTION("""COMPUTED_VALUE"""),"12061 12015 12026 12050 12046 12068 12070 12053 12073 12038")</f>
        <v>12061 12015 12026 12050 12046 12068 12070 12053 12073 12038</v>
      </c>
      <c r="L1575" s="211">
        <f>IFERROR(__xludf.DUMMYFUNCTION("""COMPUTED_VALUE"""),185000.0)</f>
        <v>185000</v>
      </c>
      <c r="M1575" s="211"/>
      <c r="N1575" s="211"/>
      <c r="O1575" s="211"/>
      <c r="Q1575" s="210" t="str">
        <f>IFERROR(__xludf.DUMMYFUNCTION("""COMPUTED_VALUE"""),"1250747")</f>
        <v>1250747</v>
      </c>
      <c r="R1575" s="210" t="str">
        <f>IFERROR(__xludf.DUMMYFUNCTION("""COMPUTED_VALUE"""),"1250747")</f>
        <v>1250747</v>
      </c>
      <c r="S1575" s="211" t="str">
        <f>IFERROR(__xludf.DUMMYFUNCTION("""COMPUTED_VALUE"""),"3bcd7fe6")</f>
        <v>3bcd7fe6</v>
      </c>
      <c r="T1575" s="211" t="str">
        <f>IFERROR(__xludf.DUMMYFUNCTION("""COMPUTED_VALUE"""),"Bpk. Alvin (LB Group)")</f>
        <v>Bpk. Alvin (LB Group)</v>
      </c>
      <c r="U1575" s="215">
        <f>IFERROR(__xludf.DUMMYFUNCTION("""COMPUTED_VALUE"""),45961.489282407405)</f>
        <v>45961.48928</v>
      </c>
      <c r="V1575" s="211" t="str">
        <f>IFERROR(__xludf.DUMMYFUNCTION("""COMPUTED_VALUE"""),"MFF9+XHC, Jalan, Tambakrejo, Temuireng, Kec. Dawar Blandong, Kabupaten Mojokerto, Jawa Timur 61354")</f>
        <v>MFF9+XHC, Jalan, Tambakrejo, Temuireng, Kec. Dawar Blandong, Kabupaten Mojokerto, Jawa Timur 61354</v>
      </c>
      <c r="W1575" s="211" t="str">
        <f>IFERROR(__xludf.DUMMYFUNCTION("""COMPUTED_VALUE"""),"IN")</f>
        <v>IN</v>
      </c>
      <c r="X1575" s="211"/>
      <c r="AL1575" s="211"/>
      <c r="AM1575" s="211"/>
      <c r="AN1575" s="211"/>
      <c r="AO1575" s="211"/>
      <c r="AP1575" s="215"/>
      <c r="AQ1575" s="218"/>
      <c r="AR1575" s="211"/>
    </row>
    <row r="1576">
      <c r="A1576" s="210" t="str">
        <f>IFERROR(__xludf.DUMMYFUNCTION("""COMPUTED_VALUE"""),"1250525")</f>
        <v>1250525</v>
      </c>
      <c r="B1576" s="210" t="str">
        <f>IFERROR(__xludf.DUMMYFUNCTION("""COMPUTED_VALUE"""),"1250525")</f>
        <v>1250525</v>
      </c>
      <c r="C1576" s="213">
        <f>IFERROR(__xludf.DUMMYFUNCTION("""COMPUTED_VALUE"""),45890.48949074074)</f>
        <v>45890.48949</v>
      </c>
      <c r="D1576" s="211" t="str">
        <f>IFERROR(__xludf.DUMMYFUNCTION("""COMPUTED_VALUE"""),"b2b5f2c5")</f>
        <v>b2b5f2c5</v>
      </c>
      <c r="E1576" s="211" t="str">
        <f>IFERROR(__xludf.DUMMYFUNCTION("""COMPUTED_VALUE"""),"Bengkel Las Bpk. Ari")</f>
        <v>Bengkel Las Bpk. Ari</v>
      </c>
      <c r="F1576" s="211" t="str">
        <f>IFERROR(__xludf.DUMMYFUNCTION("""COMPUTED_VALUE"""),"8bdbe149")</f>
        <v>8bdbe149</v>
      </c>
      <c r="G1576" s="211" t="str">
        <f>IFERROR(__xludf.DUMMYFUNCTION("""COMPUTED_VALUE"""),"Oksigen 6m3")</f>
        <v>Oksigen 6m3</v>
      </c>
      <c r="H1576" s="211" t="str">
        <f>IFERROR(__xludf.DUMMYFUNCTION("""COMPUTED_VALUE"""),"IN")</f>
        <v>IN</v>
      </c>
      <c r="I1576" s="211" t="str">
        <f>IFERROR(__xludf.DUMMYFUNCTION("""COMPUTED_VALUE"""),"EMPTY")</f>
        <v>EMPTY</v>
      </c>
      <c r="J1576" s="211">
        <f>IFERROR(__xludf.DUMMYFUNCTION("""COMPUTED_VALUE"""),4.0)</f>
        <v>4</v>
      </c>
      <c r="K1576" s="210" t="str">
        <f>IFERROR(__xludf.DUMMYFUNCTION("""COMPUTED_VALUE"""),"11129 1197 1134 1195")</f>
        <v>11129 1197 1134 1195</v>
      </c>
      <c r="L1576" s="211">
        <f>IFERROR(__xludf.DUMMYFUNCTION("""COMPUTED_VALUE"""),0.0)</f>
        <v>0</v>
      </c>
      <c r="M1576" s="211"/>
      <c r="N1576" s="211"/>
      <c r="O1576" s="211"/>
      <c r="Q1576" s="210" t="str">
        <f>IFERROR(__xludf.DUMMYFUNCTION("""COMPUTED_VALUE"""),"1025261569")</f>
        <v>1025261569</v>
      </c>
      <c r="R1576" s="210" t="str">
        <f>IFERROR(__xludf.DUMMYFUNCTION("""COMPUTED_VALUE"""),"1025261569")</f>
        <v>1025261569</v>
      </c>
      <c r="S1576" s="211" t="str">
        <f>IFERROR(__xludf.DUMMYFUNCTION("""COMPUTED_VALUE"""),"8f5ebaea")</f>
        <v>8f5ebaea</v>
      </c>
      <c r="T1576" s="211" t="str">
        <f>IFERROR(__xludf.DUMMYFUNCTION("""COMPUTED_VALUE"""),"PT Hua Zong Mesindo")</f>
        <v>PT Hua Zong Mesindo</v>
      </c>
      <c r="U1576" s="215">
        <f>IFERROR(__xludf.DUMMYFUNCTION("""COMPUTED_VALUE"""),45961.61261574074)</f>
        <v>45961.61262</v>
      </c>
      <c r="V1576" s="211" t="str">
        <f>IFERROR(__xludf.DUMMYFUNCTION("""COMPUTED_VALUE"""),"Jl. Bypass Krian, Sidotemo, Sidomulyo, Kec. Krian, Kabupaten Sidoarjo, Jawa Timur 61262")</f>
        <v>Jl. Bypass Krian, Sidotemo, Sidomulyo, Kec. Krian, Kabupaten Sidoarjo, Jawa Timur 61262</v>
      </c>
      <c r="W1576" s="211" t="str">
        <f>IFERROR(__xludf.DUMMYFUNCTION("""COMPUTED_VALUE"""),"OUT")</f>
        <v>OUT</v>
      </c>
      <c r="X1576" s="211"/>
      <c r="AL1576" s="211"/>
      <c r="AM1576" s="211"/>
      <c r="AN1576" s="211"/>
      <c r="AO1576" s="211"/>
      <c r="AP1576" s="215"/>
      <c r="AQ1576" s="218"/>
      <c r="AR1576" s="211"/>
    </row>
    <row r="1577">
      <c r="A1577" s="210" t="str">
        <f>IFERROR(__xludf.DUMMYFUNCTION("""COMPUTED_VALUE"""),"1250524")</f>
        <v>1250524</v>
      </c>
      <c r="B1577" s="210" t="str">
        <f>IFERROR(__xludf.DUMMYFUNCTION("""COMPUTED_VALUE"""),"1250524")</f>
        <v>1250524</v>
      </c>
      <c r="C1577" s="213">
        <f>IFERROR(__xludf.DUMMYFUNCTION("""COMPUTED_VALUE"""),45890.491435185184)</f>
        <v>45890.49144</v>
      </c>
      <c r="D1577" s="211" t="str">
        <f>IFERROR(__xludf.DUMMYFUNCTION("""COMPUTED_VALUE"""),"7b9d8eba")</f>
        <v>7b9d8eba</v>
      </c>
      <c r="E1577" s="211" t="str">
        <f>IFERROR(__xludf.DUMMYFUNCTION("""COMPUTED_VALUE"""),"PT PELANGI INDOKARYA")</f>
        <v>PT PELANGI INDOKARYA</v>
      </c>
      <c r="F1577" s="211" t="str">
        <f>IFERROR(__xludf.DUMMYFUNCTION("""COMPUTED_VALUE"""),"8bdbe149")</f>
        <v>8bdbe149</v>
      </c>
      <c r="G1577" s="211" t="str">
        <f>IFERROR(__xludf.DUMMYFUNCTION("""COMPUTED_VALUE"""),"Oksigen 6m3")</f>
        <v>Oksigen 6m3</v>
      </c>
      <c r="H1577" s="211" t="str">
        <f>IFERROR(__xludf.DUMMYFUNCTION("""COMPUTED_VALUE"""),"IN")</f>
        <v>IN</v>
      </c>
      <c r="I1577" s="211" t="str">
        <f>IFERROR(__xludf.DUMMYFUNCTION("""COMPUTED_VALUE"""),"EMPTY")</f>
        <v>EMPTY</v>
      </c>
      <c r="J1577" s="211">
        <f>IFERROR(__xludf.DUMMYFUNCTION("""COMPUTED_VALUE"""),5.0)</f>
        <v>5</v>
      </c>
      <c r="K1577" s="210" t="str">
        <f>IFERROR(__xludf.DUMMYFUNCTION("""COMPUTED_VALUE"""),"11150 1117 11146 11135 11157")</f>
        <v>11150 1117 11146 11135 11157</v>
      </c>
      <c r="L1577" s="211">
        <f>IFERROR(__xludf.DUMMYFUNCTION("""COMPUTED_VALUE"""),0.0)</f>
        <v>0</v>
      </c>
      <c r="M1577" s="211"/>
      <c r="N1577" s="211"/>
      <c r="O1577" s="211"/>
      <c r="Q1577" s="210" t="str">
        <f>IFERROR(__xludf.DUMMYFUNCTION("""COMPUTED_VALUE"""),"1250732")</f>
        <v>1250732</v>
      </c>
      <c r="R1577" s="210" t="str">
        <f>IFERROR(__xludf.DUMMYFUNCTION("""COMPUTED_VALUE"""),"1250732")</f>
        <v>1250732</v>
      </c>
      <c r="S1577" s="211" t="str">
        <f>IFERROR(__xludf.DUMMYFUNCTION("""COMPUTED_VALUE"""),"b2b5f2c5")</f>
        <v>b2b5f2c5</v>
      </c>
      <c r="T1577" s="211" t="str">
        <f>IFERROR(__xludf.DUMMYFUNCTION("""COMPUTED_VALUE"""),"Bengkel Las Bpk. Ari")</f>
        <v>Bengkel Las Bpk. Ari</v>
      </c>
      <c r="U1577" s="215">
        <f>IFERROR(__xludf.DUMMYFUNCTION("""COMPUTED_VALUE"""),45961.614583333336)</f>
        <v>45961.61458</v>
      </c>
      <c r="V1577" s="211" t="str">
        <f>IFERROR(__xludf.DUMMYFUNCTION("""COMPUTED_VALUE"""),"Sumber Kembar, Wonodadi, Kec. Kutorejo, Kabupaten Mojokerto, Jawa Timur")</f>
        <v>Sumber Kembar, Wonodadi, Kec. Kutorejo, Kabupaten Mojokerto, Jawa Timur</v>
      </c>
      <c r="W1577" s="211" t="str">
        <f>IFERROR(__xludf.DUMMYFUNCTION("""COMPUTED_VALUE"""),"IN")</f>
        <v>IN</v>
      </c>
      <c r="X1577" s="211"/>
      <c r="AL1577" s="211"/>
      <c r="AM1577" s="211"/>
      <c r="AN1577" s="211"/>
      <c r="AO1577" s="211"/>
      <c r="AP1577" s="215"/>
      <c r="AQ1577" s="218"/>
      <c r="AR1577" s="211"/>
    </row>
    <row r="1578">
      <c r="A1578" s="210" t="str">
        <f>IFERROR(__xludf.DUMMYFUNCTION("""COMPUTED_VALUE"""),"0825251153")</f>
        <v>0825251153</v>
      </c>
      <c r="B1578" s="210" t="str">
        <f>IFERROR(__xludf.DUMMYFUNCTION("""COMPUTED_VALUE"""),"0825251153")</f>
        <v>0825251153</v>
      </c>
      <c r="C1578" s="213">
        <f>IFERROR(__xludf.DUMMYFUNCTION("""COMPUTED_VALUE"""),45891.40032407407)</f>
        <v>45891.40032</v>
      </c>
      <c r="D1578" s="211" t="str">
        <f>IFERROR(__xludf.DUMMYFUNCTION("""COMPUTED_VALUE"""),"ce83e171")</f>
        <v>ce83e171</v>
      </c>
      <c r="E1578" s="211" t="str">
        <f>IFERROR(__xludf.DUMMYFUNCTION("""COMPUTED_VALUE"""),"Bpk. Sulaiman")</f>
        <v>Bpk. Sulaiman</v>
      </c>
      <c r="F1578" s="211" t="str">
        <f>IFERROR(__xludf.DUMMYFUNCTION("""COMPUTED_VALUE"""),"f6aab7a9")</f>
        <v>f6aab7a9</v>
      </c>
      <c r="G1578" s="211" t="str">
        <f>IFERROR(__xludf.DUMMYFUNCTION("""COMPUTED_VALUE"""),"Oksigen 6m3 MR")</f>
        <v>Oksigen 6m3 MR</v>
      </c>
      <c r="H1578" s="211" t="str">
        <f>IFERROR(__xludf.DUMMYFUNCTION("""COMPUTED_VALUE"""),"OUT")</f>
        <v>OUT</v>
      </c>
      <c r="I1578" s="211" t="str">
        <f>IFERROR(__xludf.DUMMYFUNCTION("""COMPUTED_VALUE"""),"NORMAL")</f>
        <v>NORMAL</v>
      </c>
      <c r="J1578" s="211">
        <f>IFERROR(__xludf.DUMMYFUNCTION("""COMPUTED_VALUE"""),1.0)</f>
        <v>1</v>
      </c>
      <c r="K1578" s="211"/>
      <c r="L1578" s="211">
        <f>IFERROR(__xludf.DUMMYFUNCTION("""COMPUTED_VALUE"""),55000.0)</f>
        <v>55000</v>
      </c>
      <c r="M1578" s="211"/>
      <c r="N1578" s="211"/>
      <c r="O1578" s="211"/>
      <c r="Q1578" s="211"/>
      <c r="R1578" s="211"/>
      <c r="S1578" s="211"/>
      <c r="T1578" s="211"/>
      <c r="U1578" s="211"/>
      <c r="V1578" s="211"/>
      <c r="W1578" s="211"/>
      <c r="X1578" s="211"/>
      <c r="AL1578" s="211"/>
      <c r="AM1578" s="211"/>
      <c r="AN1578" s="211"/>
      <c r="AO1578" s="211"/>
      <c r="AP1578" s="215"/>
      <c r="AQ1578" s="218"/>
      <c r="AR1578" s="211"/>
    </row>
    <row r="1579">
      <c r="A1579" s="210" t="str">
        <f>IFERROR(__xludf.DUMMYFUNCTION("""COMPUTED_VALUE"""),"0825251153")</f>
        <v>0825251153</v>
      </c>
      <c r="B1579" s="210" t="str">
        <f>IFERROR(__xludf.DUMMYFUNCTION("""COMPUTED_VALUE"""),"0825251153")</f>
        <v>0825251153</v>
      </c>
      <c r="C1579" s="213">
        <f>IFERROR(__xludf.DUMMYFUNCTION("""COMPUTED_VALUE"""),45891.40032407407)</f>
        <v>45891.40032</v>
      </c>
      <c r="D1579" s="211" t="str">
        <f>IFERROR(__xludf.DUMMYFUNCTION("""COMPUTED_VALUE"""),"ce83e171")</f>
        <v>ce83e171</v>
      </c>
      <c r="E1579" s="211" t="str">
        <f>IFERROR(__xludf.DUMMYFUNCTION("""COMPUTED_VALUE"""),"Bpk. Sulaiman")</f>
        <v>Bpk. Sulaiman</v>
      </c>
      <c r="F1579" s="211" t="str">
        <f>IFERROR(__xludf.DUMMYFUNCTION("""COMPUTED_VALUE"""),"7d2764f1")</f>
        <v>7d2764f1</v>
      </c>
      <c r="G1579" s="211" t="str">
        <f>IFERROR(__xludf.DUMMYFUNCTION("""COMPUTED_VALUE"""),"Oksigen 7m3")</f>
        <v>Oksigen 7m3</v>
      </c>
      <c r="H1579" s="211" t="str">
        <f>IFERROR(__xludf.DUMMYFUNCTION("""COMPUTED_VALUE"""),"OUT")</f>
        <v>OUT</v>
      </c>
      <c r="I1579" s="211" t="str">
        <f>IFERROR(__xludf.DUMMYFUNCTION("""COMPUTED_VALUE"""),"NORMAL")</f>
        <v>NORMAL</v>
      </c>
      <c r="J1579" s="211">
        <f>IFERROR(__xludf.DUMMYFUNCTION("""COMPUTED_VALUE"""),4.0)</f>
        <v>4</v>
      </c>
      <c r="K1579" s="210" t="str">
        <f>IFERROR(__xludf.DUMMYFUNCTION("""COMPUTED_VALUE"""),"11148 11158 11136 11141")</f>
        <v>11148 11158 11136 11141</v>
      </c>
      <c r="L1579" s="211">
        <f>IFERROR(__xludf.DUMMYFUNCTION("""COMPUTED_VALUE"""),55000.0)</f>
        <v>55000</v>
      </c>
      <c r="M1579" s="211"/>
      <c r="N1579" s="211"/>
      <c r="O1579" s="211"/>
      <c r="Q1579" s="210" t="str">
        <f>IFERROR(__xludf.DUMMYFUNCTION("""COMPUTED_VALUE"""),"102531575")</f>
        <v>102531575</v>
      </c>
      <c r="R1579" s="210" t="str">
        <f>IFERROR(__xludf.DUMMYFUNCTION("""COMPUTED_VALUE"""),"102531575")</f>
        <v>102531575</v>
      </c>
      <c r="S1579" s="211" t="str">
        <f>IFERROR(__xludf.DUMMYFUNCTION("""COMPUTED_VALUE"""),"4c3a2a5f")</f>
        <v>4c3a2a5f</v>
      </c>
      <c r="T1579" s="211" t="str">
        <f>IFERROR(__xludf.DUMMYFUNCTION("""COMPUTED_VALUE"""),"CV Matahari Mitra Sukses")</f>
        <v>CV Matahari Mitra Sukses</v>
      </c>
      <c r="U1579" s="215">
        <f>IFERROR(__xludf.DUMMYFUNCTION("""COMPUTED_VALUE"""),45962.34027777778)</f>
        <v>45962.34028</v>
      </c>
      <c r="V1579" s="211" t="str">
        <f>IFERROR(__xludf.DUMMYFUNCTION("""COMPUTED_VALUE"""),"Jl. Raya Hj. Fatimah 01, Tarik, Kabupaten Sidoarjo, Jawa Timur 61265, Indonesia")</f>
        <v>Jl. Raya Hj. Fatimah 01, Tarik, Kabupaten Sidoarjo, Jawa Timur 61265, Indonesia</v>
      </c>
      <c r="W1579" s="211" t="str">
        <f>IFERROR(__xludf.DUMMYFUNCTION("""COMPUTED_VALUE"""),"OUT")</f>
        <v>OUT</v>
      </c>
      <c r="X1579" s="211"/>
      <c r="AL1579" s="211"/>
      <c r="AM1579" s="211"/>
      <c r="AN1579" s="211"/>
      <c r="AO1579" s="211"/>
      <c r="AP1579" s="215"/>
      <c r="AQ1579" s="218"/>
      <c r="AR1579" s="211"/>
    </row>
    <row r="1580">
      <c r="A1580" s="210" t="str">
        <f>IFERROR(__xludf.DUMMYFUNCTION("""COMPUTED_VALUE"""),"4082511108")</f>
        <v>4082511108</v>
      </c>
      <c r="B1580" s="210" t="str">
        <f>IFERROR(__xludf.DUMMYFUNCTION("""COMPUTED_VALUE"""),"4082511108")</f>
        <v>4082511108</v>
      </c>
      <c r="C1580" s="213">
        <f>IFERROR(__xludf.DUMMYFUNCTION("""COMPUTED_VALUE"""),45891.438680555555)</f>
        <v>45891.43868</v>
      </c>
      <c r="D1580" s="211" t="str">
        <f>IFERROR(__xludf.DUMMYFUNCTION("""COMPUTED_VALUE"""),"b218b89b")</f>
        <v>b218b89b</v>
      </c>
      <c r="E1580" s="211" t="str">
        <f>IFERROR(__xludf.DUMMYFUNCTION("""COMPUTED_VALUE"""),"PT Harapan Sentosa")</f>
        <v>PT Harapan Sentosa</v>
      </c>
      <c r="F1580" s="211" t="str">
        <f>IFERROR(__xludf.DUMMYFUNCTION("""COMPUTED_VALUE"""),"ef306e54")</f>
        <v>ef306e54</v>
      </c>
      <c r="G1580" s="211" t="str">
        <f>IFERROR(__xludf.DUMMYFUNCTION("""COMPUTED_VALUE"""),"Karbondioksida")</f>
        <v>Karbondioksida</v>
      </c>
      <c r="H1580" s="211" t="str">
        <f>IFERROR(__xludf.DUMMYFUNCTION("""COMPUTED_VALUE"""),"OTHER")</f>
        <v>OTHER</v>
      </c>
      <c r="I1580" s="211" t="str">
        <f>IFERROR(__xludf.DUMMYFUNCTION("""COMPUTED_VALUE"""),"RETUR CLAIM")</f>
        <v>RETUR CLAIM</v>
      </c>
      <c r="J1580" s="211">
        <f>IFERROR(__xludf.DUMMYFUNCTION("""COMPUTED_VALUE"""),1.0)</f>
        <v>1</v>
      </c>
      <c r="K1580" s="210" t="str">
        <f>IFERROR(__xludf.DUMMYFUNCTION("""COMPUTED_VALUE"""),"13024")</f>
        <v>13024</v>
      </c>
      <c r="L1580" s="211">
        <f>IFERROR(__xludf.DUMMYFUNCTION("""COMPUTED_VALUE"""),0.0)</f>
        <v>0</v>
      </c>
      <c r="M1580" s="211"/>
      <c r="N1580" s="211"/>
      <c r="O1580" s="211"/>
      <c r="Q1580" s="210" t="str">
        <f>IFERROR(__xludf.DUMMYFUNCTION("""COMPUTED_VALUE"""),"1250733")</f>
        <v>1250733</v>
      </c>
      <c r="R1580" s="210" t="str">
        <f>IFERROR(__xludf.DUMMYFUNCTION("""COMPUTED_VALUE"""),"1250733")</f>
        <v>1250733</v>
      </c>
      <c r="S1580" s="211" t="str">
        <f>IFERROR(__xludf.DUMMYFUNCTION("""COMPUTED_VALUE"""),"8f5ebaea")</f>
        <v>8f5ebaea</v>
      </c>
      <c r="T1580" s="211" t="str">
        <f>IFERROR(__xludf.DUMMYFUNCTION("""COMPUTED_VALUE"""),"PT Hua Zong Mesindo")</f>
        <v>PT Hua Zong Mesindo</v>
      </c>
      <c r="U1580" s="215">
        <f>IFERROR(__xludf.DUMMYFUNCTION("""COMPUTED_VALUE"""),45961.63905092593)</f>
        <v>45961.63905</v>
      </c>
      <c r="V1580" s="211" t="str">
        <f>IFERROR(__xludf.DUMMYFUNCTION("""COMPUTED_VALUE"""),"Jl. Bypass Krian, Sidotemo, Sidomulyo, Kec. Krian, Kabupaten Sidoarjo, Jawa Timur 61262")</f>
        <v>Jl. Bypass Krian, Sidotemo, Sidomulyo, Kec. Krian, Kabupaten Sidoarjo, Jawa Timur 61262</v>
      </c>
      <c r="W1580" s="211" t="str">
        <f>IFERROR(__xludf.DUMMYFUNCTION("""COMPUTED_VALUE"""),"IN")</f>
        <v>IN</v>
      </c>
      <c r="X1580" s="211"/>
      <c r="AL1580" s="211"/>
      <c r="AM1580" s="211"/>
      <c r="AN1580" s="211"/>
      <c r="AO1580" s="211"/>
      <c r="AP1580" s="215"/>
      <c r="AQ1580" s="218"/>
      <c r="AR1580" s="211"/>
    </row>
    <row r="1581">
      <c r="A1581" s="210" t="str">
        <f>IFERROR(__xludf.DUMMYFUNCTION("""COMPUTED_VALUE"""),"1250526")</f>
        <v>1250526</v>
      </c>
      <c r="B1581" s="210" t="str">
        <f>IFERROR(__xludf.DUMMYFUNCTION("""COMPUTED_VALUE"""),"1250526")</f>
        <v>1250526</v>
      </c>
      <c r="C1581" s="213">
        <f>IFERROR(__xludf.DUMMYFUNCTION("""COMPUTED_VALUE"""),45891.44976851852)</f>
        <v>45891.44977</v>
      </c>
      <c r="D1581" s="211" t="str">
        <f>IFERROR(__xludf.DUMMYFUNCTION("""COMPUTED_VALUE"""),"ce83e171")</f>
        <v>ce83e171</v>
      </c>
      <c r="E1581" s="211" t="str">
        <f>IFERROR(__xludf.DUMMYFUNCTION("""COMPUTED_VALUE"""),"Bpk. Sulaiman")</f>
        <v>Bpk. Sulaiman</v>
      </c>
      <c r="F1581" s="211" t="str">
        <f>IFERROR(__xludf.DUMMYFUNCTION("""COMPUTED_VALUE"""),"7d2764f1")</f>
        <v>7d2764f1</v>
      </c>
      <c r="G1581" s="211" t="str">
        <f>IFERROR(__xludf.DUMMYFUNCTION("""COMPUTED_VALUE"""),"Oksigen 7m3")</f>
        <v>Oksigen 7m3</v>
      </c>
      <c r="H1581" s="211" t="str">
        <f>IFERROR(__xludf.DUMMYFUNCTION("""COMPUTED_VALUE"""),"IN")</f>
        <v>IN</v>
      </c>
      <c r="I1581" s="211" t="str">
        <f>IFERROR(__xludf.DUMMYFUNCTION("""COMPUTED_VALUE"""),"EMPTY")</f>
        <v>EMPTY</v>
      </c>
      <c r="J1581" s="211">
        <f>IFERROR(__xludf.DUMMYFUNCTION("""COMPUTED_VALUE"""),5.0)</f>
        <v>5</v>
      </c>
      <c r="K1581" s="210" t="str">
        <f>IFERROR(__xludf.DUMMYFUNCTION("""COMPUTED_VALUE"""),"11218 11155 11217 11229 11216")</f>
        <v>11218 11155 11217 11229 11216</v>
      </c>
      <c r="L1581" s="211">
        <f>IFERROR(__xludf.DUMMYFUNCTION("""COMPUTED_VALUE"""),0.0)</f>
        <v>0</v>
      </c>
      <c r="M1581" s="211"/>
      <c r="N1581" s="211"/>
      <c r="O1581" s="211"/>
      <c r="Q1581" s="210" t="str">
        <f>IFERROR(__xludf.DUMMYFUNCTION("""COMPUTED_VALUE"""),"112541580")</f>
        <v>112541580</v>
      </c>
      <c r="R1581" s="210" t="str">
        <f>IFERROR(__xludf.DUMMYFUNCTION("""COMPUTED_VALUE"""),"112541580")</f>
        <v>112541580</v>
      </c>
      <c r="S1581" s="211" t="str">
        <f>IFERROR(__xludf.DUMMYFUNCTION("""COMPUTED_VALUE"""),"56828503")</f>
        <v>56828503</v>
      </c>
      <c r="T1581" s="211" t="str">
        <f>IFERROR(__xludf.DUMMYFUNCTION("""COMPUTED_VALUE"""),"Bpk. Widodo (Wringinanom)")</f>
        <v>Bpk. Widodo (Wringinanom)</v>
      </c>
      <c r="U1581" s="215">
        <f>IFERROR(__xludf.DUMMYFUNCTION("""COMPUTED_VALUE"""),45962.3696875)</f>
        <v>45962.36969</v>
      </c>
      <c r="V1581" s="211" t="str">
        <f>IFERROR(__xludf.DUMMYFUNCTION("""COMPUTED_VALUE"""),"JG4H+3J Area Sawah/Kebun, Lebaniwaras, Kec. Wringinanom, Kabupaten Gresik, Jawa Timur, Indonesia")</f>
        <v>JG4H+3J Area Sawah/Kebun, Lebaniwaras, Kec. Wringinanom, Kabupaten Gresik, Jawa Timur, Indonesia</v>
      </c>
      <c r="W1581" s="211" t="str">
        <f>IFERROR(__xludf.DUMMYFUNCTION("""COMPUTED_VALUE"""),"OUT")</f>
        <v>OUT</v>
      </c>
      <c r="X1581" s="211"/>
      <c r="AL1581" s="211"/>
      <c r="AM1581" s="211"/>
      <c r="AN1581" s="211"/>
      <c r="AO1581" s="211"/>
      <c r="AP1581" s="215"/>
      <c r="AQ1581" s="218"/>
      <c r="AR1581" s="211"/>
    </row>
    <row r="1582">
      <c r="A1582" s="210" t="str">
        <f>IFERROR(__xludf.DUMMYFUNCTION("""COMPUTED_VALUE"""),"082551156")</f>
        <v>082551156</v>
      </c>
      <c r="B1582" s="210" t="str">
        <f>IFERROR(__xludf.DUMMYFUNCTION("""COMPUTED_VALUE"""),"082551156")</f>
        <v>082551156</v>
      </c>
      <c r="C1582" s="213">
        <f>IFERROR(__xludf.DUMMYFUNCTION("""COMPUTED_VALUE"""),45891.55486111111)</f>
        <v>45891.55486</v>
      </c>
      <c r="D1582" s="211" t="str">
        <f>IFERROR(__xludf.DUMMYFUNCTION("""COMPUTED_VALUE"""),"8ea74d81")</f>
        <v>8ea74d81</v>
      </c>
      <c r="E1582" s="211" t="str">
        <f>IFERROR(__xludf.DUMMYFUNCTION("""COMPUTED_VALUE"""),"Bengkel Adi Putra")</f>
        <v>Bengkel Adi Putra</v>
      </c>
      <c r="F1582" s="211" t="str">
        <f>IFERROR(__xludf.DUMMYFUNCTION("""COMPUTED_VALUE"""),"ef306e54")</f>
        <v>ef306e54</v>
      </c>
      <c r="G1582" s="211" t="str">
        <f>IFERROR(__xludf.DUMMYFUNCTION("""COMPUTED_VALUE"""),"Karbondioksida")</f>
        <v>Karbondioksida</v>
      </c>
      <c r="H1582" s="211" t="str">
        <f>IFERROR(__xludf.DUMMYFUNCTION("""COMPUTED_VALUE"""),"OUT")</f>
        <v>OUT</v>
      </c>
      <c r="I1582" s="211" t="str">
        <f>IFERROR(__xludf.DUMMYFUNCTION("""COMPUTED_VALUE"""),"NORMAL")</f>
        <v>NORMAL</v>
      </c>
      <c r="J1582" s="211">
        <f>IFERROR(__xludf.DUMMYFUNCTION("""COMPUTED_VALUE"""),1.0)</f>
        <v>1</v>
      </c>
      <c r="K1582" s="210" t="str">
        <f>IFERROR(__xludf.DUMMYFUNCTION("""COMPUTED_VALUE"""),"13032")</f>
        <v>13032</v>
      </c>
      <c r="L1582" s="211">
        <f>IFERROR(__xludf.DUMMYFUNCTION("""COMPUTED_VALUE"""),180000.0)</f>
        <v>180000</v>
      </c>
      <c r="M1582" s="211"/>
      <c r="N1582" s="211"/>
      <c r="O1582" s="211"/>
      <c r="Q1582" s="210" t="str">
        <f>IFERROR(__xludf.DUMMYFUNCTION("""COMPUTED_VALUE"""),"1125261582")</f>
        <v>1125261582</v>
      </c>
      <c r="R1582" s="210" t="str">
        <f>IFERROR(__xludf.DUMMYFUNCTION("""COMPUTED_VALUE"""),"1125261582")</f>
        <v>1125261582</v>
      </c>
      <c r="S1582" s="211" t="str">
        <f>IFERROR(__xludf.DUMMYFUNCTION("""COMPUTED_VALUE"""),"ec231cc9")</f>
        <v>ec231cc9</v>
      </c>
      <c r="T1582" s="211" t="str">
        <f>IFERROR(__xludf.DUMMYFUNCTION("""COMPUTED_VALUE"""),"Bpk. Kohir (Maintenance Velg)")</f>
        <v>Bpk. Kohir (Maintenance Velg)</v>
      </c>
      <c r="U1582" s="215">
        <f>IFERROR(__xludf.DUMMYFUNCTION("""COMPUTED_VALUE"""),45962.47216435185)</f>
        <v>45962.47216</v>
      </c>
      <c r="V1582" s="211" t="str">
        <f>IFERROR(__xludf.DUMMYFUNCTION("""COMPUTED_VALUE"""),"Jl. Lkr. Bypass Krian Timur, Sidogolong, Watugolong, Kec. Krian, Kabupaten Sidoarjo, Jawa Timur 61262")</f>
        <v>Jl. Lkr. Bypass Krian Timur, Sidogolong, Watugolong, Kec. Krian, Kabupaten Sidoarjo, Jawa Timur 61262</v>
      </c>
      <c r="W1582" s="211" t="str">
        <f>IFERROR(__xludf.DUMMYFUNCTION("""COMPUTED_VALUE"""),"OUT")</f>
        <v>OUT</v>
      </c>
      <c r="X1582" s="211"/>
      <c r="AL1582" s="211"/>
      <c r="AM1582" s="211"/>
      <c r="AN1582" s="211"/>
      <c r="AO1582" s="211"/>
      <c r="AP1582" s="215"/>
      <c r="AQ1582" s="218"/>
      <c r="AR1582" s="211"/>
    </row>
    <row r="1583">
      <c r="A1583" s="210" t="str">
        <f>IFERROR(__xludf.DUMMYFUNCTION("""COMPUTED_VALUE"""),"082551156")</f>
        <v>082551156</v>
      </c>
      <c r="B1583" s="210" t="str">
        <f>IFERROR(__xludf.DUMMYFUNCTION("""COMPUTED_VALUE"""),"082551156")</f>
        <v>082551156</v>
      </c>
      <c r="C1583" s="213">
        <f>IFERROR(__xludf.DUMMYFUNCTION("""COMPUTED_VALUE"""),45891.55486111111)</f>
        <v>45891.55486</v>
      </c>
      <c r="D1583" s="211" t="str">
        <f>IFERROR(__xludf.DUMMYFUNCTION("""COMPUTED_VALUE"""),"8ea74d81")</f>
        <v>8ea74d81</v>
      </c>
      <c r="E1583" s="211" t="str">
        <f>IFERROR(__xludf.DUMMYFUNCTION("""COMPUTED_VALUE"""),"Bengkel Adi Putra")</f>
        <v>Bengkel Adi Putra</v>
      </c>
      <c r="F1583" s="211" t="str">
        <f>IFERROR(__xludf.DUMMYFUNCTION("""COMPUTED_VALUE"""),"8bdbe149")</f>
        <v>8bdbe149</v>
      </c>
      <c r="G1583" s="211" t="str">
        <f>IFERROR(__xludf.DUMMYFUNCTION("""COMPUTED_VALUE"""),"Oksigen 6m3")</f>
        <v>Oksigen 6m3</v>
      </c>
      <c r="H1583" s="211" t="str">
        <f>IFERROR(__xludf.DUMMYFUNCTION("""COMPUTED_VALUE"""),"OUT")</f>
        <v>OUT</v>
      </c>
      <c r="I1583" s="211" t="str">
        <f>IFERROR(__xludf.DUMMYFUNCTION("""COMPUTED_VALUE"""),"NORMAL")</f>
        <v>NORMAL</v>
      </c>
      <c r="J1583" s="211">
        <f>IFERROR(__xludf.DUMMYFUNCTION("""COMPUTED_VALUE"""),2.0)</f>
        <v>2</v>
      </c>
      <c r="K1583" s="210" t="str">
        <f>IFERROR(__xludf.DUMMYFUNCTION("""COMPUTED_VALUE"""),"1153 1191")</f>
        <v>1153 1191</v>
      </c>
      <c r="L1583" s="211">
        <f>IFERROR(__xludf.DUMMYFUNCTION("""COMPUTED_VALUE"""),70000.0)</f>
        <v>70000</v>
      </c>
      <c r="M1583" s="211"/>
      <c r="N1583" s="211"/>
      <c r="O1583" s="211"/>
      <c r="Q1583" s="210" t="str">
        <f>IFERROR(__xludf.DUMMYFUNCTION("""COMPUTED_VALUE"""),"1125311583")</f>
        <v>1125311583</v>
      </c>
      <c r="R1583" s="210" t="str">
        <f>IFERROR(__xludf.DUMMYFUNCTION("""COMPUTED_VALUE"""),"1125311583")</f>
        <v>1125311583</v>
      </c>
      <c r="S1583" s="211" t="str">
        <f>IFERROR(__xludf.DUMMYFUNCTION("""COMPUTED_VALUE"""),"b2b5f2c5")</f>
        <v>b2b5f2c5</v>
      </c>
      <c r="T1583" s="211" t="str">
        <f>IFERROR(__xludf.DUMMYFUNCTION("""COMPUTED_VALUE"""),"Bengkel Las Bpk. Ari")</f>
        <v>Bengkel Las Bpk. Ari</v>
      </c>
      <c r="U1583" s="215">
        <f>IFERROR(__xludf.DUMMYFUNCTION("""COMPUTED_VALUE"""),45962.53811342592)</f>
        <v>45962.53811</v>
      </c>
      <c r="V1583" s="211" t="str">
        <f>IFERROR(__xludf.DUMMYFUNCTION("""COMPUTED_VALUE"""),"Sumber Kembar, Wonodadi, Kec. Kutorejo, Kabupaten Mojokerto, Jawa Timur")</f>
        <v>Sumber Kembar, Wonodadi, Kec. Kutorejo, Kabupaten Mojokerto, Jawa Timur</v>
      </c>
      <c r="W1583" s="211" t="str">
        <f>IFERROR(__xludf.DUMMYFUNCTION("""COMPUTED_VALUE"""),"OUT")</f>
        <v>OUT</v>
      </c>
      <c r="X1583" s="211"/>
      <c r="AL1583" s="211"/>
      <c r="AM1583" s="211"/>
      <c r="AN1583" s="211"/>
      <c r="AO1583" s="211"/>
      <c r="AP1583" s="215"/>
      <c r="AQ1583" s="218"/>
      <c r="AR1583" s="211"/>
    </row>
    <row r="1584">
      <c r="A1584" s="210" t="str">
        <f>IFERROR(__xludf.DUMMYFUNCTION("""COMPUTED_VALUE"""),"1250527")</f>
        <v>1250527</v>
      </c>
      <c r="B1584" s="210" t="str">
        <f>IFERROR(__xludf.DUMMYFUNCTION("""COMPUTED_VALUE"""),"1250527")</f>
        <v>1250527</v>
      </c>
      <c r="C1584" s="213">
        <f>IFERROR(__xludf.DUMMYFUNCTION("""COMPUTED_VALUE"""),45891.5968287037)</f>
        <v>45891.59683</v>
      </c>
      <c r="D1584" s="211" t="str">
        <f>IFERROR(__xludf.DUMMYFUNCTION("""COMPUTED_VALUE"""),"8ea74d81")</f>
        <v>8ea74d81</v>
      </c>
      <c r="E1584" s="211" t="str">
        <f>IFERROR(__xludf.DUMMYFUNCTION("""COMPUTED_VALUE"""),"Bengkel Adi Putra")</f>
        <v>Bengkel Adi Putra</v>
      </c>
      <c r="F1584" s="211" t="str">
        <f>IFERROR(__xludf.DUMMYFUNCTION("""COMPUTED_VALUE"""),"8bdbe149")</f>
        <v>8bdbe149</v>
      </c>
      <c r="G1584" s="211" t="str">
        <f>IFERROR(__xludf.DUMMYFUNCTION("""COMPUTED_VALUE"""),"Oksigen 6m3")</f>
        <v>Oksigen 6m3</v>
      </c>
      <c r="H1584" s="211" t="str">
        <f>IFERROR(__xludf.DUMMYFUNCTION("""COMPUTED_VALUE"""),"IN")</f>
        <v>IN</v>
      </c>
      <c r="I1584" s="211" t="str">
        <f>IFERROR(__xludf.DUMMYFUNCTION("""COMPUTED_VALUE"""),"EMPTY")</f>
        <v>EMPTY</v>
      </c>
      <c r="J1584" s="211">
        <f>IFERROR(__xludf.DUMMYFUNCTION("""COMPUTED_VALUE"""),1.0)</f>
        <v>1</v>
      </c>
      <c r="K1584" s="210" t="str">
        <f>IFERROR(__xludf.DUMMYFUNCTION("""COMPUTED_VALUE"""),"1165")</f>
        <v>1165</v>
      </c>
      <c r="L1584" s="211">
        <f>IFERROR(__xludf.DUMMYFUNCTION("""COMPUTED_VALUE"""),0.0)</f>
        <v>0</v>
      </c>
      <c r="M1584" s="211"/>
      <c r="N1584" s="211"/>
      <c r="O1584" s="211"/>
      <c r="Q1584" s="210" t="str">
        <f>IFERROR(__xludf.DUMMYFUNCTION("""COMPUTED_VALUE"""),"112511584")</f>
        <v>112511584</v>
      </c>
      <c r="R1584" s="210" t="str">
        <f>IFERROR(__xludf.DUMMYFUNCTION("""COMPUTED_VALUE"""),"112511584")</f>
        <v>112511584</v>
      </c>
      <c r="S1584" s="211" t="str">
        <f>IFERROR(__xludf.DUMMYFUNCTION("""COMPUTED_VALUE"""),"faf71ae5")</f>
        <v>faf71ae5</v>
      </c>
      <c r="T1584" s="211" t="str">
        <f>IFERROR(__xludf.DUMMYFUNCTION("""COMPUTED_VALUE"""),"Bpk. Sampurna")</f>
        <v>Bpk. Sampurna</v>
      </c>
      <c r="U1584" s="215">
        <f>IFERROR(__xludf.DUMMYFUNCTION("""COMPUTED_VALUE"""),45962.604467592595)</f>
        <v>45962.60447</v>
      </c>
      <c r="V1584" s="211" t="str">
        <f>IFERROR(__xludf.DUMMYFUNCTION("""COMPUTED_VALUE"""),"Jl. Bypass Krian KM.30 No.15, Kraton, Kec. Krian, Kabupaten Sidoarjo, Jawa Timur 61262")</f>
        <v>Jl. Bypass Krian KM.30 No.15, Kraton, Kec. Krian, Kabupaten Sidoarjo, Jawa Timur 61262</v>
      </c>
      <c r="W1584" s="211" t="str">
        <f>IFERROR(__xludf.DUMMYFUNCTION("""COMPUTED_VALUE"""),"OUT")</f>
        <v>OUT</v>
      </c>
      <c r="X1584" s="211"/>
      <c r="AL1584" s="211"/>
      <c r="AM1584" s="211"/>
      <c r="AN1584" s="211"/>
      <c r="AO1584" s="211"/>
      <c r="AP1584" s="215"/>
      <c r="AQ1584" s="218"/>
      <c r="AR1584" s="211"/>
    </row>
    <row r="1585">
      <c r="A1585" s="210" t="str">
        <f>IFERROR(__xludf.DUMMYFUNCTION("""COMPUTED_VALUE"""),"0825221159")</f>
        <v>0825221159</v>
      </c>
      <c r="B1585" s="210" t="str">
        <f>IFERROR(__xludf.DUMMYFUNCTION("""COMPUTED_VALUE"""),"0825221159")</f>
        <v>0825221159</v>
      </c>
      <c r="C1585" s="213">
        <f>IFERROR(__xludf.DUMMYFUNCTION("""COMPUTED_VALUE"""),45891.63193287037)</f>
        <v>45891.63193</v>
      </c>
      <c r="D1585" s="211" t="str">
        <f>IFERROR(__xludf.DUMMYFUNCTION("""COMPUTED_VALUE"""),"2d88931c")</f>
        <v>2d88931c</v>
      </c>
      <c r="E1585" s="211" t="str">
        <f>IFERROR(__xludf.DUMMYFUNCTION("""COMPUTED_VALUE"""),"PT Dunia Berkat Marga Mulya")</f>
        <v>PT Dunia Berkat Marga Mulya</v>
      </c>
      <c r="F1585" s="211" t="str">
        <f>IFERROR(__xludf.DUMMYFUNCTION("""COMPUTED_VALUE"""),"8bdbe149")</f>
        <v>8bdbe149</v>
      </c>
      <c r="G1585" s="211" t="str">
        <f>IFERROR(__xludf.DUMMYFUNCTION("""COMPUTED_VALUE"""),"Oksigen 6m3")</f>
        <v>Oksigen 6m3</v>
      </c>
      <c r="H1585" s="211" t="str">
        <f>IFERROR(__xludf.DUMMYFUNCTION("""COMPUTED_VALUE"""),"OUT")</f>
        <v>OUT</v>
      </c>
      <c r="I1585" s="211" t="str">
        <f>IFERROR(__xludf.DUMMYFUNCTION("""COMPUTED_VALUE"""),"NORMAL")</f>
        <v>NORMAL</v>
      </c>
      <c r="J1585" s="211">
        <f>IFERROR(__xludf.DUMMYFUNCTION("""COMPUTED_VALUE"""),5.0)</f>
        <v>5</v>
      </c>
      <c r="K1585" s="210" t="str">
        <f>IFERROR(__xludf.DUMMYFUNCTION("""COMPUTED_VALUE"""),"11263 11179 11265 11284 11289")</f>
        <v>11263 11179 11265 11284 11289</v>
      </c>
      <c r="L1585" s="211">
        <f>IFERROR(__xludf.DUMMYFUNCTION("""COMPUTED_VALUE"""),60000.0)</f>
        <v>60000</v>
      </c>
      <c r="M1585" s="211"/>
      <c r="N1585" s="211"/>
      <c r="O1585" s="211"/>
      <c r="Q1585" s="210" t="str">
        <f>IFERROR(__xludf.DUMMYFUNCTION("""COMPUTED_VALUE"""),"1250746")</f>
        <v>1250746</v>
      </c>
      <c r="R1585" s="210" t="str">
        <f>IFERROR(__xludf.DUMMYFUNCTION("""COMPUTED_VALUE"""),"1250746")</f>
        <v>1250746</v>
      </c>
      <c r="S1585" s="211" t="str">
        <f>IFERROR(__xludf.DUMMYFUNCTION("""COMPUTED_VALUE"""),"b2b5f2c5")</f>
        <v>b2b5f2c5</v>
      </c>
      <c r="T1585" s="211" t="str">
        <f>IFERROR(__xludf.DUMMYFUNCTION("""COMPUTED_VALUE"""),"Bengkel Las Bpk. Ari")</f>
        <v>Bengkel Las Bpk. Ari</v>
      </c>
      <c r="U1585" s="215">
        <f>IFERROR(__xludf.DUMMYFUNCTION("""COMPUTED_VALUE"""),45962.60965277778)</f>
        <v>45962.60965</v>
      </c>
      <c r="V1585" s="211" t="str">
        <f>IFERROR(__xludf.DUMMYFUNCTION("""COMPUTED_VALUE"""),"Sumber Kembar, Wonodadi, Kec. Kutorejo, Kabupaten Mojokerto, Jawa Timur")</f>
        <v>Sumber Kembar, Wonodadi, Kec. Kutorejo, Kabupaten Mojokerto, Jawa Timur</v>
      </c>
      <c r="W1585" s="211" t="str">
        <f>IFERROR(__xludf.DUMMYFUNCTION("""COMPUTED_VALUE"""),"IN")</f>
        <v>IN</v>
      </c>
      <c r="X1585" s="211"/>
      <c r="AL1585" s="211"/>
      <c r="AM1585" s="211"/>
      <c r="AN1585" s="211"/>
      <c r="AO1585" s="211"/>
      <c r="AP1585" s="215"/>
      <c r="AQ1585" s="218"/>
      <c r="AR1585" s="211"/>
    </row>
    <row r="1586">
      <c r="A1586" s="210" t="str">
        <f>IFERROR(__xludf.DUMMYFUNCTION("""COMPUTED_VALUE"""),"0825251161")</f>
        <v>0825251161</v>
      </c>
      <c r="B1586" s="210" t="str">
        <f>IFERROR(__xludf.DUMMYFUNCTION("""COMPUTED_VALUE"""),"0825251161")</f>
        <v>0825251161</v>
      </c>
      <c r="C1586" s="213">
        <f>IFERROR(__xludf.DUMMYFUNCTION("""COMPUTED_VALUE"""),45891.63521990741)</f>
        <v>45891.63522</v>
      </c>
      <c r="D1586" s="211" t="str">
        <f>IFERROR(__xludf.DUMMYFUNCTION("""COMPUTED_VALUE"""),"5f23ba17")</f>
        <v>5f23ba17</v>
      </c>
      <c r="E1586" s="211" t="str">
        <f>IFERROR(__xludf.DUMMYFUNCTION("""COMPUTED_VALUE"""),"Bpk. Joko (Gresik)")</f>
        <v>Bpk. Joko (Gresik)</v>
      </c>
      <c r="F1586" s="211" t="str">
        <f>IFERROR(__xludf.DUMMYFUNCTION("""COMPUTED_VALUE"""),"f6aab7a9")</f>
        <v>f6aab7a9</v>
      </c>
      <c r="G1586" s="211" t="str">
        <f>IFERROR(__xludf.DUMMYFUNCTION("""COMPUTED_VALUE"""),"Oksigen 6m3 MR")</f>
        <v>Oksigen 6m3 MR</v>
      </c>
      <c r="H1586" s="211" t="str">
        <f>IFERROR(__xludf.DUMMYFUNCTION("""COMPUTED_VALUE"""),"OUT")</f>
        <v>OUT</v>
      </c>
      <c r="I1586" s="211" t="str">
        <f>IFERROR(__xludf.DUMMYFUNCTION("""COMPUTED_VALUE"""),"NORMAL")</f>
        <v>NORMAL</v>
      </c>
      <c r="J1586" s="211">
        <f>IFERROR(__xludf.DUMMYFUNCTION("""COMPUTED_VALUE"""),10.0)</f>
        <v>10</v>
      </c>
      <c r="K1586" s="210" t="str">
        <f>IFERROR(__xludf.DUMMYFUNCTION("""COMPUTED_VALUE"""),"01 02 03 04 05 06 07 08 09 10")</f>
        <v>01 02 03 04 05 06 07 08 09 10</v>
      </c>
      <c r="L1586" s="211">
        <f>IFERROR(__xludf.DUMMYFUNCTION("""COMPUTED_VALUE"""),55000.0)</f>
        <v>55000</v>
      </c>
      <c r="M1586" s="211"/>
      <c r="N1586" s="211"/>
      <c r="O1586" s="211"/>
      <c r="Q1586" s="210" t="str">
        <f>IFERROR(__xludf.DUMMYFUNCTION("""COMPUTED_VALUE"""),"112521585")</f>
        <v>112521585</v>
      </c>
      <c r="R1586" s="210" t="str">
        <f>IFERROR(__xludf.DUMMYFUNCTION("""COMPUTED_VALUE"""),"112521585")</f>
        <v>112521585</v>
      </c>
      <c r="S1586" s="211" t="str">
        <f>IFERROR(__xludf.DUMMYFUNCTION("""COMPUTED_VALUE"""),"5e174cd0")</f>
        <v>5e174cd0</v>
      </c>
      <c r="T1586" s="211" t="str">
        <f>IFERROR(__xludf.DUMMYFUNCTION("""COMPUTED_VALUE"""),"Maherdi")</f>
        <v>Maherdi</v>
      </c>
      <c r="U1586" s="215">
        <f>IFERROR(__xludf.DUMMYFUNCTION("""COMPUTED_VALUE"""),45962.69405092593)</f>
        <v>45962.69405</v>
      </c>
      <c r="V1586" s="211" t="str">
        <f>IFERROR(__xludf.DUMMYFUNCTION("""COMPUTED_VALUE"""),"Tarik")</f>
        <v>Tarik</v>
      </c>
      <c r="W1586" s="211" t="str">
        <f>IFERROR(__xludf.DUMMYFUNCTION("""COMPUTED_VALUE"""),"OUT")</f>
        <v>OUT</v>
      </c>
      <c r="X1586" s="211"/>
      <c r="AL1586" s="211"/>
      <c r="AM1586" s="211"/>
      <c r="AN1586" s="211"/>
      <c r="AO1586" s="211"/>
      <c r="AP1586" s="215"/>
      <c r="AQ1586" s="218"/>
      <c r="AR1586" s="211"/>
    </row>
    <row r="1587">
      <c r="A1587" s="210" t="str">
        <f>IFERROR(__xludf.DUMMYFUNCTION("""COMPUTED_VALUE"""),"0825251161")</f>
        <v>0825251161</v>
      </c>
      <c r="B1587" s="210" t="str">
        <f>IFERROR(__xludf.DUMMYFUNCTION("""COMPUTED_VALUE"""),"0825251161")</f>
        <v>0825251161</v>
      </c>
      <c r="C1587" s="213">
        <f>IFERROR(__xludf.DUMMYFUNCTION("""COMPUTED_VALUE"""),45891.63521990741)</f>
        <v>45891.63522</v>
      </c>
      <c r="D1587" s="211" t="str">
        <f>IFERROR(__xludf.DUMMYFUNCTION("""COMPUTED_VALUE"""),"5f23ba17")</f>
        <v>5f23ba17</v>
      </c>
      <c r="E1587" s="211" t="str">
        <f>IFERROR(__xludf.DUMMYFUNCTION("""COMPUTED_VALUE"""),"Bpk. Joko (Gresik)")</f>
        <v>Bpk. Joko (Gresik)</v>
      </c>
      <c r="F1587" s="211" t="str">
        <f>IFERROR(__xludf.DUMMYFUNCTION("""COMPUTED_VALUE"""),"439cf836")</f>
        <v>439cf836</v>
      </c>
      <c r="G1587" s="211" t="str">
        <f>IFERROR(__xludf.DUMMYFUNCTION("""COMPUTED_VALUE"""),"Karbondioksida MR")</f>
        <v>Karbondioksida MR</v>
      </c>
      <c r="H1587" s="211" t="str">
        <f>IFERROR(__xludf.DUMMYFUNCTION("""COMPUTED_VALUE"""),"OUT")</f>
        <v>OUT</v>
      </c>
      <c r="I1587" s="211" t="str">
        <f>IFERROR(__xludf.DUMMYFUNCTION("""COMPUTED_VALUE"""),"NORMAL")</f>
        <v>NORMAL</v>
      </c>
      <c r="J1587" s="211">
        <f>IFERROR(__xludf.DUMMYFUNCTION("""COMPUTED_VALUE"""),1.0)</f>
        <v>1</v>
      </c>
      <c r="K1587" s="210" t="str">
        <f>IFERROR(__xludf.DUMMYFUNCTION("""COMPUTED_VALUE"""),"16284")</f>
        <v>16284</v>
      </c>
      <c r="L1587" s="211">
        <f>IFERROR(__xludf.DUMMYFUNCTION("""COMPUTED_VALUE"""),160000.0)</f>
        <v>160000</v>
      </c>
      <c r="M1587" s="211"/>
      <c r="N1587" s="211"/>
      <c r="O1587" s="211"/>
      <c r="Q1587" s="210" t="str">
        <f>IFERROR(__xludf.DUMMYFUNCTION("""COMPUTED_VALUE"""),"urgent01112025")</f>
        <v>urgent01112025</v>
      </c>
      <c r="R1587" s="210" t="str">
        <f>IFERROR(__xludf.DUMMYFUNCTION("""COMPUTED_VALUE"""),"urgent01112025")</f>
        <v>urgent01112025</v>
      </c>
      <c r="S1587" s="211" t="str">
        <f>IFERROR(__xludf.DUMMYFUNCTION("""COMPUTED_VALUE"""),"5e174cd0")</f>
        <v>5e174cd0</v>
      </c>
      <c r="T1587" s="211" t="str">
        <f>IFERROR(__xludf.DUMMYFUNCTION("""COMPUTED_VALUE"""),"Maherdi")</f>
        <v>Maherdi</v>
      </c>
      <c r="U1587" s="215">
        <f>IFERROR(__xludf.DUMMYFUNCTION("""COMPUTED_VALUE"""),45962.69668981482)</f>
        <v>45962.69669</v>
      </c>
      <c r="V1587" s="211" t="str">
        <f>IFERROR(__xludf.DUMMYFUNCTION("""COMPUTED_VALUE"""),"Tarik")</f>
        <v>Tarik</v>
      </c>
      <c r="W1587" s="211" t="str">
        <f>IFERROR(__xludf.DUMMYFUNCTION("""COMPUTED_VALUE"""),"IN")</f>
        <v>IN</v>
      </c>
      <c r="X1587" s="211"/>
      <c r="AL1587" s="211"/>
      <c r="AM1587" s="211"/>
      <c r="AN1587" s="211"/>
      <c r="AO1587" s="211"/>
      <c r="AP1587" s="215"/>
      <c r="AQ1587" s="218"/>
      <c r="AR1587" s="211"/>
    </row>
    <row r="1588">
      <c r="A1588" s="210" t="str">
        <f>IFERROR(__xludf.DUMMYFUNCTION("""COMPUTED_VALUE"""),"082571162")</f>
        <v>082571162</v>
      </c>
      <c r="B1588" s="210" t="str">
        <f>IFERROR(__xludf.DUMMYFUNCTION("""COMPUTED_VALUE"""),"082571162")</f>
        <v>082571162</v>
      </c>
      <c r="C1588" s="213">
        <f>IFERROR(__xludf.DUMMYFUNCTION("""COMPUTED_VALUE"""),45892.39827546296)</f>
        <v>45892.39828</v>
      </c>
      <c r="D1588" s="211" t="str">
        <f>IFERROR(__xludf.DUMMYFUNCTION("""COMPUTED_VALUE"""),"3bcd7fe6")</f>
        <v>3bcd7fe6</v>
      </c>
      <c r="E1588" s="211" t="str">
        <f>IFERROR(__xludf.DUMMYFUNCTION("""COMPUTED_VALUE"""),"Bpk. Alvin (LB Group)")</f>
        <v>Bpk. Alvin (LB Group)</v>
      </c>
      <c r="F1588" s="211" t="str">
        <f>IFERROR(__xludf.DUMMYFUNCTION("""COMPUTED_VALUE"""),"ef306e54")</f>
        <v>ef306e54</v>
      </c>
      <c r="G1588" s="211" t="str">
        <f>IFERROR(__xludf.DUMMYFUNCTION("""COMPUTED_VALUE"""),"Karbondioksida")</f>
        <v>Karbondioksida</v>
      </c>
      <c r="H1588" s="211" t="str">
        <f>IFERROR(__xludf.DUMMYFUNCTION("""COMPUTED_VALUE"""),"OUT")</f>
        <v>OUT</v>
      </c>
      <c r="I1588" s="211" t="str">
        <f>IFERROR(__xludf.DUMMYFUNCTION("""COMPUTED_VALUE"""),"NORMAL")</f>
        <v>NORMAL</v>
      </c>
      <c r="J1588" s="211">
        <f>IFERROR(__xludf.DUMMYFUNCTION("""COMPUTED_VALUE"""),1.0)</f>
        <v>1</v>
      </c>
      <c r="K1588" s="210" t="str">
        <f>IFERROR(__xludf.DUMMYFUNCTION("""COMPUTED_VALUE"""),"13033")</f>
        <v>13033</v>
      </c>
      <c r="L1588" s="211">
        <f>IFERROR(__xludf.DUMMYFUNCTION("""COMPUTED_VALUE"""),165000.0)</f>
        <v>165000</v>
      </c>
      <c r="M1588" s="211"/>
      <c r="N1588" s="211"/>
      <c r="O1588" s="211"/>
      <c r="Q1588" s="210" t="str">
        <f>IFERROR(__xludf.DUMMYFUNCTION("""COMPUTED_VALUE"""),"1250734")</f>
        <v>1250734</v>
      </c>
      <c r="R1588" s="210" t="str">
        <f>IFERROR(__xludf.DUMMYFUNCTION("""COMPUTED_VALUE"""),"1250734")</f>
        <v>1250734</v>
      </c>
      <c r="S1588" s="211" t="str">
        <f>IFERROR(__xludf.DUMMYFUNCTION("""COMPUTED_VALUE"""),"ec231cc9")</f>
        <v>ec231cc9</v>
      </c>
      <c r="T1588" s="211" t="str">
        <f>IFERROR(__xludf.DUMMYFUNCTION("""COMPUTED_VALUE"""),"Bpk. Kohir (Maintenance Velg)")</f>
        <v>Bpk. Kohir (Maintenance Velg)</v>
      </c>
      <c r="U1588" s="215">
        <f>IFERROR(__xludf.DUMMYFUNCTION("""COMPUTED_VALUE"""),45962.71791666667)</f>
        <v>45962.71792</v>
      </c>
      <c r="V1588" s="211" t="str">
        <f>IFERROR(__xludf.DUMMYFUNCTION("""COMPUTED_VALUE"""),"Jl. Lkr. Bypass Krian Timur, Sidogolong, Watugolong, Kec. Krian, Kabupaten Sidoarjo, Jawa Timur 61262")</f>
        <v>Jl. Lkr. Bypass Krian Timur, Sidogolong, Watugolong, Kec. Krian, Kabupaten Sidoarjo, Jawa Timur 61262</v>
      </c>
      <c r="W1588" s="211" t="str">
        <f>IFERROR(__xludf.DUMMYFUNCTION("""COMPUTED_VALUE"""),"IN")</f>
        <v>IN</v>
      </c>
      <c r="X1588" s="211"/>
      <c r="AL1588" s="211"/>
      <c r="AM1588" s="211"/>
      <c r="AN1588" s="211"/>
      <c r="AO1588" s="211"/>
      <c r="AP1588" s="215"/>
      <c r="AQ1588" s="218"/>
      <c r="AR1588" s="211"/>
    </row>
    <row r="1589">
      <c r="A1589" s="210" t="str">
        <f>IFERROR(__xludf.DUMMYFUNCTION("""COMPUTED_VALUE"""),"082571162")</f>
        <v>082571162</v>
      </c>
      <c r="B1589" s="210" t="str">
        <f>IFERROR(__xludf.DUMMYFUNCTION("""COMPUTED_VALUE"""),"082571162")</f>
        <v>082571162</v>
      </c>
      <c r="C1589" s="213">
        <f>IFERROR(__xludf.DUMMYFUNCTION("""COMPUTED_VALUE"""),45892.39827546296)</f>
        <v>45892.39828</v>
      </c>
      <c r="D1589" s="211" t="str">
        <f>IFERROR(__xludf.DUMMYFUNCTION("""COMPUTED_VALUE"""),"3bcd7fe6")</f>
        <v>3bcd7fe6</v>
      </c>
      <c r="E1589" s="211" t="str">
        <f>IFERROR(__xludf.DUMMYFUNCTION("""COMPUTED_VALUE"""),"Bpk. Alvin (LB Group)")</f>
        <v>Bpk. Alvin (LB Group)</v>
      </c>
      <c r="F1589" s="211" t="str">
        <f>IFERROR(__xludf.DUMMYFUNCTION("""COMPUTED_VALUE"""),"7d2764f1")</f>
        <v>7d2764f1</v>
      </c>
      <c r="G1589" s="211" t="str">
        <f>IFERROR(__xludf.DUMMYFUNCTION("""COMPUTED_VALUE"""),"Oksigen 7m3")</f>
        <v>Oksigen 7m3</v>
      </c>
      <c r="H1589" s="211" t="str">
        <f>IFERROR(__xludf.DUMMYFUNCTION("""COMPUTED_VALUE"""),"OUT")</f>
        <v>OUT</v>
      </c>
      <c r="I1589" s="211" t="str">
        <f>IFERROR(__xludf.DUMMYFUNCTION("""COMPUTED_VALUE"""),"NORMAL")</f>
        <v>NORMAL</v>
      </c>
      <c r="J1589" s="211">
        <f>IFERROR(__xludf.DUMMYFUNCTION("""COMPUTED_VALUE"""),3.0)</f>
        <v>3</v>
      </c>
      <c r="K1589" s="210" t="str">
        <f>IFERROR(__xludf.DUMMYFUNCTION("""COMPUTED_VALUE"""),"1161 11220 11224")</f>
        <v>1161 11220 11224</v>
      </c>
      <c r="L1589" s="211">
        <f>IFERROR(__xludf.DUMMYFUNCTION("""COMPUTED_VALUE"""),55000.0)</f>
        <v>55000</v>
      </c>
      <c r="M1589" s="211"/>
      <c r="N1589" s="211"/>
      <c r="O1589" s="211"/>
      <c r="Q1589" s="210" t="str">
        <f>IFERROR(__xludf.DUMMYFUNCTION("""COMPUTED_VALUE"""),"112511587")</f>
        <v>112511587</v>
      </c>
      <c r="R1589" s="210" t="str">
        <f>IFERROR(__xludf.DUMMYFUNCTION("""COMPUTED_VALUE"""),"112511587")</f>
        <v>112511587</v>
      </c>
      <c r="S1589" s="211" t="str">
        <f>IFERROR(__xludf.DUMMYFUNCTION("""COMPUTED_VALUE"""),"a1508027")</f>
        <v>a1508027</v>
      </c>
      <c r="T1589" s="211" t="str">
        <f>IFERROR(__xludf.DUMMYFUNCTION("""COMPUTED_VALUE"""),"Agus Budiono")</f>
        <v>Agus Budiono</v>
      </c>
      <c r="U1589" s="215">
        <f>IFERROR(__xludf.DUMMYFUNCTION("""COMPUTED_VALUE"""),45964.364270833335)</f>
        <v>45964.36427</v>
      </c>
      <c r="V1589" s="211" t="str">
        <f>IFERROR(__xludf.DUMMYFUNCTION("""COMPUTED_VALUE"""),"Kraton RT.13 RW. 03 Kraton Krian Sidoarjo")</f>
        <v>Kraton RT.13 RW. 03 Kraton Krian Sidoarjo</v>
      </c>
      <c r="W1589" s="211" t="str">
        <f>IFERROR(__xludf.DUMMYFUNCTION("""COMPUTED_VALUE"""),"OUT")</f>
        <v>OUT</v>
      </c>
      <c r="X1589" s="211"/>
      <c r="AL1589" s="211"/>
      <c r="AM1589" s="211"/>
      <c r="AN1589" s="211"/>
      <c r="AO1589" s="211"/>
      <c r="AP1589" s="215"/>
      <c r="AQ1589" s="218"/>
      <c r="AR1589" s="211"/>
    </row>
    <row r="1590">
      <c r="A1590" s="210" t="str">
        <f>IFERROR(__xludf.DUMMYFUNCTION("""COMPUTED_VALUE"""),"1250475")</f>
        <v>1250475</v>
      </c>
      <c r="B1590" s="210" t="str">
        <f>IFERROR(__xludf.DUMMYFUNCTION("""COMPUTED_VALUE"""),"1250475")</f>
        <v>1250475</v>
      </c>
      <c r="C1590" s="213">
        <f>IFERROR(__xludf.DUMMYFUNCTION("""COMPUTED_VALUE"""),45892.48930555556)</f>
        <v>45892.48931</v>
      </c>
      <c r="D1590" s="211" t="str">
        <f>IFERROR(__xludf.DUMMYFUNCTION("""COMPUTED_VALUE"""),"3bcd7fe6")</f>
        <v>3bcd7fe6</v>
      </c>
      <c r="E1590" s="211" t="str">
        <f>IFERROR(__xludf.DUMMYFUNCTION("""COMPUTED_VALUE"""),"Bpk. Alvin (LB Group)")</f>
        <v>Bpk. Alvin (LB Group)</v>
      </c>
      <c r="F1590" s="211" t="str">
        <f>IFERROR(__xludf.DUMMYFUNCTION("""COMPUTED_VALUE"""),"7d2764f1")</f>
        <v>7d2764f1</v>
      </c>
      <c r="G1590" s="211" t="str">
        <f>IFERROR(__xludf.DUMMYFUNCTION("""COMPUTED_VALUE"""),"Oksigen 7m3")</f>
        <v>Oksigen 7m3</v>
      </c>
      <c r="H1590" s="211" t="str">
        <f>IFERROR(__xludf.DUMMYFUNCTION("""COMPUTED_VALUE"""),"IN")</f>
        <v>IN</v>
      </c>
      <c r="I1590" s="211" t="str">
        <f>IFERROR(__xludf.DUMMYFUNCTION("""COMPUTED_VALUE"""),"EMPTY")</f>
        <v>EMPTY</v>
      </c>
      <c r="J1590" s="211">
        <f>IFERROR(__xludf.DUMMYFUNCTION("""COMPUTED_VALUE"""),3.0)</f>
        <v>3</v>
      </c>
      <c r="K1590" s="210" t="str">
        <f>IFERROR(__xludf.DUMMYFUNCTION("""COMPUTED_VALUE"""),"11234 11237 11244")</f>
        <v>11234 11237 11244</v>
      </c>
      <c r="L1590" s="211">
        <f>IFERROR(__xludf.DUMMYFUNCTION("""COMPUTED_VALUE"""),0.0)</f>
        <v>0</v>
      </c>
      <c r="M1590" s="211"/>
      <c r="N1590" s="211"/>
      <c r="O1590" s="211"/>
      <c r="Q1590" s="210" t="str">
        <f>IFERROR(__xludf.DUMMYFUNCTION("""COMPUTED_VALUE"""),"1125191590")</f>
        <v>1125191590</v>
      </c>
      <c r="R1590" s="210" t="str">
        <f>IFERROR(__xludf.DUMMYFUNCTION("""COMPUTED_VALUE"""),"1125191590")</f>
        <v>1125191590</v>
      </c>
      <c r="S1590" s="211" t="str">
        <f>IFERROR(__xludf.DUMMYFUNCTION("""COMPUTED_VALUE"""),"182fb0fe")</f>
        <v>182fb0fe</v>
      </c>
      <c r="T1590" s="211" t="str">
        <f>IFERROR(__xludf.DUMMYFUNCTION("""COMPUTED_VALUE"""),"PT Amtech")</f>
        <v>PT Amtech</v>
      </c>
      <c r="U1590" s="215">
        <f>IFERROR(__xludf.DUMMYFUNCTION("""COMPUTED_VALUE"""),45964.368796296294)</f>
        <v>45964.3688</v>
      </c>
      <c r="V1590"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590" s="211" t="str">
        <f>IFERROR(__xludf.DUMMYFUNCTION("""COMPUTED_VALUE"""),"OUT")</f>
        <v>OUT</v>
      </c>
      <c r="X1590" s="211"/>
      <c r="AL1590" s="211"/>
      <c r="AM1590" s="211"/>
      <c r="AN1590" s="211"/>
      <c r="AO1590" s="211"/>
      <c r="AP1590" s="215"/>
      <c r="AQ1590" s="218"/>
      <c r="AR1590" s="211"/>
    </row>
    <row r="1591">
      <c r="A1591" s="210" t="str">
        <f>IFERROR(__xludf.DUMMYFUNCTION("""COMPUTED_VALUE"""),"1250475")</f>
        <v>1250475</v>
      </c>
      <c r="B1591" s="210" t="str">
        <f>IFERROR(__xludf.DUMMYFUNCTION("""COMPUTED_VALUE"""),"1250475")</f>
        <v>1250475</v>
      </c>
      <c r="C1591" s="213">
        <f>IFERROR(__xludf.DUMMYFUNCTION("""COMPUTED_VALUE"""),45892.48930555556)</f>
        <v>45892.48931</v>
      </c>
      <c r="D1591" s="211" t="str">
        <f>IFERROR(__xludf.DUMMYFUNCTION("""COMPUTED_VALUE"""),"3bcd7fe6")</f>
        <v>3bcd7fe6</v>
      </c>
      <c r="E1591" s="211" t="str">
        <f>IFERROR(__xludf.DUMMYFUNCTION("""COMPUTED_VALUE"""),"Bpk. Alvin (LB Group)")</f>
        <v>Bpk. Alvin (LB Group)</v>
      </c>
      <c r="F1591" s="211" t="str">
        <f>IFERROR(__xludf.DUMMYFUNCTION("""COMPUTED_VALUE"""),"f6aab7a9")</f>
        <v>f6aab7a9</v>
      </c>
      <c r="G1591" s="211" t="str">
        <f>IFERROR(__xludf.DUMMYFUNCTION("""COMPUTED_VALUE"""),"Oksigen 6m3 MR")</f>
        <v>Oksigen 6m3 MR</v>
      </c>
      <c r="H1591" s="211" t="str">
        <f>IFERROR(__xludf.DUMMYFUNCTION("""COMPUTED_VALUE"""),"IN")</f>
        <v>IN</v>
      </c>
      <c r="I1591" s="211" t="str">
        <f>IFERROR(__xludf.DUMMYFUNCTION("""COMPUTED_VALUE"""),"EMPTY")</f>
        <v>EMPTY</v>
      </c>
      <c r="J1591" s="211">
        <f>IFERROR(__xludf.DUMMYFUNCTION("""COMPUTED_VALUE"""),2.0)</f>
        <v>2</v>
      </c>
      <c r="K1591" s="210" t="str">
        <f>IFERROR(__xludf.DUMMYFUNCTION("""COMPUTED_VALUE"""),"01 02")</f>
        <v>01 02</v>
      </c>
      <c r="L1591" s="211">
        <f>IFERROR(__xludf.DUMMYFUNCTION("""COMPUTED_VALUE"""),0.0)</f>
        <v>0</v>
      </c>
      <c r="M1591" s="211"/>
      <c r="N1591" s="211"/>
      <c r="O1591" s="211"/>
      <c r="Q1591" s="210" t="str">
        <f>IFERROR(__xludf.DUMMYFUNCTION("""COMPUTED_VALUE"""),"1125321591")</f>
        <v>1125321591</v>
      </c>
      <c r="R1591" s="210" t="str">
        <f>IFERROR(__xludf.DUMMYFUNCTION("""COMPUTED_VALUE"""),"1125321591")</f>
        <v>1125321591</v>
      </c>
      <c r="S1591" s="211" t="str">
        <f>IFERROR(__xludf.DUMMYFUNCTION("""COMPUTED_VALUE"""),"b2b5f2c5")</f>
        <v>b2b5f2c5</v>
      </c>
      <c r="T1591" s="211" t="str">
        <f>IFERROR(__xludf.DUMMYFUNCTION("""COMPUTED_VALUE"""),"Bengkel Las Bpk. Ari")</f>
        <v>Bengkel Las Bpk. Ari</v>
      </c>
      <c r="U1591" s="215">
        <f>IFERROR(__xludf.DUMMYFUNCTION("""COMPUTED_VALUE"""),45964.375972222224)</f>
        <v>45964.37597</v>
      </c>
      <c r="V1591" s="211" t="str">
        <f>IFERROR(__xludf.DUMMYFUNCTION("""COMPUTED_VALUE"""),"Sumber Kembar, Wonodadi, Kec. Kutorejo, Kabupaten Mojokerto, Jawa Timur")</f>
        <v>Sumber Kembar, Wonodadi, Kec. Kutorejo, Kabupaten Mojokerto, Jawa Timur</v>
      </c>
      <c r="W1591" s="211" t="str">
        <f>IFERROR(__xludf.DUMMYFUNCTION("""COMPUTED_VALUE"""),"OUT")</f>
        <v>OUT</v>
      </c>
      <c r="X1591" s="211"/>
      <c r="AL1591" s="211"/>
      <c r="AM1591" s="211"/>
      <c r="AN1591" s="211"/>
      <c r="AO1591" s="211"/>
      <c r="AP1591" s="215"/>
      <c r="AQ1591" s="218"/>
      <c r="AR1591" s="211"/>
    </row>
    <row r="1592">
      <c r="A1592" s="210" t="str">
        <f>IFERROR(__xludf.DUMMYFUNCTION("""COMPUTED_VALUE"""),"0825151163")</f>
        <v>0825151163</v>
      </c>
      <c r="B1592" s="210" t="str">
        <f>IFERROR(__xludf.DUMMYFUNCTION("""COMPUTED_VALUE"""),"0825151163")</f>
        <v>0825151163</v>
      </c>
      <c r="C1592" s="213">
        <f>IFERROR(__xludf.DUMMYFUNCTION("""COMPUTED_VALUE"""),45894.368414351855)</f>
        <v>45894.36841</v>
      </c>
      <c r="D1592" s="211" t="str">
        <f>IFERROR(__xludf.DUMMYFUNCTION("""COMPUTED_VALUE"""),"ec231cc9")</f>
        <v>ec231cc9</v>
      </c>
      <c r="E1592" s="211" t="str">
        <f>IFERROR(__xludf.DUMMYFUNCTION("""COMPUTED_VALUE"""),"Bpk. Kohir (Maintenance Velg)")</f>
        <v>Bpk. Kohir (Maintenance Velg)</v>
      </c>
      <c r="F1592" s="211" t="str">
        <f>IFERROR(__xludf.DUMMYFUNCTION("""COMPUTED_VALUE"""),"ef306e54")</f>
        <v>ef306e54</v>
      </c>
      <c r="G1592" s="211" t="str">
        <f>IFERROR(__xludf.DUMMYFUNCTION("""COMPUTED_VALUE"""),"Karbondioksida")</f>
        <v>Karbondioksida</v>
      </c>
      <c r="H1592" s="211" t="str">
        <f>IFERROR(__xludf.DUMMYFUNCTION("""COMPUTED_VALUE"""),"OUT")</f>
        <v>OUT</v>
      </c>
      <c r="I1592" s="211" t="str">
        <f>IFERROR(__xludf.DUMMYFUNCTION("""COMPUTED_VALUE"""),"NORMAL")</f>
        <v>NORMAL</v>
      </c>
      <c r="J1592" s="211">
        <f>IFERROR(__xludf.DUMMYFUNCTION("""COMPUTED_VALUE"""),1.0)</f>
        <v>1</v>
      </c>
      <c r="K1592" s="210" t="str">
        <f>IFERROR(__xludf.DUMMYFUNCTION("""COMPUTED_VALUE"""),"13031")</f>
        <v>13031</v>
      </c>
      <c r="L1592" s="211">
        <f>IFERROR(__xludf.DUMMYFUNCTION("""COMPUTED_VALUE"""),165000.0)</f>
        <v>165000</v>
      </c>
      <c r="M1592" s="211"/>
      <c r="N1592" s="211"/>
      <c r="O1592" s="211"/>
      <c r="Q1592" s="210" t="str">
        <f>IFERROR(__xludf.DUMMYFUNCTION("""COMPUTED_VALUE"""),"1250745")</f>
        <v>1250745</v>
      </c>
      <c r="R1592" s="210" t="str">
        <f>IFERROR(__xludf.DUMMYFUNCTION("""COMPUTED_VALUE"""),"1250745")</f>
        <v>1250745</v>
      </c>
      <c r="S1592" s="211" t="str">
        <f>IFERROR(__xludf.DUMMYFUNCTION("""COMPUTED_VALUE"""),"182fb0fe")</f>
        <v>182fb0fe</v>
      </c>
      <c r="T1592" s="211" t="str">
        <f>IFERROR(__xludf.DUMMYFUNCTION("""COMPUTED_VALUE"""),"PT Amtech")</f>
        <v>PT Amtech</v>
      </c>
      <c r="U1592" s="215">
        <f>IFERROR(__xludf.DUMMYFUNCTION("""COMPUTED_VALUE"""),45964.537210648145)</f>
        <v>45964.53721</v>
      </c>
      <c r="V1592" s="211" t="str">
        <f>IFERROR(__xludf.DUMMYFUNCTION("""COMPUTED_VALUE"""),"Jl. Morowudi, Ikerikergeger, Kabupaten Gresik, Jawa Timur")</f>
        <v>Jl. Morowudi, Ikerikergeger, Kabupaten Gresik, Jawa Timur</v>
      </c>
      <c r="W1592" s="211" t="str">
        <f>IFERROR(__xludf.DUMMYFUNCTION("""COMPUTED_VALUE"""),"IN")</f>
        <v>IN</v>
      </c>
      <c r="X1592" s="211"/>
      <c r="AL1592" s="211"/>
      <c r="AM1592" s="211"/>
      <c r="AN1592" s="211"/>
      <c r="AO1592" s="211"/>
      <c r="AP1592" s="215"/>
      <c r="AQ1592" s="218"/>
      <c r="AR1592" s="211"/>
    </row>
    <row r="1593">
      <c r="A1593" s="210" t="str">
        <f>IFERROR(__xludf.DUMMYFUNCTION("""COMPUTED_VALUE"""),"0825151163")</f>
        <v>0825151163</v>
      </c>
      <c r="B1593" s="210" t="str">
        <f>IFERROR(__xludf.DUMMYFUNCTION("""COMPUTED_VALUE"""),"0825151163")</f>
        <v>0825151163</v>
      </c>
      <c r="C1593" s="213">
        <f>IFERROR(__xludf.DUMMYFUNCTION("""COMPUTED_VALUE"""),45894.368414351855)</f>
        <v>45894.36841</v>
      </c>
      <c r="D1593" s="211" t="str">
        <f>IFERROR(__xludf.DUMMYFUNCTION("""COMPUTED_VALUE"""),"ec231cc9")</f>
        <v>ec231cc9</v>
      </c>
      <c r="E1593" s="211" t="str">
        <f>IFERROR(__xludf.DUMMYFUNCTION("""COMPUTED_VALUE"""),"Bpk. Kohir (Maintenance Velg)")</f>
        <v>Bpk. Kohir (Maintenance Velg)</v>
      </c>
      <c r="F1593" s="211" t="str">
        <f>IFERROR(__xludf.DUMMYFUNCTION("""COMPUTED_VALUE"""),"8bdbe149")</f>
        <v>8bdbe149</v>
      </c>
      <c r="G1593" s="211" t="str">
        <f>IFERROR(__xludf.DUMMYFUNCTION("""COMPUTED_VALUE"""),"Oksigen 6m3")</f>
        <v>Oksigen 6m3</v>
      </c>
      <c r="H1593" s="211" t="str">
        <f>IFERROR(__xludf.DUMMYFUNCTION("""COMPUTED_VALUE"""),"OUT")</f>
        <v>OUT</v>
      </c>
      <c r="I1593" s="211" t="str">
        <f>IFERROR(__xludf.DUMMYFUNCTION("""COMPUTED_VALUE"""),"NORMAL")</f>
        <v>NORMAL</v>
      </c>
      <c r="J1593" s="211">
        <f>IFERROR(__xludf.DUMMYFUNCTION("""COMPUTED_VALUE"""),4.0)</f>
        <v>4</v>
      </c>
      <c r="K1593" s="210" t="str">
        <f>IFERROR(__xludf.DUMMYFUNCTION("""COMPUTED_VALUE"""),"11182 11178 1187 11285")</f>
        <v>11182 11178 1187 11285</v>
      </c>
      <c r="L1593" s="211">
        <f>IFERROR(__xludf.DUMMYFUNCTION("""COMPUTED_VALUE"""),55000.0)</f>
        <v>55000</v>
      </c>
      <c r="M1593" s="211"/>
      <c r="N1593" s="211"/>
      <c r="O1593" s="211"/>
      <c r="Q1593" s="210" t="str">
        <f>IFERROR(__xludf.DUMMYFUNCTION("""COMPUTED_VALUE"""),"112521587")</f>
        <v>112521587</v>
      </c>
      <c r="R1593" s="210" t="str">
        <f>IFERROR(__xludf.DUMMYFUNCTION("""COMPUTED_VALUE"""),"112521587")</f>
        <v>112521587</v>
      </c>
      <c r="S1593" s="211" t="str">
        <f>IFERROR(__xludf.DUMMYFUNCTION("""COMPUTED_VALUE"""),"ba97d58d")</f>
        <v>ba97d58d</v>
      </c>
      <c r="T1593" s="211" t="str">
        <f>IFERROR(__xludf.DUMMYFUNCTION("""COMPUTED_VALUE"""),"Bengkel Citra Mojosari")</f>
        <v>Bengkel Citra Mojosari</v>
      </c>
      <c r="U1593" s="215">
        <f>IFERROR(__xludf.DUMMYFUNCTION("""COMPUTED_VALUE"""),45964.60951388889)</f>
        <v>45964.60951</v>
      </c>
      <c r="V1593" s="211" t="str">
        <f>IFERROR(__xludf.DUMMYFUNCTION("""COMPUTED_VALUE"""),"Jl. Raden Wijaya, Kemloko, Jotangan, Kec. Mojosari, Kabupaten Mojokerto, Jawa Timur 61382")</f>
        <v>Jl. Raden Wijaya, Kemloko, Jotangan, Kec. Mojosari, Kabupaten Mojokerto, Jawa Timur 61382</v>
      </c>
      <c r="W1593" s="211" t="str">
        <f>IFERROR(__xludf.DUMMYFUNCTION("""COMPUTED_VALUE"""),"OUT")</f>
        <v>OUT</v>
      </c>
      <c r="X1593" s="211"/>
      <c r="AL1593" s="211"/>
      <c r="AM1593" s="211"/>
      <c r="AN1593" s="211"/>
      <c r="AO1593" s="211"/>
      <c r="AP1593" s="215"/>
      <c r="AQ1593" s="218"/>
      <c r="AR1593" s="211"/>
    </row>
    <row r="1594">
      <c r="A1594" s="210" t="str">
        <f>IFERROR(__xludf.DUMMYFUNCTION("""COMPUTED_VALUE"""),"0825411165")</f>
        <v>0825411165</v>
      </c>
      <c r="B1594" s="210" t="str">
        <f>IFERROR(__xludf.DUMMYFUNCTION("""COMPUTED_VALUE"""),"0825411165")</f>
        <v>0825411165</v>
      </c>
      <c r="C1594" s="213">
        <f>IFERROR(__xludf.DUMMYFUNCTION("""COMPUTED_VALUE"""),45894.433287037034)</f>
        <v>45894.43329</v>
      </c>
      <c r="D1594" s="211" t="str">
        <f>IFERROR(__xludf.DUMMYFUNCTION("""COMPUTED_VALUE"""),"e86baf3b")</f>
        <v>e86baf3b</v>
      </c>
      <c r="E1594" s="211" t="str">
        <f>IFERROR(__xludf.DUMMYFUNCTION("""COMPUTED_VALUE"""),"PT GEMILANG CIPTA WAWASAN")</f>
        <v>PT GEMILANG CIPTA WAWASAN</v>
      </c>
      <c r="F1594" s="211" t="str">
        <f>IFERROR(__xludf.DUMMYFUNCTION("""COMPUTED_VALUE"""),"8bdbe149")</f>
        <v>8bdbe149</v>
      </c>
      <c r="G1594" s="211" t="str">
        <f>IFERROR(__xludf.DUMMYFUNCTION("""COMPUTED_VALUE"""),"Oksigen 6m3")</f>
        <v>Oksigen 6m3</v>
      </c>
      <c r="H1594" s="211" t="str">
        <f>IFERROR(__xludf.DUMMYFUNCTION("""COMPUTED_VALUE"""),"OUT")</f>
        <v>OUT</v>
      </c>
      <c r="I1594" s="211" t="str">
        <f>IFERROR(__xludf.DUMMYFUNCTION("""COMPUTED_VALUE"""),"NORMAL")</f>
        <v>NORMAL</v>
      </c>
      <c r="J1594" s="211">
        <f>IFERROR(__xludf.DUMMYFUNCTION("""COMPUTED_VALUE"""),6.0)</f>
        <v>6</v>
      </c>
      <c r="K1594" s="210" t="str">
        <f>IFERROR(__xludf.DUMMYFUNCTION("""COMPUTED_VALUE"""),"11207 11249 11114 11279 1143 1135")</f>
        <v>11207 11249 11114 11279 1143 1135</v>
      </c>
      <c r="L1594" s="211">
        <f>IFERROR(__xludf.DUMMYFUNCTION("""COMPUTED_VALUE"""),60000.0)</f>
        <v>60000</v>
      </c>
      <c r="M1594" s="211"/>
      <c r="N1594" s="211"/>
      <c r="O1594" s="211"/>
      <c r="Q1594" s="210" t="str">
        <f>IFERROR(__xludf.DUMMYFUNCTION("""COMPUTED_VALUE"""),"1250737")</f>
        <v>1250737</v>
      </c>
      <c r="R1594" s="210" t="str">
        <f>IFERROR(__xludf.DUMMYFUNCTION("""COMPUTED_VALUE"""),"1250737")</f>
        <v>1250737</v>
      </c>
      <c r="S1594" s="211" t="str">
        <f>IFERROR(__xludf.DUMMYFUNCTION("""COMPUTED_VALUE"""),"b2b5f2c5")</f>
        <v>b2b5f2c5</v>
      </c>
      <c r="T1594" s="211" t="str">
        <f>IFERROR(__xludf.DUMMYFUNCTION("""COMPUTED_VALUE"""),"Bengkel Las Bpk. Ari")</f>
        <v>Bengkel Las Bpk. Ari</v>
      </c>
      <c r="U1594" s="215">
        <f>IFERROR(__xludf.DUMMYFUNCTION("""COMPUTED_VALUE"""),45964.612488425926)</f>
        <v>45964.61249</v>
      </c>
      <c r="V1594" s="211" t="str">
        <f>IFERROR(__xludf.DUMMYFUNCTION("""COMPUTED_VALUE"""),"Sumber Kembar, Wonodadi, Kec. Kutorejo, Kabupaten Mojokerto, Jawa Timur")</f>
        <v>Sumber Kembar, Wonodadi, Kec. Kutorejo, Kabupaten Mojokerto, Jawa Timur</v>
      </c>
      <c r="W1594" s="211" t="str">
        <f>IFERROR(__xludf.DUMMYFUNCTION("""COMPUTED_VALUE"""),"IN")</f>
        <v>IN</v>
      </c>
      <c r="X1594" s="211"/>
      <c r="AL1594" s="211"/>
      <c r="AM1594" s="211"/>
      <c r="AN1594" s="211"/>
      <c r="AO1594" s="211"/>
      <c r="AP1594" s="215"/>
      <c r="AQ1594" s="218"/>
      <c r="AR1594" s="211"/>
    </row>
    <row r="1595">
      <c r="A1595" s="210" t="str">
        <f>IFERROR(__xludf.DUMMYFUNCTION("""COMPUTED_VALUE"""),"0825411165")</f>
        <v>0825411165</v>
      </c>
      <c r="B1595" s="210" t="str">
        <f>IFERROR(__xludf.DUMMYFUNCTION("""COMPUTED_VALUE"""),"0825411165")</f>
        <v>0825411165</v>
      </c>
      <c r="C1595" s="213">
        <f>IFERROR(__xludf.DUMMYFUNCTION("""COMPUTED_VALUE"""),45894.433287037034)</f>
        <v>45894.43329</v>
      </c>
      <c r="D1595" s="211" t="str">
        <f>IFERROR(__xludf.DUMMYFUNCTION("""COMPUTED_VALUE"""),"e86baf3b")</f>
        <v>e86baf3b</v>
      </c>
      <c r="E1595" s="211" t="str">
        <f>IFERROR(__xludf.DUMMYFUNCTION("""COMPUTED_VALUE"""),"PT GEMILANG CIPTA WAWASAN")</f>
        <v>PT GEMILANG CIPTA WAWASAN</v>
      </c>
      <c r="F1595" s="211" t="str">
        <f>IFERROR(__xludf.DUMMYFUNCTION("""COMPUTED_VALUE"""),"7d2764f1")</f>
        <v>7d2764f1</v>
      </c>
      <c r="G1595" s="211" t="str">
        <f>IFERROR(__xludf.DUMMYFUNCTION("""COMPUTED_VALUE"""),"Oksigen 7m3")</f>
        <v>Oksigen 7m3</v>
      </c>
      <c r="H1595" s="211" t="str">
        <f>IFERROR(__xludf.DUMMYFUNCTION("""COMPUTED_VALUE"""),"OUT")</f>
        <v>OUT</v>
      </c>
      <c r="I1595" s="211" t="str">
        <f>IFERROR(__xludf.DUMMYFUNCTION("""COMPUTED_VALUE"""),"NORMAL")</f>
        <v>NORMAL</v>
      </c>
      <c r="J1595" s="211">
        <f>IFERROR(__xludf.DUMMYFUNCTION("""COMPUTED_VALUE"""),4.0)</f>
        <v>4</v>
      </c>
      <c r="K1595" s="210" t="str">
        <f>IFERROR(__xludf.DUMMYFUNCTION("""COMPUTED_VALUE"""),"11155 11166 11291 11216")</f>
        <v>11155 11166 11291 11216</v>
      </c>
      <c r="L1595" s="211">
        <f>IFERROR(__xludf.DUMMYFUNCTION("""COMPUTED_VALUE"""),60000.0)</f>
        <v>60000</v>
      </c>
      <c r="M1595" s="211"/>
      <c r="N1595" s="211"/>
      <c r="O1595" s="211"/>
      <c r="Q1595" s="210" t="str">
        <f>IFERROR(__xludf.DUMMYFUNCTION("""COMPUTED_VALUE"""),"1250735")</f>
        <v>1250735</v>
      </c>
      <c r="R1595" s="210" t="str">
        <f>IFERROR(__xludf.DUMMYFUNCTION("""COMPUTED_VALUE"""),"1250735")</f>
        <v>1250735</v>
      </c>
      <c r="S1595" s="211" t="str">
        <f>IFERROR(__xludf.DUMMYFUNCTION("""COMPUTED_VALUE"""),"2d88931c")</f>
        <v>2d88931c</v>
      </c>
      <c r="T1595" s="211" t="str">
        <f>IFERROR(__xludf.DUMMYFUNCTION("""COMPUTED_VALUE"""),"PT Dunia Berkat Marga Mulya")</f>
        <v>PT Dunia Berkat Marga Mulya</v>
      </c>
      <c r="U1595" s="215">
        <f>IFERROR(__xludf.DUMMYFUNCTION("""COMPUTED_VALUE"""),45964.613900462966)</f>
        <v>45964.6139</v>
      </c>
      <c r="V1595" s="211" t="str">
        <f>IFERROR(__xludf.DUMMYFUNCTION("""COMPUTED_VALUE"""),"JL JABARAN, WATESARI, BALONGBENDO, SIDOARJO, JAWA TIMUR")</f>
        <v>JL JABARAN, WATESARI, BALONGBENDO, SIDOARJO, JAWA TIMUR</v>
      </c>
      <c r="W1595" s="211" t="str">
        <f>IFERROR(__xludf.DUMMYFUNCTION("""COMPUTED_VALUE"""),"IN")</f>
        <v>IN</v>
      </c>
      <c r="X1595" s="211"/>
      <c r="AL1595" s="211"/>
      <c r="AM1595" s="211"/>
      <c r="AN1595" s="211"/>
      <c r="AO1595" s="211"/>
      <c r="AP1595" s="215"/>
      <c r="AQ1595" s="218"/>
      <c r="AR1595" s="211"/>
    </row>
    <row r="1596">
      <c r="A1596" s="211"/>
      <c r="B1596" s="211"/>
      <c r="C1596" s="211"/>
      <c r="D1596" s="211"/>
      <c r="E1596" s="211"/>
      <c r="F1596" s="211"/>
      <c r="G1596" s="211"/>
      <c r="H1596" s="211"/>
      <c r="I1596" s="211"/>
      <c r="J1596" s="211"/>
      <c r="K1596" s="211"/>
      <c r="L1596" s="211"/>
      <c r="M1596" s="211"/>
      <c r="N1596" s="211"/>
      <c r="O1596" s="211"/>
      <c r="Q1596" s="210" t="str">
        <f>IFERROR(__xludf.DUMMYFUNCTION("""COMPUTED_VALUE"""),"1250736")</f>
        <v>1250736</v>
      </c>
      <c r="R1596" s="210" t="str">
        <f>IFERROR(__xludf.DUMMYFUNCTION("""COMPUTED_VALUE"""),"1250736")</f>
        <v>1250736</v>
      </c>
      <c r="S1596" s="211" t="str">
        <f>IFERROR(__xludf.DUMMYFUNCTION("""COMPUTED_VALUE"""),"e968afef")</f>
        <v>e968afef</v>
      </c>
      <c r="T1596" s="211" t="str">
        <f>IFERROR(__xludf.DUMMYFUNCTION("""COMPUTED_VALUE"""),"Bpk. Agus")</f>
        <v>Bpk. Agus</v>
      </c>
      <c r="U1596" s="215">
        <f>IFERROR(__xludf.DUMMYFUNCTION("""COMPUTED_VALUE"""),45964.61487268518)</f>
        <v>45964.61487</v>
      </c>
      <c r="V1596" s="211" t="str">
        <f>IFERROR(__xludf.DUMMYFUNCTION("""COMPUTED_VALUE"""),"Jl. Parengan 13, Semawut, Balongbendo, Kec. BalongBendo, Kabupaten Sidoarjo, Jawa Timur 61263")</f>
        <v>Jl. Parengan 13, Semawut, Balongbendo, Kec. BalongBendo, Kabupaten Sidoarjo, Jawa Timur 61263</v>
      </c>
      <c r="W1596" s="211" t="str">
        <f>IFERROR(__xludf.DUMMYFUNCTION("""COMPUTED_VALUE"""),"IN")</f>
        <v>IN</v>
      </c>
      <c r="X1596" s="211"/>
      <c r="AL1596" s="211"/>
      <c r="AM1596" s="211"/>
      <c r="AN1596" s="211"/>
      <c r="AO1596" s="211"/>
      <c r="AP1596" s="215"/>
      <c r="AQ1596" s="218"/>
      <c r="AR1596" s="211"/>
    </row>
    <row r="1597">
      <c r="A1597" s="210" t="str">
        <f>IFERROR(__xludf.DUMMYFUNCTION("""COMPUTED_VALUE"""),"0825411165")</f>
        <v>0825411165</v>
      </c>
      <c r="B1597" s="210" t="str">
        <f>IFERROR(__xludf.DUMMYFUNCTION("""COMPUTED_VALUE"""),"0825411165")</f>
        <v>0825411165</v>
      </c>
      <c r="C1597" s="213">
        <f>IFERROR(__xludf.DUMMYFUNCTION("""COMPUTED_VALUE"""),45894.433287037034)</f>
        <v>45894.43329</v>
      </c>
      <c r="D1597" s="211" t="str">
        <f>IFERROR(__xludf.DUMMYFUNCTION("""COMPUTED_VALUE"""),"e86baf3b")</f>
        <v>e86baf3b</v>
      </c>
      <c r="E1597" s="211" t="str">
        <f>IFERROR(__xludf.DUMMYFUNCTION("""COMPUTED_VALUE"""),"PT GEMILANG CIPTA WAWASAN")</f>
        <v>PT GEMILANG CIPTA WAWASAN</v>
      </c>
      <c r="F1597" s="211" t="str">
        <f>IFERROR(__xludf.DUMMYFUNCTION("""COMPUTED_VALUE"""),"be525f3b")</f>
        <v>be525f3b</v>
      </c>
      <c r="G1597" s="211" t="str">
        <f>IFERROR(__xludf.DUMMYFUNCTION("""COMPUTED_VALUE"""),"LPG 12kg")</f>
        <v>LPG 12kg</v>
      </c>
      <c r="H1597" s="211" t="str">
        <f>IFERROR(__xludf.DUMMYFUNCTION("""COMPUTED_VALUE"""),"OUT")</f>
        <v>OUT</v>
      </c>
      <c r="I1597" s="211" t="str">
        <f>IFERROR(__xludf.DUMMYFUNCTION("""COMPUTED_VALUE"""),"NORMAL")</f>
        <v>NORMAL</v>
      </c>
      <c r="J1597" s="211">
        <f>IFERROR(__xludf.DUMMYFUNCTION("""COMPUTED_VALUE"""),5.0)</f>
        <v>5</v>
      </c>
      <c r="K1597" s="210" t="str">
        <f>IFERROR(__xludf.DUMMYFUNCTION("""COMPUTED_VALUE"""),"04 03 02 01 05")</f>
        <v>04 03 02 01 05</v>
      </c>
      <c r="L1597" s="211">
        <f>IFERROR(__xludf.DUMMYFUNCTION("""COMPUTED_VALUE"""),210000.0)</f>
        <v>210000</v>
      </c>
      <c r="M1597" s="211"/>
      <c r="N1597" s="211"/>
      <c r="O1597" s="211"/>
      <c r="Q1597" s="211"/>
      <c r="R1597" s="211"/>
      <c r="S1597" s="211"/>
      <c r="T1597" s="211"/>
      <c r="U1597" s="211"/>
      <c r="V1597" s="211"/>
      <c r="W1597" s="211"/>
      <c r="X1597" s="211"/>
      <c r="AL1597" s="211"/>
      <c r="AM1597" s="211"/>
      <c r="AN1597" s="211"/>
      <c r="AO1597" s="211"/>
      <c r="AP1597" s="215"/>
      <c r="AQ1597" s="218"/>
      <c r="AR1597" s="211"/>
    </row>
    <row r="1598">
      <c r="A1598" s="210" t="str">
        <f>IFERROR(__xludf.DUMMYFUNCTION("""COMPUTED_VALUE"""),"1250529")</f>
        <v>1250529</v>
      </c>
      <c r="B1598" s="210" t="str">
        <f>IFERROR(__xludf.DUMMYFUNCTION("""COMPUTED_VALUE"""),"1250529")</f>
        <v>1250529</v>
      </c>
      <c r="C1598" s="213">
        <f>IFERROR(__xludf.DUMMYFUNCTION("""COMPUTED_VALUE"""),45894.45613425926)</f>
        <v>45894.45613</v>
      </c>
      <c r="D1598" s="211" t="str">
        <f>IFERROR(__xludf.DUMMYFUNCTION("""COMPUTED_VALUE"""),"ec231cc9")</f>
        <v>ec231cc9</v>
      </c>
      <c r="E1598" s="211" t="str">
        <f>IFERROR(__xludf.DUMMYFUNCTION("""COMPUTED_VALUE"""),"Bpk. Kohir (Maintenance Velg)")</f>
        <v>Bpk. Kohir (Maintenance Velg)</v>
      </c>
      <c r="F1598" s="211" t="str">
        <f>IFERROR(__xludf.DUMMYFUNCTION("""COMPUTED_VALUE"""),"8bdbe149")</f>
        <v>8bdbe149</v>
      </c>
      <c r="G1598" s="211" t="str">
        <f>IFERROR(__xludf.DUMMYFUNCTION("""COMPUTED_VALUE"""),"Oksigen 6m3")</f>
        <v>Oksigen 6m3</v>
      </c>
      <c r="H1598" s="211" t="str">
        <f>IFERROR(__xludf.DUMMYFUNCTION("""COMPUTED_VALUE"""),"IN")</f>
        <v>IN</v>
      </c>
      <c r="I1598" s="211" t="str">
        <f>IFERROR(__xludf.DUMMYFUNCTION("""COMPUTED_VALUE"""),"EMPTY")</f>
        <v>EMPTY</v>
      </c>
      <c r="J1598" s="211">
        <f>IFERROR(__xludf.DUMMYFUNCTION("""COMPUTED_VALUE"""),3.0)</f>
        <v>3</v>
      </c>
      <c r="K1598" s="210" t="str">
        <f>IFERROR(__xludf.DUMMYFUNCTION("""COMPUTED_VALUE"""),"1149 1155 11100")</f>
        <v>1149 1155 11100</v>
      </c>
      <c r="L1598" s="211">
        <f>IFERROR(__xludf.DUMMYFUNCTION("""COMPUTED_VALUE"""),0.0)</f>
        <v>0</v>
      </c>
      <c r="M1598" s="211"/>
      <c r="N1598" s="211"/>
      <c r="O1598" s="211"/>
      <c r="Q1598" s="211"/>
      <c r="R1598" s="211"/>
      <c r="S1598" s="211"/>
      <c r="T1598" s="211"/>
      <c r="U1598" s="211"/>
      <c r="V1598" s="211"/>
      <c r="W1598" s="211"/>
      <c r="X1598" s="211"/>
      <c r="AL1598" s="211"/>
      <c r="AM1598" s="211"/>
      <c r="AN1598" s="211"/>
      <c r="AO1598" s="211"/>
      <c r="AP1598" s="215"/>
      <c r="AQ1598" s="218"/>
      <c r="AR1598" s="211"/>
    </row>
    <row r="1599">
      <c r="A1599" s="210" t="str">
        <f>IFERROR(__xludf.DUMMYFUNCTION("""COMPUTED_VALUE"""),"1250529")</f>
        <v>1250529</v>
      </c>
      <c r="B1599" s="210" t="str">
        <f>IFERROR(__xludf.DUMMYFUNCTION("""COMPUTED_VALUE"""),"1250529")</f>
        <v>1250529</v>
      </c>
      <c r="C1599" s="213">
        <f>IFERROR(__xludf.DUMMYFUNCTION("""COMPUTED_VALUE"""),45894.45613425926)</f>
        <v>45894.45613</v>
      </c>
      <c r="D1599" s="211" t="str">
        <f>IFERROR(__xludf.DUMMYFUNCTION("""COMPUTED_VALUE"""),"ec231cc9")</f>
        <v>ec231cc9</v>
      </c>
      <c r="E1599" s="211" t="str">
        <f>IFERROR(__xludf.DUMMYFUNCTION("""COMPUTED_VALUE"""),"Bpk. Kohir (Maintenance Velg)")</f>
        <v>Bpk. Kohir (Maintenance Velg)</v>
      </c>
      <c r="F1599" s="211" t="str">
        <f>IFERROR(__xludf.DUMMYFUNCTION("""COMPUTED_VALUE"""),"ef306e54")</f>
        <v>ef306e54</v>
      </c>
      <c r="G1599" s="211" t="str">
        <f>IFERROR(__xludf.DUMMYFUNCTION("""COMPUTED_VALUE"""),"Karbondioksida")</f>
        <v>Karbondioksida</v>
      </c>
      <c r="H1599" s="211" t="str">
        <f>IFERROR(__xludf.DUMMYFUNCTION("""COMPUTED_VALUE"""),"IN")</f>
        <v>IN</v>
      </c>
      <c r="I1599" s="211" t="str">
        <f>IFERROR(__xludf.DUMMYFUNCTION("""COMPUTED_VALUE"""),"EMPTY")</f>
        <v>EMPTY</v>
      </c>
      <c r="J1599" s="211">
        <f>IFERROR(__xludf.DUMMYFUNCTION("""COMPUTED_VALUE"""),1.0)</f>
        <v>1</v>
      </c>
      <c r="K1599" s="210" t="str">
        <f>IFERROR(__xludf.DUMMYFUNCTION("""COMPUTED_VALUE"""),"13011")</f>
        <v>13011</v>
      </c>
      <c r="L1599" s="211">
        <f>IFERROR(__xludf.DUMMYFUNCTION("""COMPUTED_VALUE"""),0.0)</f>
        <v>0</v>
      </c>
      <c r="M1599" s="211"/>
      <c r="N1599" s="211"/>
      <c r="O1599" s="211"/>
      <c r="Q1599" s="210" t="str">
        <f>IFERROR(__xludf.DUMMYFUNCTION("""COMPUTED_VALUE"""),"1250738")</f>
        <v>1250738</v>
      </c>
      <c r="R1599" s="210" t="str">
        <f>IFERROR(__xludf.DUMMYFUNCTION("""COMPUTED_VALUE"""),"1250738")</f>
        <v>1250738</v>
      </c>
      <c r="S1599" s="211" t="str">
        <f>IFERROR(__xludf.DUMMYFUNCTION("""COMPUTED_VALUE"""),"ba97d58d")</f>
        <v>ba97d58d</v>
      </c>
      <c r="T1599" s="211" t="str">
        <f>IFERROR(__xludf.DUMMYFUNCTION("""COMPUTED_VALUE"""),"Bengkel Citra Mojosari")</f>
        <v>Bengkel Citra Mojosari</v>
      </c>
      <c r="U1599" s="215">
        <f>IFERROR(__xludf.DUMMYFUNCTION("""COMPUTED_VALUE"""),45964.678622685184)</f>
        <v>45964.67862</v>
      </c>
      <c r="V1599" s="211" t="str">
        <f>IFERROR(__xludf.DUMMYFUNCTION("""COMPUTED_VALUE"""),"Jl. Raden Wijaya, Kemloko, Jotangan, Kec. Mojosari, Kabupaten Mojokerto, Jawa Timur 61382")</f>
        <v>Jl. Raden Wijaya, Kemloko, Jotangan, Kec. Mojosari, Kabupaten Mojokerto, Jawa Timur 61382</v>
      </c>
      <c r="W1599" s="211" t="str">
        <f>IFERROR(__xludf.DUMMYFUNCTION("""COMPUTED_VALUE"""),"IN")</f>
        <v>IN</v>
      </c>
      <c r="X1599" s="211"/>
      <c r="AL1599" s="211"/>
      <c r="AM1599" s="211"/>
      <c r="AN1599" s="211"/>
      <c r="AO1599" s="211"/>
      <c r="AP1599" s="215"/>
      <c r="AQ1599" s="218"/>
      <c r="AR1599" s="211"/>
    </row>
    <row r="1600">
      <c r="A1600" s="210" t="str">
        <f>IFERROR(__xludf.DUMMYFUNCTION("""COMPUTED_VALUE"""),"082551166")</f>
        <v>082551166</v>
      </c>
      <c r="B1600" s="210" t="str">
        <f>IFERROR(__xludf.DUMMYFUNCTION("""COMPUTED_VALUE"""),"082551166")</f>
        <v>082551166</v>
      </c>
      <c r="C1600" s="213">
        <f>IFERROR(__xludf.DUMMYFUNCTION("""COMPUTED_VALUE"""),45894.579050925924)</f>
        <v>45894.57905</v>
      </c>
      <c r="D1600" s="211" t="str">
        <f>IFERROR(__xludf.DUMMYFUNCTION("""COMPUTED_VALUE"""),"196b24da")</f>
        <v>196b24da</v>
      </c>
      <c r="E1600" s="211" t="str">
        <f>IFERROR(__xludf.DUMMYFUNCTION("""COMPUTED_VALUE"""),"PT Samudra Cipta Enjineering")</f>
        <v>PT Samudra Cipta Enjineering</v>
      </c>
      <c r="F1600" s="211" t="str">
        <f>IFERROR(__xludf.DUMMYFUNCTION("""COMPUTED_VALUE"""),"b7a8fff1")</f>
        <v>b7a8fff1</v>
      </c>
      <c r="G1600" s="211" t="str">
        <f>IFERROR(__xludf.DUMMYFUNCTION("""COMPUTED_VALUE"""),"LPG 50kg")</f>
        <v>LPG 50kg</v>
      </c>
      <c r="H1600" s="211" t="str">
        <f>IFERROR(__xludf.DUMMYFUNCTION("""COMPUTED_VALUE"""),"OUT")</f>
        <v>OUT</v>
      </c>
      <c r="I1600" s="211" t="str">
        <f>IFERROR(__xludf.DUMMYFUNCTION("""COMPUTED_VALUE"""),"NORMAL")</f>
        <v>NORMAL</v>
      </c>
      <c r="J1600" s="211">
        <f>IFERROR(__xludf.DUMMYFUNCTION("""COMPUTED_VALUE"""),2.0)</f>
        <v>2</v>
      </c>
      <c r="K1600" s="210" t="str">
        <f>IFERROR(__xludf.DUMMYFUNCTION("""COMPUTED_VALUE"""),"01 02")</f>
        <v>01 02</v>
      </c>
      <c r="L1600" s="211">
        <f>IFERROR(__xludf.DUMMYFUNCTION("""COMPUTED_VALUE"""),900000.0)</f>
        <v>900000</v>
      </c>
      <c r="M1600" s="211"/>
      <c r="N1600" s="211"/>
      <c r="O1600" s="211"/>
      <c r="Q1600" s="210" t="str">
        <f>IFERROR(__xludf.DUMMYFUNCTION("""COMPUTED_VALUE"""),"1125651599")</f>
        <v>1125651599</v>
      </c>
      <c r="R1600" s="210" t="str">
        <f>IFERROR(__xludf.DUMMYFUNCTION("""COMPUTED_VALUE"""),"1125651599")</f>
        <v>1125651599</v>
      </c>
      <c r="S1600" s="211" t="str">
        <f>IFERROR(__xludf.DUMMYFUNCTION("""COMPUTED_VALUE"""),"e86baf3b")</f>
        <v>e86baf3b</v>
      </c>
      <c r="T1600" s="211" t="str">
        <f>IFERROR(__xludf.DUMMYFUNCTION("""COMPUTED_VALUE"""),"PT GEMILANG CIPTA WAWASAN")</f>
        <v>PT GEMILANG CIPTA WAWASAN</v>
      </c>
      <c r="U1600" s="215">
        <f>IFERROR(__xludf.DUMMYFUNCTION("""COMPUTED_VALUE"""),45965.34722222222)</f>
        <v>45965.34722</v>
      </c>
      <c r="V1600" s="211" t="str">
        <f>IFERROR(__xludf.DUMMYFUNCTION("""COMPUTED_VALUE"""),"JL TEBET RAYA, 2A, TEBET BARAT, TEBET, KOTA ADM, JAKARTA SELATAN, DKI JAKARTA")</f>
        <v>JL TEBET RAYA, 2A, TEBET BARAT, TEBET, KOTA ADM, JAKARTA SELATAN, DKI JAKARTA</v>
      </c>
      <c r="W1600" s="211" t="str">
        <f>IFERROR(__xludf.DUMMYFUNCTION("""COMPUTED_VALUE"""),"OUT")</f>
        <v>OUT</v>
      </c>
      <c r="X1600" s="211"/>
      <c r="AL1600" s="211"/>
      <c r="AM1600" s="211"/>
      <c r="AN1600" s="211"/>
      <c r="AO1600" s="211"/>
      <c r="AP1600" s="215"/>
      <c r="AQ1600" s="218"/>
      <c r="AR1600" s="211"/>
    </row>
    <row r="1601">
      <c r="A1601" s="210" t="str">
        <f>IFERROR(__xludf.DUMMYFUNCTION("""COMPUTED_VALUE"""),"1250532")</f>
        <v>1250532</v>
      </c>
      <c r="B1601" s="210" t="str">
        <f>IFERROR(__xludf.DUMMYFUNCTION("""COMPUTED_VALUE"""),"1250532")</f>
        <v>1250532</v>
      </c>
      <c r="C1601" s="213">
        <f>IFERROR(__xludf.DUMMYFUNCTION("""COMPUTED_VALUE"""),45894.60895833333)</f>
        <v>45894.60896</v>
      </c>
      <c r="D1601" s="211" t="str">
        <f>IFERROR(__xludf.DUMMYFUNCTION("""COMPUTED_VALUE"""),"196b24da")</f>
        <v>196b24da</v>
      </c>
      <c r="E1601" s="211" t="str">
        <f>IFERROR(__xludf.DUMMYFUNCTION("""COMPUTED_VALUE"""),"PT Samudra Cipta Enjineering")</f>
        <v>PT Samudra Cipta Enjineering</v>
      </c>
      <c r="F1601" s="211" t="str">
        <f>IFERROR(__xludf.DUMMYFUNCTION("""COMPUTED_VALUE"""),"b7a8fff1")</f>
        <v>b7a8fff1</v>
      </c>
      <c r="G1601" s="211" t="str">
        <f>IFERROR(__xludf.DUMMYFUNCTION("""COMPUTED_VALUE"""),"LPG 50kg")</f>
        <v>LPG 50kg</v>
      </c>
      <c r="H1601" s="211" t="str">
        <f>IFERROR(__xludf.DUMMYFUNCTION("""COMPUTED_VALUE"""),"IN")</f>
        <v>IN</v>
      </c>
      <c r="I1601" s="211" t="str">
        <f>IFERROR(__xludf.DUMMYFUNCTION("""COMPUTED_VALUE"""),"EMPTY")</f>
        <v>EMPTY</v>
      </c>
      <c r="J1601" s="211">
        <f>IFERROR(__xludf.DUMMYFUNCTION("""COMPUTED_VALUE"""),2.0)</f>
        <v>2</v>
      </c>
      <c r="K1601" s="211"/>
      <c r="L1601" s="211">
        <f>IFERROR(__xludf.DUMMYFUNCTION("""COMPUTED_VALUE"""),0.0)</f>
        <v>0</v>
      </c>
      <c r="M1601" s="211"/>
      <c r="N1601" s="211"/>
      <c r="O1601" s="211"/>
      <c r="Q1601" s="210" t="str">
        <f>IFERROR(__xludf.DUMMYFUNCTION("""COMPUTED_VALUE"""),"112561601")</f>
        <v>112561601</v>
      </c>
      <c r="R1601" s="210" t="str">
        <f>IFERROR(__xludf.DUMMYFUNCTION("""COMPUTED_VALUE"""),"112561601")</f>
        <v>112561601</v>
      </c>
      <c r="S1601" s="211" t="str">
        <f>IFERROR(__xludf.DUMMYFUNCTION("""COMPUTED_VALUE"""),"9e31e9f4")</f>
        <v>9e31e9f4</v>
      </c>
      <c r="T1601" s="211" t="str">
        <f>IFERROR(__xludf.DUMMYFUNCTION("""COMPUTED_VALUE"""),"Bpk. Eko Iswantoro")</f>
        <v>Bpk. Eko Iswantoro</v>
      </c>
      <c r="U1601" s="215">
        <f>IFERROR(__xludf.DUMMYFUNCTION("""COMPUTED_VALUE"""),45965.35335648148)</f>
        <v>45965.35336</v>
      </c>
      <c r="V1601" s="211" t="str">
        <f>IFERROR(__xludf.DUMMYFUNCTION("""COMPUTED_VALUE"""),"HHWW+8J Kemasan, Kec. Krian, Kabupaten Sidoarjo, Jawa Timur, Indonesia")</f>
        <v>HHWW+8J Kemasan, Kec. Krian, Kabupaten Sidoarjo, Jawa Timur, Indonesia</v>
      </c>
      <c r="W1601" s="211" t="str">
        <f>IFERROR(__xludf.DUMMYFUNCTION("""COMPUTED_VALUE"""),"OUT")</f>
        <v>OUT</v>
      </c>
      <c r="X1601" s="211"/>
      <c r="AL1601" s="211"/>
      <c r="AM1601" s="211"/>
      <c r="AN1601" s="211"/>
      <c r="AO1601" s="211"/>
      <c r="AP1601" s="215"/>
      <c r="AQ1601" s="218"/>
      <c r="AR1601" s="211"/>
    </row>
    <row r="1602">
      <c r="A1602" s="210" t="str">
        <f>IFERROR(__xludf.DUMMYFUNCTION("""COMPUTED_VALUE"""),"0825421168")</f>
        <v>0825421168</v>
      </c>
      <c r="B1602" s="210" t="str">
        <f>IFERROR(__xludf.DUMMYFUNCTION("""COMPUTED_VALUE"""),"0825421168")</f>
        <v>0825421168</v>
      </c>
      <c r="C1602" s="213">
        <f>IFERROR(__xludf.DUMMYFUNCTION("""COMPUTED_VALUE"""),45895.4490625)</f>
        <v>45895.44906</v>
      </c>
      <c r="D1602" s="211" t="str">
        <f>IFERROR(__xludf.DUMMYFUNCTION("""COMPUTED_VALUE"""),"e86baf3b")</f>
        <v>e86baf3b</v>
      </c>
      <c r="E1602" s="211" t="str">
        <f>IFERROR(__xludf.DUMMYFUNCTION("""COMPUTED_VALUE"""),"PT GEMILANG CIPTA WAWASAN")</f>
        <v>PT GEMILANG CIPTA WAWASAN</v>
      </c>
      <c r="F1602" s="211" t="str">
        <f>IFERROR(__xludf.DUMMYFUNCTION("""COMPUTED_VALUE"""),"8bdbe149")</f>
        <v>8bdbe149</v>
      </c>
      <c r="G1602" s="211" t="str">
        <f>IFERROR(__xludf.DUMMYFUNCTION("""COMPUTED_VALUE"""),"Oksigen 6m3")</f>
        <v>Oksigen 6m3</v>
      </c>
      <c r="H1602" s="211" t="str">
        <f>IFERROR(__xludf.DUMMYFUNCTION("""COMPUTED_VALUE"""),"OUT")</f>
        <v>OUT</v>
      </c>
      <c r="I1602" s="211" t="str">
        <f>IFERROR(__xludf.DUMMYFUNCTION("""COMPUTED_VALUE"""),"NORMAL")</f>
        <v>NORMAL</v>
      </c>
      <c r="J1602" s="211">
        <f>IFERROR(__xludf.DUMMYFUNCTION("""COMPUTED_VALUE"""),9.0)</f>
        <v>9</v>
      </c>
      <c r="K1602" s="210" t="str">
        <f>IFERROR(__xludf.DUMMYFUNCTION("""COMPUTED_VALUE"""),"1197 1117 1195 11129 11100 11244 1149 1155 1134")</f>
        <v>1197 1117 1195 11129 11100 11244 1149 1155 1134</v>
      </c>
      <c r="L1602" s="211">
        <f>IFERROR(__xludf.DUMMYFUNCTION("""COMPUTED_VALUE"""),60000.0)</f>
        <v>60000</v>
      </c>
      <c r="M1602" s="211"/>
      <c r="N1602" s="211"/>
      <c r="O1602" s="211"/>
      <c r="Q1602" s="210" t="str">
        <f>IFERROR(__xludf.DUMMYFUNCTION("""COMPUTED_VALUE"""),"1125211602")</f>
        <v>1125211602</v>
      </c>
      <c r="R1602" s="210" t="str">
        <f>IFERROR(__xludf.DUMMYFUNCTION("""COMPUTED_VALUE"""),"1125211602")</f>
        <v>1125211602</v>
      </c>
      <c r="S1602" s="211" t="str">
        <f>IFERROR(__xludf.DUMMYFUNCTION("""COMPUTED_VALUE"""),"7b9d8eba")</f>
        <v>7b9d8eba</v>
      </c>
      <c r="T1602" s="211" t="str">
        <f>IFERROR(__xludf.DUMMYFUNCTION("""COMPUTED_VALUE"""),"PT PELANGI INDOKARYA")</f>
        <v>PT PELANGI INDOKARYA</v>
      </c>
      <c r="U1602" s="215">
        <f>IFERROR(__xludf.DUMMYFUNCTION("""COMPUTED_VALUE"""),45965.35533564815)</f>
        <v>45965.35534</v>
      </c>
      <c r="V160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602" s="211" t="str">
        <f>IFERROR(__xludf.DUMMYFUNCTION("""COMPUTED_VALUE"""),"OUT")</f>
        <v>OUT</v>
      </c>
      <c r="X1602" s="211"/>
      <c r="AL1602" s="211"/>
      <c r="AM1602" s="211"/>
      <c r="AN1602" s="211"/>
      <c r="AO1602" s="211"/>
      <c r="AP1602" s="215"/>
      <c r="AQ1602" s="218"/>
      <c r="AR1602" s="211"/>
    </row>
    <row r="1603">
      <c r="A1603" s="210" t="str">
        <f>IFERROR(__xludf.DUMMYFUNCTION("""COMPUTED_VALUE"""),"0825421168")</f>
        <v>0825421168</v>
      </c>
      <c r="B1603" s="210" t="str">
        <f>IFERROR(__xludf.DUMMYFUNCTION("""COMPUTED_VALUE"""),"0825421168")</f>
        <v>0825421168</v>
      </c>
      <c r="C1603" s="213">
        <f>IFERROR(__xludf.DUMMYFUNCTION("""COMPUTED_VALUE"""),45895.4490625)</f>
        <v>45895.44906</v>
      </c>
      <c r="D1603" s="211" t="str">
        <f>IFERROR(__xludf.DUMMYFUNCTION("""COMPUTED_VALUE"""),"e86baf3b")</f>
        <v>e86baf3b</v>
      </c>
      <c r="E1603" s="211" t="str">
        <f>IFERROR(__xludf.DUMMYFUNCTION("""COMPUTED_VALUE"""),"PT GEMILANG CIPTA WAWASAN")</f>
        <v>PT GEMILANG CIPTA WAWASAN</v>
      </c>
      <c r="F1603" s="211" t="str">
        <f>IFERROR(__xludf.DUMMYFUNCTION("""COMPUTED_VALUE"""),"7d2764f1")</f>
        <v>7d2764f1</v>
      </c>
      <c r="G1603" s="211" t="str">
        <f>IFERROR(__xludf.DUMMYFUNCTION("""COMPUTED_VALUE"""),"Oksigen 7m3")</f>
        <v>Oksigen 7m3</v>
      </c>
      <c r="H1603" s="211" t="str">
        <f>IFERROR(__xludf.DUMMYFUNCTION("""COMPUTED_VALUE"""),"OUT")</f>
        <v>OUT</v>
      </c>
      <c r="I1603" s="211" t="str">
        <f>IFERROR(__xludf.DUMMYFUNCTION("""COMPUTED_VALUE"""),"NORMAL")</f>
        <v>NORMAL</v>
      </c>
      <c r="J1603" s="211">
        <f>IFERROR(__xludf.DUMMYFUNCTION("""COMPUTED_VALUE"""),6.0)</f>
        <v>6</v>
      </c>
      <c r="K1603" s="210" t="str">
        <f>IFERROR(__xludf.DUMMYFUNCTION("""COMPUTED_VALUE"""),"11146 11135 11150 11237 1165 11157")</f>
        <v>11146 11135 11150 11237 1165 11157</v>
      </c>
      <c r="L1603" s="211"/>
      <c r="M1603" s="211"/>
      <c r="N1603" s="211"/>
      <c r="O1603" s="211"/>
      <c r="Q1603" s="210" t="str">
        <f>IFERROR(__xludf.DUMMYFUNCTION("""COMPUTED_VALUE"""),"112531603")</f>
        <v>112531603</v>
      </c>
      <c r="R1603" s="210" t="str">
        <f>IFERROR(__xludf.DUMMYFUNCTION("""COMPUTED_VALUE"""),"112531603")</f>
        <v>112531603</v>
      </c>
      <c r="S1603" s="211" t="str">
        <f>IFERROR(__xludf.DUMMYFUNCTION("""COMPUTED_VALUE"""),"b0735da4")</f>
        <v>b0735da4</v>
      </c>
      <c r="T1603" s="211" t="str">
        <f>IFERROR(__xludf.DUMMYFUNCTION("""COMPUTED_VALUE"""),"Bpk. Amer Ciro")</f>
        <v>Bpk. Amer Ciro</v>
      </c>
      <c r="U1603" s="215">
        <f>IFERROR(__xludf.DUMMYFUNCTION("""COMPUTED_VALUE"""),45965.37299768518)</f>
        <v>45965.373</v>
      </c>
      <c r="V1603" s="211" t="str">
        <f>IFERROR(__xludf.DUMMYFUNCTION("""COMPUTED_VALUE"""),"HFJR+FV8 Bakungtemenggungan, Kabupaten Sidoarjo, Jawa Timur")</f>
        <v>HFJR+FV8 Bakungtemenggungan, Kabupaten Sidoarjo, Jawa Timur</v>
      </c>
      <c r="W1603" s="211" t="str">
        <f>IFERROR(__xludf.DUMMYFUNCTION("""COMPUTED_VALUE"""),"OUT")</f>
        <v>OUT</v>
      </c>
      <c r="X1603" s="211"/>
      <c r="AL1603" s="211"/>
      <c r="AM1603" s="211"/>
      <c r="AN1603" s="211"/>
      <c r="AO1603" s="211"/>
      <c r="AP1603" s="215"/>
      <c r="AQ1603" s="218"/>
      <c r="AR1603" s="211"/>
    </row>
    <row r="1604">
      <c r="A1604" s="210" t="str">
        <f>IFERROR(__xludf.DUMMYFUNCTION("""COMPUTED_VALUE"""),"0825161170")</f>
        <v>0825161170</v>
      </c>
      <c r="B1604" s="210" t="str">
        <f>IFERROR(__xludf.DUMMYFUNCTION("""COMPUTED_VALUE"""),"0825161170")</f>
        <v>0825161170</v>
      </c>
      <c r="C1604" s="213">
        <f>IFERROR(__xludf.DUMMYFUNCTION("""COMPUTED_VALUE"""),45895.47479166667)</f>
        <v>45895.47479</v>
      </c>
      <c r="D1604" s="211" t="str">
        <f>IFERROR(__xludf.DUMMYFUNCTION("""COMPUTED_VALUE"""),"b2b5f2c5")</f>
        <v>b2b5f2c5</v>
      </c>
      <c r="E1604" s="211" t="str">
        <f>IFERROR(__xludf.DUMMYFUNCTION("""COMPUTED_VALUE"""),"Bengkel Las Bpk. Ari")</f>
        <v>Bengkel Las Bpk. Ari</v>
      </c>
      <c r="F1604" s="211" t="str">
        <f>IFERROR(__xludf.DUMMYFUNCTION("""COMPUTED_VALUE"""),"8bdbe149")</f>
        <v>8bdbe149</v>
      </c>
      <c r="G1604" s="211" t="str">
        <f>IFERROR(__xludf.DUMMYFUNCTION("""COMPUTED_VALUE"""),"Oksigen 6m3")</f>
        <v>Oksigen 6m3</v>
      </c>
      <c r="H1604" s="211" t="str">
        <f>IFERROR(__xludf.DUMMYFUNCTION("""COMPUTED_VALUE"""),"OUT")</f>
        <v>OUT</v>
      </c>
      <c r="I1604" s="211" t="str">
        <f>IFERROR(__xludf.DUMMYFUNCTION("""COMPUTED_VALUE"""),"NORMAL")</f>
        <v>NORMAL</v>
      </c>
      <c r="J1604" s="211">
        <f>IFERROR(__xludf.DUMMYFUNCTION("""COMPUTED_VALUE"""),1.0)</f>
        <v>1</v>
      </c>
      <c r="K1604" s="210" t="str">
        <f>IFERROR(__xludf.DUMMYFUNCTION("""COMPUTED_VALUE"""),"11234")</f>
        <v>11234</v>
      </c>
      <c r="L1604" s="211">
        <f>IFERROR(__xludf.DUMMYFUNCTION("""COMPUTED_VALUE"""),60000.0)</f>
        <v>60000</v>
      </c>
      <c r="M1604" s="211"/>
      <c r="N1604" s="211"/>
      <c r="O1604" s="211"/>
      <c r="Q1604" s="210" t="str">
        <f>IFERROR(__xludf.DUMMYFUNCTION("""COMPUTED_VALUE"""),"112521604")</f>
        <v>112521604</v>
      </c>
      <c r="R1604" s="210" t="str">
        <f>IFERROR(__xludf.DUMMYFUNCTION("""COMPUTED_VALUE"""),"112521604")</f>
        <v>112521604</v>
      </c>
      <c r="S1604" s="211" t="str">
        <f>IFERROR(__xludf.DUMMYFUNCTION("""COMPUTED_VALUE"""),"faf71ae5")</f>
        <v>faf71ae5</v>
      </c>
      <c r="T1604" s="211" t="str">
        <f>IFERROR(__xludf.DUMMYFUNCTION("""COMPUTED_VALUE"""),"Bpk. Sampurna")</f>
        <v>Bpk. Sampurna</v>
      </c>
      <c r="U1604" s="215">
        <f>IFERROR(__xludf.DUMMYFUNCTION("""COMPUTED_VALUE"""),45965.37328703704)</f>
        <v>45965.37329</v>
      </c>
      <c r="V1604" s="211" t="str">
        <f>IFERROR(__xludf.DUMMYFUNCTION("""COMPUTED_VALUE"""),"Jl. Bypass Krian KM.30 No.15, Kraton, Kec. Krian, Kabupaten Sidoarjo, Jawa Timur 61262")</f>
        <v>Jl. Bypass Krian KM.30 No.15, Kraton, Kec. Krian, Kabupaten Sidoarjo, Jawa Timur 61262</v>
      </c>
      <c r="W1604" s="211" t="str">
        <f>IFERROR(__xludf.DUMMYFUNCTION("""COMPUTED_VALUE"""),"OUT")</f>
        <v>OUT</v>
      </c>
      <c r="X1604" s="211"/>
      <c r="AL1604" s="211"/>
      <c r="AM1604" s="211"/>
      <c r="AN1604" s="211"/>
      <c r="AO1604" s="211"/>
      <c r="AP1604" s="215"/>
      <c r="AQ1604" s="218"/>
      <c r="AR1604" s="211"/>
    </row>
    <row r="1605">
      <c r="A1605" s="210" t="str">
        <f>IFERROR(__xludf.DUMMYFUNCTION("""COMPUTED_VALUE"""),"0825161170")</f>
        <v>0825161170</v>
      </c>
      <c r="B1605" s="210" t="str">
        <f>IFERROR(__xludf.DUMMYFUNCTION("""COMPUTED_VALUE"""),"0825161170")</f>
        <v>0825161170</v>
      </c>
      <c r="C1605" s="213">
        <f>IFERROR(__xludf.DUMMYFUNCTION("""COMPUTED_VALUE"""),45895.47479166667)</f>
        <v>45895.47479</v>
      </c>
      <c r="D1605" s="211" t="str">
        <f>IFERROR(__xludf.DUMMYFUNCTION("""COMPUTED_VALUE"""),"b2b5f2c5")</f>
        <v>b2b5f2c5</v>
      </c>
      <c r="E1605" s="211" t="str">
        <f>IFERROR(__xludf.DUMMYFUNCTION("""COMPUTED_VALUE"""),"Bengkel Las Bpk. Ari")</f>
        <v>Bengkel Las Bpk. Ari</v>
      </c>
      <c r="F1605" s="211" t="str">
        <f>IFERROR(__xludf.DUMMYFUNCTION("""COMPUTED_VALUE"""),"7d2764f1")</f>
        <v>7d2764f1</v>
      </c>
      <c r="G1605" s="211" t="str">
        <f>IFERROR(__xludf.DUMMYFUNCTION("""COMPUTED_VALUE"""),"Oksigen 7m3")</f>
        <v>Oksigen 7m3</v>
      </c>
      <c r="H1605" s="211" t="str">
        <f>IFERROR(__xludf.DUMMYFUNCTION("""COMPUTED_VALUE"""),"OUT")</f>
        <v>OUT</v>
      </c>
      <c r="I1605" s="211" t="str">
        <f>IFERROR(__xludf.DUMMYFUNCTION("""COMPUTED_VALUE"""),"NORMAL")</f>
        <v>NORMAL</v>
      </c>
      <c r="J1605" s="211">
        <f>IFERROR(__xludf.DUMMYFUNCTION("""COMPUTED_VALUE"""),4.0)</f>
        <v>4</v>
      </c>
      <c r="K1605" s="210" t="str">
        <f>IFERROR(__xludf.DUMMYFUNCTION("""COMPUTED_VALUE"""),"11218 11217 11229 76")</f>
        <v>11218 11217 11229 76</v>
      </c>
      <c r="L1605" s="211">
        <f>IFERROR(__xludf.DUMMYFUNCTION("""COMPUTED_VALUE"""),60000.0)</f>
        <v>60000</v>
      </c>
      <c r="M1605" s="211"/>
      <c r="N1605" s="211"/>
      <c r="O1605" s="211"/>
      <c r="Q1605" s="210" t="str">
        <f>IFERROR(__xludf.DUMMYFUNCTION("""COMPUTED_VALUE"""),"1250744")</f>
        <v>1250744</v>
      </c>
      <c r="R1605" s="210" t="str">
        <f>IFERROR(__xludf.DUMMYFUNCTION("""COMPUTED_VALUE"""),"1250744")</f>
        <v>1250744</v>
      </c>
      <c r="S1605" s="211" t="str">
        <f>IFERROR(__xludf.DUMMYFUNCTION("""COMPUTED_VALUE"""),"9e31e9f4")</f>
        <v>9e31e9f4</v>
      </c>
      <c r="T1605" s="211" t="str">
        <f>IFERROR(__xludf.DUMMYFUNCTION("""COMPUTED_VALUE"""),"Bpk. Eko Iswantoro")</f>
        <v>Bpk. Eko Iswantoro</v>
      </c>
      <c r="U1605" s="215">
        <f>IFERROR(__xludf.DUMMYFUNCTION("""COMPUTED_VALUE"""),45965.405023148145)</f>
        <v>45965.40502</v>
      </c>
      <c r="V1605" s="211" t="str">
        <f>IFERROR(__xludf.DUMMYFUNCTION("""COMPUTED_VALUE"""),"HHWW+8J Kemasan, Kec. Krian, Kabupaten Sidoarjo, Jawa Timur, Indonesia")</f>
        <v>HHWW+8J Kemasan, Kec. Krian, Kabupaten Sidoarjo, Jawa Timur, Indonesia</v>
      </c>
      <c r="W1605" s="211" t="str">
        <f>IFERROR(__xludf.DUMMYFUNCTION("""COMPUTED_VALUE"""),"IN")</f>
        <v>IN</v>
      </c>
      <c r="X1605" s="211"/>
      <c r="AL1605" s="211"/>
      <c r="AM1605" s="211"/>
      <c r="AN1605" s="211"/>
      <c r="AO1605" s="211"/>
      <c r="AP1605" s="215"/>
      <c r="AQ1605" s="218"/>
      <c r="AR1605" s="211"/>
    </row>
    <row r="1606">
      <c r="A1606" s="210" t="str">
        <f>IFERROR(__xludf.DUMMYFUNCTION("""COMPUTED_VALUE"""),"1250531")</f>
        <v>1250531</v>
      </c>
      <c r="B1606" s="210" t="str">
        <f>IFERROR(__xludf.DUMMYFUNCTION("""COMPUTED_VALUE"""),"1250531")</f>
        <v>1250531</v>
      </c>
      <c r="C1606" s="213">
        <f>IFERROR(__xludf.DUMMYFUNCTION("""COMPUTED_VALUE"""),45895.59725694444)</f>
        <v>45895.59726</v>
      </c>
      <c r="D1606" s="211" t="str">
        <f>IFERROR(__xludf.DUMMYFUNCTION("""COMPUTED_VALUE"""),"e86baf3b")</f>
        <v>e86baf3b</v>
      </c>
      <c r="E1606" s="211" t="str">
        <f>IFERROR(__xludf.DUMMYFUNCTION("""COMPUTED_VALUE"""),"PT GEMILANG CIPTA WAWASAN")</f>
        <v>PT GEMILANG CIPTA WAWASAN</v>
      </c>
      <c r="F1606" s="211" t="str">
        <f>IFERROR(__xludf.DUMMYFUNCTION("""COMPUTED_VALUE"""),"66af7c72")</f>
        <v>66af7c72</v>
      </c>
      <c r="G1606" s="211" t="str">
        <f>IFERROR(__xludf.DUMMYFUNCTION("""COMPUTED_VALUE"""),"Argon 6m3")</f>
        <v>Argon 6m3</v>
      </c>
      <c r="H1606" s="211" t="str">
        <f>IFERROR(__xludf.DUMMYFUNCTION("""COMPUTED_VALUE"""),"IN")</f>
        <v>IN</v>
      </c>
      <c r="I1606" s="211" t="str">
        <f>IFERROR(__xludf.DUMMYFUNCTION("""COMPUTED_VALUE"""),"EMPTY")</f>
        <v>EMPTY</v>
      </c>
      <c r="J1606" s="211">
        <f>IFERROR(__xludf.DUMMYFUNCTION("""COMPUTED_VALUE"""),19.0)</f>
        <v>19</v>
      </c>
      <c r="K1606" s="210" t="str">
        <f>IFERROR(__xludf.DUMMYFUNCTION("""COMPUTED_VALUE"""),"12003 12025 12021 12020 12045 12014 12067 12066 12030 12042 12056 12071 12024 12065 12048 12011 12063 12054 12013")</f>
        <v>12003 12025 12021 12020 12045 12014 12067 12066 12030 12042 12056 12071 12024 12065 12048 12011 12063 12054 12013</v>
      </c>
      <c r="L1606" s="211">
        <f>IFERROR(__xludf.DUMMYFUNCTION("""COMPUTED_VALUE"""),0.0)</f>
        <v>0</v>
      </c>
      <c r="M1606" s="211"/>
      <c r="N1606" s="211"/>
      <c r="O1606" s="211"/>
      <c r="Q1606" s="210" t="str">
        <f>IFERROR(__xludf.DUMMYFUNCTION("""COMPUTED_VALUE"""),"1250743")</f>
        <v>1250743</v>
      </c>
      <c r="R1606" s="210" t="str">
        <f>IFERROR(__xludf.DUMMYFUNCTION("""COMPUTED_VALUE"""),"1250743")</f>
        <v>1250743</v>
      </c>
      <c r="S1606" s="211" t="str">
        <f>IFERROR(__xludf.DUMMYFUNCTION("""COMPUTED_VALUE"""),"7b9d8eba")</f>
        <v>7b9d8eba</v>
      </c>
      <c r="T1606" s="211" t="str">
        <f>IFERROR(__xludf.DUMMYFUNCTION("""COMPUTED_VALUE"""),"PT PELANGI INDOKARYA")</f>
        <v>PT PELANGI INDOKARYA</v>
      </c>
      <c r="U1606" s="215">
        <f>IFERROR(__xludf.DUMMYFUNCTION("""COMPUTED_VALUE"""),45965.40625)</f>
        <v>45965.40625</v>
      </c>
      <c r="V1606"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606" s="211" t="str">
        <f>IFERROR(__xludf.DUMMYFUNCTION("""COMPUTED_VALUE"""),"IN")</f>
        <v>IN</v>
      </c>
      <c r="X1606" s="211"/>
      <c r="AL1606" s="211"/>
      <c r="AM1606" s="211"/>
      <c r="AN1606" s="211"/>
      <c r="AO1606" s="211"/>
      <c r="AP1606" s="215"/>
      <c r="AQ1606" s="218"/>
      <c r="AR1606" s="211"/>
    </row>
    <row r="1607">
      <c r="A1607" s="210" t="str">
        <f>IFERROR(__xludf.DUMMYFUNCTION("""COMPUTED_VALUE"""),"1250531")</f>
        <v>1250531</v>
      </c>
      <c r="B1607" s="210" t="str">
        <f>IFERROR(__xludf.DUMMYFUNCTION("""COMPUTED_VALUE"""),"1250531")</f>
        <v>1250531</v>
      </c>
      <c r="C1607" s="213">
        <f>IFERROR(__xludf.DUMMYFUNCTION("""COMPUTED_VALUE"""),45895.59725694444)</f>
        <v>45895.59726</v>
      </c>
      <c r="D1607" s="211" t="str">
        <f>IFERROR(__xludf.DUMMYFUNCTION("""COMPUTED_VALUE"""),"e86baf3b")</f>
        <v>e86baf3b</v>
      </c>
      <c r="E1607" s="211" t="str">
        <f>IFERROR(__xludf.DUMMYFUNCTION("""COMPUTED_VALUE"""),"PT GEMILANG CIPTA WAWASAN")</f>
        <v>PT GEMILANG CIPTA WAWASAN</v>
      </c>
      <c r="F1607" s="211" t="str">
        <f>IFERROR(__xludf.DUMMYFUNCTION("""COMPUTED_VALUE"""),"be525f3b")</f>
        <v>be525f3b</v>
      </c>
      <c r="G1607" s="211" t="str">
        <f>IFERROR(__xludf.DUMMYFUNCTION("""COMPUTED_VALUE"""),"LPG 12kg")</f>
        <v>LPG 12kg</v>
      </c>
      <c r="H1607" s="211" t="str">
        <f>IFERROR(__xludf.DUMMYFUNCTION("""COMPUTED_VALUE"""),"IN")</f>
        <v>IN</v>
      </c>
      <c r="I1607" s="211" t="str">
        <f>IFERROR(__xludf.DUMMYFUNCTION("""COMPUTED_VALUE"""),"EMPTY")</f>
        <v>EMPTY</v>
      </c>
      <c r="J1607" s="211">
        <f>IFERROR(__xludf.DUMMYFUNCTION("""COMPUTED_VALUE"""),3.0)</f>
        <v>3</v>
      </c>
      <c r="K1607" s="211"/>
      <c r="L1607" s="211">
        <f>IFERROR(__xludf.DUMMYFUNCTION("""COMPUTED_VALUE"""),0.0)</f>
        <v>0</v>
      </c>
      <c r="M1607" s="211"/>
      <c r="N1607" s="211"/>
      <c r="O1607" s="211"/>
      <c r="Q1607" s="210" t="str">
        <f>IFERROR(__xludf.DUMMYFUNCTION("""COMPUTED_VALUE"""),"1250739")</f>
        <v>1250739</v>
      </c>
      <c r="R1607" s="210" t="str">
        <f>IFERROR(__xludf.DUMMYFUNCTION("""COMPUTED_VALUE"""),"1250739")</f>
        <v>1250739</v>
      </c>
      <c r="S1607" s="211" t="str">
        <f>IFERROR(__xludf.DUMMYFUNCTION("""COMPUTED_VALUE"""),"e86baf3b")</f>
        <v>e86baf3b</v>
      </c>
      <c r="T1607" s="211" t="str">
        <f>IFERROR(__xludf.DUMMYFUNCTION("""COMPUTED_VALUE"""),"PT GEMILANG CIPTA WAWASAN")</f>
        <v>PT GEMILANG CIPTA WAWASAN</v>
      </c>
      <c r="U1607" s="215">
        <f>IFERROR(__xludf.DUMMYFUNCTION("""COMPUTED_VALUE"""),45965.434652777774)</f>
        <v>45965.43465</v>
      </c>
      <c r="V1607" s="211" t="str">
        <f>IFERROR(__xludf.DUMMYFUNCTION("""COMPUTED_VALUE"""),"JL TEBET RAYA, 2A, TEBET BARAT, TEBET, KOTA ADM, JAKARTA SELATAN, DKI JAKARTA")</f>
        <v>JL TEBET RAYA, 2A, TEBET BARAT, TEBET, KOTA ADM, JAKARTA SELATAN, DKI JAKARTA</v>
      </c>
      <c r="W1607" s="211" t="str">
        <f>IFERROR(__xludf.DUMMYFUNCTION("""COMPUTED_VALUE"""),"IN")</f>
        <v>IN</v>
      </c>
      <c r="X1607" s="211"/>
      <c r="AL1607" s="211"/>
      <c r="AM1607" s="211"/>
      <c r="AN1607" s="211"/>
      <c r="AO1607" s="211"/>
      <c r="AP1607" s="215"/>
      <c r="AQ1607" s="218"/>
      <c r="AR1607" s="211"/>
    </row>
    <row r="1608">
      <c r="A1608" s="210" t="str">
        <f>IFERROR(__xludf.DUMMYFUNCTION("""COMPUTED_VALUE"""),"1250531")</f>
        <v>1250531</v>
      </c>
      <c r="B1608" s="210" t="str">
        <f>IFERROR(__xludf.DUMMYFUNCTION("""COMPUTED_VALUE"""),"1250531")</f>
        <v>1250531</v>
      </c>
      <c r="C1608" s="213">
        <f>IFERROR(__xludf.DUMMYFUNCTION("""COMPUTED_VALUE"""),45895.59725694444)</f>
        <v>45895.59726</v>
      </c>
      <c r="D1608" s="211" t="str">
        <f>IFERROR(__xludf.DUMMYFUNCTION("""COMPUTED_VALUE"""),"e86baf3b")</f>
        <v>e86baf3b</v>
      </c>
      <c r="E1608" s="211" t="str">
        <f>IFERROR(__xludf.DUMMYFUNCTION("""COMPUTED_VALUE"""),"PT GEMILANG CIPTA WAWASAN")</f>
        <v>PT GEMILANG CIPTA WAWASAN</v>
      </c>
      <c r="F1608" s="211" t="str">
        <f>IFERROR(__xludf.DUMMYFUNCTION("""COMPUTED_VALUE"""),"8bdbe149")</f>
        <v>8bdbe149</v>
      </c>
      <c r="G1608" s="211" t="str">
        <f>IFERROR(__xludf.DUMMYFUNCTION("""COMPUTED_VALUE"""),"Oksigen 6m3")</f>
        <v>Oksigen 6m3</v>
      </c>
      <c r="H1608" s="211" t="str">
        <f>IFERROR(__xludf.DUMMYFUNCTION("""COMPUTED_VALUE"""),"IN")</f>
        <v>IN</v>
      </c>
      <c r="I1608" s="211" t="str">
        <f>IFERROR(__xludf.DUMMYFUNCTION("""COMPUTED_VALUE"""),"EMPTY")</f>
        <v>EMPTY</v>
      </c>
      <c r="J1608" s="211">
        <f>IFERROR(__xludf.DUMMYFUNCTION("""COMPUTED_VALUE"""),18.0)</f>
        <v>18</v>
      </c>
      <c r="K1608" s="210" t="str">
        <f>IFERROR(__xludf.DUMMYFUNCTION("""COMPUTED_VALUE"""),"1104 1108 1118 11132 11130 11112 11165 11128 1112 11228 11189 11181 11251 1185 1168 11278 11105 11269")</f>
        <v>1104 1108 1118 11132 11130 11112 11165 11128 1112 11228 11189 11181 11251 1185 1168 11278 11105 11269</v>
      </c>
      <c r="L1608" s="211">
        <f>IFERROR(__xludf.DUMMYFUNCTION("""COMPUTED_VALUE"""),0.0)</f>
        <v>0</v>
      </c>
      <c r="M1608" s="211"/>
      <c r="N1608" s="211"/>
      <c r="O1608" s="211"/>
      <c r="Q1608" s="210" t="str">
        <f>IFERROR(__xludf.DUMMYFUNCTION("""COMPUTED_VALUE"""),"1250740")</f>
        <v>1250740</v>
      </c>
      <c r="R1608" s="210" t="str">
        <f>IFERROR(__xludf.DUMMYFUNCTION("""COMPUTED_VALUE"""),"1250740")</f>
        <v>1250740</v>
      </c>
      <c r="S1608" s="211" t="str">
        <f>IFERROR(__xludf.DUMMYFUNCTION("""COMPUTED_VALUE"""),"4c3a2a5f")</f>
        <v>4c3a2a5f</v>
      </c>
      <c r="T1608" s="211" t="str">
        <f>IFERROR(__xludf.DUMMYFUNCTION("""COMPUTED_VALUE"""),"CV Matahari Mitra Sukses")</f>
        <v>CV Matahari Mitra Sukses</v>
      </c>
      <c r="U1608" s="215">
        <f>IFERROR(__xludf.DUMMYFUNCTION("""COMPUTED_VALUE"""),45965.4384375)</f>
        <v>45965.43844</v>
      </c>
      <c r="V1608" s="211" t="str">
        <f>IFERROR(__xludf.DUMMYFUNCTION("""COMPUTED_VALUE"""),"Jl. Raya Hj. Fatimah 01, Tarik, Kabupaten Sidoarjo, Jawa Timur 61265, Indonesia")</f>
        <v>Jl. Raya Hj. Fatimah 01, Tarik, Kabupaten Sidoarjo, Jawa Timur 61265, Indonesia</v>
      </c>
      <c r="W1608" s="211" t="str">
        <f>IFERROR(__xludf.DUMMYFUNCTION("""COMPUTED_VALUE"""),"IN")</f>
        <v>IN</v>
      </c>
      <c r="X1608" s="211"/>
      <c r="AL1608" s="211"/>
      <c r="AM1608" s="211"/>
      <c r="AN1608" s="211"/>
      <c r="AO1608" s="211"/>
      <c r="AP1608" s="215"/>
      <c r="AQ1608" s="218"/>
      <c r="AR1608" s="211"/>
    </row>
    <row r="1609">
      <c r="A1609" s="210" t="str">
        <f>IFERROR(__xludf.DUMMYFUNCTION("""COMPUTED_VALUE"""),"1250533")</f>
        <v>1250533</v>
      </c>
      <c r="B1609" s="210" t="str">
        <f>IFERROR(__xludf.DUMMYFUNCTION("""COMPUTED_VALUE"""),"1250533")</f>
        <v>1250533</v>
      </c>
      <c r="C1609" s="213">
        <f>IFERROR(__xludf.DUMMYFUNCTION("""COMPUTED_VALUE"""),45896.34208333334)</f>
        <v>45896.34208</v>
      </c>
      <c r="D1609" s="211" t="str">
        <f>IFERROR(__xludf.DUMMYFUNCTION("""COMPUTED_VALUE"""),"b2b5f2c5")</f>
        <v>b2b5f2c5</v>
      </c>
      <c r="E1609" s="211" t="str">
        <f>IFERROR(__xludf.DUMMYFUNCTION("""COMPUTED_VALUE"""),"Bengkel Las Bpk. Ari")</f>
        <v>Bengkel Las Bpk. Ari</v>
      </c>
      <c r="F1609" s="211" t="str">
        <f>IFERROR(__xludf.DUMMYFUNCTION("""COMPUTED_VALUE"""),"8bdbe149")</f>
        <v>8bdbe149</v>
      </c>
      <c r="G1609" s="211" t="str">
        <f>IFERROR(__xludf.DUMMYFUNCTION("""COMPUTED_VALUE"""),"Oksigen 6m3")</f>
        <v>Oksigen 6m3</v>
      </c>
      <c r="H1609" s="211" t="str">
        <f>IFERROR(__xludf.DUMMYFUNCTION("""COMPUTED_VALUE"""),"IN")</f>
        <v>IN</v>
      </c>
      <c r="I1609" s="211" t="str">
        <f>IFERROR(__xludf.DUMMYFUNCTION("""COMPUTED_VALUE"""),"EMPTY")</f>
        <v>EMPTY</v>
      </c>
      <c r="J1609" s="211">
        <f>IFERROR(__xludf.DUMMYFUNCTION("""COMPUTED_VALUE"""),2.0)</f>
        <v>2</v>
      </c>
      <c r="K1609" s="210" t="str">
        <f>IFERROR(__xludf.DUMMYFUNCTION("""COMPUTED_VALUE"""),"1189 11210")</f>
        <v>1189 11210</v>
      </c>
      <c r="L1609" s="211">
        <f>IFERROR(__xludf.DUMMYFUNCTION("""COMPUTED_VALUE"""),0.0)</f>
        <v>0</v>
      </c>
      <c r="M1609" s="211"/>
      <c r="N1609" s="211"/>
      <c r="O1609" s="211"/>
      <c r="Q1609" s="210" t="str">
        <f>IFERROR(__xludf.DUMMYFUNCTION("""COMPUTED_VALUE"""),"112541605")</f>
        <v>112541605</v>
      </c>
      <c r="R1609" s="210" t="str">
        <f>IFERROR(__xludf.DUMMYFUNCTION("""COMPUTED_VALUE"""),"112541605")</f>
        <v>112541605</v>
      </c>
      <c r="S1609" s="211" t="str">
        <f>IFERROR(__xludf.DUMMYFUNCTION("""COMPUTED_VALUE"""),"440df1db")</f>
        <v>440df1db</v>
      </c>
      <c r="T1609" s="211" t="str">
        <f>IFERROR(__xludf.DUMMYFUNCTION("""COMPUTED_VALUE"""),"PT. Mecca Abadi Sejahtera")</f>
        <v>PT. Mecca Abadi Sejahtera</v>
      </c>
      <c r="U1609" s="215">
        <f>IFERROR(__xludf.DUMMYFUNCTION("""COMPUTED_VALUE"""),45965.44012731482)</f>
        <v>45965.44013</v>
      </c>
      <c r="V1609" s="211" t="str">
        <f>IFERROR(__xludf.DUMMYFUNCTION("""COMPUTED_VALUE"""),"Jl. Raya Sawocangkring, RT.006/RW.002, Sawo, Sawocangkring, Kec. Wonoayu, Kabupaten Sidoarjo, Jawa Timur 61261")</f>
        <v>Jl. Raya Sawocangkring, RT.006/RW.002, Sawo, Sawocangkring, Kec. Wonoayu, Kabupaten Sidoarjo, Jawa Timur 61261</v>
      </c>
      <c r="W1609" s="211" t="str">
        <f>IFERROR(__xludf.DUMMYFUNCTION("""COMPUTED_VALUE"""),"OUT")</f>
        <v>OUT</v>
      </c>
      <c r="X1609" s="211"/>
      <c r="AL1609" s="211"/>
      <c r="AM1609" s="211"/>
      <c r="AN1609" s="211"/>
      <c r="AO1609" s="211"/>
      <c r="AP1609" s="215"/>
      <c r="AQ1609" s="218"/>
      <c r="AR1609" s="211"/>
    </row>
    <row r="1610">
      <c r="A1610" s="210" t="str">
        <f>IFERROR(__xludf.DUMMYFUNCTION("""COMPUTED_VALUE"""),"082581171")</f>
        <v>082581171</v>
      </c>
      <c r="B1610" s="210" t="str">
        <f>IFERROR(__xludf.DUMMYFUNCTION("""COMPUTED_VALUE"""),"082581171")</f>
        <v>082581171</v>
      </c>
      <c r="C1610" s="213">
        <f>IFERROR(__xludf.DUMMYFUNCTION("""COMPUTED_VALUE"""),45896.402337962965)</f>
        <v>45896.40234</v>
      </c>
      <c r="D1610" s="211" t="str">
        <f>IFERROR(__xludf.DUMMYFUNCTION("""COMPUTED_VALUE"""),"3bcd7fe6")</f>
        <v>3bcd7fe6</v>
      </c>
      <c r="E1610" s="211" t="str">
        <f>IFERROR(__xludf.DUMMYFUNCTION("""COMPUTED_VALUE"""),"Bpk. Alvin (LB Group)")</f>
        <v>Bpk. Alvin (LB Group)</v>
      </c>
      <c r="F1610" s="211" t="str">
        <f>IFERROR(__xludf.DUMMYFUNCTION("""COMPUTED_VALUE"""),"f6aab7a9")</f>
        <v>f6aab7a9</v>
      </c>
      <c r="G1610" s="211" t="str">
        <f>IFERROR(__xludf.DUMMYFUNCTION("""COMPUTED_VALUE"""),"Oksigen 6m3 MR")</f>
        <v>Oksigen 6m3 MR</v>
      </c>
      <c r="H1610" s="211" t="str">
        <f>IFERROR(__xludf.DUMMYFUNCTION("""COMPUTED_VALUE"""),"OUT")</f>
        <v>OUT</v>
      </c>
      <c r="I1610" s="211" t="str">
        <f>IFERROR(__xludf.DUMMYFUNCTION("""COMPUTED_VALUE"""),"NORMAL")</f>
        <v>NORMAL</v>
      </c>
      <c r="J1610" s="211">
        <f>IFERROR(__xludf.DUMMYFUNCTION("""COMPUTED_VALUE"""),2.0)</f>
        <v>2</v>
      </c>
      <c r="K1610" s="210" t="str">
        <f>IFERROR(__xludf.DUMMYFUNCTION("""COMPUTED_VALUE"""),"01 02")</f>
        <v>01 02</v>
      </c>
      <c r="L1610" s="211">
        <f>IFERROR(__xludf.DUMMYFUNCTION("""COMPUTED_VALUE"""),50000.0)</f>
        <v>50000</v>
      </c>
      <c r="M1610" s="211"/>
      <c r="N1610" s="211"/>
      <c r="O1610" s="211"/>
      <c r="Q1610" s="210" t="str">
        <f>IFERROR(__xludf.DUMMYFUNCTION("""COMPUTED_VALUE"""),"1250742")</f>
        <v>1250742</v>
      </c>
      <c r="R1610" s="210" t="str">
        <f>IFERROR(__xludf.DUMMYFUNCTION("""COMPUTED_VALUE"""),"1250742")</f>
        <v>1250742</v>
      </c>
      <c r="S1610" s="211" t="str">
        <f>IFERROR(__xludf.DUMMYFUNCTION("""COMPUTED_VALUE"""),"b0735da4")</f>
        <v>b0735da4</v>
      </c>
      <c r="T1610" s="211" t="str">
        <f>IFERROR(__xludf.DUMMYFUNCTION("""COMPUTED_VALUE"""),"Bpk. Amer Ciro")</f>
        <v>Bpk. Amer Ciro</v>
      </c>
      <c r="U1610" s="215">
        <f>IFERROR(__xludf.DUMMYFUNCTION("""COMPUTED_VALUE"""),45965.44664351852)</f>
        <v>45965.44664</v>
      </c>
      <c r="V1610" s="211" t="str">
        <f>IFERROR(__xludf.DUMMYFUNCTION("""COMPUTED_VALUE"""),"HFJR+FV8 Bakungtemenggungan, Kabupaten Sidoarjo, Jawa Timur")</f>
        <v>HFJR+FV8 Bakungtemenggungan, Kabupaten Sidoarjo, Jawa Timur</v>
      </c>
      <c r="W1610" s="211" t="str">
        <f>IFERROR(__xludf.DUMMYFUNCTION("""COMPUTED_VALUE"""),"IN")</f>
        <v>IN</v>
      </c>
      <c r="X1610" s="211"/>
      <c r="AL1610" s="211"/>
      <c r="AM1610" s="211"/>
      <c r="AN1610" s="211"/>
      <c r="AO1610" s="211"/>
      <c r="AP1610" s="215"/>
      <c r="AQ1610" s="218"/>
      <c r="AR1610" s="211"/>
    </row>
    <row r="1611">
      <c r="A1611" s="210" t="str">
        <f>IFERROR(__xludf.DUMMYFUNCTION("""COMPUTED_VALUE"""),"082541174")</f>
        <v>082541174</v>
      </c>
      <c r="B1611" s="210" t="str">
        <f>IFERROR(__xludf.DUMMYFUNCTION("""COMPUTED_VALUE"""),"082541174")</f>
        <v>082541174</v>
      </c>
      <c r="C1611" s="213">
        <f>IFERROR(__xludf.DUMMYFUNCTION("""COMPUTED_VALUE"""),45896.404490740744)</f>
        <v>45896.40449</v>
      </c>
      <c r="D1611" s="211" t="str">
        <f>IFERROR(__xludf.DUMMYFUNCTION("""COMPUTED_VALUE"""),"dcdf8b31")</f>
        <v>dcdf8b31</v>
      </c>
      <c r="E1611" s="211" t="str">
        <f>IFERROR(__xludf.DUMMYFUNCTION("""COMPUTED_VALUE"""),"Bpk. Samsul (Jetis)")</f>
        <v>Bpk. Samsul (Jetis)</v>
      </c>
      <c r="F1611" s="211" t="str">
        <f>IFERROR(__xludf.DUMMYFUNCTION("""COMPUTED_VALUE"""),"8bdbe149")</f>
        <v>8bdbe149</v>
      </c>
      <c r="G1611" s="211" t="str">
        <f>IFERROR(__xludf.DUMMYFUNCTION("""COMPUTED_VALUE"""),"Oksigen 6m3")</f>
        <v>Oksigen 6m3</v>
      </c>
      <c r="H1611" s="211" t="str">
        <f>IFERROR(__xludf.DUMMYFUNCTION("""COMPUTED_VALUE"""),"OUT")</f>
        <v>OUT</v>
      </c>
      <c r="I1611" s="211" t="str">
        <f>IFERROR(__xludf.DUMMYFUNCTION("""COMPUTED_VALUE"""),"NORMAL")</f>
        <v>NORMAL</v>
      </c>
      <c r="J1611" s="211">
        <f>IFERROR(__xludf.DUMMYFUNCTION("""COMPUTED_VALUE"""),3.0)</f>
        <v>3</v>
      </c>
      <c r="K1611" s="210" t="str">
        <f>IFERROR(__xludf.DUMMYFUNCTION("""COMPUTED_VALUE"""),"1112 11165 11278")</f>
        <v>1112 11165 11278</v>
      </c>
      <c r="L1611" s="211">
        <f>IFERROR(__xludf.DUMMYFUNCTION("""COMPUTED_VALUE"""),75000.0)</f>
        <v>75000</v>
      </c>
      <c r="M1611" s="211"/>
      <c r="N1611" s="211"/>
      <c r="O1611" s="211"/>
      <c r="Q1611" s="210" t="str">
        <f>IFERROR(__xludf.DUMMYFUNCTION("""COMPUTED_VALUE"""),"1125171610")</f>
        <v>1125171610</v>
      </c>
      <c r="R1611" s="210" t="str">
        <f>IFERROR(__xludf.DUMMYFUNCTION("""COMPUTED_VALUE"""),"1125171610")</f>
        <v>1125171610</v>
      </c>
      <c r="S1611" s="211" t="str">
        <f>IFERROR(__xludf.DUMMYFUNCTION("""COMPUTED_VALUE"""),"e968afef")</f>
        <v>e968afef</v>
      </c>
      <c r="T1611" s="211" t="str">
        <f>IFERROR(__xludf.DUMMYFUNCTION("""COMPUTED_VALUE"""),"Bpk. Agus")</f>
        <v>Bpk. Agus</v>
      </c>
      <c r="U1611" s="215">
        <f>IFERROR(__xludf.DUMMYFUNCTION("""COMPUTED_VALUE"""),45965.53481481481)</f>
        <v>45965.53481</v>
      </c>
      <c r="V1611" s="211" t="str">
        <f>IFERROR(__xludf.DUMMYFUNCTION("""COMPUTED_VALUE"""),"Jl. Parengan 13, Semawut, Balongbendo, Kec. BalongBendo, Kabupaten Sidoarjo, Jawa Timur 61263")</f>
        <v>Jl. Parengan 13, Semawut, Balongbendo, Kec. BalongBendo, Kabupaten Sidoarjo, Jawa Timur 61263</v>
      </c>
      <c r="W1611" s="211" t="str">
        <f>IFERROR(__xludf.DUMMYFUNCTION("""COMPUTED_VALUE"""),"OUT")</f>
        <v>OUT</v>
      </c>
      <c r="X1611" s="211"/>
      <c r="AL1611" s="211"/>
      <c r="AM1611" s="211"/>
      <c r="AN1611" s="211"/>
      <c r="AO1611" s="211"/>
      <c r="AP1611" s="215"/>
      <c r="AQ1611" s="218"/>
      <c r="AR1611" s="211"/>
    </row>
    <row r="1612">
      <c r="A1612" s="210" t="str">
        <f>IFERROR(__xludf.DUMMYFUNCTION("""COMPUTED_VALUE"""),"082511175")</f>
        <v>082511175</v>
      </c>
      <c r="B1612" s="210" t="str">
        <f>IFERROR(__xludf.DUMMYFUNCTION("""COMPUTED_VALUE"""),"082511175")</f>
        <v>082511175</v>
      </c>
      <c r="C1612" s="213">
        <f>IFERROR(__xludf.DUMMYFUNCTION("""COMPUTED_VALUE"""),45896.4090162037)</f>
        <v>45896.40902</v>
      </c>
      <c r="D1612" s="211" t="str">
        <f>IFERROR(__xludf.DUMMYFUNCTION("""COMPUTED_VALUE"""),"f49860e4")</f>
        <v>f49860e4</v>
      </c>
      <c r="E1612" s="211" t="str">
        <f>IFERROR(__xludf.DUMMYFUNCTION("""COMPUTED_VALUE"""),"Mas Nur ( Jetis )")</f>
        <v>Mas Nur ( Jetis )</v>
      </c>
      <c r="F1612" s="211" t="str">
        <f>IFERROR(__xludf.DUMMYFUNCTION("""COMPUTED_VALUE"""),"8bdbe149")</f>
        <v>8bdbe149</v>
      </c>
      <c r="G1612" s="211" t="str">
        <f>IFERROR(__xludf.DUMMYFUNCTION("""COMPUTED_VALUE"""),"Oksigen 6m3")</f>
        <v>Oksigen 6m3</v>
      </c>
      <c r="H1612" s="211" t="str">
        <f>IFERROR(__xludf.DUMMYFUNCTION("""COMPUTED_VALUE"""),"OUT")</f>
        <v>OUT</v>
      </c>
      <c r="I1612" s="211" t="str">
        <f>IFERROR(__xludf.DUMMYFUNCTION("""COMPUTED_VALUE"""),"NORMAL")</f>
        <v>NORMAL</v>
      </c>
      <c r="J1612" s="211">
        <f>IFERROR(__xludf.DUMMYFUNCTION("""COMPUTED_VALUE"""),5.0)</f>
        <v>5</v>
      </c>
      <c r="K1612" s="210" t="str">
        <f>IFERROR(__xludf.DUMMYFUNCTION("""COMPUTED_VALUE"""),"1104 1185 11128 1168 1108")</f>
        <v>1104 1185 11128 1168 1108</v>
      </c>
      <c r="L1612" s="211">
        <f>IFERROR(__xludf.DUMMYFUNCTION("""COMPUTED_VALUE"""),60000.0)</f>
        <v>60000</v>
      </c>
      <c r="M1612" s="211"/>
      <c r="N1612" s="211"/>
      <c r="O1612" s="211"/>
      <c r="Q1612" s="210" t="str">
        <f>IFERROR(__xludf.DUMMYFUNCTION("""COMPUTED_VALUE"""),"1250760")</f>
        <v>1250760</v>
      </c>
      <c r="R1612" s="210" t="str">
        <f>IFERROR(__xludf.DUMMYFUNCTION("""COMPUTED_VALUE"""),"1250760")</f>
        <v>1250760</v>
      </c>
      <c r="S1612" s="211" t="str">
        <f>IFERROR(__xludf.DUMMYFUNCTION("""COMPUTED_VALUE"""),"440df1db")</f>
        <v>440df1db</v>
      </c>
      <c r="T1612" s="211" t="str">
        <f>IFERROR(__xludf.DUMMYFUNCTION("""COMPUTED_VALUE"""),"PT. Mecca Abadi Sejahtera")</f>
        <v>PT. Mecca Abadi Sejahtera</v>
      </c>
      <c r="U1612" s="215">
        <f>IFERROR(__xludf.DUMMYFUNCTION("""COMPUTED_VALUE"""),45965.5658912037)</f>
        <v>45965.56589</v>
      </c>
      <c r="V1612" s="211" t="str">
        <f>IFERROR(__xludf.DUMMYFUNCTION("""COMPUTED_VALUE"""),"Jl. Raya Sawocangkring, RT.006/RW.002, Sawo, Sawocangkring, Kec. Wonoayu, Kabupaten Sidoarjo, Jawa Timur 61261")</f>
        <v>Jl. Raya Sawocangkring, RT.006/RW.002, Sawo, Sawocangkring, Kec. Wonoayu, Kabupaten Sidoarjo, Jawa Timur 61261</v>
      </c>
      <c r="W1612" s="211" t="str">
        <f>IFERROR(__xludf.DUMMYFUNCTION("""COMPUTED_VALUE"""),"IN")</f>
        <v>IN</v>
      </c>
      <c r="X1612" s="211"/>
      <c r="AL1612" s="211"/>
      <c r="AM1612" s="211"/>
      <c r="AN1612" s="211"/>
      <c r="AO1612" s="211"/>
      <c r="AP1612" s="215"/>
      <c r="AQ1612" s="218"/>
      <c r="AR1612" s="211"/>
    </row>
    <row r="1613">
      <c r="A1613" s="210" t="str">
        <f>IFERROR(__xludf.DUMMYFUNCTION("""COMPUTED_VALUE"""),"1250477")</f>
        <v>1250477</v>
      </c>
      <c r="B1613" s="210" t="str">
        <f>IFERROR(__xludf.DUMMYFUNCTION("""COMPUTED_VALUE"""),"1250477")</f>
        <v>1250477</v>
      </c>
      <c r="C1613" s="213">
        <f>IFERROR(__xludf.DUMMYFUNCTION("""COMPUTED_VALUE"""),45896.48153935185)</f>
        <v>45896.48154</v>
      </c>
      <c r="D1613" s="211" t="str">
        <f>IFERROR(__xludf.DUMMYFUNCTION("""COMPUTED_VALUE"""),"2d88931c")</f>
        <v>2d88931c</v>
      </c>
      <c r="E1613" s="211" t="str">
        <f>IFERROR(__xludf.DUMMYFUNCTION("""COMPUTED_VALUE"""),"PT Dunia Berkat Marga Mulya")</f>
        <v>PT Dunia Berkat Marga Mulya</v>
      </c>
      <c r="F1613" s="211" t="str">
        <f>IFERROR(__xludf.DUMMYFUNCTION("""COMPUTED_VALUE"""),"8bdbe149")</f>
        <v>8bdbe149</v>
      </c>
      <c r="G1613" s="211" t="str">
        <f>IFERROR(__xludf.DUMMYFUNCTION("""COMPUTED_VALUE"""),"Oksigen 6m3")</f>
        <v>Oksigen 6m3</v>
      </c>
      <c r="H1613" s="211" t="str">
        <f>IFERROR(__xludf.DUMMYFUNCTION("""COMPUTED_VALUE"""),"IN")</f>
        <v>IN</v>
      </c>
      <c r="I1613" s="211" t="str">
        <f>IFERROR(__xludf.DUMMYFUNCTION("""COMPUTED_VALUE"""),"EMPTY")</f>
        <v>EMPTY</v>
      </c>
      <c r="J1613" s="211">
        <f>IFERROR(__xludf.DUMMYFUNCTION("""COMPUTED_VALUE"""),7.0)</f>
        <v>7</v>
      </c>
      <c r="K1613" s="210" t="str">
        <f>IFERROR(__xludf.DUMMYFUNCTION("""COMPUTED_VALUE"""),"1147 11140 11106 11235 11143 11272 11127")</f>
        <v>1147 11140 11106 11235 11143 11272 11127</v>
      </c>
      <c r="L1613" s="211">
        <f>IFERROR(__xludf.DUMMYFUNCTION("""COMPUTED_VALUE"""),0.0)</f>
        <v>0</v>
      </c>
      <c r="M1613" s="211"/>
      <c r="N1613" s="211"/>
      <c r="O1613" s="211"/>
      <c r="Q1613" s="210" t="str">
        <f>IFERROR(__xludf.DUMMYFUNCTION("""COMPUTED_VALUE"""),"1250757")</f>
        <v>1250757</v>
      </c>
      <c r="R1613" s="210" t="str">
        <f>IFERROR(__xludf.DUMMYFUNCTION("""COMPUTED_VALUE"""),"1250757")</f>
        <v>1250757</v>
      </c>
      <c r="S1613" s="211" t="str">
        <f>IFERROR(__xludf.DUMMYFUNCTION("""COMPUTED_VALUE"""),"ed2cc96a")</f>
        <v>ed2cc96a</v>
      </c>
      <c r="T1613" s="211" t="str">
        <f>IFERROR(__xludf.DUMMYFUNCTION("""COMPUTED_VALUE"""),"Bengkel Dian Jaya")</f>
        <v>Bengkel Dian Jaya</v>
      </c>
      <c r="U1613" s="215">
        <f>IFERROR(__xludf.DUMMYFUNCTION("""COMPUTED_VALUE"""),45965.64666666667)</f>
        <v>45965.64667</v>
      </c>
      <c r="V1613" s="211" t="str">
        <f>IFERROR(__xludf.DUMMYFUNCTION("""COMPUTED_VALUE"""),"Gg. 2, Kejagan, Kec. Trowulan, Kabupaten Mojokerto, Jawa Timur 61362")</f>
        <v>Gg. 2, Kejagan, Kec. Trowulan, Kabupaten Mojokerto, Jawa Timur 61362</v>
      </c>
      <c r="W1613" s="211" t="str">
        <f>IFERROR(__xludf.DUMMYFUNCTION("""COMPUTED_VALUE"""),"IN")</f>
        <v>IN</v>
      </c>
      <c r="X1613" s="211"/>
      <c r="AL1613" s="211"/>
      <c r="AM1613" s="211"/>
      <c r="AN1613" s="211"/>
      <c r="AO1613" s="211"/>
      <c r="AP1613" s="215"/>
      <c r="AQ1613" s="218"/>
      <c r="AR1613" s="211"/>
    </row>
    <row r="1614">
      <c r="A1614" s="210" t="str">
        <f>IFERROR(__xludf.DUMMYFUNCTION("""COMPUTED_VALUE"""),"1250476")</f>
        <v>1250476</v>
      </c>
      <c r="B1614" s="210" t="str">
        <f>IFERROR(__xludf.DUMMYFUNCTION("""COMPUTED_VALUE"""),"1250476")</f>
        <v>1250476</v>
      </c>
      <c r="C1614" s="213">
        <f>IFERROR(__xludf.DUMMYFUNCTION("""COMPUTED_VALUE"""),45896.484560185185)</f>
        <v>45896.48456</v>
      </c>
      <c r="D1614" s="211" t="str">
        <f>IFERROR(__xludf.DUMMYFUNCTION("""COMPUTED_VALUE"""),"e968afef")</f>
        <v>e968afef</v>
      </c>
      <c r="E1614" s="211" t="str">
        <f>IFERROR(__xludf.DUMMYFUNCTION("""COMPUTED_VALUE"""),"Bpk. Agus")</f>
        <v>Bpk. Agus</v>
      </c>
      <c r="F1614" s="211" t="str">
        <f>IFERROR(__xludf.DUMMYFUNCTION("""COMPUTED_VALUE"""),"8bdbe149")</f>
        <v>8bdbe149</v>
      </c>
      <c r="G1614" s="211" t="str">
        <f>IFERROR(__xludf.DUMMYFUNCTION("""COMPUTED_VALUE"""),"Oksigen 6m3")</f>
        <v>Oksigen 6m3</v>
      </c>
      <c r="H1614" s="211" t="str">
        <f>IFERROR(__xludf.DUMMYFUNCTION("""COMPUTED_VALUE"""),"IN")</f>
        <v>IN</v>
      </c>
      <c r="I1614" s="211" t="str">
        <f>IFERROR(__xludf.DUMMYFUNCTION("""COMPUTED_VALUE"""),"EMPTY")</f>
        <v>EMPTY</v>
      </c>
      <c r="J1614" s="211">
        <f>IFERROR(__xludf.DUMMYFUNCTION("""COMPUTED_VALUE"""),4.0)</f>
        <v>4</v>
      </c>
      <c r="K1614" s="210" t="str">
        <f>IFERROR(__xludf.DUMMYFUNCTION("""COMPUTED_VALUE"""),"11110 11257 11113 11196")</f>
        <v>11110 11257 11113 11196</v>
      </c>
      <c r="L1614" s="211">
        <f>IFERROR(__xludf.DUMMYFUNCTION("""COMPUTED_VALUE"""),0.0)</f>
        <v>0</v>
      </c>
      <c r="M1614" s="211"/>
      <c r="N1614" s="211"/>
      <c r="O1614" s="211"/>
      <c r="Q1614" s="210" t="str">
        <f>IFERROR(__xludf.DUMMYFUNCTION("""COMPUTED_VALUE"""),"1250758")</f>
        <v>1250758</v>
      </c>
      <c r="R1614" s="210" t="str">
        <f>IFERROR(__xludf.DUMMYFUNCTION("""COMPUTED_VALUE"""),"1250758")</f>
        <v>1250758</v>
      </c>
      <c r="S1614" s="211" t="str">
        <f>IFERROR(__xludf.DUMMYFUNCTION("""COMPUTED_VALUE"""),"faf71ae5")</f>
        <v>faf71ae5</v>
      </c>
      <c r="T1614" s="211" t="str">
        <f>IFERROR(__xludf.DUMMYFUNCTION("""COMPUTED_VALUE"""),"Bpk. Sampurna")</f>
        <v>Bpk. Sampurna</v>
      </c>
      <c r="U1614" s="215">
        <f>IFERROR(__xludf.DUMMYFUNCTION("""COMPUTED_VALUE"""),45965.65189814815)</f>
        <v>45965.6519</v>
      </c>
      <c r="V1614" s="211" t="str">
        <f>IFERROR(__xludf.DUMMYFUNCTION("""COMPUTED_VALUE"""),"Jl. Bypass Krian KM.30 No.15, Kraton, Kec. Krian, Kabupaten Sidoarjo, Jawa Timur 61262")</f>
        <v>Jl. Bypass Krian KM.30 No.15, Kraton, Kec. Krian, Kabupaten Sidoarjo, Jawa Timur 61262</v>
      </c>
      <c r="W1614" s="211" t="str">
        <f>IFERROR(__xludf.DUMMYFUNCTION("""COMPUTED_VALUE"""),"IN")</f>
        <v>IN</v>
      </c>
      <c r="X1614" s="211"/>
      <c r="AL1614" s="211"/>
      <c r="AM1614" s="211"/>
      <c r="AN1614" s="211"/>
      <c r="AO1614" s="211"/>
      <c r="AP1614" s="215"/>
      <c r="AQ1614" s="218"/>
      <c r="AR1614" s="211"/>
    </row>
    <row r="1615">
      <c r="A1615" s="210" t="str">
        <f>IFERROR(__xludf.DUMMYFUNCTION("""COMPUTED_VALUE"""),"1250476")</f>
        <v>1250476</v>
      </c>
      <c r="B1615" s="210" t="str">
        <f>IFERROR(__xludf.DUMMYFUNCTION("""COMPUTED_VALUE"""),"1250476")</f>
        <v>1250476</v>
      </c>
      <c r="C1615" s="213">
        <f>IFERROR(__xludf.DUMMYFUNCTION("""COMPUTED_VALUE"""),45896.484560185185)</f>
        <v>45896.48456</v>
      </c>
      <c r="D1615" s="211" t="str">
        <f>IFERROR(__xludf.DUMMYFUNCTION("""COMPUTED_VALUE"""),"e968afef")</f>
        <v>e968afef</v>
      </c>
      <c r="E1615" s="211" t="str">
        <f>IFERROR(__xludf.DUMMYFUNCTION("""COMPUTED_VALUE"""),"Bpk. Agus")</f>
        <v>Bpk. Agus</v>
      </c>
      <c r="F1615" s="211" t="str">
        <f>IFERROR(__xludf.DUMMYFUNCTION("""COMPUTED_VALUE"""),"be525f3b")</f>
        <v>be525f3b</v>
      </c>
      <c r="G1615" s="211" t="str">
        <f>IFERROR(__xludf.DUMMYFUNCTION("""COMPUTED_VALUE"""),"LPG 12kg")</f>
        <v>LPG 12kg</v>
      </c>
      <c r="H1615" s="211" t="str">
        <f>IFERROR(__xludf.DUMMYFUNCTION("""COMPUTED_VALUE"""),"IN")</f>
        <v>IN</v>
      </c>
      <c r="I1615" s="211" t="str">
        <f>IFERROR(__xludf.DUMMYFUNCTION("""COMPUTED_VALUE"""),"EMPTY")</f>
        <v>EMPTY</v>
      </c>
      <c r="J1615" s="211">
        <f>IFERROR(__xludf.DUMMYFUNCTION("""COMPUTED_VALUE"""),1.0)</f>
        <v>1</v>
      </c>
      <c r="K1615" s="210" t="str">
        <f>IFERROR(__xludf.DUMMYFUNCTION("""COMPUTED_VALUE"""),"01")</f>
        <v>01</v>
      </c>
      <c r="L1615" s="211">
        <f>IFERROR(__xludf.DUMMYFUNCTION("""COMPUTED_VALUE"""),0.0)</f>
        <v>0</v>
      </c>
      <c r="M1615" s="211"/>
      <c r="N1615" s="211"/>
      <c r="O1615" s="211"/>
      <c r="Q1615" s="210" t="str">
        <f>IFERROR(__xludf.DUMMYFUNCTION("""COMPUTED_VALUE"""),"1250761")</f>
        <v>1250761</v>
      </c>
      <c r="R1615" s="210" t="str">
        <f>IFERROR(__xludf.DUMMYFUNCTION("""COMPUTED_VALUE"""),"1250761")</f>
        <v>1250761</v>
      </c>
      <c r="S1615" s="211" t="str">
        <f>IFERROR(__xludf.DUMMYFUNCTION("""COMPUTED_VALUE"""),"e968afef")</f>
        <v>e968afef</v>
      </c>
      <c r="T1615" s="211" t="str">
        <f>IFERROR(__xludf.DUMMYFUNCTION("""COMPUTED_VALUE"""),"Bpk. Agus")</f>
        <v>Bpk. Agus</v>
      </c>
      <c r="U1615" s="215">
        <f>IFERROR(__xludf.DUMMYFUNCTION("""COMPUTED_VALUE"""),45965.70097222222)</f>
        <v>45965.70097</v>
      </c>
      <c r="V1615" s="211" t="str">
        <f>IFERROR(__xludf.DUMMYFUNCTION("""COMPUTED_VALUE"""),"Jl. Parengan 13, Semawut, Balongbendo, Kec. BalongBendo, Kabupaten Sidoarjo, Jawa Timur 61263")</f>
        <v>Jl. Parengan 13, Semawut, Balongbendo, Kec. BalongBendo, Kabupaten Sidoarjo, Jawa Timur 61263</v>
      </c>
      <c r="W1615" s="211" t="str">
        <f>IFERROR(__xludf.DUMMYFUNCTION("""COMPUTED_VALUE"""),"IN")</f>
        <v>IN</v>
      </c>
      <c r="X1615" s="211"/>
      <c r="AL1615" s="211"/>
      <c r="AM1615" s="211"/>
      <c r="AN1615" s="211"/>
      <c r="AO1615" s="211"/>
      <c r="AP1615" s="215"/>
      <c r="AQ1615" s="218"/>
      <c r="AR1615" s="211"/>
    </row>
    <row r="1616">
      <c r="A1616" s="210" t="str">
        <f>IFERROR(__xludf.DUMMYFUNCTION("""COMPUTED_VALUE"""),"1250476")</f>
        <v>1250476</v>
      </c>
      <c r="B1616" s="210" t="str">
        <f>IFERROR(__xludf.DUMMYFUNCTION("""COMPUTED_VALUE"""),"1250476")</f>
        <v>1250476</v>
      </c>
      <c r="C1616" s="213">
        <f>IFERROR(__xludf.DUMMYFUNCTION("""COMPUTED_VALUE"""),45896.484560185185)</f>
        <v>45896.48456</v>
      </c>
      <c r="D1616" s="211" t="str">
        <f>IFERROR(__xludf.DUMMYFUNCTION("""COMPUTED_VALUE"""),"e968afef")</f>
        <v>e968afef</v>
      </c>
      <c r="E1616" s="211" t="str">
        <f>IFERROR(__xludf.DUMMYFUNCTION("""COMPUTED_VALUE"""),"Bpk. Agus")</f>
        <v>Bpk. Agus</v>
      </c>
      <c r="F1616" s="211" t="str">
        <f>IFERROR(__xludf.DUMMYFUNCTION("""COMPUTED_VALUE"""),"8bdbe149")</f>
        <v>8bdbe149</v>
      </c>
      <c r="G1616" s="211" t="str">
        <f>IFERROR(__xludf.DUMMYFUNCTION("""COMPUTED_VALUE"""),"Oksigen 6m3")</f>
        <v>Oksigen 6m3</v>
      </c>
      <c r="H1616" s="211" t="str">
        <f>IFERROR(__xludf.DUMMYFUNCTION("""COMPUTED_VALUE"""),"IN")</f>
        <v>IN</v>
      </c>
      <c r="I1616" s="211" t="str">
        <f>IFERROR(__xludf.DUMMYFUNCTION("""COMPUTED_VALUE"""),"CLAIM")</f>
        <v>CLAIM</v>
      </c>
      <c r="J1616" s="211">
        <f>IFERROR(__xludf.DUMMYFUNCTION("""COMPUTED_VALUE"""),4.0)</f>
        <v>4</v>
      </c>
      <c r="K1616" s="210" t="str">
        <f>IFERROR(__xludf.DUMMYFUNCTION("""COMPUTED_VALUE"""),"1192 11115 1127 11232")</f>
        <v>1192 11115 1127 11232</v>
      </c>
      <c r="L1616" s="211">
        <f>IFERROR(__xludf.DUMMYFUNCTION("""COMPUTED_VALUE"""),0.0)</f>
        <v>0</v>
      </c>
      <c r="M1616" s="211"/>
      <c r="N1616" s="211"/>
      <c r="O1616" s="211"/>
      <c r="Q1616" s="210" t="str">
        <f>IFERROR(__xludf.DUMMYFUNCTION("""COMPUTED_VALUE"""),"1125331612")</f>
        <v>1125331612</v>
      </c>
      <c r="R1616" s="210" t="str">
        <f>IFERROR(__xludf.DUMMYFUNCTION("""COMPUTED_VALUE"""),"1125331612")</f>
        <v>1125331612</v>
      </c>
      <c r="S1616" s="211" t="str">
        <f>IFERROR(__xludf.DUMMYFUNCTION("""COMPUTED_VALUE"""),"b2b5f2c5")</f>
        <v>b2b5f2c5</v>
      </c>
      <c r="T1616" s="211" t="str">
        <f>IFERROR(__xludf.DUMMYFUNCTION("""COMPUTED_VALUE"""),"Bengkel Las Bpk. Ari")</f>
        <v>Bengkel Las Bpk. Ari</v>
      </c>
      <c r="U1616" s="215">
        <f>IFERROR(__xludf.DUMMYFUNCTION("""COMPUTED_VALUE"""),45966.34071759259)</f>
        <v>45966.34072</v>
      </c>
      <c r="V1616" s="211" t="str">
        <f>IFERROR(__xludf.DUMMYFUNCTION("""COMPUTED_VALUE"""),"Sumber Kembar, Wonodadi, Kec. Kutorejo, Kabupaten Mojokerto, Jawa Timur")</f>
        <v>Sumber Kembar, Wonodadi, Kec. Kutorejo, Kabupaten Mojokerto, Jawa Timur</v>
      </c>
      <c r="W1616" s="211" t="str">
        <f>IFERROR(__xludf.DUMMYFUNCTION("""COMPUTED_VALUE"""),"OUT")</f>
        <v>OUT</v>
      </c>
      <c r="X1616" s="211"/>
      <c r="AL1616" s="211"/>
      <c r="AM1616" s="211"/>
      <c r="AN1616" s="211"/>
      <c r="AO1616" s="211"/>
      <c r="AP1616" s="215"/>
      <c r="AQ1616" s="218"/>
      <c r="AR1616" s="211"/>
    </row>
    <row r="1617">
      <c r="A1617" s="210" t="str">
        <f>IFERROR(__xludf.DUMMYFUNCTION("""COMPUTED_VALUE"""),"0825161176")</f>
        <v>0825161176</v>
      </c>
      <c r="B1617" s="210" t="str">
        <f>IFERROR(__xludf.DUMMYFUNCTION("""COMPUTED_VALUE"""),"0825161176")</f>
        <v>0825161176</v>
      </c>
      <c r="C1617" s="213">
        <f>IFERROR(__xludf.DUMMYFUNCTION("""COMPUTED_VALUE"""),45896.5330787037)</f>
        <v>45896.53308</v>
      </c>
      <c r="D1617" s="211" t="str">
        <f>IFERROR(__xludf.DUMMYFUNCTION("""COMPUTED_VALUE"""),"ec231cc9")</f>
        <v>ec231cc9</v>
      </c>
      <c r="E1617" s="211" t="str">
        <f>IFERROR(__xludf.DUMMYFUNCTION("""COMPUTED_VALUE"""),"Bpk. Kohir (Maintenance Velg)")</f>
        <v>Bpk. Kohir (Maintenance Velg)</v>
      </c>
      <c r="F1617" s="211" t="str">
        <f>IFERROR(__xludf.DUMMYFUNCTION("""COMPUTED_VALUE"""),"8bdbe149")</f>
        <v>8bdbe149</v>
      </c>
      <c r="G1617" s="211" t="str">
        <f>IFERROR(__xludf.DUMMYFUNCTION("""COMPUTED_VALUE"""),"Oksigen 6m3")</f>
        <v>Oksigen 6m3</v>
      </c>
      <c r="H1617" s="211" t="str">
        <f>IFERROR(__xludf.DUMMYFUNCTION("""COMPUTED_VALUE"""),"OUT")</f>
        <v>OUT</v>
      </c>
      <c r="I1617" s="211" t="str">
        <f>IFERROR(__xludf.DUMMYFUNCTION("""COMPUTED_VALUE"""),"NORMAL")</f>
        <v>NORMAL</v>
      </c>
      <c r="J1617" s="211">
        <f>IFERROR(__xludf.DUMMYFUNCTION("""COMPUTED_VALUE"""),5.0)</f>
        <v>5</v>
      </c>
      <c r="K1617" s="210" t="str">
        <f>IFERROR(__xludf.DUMMYFUNCTION("""COMPUTED_VALUE"""),"11130 1127 11115 11232 1192")</f>
        <v>11130 1127 11115 11232 1192</v>
      </c>
      <c r="L1617" s="211">
        <f>IFERROR(__xludf.DUMMYFUNCTION("""COMPUTED_VALUE"""),55000.0)</f>
        <v>55000</v>
      </c>
      <c r="M1617" s="211"/>
      <c r="N1617" s="211"/>
      <c r="O1617" s="211"/>
      <c r="Q1617" s="210" t="str">
        <f>IFERROR(__xludf.DUMMYFUNCTION("""COMPUTED_VALUE"""),"112551617")</f>
        <v>112551617</v>
      </c>
      <c r="R1617" s="210" t="str">
        <f>IFERROR(__xludf.DUMMYFUNCTION("""COMPUTED_VALUE"""),"112551617")</f>
        <v>112551617</v>
      </c>
      <c r="S1617" s="211" t="str">
        <f>IFERROR(__xludf.DUMMYFUNCTION("""COMPUTED_VALUE"""),"56828503")</f>
        <v>56828503</v>
      </c>
      <c r="T1617" s="211" t="str">
        <f>IFERROR(__xludf.DUMMYFUNCTION("""COMPUTED_VALUE"""),"Bpk. Widodo (Wringinanom)")</f>
        <v>Bpk. Widodo (Wringinanom)</v>
      </c>
      <c r="U1617" s="215">
        <f>IFERROR(__xludf.DUMMYFUNCTION("""COMPUTED_VALUE"""),45966.34138888889)</f>
        <v>45966.34139</v>
      </c>
      <c r="V1617" s="211" t="str">
        <f>IFERROR(__xludf.DUMMYFUNCTION("""COMPUTED_VALUE"""),"JG4H+3J Area Sawah/Kebun, Lebaniwaras, Kec. Wringinanom, Kabupaten Gresik, Jawa Timur, Indonesia")</f>
        <v>JG4H+3J Area Sawah/Kebun, Lebaniwaras, Kec. Wringinanom, Kabupaten Gresik, Jawa Timur, Indonesia</v>
      </c>
      <c r="W1617" s="211" t="str">
        <f>IFERROR(__xludf.DUMMYFUNCTION("""COMPUTED_VALUE"""),"OUT")</f>
        <v>OUT</v>
      </c>
      <c r="X1617" s="211"/>
      <c r="AL1617" s="211"/>
      <c r="AM1617" s="211"/>
      <c r="AN1617" s="211"/>
      <c r="AO1617" s="211"/>
      <c r="AP1617" s="215"/>
      <c r="AQ1617" s="218"/>
      <c r="AR1617" s="211"/>
    </row>
    <row r="1618">
      <c r="A1618" s="210" t="str">
        <f>IFERROR(__xludf.DUMMYFUNCTION("""COMPUTED_VALUE"""),"1250534")</f>
        <v>1250534</v>
      </c>
      <c r="B1618" s="210" t="str">
        <f>IFERROR(__xludf.DUMMYFUNCTION("""COMPUTED_VALUE"""),"1250534")</f>
        <v>1250534</v>
      </c>
      <c r="C1618" s="213">
        <f>IFERROR(__xludf.DUMMYFUNCTION("""COMPUTED_VALUE"""),45896.580034722225)</f>
        <v>45896.58003</v>
      </c>
      <c r="D1618" s="211" t="str">
        <f>IFERROR(__xludf.DUMMYFUNCTION("""COMPUTED_VALUE"""),"dcdf8b31")</f>
        <v>dcdf8b31</v>
      </c>
      <c r="E1618" s="211" t="str">
        <f>IFERROR(__xludf.DUMMYFUNCTION("""COMPUTED_VALUE"""),"Bpk. Samsul (Jetis)")</f>
        <v>Bpk. Samsul (Jetis)</v>
      </c>
      <c r="F1618" s="211" t="str">
        <f>IFERROR(__xludf.DUMMYFUNCTION("""COMPUTED_VALUE"""),"7d2764f1")</f>
        <v>7d2764f1</v>
      </c>
      <c r="G1618" s="211" t="str">
        <f>IFERROR(__xludf.DUMMYFUNCTION("""COMPUTED_VALUE"""),"Oksigen 7m3")</f>
        <v>Oksigen 7m3</v>
      </c>
      <c r="H1618" s="211" t="str">
        <f>IFERROR(__xludf.DUMMYFUNCTION("""COMPUTED_VALUE"""),"IN")</f>
        <v>IN</v>
      </c>
      <c r="I1618" s="211" t="str">
        <f>IFERROR(__xludf.DUMMYFUNCTION("""COMPUTED_VALUE"""),"EMPTY")</f>
        <v>EMPTY</v>
      </c>
      <c r="J1618" s="211">
        <f>IFERROR(__xludf.DUMMYFUNCTION("""COMPUTED_VALUE"""),3.0)</f>
        <v>3</v>
      </c>
      <c r="K1618" s="210" t="str">
        <f>IFERROR(__xludf.DUMMYFUNCTION("""COMPUTED_VALUE"""),"11225 11214 11219")</f>
        <v>11225 11214 11219</v>
      </c>
      <c r="L1618" s="211">
        <f>IFERROR(__xludf.DUMMYFUNCTION("""COMPUTED_VALUE"""),0.0)</f>
        <v>0</v>
      </c>
      <c r="M1618" s="211"/>
      <c r="N1618" s="211"/>
      <c r="O1618" s="211"/>
      <c r="Q1618" s="210" t="str">
        <f>IFERROR(__xludf.DUMMYFUNCTION("""COMPUTED_VALUE"""),"112531618")</f>
        <v>112531618</v>
      </c>
      <c r="R1618" s="210" t="str">
        <f>IFERROR(__xludf.DUMMYFUNCTION("""COMPUTED_VALUE"""),"112531618")</f>
        <v>112531618</v>
      </c>
      <c r="S1618" s="211" t="str">
        <f>IFERROR(__xludf.DUMMYFUNCTION("""COMPUTED_VALUE"""),"faf71ae5")</f>
        <v>faf71ae5</v>
      </c>
      <c r="T1618" s="211" t="str">
        <f>IFERROR(__xludf.DUMMYFUNCTION("""COMPUTED_VALUE"""),"Bpk. Sampurna")</f>
        <v>Bpk. Sampurna</v>
      </c>
      <c r="U1618" s="215">
        <f>IFERROR(__xludf.DUMMYFUNCTION("""COMPUTED_VALUE"""),45966.34097222222)</f>
        <v>45966.34097</v>
      </c>
      <c r="V1618" s="211" t="str">
        <f>IFERROR(__xludf.DUMMYFUNCTION("""COMPUTED_VALUE"""),"Jl. Bypass Krian KM.30 No.15, Kraton, Kec. Krian, Kabupaten Sidoarjo, Jawa Timur 61262")</f>
        <v>Jl. Bypass Krian KM.30 No.15, Kraton, Kec. Krian, Kabupaten Sidoarjo, Jawa Timur 61262</v>
      </c>
      <c r="W1618" s="211" t="str">
        <f>IFERROR(__xludf.DUMMYFUNCTION("""COMPUTED_VALUE"""),"OUT")</f>
        <v>OUT</v>
      </c>
      <c r="X1618" s="211"/>
      <c r="AL1618" s="211"/>
      <c r="AM1618" s="211"/>
      <c r="AN1618" s="211"/>
      <c r="AO1618" s="211"/>
      <c r="AP1618" s="215"/>
      <c r="AQ1618" s="218"/>
      <c r="AR1618" s="211"/>
    </row>
    <row r="1619">
      <c r="A1619" s="210" t="str">
        <f>IFERROR(__xludf.DUMMYFUNCTION("""COMPUTED_VALUE"""),"1250536")</f>
        <v>1250536</v>
      </c>
      <c r="B1619" s="210" t="str">
        <f>IFERROR(__xludf.DUMMYFUNCTION("""COMPUTED_VALUE"""),"1250536")</f>
        <v>1250536</v>
      </c>
      <c r="C1619" s="213">
        <f>IFERROR(__xludf.DUMMYFUNCTION("""COMPUTED_VALUE"""),45896.61032407408)</f>
        <v>45896.61032</v>
      </c>
      <c r="D1619" s="211" t="str">
        <f>IFERROR(__xludf.DUMMYFUNCTION("""COMPUTED_VALUE"""),"ec231cc9")</f>
        <v>ec231cc9</v>
      </c>
      <c r="E1619" s="211" t="str">
        <f>IFERROR(__xludf.DUMMYFUNCTION("""COMPUTED_VALUE"""),"Bpk. Kohir (Maintenance Velg)")</f>
        <v>Bpk. Kohir (Maintenance Velg)</v>
      </c>
      <c r="F1619" s="211" t="str">
        <f>IFERROR(__xludf.DUMMYFUNCTION("""COMPUTED_VALUE"""),"8bdbe149")</f>
        <v>8bdbe149</v>
      </c>
      <c r="G1619" s="211" t="str">
        <f>IFERROR(__xludf.DUMMYFUNCTION("""COMPUTED_VALUE"""),"Oksigen 6m3")</f>
        <v>Oksigen 6m3</v>
      </c>
      <c r="H1619" s="211" t="str">
        <f>IFERROR(__xludf.DUMMYFUNCTION("""COMPUTED_VALUE"""),"IN")</f>
        <v>IN</v>
      </c>
      <c r="I1619" s="211" t="str">
        <f>IFERROR(__xludf.DUMMYFUNCTION("""COMPUTED_VALUE"""),"EMPTY")</f>
        <v>EMPTY</v>
      </c>
      <c r="J1619" s="211">
        <f>IFERROR(__xludf.DUMMYFUNCTION("""COMPUTED_VALUE"""),4.0)</f>
        <v>4</v>
      </c>
      <c r="K1619" s="210" t="str">
        <f>IFERROR(__xludf.DUMMYFUNCTION("""COMPUTED_VALUE"""),"1187 11258 11182 11178")</f>
        <v>1187 11258 11182 11178</v>
      </c>
      <c r="L1619" s="211">
        <f>IFERROR(__xludf.DUMMYFUNCTION("""COMPUTED_VALUE"""),0.0)</f>
        <v>0</v>
      </c>
      <c r="M1619" s="211"/>
      <c r="N1619" s="211"/>
      <c r="O1619" s="211"/>
      <c r="Q1619" s="210" t="str">
        <f>IFERROR(__xludf.DUMMYFUNCTION("""COMPUTED_VALUE"""),"1250756")</f>
        <v>1250756</v>
      </c>
      <c r="R1619" s="210" t="str">
        <f>IFERROR(__xludf.DUMMYFUNCTION("""COMPUTED_VALUE"""),"1250756")</f>
        <v>1250756</v>
      </c>
      <c r="S1619" s="211" t="str">
        <f>IFERROR(__xludf.DUMMYFUNCTION("""COMPUTED_VALUE"""),"56828503")</f>
        <v>56828503</v>
      </c>
      <c r="T1619" s="211" t="str">
        <f>IFERROR(__xludf.DUMMYFUNCTION("""COMPUTED_VALUE"""),"Bpk. Widodo (Wringinanom)")</f>
        <v>Bpk. Widodo (Wringinanom)</v>
      </c>
      <c r="U1619" s="215">
        <f>IFERROR(__xludf.DUMMYFUNCTION("""COMPUTED_VALUE"""),45966.380833333336)</f>
        <v>45966.38083</v>
      </c>
      <c r="V1619" s="211" t="str">
        <f>IFERROR(__xludf.DUMMYFUNCTION("""COMPUTED_VALUE"""),"JG4H+3J Area Sawah/Kebun, Lebaniwaras, Kec. Wringinanom, Kabupaten Gresik, Jawa Timur, Indonesia")</f>
        <v>JG4H+3J Area Sawah/Kebun, Lebaniwaras, Kec. Wringinanom, Kabupaten Gresik, Jawa Timur, Indonesia</v>
      </c>
      <c r="W1619" s="211" t="str">
        <f>IFERROR(__xludf.DUMMYFUNCTION("""COMPUTED_VALUE"""),"IN")</f>
        <v>IN</v>
      </c>
      <c r="X1619" s="211"/>
      <c r="AL1619" s="211"/>
      <c r="AM1619" s="211"/>
      <c r="AN1619" s="211"/>
      <c r="AO1619" s="211"/>
      <c r="AP1619" s="215"/>
      <c r="AQ1619" s="218"/>
      <c r="AR1619" s="211"/>
    </row>
    <row r="1620">
      <c r="A1620" s="210" t="str">
        <f>IFERROR(__xludf.DUMMYFUNCTION("""COMPUTED_VALUE"""),"0825431179")</f>
        <v>0825431179</v>
      </c>
      <c r="B1620" s="210" t="str">
        <f>IFERROR(__xludf.DUMMYFUNCTION("""COMPUTED_VALUE"""),"0825431179")</f>
        <v>0825431179</v>
      </c>
      <c r="C1620" s="213">
        <f>IFERROR(__xludf.DUMMYFUNCTION("""COMPUTED_VALUE"""),45897.352638888886)</f>
        <v>45897.35264</v>
      </c>
      <c r="D1620" s="211" t="str">
        <f>IFERROR(__xludf.DUMMYFUNCTION("""COMPUTED_VALUE"""),"e86baf3b")</f>
        <v>e86baf3b</v>
      </c>
      <c r="E1620" s="211" t="str">
        <f>IFERROR(__xludf.DUMMYFUNCTION("""COMPUTED_VALUE"""),"PT GEMILANG CIPTA WAWASAN")</f>
        <v>PT GEMILANG CIPTA WAWASAN</v>
      </c>
      <c r="F1620" s="211" t="str">
        <f>IFERROR(__xludf.DUMMYFUNCTION("""COMPUTED_VALUE"""),"66af7c72")</f>
        <v>66af7c72</v>
      </c>
      <c r="G1620" s="211" t="str">
        <f>IFERROR(__xludf.DUMMYFUNCTION("""COMPUTED_VALUE"""),"Argon 6m3")</f>
        <v>Argon 6m3</v>
      </c>
      <c r="H1620" s="211" t="str">
        <f>IFERROR(__xludf.DUMMYFUNCTION("""COMPUTED_VALUE"""),"OUT")</f>
        <v>OUT</v>
      </c>
      <c r="I1620" s="211" t="str">
        <f>IFERROR(__xludf.DUMMYFUNCTION("""COMPUTED_VALUE"""),"NORMAL")</f>
        <v>NORMAL</v>
      </c>
      <c r="J1620" s="211">
        <f>IFERROR(__xludf.DUMMYFUNCTION("""COMPUTED_VALUE"""),10.0)</f>
        <v>10</v>
      </c>
      <c r="K1620" s="210" t="str">
        <f>IFERROR(__xludf.DUMMYFUNCTION("""COMPUTED_VALUE"""),"12014 12042 12054 12003 12067 12024 12056 12021 12045 12011")</f>
        <v>12014 12042 12054 12003 12067 12024 12056 12021 12045 12011</v>
      </c>
      <c r="L1620" s="211">
        <f>IFERROR(__xludf.DUMMYFUNCTION("""COMPUTED_VALUE"""),185000.0)</f>
        <v>185000</v>
      </c>
      <c r="M1620" s="211"/>
      <c r="N1620" s="211"/>
      <c r="O1620" s="211"/>
      <c r="Q1620" s="210" t="str">
        <f>IFERROR(__xludf.DUMMYFUNCTION("""COMPUTED_VALUE"""),"1125171619")</f>
        <v>1125171619</v>
      </c>
      <c r="R1620" s="210" t="str">
        <f>IFERROR(__xludf.DUMMYFUNCTION("""COMPUTED_VALUE"""),"1125171619")</f>
        <v>1125171619</v>
      </c>
      <c r="S1620" s="211" t="str">
        <f>IFERROR(__xludf.DUMMYFUNCTION("""COMPUTED_VALUE"""),"4ec68cf6")</f>
        <v>4ec68cf6</v>
      </c>
      <c r="T1620" s="211" t="str">
        <f>IFERROR(__xludf.DUMMYFUNCTION("""COMPUTED_VALUE"""),"CV Sido Mukti Karya")</f>
        <v>CV Sido Mukti Karya</v>
      </c>
      <c r="U1620" s="215">
        <f>IFERROR(__xludf.DUMMYFUNCTION("""COMPUTED_VALUE"""),45966.43099537037)</f>
        <v>45966.431</v>
      </c>
      <c r="V1620" s="211" t="str">
        <f>IFERROR(__xludf.DUMMYFUNCTION("""COMPUTED_VALUE"""),"Pergudangan Center Point no A3, Kemangsen")</f>
        <v>Pergudangan Center Point no A3, Kemangsen</v>
      </c>
      <c r="W1620" s="211" t="str">
        <f>IFERROR(__xludf.DUMMYFUNCTION("""COMPUTED_VALUE"""),"OUT")</f>
        <v>OUT</v>
      </c>
      <c r="X1620" s="211"/>
      <c r="AL1620" s="211"/>
      <c r="AM1620" s="211"/>
      <c r="AN1620" s="211"/>
      <c r="AO1620" s="211"/>
      <c r="AP1620" s="215"/>
      <c r="AQ1620" s="218"/>
      <c r="AR1620" s="211"/>
    </row>
    <row r="1621">
      <c r="A1621" s="211"/>
      <c r="B1621" s="211"/>
      <c r="C1621" s="211"/>
      <c r="D1621" s="211"/>
      <c r="E1621" s="211"/>
      <c r="F1621" s="211"/>
      <c r="G1621" s="211"/>
      <c r="H1621" s="211"/>
      <c r="I1621" s="211"/>
      <c r="J1621" s="211"/>
      <c r="K1621" s="211"/>
      <c r="L1621" s="211"/>
      <c r="M1621" s="211"/>
      <c r="N1621" s="211"/>
      <c r="O1621" s="211"/>
      <c r="Q1621" s="210" t="str">
        <f>IFERROR(__xludf.DUMMYFUNCTION("""COMPUTED_VALUE"""),"1250762")</f>
        <v>1250762</v>
      </c>
      <c r="R1621" s="210" t="str">
        <f>IFERROR(__xludf.DUMMYFUNCTION("""COMPUTED_VALUE"""),"1250762")</f>
        <v>1250762</v>
      </c>
      <c r="S1621" s="211" t="str">
        <f>IFERROR(__xludf.DUMMYFUNCTION("""COMPUTED_VALUE"""),"b2b5f2c5")</f>
        <v>b2b5f2c5</v>
      </c>
      <c r="T1621" s="211" t="str">
        <f>IFERROR(__xludf.DUMMYFUNCTION("""COMPUTED_VALUE"""),"Bengkel Las Bpk. Ari")</f>
        <v>Bengkel Las Bpk. Ari</v>
      </c>
      <c r="U1621" s="215">
        <f>IFERROR(__xludf.DUMMYFUNCTION("""COMPUTED_VALUE"""),45966.47116898148)</f>
        <v>45966.47117</v>
      </c>
      <c r="V1621" s="211" t="str">
        <f>IFERROR(__xludf.DUMMYFUNCTION("""COMPUTED_VALUE"""),"Sumber Kembar, Wonodadi, Kec. Kutorejo, Kabupaten Mojokerto, Jawa Timur")</f>
        <v>Sumber Kembar, Wonodadi, Kec. Kutorejo, Kabupaten Mojokerto, Jawa Timur</v>
      </c>
      <c r="W1621" s="211" t="str">
        <f>IFERROR(__xludf.DUMMYFUNCTION("""COMPUTED_VALUE"""),"IN")</f>
        <v>IN</v>
      </c>
      <c r="X1621" s="211"/>
      <c r="AL1621" s="211"/>
      <c r="AM1621" s="211"/>
      <c r="AN1621" s="211"/>
      <c r="AO1621" s="211"/>
      <c r="AP1621" s="215"/>
      <c r="AQ1621" s="218"/>
      <c r="AR1621" s="211"/>
    </row>
    <row r="1622">
      <c r="A1622" s="210" t="str">
        <f>IFERROR(__xludf.DUMMYFUNCTION("""COMPUTED_VALUE"""),"082591182")</f>
        <v>082591182</v>
      </c>
      <c r="B1622" s="210" t="str">
        <f>IFERROR(__xludf.DUMMYFUNCTION("""COMPUTED_VALUE"""),"082591182")</f>
        <v>082591182</v>
      </c>
      <c r="C1622" s="213">
        <f>IFERROR(__xludf.DUMMYFUNCTION("""COMPUTED_VALUE"""),45897.35702546296)</f>
        <v>45897.35703</v>
      </c>
      <c r="D1622" s="211" t="str">
        <f>IFERROR(__xludf.DUMMYFUNCTION("""COMPUTED_VALUE"""),"b218b89b")</f>
        <v>b218b89b</v>
      </c>
      <c r="E1622" s="211" t="str">
        <f>IFERROR(__xludf.DUMMYFUNCTION("""COMPUTED_VALUE"""),"PT Harapan Sentosa")</f>
        <v>PT Harapan Sentosa</v>
      </c>
      <c r="F1622" s="211" t="str">
        <f>IFERROR(__xludf.DUMMYFUNCTION("""COMPUTED_VALUE"""),"ef306e54")</f>
        <v>ef306e54</v>
      </c>
      <c r="G1622" s="211" t="str">
        <f>IFERROR(__xludf.DUMMYFUNCTION("""COMPUTED_VALUE"""),"Karbondioksida")</f>
        <v>Karbondioksida</v>
      </c>
      <c r="H1622" s="211" t="str">
        <f>IFERROR(__xludf.DUMMYFUNCTION("""COMPUTED_VALUE"""),"OUT")</f>
        <v>OUT</v>
      </c>
      <c r="I1622" s="211" t="str">
        <f>IFERROR(__xludf.DUMMYFUNCTION("""COMPUTED_VALUE"""),"NORMAL")</f>
        <v>NORMAL</v>
      </c>
      <c r="J1622" s="211">
        <f>IFERROR(__xludf.DUMMYFUNCTION("""COMPUTED_VALUE"""),5.0)</f>
        <v>5</v>
      </c>
      <c r="K1622" s="210" t="str">
        <f>IFERROR(__xludf.DUMMYFUNCTION("""COMPUTED_VALUE"""),"13006 13012 13014 13027 13029")</f>
        <v>13006 13012 13014 13027 13029</v>
      </c>
      <c r="L1622" s="211">
        <f>IFERROR(__xludf.DUMMYFUNCTION("""COMPUTED_VALUE"""),210000.0)</f>
        <v>210000</v>
      </c>
      <c r="M1622" s="211"/>
      <c r="N1622" s="211"/>
      <c r="O1622" s="211"/>
      <c r="Q1622" s="210" t="str">
        <f>IFERROR(__xludf.DUMMYFUNCTION("""COMPUTED_VALUE"""),"112561621")</f>
        <v>112561621</v>
      </c>
      <c r="R1622" s="210" t="str">
        <f>IFERROR(__xludf.DUMMYFUNCTION("""COMPUTED_VALUE"""),"112561621")</f>
        <v>112561621</v>
      </c>
      <c r="S1622" s="211" t="str">
        <f>IFERROR(__xludf.DUMMYFUNCTION("""COMPUTED_VALUE"""),"eec2e801")</f>
        <v>eec2e801</v>
      </c>
      <c r="T1622" s="211" t="str">
        <f>IFERROR(__xludf.DUMMYFUNCTION("""COMPUTED_VALUE"""),"Mitra Wood Sejahtera")</f>
        <v>Mitra Wood Sejahtera</v>
      </c>
      <c r="U1622" s="215">
        <f>IFERROR(__xludf.DUMMYFUNCTION("""COMPUTED_VALUE"""),45966.49491898148)</f>
        <v>45966.49492</v>
      </c>
      <c r="V1622" s="211" t="str">
        <f>IFERROR(__xludf.DUMMYFUNCTION("""COMPUTED_VALUE"""),"Jl.cungkling, Jl. Tanggungan, Nanom Kidul, Lebaniwaras, Kec. Wringinanom, Kabupaten Gresik, Jawa Timur 61176")</f>
        <v>Jl.cungkling, Jl. Tanggungan, Nanom Kidul, Lebaniwaras, Kec. Wringinanom, Kabupaten Gresik, Jawa Timur 61176</v>
      </c>
      <c r="W1622" s="211" t="str">
        <f>IFERROR(__xludf.DUMMYFUNCTION("""COMPUTED_VALUE"""),"OUT")</f>
        <v>OUT</v>
      </c>
      <c r="X1622" s="211"/>
      <c r="AL1622" s="211"/>
      <c r="AM1622" s="211"/>
      <c r="AN1622" s="211"/>
      <c r="AO1622" s="211"/>
      <c r="AP1622" s="215"/>
      <c r="AQ1622" s="218"/>
      <c r="AR1622" s="211"/>
    </row>
    <row r="1623">
      <c r="A1623" s="210" t="str">
        <f>IFERROR(__xludf.DUMMYFUNCTION("""COMPUTED_VALUE"""),"082591182")</f>
        <v>082591182</v>
      </c>
      <c r="B1623" s="210" t="str">
        <f>IFERROR(__xludf.DUMMYFUNCTION("""COMPUTED_VALUE"""),"082591182")</f>
        <v>082591182</v>
      </c>
      <c r="C1623" s="213">
        <f>IFERROR(__xludf.DUMMYFUNCTION("""COMPUTED_VALUE"""),45897.35702546296)</f>
        <v>45897.35703</v>
      </c>
      <c r="D1623" s="211" t="str">
        <f>IFERROR(__xludf.DUMMYFUNCTION("""COMPUTED_VALUE"""),"b218b89b")</f>
        <v>b218b89b</v>
      </c>
      <c r="E1623" s="211" t="str">
        <f>IFERROR(__xludf.DUMMYFUNCTION("""COMPUTED_VALUE"""),"PT Harapan Sentosa")</f>
        <v>PT Harapan Sentosa</v>
      </c>
      <c r="F1623" s="211" t="str">
        <f>IFERROR(__xludf.DUMMYFUNCTION("""COMPUTED_VALUE"""),"8bdbe149")</f>
        <v>8bdbe149</v>
      </c>
      <c r="G1623" s="211" t="str">
        <f>IFERROR(__xludf.DUMMYFUNCTION("""COMPUTED_VALUE"""),"Oksigen 6m3")</f>
        <v>Oksigen 6m3</v>
      </c>
      <c r="H1623" s="211" t="str">
        <f>IFERROR(__xludf.DUMMYFUNCTION("""COMPUTED_VALUE"""),"OUT")</f>
        <v>OUT</v>
      </c>
      <c r="I1623" s="211" t="str">
        <f>IFERROR(__xludf.DUMMYFUNCTION("""COMPUTED_VALUE"""),"NORMAL")</f>
        <v>NORMAL</v>
      </c>
      <c r="J1623" s="211">
        <f>IFERROR(__xludf.DUMMYFUNCTION("""COMPUTED_VALUE"""),7.0)</f>
        <v>7</v>
      </c>
      <c r="K1623" s="210" t="str">
        <f>IFERROR(__xludf.DUMMYFUNCTION("""COMPUTED_VALUE"""),"1147 11272 1187 11258 11182 11127 11119")</f>
        <v>1147 11272 1187 11258 11182 11127 11119</v>
      </c>
      <c r="L1623" s="211">
        <f>IFERROR(__xludf.DUMMYFUNCTION("""COMPUTED_VALUE"""),60000.0)</f>
        <v>60000</v>
      </c>
      <c r="M1623" s="211"/>
      <c r="N1623" s="211"/>
      <c r="O1623" s="211"/>
      <c r="Q1623" s="210" t="str">
        <f>IFERROR(__xludf.DUMMYFUNCTION("""COMPUTED_VALUE"""),"112511623")</f>
        <v>112511623</v>
      </c>
      <c r="R1623" s="210" t="str">
        <f>IFERROR(__xludf.DUMMYFUNCTION("""COMPUTED_VALUE"""),"112511623")</f>
        <v>112511623</v>
      </c>
      <c r="S1623" s="211" t="str">
        <f>IFERROR(__xludf.DUMMYFUNCTION("""COMPUTED_VALUE"""),"f8a982a4")</f>
        <v>f8a982a4</v>
      </c>
      <c r="T1623" s="211" t="str">
        <f>IFERROR(__xludf.DUMMYFUNCTION("""COMPUTED_VALUE"""),"Bpk. Nasir")</f>
        <v>Bpk. Nasir</v>
      </c>
      <c r="U1623" s="215">
        <f>IFERROR(__xludf.DUMMYFUNCTION("""COMPUTED_VALUE"""),45966.497152777774)</f>
        <v>45966.49715</v>
      </c>
      <c r="V1623" s="211" t="str">
        <f>IFERROR(__xludf.DUMMYFUNCTION("""COMPUTED_VALUE"""),"JL Raya Pacet, Dsn. Janti Ds. Jatilangkung RT.01 RW. 04. Kabupaten. Mojokerto Pungging, Jawa Timur")</f>
        <v>JL Raya Pacet, Dsn. Janti Ds. Jatilangkung RT.01 RW. 04. Kabupaten. Mojokerto Pungging, Jawa Timur</v>
      </c>
      <c r="W1623" s="211" t="str">
        <f>IFERROR(__xludf.DUMMYFUNCTION("""COMPUTED_VALUE"""),"OUT")</f>
        <v>OUT</v>
      </c>
      <c r="X1623" s="211"/>
      <c r="AL1623" s="211"/>
      <c r="AM1623" s="211"/>
      <c r="AN1623" s="211"/>
      <c r="AO1623" s="211"/>
      <c r="AP1623" s="215"/>
      <c r="AQ1623" s="218"/>
      <c r="AR1623" s="211"/>
    </row>
    <row r="1624">
      <c r="A1624" s="210" t="str">
        <f>IFERROR(__xludf.DUMMYFUNCTION("""COMPUTED_VALUE"""),"082591182")</f>
        <v>082591182</v>
      </c>
      <c r="B1624" s="210" t="str">
        <f>IFERROR(__xludf.DUMMYFUNCTION("""COMPUTED_VALUE"""),"082591182")</f>
        <v>082591182</v>
      </c>
      <c r="C1624" s="213">
        <f>IFERROR(__xludf.DUMMYFUNCTION("""COMPUTED_VALUE"""),45897.35702546296)</f>
        <v>45897.35703</v>
      </c>
      <c r="D1624" s="211" t="str">
        <f>IFERROR(__xludf.DUMMYFUNCTION("""COMPUTED_VALUE"""),"b218b89b")</f>
        <v>b218b89b</v>
      </c>
      <c r="E1624" s="211" t="str">
        <f>IFERROR(__xludf.DUMMYFUNCTION("""COMPUTED_VALUE"""),"PT Harapan Sentosa")</f>
        <v>PT Harapan Sentosa</v>
      </c>
      <c r="F1624" s="211" t="str">
        <f>IFERROR(__xludf.DUMMYFUNCTION("""COMPUTED_VALUE"""),"7d2764f1")</f>
        <v>7d2764f1</v>
      </c>
      <c r="G1624" s="211" t="str">
        <f>IFERROR(__xludf.DUMMYFUNCTION("""COMPUTED_VALUE"""),"Oksigen 7m3")</f>
        <v>Oksigen 7m3</v>
      </c>
      <c r="H1624" s="211" t="str">
        <f>IFERROR(__xludf.DUMMYFUNCTION("""COMPUTED_VALUE"""),"OUT")</f>
        <v>OUT</v>
      </c>
      <c r="I1624" s="211" t="str">
        <f>IFERROR(__xludf.DUMMYFUNCTION("""COMPUTED_VALUE"""),"NORMAL")</f>
        <v>NORMAL</v>
      </c>
      <c r="J1624" s="211">
        <f>IFERROR(__xludf.DUMMYFUNCTION("""COMPUTED_VALUE"""),3.0)</f>
        <v>3</v>
      </c>
      <c r="K1624" s="210" t="str">
        <f>IFERROR(__xludf.DUMMYFUNCTION("""COMPUTED_VALUE"""),"11143 11214 11140")</f>
        <v>11143 11214 11140</v>
      </c>
      <c r="L1624" s="211">
        <f>IFERROR(__xludf.DUMMYFUNCTION("""COMPUTED_VALUE"""),70000.0)</f>
        <v>70000</v>
      </c>
      <c r="M1624" s="211"/>
      <c r="N1624" s="211"/>
      <c r="O1624" s="211"/>
      <c r="Q1624" s="210" t="str">
        <f>IFERROR(__xludf.DUMMYFUNCTION("""COMPUTED_VALUE"""),"1250763")</f>
        <v>1250763</v>
      </c>
      <c r="R1624" s="210" t="str">
        <f>IFERROR(__xludf.DUMMYFUNCTION("""COMPUTED_VALUE"""),"1250763")</f>
        <v>1250763</v>
      </c>
      <c r="S1624" s="211" t="str">
        <f>IFERROR(__xludf.DUMMYFUNCTION("""COMPUTED_VALUE"""),"4ec68cf6")</f>
        <v>4ec68cf6</v>
      </c>
      <c r="T1624" s="211" t="str">
        <f>IFERROR(__xludf.DUMMYFUNCTION("""COMPUTED_VALUE"""),"CV Sido Mukti Karya")</f>
        <v>CV Sido Mukti Karya</v>
      </c>
      <c r="U1624" s="215">
        <f>IFERROR(__xludf.DUMMYFUNCTION("""COMPUTED_VALUE"""),45966.50678240741)</f>
        <v>45966.50678</v>
      </c>
      <c r="V1624" s="211" t="str">
        <f>IFERROR(__xludf.DUMMYFUNCTION("""COMPUTED_VALUE"""),"Pergudangan Center Point no A3, Kemangsen")</f>
        <v>Pergudangan Center Point no A3, Kemangsen</v>
      </c>
      <c r="W1624" s="211" t="str">
        <f>IFERROR(__xludf.DUMMYFUNCTION("""COMPUTED_VALUE"""),"IN")</f>
        <v>IN</v>
      </c>
      <c r="X1624" s="211"/>
      <c r="AL1624" s="211"/>
      <c r="AM1624" s="211"/>
      <c r="AN1624" s="211"/>
      <c r="AO1624" s="211"/>
      <c r="AP1624" s="215"/>
      <c r="AQ1624" s="218"/>
      <c r="AR1624" s="211"/>
    </row>
    <row r="1625">
      <c r="A1625" s="210" t="str">
        <f>IFERROR(__xludf.DUMMYFUNCTION("""COMPUTED_VALUE"""),"0825431179")</f>
        <v>0825431179</v>
      </c>
      <c r="B1625" s="210" t="str">
        <f>IFERROR(__xludf.DUMMYFUNCTION("""COMPUTED_VALUE"""),"0825431179")</f>
        <v>0825431179</v>
      </c>
      <c r="C1625" s="213">
        <f>IFERROR(__xludf.DUMMYFUNCTION("""COMPUTED_VALUE"""),45897.352638888886)</f>
        <v>45897.35264</v>
      </c>
      <c r="D1625" s="211" t="str">
        <f>IFERROR(__xludf.DUMMYFUNCTION("""COMPUTED_VALUE"""),"e86baf3b")</f>
        <v>e86baf3b</v>
      </c>
      <c r="E1625" s="211" t="str">
        <f>IFERROR(__xludf.DUMMYFUNCTION("""COMPUTED_VALUE"""),"PT GEMILANG CIPTA WAWASAN")</f>
        <v>PT GEMILANG CIPTA WAWASAN</v>
      </c>
      <c r="F1625" s="211" t="str">
        <f>IFERROR(__xludf.DUMMYFUNCTION("""COMPUTED_VALUE"""),"8bdbe149")</f>
        <v>8bdbe149</v>
      </c>
      <c r="G1625" s="211" t="str">
        <f>IFERROR(__xludf.DUMMYFUNCTION("""COMPUTED_VALUE"""),"Oksigen 6m3")</f>
        <v>Oksigen 6m3</v>
      </c>
      <c r="H1625" s="211" t="str">
        <f>IFERROR(__xludf.DUMMYFUNCTION("""COMPUTED_VALUE"""),"OUT")</f>
        <v>OUT</v>
      </c>
      <c r="I1625" s="211" t="str">
        <f>IFERROR(__xludf.DUMMYFUNCTION("""COMPUTED_VALUE"""),"NORMAL")</f>
        <v>NORMAL</v>
      </c>
      <c r="J1625" s="211">
        <f>IFERROR(__xludf.DUMMYFUNCTION("""COMPUTED_VALUE"""),8.0)</f>
        <v>8</v>
      </c>
      <c r="K1625" s="210" t="str">
        <f>IFERROR(__xludf.DUMMYFUNCTION("""COMPUTED_VALUE"""),"1118 11105 11178 11106 11235 11196 11257 11113")</f>
        <v>1118 11105 11178 11106 11235 11196 11257 11113</v>
      </c>
      <c r="L1625" s="211">
        <f>IFERROR(__xludf.DUMMYFUNCTION("""COMPUTED_VALUE"""),60000.0)</f>
        <v>60000</v>
      </c>
      <c r="M1625" s="211"/>
      <c r="N1625" s="211"/>
      <c r="O1625" s="211"/>
      <c r="Q1625" s="210" t="str">
        <f>IFERROR(__xludf.DUMMYFUNCTION("""COMPUTED_VALUE"""),"1250731")</f>
        <v>1250731</v>
      </c>
      <c r="R1625" s="210" t="str">
        <f>IFERROR(__xludf.DUMMYFUNCTION("""COMPUTED_VALUE"""),"1250731")</f>
        <v>1250731</v>
      </c>
      <c r="S1625" s="211" t="str">
        <f>IFERROR(__xludf.DUMMYFUNCTION("""COMPUTED_VALUE"""),"4ec68cf6")</f>
        <v>4ec68cf6</v>
      </c>
      <c r="T1625" s="211" t="str">
        <f>IFERROR(__xludf.DUMMYFUNCTION("""COMPUTED_VALUE"""),"CV Sido Mukti Karya")</f>
        <v>CV Sido Mukti Karya</v>
      </c>
      <c r="U1625" s="215">
        <f>IFERROR(__xludf.DUMMYFUNCTION("""COMPUTED_VALUE"""),45961.603472222225)</f>
        <v>45961.60347</v>
      </c>
      <c r="V1625" s="211" t="str">
        <f>IFERROR(__xludf.DUMMYFUNCTION("""COMPUTED_VALUE"""),"Pergudangan Center Point no A3, Kemangsen")</f>
        <v>Pergudangan Center Point no A3, Kemangsen</v>
      </c>
      <c r="W1625" s="211" t="str">
        <f>IFERROR(__xludf.DUMMYFUNCTION("""COMPUTED_VALUE"""),"IN")</f>
        <v>IN</v>
      </c>
      <c r="X1625" s="211"/>
      <c r="AL1625" s="211"/>
      <c r="AM1625" s="211"/>
      <c r="AN1625" s="211"/>
      <c r="AO1625" s="211"/>
      <c r="AP1625" s="215"/>
      <c r="AQ1625" s="218"/>
      <c r="AR1625" s="211"/>
    </row>
    <row r="1626">
      <c r="A1626" s="210" t="str">
        <f>IFERROR(__xludf.DUMMYFUNCTION("""COMPUTED_VALUE"""),"0825431179")</f>
        <v>0825431179</v>
      </c>
      <c r="B1626" s="210" t="str">
        <f>IFERROR(__xludf.DUMMYFUNCTION("""COMPUTED_VALUE"""),"0825431179")</f>
        <v>0825431179</v>
      </c>
      <c r="C1626" s="213">
        <f>IFERROR(__xludf.DUMMYFUNCTION("""COMPUTED_VALUE"""),45897.352638888886)</f>
        <v>45897.35264</v>
      </c>
      <c r="D1626" s="211" t="str">
        <f>IFERROR(__xludf.DUMMYFUNCTION("""COMPUTED_VALUE"""),"e86baf3b")</f>
        <v>e86baf3b</v>
      </c>
      <c r="E1626" s="211" t="str">
        <f>IFERROR(__xludf.DUMMYFUNCTION("""COMPUTED_VALUE"""),"PT GEMILANG CIPTA WAWASAN")</f>
        <v>PT GEMILANG CIPTA WAWASAN</v>
      </c>
      <c r="F1626" s="211" t="str">
        <f>IFERROR(__xludf.DUMMYFUNCTION("""COMPUTED_VALUE"""),"7d2764f1")</f>
        <v>7d2764f1</v>
      </c>
      <c r="G1626" s="211" t="str">
        <f>IFERROR(__xludf.DUMMYFUNCTION("""COMPUTED_VALUE"""),"Oksigen 7m3")</f>
        <v>Oksigen 7m3</v>
      </c>
      <c r="H1626" s="211" t="str">
        <f>IFERROR(__xludf.DUMMYFUNCTION("""COMPUTED_VALUE"""),"OUT")</f>
        <v>OUT</v>
      </c>
      <c r="I1626" s="211" t="str">
        <f>IFERROR(__xludf.DUMMYFUNCTION("""COMPUTED_VALUE"""),"NORMAL")</f>
        <v>NORMAL</v>
      </c>
      <c r="J1626" s="211">
        <f>IFERROR(__xludf.DUMMYFUNCTION("""COMPUTED_VALUE"""),2.0)</f>
        <v>2</v>
      </c>
      <c r="K1626" s="210" t="str">
        <f>IFERROR(__xludf.DUMMYFUNCTION("""COMPUTED_VALUE"""),"11225 11219")</f>
        <v>11225 11219</v>
      </c>
      <c r="L1626" s="211">
        <f>IFERROR(__xludf.DUMMYFUNCTION("""COMPUTED_VALUE"""),60000.0)</f>
        <v>60000</v>
      </c>
      <c r="M1626" s="211"/>
      <c r="N1626" s="211"/>
      <c r="O1626" s="211"/>
      <c r="Q1626" s="210" t="str">
        <f>IFERROR(__xludf.DUMMYFUNCTION("""COMPUTED_VALUE"""),"1250754")</f>
        <v>1250754</v>
      </c>
      <c r="R1626" s="210" t="str">
        <f>IFERROR(__xludf.DUMMYFUNCTION("""COMPUTED_VALUE"""),"1250754")</f>
        <v>1250754</v>
      </c>
      <c r="S1626" s="211" t="str">
        <f>IFERROR(__xludf.DUMMYFUNCTION("""COMPUTED_VALUE"""),"01158be1")</f>
        <v>01158be1</v>
      </c>
      <c r="T1626" s="211" t="str">
        <f>IFERROR(__xludf.DUMMYFUNCTION("""COMPUTED_VALUE"""),"GYF")</f>
        <v>GYF</v>
      </c>
      <c r="U1626" s="215">
        <f>IFERROR(__xludf.DUMMYFUNCTION("""COMPUTED_VALUE"""),45966.568761574075)</f>
        <v>45966.56876</v>
      </c>
      <c r="V1626" s="211" t="str">
        <f>IFERROR(__xludf.DUMMYFUNCTION("""COMPUTED_VALUE"""),"Kangkungan, Lengkong, Kec. Mojoanyar, Kabupaten Mojokerto, Jawa Timur")</f>
        <v>Kangkungan, Lengkong, Kec. Mojoanyar, Kabupaten Mojokerto, Jawa Timur</v>
      </c>
      <c r="W1626" s="211" t="str">
        <f>IFERROR(__xludf.DUMMYFUNCTION("""COMPUTED_VALUE"""),"IN")</f>
        <v>IN</v>
      </c>
      <c r="X1626" s="211"/>
      <c r="AL1626" s="211"/>
      <c r="AM1626" s="211"/>
      <c r="AN1626" s="211"/>
      <c r="AO1626" s="211"/>
      <c r="AP1626" s="215"/>
      <c r="AQ1626" s="218"/>
      <c r="AR1626" s="211"/>
    </row>
    <row r="1627">
      <c r="A1627" s="210" t="str">
        <f>IFERROR(__xludf.DUMMYFUNCTION("""COMPUTED_VALUE"""),"1250537")</f>
        <v>1250537</v>
      </c>
      <c r="B1627" s="210" t="str">
        <f>IFERROR(__xludf.DUMMYFUNCTION("""COMPUTED_VALUE"""),"1250537")</f>
        <v>1250537</v>
      </c>
      <c r="C1627" s="213">
        <f>IFERROR(__xludf.DUMMYFUNCTION("""COMPUTED_VALUE"""),45897.44210648148)</f>
        <v>45897.44211</v>
      </c>
      <c r="D1627" s="211" t="str">
        <f>IFERROR(__xludf.DUMMYFUNCTION("""COMPUTED_VALUE"""),"b218b89b")</f>
        <v>b218b89b</v>
      </c>
      <c r="E1627" s="211" t="str">
        <f>IFERROR(__xludf.DUMMYFUNCTION("""COMPUTED_VALUE"""),"PT Harapan Sentosa")</f>
        <v>PT Harapan Sentosa</v>
      </c>
      <c r="F1627" s="211" t="str">
        <f>IFERROR(__xludf.DUMMYFUNCTION("""COMPUTED_VALUE"""),"ef306e54")</f>
        <v>ef306e54</v>
      </c>
      <c r="G1627" s="211" t="str">
        <f>IFERROR(__xludf.DUMMYFUNCTION("""COMPUTED_VALUE"""),"Karbondioksida")</f>
        <v>Karbondioksida</v>
      </c>
      <c r="H1627" s="211" t="str">
        <f>IFERROR(__xludf.DUMMYFUNCTION("""COMPUTED_VALUE"""),"IN")</f>
        <v>IN</v>
      </c>
      <c r="I1627" s="211" t="str">
        <f>IFERROR(__xludf.DUMMYFUNCTION("""COMPUTED_VALUE"""),"EMPTY")</f>
        <v>EMPTY</v>
      </c>
      <c r="J1627" s="211">
        <f>IFERROR(__xludf.DUMMYFUNCTION("""COMPUTED_VALUE"""),4.0)</f>
        <v>4</v>
      </c>
      <c r="K1627" s="210" t="str">
        <f>IFERROR(__xludf.DUMMYFUNCTION("""COMPUTED_VALUE"""),"13008 13016 13024 13034")</f>
        <v>13008 13016 13024 13034</v>
      </c>
      <c r="L1627" s="211">
        <f>IFERROR(__xludf.DUMMYFUNCTION("""COMPUTED_VALUE"""),0.0)</f>
        <v>0</v>
      </c>
      <c r="M1627" s="211"/>
      <c r="N1627" s="211"/>
      <c r="O1627" s="211"/>
      <c r="Q1627" s="210" t="str">
        <f>IFERROR(__xludf.DUMMYFUNCTION("""COMPUTED_VALUE"""),"1250755")</f>
        <v>1250755</v>
      </c>
      <c r="R1627" s="210" t="str">
        <f>IFERROR(__xludf.DUMMYFUNCTION("""COMPUTED_VALUE"""),"1250755")</f>
        <v>1250755</v>
      </c>
      <c r="S1627" s="211" t="str">
        <f>IFERROR(__xludf.DUMMYFUNCTION("""COMPUTED_VALUE"""),"faf71ae5")</f>
        <v>faf71ae5</v>
      </c>
      <c r="T1627" s="211" t="str">
        <f>IFERROR(__xludf.DUMMYFUNCTION("""COMPUTED_VALUE"""),"Bpk. Sampurna")</f>
        <v>Bpk. Sampurna</v>
      </c>
      <c r="U1627" s="215">
        <f>IFERROR(__xludf.DUMMYFUNCTION("""COMPUTED_VALUE"""),45966.56951388889)</f>
        <v>45966.56951</v>
      </c>
      <c r="V1627" s="211" t="str">
        <f>IFERROR(__xludf.DUMMYFUNCTION("""COMPUTED_VALUE"""),"Jl. Bypass Krian KM.30 No.15, Kraton, Kec. Krian, Kabupaten Sidoarjo, Jawa Timur 61262")</f>
        <v>Jl. Bypass Krian KM.30 No.15, Kraton, Kec. Krian, Kabupaten Sidoarjo, Jawa Timur 61262</v>
      </c>
      <c r="W1627" s="211" t="str">
        <f>IFERROR(__xludf.DUMMYFUNCTION("""COMPUTED_VALUE"""),"IN")</f>
        <v>IN</v>
      </c>
      <c r="X1627" s="211"/>
      <c r="AL1627" s="211"/>
      <c r="AM1627" s="211"/>
      <c r="AN1627" s="211"/>
      <c r="AO1627" s="211"/>
      <c r="AP1627" s="215"/>
      <c r="AQ1627" s="218"/>
      <c r="AR1627" s="211"/>
    </row>
    <row r="1628">
      <c r="A1628" s="210" t="str">
        <f>IFERROR(__xludf.DUMMYFUNCTION("""COMPUTED_VALUE"""),"1250537")</f>
        <v>1250537</v>
      </c>
      <c r="B1628" s="210" t="str">
        <f>IFERROR(__xludf.DUMMYFUNCTION("""COMPUTED_VALUE"""),"1250537")</f>
        <v>1250537</v>
      </c>
      <c r="C1628" s="213">
        <f>IFERROR(__xludf.DUMMYFUNCTION("""COMPUTED_VALUE"""),45897.44210648148)</f>
        <v>45897.44211</v>
      </c>
      <c r="D1628" s="211" t="str">
        <f>IFERROR(__xludf.DUMMYFUNCTION("""COMPUTED_VALUE"""),"b218b89b")</f>
        <v>b218b89b</v>
      </c>
      <c r="E1628" s="211" t="str">
        <f>IFERROR(__xludf.DUMMYFUNCTION("""COMPUTED_VALUE"""),"PT Harapan Sentosa")</f>
        <v>PT Harapan Sentosa</v>
      </c>
      <c r="F1628" s="211" t="str">
        <f>IFERROR(__xludf.DUMMYFUNCTION("""COMPUTED_VALUE"""),"7d2764f1")</f>
        <v>7d2764f1</v>
      </c>
      <c r="G1628" s="211" t="str">
        <f>IFERROR(__xludf.DUMMYFUNCTION("""COMPUTED_VALUE"""),"Oksigen 7m3")</f>
        <v>Oksigen 7m3</v>
      </c>
      <c r="H1628" s="211" t="str">
        <f>IFERROR(__xludf.DUMMYFUNCTION("""COMPUTED_VALUE"""),"IN")</f>
        <v>IN</v>
      </c>
      <c r="I1628" s="211" t="str">
        <f>IFERROR(__xludf.DUMMYFUNCTION("""COMPUTED_VALUE"""),"EMPTY")</f>
        <v>EMPTY</v>
      </c>
      <c r="J1628" s="211">
        <f>IFERROR(__xludf.DUMMYFUNCTION("""COMPUTED_VALUE"""),6.0)</f>
        <v>6</v>
      </c>
      <c r="K1628" s="210" t="str">
        <f>IFERROR(__xludf.DUMMYFUNCTION("""COMPUTED_VALUE"""),"11138 11144 11142 11153 11195 11212")</f>
        <v>11138 11144 11142 11153 11195 11212</v>
      </c>
      <c r="L1628" s="211">
        <f>IFERROR(__xludf.DUMMYFUNCTION("""COMPUTED_VALUE"""),0.0)</f>
        <v>0</v>
      </c>
      <c r="M1628" s="211"/>
      <c r="N1628" s="211"/>
      <c r="O1628" s="211"/>
      <c r="Q1628" s="210" t="str">
        <f>IFERROR(__xludf.DUMMYFUNCTION("""COMPUTED_VALUE"""),"1125181624")</f>
        <v>1125181624</v>
      </c>
      <c r="R1628" s="210" t="str">
        <f>IFERROR(__xludf.DUMMYFUNCTION("""COMPUTED_VALUE"""),"1125181624")</f>
        <v>1125181624</v>
      </c>
      <c r="S1628" s="211" t="str">
        <f>IFERROR(__xludf.DUMMYFUNCTION("""COMPUTED_VALUE"""),"4ec68cf6")</f>
        <v>4ec68cf6</v>
      </c>
      <c r="T1628" s="211" t="str">
        <f>IFERROR(__xludf.DUMMYFUNCTION("""COMPUTED_VALUE"""),"CV Sido Mukti Karya")</f>
        <v>CV Sido Mukti Karya</v>
      </c>
      <c r="U1628" s="215">
        <f>IFERROR(__xludf.DUMMYFUNCTION("""COMPUTED_VALUE"""),45966.658680555556)</f>
        <v>45966.65868</v>
      </c>
      <c r="V1628" s="211" t="str">
        <f>IFERROR(__xludf.DUMMYFUNCTION("""COMPUTED_VALUE"""),"Pergudangan Center Point no A3, Kemangsen")</f>
        <v>Pergudangan Center Point no A3, Kemangsen</v>
      </c>
      <c r="W1628" s="211" t="str">
        <f>IFERROR(__xludf.DUMMYFUNCTION("""COMPUTED_VALUE"""),"OUT")</f>
        <v>OUT</v>
      </c>
      <c r="X1628" s="211"/>
      <c r="AL1628" s="211"/>
      <c r="AM1628" s="211"/>
      <c r="AN1628" s="211"/>
      <c r="AO1628" s="211"/>
      <c r="AP1628" s="215"/>
      <c r="AQ1628" s="218"/>
      <c r="AR1628" s="211"/>
    </row>
    <row r="1629">
      <c r="A1629" s="210" t="str">
        <f>IFERROR(__xludf.DUMMYFUNCTION("""COMPUTED_VALUE"""),"1250537")</f>
        <v>1250537</v>
      </c>
      <c r="B1629" s="210" t="str">
        <f>IFERROR(__xludf.DUMMYFUNCTION("""COMPUTED_VALUE"""),"1250537")</f>
        <v>1250537</v>
      </c>
      <c r="C1629" s="213">
        <f>IFERROR(__xludf.DUMMYFUNCTION("""COMPUTED_VALUE"""),45897.44210648148)</f>
        <v>45897.44211</v>
      </c>
      <c r="D1629" s="211" t="str">
        <f>IFERROR(__xludf.DUMMYFUNCTION("""COMPUTED_VALUE"""),"b218b89b")</f>
        <v>b218b89b</v>
      </c>
      <c r="E1629" s="211" t="str">
        <f>IFERROR(__xludf.DUMMYFUNCTION("""COMPUTED_VALUE"""),"PT Harapan Sentosa")</f>
        <v>PT Harapan Sentosa</v>
      </c>
      <c r="F1629" s="211" t="str">
        <f>IFERROR(__xludf.DUMMYFUNCTION("""COMPUTED_VALUE"""),"ef306e54")</f>
        <v>ef306e54</v>
      </c>
      <c r="G1629" s="211" t="str">
        <f>IFERROR(__xludf.DUMMYFUNCTION("""COMPUTED_VALUE"""),"Karbondioksida")</f>
        <v>Karbondioksida</v>
      </c>
      <c r="H1629" s="211" t="str">
        <f>IFERROR(__xludf.DUMMYFUNCTION("""COMPUTED_VALUE"""),"IN")</f>
        <v>IN</v>
      </c>
      <c r="I1629" s="211" t="str">
        <f>IFERROR(__xludf.DUMMYFUNCTION("""COMPUTED_VALUE"""),"CLAIM")</f>
        <v>CLAIM</v>
      </c>
      <c r="J1629" s="211">
        <f>IFERROR(__xludf.DUMMYFUNCTION("""COMPUTED_VALUE"""),1.0)</f>
        <v>1</v>
      </c>
      <c r="K1629" s="210" t="str">
        <f>IFERROR(__xludf.DUMMYFUNCTION("""COMPUTED_VALUE"""),"13035")</f>
        <v>13035</v>
      </c>
      <c r="L1629" s="211">
        <f>IFERROR(__xludf.DUMMYFUNCTION("""COMPUTED_VALUE"""),0.0)</f>
        <v>0</v>
      </c>
      <c r="M1629" s="211"/>
      <c r="N1629" s="211"/>
      <c r="O1629" s="211"/>
      <c r="Q1629" s="210" t="str">
        <f>IFERROR(__xludf.DUMMYFUNCTION("""COMPUTED_VALUE"""),"1250753")</f>
        <v>1250753</v>
      </c>
      <c r="R1629" s="210" t="str">
        <f>IFERROR(__xludf.DUMMYFUNCTION("""COMPUTED_VALUE"""),"1250753")</f>
        <v>1250753</v>
      </c>
      <c r="S1629" s="211" t="str">
        <f>IFERROR(__xludf.DUMMYFUNCTION("""COMPUTED_VALUE"""),"eec2e801")</f>
        <v>eec2e801</v>
      </c>
      <c r="T1629" s="211" t="str">
        <f>IFERROR(__xludf.DUMMYFUNCTION("""COMPUTED_VALUE"""),"Mitra Wood Sejahtera")</f>
        <v>Mitra Wood Sejahtera</v>
      </c>
      <c r="U1629" s="215">
        <f>IFERROR(__xludf.DUMMYFUNCTION("""COMPUTED_VALUE"""),45966.694560185184)</f>
        <v>45966.69456</v>
      </c>
      <c r="V1629" s="211" t="str">
        <f>IFERROR(__xludf.DUMMYFUNCTION("""COMPUTED_VALUE"""),"Jl.cungkling, Jl. Tanggungan, Nanom Kidul, Lebaniwaras, Kec. Wringinanom, Kabupaten Gresik, Jawa Timur 61176")</f>
        <v>Jl.cungkling, Jl. Tanggungan, Nanom Kidul, Lebaniwaras, Kec. Wringinanom, Kabupaten Gresik, Jawa Timur 61176</v>
      </c>
      <c r="W1629" s="211" t="str">
        <f>IFERROR(__xludf.DUMMYFUNCTION("""COMPUTED_VALUE"""),"IN")</f>
        <v>IN</v>
      </c>
      <c r="X1629" s="211"/>
      <c r="AL1629" s="211"/>
      <c r="AM1629" s="211"/>
      <c r="AN1629" s="211"/>
      <c r="AO1629" s="211"/>
      <c r="AP1629" s="215"/>
      <c r="AQ1629" s="218"/>
      <c r="AR1629" s="211"/>
    </row>
    <row r="1630">
      <c r="A1630" s="210" t="str">
        <f>IFERROR(__xludf.DUMMYFUNCTION("""COMPUTED_VALUE"""),"0825111183")</f>
        <v>0825111183</v>
      </c>
      <c r="B1630" s="210" t="str">
        <f>IFERROR(__xludf.DUMMYFUNCTION("""COMPUTED_VALUE"""),"0825111183")</f>
        <v>0825111183</v>
      </c>
      <c r="C1630" s="213">
        <f>IFERROR(__xludf.DUMMYFUNCTION("""COMPUTED_VALUE"""),45897.46325231482)</f>
        <v>45897.46325</v>
      </c>
      <c r="D1630" s="211" t="str">
        <f>IFERROR(__xludf.DUMMYFUNCTION("""COMPUTED_VALUE"""),"182fb0fe")</f>
        <v>182fb0fe</v>
      </c>
      <c r="E1630" s="211" t="str">
        <f>IFERROR(__xludf.DUMMYFUNCTION("""COMPUTED_VALUE"""),"PT Amtech")</f>
        <v>PT Amtech</v>
      </c>
      <c r="F1630" s="211" t="str">
        <f>IFERROR(__xludf.DUMMYFUNCTION("""COMPUTED_VALUE"""),"66af7c72")</f>
        <v>66af7c72</v>
      </c>
      <c r="G1630" s="211" t="str">
        <f>IFERROR(__xludf.DUMMYFUNCTION("""COMPUTED_VALUE"""),"Argon 6m3")</f>
        <v>Argon 6m3</v>
      </c>
      <c r="H1630" s="211" t="str">
        <f>IFERROR(__xludf.DUMMYFUNCTION("""COMPUTED_VALUE"""),"OUT")</f>
        <v>OUT</v>
      </c>
      <c r="I1630" s="211" t="str">
        <f>IFERROR(__xludf.DUMMYFUNCTION("""COMPUTED_VALUE"""),"NORMAL")</f>
        <v>NORMAL</v>
      </c>
      <c r="J1630" s="211">
        <f>IFERROR(__xludf.DUMMYFUNCTION("""COMPUTED_VALUE"""),8.0)</f>
        <v>8</v>
      </c>
      <c r="K1630" s="210" t="str">
        <f>IFERROR(__xludf.DUMMYFUNCTION("""COMPUTED_VALUE"""),"12063 12071 12030 12025 12065 12048 12013 12066")</f>
        <v>12063 12071 12030 12025 12065 12048 12013 12066</v>
      </c>
      <c r="L1630" s="211">
        <f>IFERROR(__xludf.DUMMYFUNCTION("""COMPUTED_VALUE"""),195000.0)</f>
        <v>195000</v>
      </c>
      <c r="M1630" s="211"/>
      <c r="N1630" s="211"/>
      <c r="O1630" s="211"/>
      <c r="Q1630" s="211"/>
      <c r="R1630" s="211"/>
      <c r="S1630" s="211"/>
      <c r="T1630" s="211"/>
      <c r="U1630" s="211"/>
      <c r="V1630" s="211"/>
      <c r="W1630" s="211"/>
      <c r="X1630" s="211"/>
      <c r="AL1630" s="211"/>
      <c r="AM1630" s="211"/>
      <c r="AN1630" s="211"/>
      <c r="AO1630" s="211"/>
      <c r="AP1630" s="215"/>
      <c r="AQ1630" s="218"/>
      <c r="AR1630" s="211"/>
    </row>
    <row r="1631">
      <c r="A1631" s="210" t="str">
        <f>IFERROR(__xludf.DUMMYFUNCTION("""COMPUTED_VALUE"""),"1250478")</f>
        <v>1250478</v>
      </c>
      <c r="B1631" s="210" t="str">
        <f>IFERROR(__xludf.DUMMYFUNCTION("""COMPUTED_VALUE"""),"1250478")</f>
        <v>1250478</v>
      </c>
      <c r="C1631" s="213">
        <f>IFERROR(__xludf.DUMMYFUNCTION("""COMPUTED_VALUE"""),45897.46875)</f>
        <v>45897.46875</v>
      </c>
      <c r="D1631" s="211" t="str">
        <f>IFERROR(__xludf.DUMMYFUNCTION("""COMPUTED_VALUE"""),"a343b84d")</f>
        <v>a343b84d</v>
      </c>
      <c r="E1631" s="211" t="str">
        <f>IFERROR(__xludf.DUMMYFUNCTION("""COMPUTED_VALUE"""),"PT Utama Alim Sejahtera")</f>
        <v>PT Utama Alim Sejahtera</v>
      </c>
      <c r="F1631" s="211" t="str">
        <f>IFERROR(__xludf.DUMMYFUNCTION("""COMPUTED_VALUE"""),"7d2764f1")</f>
        <v>7d2764f1</v>
      </c>
      <c r="G1631" s="211" t="str">
        <f>IFERROR(__xludf.DUMMYFUNCTION("""COMPUTED_VALUE"""),"Oksigen 7m3")</f>
        <v>Oksigen 7m3</v>
      </c>
      <c r="H1631" s="211" t="str">
        <f>IFERROR(__xludf.DUMMYFUNCTION("""COMPUTED_VALUE"""),"IN")</f>
        <v>IN</v>
      </c>
      <c r="I1631" s="211" t="str">
        <f>IFERROR(__xludf.DUMMYFUNCTION("""COMPUTED_VALUE"""),"EMPTY")</f>
        <v>EMPTY</v>
      </c>
      <c r="J1631" s="211">
        <f>IFERROR(__xludf.DUMMYFUNCTION("""COMPUTED_VALUE"""),5.0)</f>
        <v>5</v>
      </c>
      <c r="K1631" s="210" t="str">
        <f>IFERROR(__xludf.DUMMYFUNCTION("""COMPUTED_VALUE"""),"11172 11160 11163 11145 11149")</f>
        <v>11172 11160 11163 11145 11149</v>
      </c>
      <c r="L1631" s="211">
        <f>IFERROR(__xludf.DUMMYFUNCTION("""COMPUTED_VALUE"""),0.0)</f>
        <v>0</v>
      </c>
      <c r="M1631" s="211"/>
      <c r="N1631" s="211"/>
      <c r="O1631" s="211"/>
      <c r="Q1631" s="210" t="str">
        <f>IFERROR(__xludf.DUMMYFUNCTION("""COMPUTED_VALUE"""),"1125341631")</f>
        <v>1125341631</v>
      </c>
      <c r="R1631" s="210" t="str">
        <f>IFERROR(__xludf.DUMMYFUNCTION("""COMPUTED_VALUE"""),"1125341631")</f>
        <v>1125341631</v>
      </c>
      <c r="S1631" s="211" t="str">
        <f>IFERROR(__xludf.DUMMYFUNCTION("""COMPUTED_VALUE"""),"b2b5f2c5")</f>
        <v>b2b5f2c5</v>
      </c>
      <c r="T1631" s="211" t="str">
        <f>IFERROR(__xludf.DUMMYFUNCTION("""COMPUTED_VALUE"""),"Bengkel Las Bpk. Ari")</f>
        <v>Bengkel Las Bpk. Ari</v>
      </c>
      <c r="U1631" s="215">
        <f>IFERROR(__xludf.DUMMYFUNCTION("""COMPUTED_VALUE"""),45967.34722222222)</f>
        <v>45967.34722</v>
      </c>
      <c r="V1631" s="211" t="str">
        <f>IFERROR(__xludf.DUMMYFUNCTION("""COMPUTED_VALUE"""),"Sumber Kembar, Wonodadi, Kec. Kutorejo, Kabupaten Mojokerto, Jawa Timur")</f>
        <v>Sumber Kembar, Wonodadi, Kec. Kutorejo, Kabupaten Mojokerto, Jawa Timur</v>
      </c>
      <c r="W1631" s="211" t="str">
        <f>IFERROR(__xludf.DUMMYFUNCTION("""COMPUTED_VALUE"""),"OUT")</f>
        <v>OUT</v>
      </c>
      <c r="X1631" s="211"/>
      <c r="AL1631" s="211"/>
      <c r="AM1631" s="211"/>
      <c r="AN1631" s="211"/>
      <c r="AO1631" s="211"/>
      <c r="AP1631" s="215"/>
      <c r="AQ1631" s="218"/>
      <c r="AR1631" s="211"/>
    </row>
    <row r="1632">
      <c r="A1632" s="210" t="str">
        <f>IFERROR(__xludf.DUMMYFUNCTION("""COMPUTED_VALUE"""),"1250478")</f>
        <v>1250478</v>
      </c>
      <c r="B1632" s="210" t="str">
        <f>IFERROR(__xludf.DUMMYFUNCTION("""COMPUTED_VALUE"""),"1250478")</f>
        <v>1250478</v>
      </c>
      <c r="C1632" s="213">
        <f>IFERROR(__xludf.DUMMYFUNCTION("""COMPUTED_VALUE"""),45897.46875)</f>
        <v>45897.46875</v>
      </c>
      <c r="D1632" s="211" t="str">
        <f>IFERROR(__xludf.DUMMYFUNCTION("""COMPUTED_VALUE"""),"a343b84d")</f>
        <v>a343b84d</v>
      </c>
      <c r="E1632" s="211" t="str">
        <f>IFERROR(__xludf.DUMMYFUNCTION("""COMPUTED_VALUE"""),"PT Utama Alim Sejahtera")</f>
        <v>PT Utama Alim Sejahtera</v>
      </c>
      <c r="F1632" s="211" t="str">
        <f>IFERROR(__xludf.DUMMYFUNCTION("""COMPUTED_VALUE"""),"ef306e54")</f>
        <v>ef306e54</v>
      </c>
      <c r="G1632" s="211" t="str">
        <f>IFERROR(__xludf.DUMMYFUNCTION("""COMPUTED_VALUE"""),"Karbondioksida")</f>
        <v>Karbondioksida</v>
      </c>
      <c r="H1632" s="211" t="str">
        <f>IFERROR(__xludf.DUMMYFUNCTION("""COMPUTED_VALUE"""),"IN")</f>
        <v>IN</v>
      </c>
      <c r="I1632" s="211" t="str">
        <f>IFERROR(__xludf.DUMMYFUNCTION("""COMPUTED_VALUE"""),"EMPTY")</f>
        <v>EMPTY</v>
      </c>
      <c r="J1632" s="211">
        <f>IFERROR(__xludf.DUMMYFUNCTION("""COMPUTED_VALUE"""),3.0)</f>
        <v>3</v>
      </c>
      <c r="K1632" s="210" t="str">
        <f>IFERROR(__xludf.DUMMYFUNCTION("""COMPUTED_VALUE"""),"13003 13004 13005")</f>
        <v>13003 13004 13005</v>
      </c>
      <c r="L1632" s="211">
        <f>IFERROR(__xludf.DUMMYFUNCTION("""COMPUTED_VALUE"""),0.0)</f>
        <v>0</v>
      </c>
      <c r="M1632" s="211"/>
      <c r="N1632" s="211"/>
      <c r="O1632" s="211"/>
      <c r="Q1632" s="210" t="str">
        <f>IFERROR(__xludf.DUMMYFUNCTION("""COMPUTED_VALUE"""),"1125661632")</f>
        <v>1125661632</v>
      </c>
      <c r="R1632" s="210" t="str">
        <f>IFERROR(__xludf.DUMMYFUNCTION("""COMPUTED_VALUE"""),"1125661632")</f>
        <v>1125661632</v>
      </c>
      <c r="S1632" s="211" t="str">
        <f>IFERROR(__xludf.DUMMYFUNCTION("""COMPUTED_VALUE"""),"e86baf3b")</f>
        <v>e86baf3b</v>
      </c>
      <c r="T1632" s="211" t="str">
        <f>IFERROR(__xludf.DUMMYFUNCTION("""COMPUTED_VALUE"""),"PT GEMILANG CIPTA WAWASAN")</f>
        <v>PT GEMILANG CIPTA WAWASAN</v>
      </c>
      <c r="U1632" s="215">
        <f>IFERROR(__xludf.DUMMYFUNCTION("""COMPUTED_VALUE"""),45967.34166666667)</f>
        <v>45967.34167</v>
      </c>
      <c r="V1632" s="211" t="str">
        <f>IFERROR(__xludf.DUMMYFUNCTION("""COMPUTED_VALUE"""),"JL TEBET RAYA, 2A, TEBET BARAT, TEBET, KOTA ADM, JAKARTA SELATAN, DKI JAKARTA")</f>
        <v>JL TEBET RAYA, 2A, TEBET BARAT, TEBET, KOTA ADM, JAKARTA SELATAN, DKI JAKARTA</v>
      </c>
      <c r="W1632" s="211" t="str">
        <f>IFERROR(__xludf.DUMMYFUNCTION("""COMPUTED_VALUE"""),"OUT")</f>
        <v>OUT</v>
      </c>
      <c r="X1632" s="211"/>
      <c r="AL1632" s="211"/>
      <c r="AM1632" s="211"/>
      <c r="AN1632" s="211"/>
      <c r="AO1632" s="211"/>
      <c r="AP1632" s="215"/>
      <c r="AQ1632" s="218"/>
      <c r="AR1632" s="211"/>
    </row>
    <row r="1633">
      <c r="A1633" s="210" t="str">
        <f>IFERROR(__xludf.DUMMYFUNCTION("""COMPUTED_VALUE"""),"1250550")</f>
        <v>1250550</v>
      </c>
      <c r="B1633" s="210" t="str">
        <f>IFERROR(__xludf.DUMMYFUNCTION("""COMPUTED_VALUE"""),"1250550")</f>
        <v>1250550</v>
      </c>
      <c r="C1633" s="213">
        <f>IFERROR(__xludf.DUMMYFUNCTION("""COMPUTED_VALUE"""),45897.60212962963)</f>
        <v>45897.60213</v>
      </c>
      <c r="D1633" s="211" t="str">
        <f>IFERROR(__xludf.DUMMYFUNCTION("""COMPUTED_VALUE"""),"182fb0fe")</f>
        <v>182fb0fe</v>
      </c>
      <c r="E1633" s="211" t="str">
        <f>IFERROR(__xludf.DUMMYFUNCTION("""COMPUTED_VALUE"""),"PT Amtech")</f>
        <v>PT Amtech</v>
      </c>
      <c r="F1633" s="211" t="str">
        <f>IFERROR(__xludf.DUMMYFUNCTION("""COMPUTED_VALUE"""),"be525f3b")</f>
        <v>be525f3b</v>
      </c>
      <c r="G1633" s="211" t="str">
        <f>IFERROR(__xludf.DUMMYFUNCTION("""COMPUTED_VALUE"""),"LPG 12kg")</f>
        <v>LPG 12kg</v>
      </c>
      <c r="H1633" s="211" t="str">
        <f>IFERROR(__xludf.DUMMYFUNCTION("""COMPUTED_VALUE"""),"IN")</f>
        <v>IN</v>
      </c>
      <c r="I1633" s="211" t="str">
        <f>IFERROR(__xludf.DUMMYFUNCTION("""COMPUTED_VALUE"""),"EMPTY")</f>
        <v>EMPTY</v>
      </c>
      <c r="J1633" s="211">
        <f>IFERROR(__xludf.DUMMYFUNCTION("""COMPUTED_VALUE"""),3.0)</f>
        <v>3</v>
      </c>
      <c r="K1633" s="210" t="str">
        <f>IFERROR(__xludf.DUMMYFUNCTION("""COMPUTED_VALUE"""),"01 02 03")</f>
        <v>01 02 03</v>
      </c>
      <c r="L1633" s="211">
        <f>IFERROR(__xludf.DUMMYFUNCTION("""COMPUTED_VALUE"""),0.0)</f>
        <v>0</v>
      </c>
      <c r="M1633" s="211"/>
      <c r="N1633" s="211"/>
      <c r="O1633" s="211"/>
      <c r="Q1633" s="210" t="str">
        <f>IFERROR(__xludf.DUMMYFUNCTION("""COMPUTED_VALUE"""),"1125191633")</f>
        <v>1125191633</v>
      </c>
      <c r="R1633" s="210" t="str">
        <f>IFERROR(__xludf.DUMMYFUNCTION("""COMPUTED_VALUE"""),"1125191633")</f>
        <v>1125191633</v>
      </c>
      <c r="S1633" s="211" t="str">
        <f>IFERROR(__xludf.DUMMYFUNCTION("""COMPUTED_VALUE"""),"3bcd7fe6")</f>
        <v>3bcd7fe6</v>
      </c>
      <c r="T1633" s="211" t="str">
        <f>IFERROR(__xludf.DUMMYFUNCTION("""COMPUTED_VALUE"""),"Bpk. Alvin (LB Group)")</f>
        <v>Bpk. Alvin (LB Group)</v>
      </c>
      <c r="U1633" s="215">
        <f>IFERROR(__xludf.DUMMYFUNCTION("""COMPUTED_VALUE"""),45967.357465277775)</f>
        <v>45967.35747</v>
      </c>
      <c r="V1633" s="211" t="str">
        <f>IFERROR(__xludf.DUMMYFUNCTION("""COMPUTED_VALUE"""),"MFF9+XHC, Jalan, Tambakrejo, Temuireng, Kec. Dawar Blandong, Kabupaten Mojokerto, Jawa Timur 61354")</f>
        <v>MFF9+XHC, Jalan, Tambakrejo, Temuireng, Kec. Dawar Blandong, Kabupaten Mojokerto, Jawa Timur 61354</v>
      </c>
      <c r="W1633" s="211" t="str">
        <f>IFERROR(__xludf.DUMMYFUNCTION("""COMPUTED_VALUE"""),"OUT")</f>
        <v>OUT</v>
      </c>
      <c r="X1633" s="211"/>
      <c r="AL1633" s="211"/>
      <c r="AM1633" s="211"/>
      <c r="AN1633" s="211"/>
      <c r="AO1633" s="211"/>
      <c r="AP1633" s="215"/>
      <c r="AQ1633" s="218"/>
      <c r="AR1633" s="211"/>
    </row>
    <row r="1634">
      <c r="A1634" s="210" t="str">
        <f>IFERROR(__xludf.DUMMYFUNCTION("""COMPUTED_VALUE"""),"1250550")</f>
        <v>1250550</v>
      </c>
      <c r="B1634" s="210" t="str">
        <f>IFERROR(__xludf.DUMMYFUNCTION("""COMPUTED_VALUE"""),"1250550")</f>
        <v>1250550</v>
      </c>
      <c r="C1634" s="213">
        <f>IFERROR(__xludf.DUMMYFUNCTION("""COMPUTED_VALUE"""),45897.60212962963)</f>
        <v>45897.60213</v>
      </c>
      <c r="D1634" s="211" t="str">
        <f>IFERROR(__xludf.DUMMYFUNCTION("""COMPUTED_VALUE"""),"182fb0fe")</f>
        <v>182fb0fe</v>
      </c>
      <c r="E1634" s="211" t="str">
        <f>IFERROR(__xludf.DUMMYFUNCTION("""COMPUTED_VALUE"""),"PT Amtech")</f>
        <v>PT Amtech</v>
      </c>
      <c r="F1634" s="211" t="str">
        <f>IFERROR(__xludf.DUMMYFUNCTION("""COMPUTED_VALUE"""),"8bdbe149")</f>
        <v>8bdbe149</v>
      </c>
      <c r="G1634" s="211" t="str">
        <f>IFERROR(__xludf.DUMMYFUNCTION("""COMPUTED_VALUE"""),"Oksigen 6m3")</f>
        <v>Oksigen 6m3</v>
      </c>
      <c r="H1634" s="211" t="str">
        <f>IFERROR(__xludf.DUMMYFUNCTION("""COMPUTED_VALUE"""),"IN")</f>
        <v>IN</v>
      </c>
      <c r="I1634" s="211" t="str">
        <f>IFERROR(__xludf.DUMMYFUNCTION("""COMPUTED_VALUE"""),"EMPTY")</f>
        <v>EMPTY</v>
      </c>
      <c r="J1634" s="211">
        <f>IFERROR(__xludf.DUMMYFUNCTION("""COMPUTED_VALUE"""),4.0)</f>
        <v>4</v>
      </c>
      <c r="K1634" s="210" t="str">
        <f>IFERROR(__xludf.DUMMYFUNCTION("""COMPUTED_VALUE"""),"11208 11231 11250 11247")</f>
        <v>11208 11231 11250 11247</v>
      </c>
      <c r="L1634" s="211">
        <f>IFERROR(__xludf.DUMMYFUNCTION("""COMPUTED_VALUE"""),0.0)</f>
        <v>0</v>
      </c>
      <c r="M1634" s="211"/>
      <c r="N1634" s="211"/>
      <c r="O1634" s="211"/>
      <c r="Q1634" s="210" t="str">
        <f>IFERROR(__xludf.DUMMYFUNCTION("""COMPUTED_VALUE"""),"1250764")</f>
        <v>1250764</v>
      </c>
      <c r="R1634" s="210" t="str">
        <f>IFERROR(__xludf.DUMMYFUNCTION("""COMPUTED_VALUE"""),"1250764")</f>
        <v>1250764</v>
      </c>
      <c r="S1634" s="211" t="str">
        <f>IFERROR(__xludf.DUMMYFUNCTION("""COMPUTED_VALUE"""),"b2b5f2c5")</f>
        <v>b2b5f2c5</v>
      </c>
      <c r="T1634" s="211" t="str">
        <f>IFERROR(__xludf.DUMMYFUNCTION("""COMPUTED_VALUE"""),"Bengkel Las Bpk. Ari")</f>
        <v>Bengkel Las Bpk. Ari</v>
      </c>
      <c r="U1634" s="215">
        <f>IFERROR(__xludf.DUMMYFUNCTION("""COMPUTED_VALUE"""),45967.51391203704)</f>
        <v>45967.51391</v>
      </c>
      <c r="V1634" s="211" t="str">
        <f>IFERROR(__xludf.DUMMYFUNCTION("""COMPUTED_VALUE"""),"Sumber Kembar, Wonodadi, Kec. Kutorejo, Kabupaten Mojokerto, Jawa Timur")</f>
        <v>Sumber Kembar, Wonodadi, Kec. Kutorejo, Kabupaten Mojokerto, Jawa Timur</v>
      </c>
      <c r="W1634" s="211" t="str">
        <f>IFERROR(__xludf.DUMMYFUNCTION("""COMPUTED_VALUE"""),"IN")</f>
        <v>IN</v>
      </c>
      <c r="X1634" s="211"/>
      <c r="AL1634" s="211"/>
      <c r="AM1634" s="211"/>
      <c r="AN1634" s="211"/>
      <c r="AO1634" s="211"/>
      <c r="AP1634" s="215"/>
      <c r="AQ1634" s="218"/>
      <c r="AR1634" s="211"/>
    </row>
    <row r="1635">
      <c r="A1635" s="211"/>
      <c r="B1635" s="211"/>
      <c r="C1635" s="211"/>
      <c r="D1635" s="211"/>
      <c r="E1635" s="211"/>
      <c r="F1635" s="211"/>
      <c r="G1635" s="211"/>
      <c r="H1635" s="211"/>
      <c r="I1635" s="211"/>
      <c r="J1635" s="211"/>
      <c r="K1635" s="211"/>
      <c r="L1635" s="211"/>
      <c r="M1635" s="211"/>
      <c r="N1635" s="211"/>
      <c r="O1635" s="211"/>
      <c r="Q1635" s="210" t="str">
        <f>IFERROR(__xludf.DUMMYFUNCTION("""COMPUTED_VALUE"""),"1125261634")</f>
        <v>1125261634</v>
      </c>
      <c r="R1635" s="210" t="str">
        <f>IFERROR(__xludf.DUMMYFUNCTION("""COMPUTED_VALUE"""),"1125261634")</f>
        <v>1125261634</v>
      </c>
      <c r="S1635" s="211" t="str">
        <f>IFERROR(__xludf.DUMMYFUNCTION("""COMPUTED_VALUE"""),"2d88931c")</f>
        <v>2d88931c</v>
      </c>
      <c r="T1635" s="211" t="str">
        <f>IFERROR(__xludf.DUMMYFUNCTION("""COMPUTED_VALUE"""),"PT Dunia Berkat Marga Mulya")</f>
        <v>PT Dunia Berkat Marga Mulya</v>
      </c>
      <c r="U1635" s="215">
        <f>IFERROR(__xludf.DUMMYFUNCTION("""COMPUTED_VALUE"""),45967.51675925926)</f>
        <v>45967.51676</v>
      </c>
      <c r="V1635" s="211" t="str">
        <f>IFERROR(__xludf.DUMMYFUNCTION("""COMPUTED_VALUE"""),"JL JABARAN, WATESARI, BALONGBENDO, SIDOARJO, JAWA TIMUR")</f>
        <v>JL JABARAN, WATESARI, BALONGBENDO, SIDOARJO, JAWA TIMUR</v>
      </c>
      <c r="W1635" s="211" t="str">
        <f>IFERROR(__xludf.DUMMYFUNCTION("""COMPUTED_VALUE"""),"OUT")</f>
        <v>OUT</v>
      </c>
      <c r="X1635" s="211"/>
      <c r="AL1635" s="211"/>
      <c r="AM1635" s="211"/>
      <c r="AN1635" s="211"/>
      <c r="AO1635" s="211"/>
      <c r="AP1635" s="215"/>
      <c r="AQ1635" s="218"/>
      <c r="AR1635" s="211"/>
    </row>
    <row r="1636">
      <c r="A1636" s="210" t="str">
        <f>IFERROR(__xludf.DUMMYFUNCTION("""COMPUTED_VALUE"""),"1250550")</f>
        <v>1250550</v>
      </c>
      <c r="B1636" s="210" t="str">
        <f>IFERROR(__xludf.DUMMYFUNCTION("""COMPUTED_VALUE"""),"1250550")</f>
        <v>1250550</v>
      </c>
      <c r="C1636" s="213">
        <f>IFERROR(__xludf.DUMMYFUNCTION("""COMPUTED_VALUE"""),45897.60212962963)</f>
        <v>45897.60213</v>
      </c>
      <c r="D1636" s="211" t="str">
        <f>IFERROR(__xludf.DUMMYFUNCTION("""COMPUTED_VALUE"""),"182fb0fe")</f>
        <v>182fb0fe</v>
      </c>
      <c r="E1636" s="211" t="str">
        <f>IFERROR(__xludf.DUMMYFUNCTION("""COMPUTED_VALUE"""),"PT Amtech")</f>
        <v>PT Amtech</v>
      </c>
      <c r="F1636" s="211" t="str">
        <f>IFERROR(__xludf.DUMMYFUNCTION("""COMPUTED_VALUE"""),"66af7c72")</f>
        <v>66af7c72</v>
      </c>
      <c r="G1636" s="211" t="str">
        <f>IFERROR(__xludf.DUMMYFUNCTION("""COMPUTED_VALUE"""),"Argon 6m3")</f>
        <v>Argon 6m3</v>
      </c>
      <c r="H1636" s="211" t="str">
        <f>IFERROR(__xludf.DUMMYFUNCTION("""COMPUTED_VALUE"""),"IN")</f>
        <v>IN</v>
      </c>
      <c r="I1636" s="211" t="str">
        <f>IFERROR(__xludf.DUMMYFUNCTION("""COMPUTED_VALUE"""),"EMPTY")</f>
        <v>EMPTY</v>
      </c>
      <c r="J1636" s="211">
        <f>IFERROR(__xludf.DUMMYFUNCTION("""COMPUTED_VALUE"""),7.0)</f>
        <v>7</v>
      </c>
      <c r="K1636" s="210" t="str">
        <f>IFERROR(__xludf.DUMMYFUNCTION("""COMPUTED_VALUE"""),"12055 12037 12060 12001 12040 12044 12049")</f>
        <v>12055 12037 12060 12001 12040 12044 12049</v>
      </c>
      <c r="L1636" s="211">
        <f>IFERROR(__xludf.DUMMYFUNCTION("""COMPUTED_VALUE"""),0.0)</f>
        <v>0</v>
      </c>
      <c r="M1636" s="211"/>
      <c r="N1636" s="211"/>
      <c r="O1636" s="211"/>
      <c r="Q1636" s="211"/>
      <c r="R1636" s="211"/>
      <c r="S1636" s="211"/>
      <c r="T1636" s="211"/>
      <c r="U1636" s="211"/>
      <c r="V1636" s="211"/>
      <c r="W1636" s="211"/>
      <c r="X1636" s="211"/>
      <c r="AL1636" s="211"/>
      <c r="AM1636" s="211"/>
      <c r="AN1636" s="211"/>
      <c r="AO1636" s="211"/>
      <c r="AP1636" s="215"/>
      <c r="AQ1636" s="218"/>
      <c r="AR1636" s="211"/>
    </row>
    <row r="1637">
      <c r="A1637" s="210" t="str">
        <f>IFERROR(__xludf.DUMMYFUNCTION("""COMPUTED_VALUE"""),"1250538")</f>
        <v>1250538</v>
      </c>
      <c r="B1637" s="210" t="str">
        <f>IFERROR(__xludf.DUMMYFUNCTION("""COMPUTED_VALUE"""),"1250538")</f>
        <v>1250538</v>
      </c>
      <c r="C1637" s="213">
        <f>IFERROR(__xludf.DUMMYFUNCTION("""COMPUTED_VALUE"""),45897.62805555556)</f>
        <v>45897.62806</v>
      </c>
      <c r="D1637" s="211" t="str">
        <f>IFERROR(__xludf.DUMMYFUNCTION("""COMPUTED_VALUE"""),"01158be1")</f>
        <v>01158be1</v>
      </c>
      <c r="E1637" s="211" t="str">
        <f>IFERROR(__xludf.DUMMYFUNCTION("""COMPUTED_VALUE"""),"GYF")</f>
        <v>GYF</v>
      </c>
      <c r="F1637" s="211" t="str">
        <f>IFERROR(__xludf.DUMMYFUNCTION("""COMPUTED_VALUE"""),"8bdbe149")</f>
        <v>8bdbe149</v>
      </c>
      <c r="G1637" s="211" t="str">
        <f>IFERROR(__xludf.DUMMYFUNCTION("""COMPUTED_VALUE"""),"Oksigen 6m3")</f>
        <v>Oksigen 6m3</v>
      </c>
      <c r="H1637" s="211" t="str">
        <f>IFERROR(__xludf.DUMMYFUNCTION("""COMPUTED_VALUE"""),"IN")</f>
        <v>IN</v>
      </c>
      <c r="I1637" s="211" t="str">
        <f>IFERROR(__xludf.DUMMYFUNCTION("""COMPUTED_VALUE"""),"EMPTY")</f>
        <v>EMPTY</v>
      </c>
      <c r="J1637" s="211">
        <f>IFERROR(__xludf.DUMMYFUNCTION("""COMPUTED_VALUE"""),15.0)</f>
        <v>15</v>
      </c>
      <c r="K1637" s="210" t="str">
        <f>IFERROR(__xludf.DUMMYFUNCTION("""COMPUTED_VALUE"""),"1101 11261 11260 1148 11238 11248 1184 11125 11147 1139 11187 11101 11110 11282 1136")</f>
        <v>1101 11261 11260 1148 11238 11248 1184 11125 11147 1139 11187 11101 11110 11282 1136</v>
      </c>
      <c r="L1637" s="211">
        <f>IFERROR(__xludf.DUMMYFUNCTION("""COMPUTED_VALUE"""),0.0)</f>
        <v>0</v>
      </c>
      <c r="M1637" s="211"/>
      <c r="N1637" s="211"/>
      <c r="O1637" s="211"/>
      <c r="Q1637" s="210" t="str">
        <f>IFERROR(__xludf.DUMMYFUNCTION("""COMPUTED_VALUE"""),"1125181637")</f>
        <v>1125181637</v>
      </c>
      <c r="R1637" s="210" t="str">
        <f>IFERROR(__xludf.DUMMYFUNCTION("""COMPUTED_VALUE"""),"1125181637")</f>
        <v>1125181637</v>
      </c>
      <c r="S1637" s="211" t="str">
        <f>IFERROR(__xludf.DUMMYFUNCTION("""COMPUTED_VALUE"""),"e968afef")</f>
        <v>e968afef</v>
      </c>
      <c r="T1637" s="211" t="str">
        <f>IFERROR(__xludf.DUMMYFUNCTION("""COMPUTED_VALUE"""),"Bpk. Agus")</f>
        <v>Bpk. Agus</v>
      </c>
      <c r="U1637" s="215">
        <f>IFERROR(__xludf.DUMMYFUNCTION("""COMPUTED_VALUE"""),45967.526504629626)</f>
        <v>45967.5265</v>
      </c>
      <c r="V1637" s="211" t="str">
        <f>IFERROR(__xludf.DUMMYFUNCTION("""COMPUTED_VALUE"""),"Jl. Parengan 13, Semawut, Balongbendo, Kec. BalongBendo, Kabupaten Sidoarjo, Jawa Timur 61263")</f>
        <v>Jl. Parengan 13, Semawut, Balongbendo, Kec. BalongBendo, Kabupaten Sidoarjo, Jawa Timur 61263</v>
      </c>
      <c r="W1637" s="211" t="str">
        <f>IFERROR(__xludf.DUMMYFUNCTION("""COMPUTED_VALUE"""),"OUT")</f>
        <v>OUT</v>
      </c>
      <c r="X1637" s="211"/>
      <c r="AL1637" s="211"/>
      <c r="AM1637" s="211"/>
      <c r="AN1637" s="211"/>
      <c r="AO1637" s="211"/>
      <c r="AP1637" s="215"/>
      <c r="AQ1637" s="218"/>
      <c r="AR1637" s="211"/>
    </row>
    <row r="1638">
      <c r="A1638" s="210" t="str">
        <f>IFERROR(__xludf.DUMMYFUNCTION("""COMPUTED_VALUE"""),"1250551")</f>
        <v>1250551</v>
      </c>
      <c r="B1638" s="210" t="str">
        <f>IFERROR(__xludf.DUMMYFUNCTION("""COMPUTED_VALUE"""),"1250551")</f>
        <v>1250551</v>
      </c>
      <c r="C1638" s="213">
        <f>IFERROR(__xludf.DUMMYFUNCTION("""COMPUTED_VALUE"""),45897.652349537035)</f>
        <v>45897.65235</v>
      </c>
      <c r="D1638" s="211" t="str">
        <f>IFERROR(__xludf.DUMMYFUNCTION("""COMPUTED_VALUE"""),"0411d86e")</f>
        <v>0411d86e</v>
      </c>
      <c r="E1638" s="211" t="str">
        <f>IFERROR(__xludf.DUMMYFUNCTION("""COMPUTED_VALUE"""),"Bpk. Subiantoro (Parengan)")</f>
        <v>Bpk. Subiantoro (Parengan)</v>
      </c>
      <c r="F1638" s="211" t="str">
        <f>IFERROR(__xludf.DUMMYFUNCTION("""COMPUTED_VALUE"""),"8bdbe149")</f>
        <v>8bdbe149</v>
      </c>
      <c r="G1638" s="211" t="str">
        <f>IFERROR(__xludf.DUMMYFUNCTION("""COMPUTED_VALUE"""),"Oksigen 6m3")</f>
        <v>Oksigen 6m3</v>
      </c>
      <c r="H1638" s="211" t="str">
        <f>IFERROR(__xludf.DUMMYFUNCTION("""COMPUTED_VALUE"""),"IN")</f>
        <v>IN</v>
      </c>
      <c r="I1638" s="211" t="str">
        <f>IFERROR(__xludf.DUMMYFUNCTION("""COMPUTED_VALUE"""),"EMPTY")</f>
        <v>EMPTY</v>
      </c>
      <c r="J1638" s="211">
        <f>IFERROR(__xludf.DUMMYFUNCTION("""COMPUTED_VALUE"""),5.0)</f>
        <v>5</v>
      </c>
      <c r="K1638" s="210" t="str">
        <f>IFERROR(__xludf.DUMMYFUNCTION("""COMPUTED_VALUE"""),"1171 11271 11180 1169 11193")</f>
        <v>1171 11271 11180 1169 11193</v>
      </c>
      <c r="L1638" s="211">
        <f>IFERROR(__xludf.DUMMYFUNCTION("""COMPUTED_VALUE"""),0.0)</f>
        <v>0</v>
      </c>
      <c r="M1638" s="211"/>
      <c r="N1638" s="211"/>
      <c r="O1638" s="211"/>
      <c r="Q1638" s="211"/>
      <c r="R1638" s="211"/>
      <c r="S1638" s="211"/>
      <c r="T1638" s="211"/>
      <c r="U1638" s="211"/>
      <c r="V1638" s="211"/>
      <c r="W1638" s="211"/>
      <c r="X1638" s="211"/>
      <c r="AL1638" s="211"/>
      <c r="AM1638" s="211"/>
      <c r="AN1638" s="211"/>
      <c r="AO1638" s="211"/>
      <c r="AP1638" s="215"/>
      <c r="AQ1638" s="218"/>
      <c r="AR1638" s="211"/>
    </row>
    <row r="1639">
      <c r="A1639" s="210" t="str">
        <f>IFERROR(__xludf.DUMMYFUNCTION("""COMPUTED_VALUE"""),"1250551")</f>
        <v>1250551</v>
      </c>
      <c r="B1639" s="210" t="str">
        <f>IFERROR(__xludf.DUMMYFUNCTION("""COMPUTED_VALUE"""),"1250551")</f>
        <v>1250551</v>
      </c>
      <c r="C1639" s="213">
        <f>IFERROR(__xludf.DUMMYFUNCTION("""COMPUTED_VALUE"""),45897.652349537035)</f>
        <v>45897.65235</v>
      </c>
      <c r="D1639" s="211" t="str">
        <f>IFERROR(__xludf.DUMMYFUNCTION("""COMPUTED_VALUE"""),"0411d86e")</f>
        <v>0411d86e</v>
      </c>
      <c r="E1639" s="211" t="str">
        <f>IFERROR(__xludf.DUMMYFUNCTION("""COMPUTED_VALUE"""),"Bpk. Subiantoro (Parengan)")</f>
        <v>Bpk. Subiantoro (Parengan)</v>
      </c>
      <c r="F1639" s="211" t="str">
        <f>IFERROR(__xludf.DUMMYFUNCTION("""COMPUTED_VALUE"""),"8bdbe149")</f>
        <v>8bdbe149</v>
      </c>
      <c r="G1639" s="211" t="str">
        <f>IFERROR(__xludf.DUMMYFUNCTION("""COMPUTED_VALUE"""),"Oksigen 6m3")</f>
        <v>Oksigen 6m3</v>
      </c>
      <c r="H1639" s="211" t="str">
        <f>IFERROR(__xludf.DUMMYFUNCTION("""COMPUTED_VALUE"""),"IN")</f>
        <v>IN</v>
      </c>
      <c r="I1639" s="211" t="str">
        <f>IFERROR(__xludf.DUMMYFUNCTION("""COMPUTED_VALUE"""),"CLAIM")</f>
        <v>CLAIM</v>
      </c>
      <c r="J1639" s="211">
        <f>IFERROR(__xludf.DUMMYFUNCTION("""COMPUTED_VALUE"""),4.0)</f>
        <v>4</v>
      </c>
      <c r="K1639" s="210" t="str">
        <f>IFERROR(__xludf.DUMMYFUNCTION("""COMPUTED_VALUE"""),"11199 11283 11211 11197")</f>
        <v>11199 11283 11211 11197</v>
      </c>
      <c r="L1639" s="211">
        <f>IFERROR(__xludf.DUMMYFUNCTION("""COMPUTED_VALUE"""),0.0)</f>
        <v>0</v>
      </c>
      <c r="M1639" s="211"/>
      <c r="N1639" s="211"/>
      <c r="O1639" s="211"/>
      <c r="Q1639" s="210" t="str">
        <f>IFERROR(__xludf.DUMMYFUNCTION("""COMPUTED_VALUE"""),"112511639")</f>
        <v>112511639</v>
      </c>
      <c r="R1639" s="210" t="str">
        <f>IFERROR(__xludf.DUMMYFUNCTION("""COMPUTED_VALUE"""),"112511639")</f>
        <v>112511639</v>
      </c>
      <c r="S1639" s="211" t="str">
        <f>IFERROR(__xludf.DUMMYFUNCTION("""COMPUTED_VALUE"""),"734c6d17")</f>
        <v>734c6d17</v>
      </c>
      <c r="T1639" s="211" t="str">
        <f>IFERROR(__xludf.DUMMYFUNCTION("""COMPUTED_VALUE"""),"Bapak Ainol Yaqin ( Bpk. Ibnu )")</f>
        <v>Bapak Ainol Yaqin ( Bpk. Ibnu )</v>
      </c>
      <c r="U1639" s="215">
        <f>IFERROR(__xludf.DUMMYFUNCTION("""COMPUTED_VALUE"""),45967.55252314815)</f>
        <v>45967.55252</v>
      </c>
      <c r="V1639" s="211" t="str">
        <f>IFERROR(__xludf.DUMMYFUNCTION("""COMPUTED_VALUE"""),"Tanggul Wetan, Tanggul, Kec. Wonoayu, Kabupaten Sidoarjo, Jawa Timur")</f>
        <v>Tanggul Wetan, Tanggul, Kec. Wonoayu, Kabupaten Sidoarjo, Jawa Timur</v>
      </c>
      <c r="W1639" s="211" t="str">
        <f>IFERROR(__xludf.DUMMYFUNCTION("""COMPUTED_VALUE"""),"OUT")</f>
        <v>OUT</v>
      </c>
      <c r="X1639" s="211"/>
      <c r="AL1639" s="211"/>
      <c r="AM1639" s="211"/>
      <c r="AN1639" s="211"/>
      <c r="AO1639" s="211"/>
      <c r="AP1639" s="215"/>
      <c r="AQ1639" s="218"/>
      <c r="AR1639" s="211"/>
    </row>
    <row r="1640">
      <c r="A1640" s="210" t="str">
        <f>IFERROR(__xludf.DUMMYFUNCTION("""COMPUTED_VALUE"""),"0825261185")</f>
        <v>0825261185</v>
      </c>
      <c r="B1640" s="210" t="str">
        <f>IFERROR(__xludf.DUMMYFUNCTION("""COMPUTED_VALUE"""),"0825261185")</f>
        <v>0825261185</v>
      </c>
      <c r="C1640" s="213">
        <f>IFERROR(__xludf.DUMMYFUNCTION("""COMPUTED_VALUE"""),45898.37396990741)</f>
        <v>45898.37397</v>
      </c>
      <c r="D1640" s="211" t="str">
        <f>IFERROR(__xludf.DUMMYFUNCTION("""COMPUTED_VALUE"""),"01158be1")</f>
        <v>01158be1</v>
      </c>
      <c r="E1640" s="211" t="str">
        <f>IFERROR(__xludf.DUMMYFUNCTION("""COMPUTED_VALUE"""),"GYF")</f>
        <v>GYF</v>
      </c>
      <c r="F1640" s="211" t="str">
        <f>IFERROR(__xludf.DUMMYFUNCTION("""COMPUTED_VALUE"""),"8bdbe149")</f>
        <v>8bdbe149</v>
      </c>
      <c r="G1640" s="211" t="str">
        <f>IFERROR(__xludf.DUMMYFUNCTION("""COMPUTED_VALUE"""),"Oksigen 6m3")</f>
        <v>Oksigen 6m3</v>
      </c>
      <c r="H1640" s="211" t="str">
        <f>IFERROR(__xludf.DUMMYFUNCTION("""COMPUTED_VALUE"""),"OUT")</f>
        <v>OUT</v>
      </c>
      <c r="I1640" s="211" t="str">
        <f>IFERROR(__xludf.DUMMYFUNCTION("""COMPUTED_VALUE"""),"NORMAL")</f>
        <v>NORMAL</v>
      </c>
      <c r="J1640" s="211">
        <f>IFERROR(__xludf.DUMMYFUNCTION("""COMPUTED_VALUE"""),20.0)</f>
        <v>20</v>
      </c>
      <c r="K1640" s="210" t="str">
        <f>IFERROR(__xludf.DUMMYFUNCTION("""COMPUTED_VALUE"""),"11282 11187 11247 1101 11101 11250 1139 1136 11125 11231 1184 11248 11208 11211 11283 11197 11199 11238 11261 11148")</f>
        <v>11282 11187 11247 1101 11101 11250 1139 1136 11125 11231 1184 11248 11208 11211 11283 11197 11199 11238 11261 11148</v>
      </c>
      <c r="L1640" s="211">
        <f>IFERROR(__xludf.DUMMYFUNCTION("""COMPUTED_VALUE"""),45000.0)</f>
        <v>45000</v>
      </c>
      <c r="M1640" s="211"/>
      <c r="N1640" s="211"/>
      <c r="O1640" s="211"/>
      <c r="Q1640" s="210" t="str">
        <f>IFERROR(__xludf.DUMMYFUNCTION("""COMPUTED_VALUE"""),"112531640")</f>
        <v>112531640</v>
      </c>
      <c r="R1640" s="210" t="str">
        <f>IFERROR(__xludf.DUMMYFUNCTION("""COMPUTED_VALUE"""),"112531640")</f>
        <v>112531640</v>
      </c>
      <c r="S1640" s="211" t="str">
        <f>IFERROR(__xludf.DUMMYFUNCTION("""COMPUTED_VALUE"""),"ba97d58d")</f>
        <v>ba97d58d</v>
      </c>
      <c r="T1640" s="211" t="str">
        <f>IFERROR(__xludf.DUMMYFUNCTION("""COMPUTED_VALUE"""),"Bengkel Citra Mojosari")</f>
        <v>Bengkel Citra Mojosari</v>
      </c>
      <c r="U1640" s="215">
        <f>IFERROR(__xludf.DUMMYFUNCTION("""COMPUTED_VALUE"""),45967.58736111111)</f>
        <v>45967.58736</v>
      </c>
      <c r="V1640" s="211" t="str">
        <f>IFERROR(__xludf.DUMMYFUNCTION("""COMPUTED_VALUE"""),"Jl. Raden Wijaya, Kemloko, Jotangan, Kec. Mojosari, Kabupaten Mojokerto, Jawa Timur 61382")</f>
        <v>Jl. Raden Wijaya, Kemloko, Jotangan, Kec. Mojosari, Kabupaten Mojokerto, Jawa Timur 61382</v>
      </c>
      <c r="W1640" s="211" t="str">
        <f>IFERROR(__xludf.DUMMYFUNCTION("""COMPUTED_VALUE"""),"OUT")</f>
        <v>OUT</v>
      </c>
      <c r="X1640" s="211"/>
      <c r="AL1640" s="211"/>
      <c r="AM1640" s="211"/>
      <c r="AN1640" s="211"/>
      <c r="AO1640" s="211"/>
      <c r="AP1640" s="215"/>
      <c r="AQ1640" s="218"/>
      <c r="AR1640" s="211"/>
    </row>
    <row r="1641">
      <c r="A1641" s="211"/>
      <c r="B1641" s="211"/>
      <c r="C1641" s="211"/>
      <c r="D1641" s="211"/>
      <c r="E1641" s="211"/>
      <c r="F1641" s="211"/>
      <c r="G1641" s="211"/>
      <c r="H1641" s="211"/>
      <c r="I1641" s="211"/>
      <c r="J1641" s="211"/>
      <c r="K1641" s="211"/>
      <c r="L1641" s="211"/>
      <c r="M1641" s="211"/>
      <c r="N1641" s="211"/>
      <c r="O1641" s="211"/>
      <c r="Q1641" s="210" t="str">
        <f>IFERROR(__xludf.DUMMYFUNCTION("""COMPUTED_VALUE"""),"112541641")</f>
        <v>112541641</v>
      </c>
      <c r="R1641" s="210" t="str">
        <f>IFERROR(__xludf.DUMMYFUNCTION("""COMPUTED_VALUE"""),"112541641")</f>
        <v>112541641</v>
      </c>
      <c r="S1641" s="211" t="str">
        <f>IFERROR(__xludf.DUMMYFUNCTION("""COMPUTED_VALUE"""),"faf71ae5")</f>
        <v>faf71ae5</v>
      </c>
      <c r="T1641" s="211" t="str">
        <f>IFERROR(__xludf.DUMMYFUNCTION("""COMPUTED_VALUE"""),"Bpk. Sampurna")</f>
        <v>Bpk. Sampurna</v>
      </c>
      <c r="U1641" s="215">
        <f>IFERROR(__xludf.DUMMYFUNCTION("""COMPUTED_VALUE"""),45967.58876157407)</f>
        <v>45967.58876</v>
      </c>
      <c r="V1641" s="211" t="str">
        <f>IFERROR(__xludf.DUMMYFUNCTION("""COMPUTED_VALUE"""),"Jl. Bypass Krian KM.30 No.15, Kraton, Kec. Krian, Kabupaten Sidoarjo, Jawa Timur 61262")</f>
        <v>Jl. Bypass Krian KM.30 No.15, Kraton, Kec. Krian, Kabupaten Sidoarjo, Jawa Timur 61262</v>
      </c>
      <c r="W1641" s="211" t="str">
        <f>IFERROR(__xludf.DUMMYFUNCTION("""COMPUTED_VALUE"""),"OUT")</f>
        <v>OUT</v>
      </c>
      <c r="X1641" s="211"/>
      <c r="AL1641" s="211"/>
      <c r="AM1641" s="211"/>
      <c r="AN1641" s="211"/>
      <c r="AO1641" s="211"/>
      <c r="AP1641" s="215"/>
      <c r="AQ1641" s="218"/>
      <c r="AR1641" s="211"/>
    </row>
    <row r="1642">
      <c r="A1642" s="210" t="str">
        <f>IFERROR(__xludf.DUMMYFUNCTION("""COMPUTED_VALUE"""),"082521190")</f>
        <v>082521190</v>
      </c>
      <c r="B1642" s="210" t="str">
        <f>IFERROR(__xludf.DUMMYFUNCTION("""COMPUTED_VALUE"""),"082521190")</f>
        <v>082521190</v>
      </c>
      <c r="C1642" s="213">
        <f>IFERROR(__xludf.DUMMYFUNCTION("""COMPUTED_VALUE"""),45898.38087962963)</f>
        <v>45898.38088</v>
      </c>
      <c r="D1642" s="211" t="str">
        <f>IFERROR(__xludf.DUMMYFUNCTION("""COMPUTED_VALUE"""),"eec2e801")</f>
        <v>eec2e801</v>
      </c>
      <c r="E1642" s="211" t="str">
        <f>IFERROR(__xludf.DUMMYFUNCTION("""COMPUTED_VALUE"""),"Mitra Wood Sejahtera")</f>
        <v>Mitra Wood Sejahtera</v>
      </c>
      <c r="F1642" s="211" t="str">
        <f>IFERROR(__xludf.DUMMYFUNCTION("""COMPUTED_VALUE"""),"8bdbe149")</f>
        <v>8bdbe149</v>
      </c>
      <c r="G1642" s="211" t="str">
        <f>IFERROR(__xludf.DUMMYFUNCTION("""COMPUTED_VALUE"""),"Oksigen 6m3")</f>
        <v>Oksigen 6m3</v>
      </c>
      <c r="H1642" s="211" t="str">
        <f>IFERROR(__xludf.DUMMYFUNCTION("""COMPUTED_VALUE"""),"OUT")</f>
        <v>OUT</v>
      </c>
      <c r="I1642" s="211" t="str">
        <f>IFERROR(__xludf.DUMMYFUNCTION("""COMPUTED_VALUE"""),"NORMAL")</f>
        <v>NORMAL</v>
      </c>
      <c r="J1642" s="211">
        <f>IFERROR(__xludf.DUMMYFUNCTION("""COMPUTED_VALUE"""),10.0)</f>
        <v>10</v>
      </c>
      <c r="K1642" s="210" t="str">
        <f>IFERROR(__xludf.DUMMYFUNCTION("""COMPUTED_VALUE"""),"11110 11260 11132 11228 11181 11112 11251 11189 11269 11160")</f>
        <v>11110 11260 11132 11228 11181 11112 11251 11189 11269 11160</v>
      </c>
      <c r="L1642" s="211">
        <f>IFERROR(__xludf.DUMMYFUNCTION("""COMPUTED_VALUE"""),55000.0)</f>
        <v>55000</v>
      </c>
      <c r="M1642" s="211"/>
      <c r="N1642" s="211"/>
      <c r="O1642" s="211"/>
      <c r="Q1642" s="210" t="str">
        <f>IFERROR(__xludf.DUMMYFUNCTION("""COMPUTED_VALUE"""),"1250751")</f>
        <v>1250751</v>
      </c>
      <c r="R1642" s="210" t="str">
        <f>IFERROR(__xludf.DUMMYFUNCTION("""COMPUTED_VALUE"""),"1250751")</f>
        <v>1250751</v>
      </c>
      <c r="S1642" s="211" t="str">
        <f>IFERROR(__xludf.DUMMYFUNCTION("""COMPUTED_VALUE"""),"e86baf3b")</f>
        <v>e86baf3b</v>
      </c>
      <c r="T1642" s="211" t="str">
        <f>IFERROR(__xludf.DUMMYFUNCTION("""COMPUTED_VALUE"""),"PT GEMILANG CIPTA WAWASAN")</f>
        <v>PT GEMILANG CIPTA WAWASAN</v>
      </c>
      <c r="U1642" s="215">
        <f>IFERROR(__xludf.DUMMYFUNCTION("""COMPUTED_VALUE"""),45967.606828703705)</f>
        <v>45967.60683</v>
      </c>
      <c r="V1642" s="211" t="str">
        <f>IFERROR(__xludf.DUMMYFUNCTION("""COMPUTED_VALUE"""),"JL TEBET RAYA, 2A, TEBET BARAT, TEBET, KOTA ADM, JAKARTA SELATAN, DKI JAKARTA")</f>
        <v>JL TEBET RAYA, 2A, TEBET BARAT, TEBET, KOTA ADM, JAKARTA SELATAN, DKI JAKARTA</v>
      </c>
      <c r="W1642" s="211" t="str">
        <f>IFERROR(__xludf.DUMMYFUNCTION("""COMPUTED_VALUE"""),"IN")</f>
        <v>IN</v>
      </c>
      <c r="X1642" s="211"/>
      <c r="AL1642" s="211"/>
      <c r="AM1642" s="211"/>
      <c r="AN1642" s="211"/>
      <c r="AO1642" s="211"/>
      <c r="AP1642" s="215"/>
      <c r="AQ1642" s="218"/>
      <c r="AR1642" s="211"/>
    </row>
    <row r="1643">
      <c r="A1643" s="210" t="str">
        <f>IFERROR(__xludf.DUMMYFUNCTION("""COMPUTED_VALUE"""),"1250552")</f>
        <v>1250552</v>
      </c>
      <c r="B1643" s="210" t="str">
        <f>IFERROR(__xludf.DUMMYFUNCTION("""COMPUTED_VALUE"""),"1250552")</f>
        <v>1250552</v>
      </c>
      <c r="C1643" s="213">
        <f>IFERROR(__xludf.DUMMYFUNCTION("""COMPUTED_VALUE"""),45898.47336805556)</f>
        <v>45898.47337</v>
      </c>
      <c r="D1643" s="211" t="str">
        <f>IFERROR(__xludf.DUMMYFUNCTION("""COMPUTED_VALUE"""),"8f5ebaea")</f>
        <v>8f5ebaea</v>
      </c>
      <c r="E1643" s="211" t="str">
        <f>IFERROR(__xludf.DUMMYFUNCTION("""COMPUTED_VALUE"""),"PT Hua Zong Mesindo")</f>
        <v>PT Hua Zong Mesindo</v>
      </c>
      <c r="F1643" s="211" t="str">
        <f>IFERROR(__xludf.DUMMYFUNCTION("""COMPUTED_VALUE"""),"66af7c72")</f>
        <v>66af7c72</v>
      </c>
      <c r="G1643" s="211" t="str">
        <f>IFERROR(__xludf.DUMMYFUNCTION("""COMPUTED_VALUE"""),"Argon 6m3")</f>
        <v>Argon 6m3</v>
      </c>
      <c r="H1643" s="211" t="str">
        <f>IFERROR(__xludf.DUMMYFUNCTION("""COMPUTED_VALUE"""),"IN")</f>
        <v>IN</v>
      </c>
      <c r="I1643" s="211" t="str">
        <f>IFERROR(__xludf.DUMMYFUNCTION("""COMPUTED_VALUE"""),"EMPTY")</f>
        <v>EMPTY</v>
      </c>
      <c r="J1643" s="211">
        <f>IFERROR(__xludf.DUMMYFUNCTION("""COMPUTED_VALUE"""),1.0)</f>
        <v>1</v>
      </c>
      <c r="K1643" s="210" t="str">
        <f>IFERROR(__xludf.DUMMYFUNCTION("""COMPUTED_VALUE"""),"12002")</f>
        <v>12002</v>
      </c>
      <c r="L1643" s="211">
        <f>IFERROR(__xludf.DUMMYFUNCTION("""COMPUTED_VALUE"""),0.0)</f>
        <v>0</v>
      </c>
      <c r="M1643" s="211"/>
      <c r="N1643" s="211"/>
      <c r="O1643" s="211"/>
      <c r="Q1643" s="210" t="str">
        <f>IFERROR(__xludf.DUMMYFUNCTION("""COMPUTED_VALUE"""),"1250752")</f>
        <v>1250752</v>
      </c>
      <c r="R1643" s="210" t="str">
        <f>IFERROR(__xludf.DUMMYFUNCTION("""COMPUTED_VALUE"""),"1250752")</f>
        <v>1250752</v>
      </c>
      <c r="S1643" s="211" t="str">
        <f>IFERROR(__xludf.DUMMYFUNCTION("""COMPUTED_VALUE"""),"3bcd7fe6")</f>
        <v>3bcd7fe6</v>
      </c>
      <c r="T1643" s="211" t="str">
        <f>IFERROR(__xludf.DUMMYFUNCTION("""COMPUTED_VALUE"""),"Bpk. Alvin (LB Group)")</f>
        <v>Bpk. Alvin (LB Group)</v>
      </c>
      <c r="U1643" s="215">
        <f>IFERROR(__xludf.DUMMYFUNCTION("""COMPUTED_VALUE"""),45967.61241898148)</f>
        <v>45967.61242</v>
      </c>
      <c r="V1643" s="211" t="str">
        <f>IFERROR(__xludf.DUMMYFUNCTION("""COMPUTED_VALUE"""),"MFF9+XHC, Jalan, Tambakrejo, Temuireng, Kec. Dawar Blandong, Kabupaten Mojokerto, Jawa Timur 61354")</f>
        <v>MFF9+XHC, Jalan, Tambakrejo, Temuireng, Kec. Dawar Blandong, Kabupaten Mojokerto, Jawa Timur 61354</v>
      </c>
      <c r="W1643" s="211" t="str">
        <f>IFERROR(__xludf.DUMMYFUNCTION("""COMPUTED_VALUE"""),"IN")</f>
        <v>IN</v>
      </c>
      <c r="X1643" s="211"/>
      <c r="AL1643" s="211"/>
      <c r="AM1643" s="211"/>
      <c r="AN1643" s="211"/>
      <c r="AO1643" s="211"/>
      <c r="AP1643" s="215"/>
      <c r="AQ1643" s="218"/>
      <c r="AR1643" s="211"/>
    </row>
    <row r="1644">
      <c r="A1644" s="210" t="str">
        <f>IFERROR(__xludf.DUMMYFUNCTION("""COMPUTED_VALUE"""),"1250552")</f>
        <v>1250552</v>
      </c>
      <c r="B1644" s="210" t="str">
        <f>IFERROR(__xludf.DUMMYFUNCTION("""COMPUTED_VALUE"""),"1250552")</f>
        <v>1250552</v>
      </c>
      <c r="C1644" s="213">
        <f>IFERROR(__xludf.DUMMYFUNCTION("""COMPUTED_VALUE"""),45898.47336805556)</f>
        <v>45898.47337</v>
      </c>
      <c r="D1644" s="211" t="str">
        <f>IFERROR(__xludf.DUMMYFUNCTION("""COMPUTED_VALUE"""),"8f5ebaea")</f>
        <v>8f5ebaea</v>
      </c>
      <c r="E1644" s="211" t="str">
        <f>IFERROR(__xludf.DUMMYFUNCTION("""COMPUTED_VALUE"""),"PT Hua Zong Mesindo")</f>
        <v>PT Hua Zong Mesindo</v>
      </c>
      <c r="F1644" s="211" t="str">
        <f>IFERROR(__xludf.DUMMYFUNCTION("""COMPUTED_VALUE"""),"8bdbe149")</f>
        <v>8bdbe149</v>
      </c>
      <c r="G1644" s="211" t="str">
        <f>IFERROR(__xludf.DUMMYFUNCTION("""COMPUTED_VALUE"""),"Oksigen 6m3")</f>
        <v>Oksigen 6m3</v>
      </c>
      <c r="H1644" s="211" t="str">
        <f>IFERROR(__xludf.DUMMYFUNCTION("""COMPUTED_VALUE"""),"IN")</f>
        <v>IN</v>
      </c>
      <c r="I1644" s="211" t="str">
        <f>IFERROR(__xludf.DUMMYFUNCTION("""COMPUTED_VALUE"""),"EMPTY")</f>
        <v>EMPTY</v>
      </c>
      <c r="J1644" s="211">
        <f>IFERROR(__xludf.DUMMYFUNCTION("""COMPUTED_VALUE"""),3.0)</f>
        <v>3</v>
      </c>
      <c r="K1644" s="210" t="str">
        <f>IFERROR(__xludf.DUMMYFUNCTION("""COMPUTED_VALUE"""),"1110 1138 1183")</f>
        <v>1110 1138 1183</v>
      </c>
      <c r="L1644" s="211">
        <f>IFERROR(__xludf.DUMMYFUNCTION("""COMPUTED_VALUE"""),0.0)</f>
        <v>0</v>
      </c>
      <c r="M1644" s="211"/>
      <c r="N1644" s="211"/>
      <c r="O1644" s="211"/>
      <c r="Q1644" s="210" t="str">
        <f>IFERROR(__xludf.DUMMYFUNCTION("""COMPUTED_VALUE"""),"1250765")</f>
        <v>1250765</v>
      </c>
      <c r="R1644" s="210" t="str">
        <f>IFERROR(__xludf.DUMMYFUNCTION("""COMPUTED_VALUE"""),"1250765")</f>
        <v>1250765</v>
      </c>
      <c r="S1644" s="211" t="str">
        <f>IFERROR(__xludf.DUMMYFUNCTION("""COMPUTED_VALUE"""),"2d88931c")</f>
        <v>2d88931c</v>
      </c>
      <c r="T1644" s="211" t="str">
        <f>IFERROR(__xludf.DUMMYFUNCTION("""COMPUTED_VALUE"""),"PT Dunia Berkat Marga Mulya")</f>
        <v>PT Dunia Berkat Marga Mulya</v>
      </c>
      <c r="U1644" s="215">
        <f>IFERROR(__xludf.DUMMYFUNCTION("""COMPUTED_VALUE"""),45967.615069444444)</f>
        <v>45967.61507</v>
      </c>
      <c r="V1644" s="211" t="str">
        <f>IFERROR(__xludf.DUMMYFUNCTION("""COMPUTED_VALUE"""),"JL JABARAN, WATESARI, BALONGBENDO, SIDOARJO, JAWA TIMUR")</f>
        <v>JL JABARAN, WATESARI, BALONGBENDO, SIDOARJO, JAWA TIMUR</v>
      </c>
      <c r="W1644" s="211" t="str">
        <f>IFERROR(__xludf.DUMMYFUNCTION("""COMPUTED_VALUE"""),"IN")</f>
        <v>IN</v>
      </c>
      <c r="X1644" s="211"/>
      <c r="AL1644" s="211"/>
      <c r="AM1644" s="211"/>
      <c r="AN1644" s="211"/>
      <c r="AO1644" s="211"/>
      <c r="AP1644" s="215"/>
      <c r="AQ1644" s="218"/>
      <c r="AR1644" s="211"/>
    </row>
    <row r="1645">
      <c r="A1645" s="210" t="str">
        <f>IFERROR(__xludf.DUMMYFUNCTION("""COMPUTED_VALUE"""),"1250539")</f>
        <v>1250539</v>
      </c>
      <c r="B1645" s="210" t="str">
        <f>IFERROR(__xludf.DUMMYFUNCTION("""COMPUTED_VALUE"""),"1250539")</f>
        <v>1250539</v>
      </c>
      <c r="C1645" s="213">
        <f>IFERROR(__xludf.DUMMYFUNCTION("""COMPUTED_VALUE"""),45898.60475694444)</f>
        <v>45898.60476</v>
      </c>
      <c r="D1645" s="211" t="str">
        <f>IFERROR(__xludf.DUMMYFUNCTION("""COMPUTED_VALUE"""),"eec2e801")</f>
        <v>eec2e801</v>
      </c>
      <c r="E1645" s="211" t="str">
        <f>IFERROR(__xludf.DUMMYFUNCTION("""COMPUTED_VALUE"""),"Mitra Wood Sejahtera")</f>
        <v>Mitra Wood Sejahtera</v>
      </c>
      <c r="F1645" s="211" t="str">
        <f>IFERROR(__xludf.DUMMYFUNCTION("""COMPUTED_VALUE"""),"8bdbe149")</f>
        <v>8bdbe149</v>
      </c>
      <c r="G1645" s="211" t="str">
        <f>IFERROR(__xludf.DUMMYFUNCTION("""COMPUTED_VALUE"""),"Oksigen 6m3")</f>
        <v>Oksigen 6m3</v>
      </c>
      <c r="H1645" s="211" t="str">
        <f>IFERROR(__xludf.DUMMYFUNCTION("""COMPUTED_VALUE"""),"IN")</f>
        <v>IN</v>
      </c>
      <c r="I1645" s="211" t="str">
        <f>IFERROR(__xludf.DUMMYFUNCTION("""COMPUTED_VALUE"""),"EMPTY")</f>
        <v>EMPTY</v>
      </c>
      <c r="J1645" s="211">
        <f>IFERROR(__xludf.DUMMYFUNCTION("""COMPUTED_VALUE"""),10.0)</f>
        <v>10</v>
      </c>
      <c r="K1645" s="210" t="str">
        <f>IFERROR(__xludf.DUMMYFUNCTION("""COMPUTED_VALUE"""),"1119 11255 1142 11133 11270 11277 1130 11266 1150 1132")</f>
        <v>1119 11255 1142 11133 11270 11277 1130 11266 1150 1132</v>
      </c>
      <c r="L1645" s="211">
        <f>IFERROR(__xludf.DUMMYFUNCTION("""COMPUTED_VALUE"""),0.0)</f>
        <v>0</v>
      </c>
      <c r="M1645" s="211"/>
      <c r="N1645" s="211"/>
      <c r="O1645" s="211"/>
      <c r="Q1645" s="210" t="str">
        <f>IFERROR(__xludf.DUMMYFUNCTION("""COMPUTED_VALUE"""),"1250766")</f>
        <v>1250766</v>
      </c>
      <c r="R1645" s="210" t="str">
        <f>IFERROR(__xludf.DUMMYFUNCTION("""COMPUTED_VALUE"""),"1250766")</f>
        <v>1250766</v>
      </c>
      <c r="S1645" s="211" t="str">
        <f>IFERROR(__xludf.DUMMYFUNCTION("""COMPUTED_VALUE"""),"e968afef")</f>
        <v>e968afef</v>
      </c>
      <c r="T1645" s="211" t="str">
        <f>IFERROR(__xludf.DUMMYFUNCTION("""COMPUTED_VALUE"""),"Bpk. Agus")</f>
        <v>Bpk. Agus</v>
      </c>
      <c r="U1645" s="215">
        <f>IFERROR(__xludf.DUMMYFUNCTION("""COMPUTED_VALUE"""),45967.6156712963)</f>
        <v>45967.61567</v>
      </c>
      <c r="V1645" s="211" t="str">
        <f>IFERROR(__xludf.DUMMYFUNCTION("""COMPUTED_VALUE"""),"Jl. Parengan 13, Semawut, Balongbendo, Kec. BalongBendo, Kabupaten Sidoarjo, Jawa Timur 61263")</f>
        <v>Jl. Parengan 13, Semawut, Balongbendo, Kec. BalongBendo, Kabupaten Sidoarjo, Jawa Timur 61263</v>
      </c>
      <c r="W1645" s="211" t="str">
        <f>IFERROR(__xludf.DUMMYFUNCTION("""COMPUTED_VALUE"""),"IN")</f>
        <v>IN</v>
      </c>
      <c r="X1645" s="211"/>
      <c r="AL1645" s="211"/>
      <c r="AM1645" s="211"/>
      <c r="AN1645" s="211"/>
      <c r="AO1645" s="211"/>
      <c r="AP1645" s="215"/>
      <c r="AQ1645" s="218"/>
      <c r="AR1645" s="211"/>
    </row>
    <row r="1646">
      <c r="A1646" s="210" t="str">
        <f>IFERROR(__xludf.DUMMYFUNCTION("""COMPUTED_VALUE"""),"1250540")</f>
        <v>1250540</v>
      </c>
      <c r="B1646" s="210" t="str">
        <f>IFERROR(__xludf.DUMMYFUNCTION("""COMPUTED_VALUE"""),"1250540")</f>
        <v>1250540</v>
      </c>
      <c r="C1646" s="213">
        <f>IFERROR(__xludf.DUMMYFUNCTION("""COMPUTED_VALUE"""),45898.61517361111)</f>
        <v>45898.61517</v>
      </c>
      <c r="D1646" s="211" t="str">
        <f>IFERROR(__xludf.DUMMYFUNCTION("""COMPUTED_VALUE"""),"785e0e07")</f>
        <v>785e0e07</v>
      </c>
      <c r="E1646" s="211" t="str">
        <f>IFERROR(__xludf.DUMMYFUNCTION("""COMPUTED_VALUE"""),"Bpk. Sukirno (Bejo)")</f>
        <v>Bpk. Sukirno (Bejo)</v>
      </c>
      <c r="F1646" s="211" t="str">
        <f>IFERROR(__xludf.DUMMYFUNCTION("""COMPUTED_VALUE"""),"8bdbe149")</f>
        <v>8bdbe149</v>
      </c>
      <c r="G1646" s="211" t="str">
        <f>IFERROR(__xludf.DUMMYFUNCTION("""COMPUTED_VALUE"""),"Oksigen 6m3")</f>
        <v>Oksigen 6m3</v>
      </c>
      <c r="H1646" s="211" t="str">
        <f>IFERROR(__xludf.DUMMYFUNCTION("""COMPUTED_VALUE"""),"IN")</f>
        <v>IN</v>
      </c>
      <c r="I1646" s="211" t="str">
        <f>IFERROR(__xludf.DUMMYFUNCTION("""COMPUTED_VALUE"""),"EMPTY")</f>
        <v>EMPTY</v>
      </c>
      <c r="J1646" s="211">
        <f>IFERROR(__xludf.DUMMYFUNCTION("""COMPUTED_VALUE"""),4.0)</f>
        <v>4</v>
      </c>
      <c r="K1646" s="210" t="str">
        <f>IFERROR(__xludf.DUMMYFUNCTION("""COMPUTED_VALUE"""),"11226 11213 11230 11223")</f>
        <v>11226 11213 11230 11223</v>
      </c>
      <c r="L1646" s="211">
        <f>IFERROR(__xludf.DUMMYFUNCTION("""COMPUTED_VALUE"""),0.0)</f>
        <v>0</v>
      </c>
      <c r="M1646" s="211"/>
      <c r="N1646" s="211"/>
      <c r="O1646" s="211"/>
      <c r="Q1646" s="210" t="str">
        <f>IFERROR(__xludf.DUMMYFUNCTION("""COMPUTED_VALUE"""),"1250767")</f>
        <v>1250767</v>
      </c>
      <c r="R1646" s="210" t="str">
        <f>IFERROR(__xludf.DUMMYFUNCTION("""COMPUTED_VALUE"""),"1250767")</f>
        <v>1250767</v>
      </c>
      <c r="S1646" s="211" t="str">
        <f>IFERROR(__xludf.DUMMYFUNCTION("""COMPUTED_VALUE"""),"ba97d58d")</f>
        <v>ba97d58d</v>
      </c>
      <c r="T1646" s="211" t="str">
        <f>IFERROR(__xludf.DUMMYFUNCTION("""COMPUTED_VALUE"""),"Bengkel Citra Mojosari")</f>
        <v>Bengkel Citra Mojosari</v>
      </c>
      <c r="U1646" s="215">
        <f>IFERROR(__xludf.DUMMYFUNCTION("""COMPUTED_VALUE"""),45967.692824074074)</f>
        <v>45967.69282</v>
      </c>
      <c r="V1646" s="211" t="str">
        <f>IFERROR(__xludf.DUMMYFUNCTION("""COMPUTED_VALUE"""),"Jl. Raden Wijaya, Kemloko, Jotangan, Kec. Mojosari, Kabupaten Mojokerto, Jawa Timur 61382")</f>
        <v>Jl. Raden Wijaya, Kemloko, Jotangan, Kec. Mojosari, Kabupaten Mojokerto, Jawa Timur 61382</v>
      </c>
      <c r="W1646" s="211" t="str">
        <f>IFERROR(__xludf.DUMMYFUNCTION("""COMPUTED_VALUE"""),"IN")</f>
        <v>IN</v>
      </c>
      <c r="X1646" s="211"/>
      <c r="AL1646" s="211"/>
      <c r="AM1646" s="211"/>
      <c r="AN1646" s="211"/>
      <c r="AO1646" s="211"/>
      <c r="AP1646" s="215"/>
      <c r="AQ1646" s="218"/>
      <c r="AR1646" s="211"/>
    </row>
    <row r="1647">
      <c r="A1647" s="210" t="str">
        <f>IFERROR(__xludf.DUMMYFUNCTION("""COMPUTED_VALUE"""),"0825441191")</f>
        <v>0825441191</v>
      </c>
      <c r="B1647" s="210" t="str">
        <f>IFERROR(__xludf.DUMMYFUNCTION("""COMPUTED_VALUE"""),"0825441191")</f>
        <v>0825441191</v>
      </c>
      <c r="C1647" s="213">
        <f>IFERROR(__xludf.DUMMYFUNCTION("""COMPUTED_VALUE"""),45899.409525462965)</f>
        <v>45899.40953</v>
      </c>
      <c r="D1647" s="211" t="str">
        <f>IFERROR(__xludf.DUMMYFUNCTION("""COMPUTED_VALUE"""),"e86baf3b")</f>
        <v>e86baf3b</v>
      </c>
      <c r="E1647" s="211" t="str">
        <f>IFERROR(__xludf.DUMMYFUNCTION("""COMPUTED_VALUE"""),"PT GEMILANG CIPTA WAWASAN")</f>
        <v>PT GEMILANG CIPTA WAWASAN</v>
      </c>
      <c r="F1647" s="211" t="str">
        <f>IFERROR(__xludf.DUMMYFUNCTION("""COMPUTED_VALUE"""),"66af7c72")</f>
        <v>66af7c72</v>
      </c>
      <c r="G1647" s="211" t="str">
        <f>IFERROR(__xludf.DUMMYFUNCTION("""COMPUTED_VALUE"""),"Argon 6m3")</f>
        <v>Argon 6m3</v>
      </c>
      <c r="H1647" s="211" t="str">
        <f>IFERROR(__xludf.DUMMYFUNCTION("""COMPUTED_VALUE"""),"OUT")</f>
        <v>OUT</v>
      </c>
      <c r="I1647" s="211" t="str">
        <f>IFERROR(__xludf.DUMMYFUNCTION("""COMPUTED_VALUE"""),"NORMAL")</f>
        <v>NORMAL</v>
      </c>
      <c r="J1647" s="211">
        <f>IFERROR(__xludf.DUMMYFUNCTION("""COMPUTED_VALUE"""),9.0)</f>
        <v>9</v>
      </c>
      <c r="K1647" s="210" t="str">
        <f>IFERROR(__xludf.DUMMYFUNCTION("""COMPUTED_VALUE"""),"12020 12055 12060 12049 12040 12002 12001 12044 12037")</f>
        <v>12020 12055 12060 12049 12040 12002 12001 12044 12037</v>
      </c>
      <c r="L1647" s="211">
        <f>IFERROR(__xludf.DUMMYFUNCTION("""COMPUTED_VALUE"""),185000.0)</f>
        <v>185000</v>
      </c>
      <c r="M1647" s="211"/>
      <c r="N1647" s="211"/>
      <c r="O1647" s="211"/>
      <c r="Q1647" s="210" t="str">
        <f>IFERROR(__xludf.DUMMYFUNCTION("""COMPUTED_VALUE"""),"1250750")</f>
        <v>1250750</v>
      </c>
      <c r="R1647" s="210" t="str">
        <f>IFERROR(__xludf.DUMMYFUNCTION("""COMPUTED_VALUE"""),"1250750")</f>
        <v>1250750</v>
      </c>
      <c r="S1647" s="211" t="str">
        <f>IFERROR(__xludf.DUMMYFUNCTION("""COMPUTED_VALUE"""),"faf71ae5")</f>
        <v>faf71ae5</v>
      </c>
      <c r="T1647" s="211" t="str">
        <f>IFERROR(__xludf.DUMMYFUNCTION("""COMPUTED_VALUE"""),"Bpk. Sampurna")</f>
        <v>Bpk. Sampurna</v>
      </c>
      <c r="U1647" s="215">
        <f>IFERROR(__xludf.DUMMYFUNCTION("""COMPUTED_VALUE"""),45967.71277777778)</f>
        <v>45967.71278</v>
      </c>
      <c r="V1647" s="211" t="str">
        <f>IFERROR(__xludf.DUMMYFUNCTION("""COMPUTED_VALUE"""),"Jl. Bypass Krian KM.30 No.15, Kraton, Kec. Krian, Kabupaten Sidoarjo, Jawa Timur 61262")</f>
        <v>Jl. Bypass Krian KM.30 No.15, Kraton, Kec. Krian, Kabupaten Sidoarjo, Jawa Timur 61262</v>
      </c>
      <c r="W1647" s="211" t="str">
        <f>IFERROR(__xludf.DUMMYFUNCTION("""COMPUTED_VALUE"""),"IN")</f>
        <v>IN</v>
      </c>
      <c r="X1647" s="211"/>
      <c r="AL1647" s="211"/>
      <c r="AM1647" s="211"/>
      <c r="AN1647" s="211"/>
      <c r="AO1647" s="211"/>
      <c r="AP1647" s="215"/>
      <c r="AQ1647" s="218"/>
      <c r="AR1647" s="211"/>
    </row>
    <row r="1648">
      <c r="A1648" s="210" t="str">
        <f>IFERROR(__xludf.DUMMYFUNCTION("""COMPUTED_VALUE"""),"1250542")</f>
        <v>1250542</v>
      </c>
      <c r="B1648" s="210" t="str">
        <f>IFERROR(__xludf.DUMMYFUNCTION("""COMPUTED_VALUE"""),"1250542")</f>
        <v>1250542</v>
      </c>
      <c r="C1648" s="213">
        <f>IFERROR(__xludf.DUMMYFUNCTION("""COMPUTED_VALUE"""),45899.530694444446)</f>
        <v>45899.53069</v>
      </c>
      <c r="D1648" s="211" t="str">
        <f>IFERROR(__xludf.DUMMYFUNCTION("""COMPUTED_VALUE"""),"e76bc39c")</f>
        <v>e76bc39c</v>
      </c>
      <c r="E1648" s="211" t="str">
        <f>IFERROR(__xludf.DUMMYFUNCTION("""COMPUTED_VALUE"""),"Bpk. Irul")</f>
        <v>Bpk. Irul</v>
      </c>
      <c r="F1648" s="211" t="str">
        <f>IFERROR(__xludf.DUMMYFUNCTION("""COMPUTED_VALUE"""),"8bdbe149")</f>
        <v>8bdbe149</v>
      </c>
      <c r="G1648" s="211" t="str">
        <f>IFERROR(__xludf.DUMMYFUNCTION("""COMPUTED_VALUE"""),"Oksigen 6m3")</f>
        <v>Oksigen 6m3</v>
      </c>
      <c r="H1648" s="211" t="str">
        <f>IFERROR(__xludf.DUMMYFUNCTION("""COMPUTED_VALUE"""),"IN")</f>
        <v>IN</v>
      </c>
      <c r="I1648" s="211" t="str">
        <f>IFERROR(__xludf.DUMMYFUNCTION("""COMPUTED_VALUE"""),"EMPTY")</f>
        <v>EMPTY</v>
      </c>
      <c r="J1648" s="211">
        <f>IFERROR(__xludf.DUMMYFUNCTION("""COMPUTED_VALUE"""),1.0)</f>
        <v>1</v>
      </c>
      <c r="K1648" s="210" t="str">
        <f>IFERROR(__xludf.DUMMYFUNCTION("""COMPUTED_VALUE"""),"11209")</f>
        <v>11209</v>
      </c>
      <c r="L1648" s="211">
        <f>IFERROR(__xludf.DUMMYFUNCTION("""COMPUTED_VALUE"""),0.0)</f>
        <v>0</v>
      </c>
      <c r="M1648" s="211"/>
      <c r="N1648" s="211"/>
      <c r="O1648" s="211"/>
      <c r="Q1648" s="210" t="str">
        <f>IFERROR(__xludf.DUMMYFUNCTION("""COMPUTED_VALUE"""),"1125351642")</f>
        <v>1125351642</v>
      </c>
      <c r="R1648" s="210" t="str">
        <f>IFERROR(__xludf.DUMMYFUNCTION("""COMPUTED_VALUE"""),"1125351642")</f>
        <v>1125351642</v>
      </c>
      <c r="S1648" s="211" t="str">
        <f>IFERROR(__xludf.DUMMYFUNCTION("""COMPUTED_VALUE"""),"b2b5f2c5")</f>
        <v>b2b5f2c5</v>
      </c>
      <c r="T1648" s="211" t="str">
        <f>IFERROR(__xludf.DUMMYFUNCTION("""COMPUTED_VALUE"""),"Bengkel Las Bpk. Ari")</f>
        <v>Bengkel Las Bpk. Ari</v>
      </c>
      <c r="U1648" s="215">
        <f>IFERROR(__xludf.DUMMYFUNCTION("""COMPUTED_VALUE"""),45968.39582175926)</f>
        <v>45968.39582</v>
      </c>
      <c r="V1648" s="211" t="str">
        <f>IFERROR(__xludf.DUMMYFUNCTION("""COMPUTED_VALUE"""),"Sumber Kembar, Wonodadi, Kec. Kutorejo, Kabupaten Mojokerto, Jawa Timur")</f>
        <v>Sumber Kembar, Wonodadi, Kec. Kutorejo, Kabupaten Mojokerto, Jawa Timur</v>
      </c>
      <c r="W1648" s="211" t="str">
        <f>IFERROR(__xludf.DUMMYFUNCTION("""COMPUTED_VALUE"""),"OUT")</f>
        <v>OUT</v>
      </c>
      <c r="X1648" s="211"/>
      <c r="AL1648" s="211"/>
      <c r="AM1648" s="211"/>
      <c r="AN1648" s="211"/>
      <c r="AO1648" s="211"/>
      <c r="AP1648" s="215"/>
      <c r="AQ1648" s="218"/>
      <c r="AR1648" s="211"/>
    </row>
    <row r="1649">
      <c r="A1649" s="210" t="str">
        <f>IFERROR(__xludf.DUMMYFUNCTION("""COMPUTED_VALUE"""),"1250543")</f>
        <v>1250543</v>
      </c>
      <c r="B1649" s="210" t="str">
        <f>IFERROR(__xludf.DUMMYFUNCTION("""COMPUTED_VALUE"""),"1250543")</f>
        <v>1250543</v>
      </c>
      <c r="C1649" s="213">
        <f>IFERROR(__xludf.DUMMYFUNCTION("""COMPUTED_VALUE"""),45899.531805555554)</f>
        <v>45899.53181</v>
      </c>
      <c r="D1649" s="211" t="str">
        <f>IFERROR(__xludf.DUMMYFUNCTION("""COMPUTED_VALUE"""),"ce83e171")</f>
        <v>ce83e171</v>
      </c>
      <c r="E1649" s="211" t="str">
        <f>IFERROR(__xludf.DUMMYFUNCTION("""COMPUTED_VALUE"""),"Bpk. Sulaiman")</f>
        <v>Bpk. Sulaiman</v>
      </c>
      <c r="F1649" s="211" t="str">
        <f>IFERROR(__xludf.DUMMYFUNCTION("""COMPUTED_VALUE"""),"7d2764f1")</f>
        <v>7d2764f1</v>
      </c>
      <c r="G1649" s="211" t="str">
        <f>IFERROR(__xludf.DUMMYFUNCTION("""COMPUTED_VALUE"""),"Oksigen 7m3")</f>
        <v>Oksigen 7m3</v>
      </c>
      <c r="H1649" s="211" t="str">
        <f>IFERROR(__xludf.DUMMYFUNCTION("""COMPUTED_VALUE"""),"IN")</f>
        <v>IN</v>
      </c>
      <c r="I1649" s="211" t="str">
        <f>IFERROR(__xludf.DUMMYFUNCTION("""COMPUTED_VALUE"""),"EMPTY")</f>
        <v>EMPTY</v>
      </c>
      <c r="J1649" s="211">
        <f>IFERROR(__xludf.DUMMYFUNCTION("""COMPUTED_VALUE"""),3.0)</f>
        <v>3</v>
      </c>
      <c r="K1649" s="210" t="str">
        <f>IFERROR(__xludf.DUMMYFUNCTION("""COMPUTED_VALUE"""),"11158 11141 11222")</f>
        <v>11158 11141 11222</v>
      </c>
      <c r="L1649" s="211">
        <f>IFERROR(__xludf.DUMMYFUNCTION("""COMPUTED_VALUE"""),0.0)</f>
        <v>0</v>
      </c>
      <c r="M1649" s="211"/>
      <c r="N1649" s="211"/>
      <c r="O1649" s="211"/>
      <c r="Q1649" s="210" t="str">
        <f>IFERROR(__xludf.DUMMYFUNCTION("""COMPUTED_VALUE"""),"1250768")</f>
        <v>1250768</v>
      </c>
      <c r="R1649" s="210" t="str">
        <f>IFERROR(__xludf.DUMMYFUNCTION("""COMPUTED_VALUE"""),"1250768")</f>
        <v>1250768</v>
      </c>
      <c r="S1649" s="211" t="str">
        <f>IFERROR(__xludf.DUMMYFUNCTION("""COMPUTED_VALUE"""),"4ec68cf6")</f>
        <v>4ec68cf6</v>
      </c>
      <c r="T1649" s="211" t="str">
        <f>IFERROR(__xludf.DUMMYFUNCTION("""COMPUTED_VALUE"""),"CV Sido Mukti Karya")</f>
        <v>CV Sido Mukti Karya</v>
      </c>
      <c r="U1649" s="215">
        <f>IFERROR(__xludf.DUMMYFUNCTION("""COMPUTED_VALUE"""),45968.549375)</f>
        <v>45968.54938</v>
      </c>
      <c r="V1649" s="211" t="str">
        <f>IFERROR(__xludf.DUMMYFUNCTION("""COMPUTED_VALUE"""),"Pergudangan Center Point no A3, Kemangsen")</f>
        <v>Pergudangan Center Point no A3, Kemangsen</v>
      </c>
      <c r="W1649" s="211" t="str">
        <f>IFERROR(__xludf.DUMMYFUNCTION("""COMPUTED_VALUE"""),"IN")</f>
        <v>IN</v>
      </c>
      <c r="X1649" s="211"/>
      <c r="AL1649" s="211"/>
      <c r="AM1649" s="211"/>
      <c r="AN1649" s="211"/>
      <c r="AO1649" s="211"/>
      <c r="AP1649" s="215"/>
      <c r="AQ1649" s="218"/>
      <c r="AR1649" s="211"/>
    </row>
    <row r="1650">
      <c r="A1650" s="210" t="str">
        <f>IFERROR(__xludf.DUMMYFUNCTION("""COMPUTED_VALUE"""),"1250544")</f>
        <v>1250544</v>
      </c>
      <c r="B1650" s="210" t="str">
        <f>IFERROR(__xludf.DUMMYFUNCTION("""COMPUTED_VALUE"""),"1250544")</f>
        <v>1250544</v>
      </c>
      <c r="C1650" s="213">
        <f>IFERROR(__xludf.DUMMYFUNCTION("""COMPUTED_VALUE"""),45899.5328125)</f>
        <v>45899.53281</v>
      </c>
      <c r="D1650" s="211" t="str">
        <f>IFERROR(__xludf.DUMMYFUNCTION("""COMPUTED_VALUE"""),"609d620d")</f>
        <v>609d620d</v>
      </c>
      <c r="E1650" s="211" t="str">
        <f>IFERROR(__xludf.DUMMYFUNCTION("""COMPUTED_VALUE"""),"PT Pandu Mulia Bersama")</f>
        <v>PT Pandu Mulia Bersama</v>
      </c>
      <c r="F1650" s="211" t="str">
        <f>IFERROR(__xludf.DUMMYFUNCTION("""COMPUTED_VALUE"""),"7d2764f1")</f>
        <v>7d2764f1</v>
      </c>
      <c r="G1650" s="211" t="str">
        <f>IFERROR(__xludf.DUMMYFUNCTION("""COMPUTED_VALUE"""),"Oksigen 7m3")</f>
        <v>Oksigen 7m3</v>
      </c>
      <c r="H1650" s="211" t="str">
        <f>IFERROR(__xludf.DUMMYFUNCTION("""COMPUTED_VALUE"""),"IN")</f>
        <v>IN</v>
      </c>
      <c r="I1650" s="211" t="str">
        <f>IFERROR(__xludf.DUMMYFUNCTION("""COMPUTED_VALUE"""),"EMPTY")</f>
        <v>EMPTY</v>
      </c>
      <c r="J1650" s="211">
        <f>IFERROR(__xludf.DUMMYFUNCTION("""COMPUTED_VALUE"""),1.0)</f>
        <v>1</v>
      </c>
      <c r="K1650" s="210" t="str">
        <f>IFERROR(__xludf.DUMMYFUNCTION("""COMPUTED_VALUE"""),"11167")</f>
        <v>11167</v>
      </c>
      <c r="L1650" s="211">
        <f>IFERROR(__xludf.DUMMYFUNCTION("""COMPUTED_VALUE"""),0.0)</f>
        <v>0</v>
      </c>
      <c r="M1650" s="211"/>
      <c r="N1650" s="211"/>
      <c r="O1650" s="211"/>
      <c r="Q1650" s="210" t="str">
        <f>IFERROR(__xludf.DUMMYFUNCTION("""COMPUTED_VALUE"""),"1250820")</f>
        <v>1250820</v>
      </c>
      <c r="R1650" s="210" t="str">
        <f>IFERROR(__xludf.DUMMYFUNCTION("""COMPUTED_VALUE"""),"1250820")</f>
        <v>1250820</v>
      </c>
      <c r="S1650" s="211" t="str">
        <f>IFERROR(__xludf.DUMMYFUNCTION("""COMPUTED_VALUE"""),"b2b5f2c5")</f>
        <v>b2b5f2c5</v>
      </c>
      <c r="T1650" s="211" t="str">
        <f>IFERROR(__xludf.DUMMYFUNCTION("""COMPUTED_VALUE"""),"Bengkel Las Bpk. Ari")</f>
        <v>Bengkel Las Bpk. Ari</v>
      </c>
      <c r="U1650" s="215">
        <f>IFERROR(__xludf.DUMMYFUNCTION("""COMPUTED_VALUE"""),45968.550462962965)</f>
        <v>45968.55046</v>
      </c>
      <c r="V1650" s="211" t="str">
        <f>IFERROR(__xludf.DUMMYFUNCTION("""COMPUTED_VALUE"""),"Sumber Kembar, Wonodadi, Kec. Kutorejo, Kabupaten Mojokerto, Jawa Timur")</f>
        <v>Sumber Kembar, Wonodadi, Kec. Kutorejo, Kabupaten Mojokerto, Jawa Timur</v>
      </c>
      <c r="W1650" s="211" t="str">
        <f>IFERROR(__xludf.DUMMYFUNCTION("""COMPUTED_VALUE"""),"IN")</f>
        <v>IN</v>
      </c>
      <c r="X1650" s="211"/>
      <c r="AL1650" s="211"/>
      <c r="AM1650" s="211"/>
      <c r="AN1650" s="211"/>
      <c r="AO1650" s="211"/>
      <c r="AP1650" s="215"/>
      <c r="AQ1650" s="218"/>
      <c r="AR1650" s="211"/>
    </row>
    <row r="1651">
      <c r="A1651" s="210" t="str">
        <f>IFERROR(__xludf.DUMMYFUNCTION("""COMPUTED_VALUE"""),"1250545")</f>
        <v>1250545</v>
      </c>
      <c r="B1651" s="210" t="str">
        <f>IFERROR(__xludf.DUMMYFUNCTION("""COMPUTED_VALUE"""),"1250545")</f>
        <v>1250545</v>
      </c>
      <c r="C1651" s="213">
        <f>IFERROR(__xludf.DUMMYFUNCTION("""COMPUTED_VALUE"""),45899.533472222225)</f>
        <v>45899.53347</v>
      </c>
      <c r="D1651" s="211" t="str">
        <f>IFERROR(__xludf.DUMMYFUNCTION("""COMPUTED_VALUE"""),"1bf27092")</f>
        <v>1bf27092</v>
      </c>
      <c r="E1651" s="211" t="str">
        <f>IFERROR(__xludf.DUMMYFUNCTION("""COMPUTED_VALUE"""),"Bpk. Ari Budiarto")</f>
        <v>Bpk. Ari Budiarto</v>
      </c>
      <c r="F1651" s="211" t="str">
        <f>IFERROR(__xludf.DUMMYFUNCTION("""COMPUTED_VALUE"""),"66af7c72")</f>
        <v>66af7c72</v>
      </c>
      <c r="G1651" s="211" t="str">
        <f>IFERROR(__xludf.DUMMYFUNCTION("""COMPUTED_VALUE"""),"Argon 6m3")</f>
        <v>Argon 6m3</v>
      </c>
      <c r="H1651" s="211" t="str">
        <f>IFERROR(__xludf.DUMMYFUNCTION("""COMPUTED_VALUE"""),"IN")</f>
        <v>IN</v>
      </c>
      <c r="I1651" s="211" t="str">
        <f>IFERROR(__xludf.DUMMYFUNCTION("""COMPUTED_VALUE"""),"EMPTY")</f>
        <v>EMPTY</v>
      </c>
      <c r="J1651" s="211">
        <f>IFERROR(__xludf.DUMMYFUNCTION("""COMPUTED_VALUE"""),1.0)</f>
        <v>1</v>
      </c>
      <c r="K1651" s="210" t="str">
        <f>IFERROR(__xludf.DUMMYFUNCTION("""COMPUTED_VALUE"""),"12058")</f>
        <v>12058</v>
      </c>
      <c r="L1651" s="211">
        <f>IFERROR(__xludf.DUMMYFUNCTION("""COMPUTED_VALUE"""),0.0)</f>
        <v>0</v>
      </c>
      <c r="M1651" s="211"/>
      <c r="N1651" s="211"/>
      <c r="O1651" s="211"/>
      <c r="Q1651" s="210" t="str">
        <f>IFERROR(__xludf.DUMMYFUNCTION("""COMPUTED_VALUE"""),"112511649")</f>
        <v>112511649</v>
      </c>
      <c r="R1651" s="210" t="str">
        <f>IFERROR(__xludf.DUMMYFUNCTION("""COMPUTED_VALUE"""),"112511649")</f>
        <v>112511649</v>
      </c>
      <c r="S1651" s="211" t="str">
        <f>IFERROR(__xludf.DUMMYFUNCTION("""COMPUTED_VALUE"""),"9e66ced9")</f>
        <v>9e66ced9</v>
      </c>
      <c r="T1651" s="211" t="str">
        <f>IFERROR(__xludf.DUMMYFUNCTION("""COMPUTED_VALUE"""),"Bapak Angga")</f>
        <v>Bapak Angga</v>
      </c>
      <c r="U1651" s="215">
        <f>IFERROR(__xludf.DUMMYFUNCTION("""COMPUTED_VALUE"""),45968.60333333333)</f>
        <v>45968.60333</v>
      </c>
      <c r="V1651" s="211" t="str">
        <f>IFERROR(__xludf.DUMMYFUNCTION("""COMPUTED_VALUE"""),"Jl. Bypass Krian No.2, Tundungan, Sidomojo, Kec. Krian, Kabupaten Sidoarjo, Jawa Timur 61262")</f>
        <v>Jl. Bypass Krian No.2, Tundungan, Sidomojo, Kec. Krian, Kabupaten Sidoarjo, Jawa Timur 61262</v>
      </c>
      <c r="W1651" s="211" t="str">
        <f>IFERROR(__xludf.DUMMYFUNCTION("""COMPUTED_VALUE"""),"OUT")</f>
        <v>OUT</v>
      </c>
      <c r="X1651" s="211"/>
      <c r="AL1651" s="211"/>
      <c r="AM1651" s="211"/>
      <c r="AN1651" s="211"/>
      <c r="AO1651" s="211"/>
      <c r="AP1651" s="215"/>
      <c r="AQ1651" s="218"/>
      <c r="AR1651" s="211"/>
    </row>
    <row r="1652">
      <c r="A1652" s="210" t="str">
        <f>IFERROR(__xludf.DUMMYFUNCTION("""COMPUTED_VALUE"""),"0825101195")</f>
        <v>0825101195</v>
      </c>
      <c r="B1652" s="210" t="str">
        <f>IFERROR(__xludf.DUMMYFUNCTION("""COMPUTED_VALUE"""),"0825101195")</f>
        <v>0825101195</v>
      </c>
      <c r="C1652" s="213">
        <f>IFERROR(__xludf.DUMMYFUNCTION("""COMPUTED_VALUE"""),45899.602175925924)</f>
        <v>45899.60218</v>
      </c>
      <c r="D1652" s="211" t="str">
        <f>IFERROR(__xludf.DUMMYFUNCTION("""COMPUTED_VALUE"""),"1bf27092")</f>
        <v>1bf27092</v>
      </c>
      <c r="E1652" s="211" t="str">
        <f>IFERROR(__xludf.DUMMYFUNCTION("""COMPUTED_VALUE"""),"Bpk. Ari Budiarto")</f>
        <v>Bpk. Ari Budiarto</v>
      </c>
      <c r="F1652" s="211" t="str">
        <f>IFERROR(__xludf.DUMMYFUNCTION("""COMPUTED_VALUE"""),"66af7c72")</f>
        <v>66af7c72</v>
      </c>
      <c r="G1652" s="211" t="str">
        <f>IFERROR(__xludf.DUMMYFUNCTION("""COMPUTED_VALUE"""),"Argon 6m3")</f>
        <v>Argon 6m3</v>
      </c>
      <c r="H1652" s="211" t="str">
        <f>IFERROR(__xludf.DUMMYFUNCTION("""COMPUTED_VALUE"""),"OUT")</f>
        <v>OUT</v>
      </c>
      <c r="I1652" s="211" t="str">
        <f>IFERROR(__xludf.DUMMYFUNCTION("""COMPUTED_VALUE"""),"NORMAL")</f>
        <v>NORMAL</v>
      </c>
      <c r="J1652" s="211">
        <f>IFERROR(__xludf.DUMMYFUNCTION("""COMPUTED_VALUE"""),1.0)</f>
        <v>1</v>
      </c>
      <c r="K1652" s="210" t="str">
        <f>IFERROR(__xludf.DUMMYFUNCTION("""COMPUTED_VALUE"""),"12058")</f>
        <v>12058</v>
      </c>
      <c r="L1652" s="211">
        <f>IFERROR(__xludf.DUMMYFUNCTION("""COMPUTED_VALUE"""),200000.0)</f>
        <v>200000</v>
      </c>
      <c r="M1652" s="211"/>
      <c r="N1652" s="211"/>
      <c r="O1652" s="211"/>
      <c r="Q1652" s="210" t="str">
        <f>IFERROR(__xludf.DUMMYFUNCTION("""COMPUTED_VALUE"""),"112541652")</f>
        <v>112541652</v>
      </c>
      <c r="R1652" s="210" t="str">
        <f>IFERROR(__xludf.DUMMYFUNCTION("""COMPUTED_VALUE"""),"112541652")</f>
        <v>112541652</v>
      </c>
      <c r="S1652" s="211" t="str">
        <f>IFERROR(__xludf.DUMMYFUNCTION("""COMPUTED_VALUE"""),"b0735da4")</f>
        <v>b0735da4</v>
      </c>
      <c r="T1652" s="211" t="str">
        <f>IFERROR(__xludf.DUMMYFUNCTION("""COMPUTED_VALUE"""),"Bpk. Amer Ciro")</f>
        <v>Bpk. Amer Ciro</v>
      </c>
      <c r="U1652" s="215">
        <f>IFERROR(__xludf.DUMMYFUNCTION("""COMPUTED_VALUE"""),45968.668761574074)</f>
        <v>45968.66876</v>
      </c>
      <c r="V1652" s="211" t="str">
        <f>IFERROR(__xludf.DUMMYFUNCTION("""COMPUTED_VALUE"""),"HFJR+FV8 Bakungtemenggungan, Kabupaten Sidoarjo, Jawa Timur")</f>
        <v>HFJR+FV8 Bakungtemenggungan, Kabupaten Sidoarjo, Jawa Timur</v>
      </c>
      <c r="W1652" s="211" t="str">
        <f>IFERROR(__xludf.DUMMYFUNCTION("""COMPUTED_VALUE"""),"OUT")</f>
        <v>OUT</v>
      </c>
      <c r="X1652" s="211"/>
      <c r="AL1652" s="211"/>
      <c r="AM1652" s="211"/>
      <c r="AN1652" s="211"/>
      <c r="AO1652" s="211"/>
      <c r="AP1652" s="215"/>
      <c r="AQ1652" s="218"/>
      <c r="AR1652" s="211"/>
    </row>
    <row r="1653">
      <c r="A1653" s="210" t="str">
        <f>IFERROR(__xludf.DUMMYFUNCTION("""COMPUTED_VALUE"""),"082511200")</f>
        <v>082511200</v>
      </c>
      <c r="B1653" s="210" t="str">
        <f>IFERROR(__xludf.DUMMYFUNCTION("""COMPUTED_VALUE"""),"082511200")</f>
        <v>082511200</v>
      </c>
      <c r="C1653" s="213">
        <f>IFERROR(__xludf.DUMMYFUNCTION("""COMPUTED_VALUE"""),45899.64346064815)</f>
        <v>45899.64346</v>
      </c>
      <c r="D1653" s="211" t="str">
        <f>IFERROR(__xludf.DUMMYFUNCTION("""COMPUTED_VALUE"""),"56828503")</f>
        <v>56828503</v>
      </c>
      <c r="E1653" s="211" t="str">
        <f>IFERROR(__xludf.DUMMYFUNCTION("""COMPUTED_VALUE"""),"Bpk. Widodo (Wringinanom)")</f>
        <v>Bpk. Widodo (Wringinanom)</v>
      </c>
      <c r="F1653" s="211" t="str">
        <f>IFERROR(__xludf.DUMMYFUNCTION("""COMPUTED_VALUE"""),"8bdbe149")</f>
        <v>8bdbe149</v>
      </c>
      <c r="G1653" s="211" t="str">
        <f>IFERROR(__xludf.DUMMYFUNCTION("""COMPUTED_VALUE"""),"Oksigen 6m3")</f>
        <v>Oksigen 6m3</v>
      </c>
      <c r="H1653" s="211" t="str">
        <f>IFERROR(__xludf.DUMMYFUNCTION("""COMPUTED_VALUE"""),"OUT")</f>
        <v>OUT</v>
      </c>
      <c r="I1653" s="211" t="str">
        <f>IFERROR(__xludf.DUMMYFUNCTION("""COMPUTED_VALUE"""),"NORMAL")</f>
        <v>NORMAL</v>
      </c>
      <c r="J1653" s="211">
        <f>IFERROR(__xludf.DUMMYFUNCTION("""COMPUTED_VALUE"""),10.0)</f>
        <v>10</v>
      </c>
      <c r="K1653" s="210" t="str">
        <f>IFERROR(__xludf.DUMMYFUNCTION("""COMPUTED_VALUE"""),"11266 11270 11133 1171 11271 11144 11147 11138 11142 11212")</f>
        <v>11266 11270 11133 1171 11271 11144 11147 11138 11142 11212</v>
      </c>
      <c r="L1653" s="211">
        <f>IFERROR(__xludf.DUMMYFUNCTION("""COMPUTED_VALUE"""),55000.0)</f>
        <v>55000</v>
      </c>
      <c r="M1653" s="211"/>
      <c r="N1653" s="211" t="str">
        <f>IFERROR(__xludf.DUMMYFUNCTION("""COMPUTED_VALUE"""),"Mix tabung 7m3")</f>
        <v>Mix tabung 7m3</v>
      </c>
      <c r="O1653" s="211"/>
      <c r="Q1653" s="210" t="str">
        <f>IFERROR(__xludf.DUMMYFUNCTION("""COMPUTED_VALUE"""),"112521653")</f>
        <v>112521653</v>
      </c>
      <c r="R1653" s="210" t="str">
        <f>IFERROR(__xludf.DUMMYFUNCTION("""COMPUTED_VALUE"""),"112521653")</f>
        <v>112521653</v>
      </c>
      <c r="S1653" s="211" t="str">
        <f>IFERROR(__xludf.DUMMYFUNCTION("""COMPUTED_VALUE"""),"f8a982a4")</f>
        <v>f8a982a4</v>
      </c>
      <c r="T1653" s="211" t="str">
        <f>IFERROR(__xludf.DUMMYFUNCTION("""COMPUTED_VALUE"""),"Bpk. Nasir")</f>
        <v>Bpk. Nasir</v>
      </c>
      <c r="U1653" s="215">
        <f>IFERROR(__xludf.DUMMYFUNCTION("""COMPUTED_VALUE"""),45969.34925925926)</f>
        <v>45969.34926</v>
      </c>
      <c r="V1653" s="211" t="str">
        <f>IFERROR(__xludf.DUMMYFUNCTION("""COMPUTED_VALUE"""),"JL Raya Pacet, Dsn. Janti Ds. Jatilangkung RT.01 RW. 04. Kabupaten. Mojokerto Pungging, Jawa Timur")</f>
        <v>JL Raya Pacet, Dsn. Janti Ds. Jatilangkung RT.01 RW. 04. Kabupaten. Mojokerto Pungging, Jawa Timur</v>
      </c>
      <c r="W1653" s="211" t="str">
        <f>IFERROR(__xludf.DUMMYFUNCTION("""COMPUTED_VALUE"""),"OUT")</f>
        <v>OUT</v>
      </c>
      <c r="X1653" s="211"/>
      <c r="AL1653" s="211"/>
      <c r="AM1653" s="211"/>
      <c r="AN1653" s="211"/>
      <c r="AO1653" s="211"/>
      <c r="AP1653" s="215"/>
      <c r="AQ1653" s="218"/>
      <c r="AR1653" s="211"/>
    </row>
    <row r="1654">
      <c r="A1654" s="210" t="str">
        <f>IFERROR(__xludf.DUMMYFUNCTION("""COMPUTED_VALUE"""),"0925101201")</f>
        <v>0925101201</v>
      </c>
      <c r="B1654" s="210" t="str">
        <f>IFERROR(__xludf.DUMMYFUNCTION("""COMPUTED_VALUE"""),"0925101201")</f>
        <v>0925101201</v>
      </c>
      <c r="C1654" s="213">
        <f>IFERROR(__xludf.DUMMYFUNCTION("""COMPUTED_VALUE"""),45901.3503125)</f>
        <v>45901.35031</v>
      </c>
      <c r="D1654" s="211" t="str">
        <f>IFERROR(__xludf.DUMMYFUNCTION("""COMPUTED_VALUE"""),"b218b89b")</f>
        <v>b218b89b</v>
      </c>
      <c r="E1654" s="211" t="str">
        <f>IFERROR(__xludf.DUMMYFUNCTION("""COMPUTED_VALUE"""),"PT Harapan Sentosa")</f>
        <v>PT Harapan Sentosa</v>
      </c>
      <c r="F1654" s="211" t="str">
        <f>IFERROR(__xludf.DUMMYFUNCTION("""COMPUTED_VALUE"""),"7d2764f1")</f>
        <v>7d2764f1</v>
      </c>
      <c r="G1654" s="211" t="str">
        <f>IFERROR(__xludf.DUMMYFUNCTION("""COMPUTED_VALUE"""),"Oksigen 7m3")</f>
        <v>Oksigen 7m3</v>
      </c>
      <c r="H1654" s="211" t="str">
        <f>IFERROR(__xludf.DUMMYFUNCTION("""COMPUTED_VALUE"""),"OUT")</f>
        <v>OUT</v>
      </c>
      <c r="I1654" s="211" t="str">
        <f>IFERROR(__xludf.DUMMYFUNCTION("""COMPUTED_VALUE"""),"NORMAL")</f>
        <v>NORMAL</v>
      </c>
      <c r="J1654" s="211">
        <f>IFERROR(__xludf.DUMMYFUNCTION("""COMPUTED_VALUE"""),10.0)</f>
        <v>10</v>
      </c>
      <c r="K1654" s="210" t="str">
        <f>IFERROR(__xludf.DUMMYFUNCTION("""COMPUTED_VALUE"""),"11145 11163 11153 11172 11195 11230 11223 11226 11213 11149")</f>
        <v>11145 11163 11153 11172 11195 11230 11223 11226 11213 11149</v>
      </c>
      <c r="L1654" s="211">
        <f>IFERROR(__xludf.DUMMYFUNCTION("""COMPUTED_VALUE"""),70000.0)</f>
        <v>70000</v>
      </c>
      <c r="M1654" s="211"/>
      <c r="N1654" s="211"/>
      <c r="O1654" s="211"/>
      <c r="Q1654" s="210" t="str">
        <f>IFERROR(__xludf.DUMMYFUNCTION("""COMPUTED_VALUE"""),"1250769")</f>
        <v>1250769</v>
      </c>
      <c r="R1654" s="210" t="str">
        <f>IFERROR(__xludf.DUMMYFUNCTION("""COMPUTED_VALUE"""),"1250769")</f>
        <v>1250769</v>
      </c>
      <c r="S1654" s="211" t="str">
        <f>IFERROR(__xludf.DUMMYFUNCTION("""COMPUTED_VALUE"""),"b0735da4")</f>
        <v>b0735da4</v>
      </c>
      <c r="T1654" s="211" t="str">
        <f>IFERROR(__xludf.DUMMYFUNCTION("""COMPUTED_VALUE"""),"Bpk. Amer Ciro")</f>
        <v>Bpk. Amer Ciro</v>
      </c>
      <c r="U1654" s="215">
        <f>IFERROR(__xludf.DUMMYFUNCTION("""COMPUTED_VALUE"""),45969.352002314816)</f>
        <v>45969.352</v>
      </c>
      <c r="V1654" s="211" t="str">
        <f>IFERROR(__xludf.DUMMYFUNCTION("""COMPUTED_VALUE"""),"HFJR+FV8 Bakungtemenggungan, Kabupaten Sidoarjo, Jawa Timur")</f>
        <v>HFJR+FV8 Bakungtemenggungan, Kabupaten Sidoarjo, Jawa Timur</v>
      </c>
      <c r="W1654" s="211" t="str">
        <f>IFERROR(__xludf.DUMMYFUNCTION("""COMPUTED_VALUE"""),"IN")</f>
        <v>IN</v>
      </c>
      <c r="X1654" s="211"/>
      <c r="AL1654" s="211"/>
      <c r="AM1654" s="211"/>
      <c r="AN1654" s="211"/>
      <c r="AO1654" s="211"/>
      <c r="AP1654" s="215"/>
      <c r="AQ1654" s="218"/>
      <c r="AR1654" s="211"/>
    </row>
    <row r="1655">
      <c r="A1655" s="210" t="str">
        <f>IFERROR(__xludf.DUMMYFUNCTION("""COMPUTED_VALUE"""),"4092521157")</f>
        <v>4092521157</v>
      </c>
      <c r="B1655" s="210" t="str">
        <f>IFERROR(__xludf.DUMMYFUNCTION("""COMPUTED_VALUE"""),"4092521157")</f>
        <v>4092521157</v>
      </c>
      <c r="C1655" s="213">
        <f>IFERROR(__xludf.DUMMYFUNCTION("""COMPUTED_VALUE"""),45901.35319444445)</f>
        <v>45901.35319</v>
      </c>
      <c r="D1655" s="211" t="str">
        <f>IFERROR(__xludf.DUMMYFUNCTION("""COMPUTED_VALUE"""),"b218b89b")</f>
        <v>b218b89b</v>
      </c>
      <c r="E1655" s="211" t="str">
        <f>IFERROR(__xludf.DUMMYFUNCTION("""COMPUTED_VALUE"""),"PT Harapan Sentosa")</f>
        <v>PT Harapan Sentosa</v>
      </c>
      <c r="F1655" s="211" t="str">
        <f>IFERROR(__xludf.DUMMYFUNCTION("""COMPUTED_VALUE"""),"ef306e54")</f>
        <v>ef306e54</v>
      </c>
      <c r="G1655" s="211" t="str">
        <f>IFERROR(__xludf.DUMMYFUNCTION("""COMPUTED_VALUE"""),"Karbondioksida")</f>
        <v>Karbondioksida</v>
      </c>
      <c r="H1655" s="211" t="str">
        <f>IFERROR(__xludf.DUMMYFUNCTION("""COMPUTED_VALUE"""),"OTHER")</f>
        <v>OTHER</v>
      </c>
      <c r="I1655" s="211" t="str">
        <f>IFERROR(__xludf.DUMMYFUNCTION("""COMPUTED_VALUE"""),"RETUR CLAIM")</f>
        <v>RETUR CLAIM</v>
      </c>
      <c r="J1655" s="211">
        <f>IFERROR(__xludf.DUMMYFUNCTION("""COMPUTED_VALUE"""),1.0)</f>
        <v>1</v>
      </c>
      <c r="K1655" s="210" t="str">
        <f>IFERROR(__xludf.DUMMYFUNCTION("""COMPUTED_VALUE"""),"13026")</f>
        <v>13026</v>
      </c>
      <c r="L1655" s="211">
        <f>IFERROR(__xludf.DUMMYFUNCTION("""COMPUTED_VALUE"""),0.0)</f>
        <v>0</v>
      </c>
      <c r="M1655" s="211"/>
      <c r="N1655" s="211"/>
      <c r="O1655" s="211"/>
      <c r="Q1655" s="210" t="str">
        <f>IFERROR(__xludf.DUMMYFUNCTION("""COMPUTED_VALUE"""),"1125361654")</f>
        <v>1125361654</v>
      </c>
      <c r="R1655" s="210" t="str">
        <f>IFERROR(__xludf.DUMMYFUNCTION("""COMPUTED_VALUE"""),"1125361654")</f>
        <v>1125361654</v>
      </c>
      <c r="S1655" s="211" t="str">
        <f>IFERROR(__xludf.DUMMYFUNCTION("""COMPUTED_VALUE"""),"b2b5f2c5")</f>
        <v>b2b5f2c5</v>
      </c>
      <c r="T1655" s="211" t="str">
        <f>IFERROR(__xludf.DUMMYFUNCTION("""COMPUTED_VALUE"""),"Bengkel Las Bpk. Ari")</f>
        <v>Bengkel Las Bpk. Ari</v>
      </c>
      <c r="U1655" s="215">
        <f>IFERROR(__xludf.DUMMYFUNCTION("""COMPUTED_VALUE"""),45969.465092592596)</f>
        <v>45969.46509</v>
      </c>
      <c r="V1655" s="211" t="str">
        <f>IFERROR(__xludf.DUMMYFUNCTION("""COMPUTED_VALUE"""),"Sumber Kembar, Wonodadi, Kec. Kutorejo, Kabupaten Mojokerto, Jawa Timur")</f>
        <v>Sumber Kembar, Wonodadi, Kec. Kutorejo, Kabupaten Mojokerto, Jawa Timur</v>
      </c>
      <c r="W1655" s="211" t="str">
        <f>IFERROR(__xludf.DUMMYFUNCTION("""COMPUTED_VALUE"""),"OUT")</f>
        <v>OUT</v>
      </c>
      <c r="X1655" s="211"/>
      <c r="AL1655" s="211"/>
      <c r="AM1655" s="211"/>
      <c r="AN1655" s="211"/>
      <c r="AO1655" s="211"/>
      <c r="AP1655" s="215"/>
      <c r="AQ1655" s="218"/>
      <c r="AR1655" s="211"/>
    </row>
    <row r="1656">
      <c r="A1656" s="210" t="str">
        <f>IFERROR(__xludf.DUMMYFUNCTION("""COMPUTED_VALUE"""),"092591202")</f>
        <v>092591202</v>
      </c>
      <c r="B1656" s="210" t="str">
        <f>IFERROR(__xludf.DUMMYFUNCTION("""COMPUTED_VALUE"""),"092591202")</f>
        <v>092591202</v>
      </c>
      <c r="C1656" s="213">
        <f>IFERROR(__xludf.DUMMYFUNCTION("""COMPUTED_VALUE"""),45901.361284722225)</f>
        <v>45901.36128</v>
      </c>
      <c r="D1656" s="211" t="str">
        <f>IFERROR(__xludf.DUMMYFUNCTION("""COMPUTED_VALUE"""),"ed2cc96a")</f>
        <v>ed2cc96a</v>
      </c>
      <c r="E1656" s="211" t="str">
        <f>IFERROR(__xludf.DUMMYFUNCTION("""COMPUTED_VALUE"""),"Bengkel Dian Jaya")</f>
        <v>Bengkel Dian Jaya</v>
      </c>
      <c r="F1656" s="211" t="str">
        <f>IFERROR(__xludf.DUMMYFUNCTION("""COMPUTED_VALUE"""),"8bdbe149")</f>
        <v>8bdbe149</v>
      </c>
      <c r="G1656" s="211" t="str">
        <f>IFERROR(__xludf.DUMMYFUNCTION("""COMPUTED_VALUE"""),"Oksigen 6m3")</f>
        <v>Oksigen 6m3</v>
      </c>
      <c r="H1656" s="211" t="str">
        <f>IFERROR(__xludf.DUMMYFUNCTION("""COMPUTED_VALUE"""),"OUT")</f>
        <v>OUT</v>
      </c>
      <c r="I1656" s="211" t="str">
        <f>IFERROR(__xludf.DUMMYFUNCTION("""COMPUTED_VALUE"""),"NORMAL")</f>
        <v>NORMAL</v>
      </c>
      <c r="J1656" s="211">
        <f>IFERROR(__xludf.DUMMYFUNCTION("""COMPUTED_VALUE"""),10.0)</f>
        <v>10</v>
      </c>
      <c r="K1656" s="210" t="str">
        <f>IFERROR(__xludf.DUMMYFUNCTION("""COMPUTED_VALUE"""),"11255 1142 1150 1130 1119 1183 1132 1138 1110 11277")</f>
        <v>11255 1142 1150 1130 1119 1183 1132 1138 1110 11277</v>
      </c>
      <c r="L1656" s="211">
        <f>IFERROR(__xludf.DUMMYFUNCTION("""COMPUTED_VALUE"""),50000.0)</f>
        <v>50000</v>
      </c>
      <c r="M1656" s="211"/>
      <c r="N1656" s="211"/>
      <c r="O1656" s="211"/>
      <c r="Q1656" s="210" t="str">
        <f>IFERROR(__xludf.DUMMYFUNCTION("""COMPUTED_VALUE"""),"112521656")</f>
        <v>112521656</v>
      </c>
      <c r="R1656" s="210" t="str">
        <f>IFERROR(__xludf.DUMMYFUNCTION("""COMPUTED_VALUE"""),"112521656")</f>
        <v>112521656</v>
      </c>
      <c r="S1656" s="211" t="str">
        <f>IFERROR(__xludf.DUMMYFUNCTION("""COMPUTED_VALUE"""),"9e5d8274")</f>
        <v>9e5d8274</v>
      </c>
      <c r="T1656" s="211" t="str">
        <f>IFERROR(__xludf.DUMMYFUNCTION("""COMPUTED_VALUE"""),"Bpk. Erry ( Lik Trosobo )")</f>
        <v>Bpk. Erry ( Lik Trosobo )</v>
      </c>
      <c r="U1656" s="215">
        <f>IFERROR(__xludf.DUMMYFUNCTION("""COMPUTED_VALUE"""),45969.47990740741)</f>
        <v>45969.47991</v>
      </c>
      <c r="V1656" s="211" t="str">
        <f>IFERROR(__xludf.DUMMYFUNCTION("""COMPUTED_VALUE"""),"Trosobo Taman")</f>
        <v>Trosobo Taman</v>
      </c>
      <c r="W1656" s="211" t="str">
        <f>IFERROR(__xludf.DUMMYFUNCTION("""COMPUTED_VALUE"""),"OUT")</f>
        <v>OUT</v>
      </c>
      <c r="X1656" s="211"/>
      <c r="AL1656" s="211"/>
      <c r="AM1656" s="211"/>
      <c r="AN1656" s="211"/>
      <c r="AO1656" s="211"/>
      <c r="AP1656" s="215"/>
      <c r="AQ1656" s="218"/>
      <c r="AR1656" s="211"/>
    </row>
    <row r="1657">
      <c r="A1657" s="210" t="str">
        <f>IFERROR(__xludf.DUMMYFUNCTION("""COMPUTED_VALUE"""),"092511204")</f>
        <v>092511204</v>
      </c>
      <c r="B1657" s="210" t="str">
        <f>IFERROR(__xludf.DUMMYFUNCTION("""COMPUTED_VALUE"""),"092511204")</f>
        <v>092511204</v>
      </c>
      <c r="C1657" s="213">
        <f>IFERROR(__xludf.DUMMYFUNCTION("""COMPUTED_VALUE"""),45901.36375)</f>
        <v>45901.36375</v>
      </c>
      <c r="D1657" s="211" t="str">
        <f>IFERROR(__xludf.DUMMYFUNCTION("""COMPUTED_VALUE"""),"e3268699")</f>
        <v>e3268699</v>
      </c>
      <c r="E1657" s="211" t="str">
        <f>IFERROR(__xludf.DUMMYFUNCTION("""COMPUTED_VALUE"""),"Bpk Jainul")</f>
        <v>Bpk Jainul</v>
      </c>
      <c r="F1657" s="211" t="str">
        <f>IFERROR(__xludf.DUMMYFUNCTION("""COMPUTED_VALUE"""),"f6aab7a9")</f>
        <v>f6aab7a9</v>
      </c>
      <c r="G1657" s="211" t="str">
        <f>IFERROR(__xludf.DUMMYFUNCTION("""COMPUTED_VALUE"""),"Oksigen 6m3 MR")</f>
        <v>Oksigen 6m3 MR</v>
      </c>
      <c r="H1657" s="211" t="str">
        <f>IFERROR(__xludf.DUMMYFUNCTION("""COMPUTED_VALUE"""),"OUT")</f>
        <v>OUT</v>
      </c>
      <c r="I1657" s="211" t="str">
        <f>IFERROR(__xludf.DUMMYFUNCTION("""COMPUTED_VALUE"""),"NORMAL")</f>
        <v>NORMAL</v>
      </c>
      <c r="J1657" s="211">
        <f>IFERROR(__xludf.DUMMYFUNCTION("""COMPUTED_VALUE"""),2.0)</f>
        <v>2</v>
      </c>
      <c r="K1657" s="210" t="str">
        <f>IFERROR(__xludf.DUMMYFUNCTION("""COMPUTED_VALUE"""),"132 2303")</f>
        <v>132 2303</v>
      </c>
      <c r="L1657" s="211">
        <f>IFERROR(__xludf.DUMMYFUNCTION("""COMPUTED_VALUE"""),75000.0)</f>
        <v>75000</v>
      </c>
      <c r="M1657" s="211"/>
      <c r="N1657" s="211"/>
      <c r="O1657" s="211"/>
      <c r="Q1657" s="210" t="str">
        <f>IFERROR(__xludf.DUMMYFUNCTION("""COMPUTED_VALUE"""),"1250821")</f>
        <v>1250821</v>
      </c>
      <c r="R1657" s="210" t="str">
        <f>IFERROR(__xludf.DUMMYFUNCTION("""COMPUTED_VALUE"""),"1250821")</f>
        <v>1250821</v>
      </c>
      <c r="S1657" s="211" t="str">
        <f>IFERROR(__xludf.DUMMYFUNCTION("""COMPUTED_VALUE"""),"dcdf8b31")</f>
        <v>dcdf8b31</v>
      </c>
      <c r="T1657" s="211" t="str">
        <f>IFERROR(__xludf.DUMMYFUNCTION("""COMPUTED_VALUE"""),"Bpk. Samsul (Jetis)")</f>
        <v>Bpk. Samsul (Jetis)</v>
      </c>
      <c r="U1657" s="215">
        <f>IFERROR(__xludf.DUMMYFUNCTION("""COMPUTED_VALUE"""),45969.48795138889)</f>
        <v>45969.48795</v>
      </c>
      <c r="V1657" s="211" t="str">
        <f>IFERROR(__xludf.DUMMYFUNCTION("""COMPUTED_VALUE"""),"HFWF+9FG, Sido Wangi, Paringan, Kec. Jetis, Kabupaten Mojokerto, Jawa Timur")</f>
        <v>HFWF+9FG, Sido Wangi, Paringan, Kec. Jetis, Kabupaten Mojokerto, Jawa Timur</v>
      </c>
      <c r="W1657" s="211" t="str">
        <f>IFERROR(__xludf.DUMMYFUNCTION("""COMPUTED_VALUE"""),"IN")</f>
        <v>IN</v>
      </c>
      <c r="X1657" s="211"/>
      <c r="AL1657" s="211"/>
      <c r="AM1657" s="211"/>
      <c r="AN1657" s="211"/>
      <c r="AO1657" s="211"/>
      <c r="AP1657" s="215"/>
      <c r="AQ1657" s="218"/>
      <c r="AR1657" s="211"/>
    </row>
    <row r="1658">
      <c r="A1658" s="210" t="str">
        <f>IFERROR(__xludf.DUMMYFUNCTION("""COMPUTED_VALUE"""),"0925261205")</f>
        <v>0925261205</v>
      </c>
      <c r="B1658" s="210" t="str">
        <f>IFERROR(__xludf.DUMMYFUNCTION("""COMPUTED_VALUE"""),"0925261205")</f>
        <v>0925261205</v>
      </c>
      <c r="C1658" s="213">
        <f>IFERROR(__xludf.DUMMYFUNCTION("""COMPUTED_VALUE"""),45901.44354166667)</f>
        <v>45901.44354</v>
      </c>
      <c r="D1658" s="211" t="str">
        <f>IFERROR(__xludf.DUMMYFUNCTION("""COMPUTED_VALUE"""),"ce83e171")</f>
        <v>ce83e171</v>
      </c>
      <c r="E1658" s="211" t="str">
        <f>IFERROR(__xludf.DUMMYFUNCTION("""COMPUTED_VALUE"""),"Bpk. Sulaiman")</f>
        <v>Bpk. Sulaiman</v>
      </c>
      <c r="F1658" s="211" t="str">
        <f>IFERROR(__xludf.DUMMYFUNCTION("""COMPUTED_VALUE"""),"7d2764f1")</f>
        <v>7d2764f1</v>
      </c>
      <c r="G1658" s="211" t="str">
        <f>IFERROR(__xludf.DUMMYFUNCTION("""COMPUTED_VALUE"""),"Oksigen 7m3")</f>
        <v>Oksigen 7m3</v>
      </c>
      <c r="H1658" s="211" t="str">
        <f>IFERROR(__xludf.DUMMYFUNCTION("""COMPUTED_VALUE"""),"OUT")</f>
        <v>OUT</v>
      </c>
      <c r="I1658" s="211" t="str">
        <f>IFERROR(__xludf.DUMMYFUNCTION("""COMPUTED_VALUE"""),"NORMAL")</f>
        <v>NORMAL</v>
      </c>
      <c r="J1658" s="211">
        <f>IFERROR(__xludf.DUMMYFUNCTION("""COMPUTED_VALUE"""),4.0)</f>
        <v>4</v>
      </c>
      <c r="K1658" s="210" t="str">
        <f>IFERROR(__xludf.DUMMYFUNCTION("""COMPUTED_VALUE"""),"11222 11167 11158 11141")</f>
        <v>11222 11167 11158 11141</v>
      </c>
      <c r="L1658" s="211">
        <f>IFERROR(__xludf.DUMMYFUNCTION("""COMPUTED_VALUE"""),55000.0)</f>
        <v>55000</v>
      </c>
      <c r="M1658" s="211"/>
      <c r="N1658" s="211"/>
      <c r="O1658" s="211"/>
      <c r="Q1658" s="210" t="str">
        <f>IFERROR(__xludf.DUMMYFUNCTION("""COMPUTED_VALUE"""),"1250771")</f>
        <v>1250771</v>
      </c>
      <c r="R1658" s="210" t="str">
        <f>IFERROR(__xludf.DUMMYFUNCTION("""COMPUTED_VALUE"""),"1250771")</f>
        <v>1250771</v>
      </c>
      <c r="S1658" s="211" t="str">
        <f>IFERROR(__xludf.DUMMYFUNCTION("""COMPUTED_VALUE"""),"b2b5f2c5")</f>
        <v>b2b5f2c5</v>
      </c>
      <c r="T1658" s="211" t="str">
        <f>IFERROR(__xludf.DUMMYFUNCTION("""COMPUTED_VALUE"""),"Bengkel Las Bpk. Ari")</f>
        <v>Bengkel Las Bpk. Ari</v>
      </c>
      <c r="U1658" s="215">
        <f>IFERROR(__xludf.DUMMYFUNCTION("""COMPUTED_VALUE"""),45969.61)</f>
        <v>45969.61</v>
      </c>
      <c r="V1658" s="211" t="str">
        <f>IFERROR(__xludf.DUMMYFUNCTION("""COMPUTED_VALUE"""),"Sumber Kembar, Wonodadi, Kec. Kutorejo, Kabupaten Mojokerto, Jawa Timur")</f>
        <v>Sumber Kembar, Wonodadi, Kec. Kutorejo, Kabupaten Mojokerto, Jawa Timur</v>
      </c>
      <c r="W1658" s="211" t="str">
        <f>IFERROR(__xludf.DUMMYFUNCTION("""COMPUTED_VALUE"""),"IN")</f>
        <v>IN</v>
      </c>
      <c r="X1658" s="211"/>
      <c r="AL1658" s="211"/>
      <c r="AM1658" s="211"/>
      <c r="AN1658" s="211"/>
      <c r="AO1658" s="211"/>
      <c r="AP1658" s="215"/>
      <c r="AQ1658" s="218"/>
      <c r="AR1658" s="211"/>
    </row>
    <row r="1659">
      <c r="A1659" s="210" t="str">
        <f>IFERROR(__xludf.DUMMYFUNCTION("""COMPUTED_VALUE"""),"0925261205")</f>
        <v>0925261205</v>
      </c>
      <c r="B1659" s="210" t="str">
        <f>IFERROR(__xludf.DUMMYFUNCTION("""COMPUTED_VALUE"""),"0925261205")</f>
        <v>0925261205</v>
      </c>
      <c r="C1659" s="213">
        <f>IFERROR(__xludf.DUMMYFUNCTION("""COMPUTED_VALUE"""),45901.44354166667)</f>
        <v>45901.44354</v>
      </c>
      <c r="D1659" s="211" t="str">
        <f>IFERROR(__xludf.DUMMYFUNCTION("""COMPUTED_VALUE"""),"ce83e171")</f>
        <v>ce83e171</v>
      </c>
      <c r="E1659" s="211" t="str">
        <f>IFERROR(__xludf.DUMMYFUNCTION("""COMPUTED_VALUE"""),"Bpk. Sulaiman")</f>
        <v>Bpk. Sulaiman</v>
      </c>
      <c r="F1659" s="211" t="str">
        <f>IFERROR(__xludf.DUMMYFUNCTION("""COMPUTED_VALUE"""),"f6aab7a9")</f>
        <v>f6aab7a9</v>
      </c>
      <c r="G1659" s="211" t="str">
        <f>IFERROR(__xludf.DUMMYFUNCTION("""COMPUTED_VALUE"""),"Oksigen 6m3 MR")</f>
        <v>Oksigen 6m3 MR</v>
      </c>
      <c r="H1659" s="211" t="str">
        <f>IFERROR(__xludf.DUMMYFUNCTION("""COMPUTED_VALUE"""),"OUT")</f>
        <v>OUT</v>
      </c>
      <c r="I1659" s="211" t="str">
        <f>IFERROR(__xludf.DUMMYFUNCTION("""COMPUTED_VALUE"""),"NORMAL")</f>
        <v>NORMAL</v>
      </c>
      <c r="J1659" s="211">
        <f>IFERROR(__xludf.DUMMYFUNCTION("""COMPUTED_VALUE"""),1.0)</f>
        <v>1</v>
      </c>
      <c r="K1659" s="210" t="str">
        <f>IFERROR(__xludf.DUMMYFUNCTION("""COMPUTED_VALUE"""),"76")</f>
        <v>76</v>
      </c>
      <c r="L1659" s="211">
        <f>IFERROR(__xludf.DUMMYFUNCTION("""COMPUTED_VALUE"""),55000.0)</f>
        <v>55000</v>
      </c>
      <c r="M1659" s="211"/>
      <c r="N1659" s="211"/>
      <c r="O1659" s="211"/>
      <c r="Q1659" s="210" t="str">
        <f>IFERROR(__xludf.DUMMYFUNCTION("""COMPUTED_VALUE"""),"1250770")</f>
        <v>1250770</v>
      </c>
      <c r="R1659" s="210" t="str">
        <f>IFERROR(__xludf.DUMMYFUNCTION("""COMPUTED_VALUE"""),"1250770")</f>
        <v>1250770</v>
      </c>
      <c r="S1659" s="211" t="str">
        <f>IFERROR(__xludf.DUMMYFUNCTION("""COMPUTED_VALUE"""),"f8a982a4")</f>
        <v>f8a982a4</v>
      </c>
      <c r="T1659" s="211" t="str">
        <f>IFERROR(__xludf.DUMMYFUNCTION("""COMPUTED_VALUE"""),"Bpk. Nasir")</f>
        <v>Bpk. Nasir</v>
      </c>
      <c r="U1659" s="215">
        <f>IFERROR(__xludf.DUMMYFUNCTION("""COMPUTED_VALUE"""),45969.6112037037)</f>
        <v>45969.6112</v>
      </c>
      <c r="V1659" s="211" t="str">
        <f>IFERROR(__xludf.DUMMYFUNCTION("""COMPUTED_VALUE"""),"JL Raya Pacet, Dsn. Janti Ds. Jatilangkung RT.01 RW. 04. Kabupaten. Mojokerto Pungging, Jawa Timur")</f>
        <v>JL Raya Pacet, Dsn. Janti Ds. Jatilangkung RT.01 RW. 04. Kabupaten. Mojokerto Pungging, Jawa Timur</v>
      </c>
      <c r="W1659" s="211" t="str">
        <f>IFERROR(__xludf.DUMMYFUNCTION("""COMPUTED_VALUE"""),"IN")</f>
        <v>IN</v>
      </c>
      <c r="X1659" s="211"/>
      <c r="AL1659" s="211"/>
      <c r="AM1659" s="211"/>
      <c r="AN1659" s="211"/>
      <c r="AO1659" s="211"/>
      <c r="AP1659" s="215"/>
      <c r="AQ1659" s="218"/>
      <c r="AR1659" s="211"/>
    </row>
    <row r="1660">
      <c r="A1660" s="210" t="str">
        <f>IFERROR(__xludf.DUMMYFUNCTION("""COMPUTED_VALUE"""),"1250546")</f>
        <v>1250546</v>
      </c>
      <c r="B1660" s="210" t="str">
        <f>IFERROR(__xludf.DUMMYFUNCTION("""COMPUTED_VALUE"""),"1250546")</f>
        <v>1250546</v>
      </c>
      <c r="C1660" s="213">
        <f>IFERROR(__xludf.DUMMYFUNCTION("""COMPUTED_VALUE"""),45901.44537037037)</f>
        <v>45901.44537</v>
      </c>
      <c r="D1660" s="211" t="str">
        <f>IFERROR(__xludf.DUMMYFUNCTION("""COMPUTED_VALUE"""),"b218b89b")</f>
        <v>b218b89b</v>
      </c>
      <c r="E1660" s="211" t="str">
        <f>IFERROR(__xludf.DUMMYFUNCTION("""COMPUTED_VALUE"""),"PT Harapan Sentosa")</f>
        <v>PT Harapan Sentosa</v>
      </c>
      <c r="F1660" s="211" t="str">
        <f>IFERROR(__xludf.DUMMYFUNCTION("""COMPUTED_VALUE"""),"7d2764f1")</f>
        <v>7d2764f1</v>
      </c>
      <c r="G1660" s="211" t="str">
        <f>IFERROR(__xludf.DUMMYFUNCTION("""COMPUTED_VALUE"""),"Oksigen 7m3")</f>
        <v>Oksigen 7m3</v>
      </c>
      <c r="H1660" s="211" t="str">
        <f>IFERROR(__xludf.DUMMYFUNCTION("""COMPUTED_VALUE"""),"IN")</f>
        <v>IN</v>
      </c>
      <c r="I1660" s="211" t="str">
        <f>IFERROR(__xludf.DUMMYFUNCTION("""COMPUTED_VALUE"""),"EMPTY")</f>
        <v>EMPTY</v>
      </c>
      <c r="J1660" s="211">
        <f>IFERROR(__xludf.DUMMYFUNCTION("""COMPUTED_VALUE"""),2.0)</f>
        <v>2</v>
      </c>
      <c r="K1660" s="210" t="str">
        <f>IFERROR(__xludf.DUMMYFUNCTION("""COMPUTED_VALUE"""),"11164 11174")</f>
        <v>11164 11174</v>
      </c>
      <c r="L1660" s="211">
        <f>IFERROR(__xludf.DUMMYFUNCTION("""COMPUTED_VALUE"""),0.0)</f>
        <v>0</v>
      </c>
      <c r="M1660" s="211"/>
      <c r="N1660" s="211"/>
      <c r="O1660" s="211"/>
      <c r="Q1660" s="210" t="str">
        <f>IFERROR(__xludf.DUMMYFUNCTION("""COMPUTED_VALUE"""),"1250822")</f>
        <v>1250822</v>
      </c>
      <c r="R1660" s="210" t="str">
        <f>IFERROR(__xludf.DUMMYFUNCTION("""COMPUTED_VALUE"""),"1250822")</f>
        <v>1250822</v>
      </c>
      <c r="S1660" s="211" t="str">
        <f>IFERROR(__xludf.DUMMYFUNCTION("""COMPUTED_VALUE"""),"9e5d8274")</f>
        <v>9e5d8274</v>
      </c>
      <c r="T1660" s="211" t="str">
        <f>IFERROR(__xludf.DUMMYFUNCTION("""COMPUTED_VALUE"""),"Bpk. Erry ( Lik Trosobo )")</f>
        <v>Bpk. Erry ( Lik Trosobo )</v>
      </c>
      <c r="U1660" s="215">
        <f>IFERROR(__xludf.DUMMYFUNCTION("""COMPUTED_VALUE"""),45969.63728009259)</f>
        <v>45969.63728</v>
      </c>
      <c r="V1660" s="211" t="str">
        <f>IFERROR(__xludf.DUMMYFUNCTION("""COMPUTED_VALUE"""),"Trosobo Taman")</f>
        <v>Trosobo Taman</v>
      </c>
      <c r="W1660" s="211" t="str">
        <f>IFERROR(__xludf.DUMMYFUNCTION("""COMPUTED_VALUE"""),"IN")</f>
        <v>IN</v>
      </c>
      <c r="X1660" s="211"/>
      <c r="AL1660" s="211"/>
      <c r="AM1660" s="211"/>
      <c r="AN1660" s="211"/>
      <c r="AO1660" s="211"/>
      <c r="AP1660" s="215"/>
      <c r="AQ1660" s="218"/>
      <c r="AR1660" s="211"/>
    </row>
    <row r="1661">
      <c r="A1661" s="210" t="str">
        <f>IFERROR(__xludf.DUMMYFUNCTION("""COMPUTED_VALUE"""),"1250553")</f>
        <v>1250553</v>
      </c>
      <c r="B1661" s="210" t="str">
        <f>IFERROR(__xludf.DUMMYFUNCTION("""COMPUTED_VALUE"""),"1250553")</f>
        <v>1250553</v>
      </c>
      <c r="C1661" s="213">
        <f>IFERROR(__xludf.DUMMYFUNCTION("""COMPUTED_VALUE"""),45901.46844907408)</f>
        <v>45901.46845</v>
      </c>
      <c r="D1661" s="211" t="str">
        <f>IFERROR(__xludf.DUMMYFUNCTION("""COMPUTED_VALUE"""),"182fb0fe")</f>
        <v>182fb0fe</v>
      </c>
      <c r="E1661" s="211" t="str">
        <f>IFERROR(__xludf.DUMMYFUNCTION("""COMPUTED_VALUE"""),"PT Amtech")</f>
        <v>PT Amtech</v>
      </c>
      <c r="F1661" s="211" t="str">
        <f>IFERROR(__xludf.DUMMYFUNCTION("""COMPUTED_VALUE"""),"66af7c72")</f>
        <v>66af7c72</v>
      </c>
      <c r="G1661" s="211" t="str">
        <f>IFERROR(__xludf.DUMMYFUNCTION("""COMPUTED_VALUE"""),"Argon 6m3")</f>
        <v>Argon 6m3</v>
      </c>
      <c r="H1661" s="211" t="str">
        <f>IFERROR(__xludf.DUMMYFUNCTION("""COMPUTED_VALUE"""),"IN")</f>
        <v>IN</v>
      </c>
      <c r="I1661" s="211" t="str">
        <f>IFERROR(__xludf.DUMMYFUNCTION("""COMPUTED_VALUE"""),"EMPTY")</f>
        <v>EMPTY</v>
      </c>
      <c r="J1661" s="211">
        <f>IFERROR(__xludf.DUMMYFUNCTION("""COMPUTED_VALUE"""),3.0)</f>
        <v>3</v>
      </c>
      <c r="K1661" s="210" t="str">
        <f>IFERROR(__xludf.DUMMYFUNCTION("""COMPUTED_VALUE"""),"12065 12062 12066")</f>
        <v>12065 12062 12066</v>
      </c>
      <c r="L1661" s="211">
        <f>IFERROR(__xludf.DUMMYFUNCTION("""COMPUTED_VALUE"""),0.0)</f>
        <v>0</v>
      </c>
      <c r="M1661" s="211"/>
      <c r="N1661" s="211"/>
      <c r="O1661" s="211"/>
      <c r="Q1661" s="210" t="str">
        <f>IFERROR(__xludf.DUMMYFUNCTION("""COMPUTED_VALUE"""),"112551657")</f>
        <v>112551657</v>
      </c>
      <c r="R1661" s="210" t="str">
        <f>IFERROR(__xludf.DUMMYFUNCTION("""COMPUTED_VALUE"""),"112551657")</f>
        <v>112551657</v>
      </c>
      <c r="S1661" s="211" t="str">
        <f>IFERROR(__xludf.DUMMYFUNCTION("""COMPUTED_VALUE"""),"faf71ae5")</f>
        <v>faf71ae5</v>
      </c>
      <c r="T1661" s="211" t="str">
        <f>IFERROR(__xludf.DUMMYFUNCTION("""COMPUTED_VALUE"""),"Bpk. Sampurna")</f>
        <v>Bpk. Sampurna</v>
      </c>
      <c r="U1661" s="215">
        <f>IFERROR(__xludf.DUMMYFUNCTION("""COMPUTED_VALUE"""),45971.35695601852)</f>
        <v>45971.35696</v>
      </c>
      <c r="V1661" s="211" t="str">
        <f>IFERROR(__xludf.DUMMYFUNCTION("""COMPUTED_VALUE"""),"Jl. Bypass Krian KM.30 No.15, Kraton, Kec. Krian, Kabupaten Sidoarjo, Jawa Timur 61262")</f>
        <v>Jl. Bypass Krian KM.30 No.15, Kraton, Kec. Krian, Kabupaten Sidoarjo, Jawa Timur 61262</v>
      </c>
      <c r="W1661" s="211" t="str">
        <f>IFERROR(__xludf.DUMMYFUNCTION("""COMPUTED_VALUE"""),"OUT")</f>
        <v>OUT</v>
      </c>
      <c r="X1661" s="211"/>
      <c r="AL1661" s="211"/>
      <c r="AM1661" s="211"/>
      <c r="AN1661" s="211"/>
      <c r="AO1661" s="211"/>
      <c r="AP1661" s="215"/>
      <c r="AQ1661" s="218"/>
      <c r="AR1661" s="211"/>
    </row>
    <row r="1662">
      <c r="A1662" s="210" t="str">
        <f>IFERROR(__xludf.DUMMYFUNCTION("""COMPUTED_VALUE"""),"1250547")</f>
        <v>1250547</v>
      </c>
      <c r="B1662" s="210" t="str">
        <f>IFERROR(__xludf.DUMMYFUNCTION("""COMPUTED_VALUE"""),"1250547")</f>
        <v>1250547</v>
      </c>
      <c r="C1662" s="213">
        <f>IFERROR(__xludf.DUMMYFUNCTION("""COMPUTED_VALUE"""),45901.624976851854)</f>
        <v>45901.62498</v>
      </c>
      <c r="D1662" s="211" t="str">
        <f>IFERROR(__xludf.DUMMYFUNCTION("""COMPUTED_VALUE"""),"ce83e171")</f>
        <v>ce83e171</v>
      </c>
      <c r="E1662" s="211" t="str">
        <f>IFERROR(__xludf.DUMMYFUNCTION("""COMPUTED_VALUE"""),"Bpk. Sulaiman")</f>
        <v>Bpk. Sulaiman</v>
      </c>
      <c r="F1662" s="211" t="str">
        <f>IFERROR(__xludf.DUMMYFUNCTION("""COMPUTED_VALUE"""),"7d2764f1")</f>
        <v>7d2764f1</v>
      </c>
      <c r="G1662" s="211" t="str">
        <f>IFERROR(__xludf.DUMMYFUNCTION("""COMPUTED_VALUE"""),"Oksigen 7m3")</f>
        <v>Oksigen 7m3</v>
      </c>
      <c r="H1662" s="211" t="str">
        <f>IFERROR(__xludf.DUMMYFUNCTION("""COMPUTED_VALUE"""),"IN")</f>
        <v>IN</v>
      </c>
      <c r="I1662" s="211" t="str">
        <f>IFERROR(__xludf.DUMMYFUNCTION("""COMPUTED_VALUE"""),"EMPTY")</f>
        <v>EMPTY</v>
      </c>
      <c r="J1662" s="211">
        <f>IFERROR(__xludf.DUMMYFUNCTION("""COMPUTED_VALUE"""),1.0)</f>
        <v>1</v>
      </c>
      <c r="K1662" s="210" t="str">
        <f>IFERROR(__xludf.DUMMYFUNCTION("""COMPUTED_VALUE"""),"11148")</f>
        <v>11148</v>
      </c>
      <c r="L1662" s="211">
        <f>IFERROR(__xludf.DUMMYFUNCTION("""COMPUTED_VALUE"""),0.0)</f>
        <v>0</v>
      </c>
      <c r="M1662" s="211"/>
      <c r="N1662" s="211"/>
      <c r="O1662" s="211"/>
      <c r="Q1662" s="210" t="str">
        <f>IFERROR(__xludf.DUMMYFUNCTION("""COMPUTED_VALUE"""),"4112521546")</f>
        <v>4112521546</v>
      </c>
      <c r="R1662" s="210" t="str">
        <f>IFERROR(__xludf.DUMMYFUNCTION("""COMPUTED_VALUE"""),"4112521546")</f>
        <v>4112521546</v>
      </c>
      <c r="S1662" s="211" t="str">
        <f>IFERROR(__xludf.DUMMYFUNCTION("""COMPUTED_VALUE"""),"4ec68cf6")</f>
        <v>4ec68cf6</v>
      </c>
      <c r="T1662" s="211" t="str">
        <f>IFERROR(__xludf.DUMMYFUNCTION("""COMPUTED_VALUE"""),"CV Sido Mukti Karya")</f>
        <v>CV Sido Mukti Karya</v>
      </c>
      <c r="U1662" s="215">
        <f>IFERROR(__xludf.DUMMYFUNCTION("""COMPUTED_VALUE"""),45971.36813657408)</f>
        <v>45971.36814</v>
      </c>
      <c r="V1662" s="211" t="str">
        <f>IFERROR(__xludf.DUMMYFUNCTION("""COMPUTED_VALUE"""),"Pergudangan Center Point no A3, Kemangsen")</f>
        <v>Pergudangan Center Point no A3, Kemangsen</v>
      </c>
      <c r="W1662" s="211" t="str">
        <f>IFERROR(__xludf.DUMMYFUNCTION("""COMPUTED_VALUE"""),"OTHER")</f>
        <v>OTHER</v>
      </c>
      <c r="X1662" s="211"/>
      <c r="AL1662" s="211"/>
      <c r="AM1662" s="211"/>
      <c r="AN1662" s="211"/>
      <c r="AO1662" s="211"/>
      <c r="AP1662" s="215"/>
      <c r="AQ1662" s="218"/>
      <c r="AR1662" s="211"/>
    </row>
    <row r="1663">
      <c r="A1663" s="210" t="str">
        <f>IFERROR(__xludf.DUMMYFUNCTION("""COMPUTED_VALUE"""),"1250549")</f>
        <v>1250549</v>
      </c>
      <c r="B1663" s="210" t="str">
        <f>IFERROR(__xludf.DUMMYFUNCTION("""COMPUTED_VALUE"""),"1250549")</f>
        <v>1250549</v>
      </c>
      <c r="C1663" s="213">
        <f>IFERROR(__xludf.DUMMYFUNCTION("""COMPUTED_VALUE"""),45901.625868055555)</f>
        <v>45901.62587</v>
      </c>
      <c r="D1663" s="211" t="str">
        <f>IFERROR(__xludf.DUMMYFUNCTION("""COMPUTED_VALUE"""),"01158be1")</f>
        <v>01158be1</v>
      </c>
      <c r="E1663" s="211" t="str">
        <f>IFERROR(__xludf.DUMMYFUNCTION("""COMPUTED_VALUE"""),"GYF")</f>
        <v>GYF</v>
      </c>
      <c r="F1663" s="211" t="str">
        <f>IFERROR(__xludf.DUMMYFUNCTION("""COMPUTED_VALUE"""),"8bdbe149")</f>
        <v>8bdbe149</v>
      </c>
      <c r="G1663" s="211" t="str">
        <f>IFERROR(__xludf.DUMMYFUNCTION("""COMPUTED_VALUE"""),"Oksigen 6m3")</f>
        <v>Oksigen 6m3</v>
      </c>
      <c r="H1663" s="211" t="str">
        <f>IFERROR(__xludf.DUMMYFUNCTION("""COMPUTED_VALUE"""),"IN")</f>
        <v>IN</v>
      </c>
      <c r="I1663" s="211" t="str">
        <f>IFERROR(__xludf.DUMMYFUNCTION("""COMPUTED_VALUE"""),"EMPTY")</f>
        <v>EMPTY</v>
      </c>
      <c r="J1663" s="211">
        <f>IFERROR(__xludf.DUMMYFUNCTION("""COMPUTED_VALUE"""),3.0)</f>
        <v>3</v>
      </c>
      <c r="K1663" s="210" t="str">
        <f>IFERROR(__xludf.DUMMYFUNCTION("""COMPUTED_VALUE"""),"1170 1198 11169")</f>
        <v>1170 1198 11169</v>
      </c>
      <c r="L1663" s="211">
        <f>IFERROR(__xludf.DUMMYFUNCTION("""COMPUTED_VALUE"""),0.0)</f>
        <v>0</v>
      </c>
      <c r="M1663" s="211"/>
      <c r="N1663" s="211"/>
      <c r="O1663" s="211"/>
      <c r="Q1663" s="210" t="str">
        <f>IFERROR(__xludf.DUMMYFUNCTION("""COMPUTED_VALUE"""),"112521662")</f>
        <v>112521662</v>
      </c>
      <c r="R1663" s="210" t="str">
        <f>IFERROR(__xludf.DUMMYFUNCTION("""COMPUTED_VALUE"""),"112521662")</f>
        <v>112521662</v>
      </c>
      <c r="S1663" s="211" t="str">
        <f>IFERROR(__xludf.DUMMYFUNCTION("""COMPUTED_VALUE"""),"ca4876e2")</f>
        <v>ca4876e2</v>
      </c>
      <c r="T1663" s="211" t="str">
        <f>IFERROR(__xludf.DUMMYFUNCTION("""COMPUTED_VALUE"""),"Bengkel Mustika Mojosari")</f>
        <v>Bengkel Mustika Mojosari</v>
      </c>
      <c r="U1663" s="215">
        <f>IFERROR(__xludf.DUMMYFUNCTION("""COMPUTED_VALUE"""),45971.38550925926)</f>
        <v>45971.38551</v>
      </c>
      <c r="V1663" s="211" t="str">
        <f>IFERROR(__xludf.DUMMYFUNCTION("""COMPUTED_VALUE"""),"Jl. Kusuma Bangsa, Bulanan, Randubango, Kec. Mojosari, Kabupaten Mojokerto, Jawa Timur 61382")</f>
        <v>Jl. Kusuma Bangsa, Bulanan, Randubango, Kec. Mojosari, Kabupaten Mojokerto, Jawa Timur 61382</v>
      </c>
      <c r="W1663" s="211" t="str">
        <f>IFERROR(__xludf.DUMMYFUNCTION("""COMPUTED_VALUE"""),"OUT")</f>
        <v>OUT</v>
      </c>
      <c r="X1663" s="211"/>
      <c r="AL1663" s="211"/>
      <c r="AM1663" s="211"/>
      <c r="AN1663" s="211"/>
      <c r="AO1663" s="211"/>
      <c r="AP1663" s="215"/>
      <c r="AQ1663" s="218"/>
      <c r="AR1663" s="211"/>
    </row>
    <row r="1664">
      <c r="A1664" s="210" t="str">
        <f>IFERROR(__xludf.DUMMYFUNCTION("""COMPUTED_VALUE"""),"1250548")</f>
        <v>1250548</v>
      </c>
      <c r="B1664" s="210" t="str">
        <f>IFERROR(__xludf.DUMMYFUNCTION("""COMPUTED_VALUE"""),"1250548")</f>
        <v>1250548</v>
      </c>
      <c r="C1664" s="213">
        <f>IFERROR(__xludf.DUMMYFUNCTION("""COMPUTED_VALUE"""),45901.664606481485)</f>
        <v>45901.66461</v>
      </c>
      <c r="D1664" s="211" t="str">
        <f>IFERROR(__xludf.DUMMYFUNCTION("""COMPUTED_VALUE"""),"ed2cc96a")</f>
        <v>ed2cc96a</v>
      </c>
      <c r="E1664" s="211" t="str">
        <f>IFERROR(__xludf.DUMMYFUNCTION("""COMPUTED_VALUE"""),"Bengkel Dian Jaya")</f>
        <v>Bengkel Dian Jaya</v>
      </c>
      <c r="F1664" s="211" t="str">
        <f>IFERROR(__xludf.DUMMYFUNCTION("""COMPUTED_VALUE"""),"8bdbe149")</f>
        <v>8bdbe149</v>
      </c>
      <c r="G1664" s="211" t="str">
        <f>IFERROR(__xludf.DUMMYFUNCTION("""COMPUTED_VALUE"""),"Oksigen 6m3")</f>
        <v>Oksigen 6m3</v>
      </c>
      <c r="H1664" s="211" t="str">
        <f>IFERROR(__xludf.DUMMYFUNCTION("""COMPUTED_VALUE"""),"IN")</f>
        <v>IN</v>
      </c>
      <c r="I1664" s="211" t="str">
        <f>IFERROR(__xludf.DUMMYFUNCTION("""COMPUTED_VALUE"""),"EMPTY")</f>
        <v>EMPTY</v>
      </c>
      <c r="J1664" s="211">
        <f>IFERROR(__xludf.DUMMYFUNCTION("""COMPUTED_VALUE"""),5.0)</f>
        <v>5</v>
      </c>
      <c r="K1664" s="210" t="str">
        <f>IFERROR(__xludf.DUMMYFUNCTION("""COMPUTED_VALUE"""),"1190 11122 1107 11276 11111")</f>
        <v>1190 11122 1107 11276 11111</v>
      </c>
      <c r="L1664" s="211">
        <f>IFERROR(__xludf.DUMMYFUNCTION("""COMPUTED_VALUE"""),0.0)</f>
        <v>0</v>
      </c>
      <c r="M1664" s="211"/>
      <c r="N1664" s="211"/>
      <c r="O1664" s="211"/>
      <c r="Q1664" s="210" t="str">
        <f>IFERROR(__xludf.DUMMYFUNCTION("""COMPUTED_VALUE"""),"1250772")</f>
        <v>1250772</v>
      </c>
      <c r="R1664" s="210" t="str">
        <f>IFERROR(__xludf.DUMMYFUNCTION("""COMPUTED_VALUE"""),"1250772")</f>
        <v>1250772</v>
      </c>
      <c r="S1664" s="211" t="str">
        <f>IFERROR(__xludf.DUMMYFUNCTION("""COMPUTED_VALUE"""),"4ec68cf6")</f>
        <v>4ec68cf6</v>
      </c>
      <c r="T1664" s="211" t="str">
        <f>IFERROR(__xludf.DUMMYFUNCTION("""COMPUTED_VALUE"""),"CV Sido Mukti Karya")</f>
        <v>CV Sido Mukti Karya</v>
      </c>
      <c r="U1664" s="215">
        <f>IFERROR(__xludf.DUMMYFUNCTION("""COMPUTED_VALUE"""),45971.389560185184)</f>
        <v>45971.38956</v>
      </c>
      <c r="V1664" s="211" t="str">
        <f>IFERROR(__xludf.DUMMYFUNCTION("""COMPUTED_VALUE"""),"Pergudangan Center Point no A3, Kemangsen")</f>
        <v>Pergudangan Center Point no A3, Kemangsen</v>
      </c>
      <c r="W1664" s="211" t="str">
        <f>IFERROR(__xludf.DUMMYFUNCTION("""COMPUTED_VALUE"""),"IN")</f>
        <v>IN</v>
      </c>
      <c r="X1664" s="211"/>
      <c r="AL1664" s="211"/>
      <c r="AM1664" s="211"/>
      <c r="AN1664" s="211"/>
      <c r="AO1664" s="211"/>
      <c r="AP1664" s="215"/>
      <c r="AQ1664" s="218"/>
      <c r="AR1664" s="211"/>
    </row>
    <row r="1665">
      <c r="A1665" s="210" t="str">
        <f>IFERROR(__xludf.DUMMYFUNCTION("""COMPUTED_VALUE"""),"07250554")</f>
        <v>07250554</v>
      </c>
      <c r="B1665" s="210" t="str">
        <f>IFERROR(__xludf.DUMMYFUNCTION("""COMPUTED_VALUE"""),"07250554")</f>
        <v>07250554</v>
      </c>
      <c r="C1665" s="213">
        <f>IFERROR(__xludf.DUMMYFUNCTION("""COMPUTED_VALUE"""),45840.51180555556)</f>
        <v>45840.51181</v>
      </c>
      <c r="D1665" s="211" t="str">
        <f>IFERROR(__xludf.DUMMYFUNCTION("""COMPUTED_VALUE"""),"182fb0fe")</f>
        <v>182fb0fe</v>
      </c>
      <c r="E1665" s="211" t="str">
        <f>IFERROR(__xludf.DUMMYFUNCTION("""COMPUTED_VALUE"""),"PT Amtech")</f>
        <v>PT Amtech</v>
      </c>
      <c r="F1665" s="211" t="str">
        <f>IFERROR(__xludf.DUMMYFUNCTION("""COMPUTED_VALUE"""),"f13ba52f")</f>
        <v>f13ba52f</v>
      </c>
      <c r="G1665" s="211" t="str">
        <f>IFERROR(__xludf.DUMMYFUNCTION("""COMPUTED_VALUE"""),"Ongkos Kirim (Non PPN)")</f>
        <v>Ongkos Kirim (Non PPN)</v>
      </c>
      <c r="H1665" s="211" t="str">
        <f>IFERROR(__xludf.DUMMYFUNCTION("""COMPUTED_VALUE"""),"OUT")</f>
        <v>OUT</v>
      </c>
      <c r="I1665" s="211" t="str">
        <f>IFERROR(__xludf.DUMMYFUNCTION("""COMPUTED_VALUE"""),"NORMAL")</f>
        <v>NORMAL</v>
      </c>
      <c r="J1665" s="211">
        <f>IFERROR(__xludf.DUMMYFUNCTION("""COMPUTED_VALUE"""),1.0)</f>
        <v>1</v>
      </c>
      <c r="K1665" s="211"/>
      <c r="L1665" s="211">
        <f>IFERROR(__xludf.DUMMYFUNCTION("""COMPUTED_VALUE"""),100000.0)</f>
        <v>100000</v>
      </c>
      <c r="M1665" s="211"/>
      <c r="N1665" s="211"/>
      <c r="O1665" s="211"/>
      <c r="Q1665" s="210" t="str">
        <f>IFERROR(__xludf.DUMMYFUNCTION("""COMPUTED_VALUE"""),"1250823")</f>
        <v>1250823</v>
      </c>
      <c r="R1665" s="210" t="str">
        <f>IFERROR(__xludf.DUMMYFUNCTION("""COMPUTED_VALUE"""),"1250823")</f>
        <v>1250823</v>
      </c>
      <c r="S1665" s="211" t="str">
        <f>IFERROR(__xludf.DUMMYFUNCTION("""COMPUTED_VALUE"""),"faf71ae5")</f>
        <v>faf71ae5</v>
      </c>
      <c r="T1665" s="211" t="str">
        <f>IFERROR(__xludf.DUMMYFUNCTION("""COMPUTED_VALUE"""),"Bpk. Sampurna")</f>
        <v>Bpk. Sampurna</v>
      </c>
      <c r="U1665" s="215">
        <f>IFERROR(__xludf.DUMMYFUNCTION("""COMPUTED_VALUE"""),45971.49912037037)</f>
        <v>45971.49912</v>
      </c>
      <c r="V1665" s="211" t="str">
        <f>IFERROR(__xludf.DUMMYFUNCTION("""COMPUTED_VALUE"""),"Jl. Bypass Krian KM.30 No.15, Kraton, Kec. Krian, Kabupaten Sidoarjo, Jawa Timur 61262")</f>
        <v>Jl. Bypass Krian KM.30 No.15, Kraton, Kec. Krian, Kabupaten Sidoarjo, Jawa Timur 61262</v>
      </c>
      <c r="W1665" s="211" t="str">
        <f>IFERROR(__xludf.DUMMYFUNCTION("""COMPUTED_VALUE"""),"IN")</f>
        <v>IN</v>
      </c>
      <c r="X1665" s="211"/>
      <c r="AL1665" s="211"/>
      <c r="AM1665" s="211"/>
      <c r="AN1665" s="211"/>
      <c r="AO1665" s="211"/>
      <c r="AP1665" s="215"/>
      <c r="AQ1665" s="218"/>
      <c r="AR1665" s="211"/>
    </row>
    <row r="1666">
      <c r="A1666" s="210" t="str">
        <f>IFERROR(__xludf.DUMMYFUNCTION("""COMPUTED_VALUE"""),"0825101094")</f>
        <v>0825101094</v>
      </c>
      <c r="B1666" s="210" t="str">
        <f>IFERROR(__xludf.DUMMYFUNCTION("""COMPUTED_VALUE"""),"0825101094")</f>
        <v>0825101094</v>
      </c>
      <c r="C1666" s="213">
        <f>IFERROR(__xludf.DUMMYFUNCTION("""COMPUTED_VALUE"""),45875.48800925926)</f>
        <v>45875.48801</v>
      </c>
      <c r="D1666" s="211" t="str">
        <f>IFERROR(__xludf.DUMMYFUNCTION("""COMPUTED_VALUE"""),"182fb0fe")</f>
        <v>182fb0fe</v>
      </c>
      <c r="E1666" s="211" t="str">
        <f>IFERROR(__xludf.DUMMYFUNCTION("""COMPUTED_VALUE"""),"PT Amtech")</f>
        <v>PT Amtech</v>
      </c>
      <c r="F1666" s="211" t="str">
        <f>IFERROR(__xludf.DUMMYFUNCTION("""COMPUTED_VALUE"""),"f13ba52f")</f>
        <v>f13ba52f</v>
      </c>
      <c r="G1666" s="211" t="str">
        <f>IFERROR(__xludf.DUMMYFUNCTION("""COMPUTED_VALUE"""),"Ongkos Kirim (Non PPN)")</f>
        <v>Ongkos Kirim (Non PPN)</v>
      </c>
      <c r="H1666" s="211" t="str">
        <f>IFERROR(__xludf.DUMMYFUNCTION("""COMPUTED_VALUE"""),"OUT")</f>
        <v>OUT</v>
      </c>
      <c r="I1666" s="211" t="str">
        <f>IFERROR(__xludf.DUMMYFUNCTION("""COMPUTED_VALUE"""),"NORMAL")</f>
        <v>NORMAL</v>
      </c>
      <c r="J1666" s="211">
        <f>IFERROR(__xludf.DUMMYFUNCTION("""COMPUTED_VALUE"""),1.0)</f>
        <v>1</v>
      </c>
      <c r="K1666" s="211"/>
      <c r="L1666" s="211">
        <f>IFERROR(__xludf.DUMMYFUNCTION("""COMPUTED_VALUE"""),100000.0)</f>
        <v>100000</v>
      </c>
      <c r="M1666" s="211"/>
      <c r="N1666" s="211"/>
      <c r="O1666" s="211"/>
      <c r="Q1666" s="210" t="str">
        <f>IFERROR(__xludf.DUMMYFUNCTION("""COMPUTED_VALUE"""),"1125191664")</f>
        <v>1125191664</v>
      </c>
      <c r="R1666" s="210" t="str">
        <f>IFERROR(__xludf.DUMMYFUNCTION("""COMPUTED_VALUE"""),"1125191664")</f>
        <v>1125191664</v>
      </c>
      <c r="S1666" s="211" t="str">
        <f>IFERROR(__xludf.DUMMYFUNCTION("""COMPUTED_VALUE"""),"e968afef")</f>
        <v>e968afef</v>
      </c>
      <c r="T1666" s="211" t="str">
        <f>IFERROR(__xludf.DUMMYFUNCTION("""COMPUTED_VALUE"""),"Bpk. Agus")</f>
        <v>Bpk. Agus</v>
      </c>
      <c r="U1666" s="215">
        <f>IFERROR(__xludf.DUMMYFUNCTION("""COMPUTED_VALUE"""),45971.50270833333)</f>
        <v>45971.50271</v>
      </c>
      <c r="V1666" s="211" t="str">
        <f>IFERROR(__xludf.DUMMYFUNCTION("""COMPUTED_VALUE"""),"Jl. Parengan 13, Semawut, Balongbendo, Kec. BalongBendo, Kabupaten Sidoarjo, Jawa Timur 61263")</f>
        <v>Jl. Parengan 13, Semawut, Balongbendo, Kec. BalongBendo, Kabupaten Sidoarjo, Jawa Timur 61263</v>
      </c>
      <c r="W1666" s="211" t="str">
        <f>IFERROR(__xludf.DUMMYFUNCTION("""COMPUTED_VALUE"""),"OUT")</f>
        <v>OUT</v>
      </c>
      <c r="X1666" s="211"/>
      <c r="AL1666" s="211"/>
      <c r="AM1666" s="211"/>
      <c r="AN1666" s="211"/>
      <c r="AO1666" s="211"/>
      <c r="AP1666" s="215"/>
      <c r="AQ1666" s="218"/>
      <c r="AR1666" s="211"/>
    </row>
    <row r="1667">
      <c r="A1667" s="210" t="str">
        <f>IFERROR(__xludf.DUMMYFUNCTION("""COMPUTED_VALUE"""),"0825101138")</f>
        <v>0825101138</v>
      </c>
      <c r="B1667" s="210" t="str">
        <f>IFERROR(__xludf.DUMMYFUNCTION("""COMPUTED_VALUE"""),"0825101138")</f>
        <v>0825101138</v>
      </c>
      <c r="C1667" s="213">
        <f>IFERROR(__xludf.DUMMYFUNCTION("""COMPUTED_VALUE"""),45888.363287037035)</f>
        <v>45888.36329</v>
      </c>
      <c r="D1667" s="211" t="str">
        <f>IFERROR(__xludf.DUMMYFUNCTION("""COMPUTED_VALUE"""),"182fb0fe")</f>
        <v>182fb0fe</v>
      </c>
      <c r="E1667" s="211" t="str">
        <f>IFERROR(__xludf.DUMMYFUNCTION("""COMPUTED_VALUE"""),"PT Amtech")</f>
        <v>PT Amtech</v>
      </c>
      <c r="F1667" s="211" t="str">
        <f>IFERROR(__xludf.DUMMYFUNCTION("""COMPUTED_VALUE"""),"f13ba52f")</f>
        <v>f13ba52f</v>
      </c>
      <c r="G1667" s="211" t="str">
        <f>IFERROR(__xludf.DUMMYFUNCTION("""COMPUTED_VALUE"""),"Ongkos Kirim (Non PPN)")</f>
        <v>Ongkos Kirim (Non PPN)</v>
      </c>
      <c r="H1667" s="211" t="str">
        <f>IFERROR(__xludf.DUMMYFUNCTION("""COMPUTED_VALUE"""),"OUT")</f>
        <v>OUT</v>
      </c>
      <c r="I1667" s="211" t="str">
        <f>IFERROR(__xludf.DUMMYFUNCTION("""COMPUTED_VALUE"""),"NORMAL")</f>
        <v>NORMAL</v>
      </c>
      <c r="J1667" s="211">
        <f>IFERROR(__xludf.DUMMYFUNCTION("""COMPUTED_VALUE"""),1.0)</f>
        <v>1</v>
      </c>
      <c r="K1667" s="211"/>
      <c r="L1667" s="211">
        <f>IFERROR(__xludf.DUMMYFUNCTION("""COMPUTED_VALUE"""),100000.0)</f>
        <v>100000</v>
      </c>
      <c r="M1667" s="211"/>
      <c r="N1667" s="211"/>
      <c r="O1667" s="211"/>
      <c r="Q1667" s="210" t="str">
        <f>IFERROR(__xludf.DUMMYFUNCTION("""COMPUTED_VALUE"""),"1250824")</f>
        <v>1250824</v>
      </c>
      <c r="R1667" s="210" t="str">
        <f>IFERROR(__xludf.DUMMYFUNCTION("""COMPUTED_VALUE"""),"1250824")</f>
        <v>1250824</v>
      </c>
      <c r="S1667" s="211" t="str">
        <f>IFERROR(__xludf.DUMMYFUNCTION("""COMPUTED_VALUE"""),"e968afef")</f>
        <v>e968afef</v>
      </c>
      <c r="T1667" s="211" t="str">
        <f>IFERROR(__xludf.DUMMYFUNCTION("""COMPUTED_VALUE"""),"Bpk. Agus")</f>
        <v>Bpk. Agus</v>
      </c>
      <c r="U1667" s="215">
        <f>IFERROR(__xludf.DUMMYFUNCTION("""COMPUTED_VALUE"""),45971.58252314815)</f>
        <v>45971.58252</v>
      </c>
      <c r="V1667" s="211" t="str">
        <f>IFERROR(__xludf.DUMMYFUNCTION("""COMPUTED_VALUE"""),"Jl. Parengan 13, Semawut, Balongbendo, Kec. BalongBendo, Kabupaten Sidoarjo, Jawa Timur 61263")</f>
        <v>Jl. Parengan 13, Semawut, Balongbendo, Kec. BalongBendo, Kabupaten Sidoarjo, Jawa Timur 61263</v>
      </c>
      <c r="W1667" s="211" t="str">
        <f>IFERROR(__xludf.DUMMYFUNCTION("""COMPUTED_VALUE"""),"IN")</f>
        <v>IN</v>
      </c>
      <c r="X1667" s="211"/>
      <c r="AL1667" s="211"/>
      <c r="AM1667" s="211"/>
      <c r="AN1667" s="211"/>
      <c r="AO1667" s="211"/>
      <c r="AP1667" s="215"/>
      <c r="AQ1667" s="218"/>
      <c r="AR1667" s="211"/>
    </row>
    <row r="1668">
      <c r="A1668" s="210" t="str">
        <f>IFERROR(__xludf.DUMMYFUNCTION("""COMPUTED_VALUE"""),"0825111183")</f>
        <v>0825111183</v>
      </c>
      <c r="B1668" s="210" t="str">
        <f>IFERROR(__xludf.DUMMYFUNCTION("""COMPUTED_VALUE"""),"0825111183")</f>
        <v>0825111183</v>
      </c>
      <c r="C1668" s="213">
        <f>IFERROR(__xludf.DUMMYFUNCTION("""COMPUTED_VALUE"""),45897.46325231482)</f>
        <v>45897.46325</v>
      </c>
      <c r="D1668" s="211" t="str">
        <f>IFERROR(__xludf.DUMMYFUNCTION("""COMPUTED_VALUE"""),"182fb0fe")</f>
        <v>182fb0fe</v>
      </c>
      <c r="E1668" s="211" t="str">
        <f>IFERROR(__xludf.DUMMYFUNCTION("""COMPUTED_VALUE"""),"PT Amtech")</f>
        <v>PT Amtech</v>
      </c>
      <c r="F1668" s="211" t="str">
        <f>IFERROR(__xludf.DUMMYFUNCTION("""COMPUTED_VALUE"""),"f13ba52f")</f>
        <v>f13ba52f</v>
      </c>
      <c r="G1668" s="211" t="str">
        <f>IFERROR(__xludf.DUMMYFUNCTION("""COMPUTED_VALUE"""),"Ongkos Kirim (Non PPN)")</f>
        <v>Ongkos Kirim (Non PPN)</v>
      </c>
      <c r="H1668" s="211" t="str">
        <f>IFERROR(__xludf.DUMMYFUNCTION("""COMPUTED_VALUE"""),"OUT")</f>
        <v>OUT</v>
      </c>
      <c r="I1668" s="211" t="str">
        <f>IFERROR(__xludf.DUMMYFUNCTION("""COMPUTED_VALUE"""),"NORMAL")</f>
        <v>NORMAL</v>
      </c>
      <c r="J1668" s="211">
        <f>IFERROR(__xludf.DUMMYFUNCTION("""COMPUTED_VALUE"""),1.0)</f>
        <v>1</v>
      </c>
      <c r="K1668" s="211"/>
      <c r="L1668" s="211">
        <f>IFERROR(__xludf.DUMMYFUNCTION("""COMPUTED_VALUE"""),100000.0)</f>
        <v>100000</v>
      </c>
      <c r="M1668" s="211"/>
      <c r="N1668" s="211"/>
      <c r="O1668" s="211"/>
      <c r="Q1668" s="210" t="str">
        <f>IFERROR(__xludf.DUMMYFUNCTION("""COMPUTED_VALUE"""),"112581667")</f>
        <v>112581667</v>
      </c>
      <c r="R1668" s="210" t="str">
        <f>IFERROR(__xludf.DUMMYFUNCTION("""COMPUTED_VALUE"""),"112581667")</f>
        <v>112581667</v>
      </c>
      <c r="S1668" s="211" t="str">
        <f>IFERROR(__xludf.DUMMYFUNCTION("""COMPUTED_VALUE"""),"8ea74d81")</f>
        <v>8ea74d81</v>
      </c>
      <c r="T1668" s="211" t="str">
        <f>IFERROR(__xludf.DUMMYFUNCTION("""COMPUTED_VALUE"""),"Bengkel Adi Putra")</f>
        <v>Bengkel Adi Putra</v>
      </c>
      <c r="U1668" s="215">
        <f>IFERROR(__xludf.DUMMYFUNCTION("""COMPUTED_VALUE"""),45971.58299768518)</f>
        <v>45971.583</v>
      </c>
      <c r="V1668" s="211" t="str">
        <f>IFERROR(__xludf.DUMMYFUNCTION("""COMPUTED_VALUE"""),"Bypass Balongbendo")</f>
        <v>Bypass Balongbendo</v>
      </c>
      <c r="W1668" s="211" t="str">
        <f>IFERROR(__xludf.DUMMYFUNCTION("""COMPUTED_VALUE"""),"OUT")</f>
        <v>OUT</v>
      </c>
      <c r="X1668" s="211"/>
      <c r="AL1668" s="211"/>
      <c r="AM1668" s="211"/>
      <c r="AN1668" s="211"/>
      <c r="AO1668" s="211"/>
      <c r="AP1668" s="215"/>
      <c r="AQ1668" s="218"/>
      <c r="AR1668" s="211"/>
    </row>
    <row r="1669">
      <c r="A1669" s="210" t="str">
        <f>IFERROR(__xludf.DUMMYFUNCTION("""COMPUTED_VALUE"""),"0925351206")</f>
        <v>0925351206</v>
      </c>
      <c r="B1669" s="210" t="str">
        <f>IFERROR(__xludf.DUMMYFUNCTION("""COMPUTED_VALUE"""),"0925351206")</f>
        <v>0925351206</v>
      </c>
      <c r="C1669" s="213">
        <f>IFERROR(__xludf.DUMMYFUNCTION("""COMPUTED_VALUE"""),45902.384305555555)</f>
        <v>45902.38431</v>
      </c>
      <c r="D1669" s="211" t="str">
        <f>IFERROR(__xludf.DUMMYFUNCTION("""COMPUTED_VALUE"""),"785e0e07")</f>
        <v>785e0e07</v>
      </c>
      <c r="E1669" s="211" t="str">
        <f>IFERROR(__xludf.DUMMYFUNCTION("""COMPUTED_VALUE"""),"Bpk. Sukirno (Bejo)")</f>
        <v>Bpk. Sukirno (Bejo)</v>
      </c>
      <c r="F1669" s="211" t="str">
        <f>IFERROR(__xludf.DUMMYFUNCTION("""COMPUTED_VALUE"""),"8bdbe149")</f>
        <v>8bdbe149</v>
      </c>
      <c r="G1669" s="211" t="str">
        <f>IFERROR(__xludf.DUMMYFUNCTION("""COMPUTED_VALUE"""),"Oksigen 6m3")</f>
        <v>Oksigen 6m3</v>
      </c>
      <c r="H1669" s="211" t="str">
        <f>IFERROR(__xludf.DUMMYFUNCTION("""COMPUTED_VALUE"""),"OUT")</f>
        <v>OUT</v>
      </c>
      <c r="I1669" s="211" t="str">
        <f>IFERROR(__xludf.DUMMYFUNCTION("""COMPUTED_VALUE"""),"NORMAL")</f>
        <v>NORMAL</v>
      </c>
      <c r="J1669" s="211">
        <f>IFERROR(__xludf.DUMMYFUNCTION("""COMPUTED_VALUE"""),10.0)</f>
        <v>10</v>
      </c>
      <c r="K1669" s="210" t="str">
        <f>IFERROR(__xludf.DUMMYFUNCTION("""COMPUTED_VALUE"""),"11164 11122 11276 11174 11148 11111 1170 11169 1190 1198")</f>
        <v>11164 11122 11276 11174 11148 11111 1170 11169 1190 1198</v>
      </c>
      <c r="L1669" s="211">
        <f>IFERROR(__xludf.DUMMYFUNCTION("""COMPUTED_VALUE"""),60000.0)</f>
        <v>60000</v>
      </c>
      <c r="M1669" s="211"/>
      <c r="N1669" s="211"/>
      <c r="O1669" s="211"/>
      <c r="Q1669" s="210" t="str">
        <f>IFERROR(__xludf.DUMMYFUNCTION("""COMPUTED_VALUE"""),"1125671669")</f>
        <v>1125671669</v>
      </c>
      <c r="R1669" s="210" t="str">
        <f>IFERROR(__xludf.DUMMYFUNCTION("""COMPUTED_VALUE"""),"1125671669")</f>
        <v>1125671669</v>
      </c>
      <c r="S1669" s="211" t="str">
        <f>IFERROR(__xludf.DUMMYFUNCTION("""COMPUTED_VALUE"""),"e86baf3b")</f>
        <v>e86baf3b</v>
      </c>
      <c r="T1669" s="211" t="str">
        <f>IFERROR(__xludf.DUMMYFUNCTION("""COMPUTED_VALUE"""),"PT GEMILANG CIPTA WAWASAN")</f>
        <v>PT GEMILANG CIPTA WAWASAN</v>
      </c>
      <c r="U1669" s="215">
        <f>IFERROR(__xludf.DUMMYFUNCTION("""COMPUTED_VALUE"""),45971.583449074074)</f>
        <v>45971.58345</v>
      </c>
      <c r="V1669" s="211" t="str">
        <f>IFERROR(__xludf.DUMMYFUNCTION("""COMPUTED_VALUE"""),"JL TEBET RAYA, 2A, TEBET BARAT, TEBET, KOTA ADM, JAKARTA SELATAN, DKI JAKARTA")</f>
        <v>JL TEBET RAYA, 2A, TEBET BARAT, TEBET, KOTA ADM, JAKARTA SELATAN, DKI JAKARTA</v>
      </c>
      <c r="W1669" s="211" t="str">
        <f>IFERROR(__xludf.DUMMYFUNCTION("""COMPUTED_VALUE"""),"OUT")</f>
        <v>OUT</v>
      </c>
      <c r="X1669" s="211"/>
      <c r="AL1669" s="211"/>
      <c r="AM1669" s="211"/>
      <c r="AN1669" s="211"/>
      <c r="AO1669" s="211"/>
      <c r="AP1669" s="215"/>
      <c r="AQ1669" s="218"/>
      <c r="AR1669" s="211"/>
    </row>
    <row r="1670">
      <c r="A1670" s="210" t="str">
        <f>IFERROR(__xludf.DUMMYFUNCTION("""COMPUTED_VALUE"""),"0925171212")</f>
        <v>0925171212</v>
      </c>
      <c r="B1670" s="210" t="str">
        <f>IFERROR(__xludf.DUMMYFUNCTION("""COMPUTED_VALUE"""),"0925171212")</f>
        <v>0925171212</v>
      </c>
      <c r="C1670" s="213">
        <f>IFERROR(__xludf.DUMMYFUNCTION("""COMPUTED_VALUE"""),45902.38717592593)</f>
        <v>45902.38718</v>
      </c>
      <c r="D1670" s="211" t="str">
        <f>IFERROR(__xludf.DUMMYFUNCTION("""COMPUTED_VALUE"""),"ec231cc9")</f>
        <v>ec231cc9</v>
      </c>
      <c r="E1670" s="211" t="str">
        <f>IFERROR(__xludf.DUMMYFUNCTION("""COMPUTED_VALUE"""),"Bpk. Kohir (Maintenance Velg)")</f>
        <v>Bpk. Kohir (Maintenance Velg)</v>
      </c>
      <c r="F1670" s="211" t="str">
        <f>IFERROR(__xludf.DUMMYFUNCTION("""COMPUTED_VALUE"""),"8bdbe149")</f>
        <v>8bdbe149</v>
      </c>
      <c r="G1670" s="211" t="str">
        <f>IFERROR(__xludf.DUMMYFUNCTION("""COMPUTED_VALUE"""),"Oksigen 6m3")</f>
        <v>Oksigen 6m3</v>
      </c>
      <c r="H1670" s="211" t="str">
        <f>IFERROR(__xludf.DUMMYFUNCTION("""COMPUTED_VALUE"""),"OUT")</f>
        <v>OUT</v>
      </c>
      <c r="I1670" s="211" t="str">
        <f>IFERROR(__xludf.DUMMYFUNCTION("""COMPUTED_VALUE"""),"NORMAL")</f>
        <v>NORMAL</v>
      </c>
      <c r="J1670" s="211">
        <f>IFERROR(__xludf.DUMMYFUNCTION("""COMPUTED_VALUE"""),4.0)</f>
        <v>4</v>
      </c>
      <c r="K1670" s="210" t="str">
        <f>IFERROR(__xludf.DUMMYFUNCTION("""COMPUTED_VALUE"""),"1107 11193 1169 11180")</f>
        <v>1107 11193 1169 11180</v>
      </c>
      <c r="L1670" s="211">
        <f>IFERROR(__xludf.DUMMYFUNCTION("""COMPUTED_VALUE"""),55000.0)</f>
        <v>55000</v>
      </c>
      <c r="M1670" s="211"/>
      <c r="N1670" s="211"/>
      <c r="O1670" s="211"/>
      <c r="Q1670" s="210" t="str">
        <f>IFERROR(__xludf.DUMMYFUNCTION("""COMPUTED_VALUE"""),"1250773")</f>
        <v>1250773</v>
      </c>
      <c r="R1670" s="210" t="str">
        <f>IFERROR(__xludf.DUMMYFUNCTION("""COMPUTED_VALUE"""),"1250773")</f>
        <v>1250773</v>
      </c>
      <c r="S1670" s="211" t="str">
        <f>IFERROR(__xludf.DUMMYFUNCTION("""COMPUTED_VALUE"""),"b2b5f2c5")</f>
        <v>b2b5f2c5</v>
      </c>
      <c r="T1670" s="211" t="str">
        <f>IFERROR(__xludf.DUMMYFUNCTION("""COMPUTED_VALUE"""),"Bengkel Las Bpk. Ari")</f>
        <v>Bengkel Las Bpk. Ari</v>
      </c>
      <c r="U1670" s="215">
        <f>IFERROR(__xludf.DUMMYFUNCTION("""COMPUTED_VALUE"""),45971.59909722222)</f>
        <v>45971.5991</v>
      </c>
      <c r="V1670" s="211" t="str">
        <f>IFERROR(__xludf.DUMMYFUNCTION("""COMPUTED_VALUE"""),"Sumber Kembar, Wonodadi, Kec. Kutorejo, Kabupaten Mojokerto, Jawa Timur")</f>
        <v>Sumber Kembar, Wonodadi, Kec. Kutorejo, Kabupaten Mojokerto, Jawa Timur</v>
      </c>
      <c r="W1670" s="211" t="str">
        <f>IFERROR(__xludf.DUMMYFUNCTION("""COMPUTED_VALUE"""),"IN")</f>
        <v>IN</v>
      </c>
      <c r="X1670" s="211"/>
      <c r="AL1670" s="211"/>
      <c r="AM1670" s="211"/>
      <c r="AN1670" s="211"/>
      <c r="AO1670" s="211"/>
      <c r="AP1670" s="215"/>
      <c r="AQ1670" s="218"/>
      <c r="AR1670" s="211"/>
    </row>
    <row r="1671">
      <c r="A1671" s="210" t="str">
        <f>IFERROR(__xludf.DUMMYFUNCTION("""COMPUTED_VALUE"""),"0925171212")</f>
        <v>0925171212</v>
      </c>
      <c r="B1671" s="210" t="str">
        <f>IFERROR(__xludf.DUMMYFUNCTION("""COMPUTED_VALUE"""),"0925171212")</f>
        <v>0925171212</v>
      </c>
      <c r="C1671" s="213">
        <f>IFERROR(__xludf.DUMMYFUNCTION("""COMPUTED_VALUE"""),45902.38717592593)</f>
        <v>45902.38718</v>
      </c>
      <c r="D1671" s="211" t="str">
        <f>IFERROR(__xludf.DUMMYFUNCTION("""COMPUTED_VALUE"""),"ec231cc9")</f>
        <v>ec231cc9</v>
      </c>
      <c r="E1671" s="211" t="str">
        <f>IFERROR(__xludf.DUMMYFUNCTION("""COMPUTED_VALUE"""),"Bpk. Kohir (Maintenance Velg)")</f>
        <v>Bpk. Kohir (Maintenance Velg)</v>
      </c>
      <c r="F1671" s="211" t="str">
        <f>IFERROR(__xludf.DUMMYFUNCTION("""COMPUTED_VALUE"""),"ef306e54")</f>
        <v>ef306e54</v>
      </c>
      <c r="G1671" s="211" t="str">
        <f>IFERROR(__xludf.DUMMYFUNCTION("""COMPUTED_VALUE"""),"Karbondioksida")</f>
        <v>Karbondioksida</v>
      </c>
      <c r="H1671" s="211" t="str">
        <f>IFERROR(__xludf.DUMMYFUNCTION("""COMPUTED_VALUE"""),"OUT")</f>
        <v>OUT</v>
      </c>
      <c r="I1671" s="211" t="str">
        <f>IFERROR(__xludf.DUMMYFUNCTION("""COMPUTED_VALUE"""),"NORMAL")</f>
        <v>NORMAL</v>
      </c>
      <c r="J1671" s="211">
        <f>IFERROR(__xludf.DUMMYFUNCTION("""COMPUTED_VALUE"""),1.0)</f>
        <v>1</v>
      </c>
      <c r="K1671" s="210" t="str">
        <f>IFERROR(__xludf.DUMMYFUNCTION("""COMPUTED_VALUE"""),"13034")</f>
        <v>13034</v>
      </c>
      <c r="L1671" s="211">
        <f>IFERROR(__xludf.DUMMYFUNCTION("""COMPUTED_VALUE"""),165000.0)</f>
        <v>165000</v>
      </c>
      <c r="M1671" s="211"/>
      <c r="N1671" s="211"/>
      <c r="O1671" s="211"/>
      <c r="Q1671" s="210" t="str">
        <f>IFERROR(__xludf.DUMMYFUNCTION("""COMPUTED_VALUE"""),"1250779")</f>
        <v>1250779</v>
      </c>
      <c r="R1671" s="210" t="str">
        <f>IFERROR(__xludf.DUMMYFUNCTION("""COMPUTED_VALUE"""),"1250779")</f>
        <v>1250779</v>
      </c>
      <c r="S1671" s="211" t="str">
        <f>IFERROR(__xludf.DUMMYFUNCTION("""COMPUTED_VALUE"""),"e86baf3b")</f>
        <v>e86baf3b</v>
      </c>
      <c r="T1671" s="211" t="str">
        <f>IFERROR(__xludf.DUMMYFUNCTION("""COMPUTED_VALUE"""),"PT GEMILANG CIPTA WAWASAN")</f>
        <v>PT GEMILANG CIPTA WAWASAN</v>
      </c>
      <c r="U1671" s="215">
        <f>IFERROR(__xludf.DUMMYFUNCTION("""COMPUTED_VALUE"""),45971.664930555555)</f>
        <v>45971.66493</v>
      </c>
      <c r="V1671" s="211" t="str">
        <f>IFERROR(__xludf.DUMMYFUNCTION("""COMPUTED_VALUE"""),"JL TEBET RAYA, 2A, TEBET BARAT, TEBET, KOTA ADM, JAKARTA SELATAN, DKI JAKARTA")</f>
        <v>JL TEBET RAYA, 2A, TEBET BARAT, TEBET, KOTA ADM, JAKARTA SELATAN, DKI JAKARTA</v>
      </c>
      <c r="W1671" s="211" t="str">
        <f>IFERROR(__xludf.DUMMYFUNCTION("""COMPUTED_VALUE"""),"IN")</f>
        <v>IN</v>
      </c>
      <c r="X1671" s="211"/>
      <c r="AL1671" s="211"/>
      <c r="AM1671" s="211"/>
      <c r="AN1671" s="211"/>
      <c r="AO1671" s="211"/>
      <c r="AP1671" s="215"/>
      <c r="AQ1671" s="218"/>
      <c r="AR1671" s="211"/>
    </row>
    <row r="1672">
      <c r="A1672" s="210" t="str">
        <f>IFERROR(__xludf.DUMMYFUNCTION("""COMPUTED_VALUE"""),"0925451213")</f>
        <v>0925451213</v>
      </c>
      <c r="B1672" s="210" t="str">
        <f>IFERROR(__xludf.DUMMYFUNCTION("""COMPUTED_VALUE"""),"0925451213")</f>
        <v>0925451213</v>
      </c>
      <c r="C1672" s="213">
        <f>IFERROR(__xludf.DUMMYFUNCTION("""COMPUTED_VALUE"""),45902.658217592594)</f>
        <v>45902.65822</v>
      </c>
      <c r="D1672" s="211" t="str">
        <f>IFERROR(__xludf.DUMMYFUNCTION("""COMPUTED_VALUE"""),"e86baf3b")</f>
        <v>e86baf3b</v>
      </c>
      <c r="E1672" s="211" t="str">
        <f>IFERROR(__xludf.DUMMYFUNCTION("""COMPUTED_VALUE"""),"PT GEMILANG CIPTA WAWASAN")</f>
        <v>PT GEMILANG CIPTA WAWASAN</v>
      </c>
      <c r="F1672" s="211" t="str">
        <f>IFERROR(__xludf.DUMMYFUNCTION("""COMPUTED_VALUE"""),"66af7c72")</f>
        <v>66af7c72</v>
      </c>
      <c r="G1672" s="211" t="str">
        <f>IFERROR(__xludf.DUMMYFUNCTION("""COMPUTED_VALUE"""),"Argon 6m3")</f>
        <v>Argon 6m3</v>
      </c>
      <c r="H1672" s="211" t="str">
        <f>IFERROR(__xludf.DUMMYFUNCTION("""COMPUTED_VALUE"""),"OUT")</f>
        <v>OUT</v>
      </c>
      <c r="I1672" s="211" t="str">
        <f>IFERROR(__xludf.DUMMYFUNCTION("""COMPUTED_VALUE"""),"NORMAL")</f>
        <v>NORMAL</v>
      </c>
      <c r="J1672" s="211">
        <f>IFERROR(__xludf.DUMMYFUNCTION("""COMPUTED_VALUE"""),3.0)</f>
        <v>3</v>
      </c>
      <c r="K1672" s="210" t="str">
        <f>IFERROR(__xludf.DUMMYFUNCTION("""COMPUTED_VALUE"""),"12065 12062 12066")</f>
        <v>12065 12062 12066</v>
      </c>
      <c r="L1672" s="211">
        <f>IFERROR(__xludf.DUMMYFUNCTION("""COMPUTED_VALUE"""),185000.0)</f>
        <v>185000</v>
      </c>
      <c r="M1672" s="211"/>
      <c r="N1672" s="211"/>
      <c r="O1672" s="211"/>
      <c r="Q1672" s="210" t="str">
        <f>IFERROR(__xludf.DUMMYFUNCTION("""COMPUTED_VALUE"""),"1125371670")</f>
        <v>1125371670</v>
      </c>
      <c r="R1672" s="210" t="str">
        <f>IFERROR(__xludf.DUMMYFUNCTION("""COMPUTED_VALUE"""),"1125371670")</f>
        <v>1125371670</v>
      </c>
      <c r="S1672" s="211" t="str">
        <f>IFERROR(__xludf.DUMMYFUNCTION("""COMPUTED_VALUE"""),"b2b5f2c5")</f>
        <v>b2b5f2c5</v>
      </c>
      <c r="T1672" s="211" t="str">
        <f>IFERROR(__xludf.DUMMYFUNCTION("""COMPUTED_VALUE"""),"Bengkel Las Bpk. Ari")</f>
        <v>Bengkel Las Bpk. Ari</v>
      </c>
      <c r="U1672" s="215">
        <f>IFERROR(__xludf.DUMMYFUNCTION("""COMPUTED_VALUE"""),45972.34324074074)</f>
        <v>45972.34324</v>
      </c>
      <c r="V1672" s="211" t="str">
        <f>IFERROR(__xludf.DUMMYFUNCTION("""COMPUTED_VALUE"""),"Sumber Kembar, Wonodadi, Kec. Kutorejo, Kabupaten Mojokerto, Jawa Timur")</f>
        <v>Sumber Kembar, Wonodadi, Kec. Kutorejo, Kabupaten Mojokerto, Jawa Timur</v>
      </c>
      <c r="W1672" s="211" t="str">
        <f>IFERROR(__xludf.DUMMYFUNCTION("""COMPUTED_VALUE"""),"OUT")</f>
        <v>OUT</v>
      </c>
      <c r="X1672" s="211"/>
      <c r="AL1672" s="211"/>
      <c r="AM1672" s="211"/>
      <c r="AN1672" s="211"/>
      <c r="AO1672" s="211"/>
      <c r="AP1672" s="215"/>
      <c r="AQ1672" s="218"/>
      <c r="AR1672" s="211"/>
    </row>
    <row r="1673">
      <c r="A1673" s="210" t="str">
        <f>IFERROR(__xludf.DUMMYFUNCTION("""COMPUTED_VALUE"""),"0925451213")</f>
        <v>0925451213</v>
      </c>
      <c r="B1673" s="210" t="str">
        <f>IFERROR(__xludf.DUMMYFUNCTION("""COMPUTED_VALUE"""),"0925451213")</f>
        <v>0925451213</v>
      </c>
      <c r="C1673" s="213">
        <f>IFERROR(__xludf.DUMMYFUNCTION("""COMPUTED_VALUE"""),45902.658217592594)</f>
        <v>45902.65822</v>
      </c>
      <c r="D1673" s="211" t="str">
        <f>IFERROR(__xludf.DUMMYFUNCTION("""COMPUTED_VALUE"""),"e86baf3b")</f>
        <v>e86baf3b</v>
      </c>
      <c r="E1673" s="211" t="str">
        <f>IFERROR(__xludf.DUMMYFUNCTION("""COMPUTED_VALUE"""),"PT GEMILANG CIPTA WAWASAN")</f>
        <v>PT GEMILANG CIPTA WAWASAN</v>
      </c>
      <c r="F1673" s="211" t="str">
        <f>IFERROR(__xludf.DUMMYFUNCTION("""COMPUTED_VALUE"""),"be525f3b")</f>
        <v>be525f3b</v>
      </c>
      <c r="G1673" s="211" t="str">
        <f>IFERROR(__xludf.DUMMYFUNCTION("""COMPUTED_VALUE"""),"LPG 12kg")</f>
        <v>LPG 12kg</v>
      </c>
      <c r="H1673" s="211" t="str">
        <f>IFERROR(__xludf.DUMMYFUNCTION("""COMPUTED_VALUE"""),"OUT")</f>
        <v>OUT</v>
      </c>
      <c r="I1673" s="211" t="str">
        <f>IFERROR(__xludf.DUMMYFUNCTION("""COMPUTED_VALUE"""),"NORMAL")</f>
        <v>NORMAL</v>
      </c>
      <c r="J1673" s="211">
        <f>IFERROR(__xludf.DUMMYFUNCTION("""COMPUTED_VALUE"""),5.0)</f>
        <v>5</v>
      </c>
      <c r="K1673" s="210" t="str">
        <f>IFERROR(__xludf.DUMMYFUNCTION("""COMPUTED_VALUE"""),"01 02 03 04 05")</f>
        <v>01 02 03 04 05</v>
      </c>
      <c r="L1673" s="211">
        <f>IFERROR(__xludf.DUMMYFUNCTION("""COMPUTED_VALUE"""),210000.0)</f>
        <v>210000</v>
      </c>
      <c r="M1673" s="211"/>
      <c r="N1673" s="211"/>
      <c r="O1673" s="211"/>
      <c r="Q1673" s="210" t="str">
        <f>IFERROR(__xludf.DUMMYFUNCTION("""COMPUTED_VALUE"""),"112551673")</f>
        <v>112551673</v>
      </c>
      <c r="R1673" s="210" t="str">
        <f>IFERROR(__xludf.DUMMYFUNCTION("""COMPUTED_VALUE"""),"112551673")</f>
        <v>112551673</v>
      </c>
      <c r="S1673" s="211" t="str">
        <f>IFERROR(__xludf.DUMMYFUNCTION("""COMPUTED_VALUE"""),"b0735da4")</f>
        <v>b0735da4</v>
      </c>
      <c r="T1673" s="211" t="str">
        <f>IFERROR(__xludf.DUMMYFUNCTION("""COMPUTED_VALUE"""),"Bpk. Amer Ciro")</f>
        <v>Bpk. Amer Ciro</v>
      </c>
      <c r="U1673" s="215">
        <f>IFERROR(__xludf.DUMMYFUNCTION("""COMPUTED_VALUE"""),45972.34755787037)</f>
        <v>45972.34756</v>
      </c>
      <c r="V1673" s="211" t="str">
        <f>IFERROR(__xludf.DUMMYFUNCTION("""COMPUTED_VALUE"""),"HFJR+FV8 Bakungtemenggungan, Kabupaten Sidoarjo, Jawa Timur")</f>
        <v>HFJR+FV8 Bakungtemenggungan, Kabupaten Sidoarjo, Jawa Timur</v>
      </c>
      <c r="W1673" s="211" t="str">
        <f>IFERROR(__xludf.DUMMYFUNCTION("""COMPUTED_VALUE"""),"OUT")</f>
        <v>OUT</v>
      </c>
      <c r="X1673" s="211"/>
      <c r="AL1673" s="211"/>
      <c r="AM1673" s="211"/>
      <c r="AN1673" s="211"/>
      <c r="AO1673" s="211"/>
      <c r="AP1673" s="215"/>
      <c r="AQ1673" s="218"/>
      <c r="AR1673" s="211"/>
    </row>
    <row r="1674">
      <c r="A1674" s="210" t="str">
        <f>IFERROR(__xludf.DUMMYFUNCTION("""COMPUTED_VALUE"""),"1250560")</f>
        <v>1250560</v>
      </c>
      <c r="B1674" s="210" t="str">
        <f>IFERROR(__xludf.DUMMYFUNCTION("""COMPUTED_VALUE"""),"1250560")</f>
        <v>1250560</v>
      </c>
      <c r="C1674" s="213">
        <f>IFERROR(__xludf.DUMMYFUNCTION("""COMPUTED_VALUE"""),45902.66574074074)</f>
        <v>45902.66574</v>
      </c>
      <c r="D1674" s="211" t="str">
        <f>IFERROR(__xludf.DUMMYFUNCTION("""COMPUTED_VALUE"""),"ec231cc9")</f>
        <v>ec231cc9</v>
      </c>
      <c r="E1674" s="211" t="str">
        <f>IFERROR(__xludf.DUMMYFUNCTION("""COMPUTED_VALUE"""),"Bpk. Kohir (Maintenance Velg)")</f>
        <v>Bpk. Kohir (Maintenance Velg)</v>
      </c>
      <c r="F1674" s="211" t="str">
        <f>IFERROR(__xludf.DUMMYFUNCTION("""COMPUTED_VALUE"""),"ef306e54")</f>
        <v>ef306e54</v>
      </c>
      <c r="G1674" s="211" t="str">
        <f>IFERROR(__xludf.DUMMYFUNCTION("""COMPUTED_VALUE"""),"Karbondioksida")</f>
        <v>Karbondioksida</v>
      </c>
      <c r="H1674" s="211" t="str">
        <f>IFERROR(__xludf.DUMMYFUNCTION("""COMPUTED_VALUE"""),"IN")</f>
        <v>IN</v>
      </c>
      <c r="I1674" s="211" t="str">
        <f>IFERROR(__xludf.DUMMYFUNCTION("""COMPUTED_VALUE"""),"EMPTY")</f>
        <v>EMPTY</v>
      </c>
      <c r="J1674" s="211">
        <f>IFERROR(__xludf.DUMMYFUNCTION("""COMPUTED_VALUE"""),1.0)</f>
        <v>1</v>
      </c>
      <c r="K1674" s="210" t="str">
        <f>IFERROR(__xludf.DUMMYFUNCTION("""COMPUTED_VALUE"""),"13028")</f>
        <v>13028</v>
      </c>
      <c r="L1674" s="211">
        <f>IFERROR(__xludf.DUMMYFUNCTION("""COMPUTED_VALUE"""),0.0)</f>
        <v>0</v>
      </c>
      <c r="M1674" s="211"/>
      <c r="N1674" s="211"/>
      <c r="O1674" s="211"/>
      <c r="Q1674" s="210" t="str">
        <f>IFERROR(__xludf.DUMMYFUNCTION("""COMPUTED_VALUE"""),"1125201674")</f>
        <v>1125201674</v>
      </c>
      <c r="R1674" s="210" t="str">
        <f>IFERROR(__xludf.DUMMYFUNCTION("""COMPUTED_VALUE"""),"1125201674")</f>
        <v>1125201674</v>
      </c>
      <c r="S1674" s="211" t="str">
        <f>IFERROR(__xludf.DUMMYFUNCTION("""COMPUTED_VALUE"""),"3bcd7fe6")</f>
        <v>3bcd7fe6</v>
      </c>
      <c r="T1674" s="211" t="str">
        <f>IFERROR(__xludf.DUMMYFUNCTION("""COMPUTED_VALUE"""),"Bpk. Alvin (LB Group)")</f>
        <v>Bpk. Alvin (LB Group)</v>
      </c>
      <c r="U1674" s="215">
        <f>IFERROR(__xludf.DUMMYFUNCTION("""COMPUTED_VALUE"""),45972.412939814814)</f>
        <v>45972.41294</v>
      </c>
      <c r="V1674" s="211" t="str">
        <f>IFERROR(__xludf.DUMMYFUNCTION("""COMPUTED_VALUE"""),"MFF9+XHC, Jalan, Tambakrejo, Temuireng, Kec. Dawar Blandong, Kabupaten Mojokerto, Jawa Timur 61354")</f>
        <v>MFF9+XHC, Jalan, Tambakrejo, Temuireng, Kec. Dawar Blandong, Kabupaten Mojokerto, Jawa Timur 61354</v>
      </c>
      <c r="W1674" s="211" t="str">
        <f>IFERROR(__xludf.DUMMYFUNCTION("""COMPUTED_VALUE"""),"OUT")</f>
        <v>OUT</v>
      </c>
      <c r="X1674" s="211"/>
      <c r="AL1674" s="211"/>
      <c r="AM1674" s="211"/>
      <c r="AN1674" s="211"/>
      <c r="AO1674" s="211"/>
      <c r="AP1674" s="215"/>
      <c r="AQ1674" s="218"/>
      <c r="AR1674" s="211"/>
    </row>
    <row r="1675">
      <c r="A1675" s="210" t="str">
        <f>IFERROR(__xludf.DUMMYFUNCTION("""COMPUTED_VALUE"""),"1250560")</f>
        <v>1250560</v>
      </c>
      <c r="B1675" s="210" t="str">
        <f>IFERROR(__xludf.DUMMYFUNCTION("""COMPUTED_VALUE"""),"1250560")</f>
        <v>1250560</v>
      </c>
      <c r="C1675" s="213">
        <f>IFERROR(__xludf.DUMMYFUNCTION("""COMPUTED_VALUE"""),45902.66574074074)</f>
        <v>45902.66574</v>
      </c>
      <c r="D1675" s="211" t="str">
        <f>IFERROR(__xludf.DUMMYFUNCTION("""COMPUTED_VALUE"""),"ec231cc9")</f>
        <v>ec231cc9</v>
      </c>
      <c r="E1675" s="211" t="str">
        <f>IFERROR(__xludf.DUMMYFUNCTION("""COMPUTED_VALUE"""),"Bpk. Kohir (Maintenance Velg)")</f>
        <v>Bpk. Kohir (Maintenance Velg)</v>
      </c>
      <c r="F1675" s="211" t="str">
        <f>IFERROR(__xludf.DUMMYFUNCTION("""COMPUTED_VALUE"""),"8bdbe149")</f>
        <v>8bdbe149</v>
      </c>
      <c r="G1675" s="211" t="str">
        <f>IFERROR(__xludf.DUMMYFUNCTION("""COMPUTED_VALUE"""),"Oksigen 6m3")</f>
        <v>Oksigen 6m3</v>
      </c>
      <c r="H1675" s="211" t="str">
        <f>IFERROR(__xludf.DUMMYFUNCTION("""COMPUTED_VALUE"""),"IN")</f>
        <v>IN</v>
      </c>
      <c r="I1675" s="211" t="str">
        <f>IFERROR(__xludf.DUMMYFUNCTION("""COMPUTED_VALUE"""),"EMPTY")</f>
        <v>EMPTY</v>
      </c>
      <c r="J1675" s="211">
        <f>IFERROR(__xludf.DUMMYFUNCTION("""COMPUTED_VALUE"""),5.0)</f>
        <v>5</v>
      </c>
      <c r="K1675" s="210" t="str">
        <f>IFERROR(__xludf.DUMMYFUNCTION("""COMPUTED_VALUE"""),"1127 11285 11232 11130 1102")</f>
        <v>1127 11285 11232 11130 1102</v>
      </c>
      <c r="L1675" s="211">
        <f>IFERROR(__xludf.DUMMYFUNCTION("""COMPUTED_VALUE"""),0.0)</f>
        <v>0</v>
      </c>
      <c r="M1675" s="211"/>
      <c r="N1675" s="211"/>
      <c r="O1675" s="211"/>
      <c r="Q1675" s="210" t="str">
        <f>IFERROR(__xludf.DUMMYFUNCTION("""COMPUTED_VALUE"""),"1250778")</f>
        <v>1250778</v>
      </c>
      <c r="R1675" s="210" t="str">
        <f>IFERROR(__xludf.DUMMYFUNCTION("""COMPUTED_VALUE"""),"1250778")</f>
        <v>1250778</v>
      </c>
      <c r="S1675" s="211" t="str">
        <f>IFERROR(__xludf.DUMMYFUNCTION("""COMPUTED_VALUE"""),"3bcd7fe6")</f>
        <v>3bcd7fe6</v>
      </c>
      <c r="T1675" s="211" t="str">
        <f>IFERROR(__xludf.DUMMYFUNCTION("""COMPUTED_VALUE"""),"Bpk. Alvin (LB Group)")</f>
        <v>Bpk. Alvin (LB Group)</v>
      </c>
      <c r="U1675" s="215">
        <f>IFERROR(__xludf.DUMMYFUNCTION("""COMPUTED_VALUE"""),45972.541655092595)</f>
        <v>45972.54166</v>
      </c>
      <c r="V1675" s="211" t="str">
        <f>IFERROR(__xludf.DUMMYFUNCTION("""COMPUTED_VALUE"""),"MFF9+XHC, Jalan, Tambakrejo, Temuireng, Kec. Dawar Blandong, Kabupaten Mojokerto, Jawa Timur 61354")</f>
        <v>MFF9+XHC, Jalan, Tambakrejo, Temuireng, Kec. Dawar Blandong, Kabupaten Mojokerto, Jawa Timur 61354</v>
      </c>
      <c r="W1675" s="211" t="str">
        <f>IFERROR(__xludf.DUMMYFUNCTION("""COMPUTED_VALUE"""),"IN")</f>
        <v>IN</v>
      </c>
      <c r="X1675" s="211"/>
      <c r="AL1675" s="211"/>
      <c r="AM1675" s="211"/>
      <c r="AN1675" s="211"/>
      <c r="AO1675" s="211"/>
      <c r="AP1675" s="215"/>
      <c r="AQ1675" s="218"/>
      <c r="AR1675" s="211"/>
    </row>
    <row r="1676">
      <c r="A1676" s="210" t="str">
        <f>IFERROR(__xludf.DUMMYFUNCTION("""COMPUTED_VALUE"""),"1250562")</f>
        <v>1250562</v>
      </c>
      <c r="B1676" s="210" t="str">
        <f>IFERROR(__xludf.DUMMYFUNCTION("""COMPUTED_VALUE"""),"1250562")</f>
        <v>1250562</v>
      </c>
      <c r="C1676" s="213">
        <f>IFERROR(__xludf.DUMMYFUNCTION("""COMPUTED_VALUE"""),45903.3993287037)</f>
        <v>45903.39933</v>
      </c>
      <c r="D1676" s="211" t="str">
        <f>IFERROR(__xludf.DUMMYFUNCTION("""COMPUTED_VALUE"""),"7b9d8eba")</f>
        <v>7b9d8eba</v>
      </c>
      <c r="E1676" s="211" t="str">
        <f>IFERROR(__xludf.DUMMYFUNCTION("""COMPUTED_VALUE"""),"PT PELANGI INDOKARYA")</f>
        <v>PT PELANGI INDOKARYA</v>
      </c>
      <c r="F1676" s="211" t="str">
        <f>IFERROR(__xludf.DUMMYFUNCTION("""COMPUTED_VALUE"""),"8bdbe149")</f>
        <v>8bdbe149</v>
      </c>
      <c r="G1676" s="211" t="str">
        <f>IFERROR(__xludf.DUMMYFUNCTION("""COMPUTED_VALUE"""),"Oksigen 6m3")</f>
        <v>Oksigen 6m3</v>
      </c>
      <c r="H1676" s="211" t="str">
        <f>IFERROR(__xludf.DUMMYFUNCTION("""COMPUTED_VALUE"""),"IN")</f>
        <v>IN</v>
      </c>
      <c r="I1676" s="211" t="str">
        <f>IFERROR(__xludf.DUMMYFUNCTION("""COMPUTED_VALUE"""),"EMPTY")</f>
        <v>EMPTY</v>
      </c>
      <c r="J1676" s="211">
        <f>IFERROR(__xludf.DUMMYFUNCTION("""COMPUTED_VALUE"""),4.0)</f>
        <v>4</v>
      </c>
      <c r="K1676" s="210" t="str">
        <f>IFERROR(__xludf.DUMMYFUNCTION("""COMPUTED_VALUE"""),"1152 11171 11120 11256")</f>
        <v>1152 11171 11120 11256</v>
      </c>
      <c r="L1676" s="211">
        <f>IFERROR(__xludf.DUMMYFUNCTION("""COMPUTED_VALUE"""),0.0)</f>
        <v>0</v>
      </c>
      <c r="M1676" s="211"/>
      <c r="N1676" s="211"/>
      <c r="O1676" s="211"/>
      <c r="Q1676" s="210" t="str">
        <f>IFERROR(__xludf.DUMMYFUNCTION("""COMPUTED_VALUE"""),"112531675")</f>
        <v>112531675</v>
      </c>
      <c r="R1676" s="210" t="str">
        <f>IFERROR(__xludf.DUMMYFUNCTION("""COMPUTED_VALUE"""),"112531675")</f>
        <v>112531675</v>
      </c>
      <c r="S1676" s="211" t="str">
        <f>IFERROR(__xludf.DUMMYFUNCTION("""COMPUTED_VALUE"""),"f8a982a4")</f>
        <v>f8a982a4</v>
      </c>
      <c r="T1676" s="211" t="str">
        <f>IFERROR(__xludf.DUMMYFUNCTION("""COMPUTED_VALUE"""),"Bpk. Nasir")</f>
        <v>Bpk. Nasir</v>
      </c>
      <c r="U1676" s="215">
        <f>IFERROR(__xludf.DUMMYFUNCTION("""COMPUTED_VALUE"""),45972.542349537034)</f>
        <v>45972.54235</v>
      </c>
      <c r="V1676" s="211" t="str">
        <f>IFERROR(__xludf.DUMMYFUNCTION("""COMPUTED_VALUE"""),"JL Raya Pacet, Dsn. Janti Ds. Jatilangkung RT.01 RW. 04. Kabupaten. Mojokerto Pungging, Jawa Timur")</f>
        <v>JL Raya Pacet, Dsn. Janti Ds. Jatilangkung RT.01 RW. 04. Kabupaten. Mojokerto Pungging, Jawa Timur</v>
      </c>
      <c r="W1676" s="211" t="str">
        <f>IFERROR(__xludf.DUMMYFUNCTION("""COMPUTED_VALUE"""),"OUT")</f>
        <v>OUT</v>
      </c>
      <c r="X1676" s="211"/>
      <c r="AL1676" s="211"/>
      <c r="AM1676" s="211"/>
      <c r="AN1676" s="211"/>
      <c r="AO1676" s="211"/>
      <c r="AP1676" s="215"/>
      <c r="AQ1676" s="218"/>
      <c r="AR1676" s="211"/>
    </row>
    <row r="1677">
      <c r="A1677" s="210" t="str">
        <f>IFERROR(__xludf.DUMMYFUNCTION("""COMPUTED_VALUE"""),"092561214")</f>
        <v>092561214</v>
      </c>
      <c r="B1677" s="210" t="str">
        <f>IFERROR(__xludf.DUMMYFUNCTION("""COMPUTED_VALUE"""),"092561214")</f>
        <v>092561214</v>
      </c>
      <c r="C1677" s="213">
        <f>IFERROR(__xludf.DUMMYFUNCTION("""COMPUTED_VALUE"""),45903.49108796296)</f>
        <v>45903.49109</v>
      </c>
      <c r="D1677" s="211" t="str">
        <f>IFERROR(__xludf.DUMMYFUNCTION("""COMPUTED_VALUE"""),"196b24da")</f>
        <v>196b24da</v>
      </c>
      <c r="E1677" s="211" t="str">
        <f>IFERROR(__xludf.DUMMYFUNCTION("""COMPUTED_VALUE"""),"PT Samudra Cipta Enjineering")</f>
        <v>PT Samudra Cipta Enjineering</v>
      </c>
      <c r="F1677" s="211" t="str">
        <f>IFERROR(__xludf.DUMMYFUNCTION("""COMPUTED_VALUE"""),"b7a8fff1")</f>
        <v>b7a8fff1</v>
      </c>
      <c r="G1677" s="211" t="str">
        <f>IFERROR(__xludf.DUMMYFUNCTION("""COMPUTED_VALUE"""),"LPG 50kg")</f>
        <v>LPG 50kg</v>
      </c>
      <c r="H1677" s="211" t="str">
        <f>IFERROR(__xludf.DUMMYFUNCTION("""COMPUTED_VALUE"""),"OUT")</f>
        <v>OUT</v>
      </c>
      <c r="I1677" s="211" t="str">
        <f>IFERROR(__xludf.DUMMYFUNCTION("""COMPUTED_VALUE"""),"NORMAL")</f>
        <v>NORMAL</v>
      </c>
      <c r="J1677" s="211">
        <f>IFERROR(__xludf.DUMMYFUNCTION("""COMPUTED_VALUE"""),2.0)</f>
        <v>2</v>
      </c>
      <c r="K1677" s="211"/>
      <c r="L1677" s="211">
        <f>IFERROR(__xludf.DUMMYFUNCTION("""COMPUTED_VALUE"""),900000.0)</f>
        <v>900000</v>
      </c>
      <c r="M1677" s="211"/>
      <c r="N1677" s="211"/>
      <c r="O1677" s="211"/>
      <c r="Q1677" s="210" t="str">
        <f>IFERROR(__xludf.DUMMYFUNCTION("""COMPUTED_VALUE"""),"112561677")</f>
        <v>112561677</v>
      </c>
      <c r="R1677" s="210" t="str">
        <f>IFERROR(__xludf.DUMMYFUNCTION("""COMPUTED_VALUE"""),"112561677")</f>
        <v>112561677</v>
      </c>
      <c r="S1677" s="211" t="str">
        <f>IFERROR(__xludf.DUMMYFUNCTION("""COMPUTED_VALUE"""),"faf71ae5")</f>
        <v>faf71ae5</v>
      </c>
      <c r="T1677" s="211" t="str">
        <f>IFERROR(__xludf.DUMMYFUNCTION("""COMPUTED_VALUE"""),"Bpk. Sampurna")</f>
        <v>Bpk. Sampurna</v>
      </c>
      <c r="U1677" s="215">
        <f>IFERROR(__xludf.DUMMYFUNCTION("""COMPUTED_VALUE"""),45972.59868055556)</f>
        <v>45972.59868</v>
      </c>
      <c r="V1677" s="211" t="str">
        <f>IFERROR(__xludf.DUMMYFUNCTION("""COMPUTED_VALUE"""),"Jl. Bypass Krian KM.30 No.15, Kraton, Kec. Krian, Kabupaten Sidoarjo, Jawa Timur 61262")</f>
        <v>Jl. Bypass Krian KM.30 No.15, Kraton, Kec. Krian, Kabupaten Sidoarjo, Jawa Timur 61262</v>
      </c>
      <c r="W1677" s="211" t="str">
        <f>IFERROR(__xludf.DUMMYFUNCTION("""COMPUTED_VALUE"""),"OUT")</f>
        <v>OUT</v>
      </c>
      <c r="X1677" s="211"/>
      <c r="AL1677" s="211"/>
      <c r="AM1677" s="211"/>
      <c r="AN1677" s="211"/>
      <c r="AO1677" s="211"/>
      <c r="AP1677" s="215"/>
      <c r="AQ1677" s="218"/>
      <c r="AR1677" s="211"/>
    </row>
    <row r="1678">
      <c r="A1678" s="210" t="str">
        <f>IFERROR(__xludf.DUMMYFUNCTION("""COMPUTED_VALUE"""),"0925191214")</f>
        <v>0925191214</v>
      </c>
      <c r="B1678" s="210" t="str">
        <f>IFERROR(__xludf.DUMMYFUNCTION("""COMPUTED_VALUE"""),"0925191214")</f>
        <v>0925191214</v>
      </c>
      <c r="C1678" s="213">
        <f>IFERROR(__xludf.DUMMYFUNCTION("""COMPUTED_VALUE"""),45903.513761574075)</f>
        <v>45903.51376</v>
      </c>
      <c r="D1678" s="211" t="str">
        <f>IFERROR(__xludf.DUMMYFUNCTION("""COMPUTED_VALUE"""),"7b9d8eba")</f>
        <v>7b9d8eba</v>
      </c>
      <c r="E1678" s="211" t="str">
        <f>IFERROR(__xludf.DUMMYFUNCTION("""COMPUTED_VALUE"""),"PT PELANGI INDOKARYA")</f>
        <v>PT PELANGI INDOKARYA</v>
      </c>
      <c r="F1678" s="211" t="str">
        <f>IFERROR(__xludf.DUMMYFUNCTION("""COMPUTED_VALUE"""),"8bdbe149")</f>
        <v>8bdbe149</v>
      </c>
      <c r="G1678" s="211" t="str">
        <f>IFERROR(__xludf.DUMMYFUNCTION("""COMPUTED_VALUE"""),"Oksigen 6m3")</f>
        <v>Oksigen 6m3</v>
      </c>
      <c r="H1678" s="211" t="str">
        <f>IFERROR(__xludf.DUMMYFUNCTION("""COMPUTED_VALUE"""),"OUT")</f>
        <v>OUT</v>
      </c>
      <c r="I1678" s="211" t="str">
        <f>IFERROR(__xludf.DUMMYFUNCTION("""COMPUTED_VALUE"""),"NORMAL")</f>
        <v>NORMAL</v>
      </c>
      <c r="J1678" s="211">
        <f>IFERROR(__xludf.DUMMYFUNCTION("""COMPUTED_VALUE"""),5.0)</f>
        <v>5</v>
      </c>
      <c r="K1678" s="210" t="str">
        <f>IFERROR(__xludf.DUMMYFUNCTION("""COMPUTED_VALUE"""),"11130 11285 1127 11232 11209")</f>
        <v>11130 11285 1127 11232 11209</v>
      </c>
      <c r="L1678" s="211">
        <f>IFERROR(__xludf.DUMMYFUNCTION("""COMPUTED_VALUE"""),60000.0)</f>
        <v>60000</v>
      </c>
      <c r="M1678" s="211"/>
      <c r="N1678" s="211"/>
      <c r="O1678" s="211"/>
      <c r="Q1678" s="210" t="str">
        <f>IFERROR(__xludf.DUMMYFUNCTION("""COMPUTED_VALUE"""),"1250825")</f>
        <v>1250825</v>
      </c>
      <c r="R1678" s="210" t="str">
        <f>IFERROR(__xludf.DUMMYFUNCTION("""COMPUTED_VALUE"""),"1250825")</f>
        <v>1250825</v>
      </c>
      <c r="S1678" s="211" t="str">
        <f>IFERROR(__xludf.DUMMYFUNCTION("""COMPUTED_VALUE"""),"b0735da4")</f>
        <v>b0735da4</v>
      </c>
      <c r="T1678" s="211" t="str">
        <f>IFERROR(__xludf.DUMMYFUNCTION("""COMPUTED_VALUE"""),"Bpk. Amer Ciro")</f>
        <v>Bpk. Amer Ciro</v>
      </c>
      <c r="U1678" s="215">
        <f>IFERROR(__xludf.DUMMYFUNCTION("""COMPUTED_VALUE"""),45972.60775462963)</f>
        <v>45972.60775</v>
      </c>
      <c r="V1678" s="211" t="str">
        <f>IFERROR(__xludf.DUMMYFUNCTION("""COMPUTED_VALUE"""),"HFJR+FV8 Bakungtemenggungan, Kabupaten Sidoarjo, Jawa Timur")</f>
        <v>HFJR+FV8 Bakungtemenggungan, Kabupaten Sidoarjo, Jawa Timur</v>
      </c>
      <c r="W1678" s="211" t="str">
        <f>IFERROR(__xludf.DUMMYFUNCTION("""COMPUTED_VALUE"""),"IN")</f>
        <v>IN</v>
      </c>
      <c r="X1678" s="211"/>
      <c r="AL1678" s="211"/>
      <c r="AM1678" s="211"/>
      <c r="AN1678" s="211"/>
      <c r="AO1678" s="211"/>
      <c r="AP1678" s="215"/>
      <c r="AQ1678" s="218"/>
      <c r="AR1678" s="211"/>
    </row>
    <row r="1679">
      <c r="A1679" s="210" t="str">
        <f>IFERROR(__xludf.DUMMYFUNCTION("""COMPUTED_VALUE"""),"0925101219")</f>
        <v>0925101219</v>
      </c>
      <c r="B1679" s="210" t="str">
        <f>IFERROR(__xludf.DUMMYFUNCTION("""COMPUTED_VALUE"""),"0925101219")</f>
        <v>0925101219</v>
      </c>
      <c r="C1679" s="213">
        <f>IFERROR(__xludf.DUMMYFUNCTION("""COMPUTED_VALUE"""),45904.36384259259)</f>
        <v>45904.36384</v>
      </c>
      <c r="D1679" s="211" t="str">
        <f>IFERROR(__xludf.DUMMYFUNCTION("""COMPUTED_VALUE"""),"3bcd7fe6")</f>
        <v>3bcd7fe6</v>
      </c>
      <c r="E1679" s="211" t="str">
        <f>IFERROR(__xludf.DUMMYFUNCTION("""COMPUTED_VALUE"""),"Bpk. Alvin (LB Group)")</f>
        <v>Bpk. Alvin (LB Group)</v>
      </c>
      <c r="F1679" s="211" t="str">
        <f>IFERROR(__xludf.DUMMYFUNCTION("""COMPUTED_VALUE"""),"8bdbe149")</f>
        <v>8bdbe149</v>
      </c>
      <c r="G1679" s="211" t="str">
        <f>IFERROR(__xludf.DUMMYFUNCTION("""COMPUTED_VALUE"""),"Oksigen 6m3")</f>
        <v>Oksigen 6m3</v>
      </c>
      <c r="H1679" s="211" t="str">
        <f>IFERROR(__xludf.DUMMYFUNCTION("""COMPUTED_VALUE"""),"OUT")</f>
        <v>OUT</v>
      </c>
      <c r="I1679" s="211" t="str">
        <f>IFERROR(__xludf.DUMMYFUNCTION("""COMPUTED_VALUE"""),"NORMAL")</f>
        <v>NORMAL</v>
      </c>
      <c r="J1679" s="211">
        <f>IFERROR(__xludf.DUMMYFUNCTION("""COMPUTED_VALUE"""),4.0)</f>
        <v>4</v>
      </c>
      <c r="K1679" s="210" t="str">
        <f>IFERROR(__xludf.DUMMYFUNCTION("""COMPUTED_VALUE"""),"1152 11256 11120 1192")</f>
        <v>1152 11256 11120 1192</v>
      </c>
      <c r="L1679" s="211">
        <f>IFERROR(__xludf.DUMMYFUNCTION("""COMPUTED_VALUE"""),50000.0)</f>
        <v>50000</v>
      </c>
      <c r="M1679" s="211"/>
      <c r="N1679" s="211"/>
      <c r="O1679" s="211"/>
      <c r="Q1679" s="210" t="str">
        <f>IFERROR(__xludf.DUMMYFUNCTION("""COMPUTED_VALUE"""),"1250827")</f>
        <v>1250827</v>
      </c>
      <c r="R1679" s="210" t="str">
        <f>IFERROR(__xludf.DUMMYFUNCTION("""COMPUTED_VALUE"""),"1250827")</f>
        <v>1250827</v>
      </c>
      <c r="S1679" s="211" t="str">
        <f>IFERROR(__xludf.DUMMYFUNCTION("""COMPUTED_VALUE"""),"b218b89b")</f>
        <v>b218b89b</v>
      </c>
      <c r="T1679" s="211" t="str">
        <f>IFERROR(__xludf.DUMMYFUNCTION("""COMPUTED_VALUE"""),"PT Harapan Sentosa")</f>
        <v>PT Harapan Sentosa</v>
      </c>
      <c r="U1679" s="215">
        <f>IFERROR(__xludf.DUMMYFUNCTION("""COMPUTED_VALUE"""),45972.60917824074)</f>
        <v>45972.60918</v>
      </c>
      <c r="V1679" s="211" t="str">
        <f>IFERROR(__xludf.DUMMYFUNCTION("""COMPUTED_VALUE"""),"Seketi, Jl. Purboyo II Selatan, RT.02/RW.02, Seketi, Kec. BalongBendo, Kabupaten Sidoarjo, Jawa Timur 61263")</f>
        <v>Seketi, Jl. Purboyo II Selatan, RT.02/RW.02, Seketi, Kec. BalongBendo, Kabupaten Sidoarjo, Jawa Timur 61263</v>
      </c>
      <c r="W1679" s="211" t="str">
        <f>IFERROR(__xludf.DUMMYFUNCTION("""COMPUTED_VALUE"""),"IN")</f>
        <v>IN</v>
      </c>
      <c r="X1679" s="211"/>
      <c r="AL1679" s="211"/>
      <c r="AM1679" s="211"/>
      <c r="AN1679" s="211"/>
      <c r="AO1679" s="211"/>
      <c r="AP1679" s="215"/>
      <c r="AQ1679" s="218"/>
      <c r="AR1679" s="211"/>
    </row>
    <row r="1680">
      <c r="A1680" s="210" t="str">
        <f>IFERROR(__xludf.DUMMYFUNCTION("""COMPUTED_VALUE"""),"1250554")</f>
        <v>1250554</v>
      </c>
      <c r="B1680" s="210" t="str">
        <f>IFERROR(__xludf.DUMMYFUNCTION("""COMPUTED_VALUE"""),"1250554")</f>
        <v>1250554</v>
      </c>
      <c r="C1680" s="213">
        <f>IFERROR(__xludf.DUMMYFUNCTION("""COMPUTED_VALUE"""),45904.366215277776)</f>
        <v>45904.36622</v>
      </c>
      <c r="D1680" s="211" t="str">
        <f>IFERROR(__xludf.DUMMYFUNCTION("""COMPUTED_VALUE"""),"196b24da")</f>
        <v>196b24da</v>
      </c>
      <c r="E1680" s="211" t="str">
        <f>IFERROR(__xludf.DUMMYFUNCTION("""COMPUTED_VALUE"""),"PT Samudra Cipta Enjineering")</f>
        <v>PT Samudra Cipta Enjineering</v>
      </c>
      <c r="F1680" s="211" t="str">
        <f>IFERROR(__xludf.DUMMYFUNCTION("""COMPUTED_VALUE"""),"b7a8fff1")</f>
        <v>b7a8fff1</v>
      </c>
      <c r="G1680" s="211" t="str">
        <f>IFERROR(__xludf.DUMMYFUNCTION("""COMPUTED_VALUE"""),"LPG 50kg")</f>
        <v>LPG 50kg</v>
      </c>
      <c r="H1680" s="211" t="str">
        <f>IFERROR(__xludf.DUMMYFUNCTION("""COMPUTED_VALUE"""),"IN")</f>
        <v>IN</v>
      </c>
      <c r="I1680" s="211" t="str">
        <f>IFERROR(__xludf.DUMMYFUNCTION("""COMPUTED_VALUE"""),"EMPTY")</f>
        <v>EMPTY</v>
      </c>
      <c r="J1680" s="211">
        <f>IFERROR(__xludf.DUMMYFUNCTION("""COMPUTED_VALUE"""),2.0)</f>
        <v>2</v>
      </c>
      <c r="K1680" s="210" t="str">
        <f>IFERROR(__xludf.DUMMYFUNCTION("""COMPUTED_VALUE"""),"01 02")</f>
        <v>01 02</v>
      </c>
      <c r="L1680" s="211">
        <f>IFERROR(__xludf.DUMMYFUNCTION("""COMPUTED_VALUE"""),0.0)</f>
        <v>0</v>
      </c>
      <c r="M1680" s="211"/>
      <c r="N1680" s="211"/>
      <c r="O1680" s="211"/>
      <c r="Q1680" s="210" t="str">
        <f>IFERROR(__xludf.DUMMYFUNCTION("""COMPUTED_VALUE"""),"1250826")</f>
        <v>1250826</v>
      </c>
      <c r="R1680" s="210" t="str">
        <f>IFERROR(__xludf.DUMMYFUNCTION("""COMPUTED_VALUE"""),"1250826")</f>
        <v>1250826</v>
      </c>
      <c r="S1680" s="211" t="str">
        <f>IFERROR(__xludf.DUMMYFUNCTION("""COMPUTED_VALUE"""),"b2b5f2c5")</f>
        <v>b2b5f2c5</v>
      </c>
      <c r="T1680" s="211" t="str">
        <f>IFERROR(__xludf.DUMMYFUNCTION("""COMPUTED_VALUE"""),"Bengkel Las Bpk. Ari")</f>
        <v>Bengkel Las Bpk. Ari</v>
      </c>
      <c r="U1680" s="215">
        <f>IFERROR(__xludf.DUMMYFUNCTION("""COMPUTED_VALUE"""),45972.60975694445)</f>
        <v>45972.60976</v>
      </c>
      <c r="V1680" s="211" t="str">
        <f>IFERROR(__xludf.DUMMYFUNCTION("""COMPUTED_VALUE"""),"Sumber Kembar, Wonodadi, Kec. Kutorejo, Kabupaten Mojokerto, Jawa Timur")</f>
        <v>Sumber Kembar, Wonodadi, Kec. Kutorejo, Kabupaten Mojokerto, Jawa Timur</v>
      </c>
      <c r="W1680" s="211" t="str">
        <f>IFERROR(__xludf.DUMMYFUNCTION("""COMPUTED_VALUE"""),"IN")</f>
        <v>IN</v>
      </c>
      <c r="X1680" s="211"/>
      <c r="AL1680" s="211"/>
      <c r="AM1680" s="211"/>
      <c r="AN1680" s="211"/>
      <c r="AO1680" s="211"/>
      <c r="AP1680" s="215"/>
      <c r="AQ1680" s="218"/>
      <c r="AR1680" s="211"/>
    </row>
    <row r="1681">
      <c r="A1681" s="210" t="str">
        <f>IFERROR(__xludf.DUMMYFUNCTION("""COMPUTED_VALUE"""),"1250563")</f>
        <v>1250563</v>
      </c>
      <c r="B1681" s="210" t="str">
        <f>IFERROR(__xludf.DUMMYFUNCTION("""COMPUTED_VALUE"""),"1250563")</f>
        <v>1250563</v>
      </c>
      <c r="C1681" s="213">
        <f>IFERROR(__xludf.DUMMYFUNCTION("""COMPUTED_VALUE"""),45904.54890046296)</f>
        <v>45904.5489</v>
      </c>
      <c r="D1681" s="211" t="str">
        <f>IFERROR(__xludf.DUMMYFUNCTION("""COMPUTED_VALUE"""),"3bcd7fe6")</f>
        <v>3bcd7fe6</v>
      </c>
      <c r="E1681" s="211" t="str">
        <f>IFERROR(__xludf.DUMMYFUNCTION("""COMPUTED_VALUE"""),"Bpk. Alvin (LB Group)")</f>
        <v>Bpk. Alvin (LB Group)</v>
      </c>
      <c r="F1681" s="211" t="str">
        <f>IFERROR(__xludf.DUMMYFUNCTION("""COMPUTED_VALUE"""),"7d2764f1")</f>
        <v>7d2764f1</v>
      </c>
      <c r="G1681" s="211" t="str">
        <f>IFERROR(__xludf.DUMMYFUNCTION("""COMPUTED_VALUE"""),"Oksigen 7m3")</f>
        <v>Oksigen 7m3</v>
      </c>
      <c r="H1681" s="211" t="str">
        <f>IFERROR(__xludf.DUMMYFUNCTION("""COMPUTED_VALUE"""),"IN")</f>
        <v>IN</v>
      </c>
      <c r="I1681" s="211" t="str">
        <f>IFERROR(__xludf.DUMMYFUNCTION("""COMPUTED_VALUE"""),"EMPTY")</f>
        <v>EMPTY</v>
      </c>
      <c r="J1681" s="211">
        <f>IFERROR(__xludf.DUMMYFUNCTION("""COMPUTED_VALUE"""),3.0)</f>
        <v>3</v>
      </c>
      <c r="K1681" s="210" t="str">
        <f>IFERROR(__xludf.DUMMYFUNCTION("""COMPUTED_VALUE"""),"11220 1161 11224")</f>
        <v>11220 1161 11224</v>
      </c>
      <c r="L1681" s="211">
        <f>IFERROR(__xludf.DUMMYFUNCTION("""COMPUTED_VALUE"""),0.0)</f>
        <v>0</v>
      </c>
      <c r="M1681" s="211"/>
      <c r="N1681" s="211"/>
      <c r="O1681" s="211"/>
      <c r="Q1681" s="210" t="str">
        <f>IFERROR(__xludf.DUMMYFUNCTION("""COMPUTED_VALUE"""),"1250777")</f>
        <v>1250777</v>
      </c>
      <c r="R1681" s="210" t="str">
        <f>IFERROR(__xludf.DUMMYFUNCTION("""COMPUTED_VALUE"""),"1250777")</f>
        <v>1250777</v>
      </c>
      <c r="S1681" s="211" t="str">
        <f>IFERROR(__xludf.DUMMYFUNCTION("""COMPUTED_VALUE"""),"f8a982a4")</f>
        <v>f8a982a4</v>
      </c>
      <c r="T1681" s="211" t="str">
        <f>IFERROR(__xludf.DUMMYFUNCTION("""COMPUTED_VALUE"""),"Bpk. Nasir")</f>
        <v>Bpk. Nasir</v>
      </c>
      <c r="U1681" s="215">
        <f>IFERROR(__xludf.DUMMYFUNCTION("""COMPUTED_VALUE"""),45972.65744212963)</f>
        <v>45972.65744</v>
      </c>
      <c r="V1681" s="211" t="str">
        <f>IFERROR(__xludf.DUMMYFUNCTION("""COMPUTED_VALUE"""),"JL Raya Pacet, Dsn. Janti Ds. Jatilangkung RT.01 RW. 04. Kabupaten. Mojokerto Pungging, Jawa Timur")</f>
        <v>JL Raya Pacet, Dsn. Janti Ds. Jatilangkung RT.01 RW. 04. Kabupaten. Mojokerto Pungging, Jawa Timur</v>
      </c>
      <c r="W1681" s="211" t="str">
        <f>IFERROR(__xludf.DUMMYFUNCTION("""COMPUTED_VALUE"""),"IN")</f>
        <v>IN</v>
      </c>
      <c r="X1681" s="211"/>
      <c r="AL1681" s="211"/>
      <c r="AM1681" s="211"/>
      <c r="AN1681" s="211"/>
      <c r="AO1681" s="211"/>
      <c r="AP1681" s="215"/>
      <c r="AQ1681" s="218"/>
      <c r="AR1681" s="211"/>
    </row>
    <row r="1682">
      <c r="A1682" s="210" t="str">
        <f>IFERROR(__xludf.DUMMYFUNCTION("""COMPUTED_VALUE"""),"1250563")</f>
        <v>1250563</v>
      </c>
      <c r="B1682" s="210" t="str">
        <f>IFERROR(__xludf.DUMMYFUNCTION("""COMPUTED_VALUE"""),"1250563")</f>
        <v>1250563</v>
      </c>
      <c r="C1682" s="213">
        <f>IFERROR(__xludf.DUMMYFUNCTION("""COMPUTED_VALUE"""),45904.54890046296)</f>
        <v>45904.5489</v>
      </c>
      <c r="D1682" s="211" t="str">
        <f>IFERROR(__xludf.DUMMYFUNCTION("""COMPUTED_VALUE"""),"3bcd7fe6")</f>
        <v>3bcd7fe6</v>
      </c>
      <c r="E1682" s="211" t="str">
        <f>IFERROR(__xludf.DUMMYFUNCTION("""COMPUTED_VALUE"""),"Bpk. Alvin (LB Group)")</f>
        <v>Bpk. Alvin (LB Group)</v>
      </c>
      <c r="F1682" s="211" t="str">
        <f>IFERROR(__xludf.DUMMYFUNCTION("""COMPUTED_VALUE"""),"f6aab7a9")</f>
        <v>f6aab7a9</v>
      </c>
      <c r="G1682" s="211" t="str">
        <f>IFERROR(__xludf.DUMMYFUNCTION("""COMPUTED_VALUE"""),"Oksigen 6m3 MR")</f>
        <v>Oksigen 6m3 MR</v>
      </c>
      <c r="H1682" s="211" t="str">
        <f>IFERROR(__xludf.DUMMYFUNCTION("""COMPUTED_VALUE"""),"IN")</f>
        <v>IN</v>
      </c>
      <c r="I1682" s="211" t="str">
        <f>IFERROR(__xludf.DUMMYFUNCTION("""COMPUTED_VALUE"""),"EMPTY")</f>
        <v>EMPTY</v>
      </c>
      <c r="J1682" s="211">
        <f>IFERROR(__xludf.DUMMYFUNCTION("""COMPUTED_VALUE"""),3.0)</f>
        <v>3</v>
      </c>
      <c r="K1682" s="210" t="str">
        <f>IFERROR(__xludf.DUMMYFUNCTION("""COMPUTED_VALUE"""),"01 02 03")</f>
        <v>01 02 03</v>
      </c>
      <c r="L1682" s="211">
        <f>IFERROR(__xludf.DUMMYFUNCTION("""COMPUTED_VALUE"""),0.0)</f>
        <v>0</v>
      </c>
      <c r="M1682" s="211"/>
      <c r="N1682" s="211"/>
      <c r="O1682" s="211"/>
      <c r="Q1682" s="210" t="str">
        <f>IFERROR(__xludf.DUMMYFUNCTION("""COMPUTED_VALUE"""),"1250828")</f>
        <v>1250828</v>
      </c>
      <c r="R1682" s="210" t="str">
        <f>IFERROR(__xludf.DUMMYFUNCTION("""COMPUTED_VALUE"""),"1250828")</f>
        <v>1250828</v>
      </c>
      <c r="S1682" s="211" t="str">
        <f>IFERROR(__xludf.DUMMYFUNCTION("""COMPUTED_VALUE"""),"faf71ae5")</f>
        <v>faf71ae5</v>
      </c>
      <c r="T1682" s="211" t="str">
        <f>IFERROR(__xludf.DUMMYFUNCTION("""COMPUTED_VALUE"""),"Bpk. Sampurna")</f>
        <v>Bpk. Sampurna</v>
      </c>
      <c r="U1682" s="215">
        <f>IFERROR(__xludf.DUMMYFUNCTION("""COMPUTED_VALUE"""),45973.357766203706)</f>
        <v>45973.35777</v>
      </c>
      <c r="V1682" s="211" t="str">
        <f>IFERROR(__xludf.DUMMYFUNCTION("""COMPUTED_VALUE"""),"Jl. Bypass Krian KM.30 No.15, Kraton, Kec. Krian, Kabupaten Sidoarjo, Jawa Timur 61262")</f>
        <v>Jl. Bypass Krian KM.30 No.15, Kraton, Kec. Krian, Kabupaten Sidoarjo, Jawa Timur 61262</v>
      </c>
      <c r="W1682" s="211" t="str">
        <f>IFERROR(__xludf.DUMMYFUNCTION("""COMPUTED_VALUE"""),"IN")</f>
        <v>IN</v>
      </c>
      <c r="X1682" s="211"/>
      <c r="AL1682" s="211"/>
      <c r="AM1682" s="211"/>
      <c r="AN1682" s="211"/>
      <c r="AO1682" s="211"/>
      <c r="AP1682" s="215"/>
      <c r="AQ1682" s="218"/>
      <c r="AR1682" s="211"/>
    </row>
    <row r="1683">
      <c r="A1683" s="210" t="str">
        <f>IFERROR(__xludf.DUMMYFUNCTION("""COMPUTED_VALUE"""),"1250564")</f>
        <v>1250564</v>
      </c>
      <c r="B1683" s="210" t="str">
        <f>IFERROR(__xludf.DUMMYFUNCTION("""COMPUTED_VALUE"""),"1250564")</f>
        <v>1250564</v>
      </c>
      <c r="C1683" s="213">
        <f>IFERROR(__xludf.DUMMYFUNCTION("""COMPUTED_VALUE"""),45904.55064814815)</f>
        <v>45904.55065</v>
      </c>
      <c r="D1683" s="211" t="str">
        <f>IFERROR(__xludf.DUMMYFUNCTION("""COMPUTED_VALUE"""),"01158be1")</f>
        <v>01158be1</v>
      </c>
      <c r="E1683" s="211" t="str">
        <f>IFERROR(__xludf.DUMMYFUNCTION("""COMPUTED_VALUE"""),"GYF")</f>
        <v>GYF</v>
      </c>
      <c r="F1683" s="211" t="str">
        <f>IFERROR(__xludf.DUMMYFUNCTION("""COMPUTED_VALUE"""),"8bdbe149")</f>
        <v>8bdbe149</v>
      </c>
      <c r="G1683" s="211" t="str">
        <f>IFERROR(__xludf.DUMMYFUNCTION("""COMPUTED_VALUE"""),"Oksigen 6m3")</f>
        <v>Oksigen 6m3</v>
      </c>
      <c r="H1683" s="211" t="str">
        <f>IFERROR(__xludf.DUMMYFUNCTION("""COMPUTED_VALUE"""),"IN")</f>
        <v>IN</v>
      </c>
      <c r="I1683" s="211" t="str">
        <f>IFERROR(__xludf.DUMMYFUNCTION("""COMPUTED_VALUE"""),"EMPTY")</f>
        <v>EMPTY</v>
      </c>
      <c r="J1683" s="211">
        <f>IFERROR(__xludf.DUMMYFUNCTION("""COMPUTED_VALUE"""),10.0)</f>
        <v>10</v>
      </c>
      <c r="K1683" s="210" t="str">
        <f>IFERROR(__xludf.DUMMYFUNCTION("""COMPUTED_VALUE"""),"11197 11261 11231 11125 11200 1136 11282 11283 11247 11204")</f>
        <v>11197 11261 11231 11125 11200 1136 11282 11283 11247 11204</v>
      </c>
      <c r="L1683" s="211">
        <f>IFERROR(__xludf.DUMMYFUNCTION("""COMPUTED_VALUE"""),0.0)</f>
        <v>0</v>
      </c>
      <c r="M1683" s="211"/>
      <c r="N1683" s="211"/>
      <c r="O1683" s="211"/>
      <c r="Q1683" s="210" t="str">
        <f>IFERROR(__xludf.DUMMYFUNCTION("""COMPUTED_VALUE"""),"1125681678")</f>
        <v>1125681678</v>
      </c>
      <c r="R1683" s="210" t="str">
        <f>IFERROR(__xludf.DUMMYFUNCTION("""COMPUTED_VALUE"""),"1125681678")</f>
        <v>1125681678</v>
      </c>
      <c r="S1683" s="211" t="str">
        <f>IFERROR(__xludf.DUMMYFUNCTION("""COMPUTED_VALUE"""),"e86baf3b")</f>
        <v>e86baf3b</v>
      </c>
      <c r="T1683" s="211" t="str">
        <f>IFERROR(__xludf.DUMMYFUNCTION("""COMPUTED_VALUE"""),"PT GEMILANG CIPTA WAWASAN")</f>
        <v>PT GEMILANG CIPTA WAWASAN</v>
      </c>
      <c r="U1683" s="215">
        <f>IFERROR(__xludf.DUMMYFUNCTION("""COMPUTED_VALUE"""),45973.36148148148)</f>
        <v>45973.36148</v>
      </c>
      <c r="V1683" s="211" t="str">
        <f>IFERROR(__xludf.DUMMYFUNCTION("""COMPUTED_VALUE"""),"JL TEBET RAYA, 2A, TEBET BARAT, TEBET, KOTA ADM, JAKARTA SELATAN, DKI JAKARTA")</f>
        <v>JL TEBET RAYA, 2A, TEBET BARAT, TEBET, KOTA ADM, JAKARTA SELATAN, DKI JAKARTA</v>
      </c>
      <c r="W1683" s="211" t="str">
        <f>IFERROR(__xludf.DUMMYFUNCTION("""COMPUTED_VALUE"""),"OUT")</f>
        <v>OUT</v>
      </c>
      <c r="X1683" s="211"/>
      <c r="AL1683" s="211"/>
      <c r="AM1683" s="211"/>
      <c r="AN1683" s="211"/>
      <c r="AO1683" s="211"/>
      <c r="AP1683" s="215"/>
      <c r="AQ1683" s="218"/>
      <c r="AR1683" s="211"/>
    </row>
    <row r="1684">
      <c r="A1684" s="210" t="str">
        <f>IFERROR(__xludf.DUMMYFUNCTION("""COMPUTED_VALUE"""),"1250564")</f>
        <v>1250564</v>
      </c>
      <c r="B1684" s="210" t="str">
        <f>IFERROR(__xludf.DUMMYFUNCTION("""COMPUTED_VALUE"""),"1250564")</f>
        <v>1250564</v>
      </c>
      <c r="C1684" s="213">
        <f>IFERROR(__xludf.DUMMYFUNCTION("""COMPUTED_VALUE"""),45904.55064814815)</f>
        <v>45904.55065</v>
      </c>
      <c r="D1684" s="211" t="str">
        <f>IFERROR(__xludf.DUMMYFUNCTION("""COMPUTED_VALUE"""),"01158be1")</f>
        <v>01158be1</v>
      </c>
      <c r="E1684" s="211" t="str">
        <f>IFERROR(__xludf.DUMMYFUNCTION("""COMPUTED_VALUE"""),"GYF")</f>
        <v>GYF</v>
      </c>
      <c r="F1684" s="211" t="str">
        <f>IFERROR(__xludf.DUMMYFUNCTION("""COMPUTED_VALUE"""),"66af7c72")</f>
        <v>66af7c72</v>
      </c>
      <c r="G1684" s="211" t="str">
        <f>IFERROR(__xludf.DUMMYFUNCTION("""COMPUTED_VALUE"""),"Argon 6m3")</f>
        <v>Argon 6m3</v>
      </c>
      <c r="H1684" s="211" t="str">
        <f>IFERROR(__xludf.DUMMYFUNCTION("""COMPUTED_VALUE"""),"IN")</f>
        <v>IN</v>
      </c>
      <c r="I1684" s="211" t="str">
        <f>IFERROR(__xludf.DUMMYFUNCTION("""COMPUTED_VALUE"""),"EMPTY")</f>
        <v>EMPTY</v>
      </c>
      <c r="J1684" s="211">
        <f>IFERROR(__xludf.DUMMYFUNCTION("""COMPUTED_VALUE"""),1.0)</f>
        <v>1</v>
      </c>
      <c r="K1684" s="210" t="str">
        <f>IFERROR(__xludf.DUMMYFUNCTION("""COMPUTED_VALUE"""),"12010")</f>
        <v>12010</v>
      </c>
      <c r="L1684" s="211">
        <f>IFERROR(__xludf.DUMMYFUNCTION("""COMPUTED_VALUE"""),0.0)</f>
        <v>0</v>
      </c>
      <c r="M1684" s="211"/>
      <c r="N1684" s="211"/>
      <c r="O1684" s="211"/>
      <c r="Q1684" s="210" t="str">
        <f>IFERROR(__xludf.DUMMYFUNCTION("""COMPUTED_VALUE"""),"112581684")</f>
        <v>112581684</v>
      </c>
      <c r="R1684" s="210" t="str">
        <f>IFERROR(__xludf.DUMMYFUNCTION("""COMPUTED_VALUE"""),"112581684")</f>
        <v>112581684</v>
      </c>
      <c r="S1684" s="211" t="str">
        <f>IFERROR(__xludf.DUMMYFUNCTION("""COMPUTED_VALUE"""),"dcdf8b31")</f>
        <v>dcdf8b31</v>
      </c>
      <c r="T1684" s="211" t="str">
        <f>IFERROR(__xludf.DUMMYFUNCTION("""COMPUTED_VALUE"""),"Bpk. Samsul (Jetis)")</f>
        <v>Bpk. Samsul (Jetis)</v>
      </c>
      <c r="U1684" s="215">
        <f>IFERROR(__xludf.DUMMYFUNCTION("""COMPUTED_VALUE"""),45973.36194444444)</f>
        <v>45973.36194</v>
      </c>
      <c r="V1684" s="211" t="str">
        <f>IFERROR(__xludf.DUMMYFUNCTION("""COMPUTED_VALUE"""),"HFWF+9FG, Sido Wangi, Paringan, Kec. Jetis, Kabupaten Mojokerto, Jawa Timur")</f>
        <v>HFWF+9FG, Sido Wangi, Paringan, Kec. Jetis, Kabupaten Mojokerto, Jawa Timur</v>
      </c>
      <c r="W1684" s="211" t="str">
        <f>IFERROR(__xludf.DUMMYFUNCTION("""COMPUTED_VALUE"""),"OUT")</f>
        <v>OUT</v>
      </c>
      <c r="X1684" s="211"/>
      <c r="AL1684" s="211"/>
      <c r="AM1684" s="211"/>
      <c r="AN1684" s="211"/>
      <c r="AO1684" s="211"/>
      <c r="AP1684" s="215"/>
      <c r="AQ1684" s="218"/>
      <c r="AR1684" s="211"/>
    </row>
    <row r="1685">
      <c r="A1685" s="210" t="str">
        <f>IFERROR(__xludf.DUMMYFUNCTION("""COMPUTED_VALUE"""),"1250564")</f>
        <v>1250564</v>
      </c>
      <c r="B1685" s="210" t="str">
        <f>IFERROR(__xludf.DUMMYFUNCTION("""COMPUTED_VALUE"""),"1250564")</f>
        <v>1250564</v>
      </c>
      <c r="C1685" s="213">
        <f>IFERROR(__xludf.DUMMYFUNCTION("""COMPUTED_VALUE"""),45904.55064814815)</f>
        <v>45904.55065</v>
      </c>
      <c r="D1685" s="211" t="str">
        <f>IFERROR(__xludf.DUMMYFUNCTION("""COMPUTED_VALUE"""),"01158be1")</f>
        <v>01158be1</v>
      </c>
      <c r="E1685" s="211" t="str">
        <f>IFERROR(__xludf.DUMMYFUNCTION("""COMPUTED_VALUE"""),"GYF")</f>
        <v>GYF</v>
      </c>
      <c r="F1685" s="211" t="str">
        <f>IFERROR(__xludf.DUMMYFUNCTION("""COMPUTED_VALUE"""),"66af7c72")</f>
        <v>66af7c72</v>
      </c>
      <c r="G1685" s="211" t="str">
        <f>IFERROR(__xludf.DUMMYFUNCTION("""COMPUTED_VALUE"""),"Argon 6m3")</f>
        <v>Argon 6m3</v>
      </c>
      <c r="H1685" s="211" t="str">
        <f>IFERROR(__xludf.DUMMYFUNCTION("""COMPUTED_VALUE"""),"IN")</f>
        <v>IN</v>
      </c>
      <c r="I1685" s="211" t="str">
        <f>IFERROR(__xludf.DUMMYFUNCTION("""COMPUTED_VALUE"""),"CLAIM")</f>
        <v>CLAIM</v>
      </c>
      <c r="J1685" s="211">
        <f>IFERROR(__xludf.DUMMYFUNCTION("""COMPUTED_VALUE"""),1.0)</f>
        <v>1</v>
      </c>
      <c r="K1685" s="210" t="str">
        <f>IFERROR(__xludf.DUMMYFUNCTION("""COMPUTED_VALUE"""),"12022")</f>
        <v>12022</v>
      </c>
      <c r="L1685" s="211">
        <f>IFERROR(__xludf.DUMMYFUNCTION("""COMPUTED_VALUE"""),0.0)</f>
        <v>0</v>
      </c>
      <c r="M1685" s="211"/>
      <c r="N1685" s="211"/>
      <c r="O1685" s="211"/>
      <c r="Q1685" s="210" t="str">
        <f>IFERROR(__xludf.DUMMYFUNCTION("""COMPUTED_VALUE"""),"1125381685")</f>
        <v>1125381685</v>
      </c>
      <c r="R1685" s="210" t="str">
        <f>IFERROR(__xludf.DUMMYFUNCTION("""COMPUTED_VALUE"""),"1125381685")</f>
        <v>1125381685</v>
      </c>
      <c r="S1685" s="211" t="str">
        <f>IFERROR(__xludf.DUMMYFUNCTION("""COMPUTED_VALUE"""),"b2b5f2c5")</f>
        <v>b2b5f2c5</v>
      </c>
      <c r="T1685" s="211" t="str">
        <f>IFERROR(__xludf.DUMMYFUNCTION("""COMPUTED_VALUE"""),"Bengkel Las Bpk. Ari")</f>
        <v>Bengkel Las Bpk. Ari</v>
      </c>
      <c r="U1685" s="215">
        <f>IFERROR(__xludf.DUMMYFUNCTION("""COMPUTED_VALUE"""),45973.36615740741)</f>
        <v>45973.36616</v>
      </c>
      <c r="V1685" s="211" t="str">
        <f>IFERROR(__xludf.DUMMYFUNCTION("""COMPUTED_VALUE"""),"Sumber Kembar, Wonodadi, Kec. Kutorejo, Kabupaten Mojokerto, Jawa Timur")</f>
        <v>Sumber Kembar, Wonodadi, Kec. Kutorejo, Kabupaten Mojokerto, Jawa Timur</v>
      </c>
      <c r="W1685" s="211" t="str">
        <f>IFERROR(__xludf.DUMMYFUNCTION("""COMPUTED_VALUE"""),"OUT")</f>
        <v>OUT</v>
      </c>
      <c r="X1685" s="211"/>
      <c r="AL1685" s="211"/>
      <c r="AM1685" s="211"/>
      <c r="AN1685" s="211"/>
      <c r="AO1685" s="211"/>
      <c r="AP1685" s="215"/>
      <c r="AQ1685" s="218"/>
      <c r="AR1685" s="211"/>
    </row>
    <row r="1686">
      <c r="A1686" s="210" t="str">
        <f>IFERROR(__xludf.DUMMYFUNCTION("""COMPUTED_VALUE"""),"1250566")</f>
        <v>1250566</v>
      </c>
      <c r="B1686" s="210" t="str">
        <f>IFERROR(__xludf.DUMMYFUNCTION("""COMPUTED_VALUE"""),"1250566")</f>
        <v>1250566</v>
      </c>
      <c r="C1686" s="213">
        <f>IFERROR(__xludf.DUMMYFUNCTION("""COMPUTED_VALUE"""),45906.348391203705)</f>
        <v>45906.34839</v>
      </c>
      <c r="D1686" s="211" t="str">
        <f>IFERROR(__xludf.DUMMYFUNCTION("""COMPUTED_VALUE"""),"b218b89b")</f>
        <v>b218b89b</v>
      </c>
      <c r="E1686" s="211" t="str">
        <f>IFERROR(__xludf.DUMMYFUNCTION("""COMPUTED_VALUE"""),"PT Harapan Sentosa")</f>
        <v>PT Harapan Sentosa</v>
      </c>
      <c r="F1686" s="211" t="str">
        <f>IFERROR(__xludf.DUMMYFUNCTION("""COMPUTED_VALUE"""),"ef306e54")</f>
        <v>ef306e54</v>
      </c>
      <c r="G1686" s="211" t="str">
        <f>IFERROR(__xludf.DUMMYFUNCTION("""COMPUTED_VALUE"""),"Karbondioksida")</f>
        <v>Karbondioksida</v>
      </c>
      <c r="H1686" s="211" t="str">
        <f>IFERROR(__xludf.DUMMYFUNCTION("""COMPUTED_VALUE"""),"IN")</f>
        <v>IN</v>
      </c>
      <c r="I1686" s="211" t="str">
        <f>IFERROR(__xludf.DUMMYFUNCTION("""COMPUTED_VALUE"""),"EMPTY")</f>
        <v>EMPTY</v>
      </c>
      <c r="J1686" s="211">
        <f>IFERROR(__xludf.DUMMYFUNCTION("""COMPUTED_VALUE"""),2.0)</f>
        <v>2</v>
      </c>
      <c r="K1686" s="210" t="str">
        <f>IFERROR(__xludf.DUMMYFUNCTION("""COMPUTED_VALUE"""),"13027 13026")</f>
        <v>13027 13026</v>
      </c>
      <c r="L1686" s="211">
        <f>IFERROR(__xludf.DUMMYFUNCTION("""COMPUTED_VALUE"""),0.0)</f>
        <v>0</v>
      </c>
      <c r="M1686" s="211"/>
      <c r="N1686" s="211"/>
      <c r="O1686" s="211"/>
      <c r="Q1686" s="210" t="str">
        <f>IFERROR(__xludf.DUMMYFUNCTION("""COMPUTED_VALUE"""),"1250776")</f>
        <v>1250776</v>
      </c>
      <c r="R1686" s="210" t="str">
        <f>IFERROR(__xludf.DUMMYFUNCTION("""COMPUTED_VALUE"""),"1250776")</f>
        <v>1250776</v>
      </c>
      <c r="S1686" s="211" t="str">
        <f>IFERROR(__xludf.DUMMYFUNCTION("""COMPUTED_VALUE"""),"dcdf8b31")</f>
        <v>dcdf8b31</v>
      </c>
      <c r="T1686" s="211" t="str">
        <f>IFERROR(__xludf.DUMMYFUNCTION("""COMPUTED_VALUE"""),"Bpk. Samsul (Jetis)")</f>
        <v>Bpk. Samsul (Jetis)</v>
      </c>
      <c r="U1686" s="215">
        <f>IFERROR(__xludf.DUMMYFUNCTION("""COMPUTED_VALUE"""),45973.444918981484)</f>
        <v>45973.44492</v>
      </c>
      <c r="V1686" s="211" t="str">
        <f>IFERROR(__xludf.DUMMYFUNCTION("""COMPUTED_VALUE"""),"HFWF+9FG, Sido Wangi, Paringan, Kec. Jetis, Kabupaten Mojokerto, Jawa Timur")</f>
        <v>HFWF+9FG, Sido Wangi, Paringan, Kec. Jetis, Kabupaten Mojokerto, Jawa Timur</v>
      </c>
      <c r="W1686" s="211" t="str">
        <f>IFERROR(__xludf.DUMMYFUNCTION("""COMPUTED_VALUE"""),"IN")</f>
        <v>IN</v>
      </c>
      <c r="X1686" s="211"/>
      <c r="AL1686" s="211"/>
      <c r="AM1686" s="211"/>
      <c r="AN1686" s="211"/>
      <c r="AO1686" s="211"/>
      <c r="AP1686" s="215"/>
      <c r="AQ1686" s="218"/>
      <c r="AR1686" s="211"/>
    </row>
    <row r="1687">
      <c r="A1687" s="210" t="str">
        <f>IFERROR(__xludf.DUMMYFUNCTION("""COMPUTED_VALUE"""),"1250566")</f>
        <v>1250566</v>
      </c>
      <c r="B1687" s="210" t="str">
        <f>IFERROR(__xludf.DUMMYFUNCTION("""COMPUTED_VALUE"""),"1250566")</f>
        <v>1250566</v>
      </c>
      <c r="C1687" s="213">
        <f>IFERROR(__xludf.DUMMYFUNCTION("""COMPUTED_VALUE"""),45906.348391203705)</f>
        <v>45906.34839</v>
      </c>
      <c r="D1687" s="211" t="str">
        <f>IFERROR(__xludf.DUMMYFUNCTION("""COMPUTED_VALUE"""),"b218b89b")</f>
        <v>b218b89b</v>
      </c>
      <c r="E1687" s="211" t="str">
        <f>IFERROR(__xludf.DUMMYFUNCTION("""COMPUTED_VALUE"""),"PT Harapan Sentosa")</f>
        <v>PT Harapan Sentosa</v>
      </c>
      <c r="F1687" s="211" t="str">
        <f>IFERROR(__xludf.DUMMYFUNCTION("""COMPUTED_VALUE"""),"8bdbe149")</f>
        <v>8bdbe149</v>
      </c>
      <c r="G1687" s="211" t="str">
        <f>IFERROR(__xludf.DUMMYFUNCTION("""COMPUTED_VALUE"""),"Oksigen 6m3")</f>
        <v>Oksigen 6m3</v>
      </c>
      <c r="H1687" s="211" t="str">
        <f>IFERROR(__xludf.DUMMYFUNCTION("""COMPUTED_VALUE"""),"IN")</f>
        <v>IN</v>
      </c>
      <c r="I1687" s="211" t="str">
        <f>IFERROR(__xludf.DUMMYFUNCTION("""COMPUTED_VALUE"""),"EMPTY")</f>
        <v>EMPTY</v>
      </c>
      <c r="J1687" s="211">
        <f>IFERROR(__xludf.DUMMYFUNCTION("""COMPUTED_VALUE"""),3.0)</f>
        <v>3</v>
      </c>
      <c r="K1687" s="210" t="str">
        <f>IFERROR(__xludf.DUMMYFUNCTION("""COMPUTED_VALUE"""),"11182 11258 11119")</f>
        <v>11182 11258 11119</v>
      </c>
      <c r="L1687" s="211">
        <f>IFERROR(__xludf.DUMMYFUNCTION("""COMPUTED_VALUE"""),0.0)</f>
        <v>0</v>
      </c>
      <c r="M1687" s="211"/>
      <c r="N1687" s="211"/>
      <c r="O1687" s="211"/>
      <c r="Q1687" s="210" t="str">
        <f>IFERROR(__xludf.DUMMYFUNCTION("""COMPUTED_VALUE"""),"1250829")</f>
        <v>1250829</v>
      </c>
      <c r="R1687" s="210" t="str">
        <f>IFERROR(__xludf.DUMMYFUNCTION("""COMPUTED_VALUE"""),"1250829")</f>
        <v>1250829</v>
      </c>
      <c r="S1687" s="211" t="str">
        <f>IFERROR(__xludf.DUMMYFUNCTION("""COMPUTED_VALUE"""),"b2b5f2c5")</f>
        <v>b2b5f2c5</v>
      </c>
      <c r="T1687" s="211" t="str">
        <f>IFERROR(__xludf.DUMMYFUNCTION("""COMPUTED_VALUE"""),"Bengkel Las Bpk. Ari")</f>
        <v>Bengkel Las Bpk. Ari</v>
      </c>
      <c r="U1687" s="215">
        <f>IFERROR(__xludf.DUMMYFUNCTION("""COMPUTED_VALUE"""),45973.495092592595)</f>
        <v>45973.49509</v>
      </c>
      <c r="V1687" s="211" t="str">
        <f>IFERROR(__xludf.DUMMYFUNCTION("""COMPUTED_VALUE"""),"Sumber Kembar, Wonodadi, Kec. Kutorejo, Kabupaten Mojokerto, Jawa Timur")</f>
        <v>Sumber Kembar, Wonodadi, Kec. Kutorejo, Kabupaten Mojokerto, Jawa Timur</v>
      </c>
      <c r="W1687" s="211" t="str">
        <f>IFERROR(__xludf.DUMMYFUNCTION("""COMPUTED_VALUE"""),"IN")</f>
        <v>IN</v>
      </c>
      <c r="X1687" s="211"/>
      <c r="AL1687" s="211"/>
      <c r="AM1687" s="211"/>
      <c r="AN1687" s="211"/>
      <c r="AO1687" s="211"/>
      <c r="AP1687" s="215"/>
      <c r="AQ1687" s="218"/>
      <c r="AR1687" s="211"/>
    </row>
    <row r="1688">
      <c r="A1688" s="210" t="str">
        <f>IFERROR(__xludf.DUMMYFUNCTION("""COMPUTED_VALUE"""),"1250566")</f>
        <v>1250566</v>
      </c>
      <c r="B1688" s="210" t="str">
        <f>IFERROR(__xludf.DUMMYFUNCTION("""COMPUTED_VALUE"""),"1250566")</f>
        <v>1250566</v>
      </c>
      <c r="C1688" s="213">
        <f>IFERROR(__xludf.DUMMYFUNCTION("""COMPUTED_VALUE"""),45906.348391203705)</f>
        <v>45906.34839</v>
      </c>
      <c r="D1688" s="211" t="str">
        <f>IFERROR(__xludf.DUMMYFUNCTION("""COMPUTED_VALUE"""),"b218b89b")</f>
        <v>b218b89b</v>
      </c>
      <c r="E1688" s="211" t="str">
        <f>IFERROR(__xludf.DUMMYFUNCTION("""COMPUTED_VALUE"""),"PT Harapan Sentosa")</f>
        <v>PT Harapan Sentosa</v>
      </c>
      <c r="F1688" s="211" t="str">
        <f>IFERROR(__xludf.DUMMYFUNCTION("""COMPUTED_VALUE"""),"7d2764f1")</f>
        <v>7d2764f1</v>
      </c>
      <c r="G1688" s="211" t="str">
        <f>IFERROR(__xludf.DUMMYFUNCTION("""COMPUTED_VALUE"""),"Oksigen 7m3")</f>
        <v>Oksigen 7m3</v>
      </c>
      <c r="H1688" s="211" t="str">
        <f>IFERROR(__xludf.DUMMYFUNCTION("""COMPUTED_VALUE"""),"IN")</f>
        <v>IN</v>
      </c>
      <c r="I1688" s="211" t="str">
        <f>IFERROR(__xludf.DUMMYFUNCTION("""COMPUTED_VALUE"""),"EMPTY")</f>
        <v>EMPTY</v>
      </c>
      <c r="J1688" s="211">
        <f>IFERROR(__xludf.DUMMYFUNCTION("""COMPUTED_VALUE"""),4.0)</f>
        <v>4</v>
      </c>
      <c r="K1688" s="210" t="str">
        <f>IFERROR(__xludf.DUMMYFUNCTION("""COMPUTED_VALUE"""),"11140 11151 11143 11163")</f>
        <v>11140 11151 11143 11163</v>
      </c>
      <c r="L1688" s="211">
        <f>IFERROR(__xludf.DUMMYFUNCTION("""COMPUTED_VALUE"""),0.0)</f>
        <v>0</v>
      </c>
      <c r="M1688" s="211"/>
      <c r="N1688" s="211"/>
      <c r="O1688" s="211"/>
      <c r="Q1688" s="211"/>
      <c r="R1688" s="211"/>
      <c r="S1688" s="211"/>
      <c r="T1688" s="211"/>
      <c r="U1688" s="211"/>
      <c r="V1688" s="211"/>
      <c r="W1688" s="211"/>
      <c r="X1688" s="211"/>
      <c r="AL1688" s="211"/>
      <c r="AM1688" s="211"/>
      <c r="AN1688" s="211"/>
      <c r="AO1688" s="211"/>
      <c r="AP1688" s="215"/>
      <c r="AQ1688" s="218"/>
      <c r="AR1688" s="211"/>
    </row>
    <row r="1689">
      <c r="A1689" s="211"/>
      <c r="B1689" s="211"/>
      <c r="C1689" s="211"/>
      <c r="D1689" s="211"/>
      <c r="E1689" s="211"/>
      <c r="F1689" s="211"/>
      <c r="G1689" s="211"/>
      <c r="H1689" s="211"/>
      <c r="I1689" s="211"/>
      <c r="J1689" s="211"/>
      <c r="K1689" s="211"/>
      <c r="L1689" s="211"/>
      <c r="M1689" s="211"/>
      <c r="N1689" s="211"/>
      <c r="O1689" s="211"/>
      <c r="Q1689" s="210" t="str">
        <f>IFERROR(__xludf.DUMMYFUNCTION("""COMPUTED_VALUE"""),"1125191689")</f>
        <v>1125191689</v>
      </c>
      <c r="R1689" s="210" t="str">
        <f>IFERROR(__xludf.DUMMYFUNCTION("""COMPUTED_VALUE"""),"1125191689")</f>
        <v>1125191689</v>
      </c>
      <c r="S1689" s="211" t="str">
        <f>IFERROR(__xludf.DUMMYFUNCTION("""COMPUTED_VALUE"""),"4ec68cf6")</f>
        <v>4ec68cf6</v>
      </c>
      <c r="T1689" s="211" t="str">
        <f>IFERROR(__xludf.DUMMYFUNCTION("""COMPUTED_VALUE"""),"CV Sido Mukti Karya")</f>
        <v>CV Sido Mukti Karya</v>
      </c>
      <c r="U1689" s="215">
        <f>IFERROR(__xludf.DUMMYFUNCTION("""COMPUTED_VALUE"""),45973.630844907406)</f>
        <v>45973.63084</v>
      </c>
      <c r="V1689" s="211" t="str">
        <f>IFERROR(__xludf.DUMMYFUNCTION("""COMPUTED_VALUE"""),"Pergudangan Center Point no A3, Kemangsen")</f>
        <v>Pergudangan Center Point no A3, Kemangsen</v>
      </c>
      <c r="W1689" s="211" t="str">
        <f>IFERROR(__xludf.DUMMYFUNCTION("""COMPUTED_VALUE"""),"OUT")</f>
        <v>OUT</v>
      </c>
      <c r="X1689" s="211"/>
      <c r="AL1689" s="211"/>
      <c r="AM1689" s="211"/>
      <c r="AN1689" s="211"/>
      <c r="AO1689" s="211"/>
      <c r="AP1689" s="215"/>
      <c r="AQ1689" s="218"/>
      <c r="AR1689" s="211"/>
    </row>
    <row r="1690">
      <c r="A1690" s="210" t="str">
        <f>IFERROR(__xludf.DUMMYFUNCTION("""COMPUTED_VALUE"""),"1250565")</f>
        <v>1250565</v>
      </c>
      <c r="B1690" s="210" t="str">
        <f>IFERROR(__xludf.DUMMYFUNCTION("""COMPUTED_VALUE"""),"1250565")</f>
        <v>1250565</v>
      </c>
      <c r="C1690" s="213">
        <f>IFERROR(__xludf.DUMMYFUNCTION("""COMPUTED_VALUE"""),45906.36127314815)</f>
        <v>45906.36127</v>
      </c>
      <c r="D1690" s="211" t="str">
        <f>IFERROR(__xludf.DUMMYFUNCTION("""COMPUTED_VALUE"""),"2d88931c")</f>
        <v>2d88931c</v>
      </c>
      <c r="E1690" s="211" t="str">
        <f>IFERROR(__xludf.DUMMYFUNCTION("""COMPUTED_VALUE"""),"PT Dunia Berkat Marga Mulya")</f>
        <v>PT Dunia Berkat Marga Mulya</v>
      </c>
      <c r="F1690" s="211" t="str">
        <f>IFERROR(__xludf.DUMMYFUNCTION("""COMPUTED_VALUE"""),"8bdbe149")</f>
        <v>8bdbe149</v>
      </c>
      <c r="G1690" s="211" t="str">
        <f>IFERROR(__xludf.DUMMYFUNCTION("""COMPUTED_VALUE"""),"Oksigen 6m3")</f>
        <v>Oksigen 6m3</v>
      </c>
      <c r="H1690" s="211" t="str">
        <f>IFERROR(__xludf.DUMMYFUNCTION("""COMPUTED_VALUE"""),"IN")</f>
        <v>IN</v>
      </c>
      <c r="I1690" s="211" t="str">
        <f>IFERROR(__xludf.DUMMYFUNCTION("""COMPUTED_VALUE"""),"EMPTY")</f>
        <v>EMPTY</v>
      </c>
      <c r="J1690" s="211">
        <f>IFERROR(__xludf.DUMMYFUNCTION("""COMPUTED_VALUE"""),1.0)</f>
        <v>1</v>
      </c>
      <c r="K1690" s="210" t="str">
        <f>IFERROR(__xludf.DUMMYFUNCTION("""COMPUTED_VALUE"""),"11263")</f>
        <v>11263</v>
      </c>
      <c r="L1690" s="211">
        <f>IFERROR(__xludf.DUMMYFUNCTION("""COMPUTED_VALUE"""),0.0)</f>
        <v>0</v>
      </c>
      <c r="M1690" s="211"/>
      <c r="N1690" s="211"/>
      <c r="O1690" s="211"/>
      <c r="Q1690" s="210" t="str">
        <f>IFERROR(__xludf.DUMMYFUNCTION("""COMPUTED_VALUE"""),"1250775")</f>
        <v>1250775</v>
      </c>
      <c r="R1690" s="210" t="str">
        <f>IFERROR(__xludf.DUMMYFUNCTION("""COMPUTED_VALUE"""),"1250775")</f>
        <v>1250775</v>
      </c>
      <c r="S1690" s="211" t="str">
        <f>IFERROR(__xludf.DUMMYFUNCTION("""COMPUTED_VALUE"""),"4ec68cf6")</f>
        <v>4ec68cf6</v>
      </c>
      <c r="T1690" s="211" t="str">
        <f>IFERROR(__xludf.DUMMYFUNCTION("""COMPUTED_VALUE"""),"CV Sido Mukti Karya")</f>
        <v>CV Sido Mukti Karya</v>
      </c>
      <c r="U1690" s="215">
        <f>IFERROR(__xludf.DUMMYFUNCTION("""COMPUTED_VALUE"""),45973.66840277778)</f>
        <v>45973.6684</v>
      </c>
      <c r="V1690" s="211" t="str">
        <f>IFERROR(__xludf.DUMMYFUNCTION("""COMPUTED_VALUE"""),"Pergudangan Center Point no A3, Kemangsen")</f>
        <v>Pergudangan Center Point no A3, Kemangsen</v>
      </c>
      <c r="W1690" s="211" t="str">
        <f>IFERROR(__xludf.DUMMYFUNCTION("""COMPUTED_VALUE"""),"IN")</f>
        <v>IN</v>
      </c>
      <c r="X1690" s="211"/>
      <c r="AL1690" s="211"/>
      <c r="AM1690" s="211"/>
      <c r="AN1690" s="211"/>
      <c r="AO1690" s="211"/>
      <c r="AP1690" s="215"/>
      <c r="AQ1690" s="218"/>
      <c r="AR1690" s="211"/>
    </row>
    <row r="1691">
      <c r="A1691" s="210" t="str">
        <f>IFERROR(__xludf.DUMMYFUNCTION("""COMPUTED_VALUE"""),"0925171220")</f>
        <v>0925171220</v>
      </c>
      <c r="B1691" s="210" t="str">
        <f>IFERROR(__xludf.DUMMYFUNCTION("""COMPUTED_VALUE"""),"0925171220")</f>
        <v>0925171220</v>
      </c>
      <c r="C1691" s="213">
        <f>IFERROR(__xludf.DUMMYFUNCTION("""COMPUTED_VALUE"""),45906.382048611114)</f>
        <v>45906.38205</v>
      </c>
      <c r="D1691" s="211" t="str">
        <f>IFERROR(__xludf.DUMMYFUNCTION("""COMPUTED_VALUE"""),"b2b5f2c5")</f>
        <v>b2b5f2c5</v>
      </c>
      <c r="E1691" s="211" t="str">
        <f>IFERROR(__xludf.DUMMYFUNCTION("""COMPUTED_VALUE"""),"Bengkel Las Bpk. Ari")</f>
        <v>Bengkel Las Bpk. Ari</v>
      </c>
      <c r="F1691" s="211" t="str">
        <f>IFERROR(__xludf.DUMMYFUNCTION("""COMPUTED_VALUE"""),"8bdbe149")</f>
        <v>8bdbe149</v>
      </c>
      <c r="G1691" s="211" t="str">
        <f>IFERROR(__xludf.DUMMYFUNCTION("""COMPUTED_VALUE"""),"Oksigen 6m3")</f>
        <v>Oksigen 6m3</v>
      </c>
      <c r="H1691" s="211" t="str">
        <f>IFERROR(__xludf.DUMMYFUNCTION("""COMPUTED_VALUE"""),"OUT")</f>
        <v>OUT</v>
      </c>
      <c r="I1691" s="211" t="str">
        <f>IFERROR(__xludf.DUMMYFUNCTION("""COMPUTED_VALUE"""),"NORMAL")</f>
        <v>NORMAL</v>
      </c>
      <c r="J1691" s="211">
        <f>IFERROR(__xludf.DUMMYFUNCTION("""COMPUTED_VALUE"""),6.0)</f>
        <v>6</v>
      </c>
      <c r="K1691" s="210" t="str">
        <f>IFERROR(__xludf.DUMMYFUNCTION("""COMPUTED_VALUE"""),"11261 1136 11182 11247 11125 11258")</f>
        <v>11261 1136 11182 11247 11125 11258</v>
      </c>
      <c r="L1691" s="211">
        <f>IFERROR(__xludf.DUMMYFUNCTION("""COMPUTED_VALUE"""),60000.0)</f>
        <v>60000</v>
      </c>
      <c r="M1691" s="211"/>
      <c r="N1691" s="211"/>
      <c r="O1691" s="211"/>
      <c r="Q1691" s="210" t="str">
        <f>IFERROR(__xludf.DUMMYFUNCTION("""COMPUTED_VALUE"""),"112571690")</f>
        <v>112571690</v>
      </c>
      <c r="R1691" s="210" t="str">
        <f>IFERROR(__xludf.DUMMYFUNCTION("""COMPUTED_VALUE"""),"112571690")</f>
        <v>112571690</v>
      </c>
      <c r="S1691" s="211" t="str">
        <f>IFERROR(__xludf.DUMMYFUNCTION("""COMPUTED_VALUE"""),"faf71ae5")</f>
        <v>faf71ae5</v>
      </c>
      <c r="T1691" s="211" t="str">
        <f>IFERROR(__xludf.DUMMYFUNCTION("""COMPUTED_VALUE"""),"Bpk. Sampurna")</f>
        <v>Bpk. Sampurna</v>
      </c>
      <c r="U1691" s="215">
        <f>IFERROR(__xludf.DUMMYFUNCTION("""COMPUTED_VALUE"""),45973.67659722222)</f>
        <v>45973.6766</v>
      </c>
      <c r="V1691" s="211" t="str">
        <f>IFERROR(__xludf.DUMMYFUNCTION("""COMPUTED_VALUE"""),"Jl. Bypass Krian KM.30 No.15, Kraton, Kec. Krian, Kabupaten Sidoarjo, Jawa Timur 61262")</f>
        <v>Jl. Bypass Krian KM.30 No.15, Kraton, Kec. Krian, Kabupaten Sidoarjo, Jawa Timur 61262</v>
      </c>
      <c r="W1691" s="211" t="str">
        <f>IFERROR(__xludf.DUMMYFUNCTION("""COMPUTED_VALUE"""),"OUT")</f>
        <v>OUT</v>
      </c>
      <c r="X1691" s="211"/>
      <c r="AL1691" s="211"/>
      <c r="AM1691" s="211"/>
      <c r="AN1691" s="211"/>
      <c r="AO1691" s="211"/>
      <c r="AP1691" s="215"/>
      <c r="AQ1691" s="218"/>
      <c r="AR1691" s="211"/>
    </row>
    <row r="1692">
      <c r="A1692" s="210" t="str">
        <f>IFERROR(__xludf.DUMMYFUNCTION("""COMPUTED_VALUE"""),"092521227")</f>
        <v>092521227</v>
      </c>
      <c r="B1692" s="210" t="str">
        <f>IFERROR(__xludf.DUMMYFUNCTION("""COMPUTED_VALUE"""),"092521227")</f>
        <v>092521227</v>
      </c>
      <c r="C1692" s="213">
        <f>IFERROR(__xludf.DUMMYFUNCTION("""COMPUTED_VALUE"""),45906.383622685185)</f>
        <v>45906.38362</v>
      </c>
      <c r="D1692" s="211" t="str">
        <f>IFERROR(__xludf.DUMMYFUNCTION("""COMPUTED_VALUE"""),"bdb5baf3")</f>
        <v>bdb5baf3</v>
      </c>
      <c r="E1692" s="211" t="str">
        <f>IFERROR(__xludf.DUMMYFUNCTION("""COMPUTED_VALUE"""),"Bpk. Abdul")</f>
        <v>Bpk. Abdul</v>
      </c>
      <c r="F1692" s="211" t="str">
        <f>IFERROR(__xludf.DUMMYFUNCTION("""COMPUTED_VALUE"""),"7d2764f1")</f>
        <v>7d2764f1</v>
      </c>
      <c r="G1692" s="211" t="str">
        <f>IFERROR(__xludf.DUMMYFUNCTION("""COMPUTED_VALUE"""),"Oksigen 7m3")</f>
        <v>Oksigen 7m3</v>
      </c>
      <c r="H1692" s="211" t="str">
        <f>IFERROR(__xludf.DUMMYFUNCTION("""COMPUTED_VALUE"""),"OUT")</f>
        <v>OUT</v>
      </c>
      <c r="I1692" s="211" t="str">
        <f>IFERROR(__xludf.DUMMYFUNCTION("""COMPUTED_VALUE"""),"NORMAL")</f>
        <v>NORMAL</v>
      </c>
      <c r="J1692" s="211">
        <f>IFERROR(__xludf.DUMMYFUNCTION("""COMPUTED_VALUE"""),1.0)</f>
        <v>1</v>
      </c>
      <c r="K1692" s="210" t="str">
        <f>IFERROR(__xludf.DUMMYFUNCTION("""COMPUTED_VALUE"""),"1161")</f>
        <v>1161</v>
      </c>
      <c r="L1692" s="211">
        <f>IFERROR(__xludf.DUMMYFUNCTION("""COMPUTED_VALUE"""),80000.0)</f>
        <v>80000</v>
      </c>
      <c r="M1692" s="211"/>
      <c r="N1692" s="211"/>
      <c r="O1692" s="211"/>
      <c r="Q1692" s="210" t="str">
        <f>IFERROR(__xludf.DUMMYFUNCTION("""COMPUTED_VALUE"""),"1250780")</f>
        <v>1250780</v>
      </c>
      <c r="R1692" s="210" t="str">
        <f>IFERROR(__xludf.DUMMYFUNCTION("""COMPUTED_VALUE"""),"1250780")</f>
        <v>1250780</v>
      </c>
      <c r="S1692" s="211" t="str">
        <f>IFERROR(__xludf.DUMMYFUNCTION("""COMPUTED_VALUE"""),"faf71ae5")</f>
        <v>faf71ae5</v>
      </c>
      <c r="T1692" s="211" t="str">
        <f>IFERROR(__xludf.DUMMYFUNCTION("""COMPUTED_VALUE"""),"Bpk. Sampurna")</f>
        <v>Bpk. Sampurna</v>
      </c>
      <c r="U1692" s="215">
        <f>IFERROR(__xludf.DUMMYFUNCTION("""COMPUTED_VALUE"""),45973.678819444445)</f>
        <v>45973.67882</v>
      </c>
      <c r="V1692" s="211" t="str">
        <f>IFERROR(__xludf.DUMMYFUNCTION("""COMPUTED_VALUE"""),"Jl. Bypass Krian KM.30 No.15, Kraton, Kec. Krian, Kabupaten Sidoarjo, Jawa Timur 61262")</f>
        <v>Jl. Bypass Krian KM.30 No.15, Kraton, Kec. Krian, Kabupaten Sidoarjo, Jawa Timur 61262</v>
      </c>
      <c r="W1692" s="211" t="str">
        <f>IFERROR(__xludf.DUMMYFUNCTION("""COMPUTED_VALUE"""),"IN")</f>
        <v>IN</v>
      </c>
      <c r="X1692" s="211"/>
      <c r="AL1692" s="211"/>
      <c r="AM1692" s="211"/>
      <c r="AN1692" s="211"/>
      <c r="AO1692" s="211"/>
      <c r="AP1692" s="215"/>
      <c r="AQ1692" s="218"/>
      <c r="AR1692" s="211"/>
    </row>
    <row r="1693">
      <c r="A1693" s="210" t="str">
        <f>IFERROR(__xludf.DUMMYFUNCTION("""COMPUTED_VALUE"""),"092521228")</f>
        <v>092521228</v>
      </c>
      <c r="B1693" s="210" t="str">
        <f>IFERROR(__xludf.DUMMYFUNCTION("""COMPUTED_VALUE"""),"092521228")</f>
        <v>092521228</v>
      </c>
      <c r="C1693" s="213">
        <f>IFERROR(__xludf.DUMMYFUNCTION("""COMPUTED_VALUE"""),45906.4278587963)</f>
        <v>45906.42786</v>
      </c>
      <c r="D1693" s="211" t="str">
        <f>IFERROR(__xludf.DUMMYFUNCTION("""COMPUTED_VALUE"""),"9e31e9f4")</f>
        <v>9e31e9f4</v>
      </c>
      <c r="E1693" s="211" t="str">
        <f>IFERROR(__xludf.DUMMYFUNCTION("""COMPUTED_VALUE"""),"Bpk. Eko Iswantoro")</f>
        <v>Bpk. Eko Iswantoro</v>
      </c>
      <c r="F1693" s="211" t="str">
        <f>IFERROR(__xludf.DUMMYFUNCTION("""COMPUTED_VALUE"""),"8bdbe149")</f>
        <v>8bdbe149</v>
      </c>
      <c r="G1693" s="211" t="str">
        <f>IFERROR(__xludf.DUMMYFUNCTION("""COMPUTED_VALUE"""),"Oksigen 6m3")</f>
        <v>Oksigen 6m3</v>
      </c>
      <c r="H1693" s="211" t="str">
        <f>IFERROR(__xludf.DUMMYFUNCTION("""COMPUTED_VALUE"""),"OUT")</f>
        <v>OUT</v>
      </c>
      <c r="I1693" s="211" t="str">
        <f>IFERROR(__xludf.DUMMYFUNCTION("""COMPUTED_VALUE"""),"NORMAL")</f>
        <v>NORMAL</v>
      </c>
      <c r="J1693" s="211">
        <f>IFERROR(__xludf.DUMMYFUNCTION("""COMPUTED_VALUE"""),1.0)</f>
        <v>1</v>
      </c>
      <c r="K1693" s="210" t="str">
        <f>IFERROR(__xludf.DUMMYFUNCTION("""COMPUTED_VALUE"""),"11200")</f>
        <v>11200</v>
      </c>
      <c r="L1693" s="211">
        <f>IFERROR(__xludf.DUMMYFUNCTION("""COMPUTED_VALUE"""),70000.0)</f>
        <v>70000</v>
      </c>
      <c r="M1693" s="211"/>
      <c r="N1693" s="211"/>
      <c r="O1693" s="211"/>
      <c r="Q1693" s="210" t="str">
        <f>IFERROR(__xludf.DUMMYFUNCTION("""COMPUTED_VALUE"""),"112521692")</f>
        <v>112521692</v>
      </c>
      <c r="R1693" s="210" t="str">
        <f>IFERROR(__xludf.DUMMYFUNCTION("""COMPUTED_VALUE"""),"112521692")</f>
        <v>112521692</v>
      </c>
      <c r="S1693" s="211" t="str">
        <f>IFERROR(__xludf.DUMMYFUNCTION("""COMPUTED_VALUE"""),"734c6d17")</f>
        <v>734c6d17</v>
      </c>
      <c r="T1693" s="211" t="str">
        <f>IFERROR(__xludf.DUMMYFUNCTION("""COMPUTED_VALUE"""),"Bapak Ainol Yaqin ( Bpk. Ibnu )")</f>
        <v>Bapak Ainol Yaqin ( Bpk. Ibnu )</v>
      </c>
      <c r="U1693" s="215">
        <f>IFERROR(__xludf.DUMMYFUNCTION("""COMPUTED_VALUE"""),45974.345671296294)</f>
        <v>45974.34567</v>
      </c>
      <c r="V1693" s="211" t="str">
        <f>IFERROR(__xludf.DUMMYFUNCTION("""COMPUTED_VALUE"""),"Tanggul Wetan, Tanggul, Kec. Wonoayu, Kabupaten Sidoarjo, Jawa Timur")</f>
        <v>Tanggul Wetan, Tanggul, Kec. Wonoayu, Kabupaten Sidoarjo, Jawa Timur</v>
      </c>
      <c r="W1693" s="211" t="str">
        <f>IFERROR(__xludf.DUMMYFUNCTION("""COMPUTED_VALUE"""),"OUT")</f>
        <v>OUT</v>
      </c>
      <c r="X1693" s="211"/>
      <c r="AL1693" s="211"/>
      <c r="AM1693" s="211"/>
      <c r="AN1693" s="211"/>
      <c r="AO1693" s="211"/>
      <c r="AP1693" s="215"/>
      <c r="AQ1693" s="218"/>
      <c r="AR1693" s="211"/>
    </row>
    <row r="1694">
      <c r="A1694" s="210" t="str">
        <f>IFERROR(__xludf.DUMMYFUNCTION("""COMPUTED_VALUE"""),"1250555")</f>
        <v>1250555</v>
      </c>
      <c r="B1694" s="210" t="str">
        <f>IFERROR(__xludf.DUMMYFUNCTION("""COMPUTED_VALUE"""),"1250555")</f>
        <v>1250555</v>
      </c>
      <c r="C1694" s="213">
        <f>IFERROR(__xludf.DUMMYFUNCTION("""COMPUTED_VALUE"""),45906.461909722224)</f>
        <v>45906.46191</v>
      </c>
      <c r="D1694" s="211" t="str">
        <f>IFERROR(__xludf.DUMMYFUNCTION("""COMPUTED_VALUE"""),"9e31e9f4")</f>
        <v>9e31e9f4</v>
      </c>
      <c r="E1694" s="211" t="str">
        <f>IFERROR(__xludf.DUMMYFUNCTION("""COMPUTED_VALUE"""),"Bpk. Eko Iswantoro")</f>
        <v>Bpk. Eko Iswantoro</v>
      </c>
      <c r="F1694" s="211" t="str">
        <f>IFERROR(__xludf.DUMMYFUNCTION("""COMPUTED_VALUE"""),"8bdbe149")</f>
        <v>8bdbe149</v>
      </c>
      <c r="G1694" s="211" t="str">
        <f>IFERROR(__xludf.DUMMYFUNCTION("""COMPUTED_VALUE"""),"Oksigen 6m3")</f>
        <v>Oksigen 6m3</v>
      </c>
      <c r="H1694" s="211" t="str">
        <f>IFERROR(__xludf.DUMMYFUNCTION("""COMPUTED_VALUE"""),"IN")</f>
        <v>IN</v>
      </c>
      <c r="I1694" s="211" t="str">
        <f>IFERROR(__xludf.DUMMYFUNCTION("""COMPUTED_VALUE"""),"EMPTY")</f>
        <v>EMPTY</v>
      </c>
      <c r="J1694" s="211">
        <f>IFERROR(__xludf.DUMMYFUNCTION("""COMPUTED_VALUE"""),1.0)</f>
        <v>1</v>
      </c>
      <c r="K1694" s="210" t="str">
        <f>IFERROR(__xludf.DUMMYFUNCTION("""COMPUTED_VALUE"""),"1109")</f>
        <v>1109</v>
      </c>
      <c r="L1694" s="211">
        <f>IFERROR(__xludf.DUMMYFUNCTION("""COMPUTED_VALUE"""),0.0)</f>
        <v>0</v>
      </c>
      <c r="M1694" s="211"/>
      <c r="N1694" s="211"/>
      <c r="O1694" s="211"/>
      <c r="Q1694" s="210" t="str">
        <f>IFERROR(__xludf.DUMMYFUNCTION("""COMPUTED_VALUE"""),"1125271694")</f>
        <v>1125271694</v>
      </c>
      <c r="R1694" s="210" t="str">
        <f>IFERROR(__xludf.DUMMYFUNCTION("""COMPUTED_VALUE"""),"1125271694")</f>
        <v>1125271694</v>
      </c>
      <c r="S1694" s="211" t="str">
        <f>IFERROR(__xludf.DUMMYFUNCTION("""COMPUTED_VALUE"""),"8f5ebaea")</f>
        <v>8f5ebaea</v>
      </c>
      <c r="T1694" s="211" t="str">
        <f>IFERROR(__xludf.DUMMYFUNCTION("""COMPUTED_VALUE"""),"PT Hua Zong Mesindo")</f>
        <v>PT Hua Zong Mesindo</v>
      </c>
      <c r="U1694" s="215">
        <f>IFERROR(__xludf.DUMMYFUNCTION("""COMPUTED_VALUE"""),45974.35978009259)</f>
        <v>45974.35978</v>
      </c>
      <c r="V1694" s="211" t="str">
        <f>IFERROR(__xludf.DUMMYFUNCTION("""COMPUTED_VALUE"""),"Jl. Bypass Krian, Sidotemo, Sidomulyo, Kec. Krian, Kabupaten Sidoarjo, Jawa Timur 61262")</f>
        <v>Jl. Bypass Krian, Sidotemo, Sidomulyo, Kec. Krian, Kabupaten Sidoarjo, Jawa Timur 61262</v>
      </c>
      <c r="W1694" s="211" t="str">
        <f>IFERROR(__xludf.DUMMYFUNCTION("""COMPUTED_VALUE"""),"OUT")</f>
        <v>OUT</v>
      </c>
      <c r="X1694" s="211"/>
      <c r="AL1694" s="211"/>
      <c r="AM1694" s="211"/>
      <c r="AN1694" s="211"/>
      <c r="AO1694" s="211"/>
      <c r="AP1694" s="215"/>
      <c r="AQ1694" s="218"/>
      <c r="AR1694" s="211"/>
    </row>
    <row r="1695">
      <c r="A1695" s="210" t="str">
        <f>IFERROR(__xludf.DUMMYFUNCTION("""COMPUTED_VALUE"""),"1250568")</f>
        <v>1250568</v>
      </c>
      <c r="B1695" s="210" t="str">
        <f>IFERROR(__xludf.DUMMYFUNCTION("""COMPUTED_VALUE"""),"1250568")</f>
        <v>1250568</v>
      </c>
      <c r="C1695" s="213">
        <f>IFERROR(__xludf.DUMMYFUNCTION("""COMPUTED_VALUE"""),45906.52075231481)</f>
        <v>45906.52075</v>
      </c>
      <c r="D1695" s="211" t="str">
        <f>IFERROR(__xludf.DUMMYFUNCTION("""COMPUTED_VALUE"""),"bdb5baf3")</f>
        <v>bdb5baf3</v>
      </c>
      <c r="E1695" s="211" t="str">
        <f>IFERROR(__xludf.DUMMYFUNCTION("""COMPUTED_VALUE"""),"Bpk. Abdul")</f>
        <v>Bpk. Abdul</v>
      </c>
      <c r="F1695" s="211" t="str">
        <f>IFERROR(__xludf.DUMMYFUNCTION("""COMPUTED_VALUE"""),"8bdbe149")</f>
        <v>8bdbe149</v>
      </c>
      <c r="G1695" s="211" t="str">
        <f>IFERROR(__xludf.DUMMYFUNCTION("""COMPUTED_VALUE"""),"Oksigen 6m3")</f>
        <v>Oksigen 6m3</v>
      </c>
      <c r="H1695" s="211" t="str">
        <f>IFERROR(__xludf.DUMMYFUNCTION("""COMPUTED_VALUE"""),"IN")</f>
        <v>IN</v>
      </c>
      <c r="I1695" s="211" t="str">
        <f>IFERROR(__xludf.DUMMYFUNCTION("""COMPUTED_VALUE"""),"EMPTY")</f>
        <v>EMPTY</v>
      </c>
      <c r="J1695" s="211">
        <f>IFERROR(__xludf.DUMMYFUNCTION("""COMPUTED_VALUE"""),1.0)</f>
        <v>1</v>
      </c>
      <c r="K1695" s="210" t="str">
        <f>IFERROR(__xludf.DUMMYFUNCTION("""COMPUTED_VALUE"""),"1105")</f>
        <v>1105</v>
      </c>
      <c r="L1695" s="211">
        <f>IFERROR(__xludf.DUMMYFUNCTION("""COMPUTED_VALUE"""),0.0)</f>
        <v>0</v>
      </c>
      <c r="M1695" s="211"/>
      <c r="N1695" s="211"/>
      <c r="O1695" s="211"/>
      <c r="Q1695" s="210" t="str">
        <f>IFERROR(__xludf.DUMMYFUNCTION("""COMPUTED_VALUE"""),"112591695")</f>
        <v>112591695</v>
      </c>
      <c r="R1695" s="210" t="str">
        <f>IFERROR(__xludf.DUMMYFUNCTION("""COMPUTED_VALUE"""),"112591695")</f>
        <v>112591695</v>
      </c>
      <c r="S1695" s="211" t="str">
        <f>IFERROR(__xludf.DUMMYFUNCTION("""COMPUTED_VALUE"""),"8ea74d81")</f>
        <v>8ea74d81</v>
      </c>
      <c r="T1695" s="211" t="str">
        <f>IFERROR(__xludf.DUMMYFUNCTION("""COMPUTED_VALUE"""),"Bengkel Adi Putra")</f>
        <v>Bengkel Adi Putra</v>
      </c>
      <c r="U1695" s="215">
        <f>IFERROR(__xludf.DUMMYFUNCTION("""COMPUTED_VALUE"""),45974.360300925924)</f>
        <v>45974.3603</v>
      </c>
      <c r="V1695" s="211" t="str">
        <f>IFERROR(__xludf.DUMMYFUNCTION("""COMPUTED_VALUE"""),"Bypass Balongbendo")</f>
        <v>Bypass Balongbendo</v>
      </c>
      <c r="W1695" s="211" t="str">
        <f>IFERROR(__xludf.DUMMYFUNCTION("""COMPUTED_VALUE"""),"OUT")</f>
        <v>OUT</v>
      </c>
      <c r="X1695" s="211"/>
      <c r="AL1695" s="211"/>
      <c r="AM1695" s="211"/>
      <c r="AN1695" s="211"/>
      <c r="AO1695" s="211"/>
      <c r="AP1695" s="215"/>
      <c r="AQ1695" s="218"/>
      <c r="AR1695" s="211"/>
    </row>
    <row r="1696">
      <c r="A1696" s="210" t="str">
        <f>IFERROR(__xludf.DUMMYFUNCTION("""COMPUTED_VALUE"""),"1250568")</f>
        <v>1250568</v>
      </c>
      <c r="B1696" s="210" t="str">
        <f>IFERROR(__xludf.DUMMYFUNCTION("""COMPUTED_VALUE"""),"1250568")</f>
        <v>1250568</v>
      </c>
      <c r="C1696" s="213">
        <f>IFERROR(__xludf.DUMMYFUNCTION("""COMPUTED_VALUE"""),45906.52075231481)</f>
        <v>45906.52075</v>
      </c>
      <c r="D1696" s="211" t="str">
        <f>IFERROR(__xludf.DUMMYFUNCTION("""COMPUTED_VALUE"""),"bdb5baf3")</f>
        <v>bdb5baf3</v>
      </c>
      <c r="E1696" s="211" t="str">
        <f>IFERROR(__xludf.DUMMYFUNCTION("""COMPUTED_VALUE"""),"Bpk. Abdul")</f>
        <v>Bpk. Abdul</v>
      </c>
      <c r="F1696" s="211" t="str">
        <f>IFERROR(__xludf.DUMMYFUNCTION("""COMPUTED_VALUE"""),"f6aab7a9")</f>
        <v>f6aab7a9</v>
      </c>
      <c r="G1696" s="211" t="str">
        <f>IFERROR(__xludf.DUMMYFUNCTION("""COMPUTED_VALUE"""),"Oksigen 6m3 MR")</f>
        <v>Oksigen 6m3 MR</v>
      </c>
      <c r="H1696" s="211" t="str">
        <f>IFERROR(__xludf.DUMMYFUNCTION("""COMPUTED_VALUE"""),"IN")</f>
        <v>IN</v>
      </c>
      <c r="I1696" s="211" t="str">
        <f>IFERROR(__xludf.DUMMYFUNCTION("""COMPUTED_VALUE"""),"EMPTY")</f>
        <v>EMPTY</v>
      </c>
      <c r="J1696" s="211">
        <f>IFERROR(__xludf.DUMMYFUNCTION("""COMPUTED_VALUE"""),2.0)</f>
        <v>2</v>
      </c>
      <c r="K1696" s="210" t="str">
        <f>IFERROR(__xludf.DUMMYFUNCTION("""COMPUTED_VALUE"""),"119 122")</f>
        <v>119 122</v>
      </c>
      <c r="L1696" s="211">
        <f>IFERROR(__xludf.DUMMYFUNCTION("""COMPUTED_VALUE"""),0.0)</f>
        <v>0</v>
      </c>
      <c r="M1696" s="211"/>
      <c r="N1696" s="211"/>
      <c r="O1696" s="211"/>
      <c r="Q1696" s="210" t="str">
        <f>IFERROR(__xludf.DUMMYFUNCTION("""COMPUTED_VALUE"""),"112521696")</f>
        <v>112521696</v>
      </c>
      <c r="R1696" s="210" t="str">
        <f>IFERROR(__xludf.DUMMYFUNCTION("""COMPUTED_VALUE"""),"112521696")</f>
        <v>112521696</v>
      </c>
      <c r="S1696" s="211" t="str">
        <f>IFERROR(__xludf.DUMMYFUNCTION("""COMPUTED_VALUE"""),"9e66ced9")</f>
        <v>9e66ced9</v>
      </c>
      <c r="T1696" s="211" t="str">
        <f>IFERROR(__xludf.DUMMYFUNCTION("""COMPUTED_VALUE"""),"Bapak Angga")</f>
        <v>Bapak Angga</v>
      </c>
      <c r="U1696" s="215">
        <f>IFERROR(__xludf.DUMMYFUNCTION("""COMPUTED_VALUE"""),45974.36552083334)</f>
        <v>45974.36552</v>
      </c>
      <c r="V1696" s="211" t="str">
        <f>IFERROR(__xludf.DUMMYFUNCTION("""COMPUTED_VALUE"""),"Jl. Bypass Krian No.2, Tundungan, Sidomojo, Kec. Krian, Kabupaten Sidoarjo, Jawa Timur 61262")</f>
        <v>Jl. Bypass Krian No.2, Tundungan, Sidomojo, Kec. Krian, Kabupaten Sidoarjo, Jawa Timur 61262</v>
      </c>
      <c r="W1696" s="211" t="str">
        <f>IFERROR(__xludf.DUMMYFUNCTION("""COMPUTED_VALUE"""),"OUT")</f>
        <v>OUT</v>
      </c>
      <c r="X1696" s="211"/>
      <c r="AL1696" s="211"/>
      <c r="AM1696" s="211"/>
      <c r="AN1696" s="211"/>
      <c r="AO1696" s="211"/>
      <c r="AP1696" s="215"/>
      <c r="AQ1696" s="218"/>
      <c r="AR1696" s="211"/>
    </row>
    <row r="1697">
      <c r="A1697" s="210" t="str">
        <f>IFERROR(__xludf.DUMMYFUNCTION("""COMPUTED_VALUE"""),"1250569")</f>
        <v>1250569</v>
      </c>
      <c r="B1697" s="210" t="str">
        <f>IFERROR(__xludf.DUMMYFUNCTION("""COMPUTED_VALUE"""),"1250569")</f>
        <v>1250569</v>
      </c>
      <c r="C1697" s="213">
        <f>IFERROR(__xludf.DUMMYFUNCTION("""COMPUTED_VALUE"""),45906.52202546296)</f>
        <v>45906.52203</v>
      </c>
      <c r="D1697" s="211" t="str">
        <f>IFERROR(__xludf.DUMMYFUNCTION("""COMPUTED_VALUE"""),"b2b5f2c5")</f>
        <v>b2b5f2c5</v>
      </c>
      <c r="E1697" s="211" t="str">
        <f>IFERROR(__xludf.DUMMYFUNCTION("""COMPUTED_VALUE"""),"Bengkel Las Bpk. Ari")</f>
        <v>Bengkel Las Bpk. Ari</v>
      </c>
      <c r="F1697" s="211" t="str">
        <f>IFERROR(__xludf.DUMMYFUNCTION("""COMPUTED_VALUE"""),"8bdbe149")</f>
        <v>8bdbe149</v>
      </c>
      <c r="G1697" s="211" t="str">
        <f>IFERROR(__xludf.DUMMYFUNCTION("""COMPUTED_VALUE"""),"Oksigen 6m3")</f>
        <v>Oksigen 6m3</v>
      </c>
      <c r="H1697" s="211" t="str">
        <f>IFERROR(__xludf.DUMMYFUNCTION("""COMPUTED_VALUE"""),"IN")</f>
        <v>IN</v>
      </c>
      <c r="I1697" s="211" t="str">
        <f>IFERROR(__xludf.DUMMYFUNCTION("""COMPUTED_VALUE"""),"EMPTY")</f>
        <v>EMPTY</v>
      </c>
      <c r="J1697" s="211">
        <f>IFERROR(__xludf.DUMMYFUNCTION("""COMPUTED_VALUE"""),9.0)</f>
        <v>9</v>
      </c>
      <c r="K1697" s="210" t="str">
        <f>IFERROR(__xludf.DUMMYFUNCTION("""COMPUTED_VALUE"""),"11198 11239 11188 11217 11229 11218 11175 1164 76")</f>
        <v>11198 11239 11188 11217 11229 11218 11175 1164 76</v>
      </c>
      <c r="L1697" s="211">
        <f>IFERROR(__xludf.DUMMYFUNCTION("""COMPUTED_VALUE"""),0.0)</f>
        <v>0</v>
      </c>
      <c r="M1697" s="211"/>
      <c r="N1697" s="211"/>
      <c r="O1697" s="211"/>
      <c r="Q1697" s="210" t="str">
        <f>IFERROR(__xludf.DUMMYFUNCTION("""COMPUTED_VALUE"""),"1250774")</f>
        <v>1250774</v>
      </c>
      <c r="R1697" s="210" t="str">
        <f>IFERROR(__xludf.DUMMYFUNCTION("""COMPUTED_VALUE"""),"1250774")</f>
        <v>1250774</v>
      </c>
      <c r="S1697" s="211" t="str">
        <f>IFERROR(__xludf.DUMMYFUNCTION("""COMPUTED_VALUE"""),"9e66ced9")</f>
        <v>9e66ced9</v>
      </c>
      <c r="T1697" s="211" t="str">
        <f>IFERROR(__xludf.DUMMYFUNCTION("""COMPUTED_VALUE"""),"Bapak Angga")</f>
        <v>Bapak Angga</v>
      </c>
      <c r="U1697" s="215">
        <f>IFERROR(__xludf.DUMMYFUNCTION("""COMPUTED_VALUE"""),45974.44081018519)</f>
        <v>45974.44081</v>
      </c>
      <c r="V1697" s="211" t="str">
        <f>IFERROR(__xludf.DUMMYFUNCTION("""COMPUTED_VALUE"""),"Jl. Bypass Krian No.2, Tundungan, Sidomojo, Kec. Krian, Kabupaten Sidoarjo, Jawa Timur 61262")</f>
        <v>Jl. Bypass Krian No.2, Tundungan, Sidomojo, Kec. Krian, Kabupaten Sidoarjo, Jawa Timur 61262</v>
      </c>
      <c r="W1697" s="211" t="str">
        <f>IFERROR(__xludf.DUMMYFUNCTION("""COMPUTED_VALUE"""),"IN")</f>
        <v>IN</v>
      </c>
      <c r="X1697" s="211"/>
      <c r="AL1697" s="211"/>
      <c r="AM1697" s="211"/>
      <c r="AN1697" s="211"/>
      <c r="AO1697" s="211"/>
      <c r="AP1697" s="215"/>
      <c r="AQ1697" s="218"/>
      <c r="AR1697" s="211"/>
    </row>
    <row r="1698">
      <c r="A1698" s="210" t="str">
        <f>IFERROR(__xludf.DUMMYFUNCTION("""COMPUTED_VALUE"""),"1250570")</f>
        <v>1250570</v>
      </c>
      <c r="B1698" s="210" t="str">
        <f>IFERROR(__xludf.DUMMYFUNCTION("""COMPUTED_VALUE"""),"1250570")</f>
        <v>1250570</v>
      </c>
      <c r="C1698" s="213">
        <f>IFERROR(__xludf.DUMMYFUNCTION("""COMPUTED_VALUE"""),45906.52744212963)</f>
        <v>45906.52744</v>
      </c>
      <c r="D1698" s="211" t="str">
        <f>IFERROR(__xludf.DUMMYFUNCTION("""COMPUTED_VALUE"""),"01158be1")</f>
        <v>01158be1</v>
      </c>
      <c r="E1698" s="211" t="str">
        <f>IFERROR(__xludf.DUMMYFUNCTION("""COMPUTED_VALUE"""),"GYF")</f>
        <v>GYF</v>
      </c>
      <c r="F1698" s="211" t="str">
        <f>IFERROR(__xludf.DUMMYFUNCTION("""COMPUTED_VALUE"""),"8bdbe149")</f>
        <v>8bdbe149</v>
      </c>
      <c r="G1698" s="211" t="str">
        <f>IFERROR(__xludf.DUMMYFUNCTION("""COMPUTED_VALUE"""),"Oksigen 6m3")</f>
        <v>Oksigen 6m3</v>
      </c>
      <c r="H1698" s="211" t="str">
        <f>IFERROR(__xludf.DUMMYFUNCTION("""COMPUTED_VALUE"""),"IN")</f>
        <v>IN</v>
      </c>
      <c r="I1698" s="211" t="str">
        <f>IFERROR(__xludf.DUMMYFUNCTION("""COMPUTED_VALUE"""),"EMPTY")</f>
        <v>EMPTY</v>
      </c>
      <c r="J1698" s="211">
        <f>IFERROR(__xludf.DUMMYFUNCTION("""COMPUTED_VALUE"""),6.0)</f>
        <v>6</v>
      </c>
      <c r="K1698" s="210" t="str">
        <f>IFERROR(__xludf.DUMMYFUNCTION("""COMPUTED_VALUE"""),"1148 11211 11118 11187 11183 11102")</f>
        <v>1148 11211 11118 11187 11183 11102</v>
      </c>
      <c r="L1698" s="211">
        <f>IFERROR(__xludf.DUMMYFUNCTION("""COMPUTED_VALUE"""),0.0)</f>
        <v>0</v>
      </c>
      <c r="M1698" s="211"/>
      <c r="N1698" s="211"/>
      <c r="O1698" s="211"/>
      <c r="Q1698" s="210" t="str">
        <f>IFERROR(__xludf.DUMMYFUNCTION("""COMPUTED_VALUE"""),"1250790")</f>
        <v>1250790</v>
      </c>
      <c r="R1698" s="210" t="str">
        <f>IFERROR(__xludf.DUMMYFUNCTION("""COMPUTED_VALUE"""),"1250790")</f>
        <v>1250790</v>
      </c>
      <c r="S1698" s="211" t="str">
        <f>IFERROR(__xludf.DUMMYFUNCTION("""COMPUTED_VALUE"""),"8ea74d81")</f>
        <v>8ea74d81</v>
      </c>
      <c r="T1698" s="211" t="str">
        <f>IFERROR(__xludf.DUMMYFUNCTION("""COMPUTED_VALUE"""),"Bengkel Adi Putra")</f>
        <v>Bengkel Adi Putra</v>
      </c>
      <c r="U1698" s="215">
        <f>IFERROR(__xludf.DUMMYFUNCTION("""COMPUTED_VALUE"""),45974.44159722222)</f>
        <v>45974.4416</v>
      </c>
      <c r="V1698" s="211" t="str">
        <f>IFERROR(__xludf.DUMMYFUNCTION("""COMPUTED_VALUE"""),"Bypass Balongbendo")</f>
        <v>Bypass Balongbendo</v>
      </c>
      <c r="W1698" s="211" t="str">
        <f>IFERROR(__xludf.DUMMYFUNCTION("""COMPUTED_VALUE"""),"IN")</f>
        <v>IN</v>
      </c>
      <c r="X1698" s="211"/>
      <c r="AL1698" s="211"/>
      <c r="AM1698" s="211"/>
      <c r="AN1698" s="211"/>
      <c r="AO1698" s="211"/>
      <c r="AP1698" s="215"/>
      <c r="AQ1698" s="218"/>
      <c r="AR1698" s="211"/>
    </row>
    <row r="1699">
      <c r="A1699" s="210" t="str">
        <f>IFERROR(__xludf.DUMMYFUNCTION("""COMPUTED_VALUE"""),"07250604")</f>
        <v>07250604</v>
      </c>
      <c r="B1699" s="210" t="str">
        <f>IFERROR(__xludf.DUMMYFUNCTION("""COMPUTED_VALUE"""),"07250604")</f>
        <v>07250604</v>
      </c>
      <c r="C1699" s="213">
        <f>IFERROR(__xludf.DUMMYFUNCTION("""COMPUTED_VALUE"""),45861.54027777778)</f>
        <v>45861.54028</v>
      </c>
      <c r="D1699" s="211" t="str">
        <f>IFERROR(__xludf.DUMMYFUNCTION("""COMPUTED_VALUE"""),"eec2e801")</f>
        <v>eec2e801</v>
      </c>
      <c r="E1699" s="211" t="str">
        <f>IFERROR(__xludf.DUMMYFUNCTION("""COMPUTED_VALUE"""),"Mitra Wood Sejahtera")</f>
        <v>Mitra Wood Sejahtera</v>
      </c>
      <c r="F1699" s="211" t="str">
        <f>IFERROR(__xludf.DUMMYFUNCTION("""COMPUTED_VALUE"""),"8bdbe149")</f>
        <v>8bdbe149</v>
      </c>
      <c r="G1699" s="211" t="str">
        <f>IFERROR(__xludf.DUMMYFUNCTION("""COMPUTED_VALUE"""),"Oksigen 6m3")</f>
        <v>Oksigen 6m3</v>
      </c>
      <c r="H1699" s="211" t="str">
        <f>IFERROR(__xludf.DUMMYFUNCTION("""COMPUTED_VALUE"""),"OUT")</f>
        <v>OUT</v>
      </c>
      <c r="I1699" s="211" t="str">
        <f>IFERROR(__xludf.DUMMYFUNCTION("""COMPUTED_VALUE"""),"NORMAL")</f>
        <v>NORMAL</v>
      </c>
      <c r="J1699" s="211">
        <f>IFERROR(__xludf.DUMMYFUNCTION("""COMPUTED_VALUE"""),10.0)</f>
        <v>10</v>
      </c>
      <c r="K1699" s="210" t="str">
        <f>IFERROR(__xludf.DUMMYFUNCTION("""COMPUTED_VALUE"""),"1132 11275 11240 11270 11266 11184 1158 11117 1119 11104")</f>
        <v>1132 11275 11240 11270 11266 11184 1158 11117 1119 11104</v>
      </c>
      <c r="L1699" s="211">
        <f>IFERROR(__xludf.DUMMYFUNCTION("""COMPUTED_VALUE"""),55000.0)</f>
        <v>55000</v>
      </c>
      <c r="M1699" s="211"/>
      <c r="N1699" s="211"/>
      <c r="O1699" s="211"/>
      <c r="Q1699" s="210" t="str">
        <f>IFERROR(__xludf.DUMMYFUNCTION("""COMPUTED_VALUE"""),"1250791")</f>
        <v>1250791</v>
      </c>
      <c r="R1699" s="210" t="str">
        <f>IFERROR(__xludf.DUMMYFUNCTION("""COMPUTED_VALUE"""),"1250791")</f>
        <v>1250791</v>
      </c>
      <c r="S1699" s="211" t="str">
        <f>IFERROR(__xludf.DUMMYFUNCTION("""COMPUTED_VALUE"""),"8f5ebaea")</f>
        <v>8f5ebaea</v>
      </c>
      <c r="T1699" s="211" t="str">
        <f>IFERROR(__xludf.DUMMYFUNCTION("""COMPUTED_VALUE"""),"PT Hua Zong Mesindo")</f>
        <v>PT Hua Zong Mesindo</v>
      </c>
      <c r="U1699" s="215">
        <f>IFERROR(__xludf.DUMMYFUNCTION("""COMPUTED_VALUE"""),45974.44189814815)</f>
        <v>45974.4419</v>
      </c>
      <c r="V1699" s="211" t="str">
        <f>IFERROR(__xludf.DUMMYFUNCTION("""COMPUTED_VALUE"""),"Jl. Bypass Krian, Sidotemo, Sidomulyo, Kec. Krian, Kabupaten Sidoarjo, Jawa Timur 61262")</f>
        <v>Jl. Bypass Krian, Sidotemo, Sidomulyo, Kec. Krian, Kabupaten Sidoarjo, Jawa Timur 61262</v>
      </c>
      <c r="W1699" s="211" t="str">
        <f>IFERROR(__xludf.DUMMYFUNCTION("""COMPUTED_VALUE"""),"IN")</f>
        <v>IN</v>
      </c>
      <c r="X1699" s="211"/>
      <c r="AL1699" s="211"/>
      <c r="AM1699" s="211"/>
      <c r="AN1699" s="211"/>
      <c r="AO1699" s="211"/>
      <c r="AP1699" s="215"/>
      <c r="AQ1699" s="218"/>
      <c r="AR1699" s="211"/>
    </row>
    <row r="1700">
      <c r="A1700" s="210" t="str">
        <f>IFERROR(__xludf.DUMMYFUNCTION("""COMPUTED_VALUE"""),"07250604")</f>
        <v>07250604</v>
      </c>
      <c r="B1700" s="210" t="str">
        <f>IFERROR(__xludf.DUMMYFUNCTION("""COMPUTED_VALUE"""),"07250604")</f>
        <v>07250604</v>
      </c>
      <c r="C1700" s="213">
        <f>IFERROR(__xludf.DUMMYFUNCTION("""COMPUTED_VALUE"""),45861.54027777778)</f>
        <v>45861.54028</v>
      </c>
      <c r="D1700" s="211" t="str">
        <f>IFERROR(__xludf.DUMMYFUNCTION("""COMPUTED_VALUE"""),"eec2e801")</f>
        <v>eec2e801</v>
      </c>
      <c r="E1700" s="211" t="str">
        <f>IFERROR(__xludf.DUMMYFUNCTION("""COMPUTED_VALUE"""),"Mitra Wood Sejahtera")</f>
        <v>Mitra Wood Sejahtera</v>
      </c>
      <c r="F1700" s="211" t="str">
        <f>IFERROR(__xludf.DUMMYFUNCTION("""COMPUTED_VALUE"""),"be525f3b")</f>
        <v>be525f3b</v>
      </c>
      <c r="G1700" s="211" t="str">
        <f>IFERROR(__xludf.DUMMYFUNCTION("""COMPUTED_VALUE"""),"LPG 12kg")</f>
        <v>LPG 12kg</v>
      </c>
      <c r="H1700" s="211" t="str">
        <f>IFERROR(__xludf.DUMMYFUNCTION("""COMPUTED_VALUE"""),"OUT")</f>
        <v>OUT</v>
      </c>
      <c r="I1700" s="211" t="str">
        <f>IFERROR(__xludf.DUMMYFUNCTION("""COMPUTED_VALUE"""),"NORMAL")</f>
        <v>NORMAL</v>
      </c>
      <c r="J1700" s="211">
        <f>IFERROR(__xludf.DUMMYFUNCTION("""COMPUTED_VALUE"""),2.0)</f>
        <v>2</v>
      </c>
      <c r="K1700" s="211"/>
      <c r="L1700" s="211">
        <f>IFERROR(__xludf.DUMMYFUNCTION("""COMPUTED_VALUE"""),210000.0)</f>
        <v>210000</v>
      </c>
      <c r="M1700" s="211"/>
      <c r="N1700" s="211"/>
      <c r="O1700" s="211"/>
      <c r="Q1700" s="210" t="str">
        <f>IFERROR(__xludf.DUMMYFUNCTION("""COMPUTED_VALUE"""),"112581697")</f>
        <v>112581697</v>
      </c>
      <c r="R1700" s="210" t="str">
        <f>IFERROR(__xludf.DUMMYFUNCTION("""COMPUTED_VALUE"""),"112581697")</f>
        <v>112581697</v>
      </c>
      <c r="S1700" s="211" t="str">
        <f>IFERROR(__xludf.DUMMYFUNCTION("""COMPUTED_VALUE"""),"faf71ae5")</f>
        <v>faf71ae5</v>
      </c>
      <c r="T1700" s="211" t="str">
        <f>IFERROR(__xludf.DUMMYFUNCTION("""COMPUTED_VALUE"""),"Bpk. Sampurna")</f>
        <v>Bpk. Sampurna</v>
      </c>
      <c r="U1700" s="215">
        <f>IFERROR(__xludf.DUMMYFUNCTION("""COMPUTED_VALUE"""),45974.45353009259)</f>
        <v>45974.45353</v>
      </c>
      <c r="V1700" s="211" t="str">
        <f>IFERROR(__xludf.DUMMYFUNCTION("""COMPUTED_VALUE"""),"Jl. Bypass Krian KM.30 No.15, Kraton, Kec. Krian, Kabupaten Sidoarjo, Jawa Timur 61262")</f>
        <v>Jl. Bypass Krian KM.30 No.15, Kraton, Kec. Krian, Kabupaten Sidoarjo, Jawa Timur 61262</v>
      </c>
      <c r="W1700" s="211" t="str">
        <f>IFERROR(__xludf.DUMMYFUNCTION("""COMPUTED_VALUE"""),"OUT")</f>
        <v>OUT</v>
      </c>
      <c r="X1700" s="211"/>
      <c r="AL1700" s="211"/>
      <c r="AM1700" s="211"/>
      <c r="AN1700" s="211"/>
      <c r="AO1700" s="211"/>
      <c r="AP1700" s="215"/>
      <c r="AQ1700" s="218"/>
      <c r="AR1700" s="211"/>
    </row>
    <row r="1701">
      <c r="A1701" s="210" t="str">
        <f>IFERROR(__xludf.DUMMYFUNCTION("""COMPUTED_VALUE"""),"0925271234")</f>
        <v>0925271234</v>
      </c>
      <c r="B1701" s="210" t="str">
        <f>IFERROR(__xludf.DUMMYFUNCTION("""COMPUTED_VALUE"""),"0925271234")</f>
        <v>0925271234</v>
      </c>
      <c r="C1701" s="213">
        <f>IFERROR(__xludf.DUMMYFUNCTION("""COMPUTED_VALUE"""),45908.34265046296)</f>
        <v>45908.34265</v>
      </c>
      <c r="D1701" s="211" t="str">
        <f>IFERROR(__xludf.DUMMYFUNCTION("""COMPUTED_VALUE"""),"01158be1")</f>
        <v>01158be1</v>
      </c>
      <c r="E1701" s="211" t="str">
        <f>IFERROR(__xludf.DUMMYFUNCTION("""COMPUTED_VALUE"""),"GYF")</f>
        <v>GYF</v>
      </c>
      <c r="F1701" s="211" t="str">
        <f>IFERROR(__xludf.DUMMYFUNCTION("""COMPUTED_VALUE"""),"8bdbe149")</f>
        <v>8bdbe149</v>
      </c>
      <c r="G1701" s="211" t="str">
        <f>IFERROR(__xludf.DUMMYFUNCTION("""COMPUTED_VALUE"""),"Oksigen 6m3")</f>
        <v>Oksigen 6m3</v>
      </c>
      <c r="H1701" s="211" t="str">
        <f>IFERROR(__xludf.DUMMYFUNCTION("""COMPUTED_VALUE"""),"OUT")</f>
        <v>OUT</v>
      </c>
      <c r="I1701" s="211" t="str">
        <f>IFERROR(__xludf.DUMMYFUNCTION("""COMPUTED_VALUE"""),"NORMAL")</f>
        <v>NORMAL</v>
      </c>
      <c r="J1701" s="211">
        <f>IFERROR(__xludf.DUMMYFUNCTION("""COMPUTED_VALUE"""),10.0)</f>
        <v>10</v>
      </c>
      <c r="K1701" s="210" t="str">
        <f>IFERROR(__xludf.DUMMYFUNCTION("""COMPUTED_VALUE"""),"1105 11282 11239 1189 11198 11188 1164 11210 11263 11197")</f>
        <v>1105 11282 11239 1189 11198 11188 1164 11210 11263 11197</v>
      </c>
      <c r="L1701" s="211">
        <f>IFERROR(__xludf.DUMMYFUNCTION("""COMPUTED_VALUE"""),45000.0)</f>
        <v>45000</v>
      </c>
      <c r="M1701" s="211"/>
      <c r="N1701" s="211"/>
      <c r="O1701" s="211"/>
      <c r="Q1701" s="210" t="str">
        <f>IFERROR(__xludf.DUMMYFUNCTION("""COMPUTED_VALUE"""),"1125271701")</f>
        <v>1125271701</v>
      </c>
      <c r="R1701" s="210" t="str">
        <f>IFERROR(__xludf.DUMMYFUNCTION("""COMPUTED_VALUE"""),"1125271701")</f>
        <v>1125271701</v>
      </c>
      <c r="S1701" s="211" t="str">
        <f>IFERROR(__xludf.DUMMYFUNCTION("""COMPUTED_VALUE"""),"ec231cc9")</f>
        <v>ec231cc9</v>
      </c>
      <c r="T1701" s="211" t="str">
        <f>IFERROR(__xludf.DUMMYFUNCTION("""COMPUTED_VALUE"""),"Bpk. Kohir (Maintenance Velg)")</f>
        <v>Bpk. Kohir (Maintenance Velg)</v>
      </c>
      <c r="U1701" s="215">
        <f>IFERROR(__xludf.DUMMYFUNCTION("""COMPUTED_VALUE"""),45974.552719907406)</f>
        <v>45974.55272</v>
      </c>
      <c r="V1701" s="211" t="str">
        <f>IFERROR(__xludf.DUMMYFUNCTION("""COMPUTED_VALUE"""),"Jl. Lkr. Bypass Krian Timur, Sidogolong, Watugolong, Kec. Krian, Kabupaten Sidoarjo, Jawa Timur 61262")</f>
        <v>Jl. Lkr. Bypass Krian Timur, Sidogolong, Watugolong, Kec. Krian, Kabupaten Sidoarjo, Jawa Timur 61262</v>
      </c>
      <c r="W1701" s="211" t="str">
        <f>IFERROR(__xludf.DUMMYFUNCTION("""COMPUTED_VALUE"""),"OUT")</f>
        <v>OUT</v>
      </c>
      <c r="X1701" s="211"/>
      <c r="AL1701" s="211"/>
      <c r="AM1701" s="211"/>
      <c r="AN1701" s="211"/>
      <c r="AO1701" s="211"/>
      <c r="AP1701" s="215"/>
      <c r="AQ1701" s="218"/>
      <c r="AR1701" s="211"/>
    </row>
    <row r="1702">
      <c r="A1702" s="210" t="str">
        <f>IFERROR(__xludf.DUMMYFUNCTION("""COMPUTED_VALUE"""),"0925101235")</f>
        <v>0925101235</v>
      </c>
      <c r="B1702" s="210" t="str">
        <f>IFERROR(__xludf.DUMMYFUNCTION("""COMPUTED_VALUE"""),"0925101235")</f>
        <v>0925101235</v>
      </c>
      <c r="C1702" s="213">
        <f>IFERROR(__xludf.DUMMYFUNCTION("""COMPUTED_VALUE"""),45908.34410879629)</f>
        <v>45908.34411</v>
      </c>
      <c r="D1702" s="211" t="str">
        <f>IFERROR(__xludf.DUMMYFUNCTION("""COMPUTED_VALUE"""),"3bcd7fe6")</f>
        <v>3bcd7fe6</v>
      </c>
      <c r="E1702" s="211" t="str">
        <f>IFERROR(__xludf.DUMMYFUNCTION("""COMPUTED_VALUE"""),"Bpk. Alvin (LB Group)")</f>
        <v>Bpk. Alvin (LB Group)</v>
      </c>
      <c r="F1702" s="211" t="str">
        <f>IFERROR(__xludf.DUMMYFUNCTION("""COMPUTED_VALUE"""),"f6aab7a9")</f>
        <v>f6aab7a9</v>
      </c>
      <c r="G1702" s="211" t="str">
        <f>IFERROR(__xludf.DUMMYFUNCTION("""COMPUTED_VALUE"""),"Oksigen 6m3 MR")</f>
        <v>Oksigen 6m3 MR</v>
      </c>
      <c r="H1702" s="211" t="str">
        <f>IFERROR(__xludf.DUMMYFUNCTION("""COMPUTED_VALUE"""),"OUT")</f>
        <v>OUT</v>
      </c>
      <c r="I1702" s="211" t="str">
        <f>IFERROR(__xludf.DUMMYFUNCTION("""COMPUTED_VALUE"""),"NORMAL")</f>
        <v>NORMAL</v>
      </c>
      <c r="J1702" s="211">
        <f>IFERROR(__xludf.DUMMYFUNCTION("""COMPUTED_VALUE"""),3.0)</f>
        <v>3</v>
      </c>
      <c r="K1702" s="210" t="str">
        <f>IFERROR(__xludf.DUMMYFUNCTION("""COMPUTED_VALUE"""),"01 02 03")</f>
        <v>01 02 03</v>
      </c>
      <c r="L1702" s="211">
        <f>IFERROR(__xludf.DUMMYFUNCTION("""COMPUTED_VALUE"""),50000.0)</f>
        <v>50000</v>
      </c>
      <c r="M1702" s="211"/>
      <c r="N1702" s="211"/>
      <c r="O1702" s="211"/>
      <c r="Q1702" s="210" t="str">
        <f>IFERROR(__xludf.DUMMYFUNCTION("""COMPUTED_VALUE"""),"1250781")</f>
        <v>1250781</v>
      </c>
      <c r="R1702" s="210" t="str">
        <f>IFERROR(__xludf.DUMMYFUNCTION("""COMPUTED_VALUE"""),"1250781")</f>
        <v>1250781</v>
      </c>
      <c r="S1702" s="211" t="str">
        <f>IFERROR(__xludf.DUMMYFUNCTION("""COMPUTED_VALUE"""),"734c6d17")</f>
        <v>734c6d17</v>
      </c>
      <c r="T1702" s="211" t="str">
        <f>IFERROR(__xludf.DUMMYFUNCTION("""COMPUTED_VALUE"""),"Bapak Ainol Yaqin ( Bpk. Ibnu )")</f>
        <v>Bapak Ainol Yaqin ( Bpk. Ibnu )</v>
      </c>
      <c r="U1702" s="215">
        <f>IFERROR(__xludf.DUMMYFUNCTION("""COMPUTED_VALUE"""),45974.554027777776)</f>
        <v>45974.55403</v>
      </c>
      <c r="V1702" s="211" t="str">
        <f>IFERROR(__xludf.DUMMYFUNCTION("""COMPUTED_VALUE"""),"Tanggul Wetan, Tanggul, Kec. Wonoayu, Kabupaten Sidoarjo, Jawa Timur")</f>
        <v>Tanggul Wetan, Tanggul, Kec. Wonoayu, Kabupaten Sidoarjo, Jawa Timur</v>
      </c>
      <c r="W1702" s="211" t="str">
        <f>IFERROR(__xludf.DUMMYFUNCTION("""COMPUTED_VALUE"""),"IN")</f>
        <v>IN</v>
      </c>
      <c r="X1702" s="211"/>
      <c r="AL1702" s="211"/>
      <c r="AM1702" s="211"/>
      <c r="AN1702" s="211"/>
      <c r="AO1702" s="211"/>
      <c r="AP1702" s="215"/>
      <c r="AQ1702" s="218"/>
      <c r="AR1702" s="211"/>
    </row>
    <row r="1703">
      <c r="A1703" s="210" t="str">
        <f>IFERROR(__xludf.DUMMYFUNCTION("""COMPUTED_VALUE"""),"092531236")</f>
        <v>092531236</v>
      </c>
      <c r="B1703" s="210" t="str">
        <f>IFERROR(__xludf.DUMMYFUNCTION("""COMPUTED_VALUE"""),"092531236")</f>
        <v>092531236</v>
      </c>
      <c r="C1703" s="213">
        <f>IFERROR(__xludf.DUMMYFUNCTION("""COMPUTED_VALUE"""),45908.34452546296)</f>
        <v>45908.34453</v>
      </c>
      <c r="D1703" s="211" t="str">
        <f>IFERROR(__xludf.DUMMYFUNCTION("""COMPUTED_VALUE"""),"dfas2312")</f>
        <v>dfas2312</v>
      </c>
      <c r="E1703" s="211" t="str">
        <f>IFERROR(__xludf.DUMMYFUNCTION("""COMPUTED_VALUE"""),"Bpk. Fuad (Parengan)")</f>
        <v>Bpk. Fuad (Parengan)</v>
      </c>
      <c r="F1703" s="211" t="str">
        <f>IFERROR(__xludf.DUMMYFUNCTION("""COMPUTED_VALUE"""),"f6aab7a9")</f>
        <v>f6aab7a9</v>
      </c>
      <c r="G1703" s="211" t="str">
        <f>IFERROR(__xludf.DUMMYFUNCTION("""COMPUTED_VALUE"""),"Oksigen 6m3 MR")</f>
        <v>Oksigen 6m3 MR</v>
      </c>
      <c r="H1703" s="211" t="str">
        <f>IFERROR(__xludf.DUMMYFUNCTION("""COMPUTED_VALUE"""),"OUT")</f>
        <v>OUT</v>
      </c>
      <c r="I1703" s="211" t="str">
        <f>IFERROR(__xludf.DUMMYFUNCTION("""COMPUTED_VALUE"""),"NORMAL")</f>
        <v>NORMAL</v>
      </c>
      <c r="J1703" s="211">
        <f>IFERROR(__xludf.DUMMYFUNCTION("""COMPUTED_VALUE"""),2.0)</f>
        <v>2</v>
      </c>
      <c r="K1703" s="210" t="str">
        <f>IFERROR(__xludf.DUMMYFUNCTION("""COMPUTED_VALUE"""),"119 122")</f>
        <v>119 122</v>
      </c>
      <c r="L1703" s="211">
        <f>IFERROR(__xludf.DUMMYFUNCTION("""COMPUTED_VALUE"""),70000.0)</f>
        <v>70000</v>
      </c>
      <c r="M1703" s="211"/>
      <c r="N1703" s="211"/>
      <c r="O1703" s="211"/>
      <c r="Q1703" s="210" t="str">
        <f>IFERROR(__xludf.DUMMYFUNCTION("""COMPUTED_VALUE"""),"1125281702")</f>
        <v>1125281702</v>
      </c>
      <c r="R1703" s="210" t="str">
        <f>IFERROR(__xludf.DUMMYFUNCTION("""COMPUTED_VALUE"""),"1125281702")</f>
        <v>1125281702</v>
      </c>
      <c r="S1703" s="211" t="str">
        <f>IFERROR(__xludf.DUMMYFUNCTION("""COMPUTED_VALUE"""),"8f5ebaea")</f>
        <v>8f5ebaea</v>
      </c>
      <c r="T1703" s="211" t="str">
        <f>IFERROR(__xludf.DUMMYFUNCTION("""COMPUTED_VALUE"""),"PT Hua Zong Mesindo")</f>
        <v>PT Hua Zong Mesindo</v>
      </c>
      <c r="U1703" s="215">
        <f>IFERROR(__xludf.DUMMYFUNCTION("""COMPUTED_VALUE"""),45974.59086805556)</f>
        <v>45974.59087</v>
      </c>
      <c r="V1703" s="211" t="str">
        <f>IFERROR(__xludf.DUMMYFUNCTION("""COMPUTED_VALUE"""),"Jl. Bypass Krian, Sidotemo, Sidomulyo, Kec. Krian, Kabupaten Sidoarjo, Jawa Timur 61262")</f>
        <v>Jl. Bypass Krian, Sidotemo, Sidomulyo, Kec. Krian, Kabupaten Sidoarjo, Jawa Timur 61262</v>
      </c>
      <c r="W1703" s="211" t="str">
        <f>IFERROR(__xludf.DUMMYFUNCTION("""COMPUTED_VALUE"""),"OUT")</f>
        <v>OUT</v>
      </c>
      <c r="X1703" s="211"/>
      <c r="AL1703" s="211"/>
      <c r="AM1703" s="211"/>
      <c r="AN1703" s="211"/>
      <c r="AO1703" s="211"/>
      <c r="AP1703" s="215"/>
      <c r="AQ1703" s="218"/>
      <c r="AR1703" s="211"/>
    </row>
    <row r="1704">
      <c r="A1704" s="210" t="str">
        <f>IFERROR(__xludf.DUMMYFUNCTION("""COMPUTED_VALUE"""),"0925111237")</f>
        <v>0925111237</v>
      </c>
      <c r="B1704" s="210" t="str">
        <f>IFERROR(__xludf.DUMMYFUNCTION("""COMPUTED_VALUE"""),"0925111237")</f>
        <v>0925111237</v>
      </c>
      <c r="C1704" s="213">
        <f>IFERROR(__xludf.DUMMYFUNCTION("""COMPUTED_VALUE"""),45908.37688657407)</f>
        <v>45908.37689</v>
      </c>
      <c r="D1704" s="211" t="str">
        <f>IFERROR(__xludf.DUMMYFUNCTION("""COMPUTED_VALUE"""),"b218b89b")</f>
        <v>b218b89b</v>
      </c>
      <c r="E1704" s="211" t="str">
        <f>IFERROR(__xludf.DUMMYFUNCTION("""COMPUTED_VALUE"""),"PT Harapan Sentosa")</f>
        <v>PT Harapan Sentosa</v>
      </c>
      <c r="F1704" s="211" t="str">
        <f>IFERROR(__xludf.DUMMYFUNCTION("""COMPUTED_VALUE"""),"ef306e54")</f>
        <v>ef306e54</v>
      </c>
      <c r="G1704" s="211" t="str">
        <f>IFERROR(__xludf.DUMMYFUNCTION("""COMPUTED_VALUE"""),"Karbondioksida")</f>
        <v>Karbondioksida</v>
      </c>
      <c r="H1704" s="211" t="str">
        <f>IFERROR(__xludf.DUMMYFUNCTION("""COMPUTED_VALUE"""),"OUT")</f>
        <v>OUT</v>
      </c>
      <c r="I1704" s="211" t="str">
        <f>IFERROR(__xludf.DUMMYFUNCTION("""COMPUTED_VALUE"""),"NORMAL")</f>
        <v>NORMAL</v>
      </c>
      <c r="J1704" s="211">
        <f>IFERROR(__xludf.DUMMYFUNCTION("""COMPUTED_VALUE"""),5.0)</f>
        <v>5</v>
      </c>
      <c r="K1704" s="210" t="str">
        <f>IFERROR(__xludf.DUMMYFUNCTION("""COMPUTED_VALUE"""),"13003 13005 13008 13028 13035")</f>
        <v>13003 13005 13008 13028 13035</v>
      </c>
      <c r="L1704" s="211">
        <f>IFERROR(__xludf.DUMMYFUNCTION("""COMPUTED_VALUE"""),210000.0)</f>
        <v>210000</v>
      </c>
      <c r="M1704" s="211"/>
      <c r="N1704" s="211"/>
      <c r="O1704" s="211"/>
      <c r="Q1704" s="210" t="str">
        <f>IFERROR(__xludf.DUMMYFUNCTION("""COMPUTED_VALUE"""),"1250792")</f>
        <v>1250792</v>
      </c>
      <c r="R1704" s="210" t="str">
        <f>IFERROR(__xludf.DUMMYFUNCTION("""COMPUTED_VALUE"""),"1250792")</f>
        <v>1250792</v>
      </c>
      <c r="S1704" s="211" t="str">
        <f>IFERROR(__xludf.DUMMYFUNCTION("""COMPUTED_VALUE"""),"ce83e171")</f>
        <v>ce83e171</v>
      </c>
      <c r="T1704" s="211" t="str">
        <f>IFERROR(__xludf.DUMMYFUNCTION("""COMPUTED_VALUE"""),"Bpk. Sulaiman")</f>
        <v>Bpk. Sulaiman</v>
      </c>
      <c r="U1704" s="215">
        <f>IFERROR(__xludf.DUMMYFUNCTION("""COMPUTED_VALUE"""),45974.62777777778)</f>
        <v>45974.62778</v>
      </c>
      <c r="V1704" s="211" t="str">
        <f>IFERROR(__xludf.DUMMYFUNCTION("""COMPUTED_VALUE"""),"Jl. Raya Kramat Temenggung No.43, Kramat, Kramat Temenggung, Kec. Tarik, Kabupaten Sidoarjo, Jawa Timur 61265")</f>
        <v>Jl. Raya Kramat Temenggung No.43, Kramat, Kramat Temenggung, Kec. Tarik, Kabupaten Sidoarjo, Jawa Timur 61265</v>
      </c>
      <c r="W1704" s="211" t="str">
        <f>IFERROR(__xludf.DUMMYFUNCTION("""COMPUTED_VALUE"""),"IN")</f>
        <v>IN</v>
      </c>
      <c r="X1704" s="211"/>
      <c r="AL1704" s="211"/>
      <c r="AM1704" s="211"/>
      <c r="AN1704" s="211"/>
      <c r="AO1704" s="211"/>
      <c r="AP1704" s="215"/>
      <c r="AQ1704" s="218"/>
      <c r="AR1704" s="211"/>
    </row>
    <row r="1705">
      <c r="A1705" s="210" t="str">
        <f>IFERROR(__xludf.DUMMYFUNCTION("""COMPUTED_VALUE"""),"1250556")</f>
        <v>1250556</v>
      </c>
      <c r="B1705" s="210" t="str">
        <f>IFERROR(__xludf.DUMMYFUNCTION("""COMPUTED_VALUE"""),"1250556")</f>
        <v>1250556</v>
      </c>
      <c r="C1705" s="213">
        <f>IFERROR(__xludf.DUMMYFUNCTION("""COMPUTED_VALUE"""),45908.451516203706)</f>
        <v>45908.45152</v>
      </c>
      <c r="D1705" s="211" t="str">
        <f>IFERROR(__xludf.DUMMYFUNCTION("""COMPUTED_VALUE"""),"b218b89b")</f>
        <v>b218b89b</v>
      </c>
      <c r="E1705" s="211" t="str">
        <f>IFERROR(__xludf.DUMMYFUNCTION("""COMPUTED_VALUE"""),"PT Harapan Sentosa")</f>
        <v>PT Harapan Sentosa</v>
      </c>
      <c r="F1705" s="211" t="str">
        <f>IFERROR(__xludf.DUMMYFUNCTION("""COMPUTED_VALUE"""),"8bdbe149")</f>
        <v>8bdbe149</v>
      </c>
      <c r="G1705" s="211" t="str">
        <f>IFERROR(__xludf.DUMMYFUNCTION("""COMPUTED_VALUE"""),"Oksigen 6m3")</f>
        <v>Oksigen 6m3</v>
      </c>
      <c r="H1705" s="211" t="str">
        <f>IFERROR(__xludf.DUMMYFUNCTION("""COMPUTED_VALUE"""),"IN")</f>
        <v>IN</v>
      </c>
      <c r="I1705" s="211" t="str">
        <f>IFERROR(__xludf.DUMMYFUNCTION("""COMPUTED_VALUE"""),"EMPTY")</f>
        <v>EMPTY</v>
      </c>
      <c r="J1705" s="211">
        <f>IFERROR(__xludf.DUMMYFUNCTION("""COMPUTED_VALUE"""),4.0)</f>
        <v>4</v>
      </c>
      <c r="K1705" s="210" t="str">
        <f>IFERROR(__xludf.DUMMYFUNCTION("""COMPUTED_VALUE"""),"1147 11272 1187 11127")</f>
        <v>1147 11272 1187 11127</v>
      </c>
      <c r="L1705" s="211">
        <f>IFERROR(__xludf.DUMMYFUNCTION("""COMPUTED_VALUE"""),0.0)</f>
        <v>0</v>
      </c>
      <c r="M1705" s="211"/>
      <c r="N1705" s="211"/>
      <c r="O1705" s="211"/>
      <c r="Q1705" s="210" t="str">
        <f>IFERROR(__xludf.DUMMYFUNCTION("""COMPUTED_VALUE"""),"1250793")</f>
        <v>1250793</v>
      </c>
      <c r="R1705" s="210" t="str">
        <f>IFERROR(__xludf.DUMMYFUNCTION("""COMPUTED_VALUE"""),"1250793")</f>
        <v>1250793</v>
      </c>
      <c r="S1705" s="211" t="str">
        <f>IFERROR(__xludf.DUMMYFUNCTION("""COMPUTED_VALUE"""),"01158be1")</f>
        <v>01158be1</v>
      </c>
      <c r="T1705" s="211" t="str">
        <f>IFERROR(__xludf.DUMMYFUNCTION("""COMPUTED_VALUE"""),"GYF")</f>
        <v>GYF</v>
      </c>
      <c r="U1705" s="215">
        <f>IFERROR(__xludf.DUMMYFUNCTION("""COMPUTED_VALUE"""),45974.628969907404)</f>
        <v>45974.62897</v>
      </c>
      <c r="V1705" s="211" t="str">
        <f>IFERROR(__xludf.DUMMYFUNCTION("""COMPUTED_VALUE"""),"Kangkungan, Lengkong, Kec. Mojoanyar, Kabupaten Mojokerto, Jawa Timur")</f>
        <v>Kangkungan, Lengkong, Kec. Mojoanyar, Kabupaten Mojokerto, Jawa Timur</v>
      </c>
      <c r="W1705" s="211" t="str">
        <f>IFERROR(__xludf.DUMMYFUNCTION("""COMPUTED_VALUE"""),"IN")</f>
        <v>IN</v>
      </c>
      <c r="X1705" s="211"/>
      <c r="AL1705" s="211"/>
      <c r="AM1705" s="211"/>
      <c r="AN1705" s="211"/>
      <c r="AO1705" s="211"/>
      <c r="AP1705" s="215"/>
      <c r="AQ1705" s="218"/>
      <c r="AR1705" s="211"/>
    </row>
    <row r="1706">
      <c r="A1706" s="210" t="str">
        <f>IFERROR(__xludf.DUMMYFUNCTION("""COMPUTED_VALUE"""),"1250556")</f>
        <v>1250556</v>
      </c>
      <c r="B1706" s="210" t="str">
        <f>IFERROR(__xludf.DUMMYFUNCTION("""COMPUTED_VALUE"""),"1250556")</f>
        <v>1250556</v>
      </c>
      <c r="C1706" s="213">
        <f>IFERROR(__xludf.DUMMYFUNCTION("""COMPUTED_VALUE"""),45908.451516203706)</f>
        <v>45908.45152</v>
      </c>
      <c r="D1706" s="211" t="str">
        <f>IFERROR(__xludf.DUMMYFUNCTION("""COMPUTED_VALUE"""),"b218b89b")</f>
        <v>b218b89b</v>
      </c>
      <c r="E1706" s="211" t="str">
        <f>IFERROR(__xludf.DUMMYFUNCTION("""COMPUTED_VALUE"""),"PT Harapan Sentosa")</f>
        <v>PT Harapan Sentosa</v>
      </c>
      <c r="F1706" s="211" t="str">
        <f>IFERROR(__xludf.DUMMYFUNCTION("""COMPUTED_VALUE"""),"ef306e54")</f>
        <v>ef306e54</v>
      </c>
      <c r="G1706" s="211" t="str">
        <f>IFERROR(__xludf.DUMMYFUNCTION("""COMPUTED_VALUE"""),"Karbondioksida")</f>
        <v>Karbondioksida</v>
      </c>
      <c r="H1706" s="211" t="str">
        <f>IFERROR(__xludf.DUMMYFUNCTION("""COMPUTED_VALUE"""),"IN")</f>
        <v>IN</v>
      </c>
      <c r="I1706" s="211" t="str">
        <f>IFERROR(__xludf.DUMMYFUNCTION("""COMPUTED_VALUE"""),"EMPTY")</f>
        <v>EMPTY</v>
      </c>
      <c r="J1706" s="211">
        <f>IFERROR(__xludf.DUMMYFUNCTION("""COMPUTED_VALUE"""),1.0)</f>
        <v>1</v>
      </c>
      <c r="K1706" s="210" t="str">
        <f>IFERROR(__xludf.DUMMYFUNCTION("""COMPUTED_VALUE"""),"13006")</f>
        <v>13006</v>
      </c>
      <c r="L1706" s="211">
        <f>IFERROR(__xludf.DUMMYFUNCTION("""COMPUTED_VALUE"""),0.0)</f>
        <v>0</v>
      </c>
      <c r="M1706" s="211"/>
      <c r="N1706" s="211"/>
      <c r="O1706" s="211"/>
      <c r="Q1706" s="210" t="str">
        <f>IFERROR(__xludf.DUMMYFUNCTION("""COMPUTED_VALUE"""),"1250782")</f>
        <v>1250782</v>
      </c>
      <c r="R1706" s="210" t="str">
        <f>IFERROR(__xludf.DUMMYFUNCTION("""COMPUTED_VALUE"""),"1250782")</f>
        <v>1250782</v>
      </c>
      <c r="S1706" s="211" t="str">
        <f>IFERROR(__xludf.DUMMYFUNCTION("""COMPUTED_VALUE"""),"ec231cc9")</f>
        <v>ec231cc9</v>
      </c>
      <c r="T1706" s="211" t="str">
        <f>IFERROR(__xludf.DUMMYFUNCTION("""COMPUTED_VALUE"""),"Bpk. Kohir (Maintenance Velg)")</f>
        <v>Bpk. Kohir (Maintenance Velg)</v>
      </c>
      <c r="U1706" s="215">
        <f>IFERROR(__xludf.DUMMYFUNCTION("""COMPUTED_VALUE"""),45974.65892361111)</f>
        <v>45974.65892</v>
      </c>
      <c r="V1706" s="211" t="str">
        <f>IFERROR(__xludf.DUMMYFUNCTION("""COMPUTED_VALUE"""),"Jl. Lkr. Bypass Krian Timur, Sidogolong, Watugolong, Kec. Krian, Kabupaten Sidoarjo, Jawa Timur 61262")</f>
        <v>Jl. Lkr. Bypass Krian Timur, Sidogolong, Watugolong, Kec. Krian, Kabupaten Sidoarjo, Jawa Timur 61262</v>
      </c>
      <c r="W1706" s="211" t="str">
        <f>IFERROR(__xludf.DUMMYFUNCTION("""COMPUTED_VALUE"""),"IN")</f>
        <v>IN</v>
      </c>
      <c r="X1706" s="211"/>
      <c r="AL1706" s="211"/>
      <c r="AM1706" s="211"/>
      <c r="AN1706" s="211"/>
      <c r="AO1706" s="211"/>
      <c r="AP1706" s="215"/>
      <c r="AQ1706" s="218"/>
      <c r="AR1706" s="211"/>
    </row>
    <row r="1707">
      <c r="A1707" s="210" t="str">
        <f>IFERROR(__xludf.DUMMYFUNCTION("""COMPUTED_VALUE"""),"1250556")</f>
        <v>1250556</v>
      </c>
      <c r="B1707" s="210" t="str">
        <f>IFERROR(__xludf.DUMMYFUNCTION("""COMPUTED_VALUE"""),"1250556")</f>
        <v>1250556</v>
      </c>
      <c r="C1707" s="213">
        <f>IFERROR(__xludf.DUMMYFUNCTION("""COMPUTED_VALUE"""),45908.451516203706)</f>
        <v>45908.45152</v>
      </c>
      <c r="D1707" s="211" t="str">
        <f>IFERROR(__xludf.DUMMYFUNCTION("""COMPUTED_VALUE"""),"b218b89b")</f>
        <v>b218b89b</v>
      </c>
      <c r="E1707" s="211" t="str">
        <f>IFERROR(__xludf.DUMMYFUNCTION("""COMPUTED_VALUE"""),"PT Harapan Sentosa")</f>
        <v>PT Harapan Sentosa</v>
      </c>
      <c r="F1707" s="211" t="str">
        <f>IFERROR(__xludf.DUMMYFUNCTION("""COMPUTED_VALUE"""),"7d2764f1")</f>
        <v>7d2764f1</v>
      </c>
      <c r="G1707" s="211" t="str">
        <f>IFERROR(__xludf.DUMMYFUNCTION("""COMPUTED_VALUE"""),"Oksigen 7m3")</f>
        <v>Oksigen 7m3</v>
      </c>
      <c r="H1707" s="211" t="str">
        <f>IFERROR(__xludf.DUMMYFUNCTION("""COMPUTED_VALUE"""),"IN")</f>
        <v>IN</v>
      </c>
      <c r="I1707" s="211" t="str">
        <f>IFERROR(__xludf.DUMMYFUNCTION("""COMPUTED_VALUE"""),"EMPTY")</f>
        <v>EMPTY</v>
      </c>
      <c r="J1707" s="211">
        <f>IFERROR(__xludf.DUMMYFUNCTION("""COMPUTED_VALUE"""),1.0)</f>
        <v>1</v>
      </c>
      <c r="K1707" s="210" t="str">
        <f>IFERROR(__xludf.DUMMYFUNCTION("""COMPUTED_VALUE"""),"11220")</f>
        <v>11220</v>
      </c>
      <c r="L1707" s="211">
        <f>IFERROR(__xludf.DUMMYFUNCTION("""COMPUTED_VALUE"""),0.0)</f>
        <v>0</v>
      </c>
      <c r="M1707" s="211"/>
      <c r="N1707" s="211"/>
      <c r="O1707" s="211"/>
      <c r="Q1707" s="210" t="str">
        <f>IFERROR(__xludf.DUMMYFUNCTION("""COMPUTED_VALUE"""),"1125391704")</f>
        <v>1125391704</v>
      </c>
      <c r="R1707" s="210" t="str">
        <f>IFERROR(__xludf.DUMMYFUNCTION("""COMPUTED_VALUE"""),"1125391704")</f>
        <v>1125391704</v>
      </c>
      <c r="S1707" s="211" t="str">
        <f>IFERROR(__xludf.DUMMYFUNCTION("""COMPUTED_VALUE"""),"b2b5f2c5")</f>
        <v>b2b5f2c5</v>
      </c>
      <c r="T1707" s="211" t="str">
        <f>IFERROR(__xludf.DUMMYFUNCTION("""COMPUTED_VALUE"""),"Bengkel Las Bpk. Ari")</f>
        <v>Bengkel Las Bpk. Ari</v>
      </c>
      <c r="U1707" s="215">
        <f>IFERROR(__xludf.DUMMYFUNCTION("""COMPUTED_VALUE"""),45975.34027777778)</f>
        <v>45975.34028</v>
      </c>
      <c r="V1707" s="211" t="str">
        <f>IFERROR(__xludf.DUMMYFUNCTION("""COMPUTED_VALUE"""),"Sumber Kembar, Wonodadi, Kec. Kutorejo, Kabupaten Mojokerto, Jawa Timur")</f>
        <v>Sumber Kembar, Wonodadi, Kec. Kutorejo, Kabupaten Mojokerto, Jawa Timur</v>
      </c>
      <c r="W1707" s="211" t="str">
        <f>IFERROR(__xludf.DUMMYFUNCTION("""COMPUTED_VALUE"""),"OUT")</f>
        <v>OUT</v>
      </c>
      <c r="X1707" s="211"/>
      <c r="AL1707" s="211"/>
      <c r="AM1707" s="211"/>
      <c r="AN1707" s="211"/>
      <c r="AO1707" s="211"/>
      <c r="AP1707" s="215"/>
      <c r="AQ1707" s="218"/>
      <c r="AR1707" s="211"/>
    </row>
    <row r="1708">
      <c r="A1708" s="210" t="str">
        <f>IFERROR(__xludf.DUMMYFUNCTION("""COMPUTED_VALUE"""),"0925181238")</f>
        <v>0925181238</v>
      </c>
      <c r="B1708" s="210" t="str">
        <f>IFERROR(__xludf.DUMMYFUNCTION("""COMPUTED_VALUE"""),"0925181238")</f>
        <v>0925181238</v>
      </c>
      <c r="C1708" s="213">
        <f>IFERROR(__xludf.DUMMYFUNCTION("""COMPUTED_VALUE"""),45908.45606481482)</f>
        <v>45908.45606</v>
      </c>
      <c r="D1708" s="211" t="str">
        <f>IFERROR(__xludf.DUMMYFUNCTION("""COMPUTED_VALUE"""),"ec231cc9")</f>
        <v>ec231cc9</v>
      </c>
      <c r="E1708" s="211" t="str">
        <f>IFERROR(__xludf.DUMMYFUNCTION("""COMPUTED_VALUE"""),"Bpk. Kohir (Maintenance Velg)")</f>
        <v>Bpk. Kohir (Maintenance Velg)</v>
      </c>
      <c r="F1708" s="211" t="str">
        <f>IFERROR(__xludf.DUMMYFUNCTION("""COMPUTED_VALUE"""),"8bdbe149")</f>
        <v>8bdbe149</v>
      </c>
      <c r="G1708" s="211" t="str">
        <f>IFERROR(__xludf.DUMMYFUNCTION("""COMPUTED_VALUE"""),"Oksigen 6m3")</f>
        <v>Oksigen 6m3</v>
      </c>
      <c r="H1708" s="211" t="str">
        <f>IFERROR(__xludf.DUMMYFUNCTION("""COMPUTED_VALUE"""),"OUT")</f>
        <v>OUT</v>
      </c>
      <c r="I1708" s="211" t="str">
        <f>IFERROR(__xludf.DUMMYFUNCTION("""COMPUTED_VALUE"""),"NORMAL")</f>
        <v>NORMAL</v>
      </c>
      <c r="J1708" s="211">
        <f>IFERROR(__xludf.DUMMYFUNCTION("""COMPUTED_VALUE"""),4.0)</f>
        <v>4</v>
      </c>
      <c r="K1708" s="210" t="str">
        <f>IFERROR(__xludf.DUMMYFUNCTION("""COMPUTED_VALUE"""),"11231 11283 11175 11204")</f>
        <v>11231 11283 11175 11204</v>
      </c>
      <c r="L1708" s="211">
        <f>IFERROR(__xludf.DUMMYFUNCTION("""COMPUTED_VALUE"""),55000.0)</f>
        <v>55000</v>
      </c>
      <c r="M1708" s="211"/>
      <c r="N1708" s="211"/>
      <c r="O1708" s="211"/>
      <c r="Q1708" s="210" t="str">
        <f>IFERROR(__xludf.DUMMYFUNCTION("""COMPUTED_VALUE"""),"112511708")</f>
        <v>112511708</v>
      </c>
      <c r="R1708" s="210" t="str">
        <f>IFERROR(__xludf.DUMMYFUNCTION("""COMPUTED_VALUE"""),"112511708")</f>
        <v>112511708</v>
      </c>
      <c r="S1708" s="211" t="str">
        <f>IFERROR(__xludf.DUMMYFUNCTION("""COMPUTED_VALUE"""),"58b72e0c")</f>
        <v>58b72e0c</v>
      </c>
      <c r="T1708" s="211" t="str">
        <f>IFERROR(__xludf.DUMMYFUNCTION("""COMPUTED_VALUE"""),"UD. Ais Jaya")</f>
        <v>UD. Ais Jaya</v>
      </c>
      <c r="U1708" s="215">
        <f>IFERROR(__xludf.DUMMYFUNCTION("""COMPUTED_VALUE"""),45975.36054398148)</f>
        <v>45975.36054</v>
      </c>
      <c r="V1708" s="211" t="str">
        <f>IFERROR(__xludf.DUMMYFUNCTION("""COMPUTED_VALUE"""),"Jl. Bypass Krian, Kraton, Kec. Krian, Kabupaten Sidoarjo, Jawa Timur 61262")</f>
        <v>Jl. Bypass Krian, Kraton, Kec. Krian, Kabupaten Sidoarjo, Jawa Timur 61262</v>
      </c>
      <c r="W1708" s="211" t="str">
        <f>IFERROR(__xludf.DUMMYFUNCTION("""COMPUTED_VALUE"""),"OUT")</f>
        <v>OUT</v>
      </c>
      <c r="X1708" s="211"/>
      <c r="AL1708" s="211"/>
      <c r="AM1708" s="211"/>
      <c r="AN1708" s="211"/>
      <c r="AO1708" s="211"/>
      <c r="AP1708" s="215"/>
      <c r="AQ1708" s="218"/>
      <c r="AR1708" s="211"/>
    </row>
    <row r="1709">
      <c r="A1709" s="210" t="str">
        <f>IFERROR(__xludf.DUMMYFUNCTION("""COMPUTED_VALUE"""),"1250557")</f>
        <v>1250557</v>
      </c>
      <c r="B1709" s="210" t="str">
        <f>IFERROR(__xludf.DUMMYFUNCTION("""COMPUTED_VALUE"""),"1250557")</f>
        <v>1250557</v>
      </c>
      <c r="C1709" s="213">
        <f>IFERROR(__xludf.DUMMYFUNCTION("""COMPUTED_VALUE"""),45908.49046296296)</f>
        <v>45908.49046</v>
      </c>
      <c r="D1709" s="211" t="str">
        <f>IFERROR(__xludf.DUMMYFUNCTION("""COMPUTED_VALUE"""),"ec231cc9")</f>
        <v>ec231cc9</v>
      </c>
      <c r="E1709" s="211" t="str">
        <f>IFERROR(__xludf.DUMMYFUNCTION("""COMPUTED_VALUE"""),"Bpk. Kohir (Maintenance Velg)")</f>
        <v>Bpk. Kohir (Maintenance Velg)</v>
      </c>
      <c r="F1709" s="211" t="str">
        <f>IFERROR(__xludf.DUMMYFUNCTION("""COMPUTED_VALUE"""),"8bdbe149")</f>
        <v>8bdbe149</v>
      </c>
      <c r="G1709" s="211" t="str">
        <f>IFERROR(__xludf.DUMMYFUNCTION("""COMPUTED_VALUE"""),"Oksigen 6m3")</f>
        <v>Oksigen 6m3</v>
      </c>
      <c r="H1709" s="211" t="str">
        <f>IFERROR(__xludf.DUMMYFUNCTION("""COMPUTED_VALUE"""),"IN")</f>
        <v>IN</v>
      </c>
      <c r="I1709" s="211" t="str">
        <f>IFERROR(__xludf.DUMMYFUNCTION("""COMPUTED_VALUE"""),"EMPTY")</f>
        <v>EMPTY</v>
      </c>
      <c r="J1709" s="211">
        <f>IFERROR(__xludf.DUMMYFUNCTION("""COMPUTED_VALUE"""),4.0)</f>
        <v>4</v>
      </c>
      <c r="K1709" s="210" t="str">
        <f>IFERROR(__xludf.DUMMYFUNCTION("""COMPUTED_VALUE"""),"11115 11180 1107 1169")</f>
        <v>11115 11180 1107 1169</v>
      </c>
      <c r="L1709" s="211">
        <f>IFERROR(__xludf.DUMMYFUNCTION("""COMPUTED_VALUE"""),0.0)</f>
        <v>0</v>
      </c>
      <c r="M1709" s="211"/>
      <c r="N1709" s="211"/>
      <c r="O1709" s="211"/>
      <c r="Q1709" s="210" t="str">
        <f>IFERROR(__xludf.DUMMYFUNCTION("""COMPUTED_VALUE"""),"112541709")</f>
        <v>112541709</v>
      </c>
      <c r="R1709" s="210" t="str">
        <f>IFERROR(__xludf.DUMMYFUNCTION("""COMPUTED_VALUE"""),"112541709")</f>
        <v>112541709</v>
      </c>
      <c r="S1709" s="211" t="str">
        <f>IFERROR(__xludf.DUMMYFUNCTION("""COMPUTED_VALUE"""),"45d814b4")</f>
        <v>45d814b4</v>
      </c>
      <c r="T1709" s="211" t="str">
        <f>IFERROR(__xludf.DUMMYFUNCTION("""COMPUTED_VALUE"""),"Bpk. Joko (Ponokawan)")</f>
        <v>Bpk. Joko (Ponokawan)</v>
      </c>
      <c r="U1709" s="215">
        <f>IFERROR(__xludf.DUMMYFUNCTION("""COMPUTED_VALUE"""),45975.36082175926)</f>
        <v>45975.36082</v>
      </c>
      <c r="V1709" s="211" t="str">
        <f>IFERROR(__xludf.DUMMYFUNCTION("""COMPUTED_VALUE"""),"Ponokawan, Krian")</f>
        <v>Ponokawan, Krian</v>
      </c>
      <c r="W1709" s="211" t="str">
        <f>IFERROR(__xludf.DUMMYFUNCTION("""COMPUTED_VALUE"""),"OUT")</f>
        <v>OUT</v>
      </c>
      <c r="X1709" s="211"/>
      <c r="AL1709" s="211"/>
      <c r="AM1709" s="211"/>
      <c r="AN1709" s="211"/>
      <c r="AO1709" s="211"/>
      <c r="AP1709" s="215"/>
      <c r="AQ1709" s="218"/>
      <c r="AR1709" s="211"/>
    </row>
    <row r="1710">
      <c r="A1710" s="210" t="str">
        <f>IFERROR(__xludf.DUMMYFUNCTION("""COMPUTED_VALUE"""),"1250572")</f>
        <v>1250572</v>
      </c>
      <c r="B1710" s="210" t="str">
        <f>IFERROR(__xludf.DUMMYFUNCTION("""COMPUTED_VALUE"""),"1250572")</f>
        <v>1250572</v>
      </c>
      <c r="C1710" s="213">
        <f>IFERROR(__xludf.DUMMYFUNCTION("""COMPUTED_VALUE"""),45908.5221875)</f>
        <v>45908.52219</v>
      </c>
      <c r="D1710" s="211" t="str">
        <f>IFERROR(__xludf.DUMMYFUNCTION("""COMPUTED_VALUE"""),"785e0e07")</f>
        <v>785e0e07</v>
      </c>
      <c r="E1710" s="211" t="str">
        <f>IFERROR(__xludf.DUMMYFUNCTION("""COMPUTED_VALUE"""),"Bpk. Sukirno (Bejo)")</f>
        <v>Bpk. Sukirno (Bejo)</v>
      </c>
      <c r="F1710" s="211" t="str">
        <f>IFERROR(__xludf.DUMMYFUNCTION("""COMPUTED_VALUE"""),"8bdbe149")</f>
        <v>8bdbe149</v>
      </c>
      <c r="G1710" s="211" t="str">
        <f>IFERROR(__xludf.DUMMYFUNCTION("""COMPUTED_VALUE"""),"Oksigen 6m3")</f>
        <v>Oksigen 6m3</v>
      </c>
      <c r="H1710" s="211" t="str">
        <f>IFERROR(__xludf.DUMMYFUNCTION("""COMPUTED_VALUE"""),"IN")</f>
        <v>IN</v>
      </c>
      <c r="I1710" s="211" t="str">
        <f>IFERROR(__xludf.DUMMYFUNCTION("""COMPUTED_VALUE"""),"EMPTY")</f>
        <v>EMPTY</v>
      </c>
      <c r="J1710" s="211">
        <f>IFERROR(__xludf.DUMMYFUNCTION("""COMPUTED_VALUE"""),5.0)</f>
        <v>5</v>
      </c>
      <c r="K1710" s="210" t="str">
        <f>IFERROR(__xludf.DUMMYFUNCTION("""COMPUTED_VALUE"""),"11221 11122 11215 11227 11111")</f>
        <v>11221 11122 11215 11227 11111</v>
      </c>
      <c r="L1710" s="211">
        <f>IFERROR(__xludf.DUMMYFUNCTION("""COMPUTED_VALUE"""),0.0)</f>
        <v>0</v>
      </c>
      <c r="M1710" s="211"/>
      <c r="N1710" s="211"/>
      <c r="O1710" s="211"/>
      <c r="Q1710" s="210" t="str">
        <f>IFERROR(__xludf.DUMMYFUNCTION("""COMPUTED_VALUE"""),"1125221710")</f>
        <v>1125221710</v>
      </c>
      <c r="R1710" s="210" t="str">
        <f>IFERROR(__xludf.DUMMYFUNCTION("""COMPUTED_VALUE"""),"1125221710")</f>
        <v>1125221710</v>
      </c>
      <c r="S1710" s="211" t="str">
        <f>IFERROR(__xludf.DUMMYFUNCTION("""COMPUTED_VALUE"""),"7b9d8eba")</f>
        <v>7b9d8eba</v>
      </c>
      <c r="T1710" s="211" t="str">
        <f>IFERROR(__xludf.DUMMYFUNCTION("""COMPUTED_VALUE"""),"PT PELANGI INDOKARYA")</f>
        <v>PT PELANGI INDOKARYA</v>
      </c>
      <c r="U1710" s="215">
        <f>IFERROR(__xludf.DUMMYFUNCTION("""COMPUTED_VALUE"""),45975.36162037037)</f>
        <v>45975.36162</v>
      </c>
      <c r="V171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710" s="211" t="str">
        <f>IFERROR(__xludf.DUMMYFUNCTION("""COMPUTED_VALUE"""),"OUT")</f>
        <v>OUT</v>
      </c>
      <c r="X1710" s="211"/>
      <c r="AL1710" s="211"/>
      <c r="AM1710" s="211"/>
      <c r="AN1710" s="211"/>
      <c r="AO1710" s="211"/>
      <c r="AP1710" s="215"/>
      <c r="AQ1710" s="218"/>
      <c r="AR1710" s="211"/>
    </row>
    <row r="1711">
      <c r="A1711" s="210" t="str">
        <f>IFERROR(__xludf.DUMMYFUNCTION("""COMPUTED_VALUE"""),"1250572")</f>
        <v>1250572</v>
      </c>
      <c r="B1711" s="210" t="str">
        <f>IFERROR(__xludf.DUMMYFUNCTION("""COMPUTED_VALUE"""),"1250572")</f>
        <v>1250572</v>
      </c>
      <c r="C1711" s="213">
        <f>IFERROR(__xludf.DUMMYFUNCTION("""COMPUTED_VALUE"""),45908.5221875)</f>
        <v>45908.52219</v>
      </c>
      <c r="D1711" s="211" t="str">
        <f>IFERROR(__xludf.DUMMYFUNCTION("""COMPUTED_VALUE"""),"785e0e07")</f>
        <v>785e0e07</v>
      </c>
      <c r="E1711" s="211" t="str">
        <f>IFERROR(__xludf.DUMMYFUNCTION("""COMPUTED_VALUE"""),"Bpk. Sukirno (Bejo)")</f>
        <v>Bpk. Sukirno (Bejo)</v>
      </c>
      <c r="F1711" s="211" t="str">
        <f>IFERROR(__xludf.DUMMYFUNCTION("""COMPUTED_VALUE"""),"8bdbe149")</f>
        <v>8bdbe149</v>
      </c>
      <c r="G1711" s="211" t="str">
        <f>IFERROR(__xludf.DUMMYFUNCTION("""COMPUTED_VALUE"""),"Oksigen 6m3")</f>
        <v>Oksigen 6m3</v>
      </c>
      <c r="H1711" s="211" t="str">
        <f>IFERROR(__xludf.DUMMYFUNCTION("""COMPUTED_VALUE"""),"IN")</f>
        <v>IN</v>
      </c>
      <c r="I1711" s="211" t="str">
        <f>IFERROR(__xludf.DUMMYFUNCTION("""COMPUTED_VALUE"""),"CLAIM")</f>
        <v>CLAIM</v>
      </c>
      <c r="J1711" s="211">
        <f>IFERROR(__xludf.DUMMYFUNCTION("""COMPUTED_VALUE"""),1.0)</f>
        <v>1</v>
      </c>
      <c r="K1711" s="210" t="str">
        <f>IFERROR(__xludf.DUMMYFUNCTION("""COMPUTED_VALUE"""),"11148")</f>
        <v>11148</v>
      </c>
      <c r="L1711" s="211">
        <f>IFERROR(__xludf.DUMMYFUNCTION("""COMPUTED_VALUE"""),0.0)</f>
        <v>0</v>
      </c>
      <c r="M1711" s="211"/>
      <c r="N1711" s="211"/>
      <c r="O1711" s="211"/>
      <c r="Q1711" s="210" t="str">
        <f>IFERROR(__xludf.DUMMYFUNCTION("""COMPUTED_VALUE"""),"1250794")</f>
        <v>1250794</v>
      </c>
      <c r="R1711" s="210" t="str">
        <f>IFERROR(__xludf.DUMMYFUNCTION("""COMPUTED_VALUE"""),"1250794")</f>
        <v>1250794</v>
      </c>
      <c r="S1711" s="211" t="str">
        <f>IFERROR(__xludf.DUMMYFUNCTION("""COMPUTED_VALUE"""),"7b9d8eba")</f>
        <v>7b9d8eba</v>
      </c>
      <c r="T1711" s="211" t="str">
        <f>IFERROR(__xludf.DUMMYFUNCTION("""COMPUTED_VALUE"""),"PT PELANGI INDOKARYA")</f>
        <v>PT PELANGI INDOKARYA</v>
      </c>
      <c r="U1711" s="215">
        <f>IFERROR(__xludf.DUMMYFUNCTION("""COMPUTED_VALUE"""),45975.42219907408)</f>
        <v>45975.4222</v>
      </c>
      <c r="V171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711" s="211" t="str">
        <f>IFERROR(__xludf.DUMMYFUNCTION("""COMPUTED_VALUE"""),"IN")</f>
        <v>IN</v>
      </c>
      <c r="X1711" s="211"/>
      <c r="AL1711" s="211"/>
      <c r="AM1711" s="211"/>
      <c r="AN1711" s="211"/>
      <c r="AO1711" s="211"/>
      <c r="AP1711" s="215"/>
      <c r="AQ1711" s="218"/>
      <c r="AR1711" s="211"/>
    </row>
    <row r="1712">
      <c r="A1712" s="210" t="str">
        <f>IFERROR(__xludf.DUMMYFUNCTION("""COMPUTED_VALUE"""),"1250571")</f>
        <v>1250571</v>
      </c>
      <c r="B1712" s="210" t="str">
        <f>IFERROR(__xludf.DUMMYFUNCTION("""COMPUTED_VALUE"""),"1250571")</f>
        <v>1250571</v>
      </c>
      <c r="C1712" s="213">
        <f>IFERROR(__xludf.DUMMYFUNCTION("""COMPUTED_VALUE"""),45908.52940972222)</f>
        <v>45908.52941</v>
      </c>
      <c r="D1712" s="211" t="str">
        <f>IFERROR(__xludf.DUMMYFUNCTION("""COMPUTED_VALUE"""),"eec2e801")</f>
        <v>eec2e801</v>
      </c>
      <c r="E1712" s="211" t="str">
        <f>IFERROR(__xludf.DUMMYFUNCTION("""COMPUTED_VALUE"""),"Mitra Wood Sejahtera")</f>
        <v>Mitra Wood Sejahtera</v>
      </c>
      <c r="F1712" s="211" t="str">
        <f>IFERROR(__xludf.DUMMYFUNCTION("""COMPUTED_VALUE"""),"be525f3b")</f>
        <v>be525f3b</v>
      </c>
      <c r="G1712" s="211" t="str">
        <f>IFERROR(__xludf.DUMMYFUNCTION("""COMPUTED_VALUE"""),"LPG 12kg")</f>
        <v>LPG 12kg</v>
      </c>
      <c r="H1712" s="211" t="str">
        <f>IFERROR(__xludf.DUMMYFUNCTION("""COMPUTED_VALUE"""),"IN")</f>
        <v>IN</v>
      </c>
      <c r="I1712" s="211" t="str">
        <f>IFERROR(__xludf.DUMMYFUNCTION("""COMPUTED_VALUE"""),"EMPTY")</f>
        <v>EMPTY</v>
      </c>
      <c r="J1712" s="211">
        <f>IFERROR(__xludf.DUMMYFUNCTION("""COMPUTED_VALUE"""),2.0)</f>
        <v>2</v>
      </c>
      <c r="K1712" s="210" t="str">
        <f>IFERROR(__xludf.DUMMYFUNCTION("""COMPUTED_VALUE"""),"01 02")</f>
        <v>01 02</v>
      </c>
      <c r="L1712" s="211">
        <f>IFERROR(__xludf.DUMMYFUNCTION("""COMPUTED_VALUE"""),0.0)</f>
        <v>0</v>
      </c>
      <c r="M1712" s="211"/>
      <c r="N1712" s="211"/>
      <c r="O1712" s="211"/>
      <c r="Q1712" s="210" t="str">
        <f>IFERROR(__xludf.DUMMYFUNCTION("""COMPUTED_VALUE"""),"1250795")</f>
        <v>1250795</v>
      </c>
      <c r="R1712" s="210" t="str">
        <f>IFERROR(__xludf.DUMMYFUNCTION("""COMPUTED_VALUE"""),"1250795")</f>
        <v>1250795</v>
      </c>
      <c r="S1712" s="211" t="str">
        <f>IFERROR(__xludf.DUMMYFUNCTION("""COMPUTED_VALUE"""),"45d814b4")</f>
        <v>45d814b4</v>
      </c>
      <c r="T1712" s="211" t="str">
        <f>IFERROR(__xludf.DUMMYFUNCTION("""COMPUTED_VALUE"""),"Bpk. Joko (Ponokawan)")</f>
        <v>Bpk. Joko (Ponokawan)</v>
      </c>
      <c r="U1712" s="215">
        <f>IFERROR(__xludf.DUMMYFUNCTION("""COMPUTED_VALUE"""),45975.42320601852)</f>
        <v>45975.42321</v>
      </c>
      <c r="V1712" s="211" t="str">
        <f>IFERROR(__xludf.DUMMYFUNCTION("""COMPUTED_VALUE"""),"Ponokawan, Krian")</f>
        <v>Ponokawan, Krian</v>
      </c>
      <c r="W1712" s="211" t="str">
        <f>IFERROR(__xludf.DUMMYFUNCTION("""COMPUTED_VALUE"""),"IN")</f>
        <v>IN</v>
      </c>
      <c r="X1712" s="211"/>
      <c r="AL1712" s="211"/>
      <c r="AM1712" s="211"/>
      <c r="AN1712" s="211"/>
      <c r="AO1712" s="211"/>
      <c r="AP1712" s="215"/>
      <c r="AQ1712" s="218"/>
      <c r="AR1712" s="211"/>
    </row>
    <row r="1713">
      <c r="A1713" s="210" t="str">
        <f>IFERROR(__xludf.DUMMYFUNCTION("""COMPUTED_VALUE"""),"1250571")</f>
        <v>1250571</v>
      </c>
      <c r="B1713" s="210" t="str">
        <f>IFERROR(__xludf.DUMMYFUNCTION("""COMPUTED_VALUE"""),"1250571")</f>
        <v>1250571</v>
      </c>
      <c r="C1713" s="213">
        <f>IFERROR(__xludf.DUMMYFUNCTION("""COMPUTED_VALUE"""),45908.52940972222)</f>
        <v>45908.52941</v>
      </c>
      <c r="D1713" s="211" t="str">
        <f>IFERROR(__xludf.DUMMYFUNCTION("""COMPUTED_VALUE"""),"eec2e801")</f>
        <v>eec2e801</v>
      </c>
      <c r="E1713" s="211" t="str">
        <f>IFERROR(__xludf.DUMMYFUNCTION("""COMPUTED_VALUE"""),"Mitra Wood Sejahtera")</f>
        <v>Mitra Wood Sejahtera</v>
      </c>
      <c r="F1713" s="211" t="str">
        <f>IFERROR(__xludf.DUMMYFUNCTION("""COMPUTED_VALUE"""),"8bdbe149")</f>
        <v>8bdbe149</v>
      </c>
      <c r="G1713" s="211" t="str">
        <f>IFERROR(__xludf.DUMMYFUNCTION("""COMPUTED_VALUE"""),"Oksigen 6m3")</f>
        <v>Oksigen 6m3</v>
      </c>
      <c r="H1713" s="211" t="str">
        <f>IFERROR(__xludf.DUMMYFUNCTION("""COMPUTED_VALUE"""),"IN")</f>
        <v>IN</v>
      </c>
      <c r="I1713" s="211" t="str">
        <f>IFERROR(__xludf.DUMMYFUNCTION("""COMPUTED_VALUE"""),"EMPTY")</f>
        <v>EMPTY</v>
      </c>
      <c r="J1713" s="211">
        <f>IFERROR(__xludf.DUMMYFUNCTION("""COMPUTED_VALUE"""),5.0)</f>
        <v>5</v>
      </c>
      <c r="K1713" s="210" t="str">
        <f>IFERROR(__xludf.DUMMYFUNCTION("""COMPUTED_VALUE"""),"11181 11260 11251 11228 11117")</f>
        <v>11181 11260 11251 11228 11117</v>
      </c>
      <c r="L1713" s="211">
        <f>IFERROR(__xludf.DUMMYFUNCTION("""COMPUTED_VALUE"""),0.0)</f>
        <v>0</v>
      </c>
      <c r="M1713" s="211"/>
      <c r="N1713" s="211"/>
      <c r="O1713" s="211"/>
      <c r="Q1713" s="210" t="str">
        <f>IFERROR(__xludf.DUMMYFUNCTION("""COMPUTED_VALUE"""),"1250783")</f>
        <v>1250783</v>
      </c>
      <c r="R1713" s="210" t="str">
        <f>IFERROR(__xludf.DUMMYFUNCTION("""COMPUTED_VALUE"""),"1250783")</f>
        <v>1250783</v>
      </c>
      <c r="S1713" s="211" t="str">
        <f>IFERROR(__xludf.DUMMYFUNCTION("""COMPUTED_VALUE"""),"b2b5f2c5")</f>
        <v>b2b5f2c5</v>
      </c>
      <c r="T1713" s="211" t="str">
        <f>IFERROR(__xludf.DUMMYFUNCTION("""COMPUTED_VALUE"""),"Bengkel Las Bpk. Ari")</f>
        <v>Bengkel Las Bpk. Ari</v>
      </c>
      <c r="U1713" s="215">
        <f>IFERROR(__xludf.DUMMYFUNCTION("""COMPUTED_VALUE"""),45975.444768518515)</f>
        <v>45975.44477</v>
      </c>
      <c r="V1713" s="211" t="str">
        <f>IFERROR(__xludf.DUMMYFUNCTION("""COMPUTED_VALUE"""),"Sumber Kembar, Wonodadi, Kec. Kutorejo, Kabupaten Mojokerto, Jawa Timur")</f>
        <v>Sumber Kembar, Wonodadi, Kec. Kutorejo, Kabupaten Mojokerto, Jawa Timur</v>
      </c>
      <c r="W1713" s="211" t="str">
        <f>IFERROR(__xludf.DUMMYFUNCTION("""COMPUTED_VALUE"""),"IN")</f>
        <v>IN</v>
      </c>
      <c r="X1713" s="211"/>
      <c r="AL1713" s="211"/>
      <c r="AM1713" s="211"/>
      <c r="AN1713" s="211"/>
      <c r="AO1713" s="211"/>
      <c r="AP1713" s="215"/>
      <c r="AQ1713" s="218"/>
      <c r="AR1713" s="211"/>
    </row>
    <row r="1714">
      <c r="A1714" s="210" t="str">
        <f>IFERROR(__xludf.DUMMYFUNCTION("""COMPUTED_VALUE"""),"0925121240")</f>
        <v>0925121240</v>
      </c>
      <c r="B1714" s="210" t="str">
        <f>IFERROR(__xludf.DUMMYFUNCTION("""COMPUTED_VALUE"""),"0925121240")</f>
        <v>0925121240</v>
      </c>
      <c r="C1714" s="213">
        <f>IFERROR(__xludf.DUMMYFUNCTION("""COMPUTED_VALUE"""),45909.40738425926)</f>
        <v>45909.40738</v>
      </c>
      <c r="D1714" s="211" t="str">
        <f>IFERROR(__xludf.DUMMYFUNCTION("""COMPUTED_VALUE"""),"b218b89b")</f>
        <v>b218b89b</v>
      </c>
      <c r="E1714" s="211" t="str">
        <f>IFERROR(__xludf.DUMMYFUNCTION("""COMPUTED_VALUE"""),"PT Harapan Sentosa")</f>
        <v>PT Harapan Sentosa</v>
      </c>
      <c r="F1714" s="211" t="str">
        <f>IFERROR(__xludf.DUMMYFUNCTION("""COMPUTED_VALUE"""),"7d2764f1")</f>
        <v>7d2764f1</v>
      </c>
      <c r="G1714" s="211" t="str">
        <f>IFERROR(__xludf.DUMMYFUNCTION("""COMPUTED_VALUE"""),"Oksigen 7m3")</f>
        <v>Oksigen 7m3</v>
      </c>
      <c r="H1714" s="211" t="str">
        <f>IFERROR(__xludf.DUMMYFUNCTION("""COMPUTED_VALUE"""),"OUT")</f>
        <v>OUT</v>
      </c>
      <c r="I1714" s="211" t="str">
        <f>IFERROR(__xludf.DUMMYFUNCTION("""COMPUTED_VALUE"""),"NORMAL")</f>
        <v>NORMAL</v>
      </c>
      <c r="J1714" s="211">
        <f>IFERROR(__xludf.DUMMYFUNCTION("""COMPUTED_VALUE"""),10.0)</f>
        <v>10</v>
      </c>
      <c r="K1714" s="210" t="str">
        <f>IFERROR(__xludf.DUMMYFUNCTION("""COMPUTED_VALUE"""),"11171 11163 11143 11151 11226 11221 11215 11227 11140 11148")</f>
        <v>11171 11163 11143 11151 11226 11221 11215 11227 11140 11148</v>
      </c>
      <c r="L1714" s="211">
        <f>IFERROR(__xludf.DUMMYFUNCTION("""COMPUTED_VALUE"""),70000.0)</f>
        <v>70000</v>
      </c>
      <c r="M1714" s="211"/>
      <c r="N1714" s="211"/>
      <c r="O1714" s="211"/>
      <c r="Q1714" s="210" t="str">
        <f>IFERROR(__xludf.DUMMYFUNCTION("""COMPUTED_VALUE"""),"112551711")</f>
        <v>112551711</v>
      </c>
      <c r="R1714" s="210" t="str">
        <f>IFERROR(__xludf.DUMMYFUNCTION("""COMPUTED_VALUE"""),"112551711")</f>
        <v>112551711</v>
      </c>
      <c r="S1714" s="211" t="str">
        <f>IFERROR(__xludf.DUMMYFUNCTION("""COMPUTED_VALUE"""),"440df1db")</f>
        <v>440df1db</v>
      </c>
      <c r="T1714" s="211" t="str">
        <f>IFERROR(__xludf.DUMMYFUNCTION("""COMPUTED_VALUE"""),"PT. Mecca Abadi Sejahtera")</f>
        <v>PT. Mecca Abadi Sejahtera</v>
      </c>
      <c r="U1714" s="215">
        <f>IFERROR(__xludf.DUMMYFUNCTION("""COMPUTED_VALUE"""),45975.58423611111)</f>
        <v>45975.58424</v>
      </c>
      <c r="V1714" s="211" t="str">
        <f>IFERROR(__xludf.DUMMYFUNCTION("""COMPUTED_VALUE"""),"Jl. Raya Sawocangkring, RT.006/RW.002, Sawo, Sawocangkring, Kec. Wonoayu, Kabupaten Sidoarjo, Jawa Timur 61261")</f>
        <v>Jl. Raya Sawocangkring, RT.006/RW.002, Sawo, Sawocangkring, Kec. Wonoayu, Kabupaten Sidoarjo, Jawa Timur 61261</v>
      </c>
      <c r="W1714" s="211" t="str">
        <f>IFERROR(__xludf.DUMMYFUNCTION("""COMPUTED_VALUE"""),"OUT")</f>
        <v>OUT</v>
      </c>
      <c r="X1714" s="211"/>
      <c r="AL1714" s="211"/>
      <c r="AM1714" s="211"/>
      <c r="AN1714" s="211"/>
      <c r="AO1714" s="211"/>
      <c r="AP1714" s="215"/>
      <c r="AQ1714" s="218"/>
      <c r="AR1714" s="211"/>
    </row>
    <row r="1715">
      <c r="A1715" s="210" t="str">
        <f>IFERROR(__xludf.DUMMYFUNCTION("""COMPUTED_VALUE"""),"0925461244")</f>
        <v>0925461244</v>
      </c>
      <c r="B1715" s="210" t="str">
        <f>IFERROR(__xludf.DUMMYFUNCTION("""COMPUTED_VALUE"""),"0925461244")</f>
        <v>0925461244</v>
      </c>
      <c r="C1715" s="213">
        <f>IFERROR(__xludf.DUMMYFUNCTION("""COMPUTED_VALUE"""),45909.41106481481)</f>
        <v>45909.41106</v>
      </c>
      <c r="D1715" s="211" t="str">
        <f>IFERROR(__xludf.DUMMYFUNCTION("""COMPUTED_VALUE"""),"e86baf3b")</f>
        <v>e86baf3b</v>
      </c>
      <c r="E1715" s="211" t="str">
        <f>IFERROR(__xludf.DUMMYFUNCTION("""COMPUTED_VALUE"""),"PT GEMILANG CIPTA WAWASAN")</f>
        <v>PT GEMILANG CIPTA WAWASAN</v>
      </c>
      <c r="F1715" s="211" t="str">
        <f>IFERROR(__xludf.DUMMYFUNCTION("""COMPUTED_VALUE"""),"66af7c72")</f>
        <v>66af7c72</v>
      </c>
      <c r="G1715" s="211" t="str">
        <f>IFERROR(__xludf.DUMMYFUNCTION("""COMPUTED_VALUE"""),"Argon 6m3")</f>
        <v>Argon 6m3</v>
      </c>
      <c r="H1715" s="211" t="str">
        <f>IFERROR(__xludf.DUMMYFUNCTION("""COMPUTED_VALUE"""),"OUT")</f>
        <v>OUT</v>
      </c>
      <c r="I1715" s="211" t="str">
        <f>IFERROR(__xludf.DUMMYFUNCTION("""COMPUTED_VALUE"""),"NORMAL")</f>
        <v>NORMAL</v>
      </c>
      <c r="J1715" s="211">
        <f>IFERROR(__xludf.DUMMYFUNCTION("""COMPUTED_VALUE"""),6.0)</f>
        <v>6</v>
      </c>
      <c r="K1715" s="210" t="str">
        <f>IFERROR(__xludf.DUMMYFUNCTION("""COMPUTED_VALUE"""),"12022 12074 12075 12076 12077 12078")</f>
        <v>12022 12074 12075 12076 12077 12078</v>
      </c>
      <c r="L1715" s="211">
        <f>IFERROR(__xludf.DUMMYFUNCTION("""COMPUTED_VALUE"""),185000.0)</f>
        <v>185000</v>
      </c>
      <c r="M1715" s="211"/>
      <c r="N1715" s="211"/>
      <c r="O1715" s="211"/>
      <c r="Q1715" s="210" t="str">
        <f>IFERROR(__xludf.DUMMYFUNCTION("""COMPUTED_VALUE"""),"1125321715")</f>
        <v>1125321715</v>
      </c>
      <c r="R1715" s="210" t="str">
        <f>IFERROR(__xludf.DUMMYFUNCTION("""COMPUTED_VALUE"""),"1125321715")</f>
        <v>1125321715</v>
      </c>
      <c r="S1715" s="211" t="str">
        <f>IFERROR(__xludf.DUMMYFUNCTION("""COMPUTED_VALUE"""),"5f23ba17")</f>
        <v>5f23ba17</v>
      </c>
      <c r="T1715" s="211" t="str">
        <f>IFERROR(__xludf.DUMMYFUNCTION("""COMPUTED_VALUE"""),"Bpk. Joko (Gresik)")</f>
        <v>Bpk. Joko (Gresik)</v>
      </c>
      <c r="U1715" s="215">
        <f>IFERROR(__xludf.DUMMYFUNCTION("""COMPUTED_VALUE"""),45975.5853125)</f>
        <v>45975.58531</v>
      </c>
      <c r="V1715" s="211" t="str">
        <f>IFERROR(__xludf.DUMMYFUNCTION("""COMPUTED_VALUE"""),"Tanggungan, Lebaniwaras, Kec. Wringinanom, Kabupaten Gresik, Jawa Timur")</f>
        <v>Tanggungan, Lebaniwaras, Kec. Wringinanom, Kabupaten Gresik, Jawa Timur</v>
      </c>
      <c r="W1715" s="211" t="str">
        <f>IFERROR(__xludf.DUMMYFUNCTION("""COMPUTED_VALUE"""),"OUT")</f>
        <v>OUT</v>
      </c>
      <c r="X1715" s="211"/>
      <c r="AL1715" s="211"/>
      <c r="AM1715" s="211"/>
      <c r="AN1715" s="211"/>
      <c r="AO1715" s="211"/>
      <c r="AP1715" s="215"/>
      <c r="AQ1715" s="218"/>
      <c r="AR1715" s="211"/>
    </row>
    <row r="1716">
      <c r="A1716" s="210" t="str">
        <f>IFERROR(__xludf.DUMMYFUNCTION("""COMPUTED_VALUE"""),"0925461244")</f>
        <v>0925461244</v>
      </c>
      <c r="B1716" s="210" t="str">
        <f>IFERROR(__xludf.DUMMYFUNCTION("""COMPUTED_VALUE"""),"0925461244")</f>
        <v>0925461244</v>
      </c>
      <c r="C1716" s="213">
        <f>IFERROR(__xludf.DUMMYFUNCTION("""COMPUTED_VALUE"""),45909.41106481481)</f>
        <v>45909.41106</v>
      </c>
      <c r="D1716" s="211" t="str">
        <f>IFERROR(__xludf.DUMMYFUNCTION("""COMPUTED_VALUE"""),"e86baf3b")</f>
        <v>e86baf3b</v>
      </c>
      <c r="E1716" s="211" t="str">
        <f>IFERROR(__xludf.DUMMYFUNCTION("""COMPUTED_VALUE"""),"PT GEMILANG CIPTA WAWASAN")</f>
        <v>PT GEMILANG CIPTA WAWASAN</v>
      </c>
      <c r="F1716" s="211" t="str">
        <f>IFERROR(__xludf.DUMMYFUNCTION("""COMPUTED_VALUE"""),"be525f3b")</f>
        <v>be525f3b</v>
      </c>
      <c r="G1716" s="211" t="str">
        <f>IFERROR(__xludf.DUMMYFUNCTION("""COMPUTED_VALUE"""),"LPG 12kg")</f>
        <v>LPG 12kg</v>
      </c>
      <c r="H1716" s="211" t="str">
        <f>IFERROR(__xludf.DUMMYFUNCTION("""COMPUTED_VALUE"""),"OUT")</f>
        <v>OUT</v>
      </c>
      <c r="I1716" s="211" t="str">
        <f>IFERROR(__xludf.DUMMYFUNCTION("""COMPUTED_VALUE"""),"NORMAL")</f>
        <v>NORMAL</v>
      </c>
      <c r="J1716" s="211">
        <f>IFERROR(__xludf.DUMMYFUNCTION("""COMPUTED_VALUE"""),5.0)</f>
        <v>5</v>
      </c>
      <c r="K1716" s="210" t="str">
        <f>IFERROR(__xludf.DUMMYFUNCTION("""COMPUTED_VALUE"""),"01 02 03 04 05")</f>
        <v>01 02 03 04 05</v>
      </c>
      <c r="L1716" s="211">
        <f>IFERROR(__xludf.DUMMYFUNCTION("""COMPUTED_VALUE"""),210000.0)</f>
        <v>210000</v>
      </c>
      <c r="M1716" s="211"/>
      <c r="N1716" s="211"/>
      <c r="O1716" s="211"/>
      <c r="Q1716" s="210" t="str">
        <f>IFERROR(__xludf.DUMMYFUNCTION("""COMPUTED_VALUE"""),"1250797")</f>
        <v>1250797</v>
      </c>
      <c r="R1716" s="210" t="str">
        <f>IFERROR(__xludf.DUMMYFUNCTION("""COMPUTED_VALUE"""),"1250797")</f>
        <v>1250797</v>
      </c>
      <c r="S1716" s="211" t="str">
        <f>IFERROR(__xludf.DUMMYFUNCTION("""COMPUTED_VALUE"""),"440df1db")</f>
        <v>440df1db</v>
      </c>
      <c r="T1716" s="211" t="str">
        <f>IFERROR(__xludf.DUMMYFUNCTION("""COMPUTED_VALUE"""),"PT. Mecca Abadi Sejahtera")</f>
        <v>PT. Mecca Abadi Sejahtera</v>
      </c>
      <c r="U1716" s="215">
        <f>IFERROR(__xludf.DUMMYFUNCTION("""COMPUTED_VALUE"""),45975.639861111114)</f>
        <v>45975.63986</v>
      </c>
      <c r="V1716" s="211" t="str">
        <f>IFERROR(__xludf.DUMMYFUNCTION("""COMPUTED_VALUE"""),"Jl. Raya Sawocangkring, RT.006/RW.002, Sawo, Sawocangkring, Kec. Wonoayu, Kabupaten Sidoarjo, Jawa Timur 61261")</f>
        <v>Jl. Raya Sawocangkring, RT.006/RW.002, Sawo, Sawocangkring, Kec. Wonoayu, Kabupaten Sidoarjo, Jawa Timur 61261</v>
      </c>
      <c r="W1716" s="211" t="str">
        <f>IFERROR(__xludf.DUMMYFUNCTION("""COMPUTED_VALUE"""),"IN")</f>
        <v>IN</v>
      </c>
      <c r="X1716" s="211"/>
      <c r="AL1716" s="211"/>
      <c r="AM1716" s="211"/>
      <c r="AN1716" s="211"/>
      <c r="AO1716" s="211"/>
      <c r="AP1716" s="215"/>
      <c r="AQ1716" s="218"/>
      <c r="AR1716" s="211"/>
    </row>
    <row r="1717">
      <c r="A1717" s="210" t="str">
        <f>IFERROR(__xludf.DUMMYFUNCTION("""COMPUTED_VALUE"""),"1250573")</f>
        <v>1250573</v>
      </c>
      <c r="B1717" s="210" t="str">
        <f>IFERROR(__xludf.DUMMYFUNCTION("""COMPUTED_VALUE"""),"1250573")</f>
        <v>1250573</v>
      </c>
      <c r="C1717" s="213">
        <f>IFERROR(__xludf.DUMMYFUNCTION("""COMPUTED_VALUE"""),45909.67020833334)</f>
        <v>45909.67021</v>
      </c>
      <c r="D1717" s="211" t="str">
        <f>IFERROR(__xludf.DUMMYFUNCTION("""COMPUTED_VALUE"""),"e86baf3b")</f>
        <v>e86baf3b</v>
      </c>
      <c r="E1717" s="211" t="str">
        <f>IFERROR(__xludf.DUMMYFUNCTION("""COMPUTED_VALUE"""),"PT GEMILANG CIPTA WAWASAN")</f>
        <v>PT GEMILANG CIPTA WAWASAN</v>
      </c>
      <c r="F1717" s="211" t="str">
        <f>IFERROR(__xludf.DUMMYFUNCTION("""COMPUTED_VALUE"""),"66af7c72")</f>
        <v>66af7c72</v>
      </c>
      <c r="G1717" s="211" t="str">
        <f>IFERROR(__xludf.DUMMYFUNCTION("""COMPUTED_VALUE"""),"Argon 6m3")</f>
        <v>Argon 6m3</v>
      </c>
      <c r="H1717" s="211" t="str">
        <f>IFERROR(__xludf.DUMMYFUNCTION("""COMPUTED_VALUE"""),"IN")</f>
        <v>IN</v>
      </c>
      <c r="I1717" s="211" t="str">
        <f>IFERROR(__xludf.DUMMYFUNCTION("""COMPUTED_VALUE"""),"EMPTY")</f>
        <v>EMPTY</v>
      </c>
      <c r="J1717" s="211">
        <f>IFERROR(__xludf.DUMMYFUNCTION("""COMPUTED_VALUE"""),14.0)</f>
        <v>14</v>
      </c>
      <c r="K1717" s="210" t="str">
        <f>IFERROR(__xludf.DUMMYFUNCTION("""COMPUTED_VALUE"""),"12056 12031 12053 12061 12057 12050 12073 12019 12072 12020 12070 12067 12014 12036")</f>
        <v>12056 12031 12053 12061 12057 12050 12073 12019 12072 12020 12070 12067 12014 12036</v>
      </c>
      <c r="L1717" s="211">
        <f>IFERROR(__xludf.DUMMYFUNCTION("""COMPUTED_VALUE"""),0.0)</f>
        <v>0</v>
      </c>
      <c r="M1717" s="211"/>
      <c r="N1717" s="211"/>
      <c r="O1717" s="211"/>
      <c r="Q1717" s="210" t="str">
        <f>IFERROR(__xludf.DUMMYFUNCTION("""COMPUTED_VALUE"""),"112511711")</f>
        <v>112511711</v>
      </c>
      <c r="R1717" s="210" t="str">
        <f>IFERROR(__xludf.DUMMYFUNCTION("""COMPUTED_VALUE"""),"112511711")</f>
        <v>112511711</v>
      </c>
      <c r="S1717" s="211" t="str">
        <f>IFERROR(__xludf.DUMMYFUNCTION("""COMPUTED_VALUE"""),"9828dfc5")</f>
        <v>9828dfc5</v>
      </c>
      <c r="T1717" s="211" t="str">
        <f>IFERROR(__xludf.DUMMYFUNCTION("""COMPUTED_VALUE"""),"Bpk. David")</f>
        <v>Bpk. David</v>
      </c>
      <c r="U1717" s="215">
        <f>IFERROR(__xludf.DUMMYFUNCTION("""COMPUTED_VALUE"""),45976.34027777778)</f>
        <v>45976.34028</v>
      </c>
      <c r="V1717" s="211" t="str">
        <f>IFERROR(__xludf.DUMMYFUNCTION("""COMPUTED_VALUE"""),"GHF3+R34, Jl. Kartini, Ngingas, Ngimbangan, Kec. Mojosari, Kabupaten Mojokerto, Jawa Timur 61382")</f>
        <v>GHF3+R34, Jl. Kartini, Ngingas, Ngimbangan, Kec. Mojosari, Kabupaten Mojokerto, Jawa Timur 61382</v>
      </c>
      <c r="W1717" s="211" t="str">
        <f>IFERROR(__xludf.DUMMYFUNCTION("""COMPUTED_VALUE"""),"OUT")</f>
        <v>OUT</v>
      </c>
      <c r="X1717" s="211"/>
      <c r="AL1717" s="211"/>
      <c r="AM1717" s="211"/>
      <c r="AN1717" s="211"/>
      <c r="AO1717" s="211"/>
      <c r="AP1717" s="215"/>
      <c r="AQ1717" s="218"/>
      <c r="AR1717" s="211"/>
    </row>
    <row r="1718">
      <c r="A1718" s="210" t="str">
        <f>IFERROR(__xludf.DUMMYFUNCTION("""COMPUTED_VALUE"""),"1250573")</f>
        <v>1250573</v>
      </c>
      <c r="B1718" s="210" t="str">
        <f>IFERROR(__xludf.DUMMYFUNCTION("""COMPUTED_VALUE"""),"1250573")</f>
        <v>1250573</v>
      </c>
      <c r="C1718" s="213">
        <f>IFERROR(__xludf.DUMMYFUNCTION("""COMPUTED_VALUE"""),45909.67020833334)</f>
        <v>45909.67021</v>
      </c>
      <c r="D1718" s="211" t="str">
        <f>IFERROR(__xludf.DUMMYFUNCTION("""COMPUTED_VALUE"""),"e86baf3b")</f>
        <v>e86baf3b</v>
      </c>
      <c r="E1718" s="211" t="str">
        <f>IFERROR(__xludf.DUMMYFUNCTION("""COMPUTED_VALUE"""),"PT GEMILANG CIPTA WAWASAN")</f>
        <v>PT GEMILANG CIPTA WAWASAN</v>
      </c>
      <c r="F1718" s="211" t="str">
        <f>IFERROR(__xludf.DUMMYFUNCTION("""COMPUTED_VALUE"""),"8bdbe149")</f>
        <v>8bdbe149</v>
      </c>
      <c r="G1718" s="211" t="str">
        <f>IFERROR(__xludf.DUMMYFUNCTION("""COMPUTED_VALUE"""),"Oksigen 6m3")</f>
        <v>Oksigen 6m3</v>
      </c>
      <c r="H1718" s="211" t="str">
        <f>IFERROR(__xludf.DUMMYFUNCTION("""COMPUTED_VALUE"""),"IN")</f>
        <v>IN</v>
      </c>
      <c r="I1718" s="211" t="str">
        <f>IFERROR(__xludf.DUMMYFUNCTION("""COMPUTED_VALUE"""),"EMPTY")</f>
        <v>EMPTY</v>
      </c>
      <c r="J1718" s="211">
        <f>IFERROR(__xludf.DUMMYFUNCTION("""COMPUTED_VALUE"""),11.0)</f>
        <v>11</v>
      </c>
      <c r="K1718" s="210" t="str">
        <f>IFERROR(__xludf.DUMMYFUNCTION("""COMPUTED_VALUE"""),"1194 1143 11219 11237 1134 11105 11249 11279 11113 1122 11106")</f>
        <v>1194 1143 11219 11237 1134 11105 11249 11279 11113 1122 11106</v>
      </c>
      <c r="L1718" s="211">
        <f>IFERROR(__xludf.DUMMYFUNCTION("""COMPUTED_VALUE"""),0.0)</f>
        <v>0</v>
      </c>
      <c r="M1718" s="211"/>
      <c r="N1718" s="211"/>
      <c r="O1718" s="211"/>
      <c r="Q1718" s="210" t="str">
        <f>IFERROR(__xludf.DUMMYFUNCTION("""COMPUTED_VALUE"""),"1250784")</f>
        <v>1250784</v>
      </c>
      <c r="R1718" s="210" t="str">
        <f>IFERROR(__xludf.DUMMYFUNCTION("""COMPUTED_VALUE"""),"1250784")</f>
        <v>1250784</v>
      </c>
      <c r="S1718" s="211" t="str">
        <f>IFERROR(__xludf.DUMMYFUNCTION("""COMPUTED_VALUE"""),"5f23ba17")</f>
        <v>5f23ba17</v>
      </c>
      <c r="T1718" s="211" t="str">
        <f>IFERROR(__xludf.DUMMYFUNCTION("""COMPUTED_VALUE"""),"Bpk. Joko (Gresik)")</f>
        <v>Bpk. Joko (Gresik)</v>
      </c>
      <c r="U1718" s="215">
        <f>IFERROR(__xludf.DUMMYFUNCTION("""COMPUTED_VALUE"""),45975.67866898148)</f>
        <v>45975.67867</v>
      </c>
      <c r="V1718" s="211" t="str">
        <f>IFERROR(__xludf.DUMMYFUNCTION("""COMPUTED_VALUE"""),"Tanggungan, Lebaniwaras, Kec. Wringinanom, Kabupaten Gresik, Jawa Timur")</f>
        <v>Tanggungan, Lebaniwaras, Kec. Wringinanom, Kabupaten Gresik, Jawa Timur</v>
      </c>
      <c r="W1718" s="211" t="str">
        <f>IFERROR(__xludf.DUMMYFUNCTION("""COMPUTED_VALUE"""),"IN")</f>
        <v>IN</v>
      </c>
      <c r="X1718" s="211"/>
      <c r="AL1718" s="211"/>
      <c r="AM1718" s="211"/>
      <c r="AN1718" s="211"/>
      <c r="AO1718" s="211"/>
      <c r="AP1718" s="215"/>
      <c r="AQ1718" s="218"/>
      <c r="AR1718" s="211"/>
    </row>
    <row r="1719">
      <c r="A1719" s="210" t="str">
        <f>IFERROR(__xludf.DUMMYFUNCTION("""COMPUTED_VALUE"""),"092571245")</f>
        <v>092571245</v>
      </c>
      <c r="B1719" s="210" t="str">
        <f>IFERROR(__xludf.DUMMYFUNCTION("""COMPUTED_VALUE"""),"092571245")</f>
        <v>092571245</v>
      </c>
      <c r="C1719" s="213">
        <f>IFERROR(__xludf.DUMMYFUNCTION("""COMPUTED_VALUE"""),45910.37024305556)</f>
        <v>45910.37024</v>
      </c>
      <c r="D1719" s="211" t="str">
        <f>IFERROR(__xludf.DUMMYFUNCTION("""COMPUTED_VALUE"""),"a9fe1bea")</f>
        <v>a9fe1bea</v>
      </c>
      <c r="E1719" s="211" t="str">
        <f>IFERROR(__xludf.DUMMYFUNCTION("""COMPUTED_VALUE"""),"H. Suheiri")</f>
        <v>H. Suheiri</v>
      </c>
      <c r="F1719" s="211" t="str">
        <f>IFERROR(__xludf.DUMMYFUNCTION("""COMPUTED_VALUE"""),"8bdbe149")</f>
        <v>8bdbe149</v>
      </c>
      <c r="G1719" s="211" t="str">
        <f>IFERROR(__xludf.DUMMYFUNCTION("""COMPUTED_VALUE"""),"Oksigen 6m3")</f>
        <v>Oksigen 6m3</v>
      </c>
      <c r="H1719" s="211" t="str">
        <f>IFERROR(__xludf.DUMMYFUNCTION("""COMPUTED_VALUE"""),"OUT")</f>
        <v>OUT</v>
      </c>
      <c r="I1719" s="211" t="str">
        <f>IFERROR(__xludf.DUMMYFUNCTION("""COMPUTED_VALUE"""),"NORMAL")</f>
        <v>NORMAL</v>
      </c>
      <c r="J1719" s="211">
        <f>IFERROR(__xludf.DUMMYFUNCTION("""COMPUTED_VALUE"""),15.0)</f>
        <v>15</v>
      </c>
      <c r="K1719" s="210" t="str">
        <f>IFERROR(__xludf.DUMMYFUNCTION("""COMPUTED_VALUE"""),"11180 1148 1187 11117 11111 11118 1169 11228 11119 11251 11127 11181 1147 11272 11115")</f>
        <v>11180 1148 1187 11117 11111 11118 1169 11228 11119 11251 11127 11181 1147 11272 11115</v>
      </c>
      <c r="L1719" s="211">
        <f>IFERROR(__xludf.DUMMYFUNCTION("""COMPUTED_VALUE"""),65000.0)</f>
        <v>65000</v>
      </c>
      <c r="M1719" s="211"/>
      <c r="N1719" s="211"/>
      <c r="O1719" s="211"/>
      <c r="Q1719" s="210" t="str">
        <f>IFERROR(__xludf.DUMMYFUNCTION("""COMPUTED_VALUE"""),"112571718")</f>
        <v>112571718</v>
      </c>
      <c r="R1719" s="210" t="str">
        <f>IFERROR(__xludf.DUMMYFUNCTION("""COMPUTED_VALUE"""),"112571718")</f>
        <v>112571718</v>
      </c>
      <c r="S1719" s="211" t="str">
        <f>IFERROR(__xludf.DUMMYFUNCTION("""COMPUTED_VALUE"""),"9e31e9f4")</f>
        <v>9e31e9f4</v>
      </c>
      <c r="T1719" s="211" t="str">
        <f>IFERROR(__xludf.DUMMYFUNCTION("""COMPUTED_VALUE"""),"Bpk. Eko Iswantoro")</f>
        <v>Bpk. Eko Iswantoro</v>
      </c>
      <c r="U1719" s="215">
        <f>IFERROR(__xludf.DUMMYFUNCTION("""COMPUTED_VALUE"""),45976.3721875)</f>
        <v>45976.37219</v>
      </c>
      <c r="V1719" s="211" t="str">
        <f>IFERROR(__xludf.DUMMYFUNCTION("""COMPUTED_VALUE"""),"HHWW+8J Kemasan, Kec. Krian, Kabupaten Sidoarjo, Jawa Timur, Indonesia")</f>
        <v>HHWW+8J Kemasan, Kec. Krian, Kabupaten Sidoarjo, Jawa Timur, Indonesia</v>
      </c>
      <c r="W1719" s="211" t="str">
        <f>IFERROR(__xludf.DUMMYFUNCTION("""COMPUTED_VALUE"""),"OUT")</f>
        <v>OUT</v>
      </c>
      <c r="X1719" s="211"/>
      <c r="AL1719" s="211"/>
      <c r="AM1719" s="211"/>
      <c r="AN1719" s="211"/>
      <c r="AO1719" s="211"/>
      <c r="AP1719" s="215"/>
      <c r="AQ1719" s="218"/>
      <c r="AR1719" s="211"/>
    </row>
    <row r="1720">
      <c r="A1720" s="210" t="str">
        <f>IFERROR(__xludf.DUMMYFUNCTION("""COMPUTED_VALUE"""),"1250574")</f>
        <v>1250574</v>
      </c>
      <c r="B1720" s="210" t="str">
        <f>IFERROR(__xludf.DUMMYFUNCTION("""COMPUTED_VALUE"""),"1250574")</f>
        <v>1250574</v>
      </c>
      <c r="C1720" s="213">
        <f>IFERROR(__xludf.DUMMYFUNCTION("""COMPUTED_VALUE"""),45910.46359953703)</f>
        <v>45910.4636</v>
      </c>
      <c r="D1720" s="211" t="str">
        <f>IFERROR(__xludf.DUMMYFUNCTION("""COMPUTED_VALUE"""),"e86baf3b")</f>
        <v>e86baf3b</v>
      </c>
      <c r="E1720" s="211" t="str">
        <f>IFERROR(__xludf.DUMMYFUNCTION("""COMPUTED_VALUE"""),"PT GEMILANG CIPTA WAWASAN")</f>
        <v>PT GEMILANG CIPTA WAWASAN</v>
      </c>
      <c r="F1720" s="211" t="str">
        <f>IFERROR(__xludf.DUMMYFUNCTION("""COMPUTED_VALUE"""),"8bdbe149")</f>
        <v>8bdbe149</v>
      </c>
      <c r="G1720" s="211" t="str">
        <f>IFERROR(__xludf.DUMMYFUNCTION("""COMPUTED_VALUE"""),"Oksigen 6m3")</f>
        <v>Oksigen 6m3</v>
      </c>
      <c r="H1720" s="211" t="str">
        <f>IFERROR(__xludf.DUMMYFUNCTION("""COMPUTED_VALUE"""),"IN")</f>
        <v>IN</v>
      </c>
      <c r="I1720" s="211" t="str">
        <f>IFERROR(__xludf.DUMMYFUNCTION("""COMPUTED_VALUE"""),"EMPTY")</f>
        <v>EMPTY</v>
      </c>
      <c r="J1720" s="211">
        <f>IFERROR(__xludf.DUMMYFUNCTION("""COMPUTED_VALUE"""),12.0)</f>
        <v>12</v>
      </c>
      <c r="K1720" s="210" t="str">
        <f>IFERROR(__xludf.DUMMYFUNCTION("""COMPUTED_VALUE"""),"11150 11146 11157 11166 11135 1121 1155 11235 11126 11186 1151 11155")</f>
        <v>11150 11146 11157 11166 11135 1121 1155 11235 11126 11186 1151 11155</v>
      </c>
      <c r="L1720" s="211">
        <f>IFERROR(__xludf.DUMMYFUNCTION("""COMPUTED_VALUE"""),0.0)</f>
        <v>0</v>
      </c>
      <c r="M1720" s="211"/>
      <c r="N1720" s="211"/>
      <c r="O1720" s="211"/>
      <c r="Q1720" s="210" t="str">
        <f>IFERROR(__xludf.DUMMYFUNCTION("""COMPUTED_VALUE"""),"1125691720")</f>
        <v>1125691720</v>
      </c>
      <c r="R1720" s="210" t="str">
        <f>IFERROR(__xludf.DUMMYFUNCTION("""COMPUTED_VALUE"""),"1125691720")</f>
        <v>1125691720</v>
      </c>
      <c r="S1720" s="211" t="str">
        <f>IFERROR(__xludf.DUMMYFUNCTION("""COMPUTED_VALUE"""),"e86baf3b")</f>
        <v>e86baf3b</v>
      </c>
      <c r="T1720" s="211" t="str">
        <f>IFERROR(__xludf.DUMMYFUNCTION("""COMPUTED_VALUE"""),"PT GEMILANG CIPTA WAWASAN")</f>
        <v>PT GEMILANG CIPTA WAWASAN</v>
      </c>
      <c r="U1720" s="215">
        <f>IFERROR(__xludf.DUMMYFUNCTION("""COMPUTED_VALUE"""),45976.37732638889)</f>
        <v>45976.37733</v>
      </c>
      <c r="V1720" s="211" t="str">
        <f>IFERROR(__xludf.DUMMYFUNCTION("""COMPUTED_VALUE"""),"JL TEBET RAYA, 2A, TEBET BARAT, TEBET, KOTA ADM, JAKARTA SELATAN, DKI JAKARTA")</f>
        <v>JL TEBET RAYA, 2A, TEBET BARAT, TEBET, KOTA ADM, JAKARTA SELATAN, DKI JAKARTA</v>
      </c>
      <c r="W1720" s="211" t="str">
        <f>IFERROR(__xludf.DUMMYFUNCTION("""COMPUTED_VALUE"""),"OUT")</f>
        <v>OUT</v>
      </c>
      <c r="X1720" s="211"/>
      <c r="AL1720" s="211"/>
      <c r="AM1720" s="211"/>
      <c r="AN1720" s="211"/>
      <c r="AO1720" s="211"/>
      <c r="AP1720" s="215"/>
      <c r="AQ1720" s="218"/>
      <c r="AR1720" s="211"/>
    </row>
    <row r="1721">
      <c r="A1721" s="210" t="str">
        <f>IFERROR(__xludf.DUMMYFUNCTION("""COMPUTED_VALUE"""),"0925361247")</f>
        <v>0925361247</v>
      </c>
      <c r="B1721" s="210" t="str">
        <f>IFERROR(__xludf.DUMMYFUNCTION("""COMPUTED_VALUE"""),"0925361247")</f>
        <v>0925361247</v>
      </c>
      <c r="C1721" s="213">
        <f>IFERROR(__xludf.DUMMYFUNCTION("""COMPUTED_VALUE"""),45911.33715277778)</f>
        <v>45911.33715</v>
      </c>
      <c r="D1721" s="211" t="str">
        <f>IFERROR(__xludf.DUMMYFUNCTION("""COMPUTED_VALUE"""),"785e0e07")</f>
        <v>785e0e07</v>
      </c>
      <c r="E1721" s="211" t="str">
        <f>IFERROR(__xludf.DUMMYFUNCTION("""COMPUTED_VALUE"""),"Bpk. Sukirno (Bejo)")</f>
        <v>Bpk. Sukirno (Bejo)</v>
      </c>
      <c r="F1721" s="211" t="str">
        <f>IFERROR(__xludf.DUMMYFUNCTION("""COMPUTED_VALUE"""),"8bdbe149")</f>
        <v>8bdbe149</v>
      </c>
      <c r="G1721" s="211" t="str">
        <f>IFERROR(__xludf.DUMMYFUNCTION("""COMPUTED_VALUE"""),"Oksigen 6m3")</f>
        <v>Oksigen 6m3</v>
      </c>
      <c r="H1721" s="211" t="str">
        <f>IFERROR(__xludf.DUMMYFUNCTION("""COMPUTED_VALUE"""),"OUT")</f>
        <v>OUT</v>
      </c>
      <c r="I1721" s="211" t="str">
        <f>IFERROR(__xludf.DUMMYFUNCTION("""COMPUTED_VALUE"""),"NORMAL")</f>
        <v>NORMAL</v>
      </c>
      <c r="J1721" s="211">
        <f>IFERROR(__xludf.DUMMYFUNCTION("""COMPUTED_VALUE"""),15.0)</f>
        <v>15</v>
      </c>
      <c r="K1721" s="210" t="str">
        <f>IFERROR(__xludf.DUMMYFUNCTION("""COMPUTED_VALUE"""),"1122 11122 11113 11106 11279 1107 11249 11260 1155 11235 1151 11237 11126 11186 1121")</f>
        <v>1122 11122 11113 11106 11279 1107 11249 11260 1155 11235 1151 11237 11126 11186 1121</v>
      </c>
      <c r="L1721" s="211">
        <f>IFERROR(__xludf.DUMMYFUNCTION("""COMPUTED_VALUE"""),60000.0)</f>
        <v>60000</v>
      </c>
      <c r="M1721" s="211"/>
      <c r="N1721" s="211"/>
      <c r="O1721" s="211"/>
      <c r="Q1721" s="210" t="str">
        <f>IFERROR(__xludf.DUMMYFUNCTION("""COMPUTED_VALUE"""),"1125331721")</f>
        <v>1125331721</v>
      </c>
      <c r="R1721" s="210" t="str">
        <f>IFERROR(__xludf.DUMMYFUNCTION("""COMPUTED_VALUE"""),"1125331721")</f>
        <v>1125331721</v>
      </c>
      <c r="S1721" s="211" t="str">
        <f>IFERROR(__xludf.DUMMYFUNCTION("""COMPUTED_VALUE"""),"5f23ba17")</f>
        <v>5f23ba17</v>
      </c>
      <c r="T1721" s="211" t="str">
        <f>IFERROR(__xludf.DUMMYFUNCTION("""COMPUTED_VALUE"""),"Bpk. Joko (Gresik)")</f>
        <v>Bpk. Joko (Gresik)</v>
      </c>
      <c r="U1721" s="215">
        <f>IFERROR(__xludf.DUMMYFUNCTION("""COMPUTED_VALUE"""),45976.378217592595)</f>
        <v>45976.37822</v>
      </c>
      <c r="V1721" s="211" t="str">
        <f>IFERROR(__xludf.DUMMYFUNCTION("""COMPUTED_VALUE"""),"Tanggungan, Lebaniwaras, Kec. Wringinanom, Kabupaten Gresik, Jawa Timur")</f>
        <v>Tanggungan, Lebaniwaras, Kec. Wringinanom, Kabupaten Gresik, Jawa Timur</v>
      </c>
      <c r="W1721" s="211" t="str">
        <f>IFERROR(__xludf.DUMMYFUNCTION("""COMPUTED_VALUE"""),"OUT")</f>
        <v>OUT</v>
      </c>
      <c r="X1721" s="211"/>
      <c r="AL1721" s="211"/>
      <c r="AM1721" s="211"/>
      <c r="AN1721" s="211"/>
      <c r="AO1721" s="211"/>
      <c r="AP1721" s="215"/>
      <c r="AQ1721" s="218"/>
      <c r="AR1721" s="211"/>
    </row>
    <row r="1722">
      <c r="A1722" s="211"/>
      <c r="B1722" s="211"/>
      <c r="C1722" s="211"/>
      <c r="D1722" s="211"/>
      <c r="E1722" s="211"/>
      <c r="F1722" s="211"/>
      <c r="G1722" s="211"/>
      <c r="H1722" s="211"/>
      <c r="I1722" s="211"/>
      <c r="J1722" s="211"/>
      <c r="K1722" s="211"/>
      <c r="L1722" s="211"/>
      <c r="M1722" s="211"/>
      <c r="N1722" s="211"/>
      <c r="O1722" s="211"/>
      <c r="Q1722" s="210" t="str">
        <f>IFERROR(__xludf.DUMMYFUNCTION("""COMPUTED_VALUE"""),"1125401722")</f>
        <v>1125401722</v>
      </c>
      <c r="R1722" s="210" t="str">
        <f>IFERROR(__xludf.DUMMYFUNCTION("""COMPUTED_VALUE"""),"1125401722")</f>
        <v>1125401722</v>
      </c>
      <c r="S1722" s="211" t="str">
        <f>IFERROR(__xludf.DUMMYFUNCTION("""COMPUTED_VALUE"""),"b2b5f2c5")</f>
        <v>b2b5f2c5</v>
      </c>
      <c r="T1722" s="211" t="str">
        <f>IFERROR(__xludf.DUMMYFUNCTION("""COMPUTED_VALUE"""),"Bengkel Las Bpk. Ari")</f>
        <v>Bengkel Las Bpk. Ari</v>
      </c>
      <c r="U1722" s="215">
        <f>IFERROR(__xludf.DUMMYFUNCTION("""COMPUTED_VALUE"""),45976.43341435185)</f>
        <v>45976.43341</v>
      </c>
      <c r="V1722" s="211" t="str">
        <f>IFERROR(__xludf.DUMMYFUNCTION("""COMPUTED_VALUE"""),"Sumber Kembar, Wonodadi, Kec. Kutorejo, Kabupaten Mojokerto, Jawa Timur")</f>
        <v>Sumber Kembar, Wonodadi, Kec. Kutorejo, Kabupaten Mojokerto, Jawa Timur</v>
      </c>
      <c r="W1722" s="211" t="str">
        <f>IFERROR(__xludf.DUMMYFUNCTION("""COMPUTED_VALUE"""),"OUT")</f>
        <v>OUT</v>
      </c>
      <c r="X1722" s="211"/>
      <c r="AL1722" s="211"/>
      <c r="AM1722" s="211"/>
      <c r="AN1722" s="211"/>
      <c r="AO1722" s="211"/>
      <c r="AP1722" s="215"/>
      <c r="AQ1722" s="218"/>
      <c r="AR1722" s="211"/>
    </row>
    <row r="1723">
      <c r="A1723" s="210" t="str">
        <f>IFERROR(__xludf.DUMMYFUNCTION("""COMPUTED_VALUE"""),"0925201249")</f>
        <v>0925201249</v>
      </c>
      <c r="B1723" s="210" t="str">
        <f>IFERROR(__xludf.DUMMYFUNCTION("""COMPUTED_VALUE"""),"0925201249")</f>
        <v>0925201249</v>
      </c>
      <c r="C1723" s="213">
        <f>IFERROR(__xludf.DUMMYFUNCTION("""COMPUTED_VALUE"""),45911.3593287037)</f>
        <v>45911.35933</v>
      </c>
      <c r="D1723" s="211" t="str">
        <f>IFERROR(__xludf.DUMMYFUNCTION("""COMPUTED_VALUE"""),"8f5ebaea")</f>
        <v>8f5ebaea</v>
      </c>
      <c r="E1723" s="211" t="str">
        <f>IFERROR(__xludf.DUMMYFUNCTION("""COMPUTED_VALUE"""),"PT Hua Zong Mesindo")</f>
        <v>PT Hua Zong Mesindo</v>
      </c>
      <c r="F1723" s="211" t="str">
        <f>IFERROR(__xludf.DUMMYFUNCTION("""COMPUTED_VALUE"""),"66af7c72")</f>
        <v>66af7c72</v>
      </c>
      <c r="G1723" s="211" t="str">
        <f>IFERROR(__xludf.DUMMYFUNCTION("""COMPUTED_VALUE"""),"Argon 6m3")</f>
        <v>Argon 6m3</v>
      </c>
      <c r="H1723" s="211" t="str">
        <f>IFERROR(__xludf.DUMMYFUNCTION("""COMPUTED_VALUE"""),"OUT")</f>
        <v>OUT</v>
      </c>
      <c r="I1723" s="211" t="str">
        <f>IFERROR(__xludf.DUMMYFUNCTION("""COMPUTED_VALUE"""),"NORMAL")</f>
        <v>NORMAL</v>
      </c>
      <c r="J1723" s="211">
        <f>IFERROR(__xludf.DUMMYFUNCTION("""COMPUTED_VALUE"""),3.0)</f>
        <v>3</v>
      </c>
      <c r="K1723" s="210" t="str">
        <f>IFERROR(__xludf.DUMMYFUNCTION("""COMPUTED_VALUE"""),"12056 12072 12031")</f>
        <v>12056 12072 12031</v>
      </c>
      <c r="L1723" s="211">
        <f>IFERROR(__xludf.DUMMYFUNCTION("""COMPUTED_VALUE"""),190000.0)</f>
        <v>190000</v>
      </c>
      <c r="M1723" s="211"/>
      <c r="N1723" s="211"/>
      <c r="O1723" s="211"/>
      <c r="Q1723" s="210" t="str">
        <f>IFERROR(__xludf.DUMMYFUNCTION("""COMPUTED_VALUE"""),"1250785")</f>
        <v>1250785</v>
      </c>
      <c r="R1723" s="210" t="str">
        <f>IFERROR(__xludf.DUMMYFUNCTION("""COMPUTED_VALUE"""),"1250785")</f>
        <v>1250785</v>
      </c>
      <c r="S1723" s="211" t="str">
        <f>IFERROR(__xludf.DUMMYFUNCTION("""COMPUTED_VALUE"""),"e86baf3b")</f>
        <v>e86baf3b</v>
      </c>
      <c r="T1723" s="211" t="str">
        <f>IFERROR(__xludf.DUMMYFUNCTION("""COMPUTED_VALUE"""),"PT GEMILANG CIPTA WAWASAN")</f>
        <v>PT GEMILANG CIPTA WAWASAN</v>
      </c>
      <c r="U1723" s="215">
        <f>IFERROR(__xludf.DUMMYFUNCTION("""COMPUTED_VALUE"""),45976.49833333334)</f>
        <v>45976.49833</v>
      </c>
      <c r="V1723" s="211" t="str">
        <f>IFERROR(__xludf.DUMMYFUNCTION("""COMPUTED_VALUE"""),"JL TEBET RAYA, 2A, TEBET BARAT, TEBET, KOTA ADM, JAKARTA SELATAN, DKI JAKARTA")</f>
        <v>JL TEBET RAYA, 2A, TEBET BARAT, TEBET, KOTA ADM, JAKARTA SELATAN, DKI JAKARTA</v>
      </c>
      <c r="W1723" s="211" t="str">
        <f>IFERROR(__xludf.DUMMYFUNCTION("""COMPUTED_VALUE"""),"IN")</f>
        <v>IN</v>
      </c>
      <c r="X1723" s="211"/>
      <c r="AL1723" s="211"/>
      <c r="AM1723" s="211"/>
      <c r="AN1723" s="211"/>
      <c r="AO1723" s="211"/>
      <c r="AP1723" s="215"/>
      <c r="AQ1723" s="218"/>
      <c r="AR1723" s="211"/>
    </row>
    <row r="1724">
      <c r="A1724" s="211"/>
      <c r="B1724" s="211"/>
      <c r="C1724" s="211"/>
      <c r="D1724" s="211"/>
      <c r="E1724" s="211"/>
      <c r="F1724" s="211"/>
      <c r="G1724" s="211"/>
      <c r="H1724" s="211"/>
      <c r="I1724" s="211"/>
      <c r="J1724" s="211"/>
      <c r="K1724" s="211"/>
      <c r="L1724" s="211"/>
      <c r="M1724" s="211"/>
      <c r="N1724" s="211"/>
      <c r="O1724" s="211"/>
      <c r="Q1724" s="210" t="str">
        <f>IFERROR(__xludf.DUMMYFUNCTION("""COMPUTED_VALUE"""),"112531718")</f>
        <v>112531718</v>
      </c>
      <c r="R1724" s="210" t="str">
        <f>IFERROR(__xludf.DUMMYFUNCTION("""COMPUTED_VALUE"""),"112531718")</f>
        <v>112531718</v>
      </c>
      <c r="S1724" s="211" t="str">
        <f>IFERROR(__xludf.DUMMYFUNCTION("""COMPUTED_VALUE"""),"9e66ced9")</f>
        <v>9e66ced9</v>
      </c>
      <c r="T1724" s="211" t="str">
        <f>IFERROR(__xludf.DUMMYFUNCTION("""COMPUTED_VALUE"""),"Bapak Angga")</f>
        <v>Bapak Angga</v>
      </c>
      <c r="U1724" s="215">
        <f>IFERROR(__xludf.DUMMYFUNCTION("""COMPUTED_VALUE"""),45976.535520833335)</f>
        <v>45976.53552</v>
      </c>
      <c r="V1724" s="211" t="str">
        <f>IFERROR(__xludf.DUMMYFUNCTION("""COMPUTED_VALUE"""),"Jl. Bypass Krian No.2, Tundungan, Sidomojo, Kec. Krian, Kabupaten Sidoarjo, Jawa Timur 61262")</f>
        <v>Jl. Bypass Krian No.2, Tundungan, Sidomojo, Kec. Krian, Kabupaten Sidoarjo, Jawa Timur 61262</v>
      </c>
      <c r="W1724" s="211" t="str">
        <f>IFERROR(__xludf.DUMMYFUNCTION("""COMPUTED_VALUE"""),"OUT")</f>
        <v>OUT</v>
      </c>
      <c r="X1724" s="211"/>
      <c r="AL1724" s="211"/>
      <c r="AM1724" s="211"/>
      <c r="AN1724" s="211"/>
      <c r="AO1724" s="211"/>
      <c r="AP1724" s="215"/>
      <c r="AQ1724" s="218"/>
      <c r="AR1724" s="211"/>
    </row>
    <row r="1725">
      <c r="A1725" s="210" t="str">
        <f>IFERROR(__xludf.DUMMYFUNCTION("""COMPUTED_VALUE"""),"0925121250")</f>
        <v>0925121250</v>
      </c>
      <c r="B1725" s="210" t="str">
        <f>IFERROR(__xludf.DUMMYFUNCTION("""COMPUTED_VALUE"""),"0925121250")</f>
        <v>0925121250</v>
      </c>
      <c r="C1725" s="213">
        <f>IFERROR(__xludf.DUMMYFUNCTION("""COMPUTED_VALUE"""),45911.3612037037)</f>
        <v>45911.3612</v>
      </c>
      <c r="D1725" s="211" t="str">
        <f>IFERROR(__xludf.DUMMYFUNCTION("""COMPUTED_VALUE"""),"182fb0fe")</f>
        <v>182fb0fe</v>
      </c>
      <c r="E1725" s="211" t="str">
        <f>IFERROR(__xludf.DUMMYFUNCTION("""COMPUTED_VALUE"""),"PT Amtech")</f>
        <v>PT Amtech</v>
      </c>
      <c r="F1725" s="211" t="str">
        <f>IFERROR(__xludf.DUMMYFUNCTION("""COMPUTED_VALUE"""),"66af7c72")</f>
        <v>66af7c72</v>
      </c>
      <c r="G1725" s="211" t="str">
        <f>IFERROR(__xludf.DUMMYFUNCTION("""COMPUTED_VALUE"""),"Argon 6m3")</f>
        <v>Argon 6m3</v>
      </c>
      <c r="H1725" s="211" t="str">
        <f>IFERROR(__xludf.DUMMYFUNCTION("""COMPUTED_VALUE"""),"OUT")</f>
        <v>OUT</v>
      </c>
      <c r="I1725" s="211" t="str">
        <f>IFERROR(__xludf.DUMMYFUNCTION("""COMPUTED_VALUE"""),"NORMAL")</f>
        <v>NORMAL</v>
      </c>
      <c r="J1725" s="211">
        <f>IFERROR(__xludf.DUMMYFUNCTION("""COMPUTED_VALUE"""),5.0)</f>
        <v>5</v>
      </c>
      <c r="K1725" s="210" t="str">
        <f>IFERROR(__xludf.DUMMYFUNCTION("""COMPUTED_VALUE"""),"12067 12010 12036 12073 12020")</f>
        <v>12067 12010 12036 12073 12020</v>
      </c>
      <c r="L1725" s="211">
        <f>IFERROR(__xludf.DUMMYFUNCTION("""COMPUTED_VALUE"""),195000.0)</f>
        <v>195000</v>
      </c>
      <c r="M1725" s="211"/>
      <c r="N1725" s="211"/>
      <c r="O1725" s="211"/>
      <c r="Q1725" s="210" t="str">
        <f>IFERROR(__xludf.DUMMYFUNCTION("""COMPUTED_VALUE"""),"1250798")</f>
        <v>1250798</v>
      </c>
      <c r="R1725" s="210" t="str">
        <f>IFERROR(__xludf.DUMMYFUNCTION("""COMPUTED_VALUE"""),"1250798")</f>
        <v>1250798</v>
      </c>
      <c r="S1725" s="211" t="str">
        <f>IFERROR(__xludf.DUMMYFUNCTION("""COMPUTED_VALUE"""),"9e31e9f4")</f>
        <v>9e31e9f4</v>
      </c>
      <c r="T1725" s="211" t="str">
        <f>IFERROR(__xludf.DUMMYFUNCTION("""COMPUTED_VALUE"""),"Bpk. Eko Iswantoro")</f>
        <v>Bpk. Eko Iswantoro</v>
      </c>
      <c r="U1725" s="215">
        <f>IFERROR(__xludf.DUMMYFUNCTION("""COMPUTED_VALUE"""),45976.62053240741)</f>
        <v>45976.62053</v>
      </c>
      <c r="V1725" s="211" t="str">
        <f>IFERROR(__xludf.DUMMYFUNCTION("""COMPUTED_VALUE"""),"HHWW+8J Kemasan, Kec. Krian, Kabupaten Sidoarjo, Jawa Timur, Indonesia")</f>
        <v>HHWW+8J Kemasan, Kec. Krian, Kabupaten Sidoarjo, Jawa Timur, Indonesia</v>
      </c>
      <c r="W1725" s="211" t="str">
        <f>IFERROR(__xludf.DUMMYFUNCTION("""COMPUTED_VALUE"""),"IN")</f>
        <v>IN</v>
      </c>
      <c r="X1725" s="211"/>
      <c r="AL1725" s="211"/>
      <c r="AM1725" s="211"/>
      <c r="AN1725" s="211"/>
      <c r="AO1725" s="211"/>
      <c r="AP1725" s="215"/>
      <c r="AQ1725" s="218"/>
      <c r="AR1725" s="211"/>
    </row>
    <row r="1726">
      <c r="A1726" s="210" t="str">
        <f>IFERROR(__xludf.DUMMYFUNCTION("""COMPUTED_VALUE"""),"1250558")</f>
        <v>1250558</v>
      </c>
      <c r="B1726" s="210" t="str">
        <f>IFERROR(__xludf.DUMMYFUNCTION("""COMPUTED_VALUE"""),"1250558")</f>
        <v>1250558</v>
      </c>
      <c r="C1726" s="213">
        <f>IFERROR(__xludf.DUMMYFUNCTION("""COMPUTED_VALUE"""),45911.40394675926)</f>
        <v>45911.40395</v>
      </c>
      <c r="D1726" s="211" t="str">
        <f>IFERROR(__xludf.DUMMYFUNCTION("""COMPUTED_VALUE"""),"a9fe1bea")</f>
        <v>a9fe1bea</v>
      </c>
      <c r="E1726" s="211" t="str">
        <f>IFERROR(__xludf.DUMMYFUNCTION("""COMPUTED_VALUE"""),"H. Suheiri")</f>
        <v>H. Suheiri</v>
      </c>
      <c r="F1726" s="211" t="str">
        <f>IFERROR(__xludf.DUMMYFUNCTION("""COMPUTED_VALUE"""),"8bdbe149")</f>
        <v>8bdbe149</v>
      </c>
      <c r="G1726" s="211" t="str">
        <f>IFERROR(__xludf.DUMMYFUNCTION("""COMPUTED_VALUE"""),"Oksigen 6m3")</f>
        <v>Oksigen 6m3</v>
      </c>
      <c r="H1726" s="211" t="str">
        <f>IFERROR(__xludf.DUMMYFUNCTION("""COMPUTED_VALUE"""),"IN")</f>
        <v>IN</v>
      </c>
      <c r="I1726" s="211" t="str">
        <f>IFERROR(__xludf.DUMMYFUNCTION("""COMPUTED_VALUE"""),"EMPTY")</f>
        <v>EMPTY</v>
      </c>
      <c r="J1726" s="211">
        <f>IFERROR(__xludf.DUMMYFUNCTION("""COMPUTED_VALUE"""),11.0)</f>
        <v>11</v>
      </c>
      <c r="K1726" s="210" t="str">
        <f>IFERROR(__xludf.DUMMYFUNCTION("""COMPUTED_VALUE"""),"1148 11181 11118 1147 11127 11180 1187 11111 11115 11117 11119")</f>
        <v>1148 11181 11118 1147 11127 11180 1187 11111 11115 11117 11119</v>
      </c>
      <c r="L1726" s="211">
        <f>IFERROR(__xludf.DUMMYFUNCTION("""COMPUTED_VALUE"""),0.0)</f>
        <v>0</v>
      </c>
      <c r="M1726" s="211"/>
      <c r="N1726" s="211"/>
      <c r="O1726" s="211"/>
      <c r="Q1726" s="210" t="str">
        <f>IFERROR(__xludf.DUMMYFUNCTION("""COMPUTED_VALUE"""),"1250799")</f>
        <v>1250799</v>
      </c>
      <c r="R1726" s="210" t="str">
        <f>IFERROR(__xludf.DUMMYFUNCTION("""COMPUTED_VALUE"""),"1250799")</f>
        <v>1250799</v>
      </c>
      <c r="S1726" s="211" t="str">
        <f>IFERROR(__xludf.DUMMYFUNCTION("""COMPUTED_VALUE"""),"b2b5f2c5")</f>
        <v>b2b5f2c5</v>
      </c>
      <c r="T1726" s="211" t="str">
        <f>IFERROR(__xludf.DUMMYFUNCTION("""COMPUTED_VALUE"""),"Bengkel Las Bpk. Ari")</f>
        <v>Bengkel Las Bpk. Ari</v>
      </c>
      <c r="U1726" s="215">
        <f>IFERROR(__xludf.DUMMYFUNCTION("""COMPUTED_VALUE"""),45976.622708333336)</f>
        <v>45976.62271</v>
      </c>
      <c r="V1726" s="211" t="str">
        <f>IFERROR(__xludf.DUMMYFUNCTION("""COMPUTED_VALUE"""),"Sumber Kembar, Wonodadi, Kec. Kutorejo, Kabupaten Mojokerto, Jawa Timur")</f>
        <v>Sumber Kembar, Wonodadi, Kec. Kutorejo, Kabupaten Mojokerto, Jawa Timur</v>
      </c>
      <c r="W1726" s="211" t="str">
        <f>IFERROR(__xludf.DUMMYFUNCTION("""COMPUTED_VALUE"""),"IN")</f>
        <v>IN</v>
      </c>
      <c r="X1726" s="211"/>
      <c r="AL1726" s="211"/>
      <c r="AM1726" s="211"/>
      <c r="AN1726" s="211"/>
      <c r="AO1726" s="211"/>
      <c r="AP1726" s="215"/>
      <c r="AQ1726" s="218"/>
      <c r="AR1726" s="211"/>
    </row>
    <row r="1727">
      <c r="A1727" s="210" t="str">
        <f>IFERROR(__xludf.DUMMYFUNCTION("""COMPUTED_VALUE"""),"1250558")</f>
        <v>1250558</v>
      </c>
      <c r="B1727" s="210" t="str">
        <f>IFERROR(__xludf.DUMMYFUNCTION("""COMPUTED_VALUE"""),"1250558")</f>
        <v>1250558</v>
      </c>
      <c r="C1727" s="213">
        <f>IFERROR(__xludf.DUMMYFUNCTION("""COMPUTED_VALUE"""),45911.40394675926)</f>
        <v>45911.40395</v>
      </c>
      <c r="D1727" s="211" t="str">
        <f>IFERROR(__xludf.DUMMYFUNCTION("""COMPUTED_VALUE"""),"a9fe1bea")</f>
        <v>a9fe1bea</v>
      </c>
      <c r="E1727" s="211" t="str">
        <f>IFERROR(__xludf.DUMMYFUNCTION("""COMPUTED_VALUE"""),"H. Suheiri")</f>
        <v>H. Suheiri</v>
      </c>
      <c r="F1727" s="211" t="str">
        <f>IFERROR(__xludf.DUMMYFUNCTION("""COMPUTED_VALUE"""),"8bdbe149")</f>
        <v>8bdbe149</v>
      </c>
      <c r="G1727" s="211" t="str">
        <f>IFERROR(__xludf.DUMMYFUNCTION("""COMPUTED_VALUE"""),"Oksigen 6m3")</f>
        <v>Oksigen 6m3</v>
      </c>
      <c r="H1727" s="211" t="str">
        <f>IFERROR(__xludf.DUMMYFUNCTION("""COMPUTED_VALUE"""),"IN")</f>
        <v>IN</v>
      </c>
      <c r="I1727" s="211" t="str">
        <f>IFERROR(__xludf.DUMMYFUNCTION("""COMPUTED_VALUE"""),"CLAIM")</f>
        <v>CLAIM</v>
      </c>
      <c r="J1727" s="211">
        <f>IFERROR(__xludf.DUMMYFUNCTION("""COMPUTED_VALUE"""),4.0)</f>
        <v>4</v>
      </c>
      <c r="K1727" s="210" t="str">
        <f>IFERROR(__xludf.DUMMYFUNCTION("""COMPUTED_VALUE"""),"11251 1169 11272 11228")</f>
        <v>11251 1169 11272 11228</v>
      </c>
      <c r="L1727" s="211">
        <f>IFERROR(__xludf.DUMMYFUNCTION("""COMPUTED_VALUE"""),0.0)</f>
        <v>0</v>
      </c>
      <c r="M1727" s="211"/>
      <c r="N1727" s="211"/>
      <c r="O1727" s="211"/>
      <c r="Q1727" s="210" t="str">
        <f>IFERROR(__xludf.DUMMYFUNCTION("""COMPUTED_VALUE"""),"1125211723")</f>
        <v>1125211723</v>
      </c>
      <c r="R1727" s="210" t="str">
        <f>IFERROR(__xludf.DUMMYFUNCTION("""COMPUTED_VALUE"""),"1125211723")</f>
        <v>1125211723</v>
      </c>
      <c r="S1727" s="211" t="str">
        <f>IFERROR(__xludf.DUMMYFUNCTION("""COMPUTED_VALUE"""),"3bcd7fe6")</f>
        <v>3bcd7fe6</v>
      </c>
      <c r="T1727" s="211" t="str">
        <f>IFERROR(__xludf.DUMMYFUNCTION("""COMPUTED_VALUE"""),"Bpk. Alvin (LB Group)")</f>
        <v>Bpk. Alvin (LB Group)</v>
      </c>
      <c r="U1727" s="215">
        <f>IFERROR(__xludf.DUMMYFUNCTION("""COMPUTED_VALUE"""),45978.46538194444)</f>
        <v>45978.46538</v>
      </c>
      <c r="V1727" s="211" t="str">
        <f>IFERROR(__xludf.DUMMYFUNCTION("""COMPUTED_VALUE"""),"MFF9+XHC, Jalan, Tambakrejo, Temuireng, Kec. Dawar Blandong, Kabupaten Mojokerto, Jawa Timur 61354")</f>
        <v>MFF9+XHC, Jalan, Tambakrejo, Temuireng, Kec. Dawar Blandong, Kabupaten Mojokerto, Jawa Timur 61354</v>
      </c>
      <c r="W1727" s="211" t="str">
        <f>IFERROR(__xludf.DUMMYFUNCTION("""COMPUTED_VALUE"""),"OUT")</f>
        <v>OUT</v>
      </c>
      <c r="X1727" s="211"/>
      <c r="AL1727" s="211"/>
      <c r="AM1727" s="211"/>
      <c r="AN1727" s="211"/>
      <c r="AO1727" s="211"/>
      <c r="AP1727" s="215"/>
      <c r="AQ1727" s="218"/>
      <c r="AR1727" s="211"/>
    </row>
    <row r="1728">
      <c r="A1728" s="210" t="str">
        <f>IFERROR(__xludf.DUMMYFUNCTION("""COMPUTED_VALUE"""),"0925201249")</f>
        <v>0925201249</v>
      </c>
      <c r="B1728" s="210" t="str">
        <f>IFERROR(__xludf.DUMMYFUNCTION("""COMPUTED_VALUE"""),"0925201249")</f>
        <v>0925201249</v>
      </c>
      <c r="C1728" s="213">
        <f>IFERROR(__xludf.DUMMYFUNCTION("""COMPUTED_VALUE"""),45911.3593287037)</f>
        <v>45911.35933</v>
      </c>
      <c r="D1728" s="211" t="str">
        <f>IFERROR(__xludf.DUMMYFUNCTION("""COMPUTED_VALUE"""),"8f5ebaea")</f>
        <v>8f5ebaea</v>
      </c>
      <c r="E1728" s="211" t="str">
        <f>IFERROR(__xludf.DUMMYFUNCTION("""COMPUTED_VALUE"""),"PT Hua Zong Mesindo")</f>
        <v>PT Hua Zong Mesindo</v>
      </c>
      <c r="F1728" s="211" t="str">
        <f>IFERROR(__xludf.DUMMYFUNCTION("""COMPUTED_VALUE"""),"8bdbe149")</f>
        <v>8bdbe149</v>
      </c>
      <c r="G1728" s="211" t="str">
        <f>IFERROR(__xludf.DUMMYFUNCTION("""COMPUTED_VALUE"""),"Oksigen 6m3")</f>
        <v>Oksigen 6m3</v>
      </c>
      <c r="H1728" s="211" t="str">
        <f>IFERROR(__xludf.DUMMYFUNCTION("""COMPUTED_VALUE"""),"OUT")</f>
        <v>OUT</v>
      </c>
      <c r="I1728" s="211" t="str">
        <f>IFERROR(__xludf.DUMMYFUNCTION("""COMPUTED_VALUE"""),"NORMAL")</f>
        <v>NORMAL</v>
      </c>
      <c r="J1728" s="211">
        <f>IFERROR(__xludf.DUMMYFUNCTION("""COMPUTED_VALUE"""),4.0)</f>
        <v>4</v>
      </c>
      <c r="K1728" s="210" t="str">
        <f>IFERROR(__xludf.DUMMYFUNCTION("""COMPUTED_VALUE"""),"11251 11272 1169 11228")</f>
        <v>11251 11272 1169 11228</v>
      </c>
      <c r="L1728" s="211">
        <f>IFERROR(__xludf.DUMMYFUNCTION("""COMPUTED_VALUE"""),60000.0)</f>
        <v>60000</v>
      </c>
      <c r="M1728" s="211"/>
      <c r="N1728" s="211"/>
      <c r="O1728" s="211"/>
      <c r="Q1728" s="210" t="str">
        <f>IFERROR(__xludf.DUMMYFUNCTION("""COMPUTED_VALUE"""),"1250787")</f>
        <v>1250787</v>
      </c>
      <c r="R1728" s="210" t="str">
        <f>IFERROR(__xludf.DUMMYFUNCTION("""COMPUTED_VALUE"""),"1250787")</f>
        <v>1250787</v>
      </c>
      <c r="S1728" s="211" t="str">
        <f>IFERROR(__xludf.DUMMYFUNCTION("""COMPUTED_VALUE"""),"ed2cc96a")</f>
        <v>ed2cc96a</v>
      </c>
      <c r="T1728" s="211" t="str">
        <f>IFERROR(__xludf.DUMMYFUNCTION("""COMPUTED_VALUE"""),"Bengkel Dian Jaya")</f>
        <v>Bengkel Dian Jaya</v>
      </c>
      <c r="U1728" s="215">
        <f>IFERROR(__xludf.DUMMYFUNCTION("""COMPUTED_VALUE"""),45978.47421296296)</f>
        <v>45978.47421</v>
      </c>
      <c r="V1728" s="211" t="str">
        <f>IFERROR(__xludf.DUMMYFUNCTION("""COMPUTED_VALUE"""),"Gg. 2, Kejagan, Kec. Trowulan, Kabupaten Mojokerto, Jawa Timur 61362")</f>
        <v>Gg. 2, Kejagan, Kec. Trowulan, Kabupaten Mojokerto, Jawa Timur 61362</v>
      </c>
      <c r="W1728" s="211" t="str">
        <f>IFERROR(__xludf.DUMMYFUNCTION("""COMPUTED_VALUE"""),"IN")</f>
        <v>IN</v>
      </c>
      <c r="X1728" s="211"/>
      <c r="AL1728" s="211"/>
      <c r="AM1728" s="211"/>
      <c r="AN1728" s="211"/>
      <c r="AO1728" s="211"/>
      <c r="AP1728" s="215"/>
      <c r="AQ1728" s="218"/>
      <c r="AR1728" s="211"/>
    </row>
    <row r="1729">
      <c r="A1729" s="210" t="str">
        <f>IFERROR(__xludf.DUMMYFUNCTION("""COMPUTED_VALUE"""),"0925121250")</f>
        <v>0925121250</v>
      </c>
      <c r="B1729" s="210" t="str">
        <f>IFERROR(__xludf.DUMMYFUNCTION("""COMPUTED_VALUE"""),"0925121250")</f>
        <v>0925121250</v>
      </c>
      <c r="C1729" s="213">
        <f>IFERROR(__xludf.DUMMYFUNCTION("""COMPUTED_VALUE"""),45911.3612037037)</f>
        <v>45911.3612</v>
      </c>
      <c r="D1729" s="211" t="str">
        <f>IFERROR(__xludf.DUMMYFUNCTION("""COMPUTED_VALUE"""),"182fb0fe")</f>
        <v>182fb0fe</v>
      </c>
      <c r="E1729" s="211" t="str">
        <f>IFERROR(__xludf.DUMMYFUNCTION("""COMPUTED_VALUE"""),"PT Amtech")</f>
        <v>PT Amtech</v>
      </c>
      <c r="F1729" s="211" t="str">
        <f>IFERROR(__xludf.DUMMYFUNCTION("""COMPUTED_VALUE"""),"be525f3b")</f>
        <v>be525f3b</v>
      </c>
      <c r="G1729" s="211" t="str">
        <f>IFERROR(__xludf.DUMMYFUNCTION("""COMPUTED_VALUE"""),"LPG 12kg")</f>
        <v>LPG 12kg</v>
      </c>
      <c r="H1729" s="211" t="str">
        <f>IFERROR(__xludf.DUMMYFUNCTION("""COMPUTED_VALUE"""),"OUT")</f>
        <v>OUT</v>
      </c>
      <c r="I1729" s="211" t="str">
        <f>IFERROR(__xludf.DUMMYFUNCTION("""COMPUTED_VALUE"""),"NORMAL")</f>
        <v>NORMAL</v>
      </c>
      <c r="J1729" s="211">
        <f>IFERROR(__xludf.DUMMYFUNCTION("""COMPUTED_VALUE"""),1.0)</f>
        <v>1</v>
      </c>
      <c r="K1729" s="210" t="str">
        <f>IFERROR(__xludf.DUMMYFUNCTION("""COMPUTED_VALUE"""),"01")</f>
        <v>01</v>
      </c>
      <c r="L1729" s="211">
        <f>IFERROR(__xludf.DUMMYFUNCTION("""COMPUTED_VALUE"""),215000.0)</f>
        <v>215000</v>
      </c>
      <c r="M1729" s="211"/>
      <c r="N1729" s="211"/>
      <c r="O1729" s="211"/>
      <c r="Q1729" s="210" t="str">
        <f>IFERROR(__xludf.DUMMYFUNCTION("""COMPUTED_VALUE"""),"1250786")</f>
        <v>1250786</v>
      </c>
      <c r="R1729" s="210" t="str">
        <f>IFERROR(__xludf.DUMMYFUNCTION("""COMPUTED_VALUE"""),"1250786")</f>
        <v>1250786</v>
      </c>
      <c r="S1729" s="211" t="str">
        <f>IFERROR(__xludf.DUMMYFUNCTION("""COMPUTED_VALUE"""),"faf71ae5")</f>
        <v>faf71ae5</v>
      </c>
      <c r="T1729" s="211" t="str">
        <f>IFERROR(__xludf.DUMMYFUNCTION("""COMPUTED_VALUE"""),"Bpk. Sampurna")</f>
        <v>Bpk. Sampurna</v>
      </c>
      <c r="U1729" s="215">
        <f>IFERROR(__xludf.DUMMYFUNCTION("""COMPUTED_VALUE"""),45978.476018518515)</f>
        <v>45978.47602</v>
      </c>
      <c r="V1729" s="211" t="str">
        <f>IFERROR(__xludf.DUMMYFUNCTION("""COMPUTED_VALUE"""),"Jl. Bypass Krian KM.30 No.15, Kraton, Kec. Krian, Kabupaten Sidoarjo, Jawa Timur 61262")</f>
        <v>Jl. Bypass Krian KM.30 No.15, Kraton, Kec. Krian, Kabupaten Sidoarjo, Jawa Timur 61262</v>
      </c>
      <c r="W1729" s="211" t="str">
        <f>IFERROR(__xludf.DUMMYFUNCTION("""COMPUTED_VALUE"""),"IN")</f>
        <v>IN</v>
      </c>
      <c r="X1729" s="211"/>
      <c r="AL1729" s="211"/>
      <c r="AM1729" s="211"/>
      <c r="AN1729" s="211"/>
      <c r="AO1729" s="211"/>
      <c r="AP1729" s="215"/>
      <c r="AQ1729" s="218"/>
      <c r="AR1729" s="211"/>
    </row>
    <row r="1730">
      <c r="A1730" s="210" t="str">
        <f>IFERROR(__xludf.DUMMYFUNCTION("""COMPUTED_VALUE"""),"1250575")</f>
        <v>1250575</v>
      </c>
      <c r="B1730" s="210" t="str">
        <f>IFERROR(__xludf.DUMMYFUNCTION("""COMPUTED_VALUE"""),"1250575")</f>
        <v>1250575</v>
      </c>
      <c r="C1730" s="213">
        <f>IFERROR(__xludf.DUMMYFUNCTION("""COMPUTED_VALUE"""),45911.489849537036)</f>
        <v>45911.48985</v>
      </c>
      <c r="D1730" s="211" t="str">
        <f>IFERROR(__xludf.DUMMYFUNCTION("""COMPUTED_VALUE"""),"785e0e07")</f>
        <v>785e0e07</v>
      </c>
      <c r="E1730" s="211" t="str">
        <f>IFERROR(__xludf.DUMMYFUNCTION("""COMPUTED_VALUE"""),"Bpk. Sukirno (Bejo)")</f>
        <v>Bpk. Sukirno (Bejo)</v>
      </c>
      <c r="F1730" s="211" t="str">
        <f>IFERROR(__xludf.DUMMYFUNCTION("""COMPUTED_VALUE"""),"8bdbe149")</f>
        <v>8bdbe149</v>
      </c>
      <c r="G1730" s="211" t="str">
        <f>IFERROR(__xludf.DUMMYFUNCTION("""COMPUTED_VALUE"""),"Oksigen 6m3")</f>
        <v>Oksigen 6m3</v>
      </c>
      <c r="H1730" s="211" t="str">
        <f>IFERROR(__xludf.DUMMYFUNCTION("""COMPUTED_VALUE"""),"IN")</f>
        <v>IN</v>
      </c>
      <c r="I1730" s="211" t="str">
        <f>IFERROR(__xludf.DUMMYFUNCTION("""COMPUTED_VALUE"""),"EMPTY")</f>
        <v>EMPTY</v>
      </c>
      <c r="J1730" s="211">
        <f>IFERROR(__xludf.DUMMYFUNCTION("""COMPUTED_VALUE"""),6.0)</f>
        <v>6</v>
      </c>
      <c r="K1730" s="210" t="str">
        <f>IFERROR(__xludf.DUMMYFUNCTION("""COMPUTED_VALUE"""),"11164 11174 1170 1190 11276 1198")</f>
        <v>11164 11174 1170 1190 11276 1198</v>
      </c>
      <c r="L1730" s="211">
        <f>IFERROR(__xludf.DUMMYFUNCTION("""COMPUTED_VALUE"""),0.0)</f>
        <v>0</v>
      </c>
      <c r="M1730" s="211"/>
      <c r="N1730" s="211"/>
      <c r="O1730" s="211"/>
      <c r="Q1730" s="210" t="str">
        <f>IFERROR(__xludf.DUMMYFUNCTION("""COMPUTED_VALUE"""),"1125231728")</f>
        <v>1125231728</v>
      </c>
      <c r="R1730" s="210" t="str">
        <f>IFERROR(__xludf.DUMMYFUNCTION("""COMPUTED_VALUE"""),"1125231728")</f>
        <v>1125231728</v>
      </c>
      <c r="S1730" s="211" t="str">
        <f>IFERROR(__xludf.DUMMYFUNCTION("""COMPUTED_VALUE"""),"7b9d8eba")</f>
        <v>7b9d8eba</v>
      </c>
      <c r="T1730" s="211" t="str">
        <f>IFERROR(__xludf.DUMMYFUNCTION("""COMPUTED_VALUE"""),"PT PELANGI INDOKARYA")</f>
        <v>PT PELANGI INDOKARYA</v>
      </c>
      <c r="U1730" s="215">
        <f>IFERROR(__xludf.DUMMYFUNCTION("""COMPUTED_VALUE"""),45978.560381944444)</f>
        <v>45978.56038</v>
      </c>
      <c r="V173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730" s="211" t="str">
        <f>IFERROR(__xludf.DUMMYFUNCTION("""COMPUTED_VALUE"""),"OUT")</f>
        <v>OUT</v>
      </c>
      <c r="X1730" s="211"/>
      <c r="AL1730" s="211"/>
      <c r="AM1730" s="211"/>
      <c r="AN1730" s="211"/>
      <c r="AO1730" s="211"/>
      <c r="AP1730" s="215"/>
      <c r="AQ1730" s="218"/>
      <c r="AR1730" s="211"/>
    </row>
    <row r="1731">
      <c r="A1731" s="210" t="str">
        <f>IFERROR(__xludf.DUMMYFUNCTION("""COMPUTED_VALUE"""),"1250580")</f>
        <v>1250580</v>
      </c>
      <c r="B1731" s="210" t="str">
        <f>IFERROR(__xludf.DUMMYFUNCTION("""COMPUTED_VALUE"""),"1250580")</f>
        <v>1250580</v>
      </c>
      <c r="C1731" s="213">
        <f>IFERROR(__xludf.DUMMYFUNCTION("""COMPUTED_VALUE"""),45911.49130787037)</f>
        <v>45911.49131</v>
      </c>
      <c r="D1731" s="211" t="str">
        <f>IFERROR(__xludf.DUMMYFUNCTION("""COMPUTED_VALUE"""),"182fb0fe")</f>
        <v>182fb0fe</v>
      </c>
      <c r="E1731" s="211" t="str">
        <f>IFERROR(__xludf.DUMMYFUNCTION("""COMPUTED_VALUE"""),"PT Amtech")</f>
        <v>PT Amtech</v>
      </c>
      <c r="F1731" s="211" t="str">
        <f>IFERROR(__xludf.DUMMYFUNCTION("""COMPUTED_VALUE"""),"8bdbe149")</f>
        <v>8bdbe149</v>
      </c>
      <c r="G1731" s="211" t="str">
        <f>IFERROR(__xludf.DUMMYFUNCTION("""COMPUTED_VALUE"""),"Oksigen 6m3")</f>
        <v>Oksigen 6m3</v>
      </c>
      <c r="H1731" s="211" t="str">
        <f>IFERROR(__xludf.DUMMYFUNCTION("""COMPUTED_VALUE"""),"IN")</f>
        <v>IN</v>
      </c>
      <c r="I1731" s="211" t="str">
        <f>IFERROR(__xludf.DUMMYFUNCTION("""COMPUTED_VALUE"""),"EMPTY")</f>
        <v>EMPTY</v>
      </c>
      <c r="J1731" s="211">
        <f>IFERROR(__xludf.DUMMYFUNCTION("""COMPUTED_VALUE"""),1.0)</f>
        <v>1</v>
      </c>
      <c r="K1731" s="210" t="str">
        <f>IFERROR(__xludf.DUMMYFUNCTION("""COMPUTED_VALUE"""),"1144")</f>
        <v>1144</v>
      </c>
      <c r="L1731" s="211">
        <f>IFERROR(__xludf.DUMMYFUNCTION("""COMPUTED_VALUE"""),0.0)</f>
        <v>0</v>
      </c>
      <c r="M1731" s="211"/>
      <c r="N1731" s="211"/>
      <c r="O1731" s="211"/>
      <c r="Q1731" s="210" t="str">
        <f>IFERROR(__xludf.DUMMYFUNCTION("""COMPUTED_VALUE"""),"1250796")</f>
        <v>1250796</v>
      </c>
      <c r="R1731" s="210" t="str">
        <f>IFERROR(__xludf.DUMMYFUNCTION("""COMPUTED_VALUE"""),"1250796")</f>
        <v>1250796</v>
      </c>
      <c r="S1731" s="211" t="str">
        <f>IFERROR(__xludf.DUMMYFUNCTION("""COMPUTED_VALUE"""),"b2b5f2c5")</f>
        <v>b2b5f2c5</v>
      </c>
      <c r="T1731" s="211" t="str">
        <f>IFERROR(__xludf.DUMMYFUNCTION("""COMPUTED_VALUE"""),"Bengkel Las Bpk. Ari")</f>
        <v>Bengkel Las Bpk. Ari</v>
      </c>
      <c r="U1731" s="215">
        <f>IFERROR(__xludf.DUMMYFUNCTION("""COMPUTED_VALUE"""),45978.56854166667)</f>
        <v>45978.56854</v>
      </c>
      <c r="V1731" s="211" t="str">
        <f>IFERROR(__xludf.DUMMYFUNCTION("""COMPUTED_VALUE"""),"Sumber Kembar, Wonodadi, Kec. Kutorejo, Kabupaten Mojokerto, Jawa Timur")</f>
        <v>Sumber Kembar, Wonodadi, Kec. Kutorejo, Kabupaten Mojokerto, Jawa Timur</v>
      </c>
      <c r="W1731" s="211" t="str">
        <f>IFERROR(__xludf.DUMMYFUNCTION("""COMPUTED_VALUE"""),"IN")</f>
        <v>IN</v>
      </c>
      <c r="X1731" s="211"/>
      <c r="AL1731" s="211"/>
      <c r="AM1731" s="211"/>
      <c r="AN1731" s="211"/>
      <c r="AO1731" s="211"/>
      <c r="AP1731" s="215"/>
      <c r="AQ1731" s="218"/>
      <c r="AR1731" s="211"/>
    </row>
    <row r="1732">
      <c r="A1732" s="210" t="str">
        <f>IFERROR(__xludf.DUMMYFUNCTION("""COMPUTED_VALUE"""),"1250559")</f>
        <v>1250559</v>
      </c>
      <c r="B1732" s="210" t="str">
        <f>IFERROR(__xludf.DUMMYFUNCTION("""COMPUTED_VALUE"""),"1250559")</f>
        <v>1250559</v>
      </c>
      <c r="C1732" s="213">
        <f>IFERROR(__xludf.DUMMYFUNCTION("""COMPUTED_VALUE"""),45911.49490740741)</f>
        <v>45911.49491</v>
      </c>
      <c r="D1732" s="211" t="str">
        <f>IFERROR(__xludf.DUMMYFUNCTION("""COMPUTED_VALUE"""),"8f5ebaea")</f>
        <v>8f5ebaea</v>
      </c>
      <c r="E1732" s="211" t="str">
        <f>IFERROR(__xludf.DUMMYFUNCTION("""COMPUTED_VALUE"""),"PT Hua Zong Mesindo")</f>
        <v>PT Hua Zong Mesindo</v>
      </c>
      <c r="F1732" s="211" t="str">
        <f>IFERROR(__xludf.DUMMYFUNCTION("""COMPUTED_VALUE"""),"8bdbe149")</f>
        <v>8bdbe149</v>
      </c>
      <c r="G1732" s="211" t="str">
        <f>IFERROR(__xludf.DUMMYFUNCTION("""COMPUTED_VALUE"""),"Oksigen 6m3")</f>
        <v>Oksigen 6m3</v>
      </c>
      <c r="H1732" s="211" t="str">
        <f>IFERROR(__xludf.DUMMYFUNCTION("""COMPUTED_VALUE"""),"IN")</f>
        <v>IN</v>
      </c>
      <c r="I1732" s="211" t="str">
        <f>IFERROR(__xludf.DUMMYFUNCTION("""COMPUTED_VALUE"""),"EMPTY")</f>
        <v>EMPTY</v>
      </c>
      <c r="J1732" s="211">
        <f>IFERROR(__xludf.DUMMYFUNCTION("""COMPUTED_VALUE"""),1.0)</f>
        <v>1</v>
      </c>
      <c r="K1732" s="210" t="str">
        <f>IFERROR(__xludf.DUMMYFUNCTION("""COMPUTED_VALUE"""),"1115")</f>
        <v>1115</v>
      </c>
      <c r="L1732" s="211">
        <f>IFERROR(__xludf.DUMMYFUNCTION("""COMPUTED_VALUE"""),0.0)</f>
        <v>0</v>
      </c>
      <c r="M1732" s="211"/>
      <c r="N1732" s="211"/>
      <c r="O1732" s="211"/>
      <c r="Q1732" s="210" t="str">
        <f>IFERROR(__xludf.DUMMYFUNCTION("""COMPUTED_VALUE"""),"112511731")</f>
        <v>112511731</v>
      </c>
      <c r="R1732" s="210" t="str">
        <f>IFERROR(__xludf.DUMMYFUNCTION("""COMPUTED_VALUE"""),"112511731")</f>
        <v>112511731</v>
      </c>
      <c r="S1732" s="211" t="str">
        <f>IFERROR(__xludf.DUMMYFUNCTION("""COMPUTED_VALUE"""),"63fc688a")</f>
        <v>63fc688a</v>
      </c>
      <c r="T1732" s="211" t="str">
        <f>IFERROR(__xludf.DUMMYFUNCTION("""COMPUTED_VALUE"""),"CV Malik Nusantara")</f>
        <v>CV Malik Nusantara</v>
      </c>
      <c r="U1732" s="215">
        <f>IFERROR(__xludf.DUMMYFUNCTION("""COMPUTED_VALUE"""),45978.58541666667)</f>
        <v>45978.58542</v>
      </c>
      <c r="V1732" s="211" t="str">
        <f>IFERROR(__xludf.DUMMYFUNCTION("""COMPUTED_VALUE"""),"Jl. Raya Balongbendo No.12, Suwaluh Utara, Suwaluh, Kec. BalongBendo, Kabupaten Sidoarjo, Jawa Timur 61263")</f>
        <v>Jl. Raya Balongbendo No.12, Suwaluh Utara, Suwaluh, Kec. BalongBendo, Kabupaten Sidoarjo, Jawa Timur 61263</v>
      </c>
      <c r="W1732" s="211" t="str">
        <f>IFERROR(__xludf.DUMMYFUNCTION("""COMPUTED_VALUE"""),"OUT")</f>
        <v>OUT</v>
      </c>
      <c r="X1732" s="211"/>
      <c r="AL1732" s="211"/>
      <c r="AM1732" s="211"/>
      <c r="AN1732" s="211"/>
      <c r="AO1732" s="211"/>
      <c r="AP1732" s="215"/>
      <c r="AQ1732" s="218"/>
      <c r="AR1732" s="211"/>
    </row>
    <row r="1733">
      <c r="A1733" s="210" t="str">
        <f>IFERROR(__xludf.DUMMYFUNCTION("""COMPUTED_VALUE"""),"1250559")</f>
        <v>1250559</v>
      </c>
      <c r="B1733" s="210" t="str">
        <f>IFERROR(__xludf.DUMMYFUNCTION("""COMPUTED_VALUE"""),"1250559")</f>
        <v>1250559</v>
      </c>
      <c r="C1733" s="213">
        <f>IFERROR(__xludf.DUMMYFUNCTION("""COMPUTED_VALUE"""),45911.49490740741)</f>
        <v>45911.49491</v>
      </c>
      <c r="D1733" s="211" t="str">
        <f>IFERROR(__xludf.DUMMYFUNCTION("""COMPUTED_VALUE"""),"8f5ebaea")</f>
        <v>8f5ebaea</v>
      </c>
      <c r="E1733" s="211" t="str">
        <f>IFERROR(__xludf.DUMMYFUNCTION("""COMPUTED_VALUE"""),"PT Hua Zong Mesindo")</f>
        <v>PT Hua Zong Mesindo</v>
      </c>
      <c r="F1733" s="211" t="str">
        <f>IFERROR(__xludf.DUMMYFUNCTION("""COMPUTED_VALUE"""),"ef306e54")</f>
        <v>ef306e54</v>
      </c>
      <c r="G1733" s="211" t="str">
        <f>IFERROR(__xludf.DUMMYFUNCTION("""COMPUTED_VALUE"""),"Karbondioksida")</f>
        <v>Karbondioksida</v>
      </c>
      <c r="H1733" s="211" t="str">
        <f>IFERROR(__xludf.DUMMYFUNCTION("""COMPUTED_VALUE"""),"IN")</f>
        <v>IN</v>
      </c>
      <c r="I1733" s="211" t="str">
        <f>IFERROR(__xludf.DUMMYFUNCTION("""COMPUTED_VALUE"""),"EMPTY")</f>
        <v>EMPTY</v>
      </c>
      <c r="J1733" s="211">
        <f>IFERROR(__xludf.DUMMYFUNCTION("""COMPUTED_VALUE"""),1.0)</f>
        <v>1</v>
      </c>
      <c r="K1733" s="210" t="str">
        <f>IFERROR(__xludf.DUMMYFUNCTION("""COMPUTED_VALUE"""),"13025")</f>
        <v>13025</v>
      </c>
      <c r="L1733" s="211">
        <f>IFERROR(__xludf.DUMMYFUNCTION("""COMPUTED_VALUE"""),0.0)</f>
        <v>0</v>
      </c>
      <c r="M1733" s="211"/>
      <c r="N1733" s="211"/>
      <c r="O1733" s="211"/>
      <c r="Q1733" s="210" t="str">
        <f>IFERROR(__xludf.DUMMYFUNCTION("""COMPUTED_VALUE"""),"1250800")</f>
        <v>1250800</v>
      </c>
      <c r="R1733" s="210" t="str">
        <f>IFERROR(__xludf.DUMMYFUNCTION("""COMPUTED_VALUE"""),"1250800")</f>
        <v>1250800</v>
      </c>
      <c r="S1733" s="211" t="str">
        <f>IFERROR(__xludf.DUMMYFUNCTION("""COMPUTED_VALUE"""),"7b9d8eba")</f>
        <v>7b9d8eba</v>
      </c>
      <c r="T1733" s="211" t="str">
        <f>IFERROR(__xludf.DUMMYFUNCTION("""COMPUTED_VALUE"""),"PT PELANGI INDOKARYA")</f>
        <v>PT PELANGI INDOKARYA</v>
      </c>
      <c r="U1733" s="215">
        <f>IFERROR(__xludf.DUMMYFUNCTION("""COMPUTED_VALUE"""),45978.61478009259)</f>
        <v>45978.61478</v>
      </c>
      <c r="V173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1733" s="211" t="str">
        <f>IFERROR(__xludf.DUMMYFUNCTION("""COMPUTED_VALUE"""),"IN")</f>
        <v>IN</v>
      </c>
      <c r="X1733" s="211"/>
      <c r="AL1733" s="211"/>
      <c r="AM1733" s="211"/>
      <c r="AN1733" s="211"/>
      <c r="AO1733" s="211"/>
      <c r="AP1733" s="215"/>
      <c r="AQ1733" s="218"/>
      <c r="AR1733" s="211"/>
    </row>
    <row r="1734">
      <c r="A1734" s="210" t="str">
        <f>IFERROR(__xludf.DUMMYFUNCTION("""COMPUTED_VALUE"""),"1250559")</f>
        <v>1250559</v>
      </c>
      <c r="B1734" s="210" t="str">
        <f>IFERROR(__xludf.DUMMYFUNCTION("""COMPUTED_VALUE"""),"1250559")</f>
        <v>1250559</v>
      </c>
      <c r="C1734" s="213">
        <f>IFERROR(__xludf.DUMMYFUNCTION("""COMPUTED_VALUE"""),45911.49490740741)</f>
        <v>45911.49491</v>
      </c>
      <c r="D1734" s="211" t="str">
        <f>IFERROR(__xludf.DUMMYFUNCTION("""COMPUTED_VALUE"""),"8f5ebaea")</f>
        <v>8f5ebaea</v>
      </c>
      <c r="E1734" s="211" t="str">
        <f>IFERROR(__xludf.DUMMYFUNCTION("""COMPUTED_VALUE"""),"PT Hua Zong Mesindo")</f>
        <v>PT Hua Zong Mesindo</v>
      </c>
      <c r="F1734" s="211" t="str">
        <f>IFERROR(__xludf.DUMMYFUNCTION("""COMPUTED_VALUE"""),"66af7c72")</f>
        <v>66af7c72</v>
      </c>
      <c r="G1734" s="211" t="str">
        <f>IFERROR(__xludf.DUMMYFUNCTION("""COMPUTED_VALUE"""),"Argon 6m3")</f>
        <v>Argon 6m3</v>
      </c>
      <c r="H1734" s="211" t="str">
        <f>IFERROR(__xludf.DUMMYFUNCTION("""COMPUTED_VALUE"""),"IN")</f>
        <v>IN</v>
      </c>
      <c r="I1734" s="211" t="str">
        <f>IFERROR(__xludf.DUMMYFUNCTION("""COMPUTED_VALUE"""),"EMPTY")</f>
        <v>EMPTY</v>
      </c>
      <c r="J1734" s="211">
        <f>IFERROR(__xludf.DUMMYFUNCTION("""COMPUTED_VALUE"""),4.0)</f>
        <v>4</v>
      </c>
      <c r="K1734" s="210" t="str">
        <f>IFERROR(__xludf.DUMMYFUNCTION("""COMPUTED_VALUE"""),"12051 12034 12012 12023")</f>
        <v>12051 12034 12012 12023</v>
      </c>
      <c r="L1734" s="211">
        <f>IFERROR(__xludf.DUMMYFUNCTION("""COMPUTED_VALUE"""),0.0)</f>
        <v>0</v>
      </c>
      <c r="M1734" s="211"/>
      <c r="N1734" s="211"/>
      <c r="O1734" s="211"/>
      <c r="Q1734" s="210" t="str">
        <f>IFERROR(__xludf.DUMMYFUNCTION("""COMPUTED_VALUE"""),"1250788")</f>
        <v>1250788</v>
      </c>
      <c r="R1734" s="210" t="str">
        <f>IFERROR(__xludf.DUMMYFUNCTION("""COMPUTED_VALUE"""),"1250788")</f>
        <v>1250788</v>
      </c>
      <c r="S1734" s="211" t="str">
        <f>IFERROR(__xludf.DUMMYFUNCTION("""COMPUTED_VALUE"""),"3bcd7fe6")</f>
        <v>3bcd7fe6</v>
      </c>
      <c r="T1734" s="211" t="str">
        <f>IFERROR(__xludf.DUMMYFUNCTION("""COMPUTED_VALUE"""),"Bpk. Alvin (LB Group)")</f>
        <v>Bpk. Alvin (LB Group)</v>
      </c>
      <c r="U1734" s="215">
        <f>IFERROR(__xludf.DUMMYFUNCTION("""COMPUTED_VALUE"""),45978.641064814816)</f>
        <v>45978.64106</v>
      </c>
      <c r="V1734" s="211" t="str">
        <f>IFERROR(__xludf.DUMMYFUNCTION("""COMPUTED_VALUE"""),"MFF9+XHC, Jalan, Tambakrejo, Temuireng, Kec. Dawar Blandong, Kabupaten Mojokerto, Jawa Timur 61354")</f>
        <v>MFF9+XHC, Jalan, Tambakrejo, Temuireng, Kec. Dawar Blandong, Kabupaten Mojokerto, Jawa Timur 61354</v>
      </c>
      <c r="W1734" s="211" t="str">
        <f>IFERROR(__xludf.DUMMYFUNCTION("""COMPUTED_VALUE"""),"IN")</f>
        <v>IN</v>
      </c>
      <c r="X1734" s="211"/>
      <c r="AL1734" s="211"/>
      <c r="AM1734" s="211"/>
      <c r="AN1734" s="211"/>
      <c r="AO1734" s="211"/>
      <c r="AP1734" s="215"/>
      <c r="AQ1734" s="218"/>
      <c r="AR1734" s="211"/>
    </row>
    <row r="1735">
      <c r="A1735" s="210" t="str">
        <f>IFERROR(__xludf.DUMMYFUNCTION("""COMPUTED_VALUE"""),"1250576")</f>
        <v>1250576</v>
      </c>
      <c r="B1735" s="210" t="str">
        <f>IFERROR(__xludf.DUMMYFUNCTION("""COMPUTED_VALUE"""),"1250576")</f>
        <v>1250576</v>
      </c>
      <c r="C1735" s="213">
        <f>IFERROR(__xludf.DUMMYFUNCTION("""COMPUTED_VALUE"""),45911.653182870374)</f>
        <v>45911.65318</v>
      </c>
      <c r="D1735" s="211" t="str">
        <f>IFERROR(__xludf.DUMMYFUNCTION("""COMPUTED_VALUE"""),"182fb0fe")</f>
        <v>182fb0fe</v>
      </c>
      <c r="E1735" s="211" t="str">
        <f>IFERROR(__xludf.DUMMYFUNCTION("""COMPUTED_VALUE"""),"PT Amtech")</f>
        <v>PT Amtech</v>
      </c>
      <c r="F1735" s="211" t="str">
        <f>IFERROR(__xludf.DUMMYFUNCTION("""COMPUTED_VALUE"""),"8bdbe149")</f>
        <v>8bdbe149</v>
      </c>
      <c r="G1735" s="211" t="str">
        <f>IFERROR(__xludf.DUMMYFUNCTION("""COMPUTED_VALUE"""),"Oksigen 6m3")</f>
        <v>Oksigen 6m3</v>
      </c>
      <c r="H1735" s="211" t="str">
        <f>IFERROR(__xludf.DUMMYFUNCTION("""COMPUTED_VALUE"""),"IN")</f>
        <v>IN</v>
      </c>
      <c r="I1735" s="211" t="str">
        <f>IFERROR(__xludf.DUMMYFUNCTION("""COMPUTED_VALUE"""),"EMPTY")</f>
        <v>EMPTY</v>
      </c>
      <c r="J1735" s="211">
        <f>IFERROR(__xludf.DUMMYFUNCTION("""COMPUTED_VALUE"""),2.0)</f>
        <v>2</v>
      </c>
      <c r="K1735" s="210" t="str">
        <f>IFERROR(__xludf.DUMMYFUNCTION("""COMPUTED_VALUE"""),"11245 11242")</f>
        <v>11245 11242</v>
      </c>
      <c r="L1735" s="211">
        <f>IFERROR(__xludf.DUMMYFUNCTION("""COMPUTED_VALUE"""),0.0)</f>
        <v>0</v>
      </c>
      <c r="M1735" s="211"/>
      <c r="N1735" s="211"/>
      <c r="O1735" s="211"/>
      <c r="Q1735" s="210" t="str">
        <f>IFERROR(__xludf.DUMMYFUNCTION("""COMPUTED_VALUE"""),"112531733")</f>
        <v>112531733</v>
      </c>
      <c r="R1735" s="210" t="str">
        <f>IFERROR(__xludf.DUMMYFUNCTION("""COMPUTED_VALUE"""),"112531733")</f>
        <v>112531733</v>
      </c>
      <c r="S1735" s="211" t="str">
        <f>IFERROR(__xludf.DUMMYFUNCTION("""COMPUTED_VALUE"""),"9e5d8274")</f>
        <v>9e5d8274</v>
      </c>
      <c r="T1735" s="211" t="str">
        <f>IFERROR(__xludf.DUMMYFUNCTION("""COMPUTED_VALUE"""),"Bpk. Erry ( Lik Trosobo )")</f>
        <v>Bpk. Erry ( Lik Trosobo )</v>
      </c>
      <c r="U1735" s="215">
        <f>IFERROR(__xludf.DUMMYFUNCTION("""COMPUTED_VALUE"""),45979.340625)</f>
        <v>45979.34063</v>
      </c>
      <c r="V1735" s="211" t="str">
        <f>IFERROR(__xludf.DUMMYFUNCTION("""COMPUTED_VALUE"""),"Trosobo Taman")</f>
        <v>Trosobo Taman</v>
      </c>
      <c r="W1735" s="211" t="str">
        <f>IFERROR(__xludf.DUMMYFUNCTION("""COMPUTED_VALUE"""),"OUT")</f>
        <v>OUT</v>
      </c>
      <c r="X1735" s="211"/>
      <c r="AL1735" s="211"/>
      <c r="AM1735" s="211"/>
      <c r="AN1735" s="211"/>
      <c r="AO1735" s="211"/>
      <c r="AP1735" s="215"/>
      <c r="AQ1735" s="218"/>
      <c r="AR1735" s="211"/>
    </row>
    <row r="1736">
      <c r="A1736" s="210" t="str">
        <f>IFERROR(__xludf.DUMMYFUNCTION("""COMPUTED_VALUE"""),"1250576")</f>
        <v>1250576</v>
      </c>
      <c r="B1736" s="210" t="str">
        <f>IFERROR(__xludf.DUMMYFUNCTION("""COMPUTED_VALUE"""),"1250576")</f>
        <v>1250576</v>
      </c>
      <c r="C1736" s="213">
        <f>IFERROR(__xludf.DUMMYFUNCTION("""COMPUTED_VALUE"""),45911.653182870374)</f>
        <v>45911.65318</v>
      </c>
      <c r="D1736" s="211" t="str">
        <f>IFERROR(__xludf.DUMMYFUNCTION("""COMPUTED_VALUE"""),"182fb0fe")</f>
        <v>182fb0fe</v>
      </c>
      <c r="E1736" s="211" t="str">
        <f>IFERROR(__xludf.DUMMYFUNCTION("""COMPUTED_VALUE"""),"PT Amtech")</f>
        <v>PT Amtech</v>
      </c>
      <c r="F1736" s="211" t="str">
        <f>IFERROR(__xludf.DUMMYFUNCTION("""COMPUTED_VALUE"""),"66af7c72")</f>
        <v>66af7c72</v>
      </c>
      <c r="G1736" s="211" t="str">
        <f>IFERROR(__xludf.DUMMYFUNCTION("""COMPUTED_VALUE"""),"Argon 6m3")</f>
        <v>Argon 6m3</v>
      </c>
      <c r="H1736" s="211" t="str">
        <f>IFERROR(__xludf.DUMMYFUNCTION("""COMPUTED_VALUE"""),"IN")</f>
        <v>IN</v>
      </c>
      <c r="I1736" s="211" t="str">
        <f>IFERROR(__xludf.DUMMYFUNCTION("""COMPUTED_VALUE"""),"EMPTY")</f>
        <v>EMPTY</v>
      </c>
      <c r="J1736" s="211">
        <f>IFERROR(__xludf.DUMMYFUNCTION("""COMPUTED_VALUE"""),5.0)</f>
        <v>5</v>
      </c>
      <c r="K1736" s="210" t="str">
        <f>IFERROR(__xludf.DUMMYFUNCTION("""COMPUTED_VALUE"""),"12048 12025 12030 12033 12063")</f>
        <v>12048 12025 12030 12033 12063</v>
      </c>
      <c r="L1736" s="211">
        <f>IFERROR(__xludf.DUMMYFUNCTION("""COMPUTED_VALUE"""),0.0)</f>
        <v>0</v>
      </c>
      <c r="M1736" s="211"/>
      <c r="N1736" s="211"/>
      <c r="O1736" s="211"/>
      <c r="Q1736" s="211"/>
      <c r="R1736" s="211"/>
      <c r="S1736" s="211"/>
      <c r="T1736" s="211"/>
      <c r="U1736" s="211"/>
      <c r="V1736" s="211"/>
      <c r="W1736" s="211"/>
      <c r="X1736" s="211"/>
      <c r="AL1736" s="211"/>
      <c r="AM1736" s="211"/>
      <c r="AN1736" s="211"/>
      <c r="AO1736" s="211"/>
      <c r="AP1736" s="215"/>
      <c r="AQ1736" s="218"/>
      <c r="AR1736" s="211"/>
    </row>
    <row r="1737">
      <c r="A1737" s="210" t="str">
        <f>IFERROR(__xludf.DUMMYFUNCTION("""COMPUTED_VALUE"""),"1250579")</f>
        <v>1250579</v>
      </c>
      <c r="B1737" s="210" t="str">
        <f>IFERROR(__xludf.DUMMYFUNCTION("""COMPUTED_VALUE"""),"1250579")</f>
        <v>1250579</v>
      </c>
      <c r="C1737" s="213">
        <f>IFERROR(__xludf.DUMMYFUNCTION("""COMPUTED_VALUE"""),45911.668078703704)</f>
        <v>45911.66808</v>
      </c>
      <c r="D1737" s="211" t="str">
        <f>IFERROR(__xludf.DUMMYFUNCTION("""COMPUTED_VALUE"""),"06d600f6")</f>
        <v>06d600f6</v>
      </c>
      <c r="E1737" s="211" t="str">
        <f>IFERROR(__xludf.DUMMYFUNCTION("""COMPUTED_VALUE"""),"Ibu Ida")</f>
        <v>Ibu Ida</v>
      </c>
      <c r="F1737" s="211" t="str">
        <f>IFERROR(__xludf.DUMMYFUNCTION("""COMPUTED_VALUE"""),"f6aab7a9")</f>
        <v>f6aab7a9</v>
      </c>
      <c r="G1737" s="211" t="str">
        <f>IFERROR(__xludf.DUMMYFUNCTION("""COMPUTED_VALUE"""),"Oksigen 6m3 MR")</f>
        <v>Oksigen 6m3 MR</v>
      </c>
      <c r="H1737" s="211" t="str">
        <f>IFERROR(__xludf.DUMMYFUNCTION("""COMPUTED_VALUE"""),"IN")</f>
        <v>IN</v>
      </c>
      <c r="I1737" s="211" t="str">
        <f>IFERROR(__xludf.DUMMYFUNCTION("""COMPUTED_VALUE"""),"EMPTY")</f>
        <v>EMPTY</v>
      </c>
      <c r="J1737" s="211">
        <f>IFERROR(__xludf.DUMMYFUNCTION("""COMPUTED_VALUE"""),6.0)</f>
        <v>6</v>
      </c>
      <c r="K1737" s="210" t="str">
        <f>IFERROR(__xludf.DUMMYFUNCTION("""COMPUTED_VALUE"""),"01 02 03 04 05 06")</f>
        <v>01 02 03 04 05 06</v>
      </c>
      <c r="L1737" s="211">
        <f>IFERROR(__xludf.DUMMYFUNCTION("""COMPUTED_VALUE"""),0.0)</f>
        <v>0</v>
      </c>
      <c r="M1737" s="211"/>
      <c r="N1737" s="211"/>
      <c r="O1737" s="211"/>
      <c r="Q1737" s="210" t="str">
        <f>IFERROR(__xludf.DUMMYFUNCTION("""COMPUTED_VALUE"""),"1125351737")</f>
        <v>1125351737</v>
      </c>
      <c r="R1737" s="210" t="str">
        <f>IFERROR(__xludf.DUMMYFUNCTION("""COMPUTED_VALUE"""),"1125351737")</f>
        <v>1125351737</v>
      </c>
      <c r="S1737" s="211" t="str">
        <f>IFERROR(__xludf.DUMMYFUNCTION("""COMPUTED_VALUE"""),"5f23ba17")</f>
        <v>5f23ba17</v>
      </c>
      <c r="T1737" s="211" t="str">
        <f>IFERROR(__xludf.DUMMYFUNCTION("""COMPUTED_VALUE"""),"Bpk. Joko (Gresik)")</f>
        <v>Bpk. Joko (Gresik)</v>
      </c>
      <c r="U1737" s="215">
        <f>IFERROR(__xludf.DUMMYFUNCTION("""COMPUTED_VALUE"""),45978.34074074074)</f>
        <v>45978.34074</v>
      </c>
      <c r="V1737" s="211" t="str">
        <f>IFERROR(__xludf.DUMMYFUNCTION("""COMPUTED_VALUE"""),"Tanggungan, Lebaniwaras, Kec. Wringinanom, Kabupaten Gresik, Jawa Timur")</f>
        <v>Tanggungan, Lebaniwaras, Kec. Wringinanom, Kabupaten Gresik, Jawa Timur</v>
      </c>
      <c r="W1737" s="211" t="str">
        <f>IFERROR(__xludf.DUMMYFUNCTION("""COMPUTED_VALUE"""),"OUT")</f>
        <v>OUT</v>
      </c>
      <c r="X1737" s="211"/>
      <c r="AL1737" s="211"/>
      <c r="AM1737" s="211"/>
      <c r="AN1737" s="211"/>
      <c r="AO1737" s="211"/>
      <c r="AP1737" s="215"/>
      <c r="AQ1737" s="218"/>
      <c r="AR1737" s="211"/>
    </row>
    <row r="1738">
      <c r="A1738" s="210" t="str">
        <f>IFERROR(__xludf.DUMMYFUNCTION("""COMPUTED_VALUE"""),"092541252")</f>
        <v>092541252</v>
      </c>
      <c r="B1738" s="210" t="str">
        <f>IFERROR(__xludf.DUMMYFUNCTION("""COMPUTED_VALUE"""),"092541252")</f>
        <v>092541252</v>
      </c>
      <c r="C1738" s="213">
        <f>IFERROR(__xludf.DUMMYFUNCTION("""COMPUTED_VALUE"""),45912.3794212963)</f>
        <v>45912.37942</v>
      </c>
      <c r="D1738" s="211" t="str">
        <f>IFERROR(__xludf.DUMMYFUNCTION("""COMPUTED_VALUE"""),"eec2e801")</f>
        <v>eec2e801</v>
      </c>
      <c r="E1738" s="211" t="str">
        <f>IFERROR(__xludf.DUMMYFUNCTION("""COMPUTED_VALUE"""),"Mitra Wood Sejahtera")</f>
        <v>Mitra Wood Sejahtera</v>
      </c>
      <c r="F1738" s="211" t="str">
        <f>IFERROR(__xludf.DUMMYFUNCTION("""COMPUTED_VALUE"""),"8bdbe149")</f>
        <v>8bdbe149</v>
      </c>
      <c r="G1738" s="211" t="str">
        <f>IFERROR(__xludf.DUMMYFUNCTION("""COMPUTED_VALUE"""),"Oksigen 6m3")</f>
        <v>Oksigen 6m3</v>
      </c>
      <c r="H1738" s="211" t="str">
        <f>IFERROR(__xludf.DUMMYFUNCTION("""COMPUTED_VALUE"""),"OUT")</f>
        <v>OUT</v>
      </c>
      <c r="I1738" s="211" t="str">
        <f>IFERROR(__xludf.DUMMYFUNCTION("""COMPUTED_VALUE"""),"NORMAL")</f>
        <v>NORMAL</v>
      </c>
      <c r="J1738" s="211">
        <f>IFERROR(__xludf.DUMMYFUNCTION("""COMPUTED_VALUE"""),6.0)</f>
        <v>6</v>
      </c>
      <c r="K1738" s="210" t="str">
        <f>IFERROR(__xludf.DUMMYFUNCTION("""COMPUTED_VALUE"""),"1190 11276 1170 11119 1198 1115")</f>
        <v>1190 11276 1170 11119 1198 1115</v>
      </c>
      <c r="L1738" s="211">
        <f>IFERROR(__xludf.DUMMYFUNCTION("""COMPUTED_VALUE"""),55000.0)</f>
        <v>55000</v>
      </c>
      <c r="M1738" s="211"/>
      <c r="N1738" s="211"/>
      <c r="O1738" s="211"/>
      <c r="Q1738" s="210" t="str">
        <f>IFERROR(__xludf.DUMMYFUNCTION("""COMPUTED_VALUE"""),"1125361738")</f>
        <v>1125361738</v>
      </c>
      <c r="R1738" s="210" t="str">
        <f>IFERROR(__xludf.DUMMYFUNCTION("""COMPUTED_VALUE"""),"1125361738")</f>
        <v>1125361738</v>
      </c>
      <c r="S1738" s="211" t="str">
        <f>IFERROR(__xludf.DUMMYFUNCTION("""COMPUTED_VALUE"""),"5f23ba17")</f>
        <v>5f23ba17</v>
      </c>
      <c r="T1738" s="211" t="str">
        <f>IFERROR(__xludf.DUMMYFUNCTION("""COMPUTED_VALUE"""),"Bpk. Joko (Gresik)")</f>
        <v>Bpk. Joko (Gresik)</v>
      </c>
      <c r="U1738" s="215">
        <f>IFERROR(__xludf.DUMMYFUNCTION("""COMPUTED_VALUE"""),45979.34074074074)</f>
        <v>45979.34074</v>
      </c>
      <c r="V1738" s="211" t="str">
        <f>IFERROR(__xludf.DUMMYFUNCTION("""COMPUTED_VALUE"""),"Tanggungan, Lebaniwaras, Kec. Wringinanom, Kabupaten Gresik, Jawa Timur")</f>
        <v>Tanggungan, Lebaniwaras, Kec. Wringinanom, Kabupaten Gresik, Jawa Timur</v>
      </c>
      <c r="W1738" s="211" t="str">
        <f>IFERROR(__xludf.DUMMYFUNCTION("""COMPUTED_VALUE"""),"OUT")</f>
        <v>OUT</v>
      </c>
      <c r="X1738" s="211"/>
      <c r="AL1738" s="211"/>
      <c r="AM1738" s="211"/>
      <c r="AN1738" s="211"/>
      <c r="AO1738" s="211"/>
      <c r="AP1738" s="215"/>
      <c r="AQ1738" s="218"/>
      <c r="AR1738" s="211"/>
    </row>
    <row r="1739">
      <c r="A1739" s="210" t="str">
        <f>IFERROR(__xludf.DUMMYFUNCTION("""COMPUTED_VALUE"""),"0925281259")</f>
        <v>0925281259</v>
      </c>
      <c r="B1739" s="210" t="str">
        <f>IFERROR(__xludf.DUMMYFUNCTION("""COMPUTED_VALUE"""),"0925281259")</f>
        <v>0925281259</v>
      </c>
      <c r="C1739" s="213">
        <f>IFERROR(__xludf.DUMMYFUNCTION("""COMPUTED_VALUE"""),45912.38028935185)</f>
        <v>45912.38029</v>
      </c>
      <c r="D1739" s="211" t="str">
        <f>IFERROR(__xludf.DUMMYFUNCTION("""COMPUTED_VALUE"""),"01158be1")</f>
        <v>01158be1</v>
      </c>
      <c r="E1739" s="211" t="str">
        <f>IFERROR(__xludf.DUMMYFUNCTION("""COMPUTED_VALUE"""),"GYF")</f>
        <v>GYF</v>
      </c>
      <c r="F1739" s="211" t="str">
        <f>IFERROR(__xludf.DUMMYFUNCTION("""COMPUTED_VALUE"""),"8bdbe149")</f>
        <v>8bdbe149</v>
      </c>
      <c r="G1739" s="211" t="str">
        <f>IFERROR(__xludf.DUMMYFUNCTION("""COMPUTED_VALUE"""),"Oksigen 6m3")</f>
        <v>Oksigen 6m3</v>
      </c>
      <c r="H1739" s="211" t="str">
        <f>IFERROR(__xludf.DUMMYFUNCTION("""COMPUTED_VALUE"""),"OUT")</f>
        <v>OUT</v>
      </c>
      <c r="I1739" s="211" t="str">
        <f>IFERROR(__xludf.DUMMYFUNCTION("""COMPUTED_VALUE"""),"NORMAL")</f>
        <v>NORMAL</v>
      </c>
      <c r="J1739" s="211">
        <f>IFERROR(__xludf.DUMMYFUNCTION("""COMPUTED_VALUE"""),10.0)</f>
        <v>10</v>
      </c>
      <c r="K1739" s="210" t="str">
        <f>IFERROR(__xludf.DUMMYFUNCTION("""COMPUTED_VALUE"""),"1194 1143 11245 11242 11105 11181 11180 1148 1147 11111")</f>
        <v>1194 1143 11245 11242 11105 11181 11180 1148 1147 11111</v>
      </c>
      <c r="L1739" s="211">
        <f>IFERROR(__xludf.DUMMYFUNCTION("""COMPUTED_VALUE"""),45000.0)</f>
        <v>45000</v>
      </c>
      <c r="M1739" s="211"/>
      <c r="N1739" s="211"/>
      <c r="O1739" s="211"/>
      <c r="Q1739" s="210" t="str">
        <f>IFERROR(__xludf.DUMMYFUNCTION("""COMPUTED_VALUE"""),"1125361739")</f>
        <v>1125361739</v>
      </c>
      <c r="R1739" s="210" t="str">
        <f>IFERROR(__xludf.DUMMYFUNCTION("""COMPUTED_VALUE"""),"1125361739")</f>
        <v>1125361739</v>
      </c>
      <c r="S1739" s="211" t="str">
        <f>IFERROR(__xludf.DUMMYFUNCTION("""COMPUTED_VALUE"""),"01158be1")</f>
        <v>01158be1</v>
      </c>
      <c r="T1739" s="211" t="str">
        <f>IFERROR(__xludf.DUMMYFUNCTION("""COMPUTED_VALUE"""),"GYF")</f>
        <v>GYF</v>
      </c>
      <c r="U1739" s="215">
        <f>IFERROR(__xludf.DUMMYFUNCTION("""COMPUTED_VALUE"""),45979.341458333336)</f>
        <v>45979.34146</v>
      </c>
      <c r="V1739" s="211" t="str">
        <f>IFERROR(__xludf.DUMMYFUNCTION("""COMPUTED_VALUE"""),"Kangkungan, Lengkong, Kec. Mojoanyar, Kabupaten Mojokerto, Jawa Timur")</f>
        <v>Kangkungan, Lengkong, Kec. Mojoanyar, Kabupaten Mojokerto, Jawa Timur</v>
      </c>
      <c r="W1739" s="211" t="str">
        <f>IFERROR(__xludf.DUMMYFUNCTION("""COMPUTED_VALUE"""),"OUT")</f>
        <v>OUT</v>
      </c>
      <c r="X1739" s="211"/>
      <c r="AL1739" s="211"/>
      <c r="AM1739" s="211"/>
      <c r="AN1739" s="211"/>
      <c r="AO1739" s="211"/>
      <c r="AP1739" s="215"/>
      <c r="AQ1739" s="218"/>
      <c r="AR1739" s="211"/>
    </row>
    <row r="1740">
      <c r="A1740" s="210" t="str">
        <f>IFERROR(__xludf.DUMMYFUNCTION("""COMPUTED_VALUE"""),"092541252")</f>
        <v>092541252</v>
      </c>
      <c r="B1740" s="210" t="str">
        <f>IFERROR(__xludf.DUMMYFUNCTION("""COMPUTED_VALUE"""),"092541252")</f>
        <v>092541252</v>
      </c>
      <c r="C1740" s="213">
        <f>IFERROR(__xludf.DUMMYFUNCTION("""COMPUTED_VALUE"""),45912.3794212963)</f>
        <v>45912.37942</v>
      </c>
      <c r="D1740" s="211" t="str">
        <f>IFERROR(__xludf.DUMMYFUNCTION("""COMPUTED_VALUE"""),"eec2e801")</f>
        <v>eec2e801</v>
      </c>
      <c r="E1740" s="211" t="str">
        <f>IFERROR(__xludf.DUMMYFUNCTION("""COMPUTED_VALUE"""),"Mitra Wood Sejahtera")</f>
        <v>Mitra Wood Sejahtera</v>
      </c>
      <c r="F1740" s="211" t="str">
        <f>IFERROR(__xludf.DUMMYFUNCTION("""COMPUTED_VALUE"""),"be525f3b")</f>
        <v>be525f3b</v>
      </c>
      <c r="G1740" s="211" t="str">
        <f>IFERROR(__xludf.DUMMYFUNCTION("""COMPUTED_VALUE"""),"LPG 12kg")</f>
        <v>LPG 12kg</v>
      </c>
      <c r="H1740" s="211" t="str">
        <f>IFERROR(__xludf.DUMMYFUNCTION("""COMPUTED_VALUE"""),"OUT")</f>
        <v>OUT</v>
      </c>
      <c r="I1740" s="211" t="str">
        <f>IFERROR(__xludf.DUMMYFUNCTION("""COMPUTED_VALUE"""),"NORMAL")</f>
        <v>NORMAL</v>
      </c>
      <c r="J1740" s="211">
        <f>IFERROR(__xludf.DUMMYFUNCTION("""COMPUTED_VALUE"""),2.0)</f>
        <v>2</v>
      </c>
      <c r="K1740" s="210" t="str">
        <f>IFERROR(__xludf.DUMMYFUNCTION("""COMPUTED_VALUE"""),"01 02")</f>
        <v>01 02</v>
      </c>
      <c r="L1740" s="211">
        <f>IFERROR(__xludf.DUMMYFUNCTION("""COMPUTED_VALUE"""),210000.0)</f>
        <v>210000</v>
      </c>
      <c r="M1740" s="211"/>
      <c r="N1740" s="211"/>
      <c r="O1740" s="211"/>
      <c r="Q1740" s="210" t="str">
        <f>IFERROR(__xludf.DUMMYFUNCTION("""COMPUTED_VALUE"""),"1125411740")</f>
        <v>1125411740</v>
      </c>
      <c r="R1740" s="210" t="str">
        <f>IFERROR(__xludf.DUMMYFUNCTION("""COMPUTED_VALUE"""),"1125411740")</f>
        <v>1125411740</v>
      </c>
      <c r="S1740" s="211" t="str">
        <f>IFERROR(__xludf.DUMMYFUNCTION("""COMPUTED_VALUE"""),"b2b5f2c5")</f>
        <v>b2b5f2c5</v>
      </c>
      <c r="T1740" s="211" t="str">
        <f>IFERROR(__xludf.DUMMYFUNCTION("""COMPUTED_VALUE"""),"Bengkel Las Bpk. Ari")</f>
        <v>Bengkel Las Bpk. Ari</v>
      </c>
      <c r="U1740" s="215">
        <f>IFERROR(__xludf.DUMMYFUNCTION("""COMPUTED_VALUE"""),45979.34777777778)</f>
        <v>45979.34778</v>
      </c>
      <c r="V1740" s="211" t="str">
        <f>IFERROR(__xludf.DUMMYFUNCTION("""COMPUTED_VALUE"""),"Sumber Kembar, Wonodadi, Kec. Kutorejo, Kabupaten Mojokerto, Jawa Timur")</f>
        <v>Sumber Kembar, Wonodadi, Kec. Kutorejo, Kabupaten Mojokerto, Jawa Timur</v>
      </c>
      <c r="W1740" s="211" t="str">
        <f>IFERROR(__xludf.DUMMYFUNCTION("""COMPUTED_VALUE"""),"OUT")</f>
        <v>OUT</v>
      </c>
      <c r="X1740" s="211"/>
      <c r="AL1740" s="211"/>
      <c r="AM1740" s="211"/>
      <c r="AN1740" s="211"/>
      <c r="AO1740" s="211"/>
      <c r="AP1740" s="215"/>
      <c r="AQ1740" s="218"/>
      <c r="AR1740" s="211"/>
    </row>
    <row r="1741">
      <c r="A1741" s="211"/>
      <c r="B1741" s="211"/>
      <c r="C1741" s="211"/>
      <c r="D1741" s="211"/>
      <c r="E1741" s="211"/>
      <c r="F1741" s="211"/>
      <c r="G1741" s="211"/>
      <c r="H1741" s="211"/>
      <c r="I1741" s="211"/>
      <c r="J1741" s="211"/>
      <c r="K1741" s="211"/>
      <c r="L1741" s="211"/>
      <c r="M1741" s="211"/>
      <c r="N1741" s="211"/>
      <c r="O1741" s="211"/>
      <c r="Q1741" s="210" t="str">
        <f>IFERROR(__xludf.DUMMYFUNCTION("""COMPUTED_VALUE"""),"1125361741")</f>
        <v>1125361741</v>
      </c>
      <c r="R1741" s="210" t="str">
        <f>IFERROR(__xludf.DUMMYFUNCTION("""COMPUTED_VALUE"""),"1125361741")</f>
        <v>1125361741</v>
      </c>
      <c r="S1741" s="211" t="str">
        <f>IFERROR(__xludf.DUMMYFUNCTION("""COMPUTED_VALUE"""),"5f23ba17")</f>
        <v>5f23ba17</v>
      </c>
      <c r="T1741" s="211" t="str">
        <f>IFERROR(__xludf.DUMMYFUNCTION("""COMPUTED_VALUE"""),"Bpk. Joko (Gresik)")</f>
        <v>Bpk. Joko (Gresik)</v>
      </c>
      <c r="U1741" s="215">
        <f>IFERROR(__xludf.DUMMYFUNCTION("""COMPUTED_VALUE"""),45979.34074074074)</f>
        <v>45979.34074</v>
      </c>
      <c r="V1741" s="211" t="str">
        <f>IFERROR(__xludf.DUMMYFUNCTION("""COMPUTED_VALUE"""),"Tanggungan, Lebaniwaras, Kec. Wringinanom, Kabupaten Gresik, Jawa Timur")</f>
        <v>Tanggungan, Lebaniwaras, Kec. Wringinanom, Kabupaten Gresik, Jawa Timur</v>
      </c>
      <c r="W1741" s="211" t="str">
        <f>IFERROR(__xludf.DUMMYFUNCTION("""COMPUTED_VALUE"""),"OUT")</f>
        <v>OUT</v>
      </c>
      <c r="X1741" s="211"/>
      <c r="AL1741" s="211"/>
      <c r="AM1741" s="211"/>
      <c r="AN1741" s="211"/>
      <c r="AO1741" s="211"/>
      <c r="AP1741" s="215"/>
      <c r="AQ1741" s="218"/>
      <c r="AR1741" s="211"/>
    </row>
    <row r="1742">
      <c r="A1742" s="210" t="str">
        <f>IFERROR(__xludf.DUMMYFUNCTION("""COMPUTED_VALUE"""),"092551261")</f>
        <v>092551261</v>
      </c>
      <c r="B1742" s="210" t="str">
        <f>IFERROR(__xludf.DUMMYFUNCTION("""COMPUTED_VALUE"""),"092551261")</f>
        <v>092551261</v>
      </c>
      <c r="C1742" s="213">
        <f>IFERROR(__xludf.DUMMYFUNCTION("""COMPUTED_VALUE"""),45912.38248842592)</f>
        <v>45912.38249</v>
      </c>
      <c r="D1742" s="211" t="str">
        <f>IFERROR(__xludf.DUMMYFUNCTION("""COMPUTED_VALUE"""),"dcdf8b31")</f>
        <v>dcdf8b31</v>
      </c>
      <c r="E1742" s="211" t="str">
        <f>IFERROR(__xludf.DUMMYFUNCTION("""COMPUTED_VALUE"""),"Bpk. Samsul (Jetis)")</f>
        <v>Bpk. Samsul (Jetis)</v>
      </c>
      <c r="F1742" s="211" t="str">
        <f>IFERROR(__xludf.DUMMYFUNCTION("""COMPUTED_VALUE"""),"be525f3b")</f>
        <v>be525f3b</v>
      </c>
      <c r="G1742" s="211" t="str">
        <f>IFERROR(__xludf.DUMMYFUNCTION("""COMPUTED_VALUE"""),"LPG 12kg")</f>
        <v>LPG 12kg</v>
      </c>
      <c r="H1742" s="211" t="str">
        <f>IFERROR(__xludf.DUMMYFUNCTION("""COMPUTED_VALUE"""),"OUT")</f>
        <v>OUT</v>
      </c>
      <c r="I1742" s="211" t="str">
        <f>IFERROR(__xludf.DUMMYFUNCTION("""COMPUTED_VALUE"""),"NORMAL")</f>
        <v>NORMAL</v>
      </c>
      <c r="J1742" s="211">
        <f>IFERROR(__xludf.DUMMYFUNCTION("""COMPUTED_VALUE"""),1.0)</f>
        <v>1</v>
      </c>
      <c r="K1742" s="211"/>
      <c r="L1742" s="211">
        <f>IFERROR(__xludf.DUMMYFUNCTION("""COMPUTED_VALUE"""),200000.0)</f>
        <v>200000</v>
      </c>
      <c r="M1742" s="211"/>
      <c r="N1742" s="211"/>
      <c r="O1742" s="211"/>
      <c r="Q1742" s="210" t="str">
        <f>IFERROR(__xludf.DUMMYFUNCTION("""COMPUTED_VALUE"""),"112511742")</f>
        <v>112511742</v>
      </c>
      <c r="R1742" s="210" t="str">
        <f>IFERROR(__xludf.DUMMYFUNCTION("""COMPUTED_VALUE"""),"112511742")</f>
        <v>112511742</v>
      </c>
      <c r="S1742" s="211" t="str">
        <f>IFERROR(__xludf.DUMMYFUNCTION("""COMPUTED_VALUE"""),"a0f0ad2d")</f>
        <v>a0f0ad2d</v>
      </c>
      <c r="T1742" s="211" t="str">
        <f>IFERROR(__xludf.DUMMYFUNCTION("""COMPUTED_VALUE"""),"CV. Yulie Jaya")</f>
        <v>CV. Yulie Jaya</v>
      </c>
      <c r="U1742" s="215">
        <f>IFERROR(__xludf.DUMMYFUNCTION("""COMPUTED_VALUE"""),45979.352106481485)</f>
        <v>45979.35211</v>
      </c>
      <c r="V1742" s="211" t="str">
        <f>IFERROR(__xludf.DUMMYFUNCTION("""COMPUTED_VALUE"""),"JJH4+6RV, Badas, Barengkrajan, Kec. Krian, Kabupaten Sidoarjo, Jawa Timur 61262")</f>
        <v>JJH4+6RV, Badas, Barengkrajan, Kec. Krian, Kabupaten Sidoarjo, Jawa Timur 61262</v>
      </c>
      <c r="W1742" s="211" t="str">
        <f>IFERROR(__xludf.DUMMYFUNCTION("""COMPUTED_VALUE"""),"OUT")</f>
        <v>OUT</v>
      </c>
      <c r="X1742" s="211"/>
      <c r="AL1742" s="211"/>
      <c r="AM1742" s="211"/>
      <c r="AN1742" s="211"/>
      <c r="AO1742" s="211"/>
      <c r="AP1742" s="215"/>
      <c r="AQ1742" s="218"/>
      <c r="AR1742" s="211"/>
    </row>
    <row r="1743">
      <c r="A1743" s="210" t="str">
        <f>IFERROR(__xludf.DUMMYFUNCTION("""COMPUTED_VALUE"""),"1250577")</f>
        <v>1250577</v>
      </c>
      <c r="B1743" s="210" t="str">
        <f>IFERROR(__xludf.DUMMYFUNCTION("""COMPUTED_VALUE"""),"1250577")</f>
        <v>1250577</v>
      </c>
      <c r="C1743" s="213">
        <f>IFERROR(__xludf.DUMMYFUNCTION("""COMPUTED_VALUE"""),45912.584085648145)</f>
        <v>45912.58409</v>
      </c>
      <c r="D1743" s="211" t="str">
        <f>IFERROR(__xludf.DUMMYFUNCTION("""COMPUTED_VALUE"""),"17a8e612")</f>
        <v>17a8e612</v>
      </c>
      <c r="E1743" s="211" t="str">
        <f>IFERROR(__xludf.DUMMYFUNCTION("""COMPUTED_VALUE"""),"Flashtech Machinery")</f>
        <v>Flashtech Machinery</v>
      </c>
      <c r="F1743" s="211" t="str">
        <f>IFERROR(__xludf.DUMMYFUNCTION("""COMPUTED_VALUE"""),"8bdbe149")</f>
        <v>8bdbe149</v>
      </c>
      <c r="G1743" s="211" t="str">
        <f>IFERROR(__xludf.DUMMYFUNCTION("""COMPUTED_VALUE"""),"Oksigen 6m3")</f>
        <v>Oksigen 6m3</v>
      </c>
      <c r="H1743" s="211" t="str">
        <f>IFERROR(__xludf.DUMMYFUNCTION("""COMPUTED_VALUE"""),"IN")</f>
        <v>IN</v>
      </c>
      <c r="I1743" s="211" t="str">
        <f>IFERROR(__xludf.DUMMYFUNCTION("""COMPUTED_VALUE"""),"EMPTY")</f>
        <v>EMPTY</v>
      </c>
      <c r="J1743" s="211">
        <f>IFERROR(__xludf.DUMMYFUNCTION("""COMPUTED_VALUE"""),1.0)</f>
        <v>1</v>
      </c>
      <c r="K1743" s="210" t="str">
        <f>IFERROR(__xludf.DUMMYFUNCTION("""COMPUTED_VALUE"""),"1113")</f>
        <v>1113</v>
      </c>
      <c r="L1743" s="211">
        <f>IFERROR(__xludf.DUMMYFUNCTION("""COMPUTED_VALUE"""),0.0)</f>
        <v>0</v>
      </c>
      <c r="M1743" s="211"/>
      <c r="N1743" s="211"/>
      <c r="O1743" s="211"/>
      <c r="Q1743" s="210" t="str">
        <f>IFERROR(__xludf.DUMMYFUNCTION("""COMPUTED_VALUE"""),"112521743")</f>
        <v>112521743</v>
      </c>
      <c r="R1743" s="210" t="str">
        <f>IFERROR(__xludf.DUMMYFUNCTION("""COMPUTED_VALUE"""),"112521743")</f>
        <v>112521743</v>
      </c>
      <c r="S1743" s="211" t="str">
        <f>IFERROR(__xludf.DUMMYFUNCTION("""COMPUTED_VALUE"""),"63fc688a")</f>
        <v>63fc688a</v>
      </c>
      <c r="T1743" s="211" t="str">
        <f>IFERROR(__xludf.DUMMYFUNCTION("""COMPUTED_VALUE"""),"CV Malik Nusantara")</f>
        <v>CV Malik Nusantara</v>
      </c>
      <c r="U1743" s="215">
        <f>IFERROR(__xludf.DUMMYFUNCTION("""COMPUTED_VALUE"""),45979.365694444445)</f>
        <v>45979.36569</v>
      </c>
      <c r="V1743" s="211" t="str">
        <f>IFERROR(__xludf.DUMMYFUNCTION("""COMPUTED_VALUE"""),"Jl. Raya Balongbendo No.12, Suwaluh Utara, Suwaluh, Kec. BalongBendo, Kabupaten Sidoarjo, Jawa Timur 61263")</f>
        <v>Jl. Raya Balongbendo No.12, Suwaluh Utara, Suwaluh, Kec. BalongBendo, Kabupaten Sidoarjo, Jawa Timur 61263</v>
      </c>
      <c r="W1743" s="211" t="str">
        <f>IFERROR(__xludf.DUMMYFUNCTION("""COMPUTED_VALUE"""),"OUT")</f>
        <v>OUT</v>
      </c>
      <c r="X1743" s="211"/>
      <c r="AL1743" s="211"/>
      <c r="AM1743" s="211"/>
      <c r="AN1743" s="211"/>
      <c r="AO1743" s="211"/>
      <c r="AP1743" s="215"/>
      <c r="AQ1743" s="218"/>
      <c r="AR1743" s="211"/>
    </row>
    <row r="1744">
      <c r="A1744" s="210" t="str">
        <f>IFERROR(__xludf.DUMMYFUNCTION("""COMPUTED_VALUE"""),"1250577")</f>
        <v>1250577</v>
      </c>
      <c r="B1744" s="210" t="str">
        <f>IFERROR(__xludf.DUMMYFUNCTION("""COMPUTED_VALUE"""),"1250577")</f>
        <v>1250577</v>
      </c>
      <c r="C1744" s="213">
        <f>IFERROR(__xludf.DUMMYFUNCTION("""COMPUTED_VALUE"""),45912.584085648145)</f>
        <v>45912.58409</v>
      </c>
      <c r="D1744" s="211" t="str">
        <f>IFERROR(__xludf.DUMMYFUNCTION("""COMPUTED_VALUE"""),"17a8e612")</f>
        <v>17a8e612</v>
      </c>
      <c r="E1744" s="211" t="str">
        <f>IFERROR(__xludf.DUMMYFUNCTION("""COMPUTED_VALUE"""),"Flashtech Machinery")</f>
        <v>Flashtech Machinery</v>
      </c>
      <c r="F1744" s="211" t="str">
        <f>IFERROR(__xludf.DUMMYFUNCTION("""COMPUTED_VALUE"""),"66af7c72")</f>
        <v>66af7c72</v>
      </c>
      <c r="G1744" s="211" t="str">
        <f>IFERROR(__xludf.DUMMYFUNCTION("""COMPUTED_VALUE"""),"Argon 6m3")</f>
        <v>Argon 6m3</v>
      </c>
      <c r="H1744" s="211" t="str">
        <f>IFERROR(__xludf.DUMMYFUNCTION("""COMPUTED_VALUE"""),"IN")</f>
        <v>IN</v>
      </c>
      <c r="I1744" s="211" t="str">
        <f>IFERROR(__xludf.DUMMYFUNCTION("""COMPUTED_VALUE"""),"EMPTY")</f>
        <v>EMPTY</v>
      </c>
      <c r="J1744" s="211">
        <f>IFERROR(__xludf.DUMMYFUNCTION("""COMPUTED_VALUE"""),1.0)</f>
        <v>1</v>
      </c>
      <c r="K1744" s="210" t="str">
        <f>IFERROR(__xludf.DUMMYFUNCTION("""COMPUTED_VALUE"""),"12006")</f>
        <v>12006</v>
      </c>
      <c r="L1744" s="211">
        <f>IFERROR(__xludf.DUMMYFUNCTION("""COMPUTED_VALUE"""),0.0)</f>
        <v>0</v>
      </c>
      <c r="M1744" s="211"/>
      <c r="N1744" s="211"/>
      <c r="O1744" s="211"/>
      <c r="Q1744" s="210" t="str">
        <f>IFERROR(__xludf.DUMMYFUNCTION("""COMPUTED_VALUE"""),"112531744")</f>
        <v>112531744</v>
      </c>
      <c r="R1744" s="210" t="str">
        <f>IFERROR(__xludf.DUMMYFUNCTION("""COMPUTED_VALUE"""),"112531744")</f>
        <v>112531744</v>
      </c>
      <c r="S1744" s="211" t="str">
        <f>IFERROR(__xludf.DUMMYFUNCTION("""COMPUTED_VALUE"""),"63fc688a")</f>
        <v>63fc688a</v>
      </c>
      <c r="T1744" s="211" t="str">
        <f>IFERROR(__xludf.DUMMYFUNCTION("""COMPUTED_VALUE"""),"CV Malik Nusantara")</f>
        <v>CV Malik Nusantara</v>
      </c>
      <c r="U1744" s="215">
        <f>IFERROR(__xludf.DUMMYFUNCTION("""COMPUTED_VALUE"""),45979.373020833336)</f>
        <v>45979.37302</v>
      </c>
      <c r="V1744" s="211" t="str">
        <f>IFERROR(__xludf.DUMMYFUNCTION("""COMPUTED_VALUE"""),"Jl. Raya Balongbendo No.12, Suwaluh Utara, Suwaluh, Kec. BalongBendo, Kabupaten Sidoarjo, Jawa Timur 61263")</f>
        <v>Jl. Raya Balongbendo No.12, Suwaluh Utara, Suwaluh, Kec. BalongBendo, Kabupaten Sidoarjo, Jawa Timur 61263</v>
      </c>
      <c r="W1744" s="211" t="str">
        <f>IFERROR(__xludf.DUMMYFUNCTION("""COMPUTED_VALUE"""),"OUT")</f>
        <v>OUT</v>
      </c>
      <c r="X1744" s="211"/>
      <c r="AL1744" s="211"/>
      <c r="AM1744" s="211"/>
      <c r="AN1744" s="211"/>
      <c r="AO1744" s="211"/>
      <c r="AP1744" s="215"/>
      <c r="AQ1744" s="218"/>
      <c r="AR1744" s="211"/>
    </row>
    <row r="1745">
      <c r="A1745" s="211"/>
      <c r="B1745" s="211"/>
      <c r="C1745" s="211"/>
      <c r="D1745" s="211"/>
      <c r="E1745" s="211"/>
      <c r="F1745" s="211" t="str">
        <f>IFERROR(__xludf.DUMMYFUNCTION("""COMPUTED_VALUE"""),"8bdbe149")</f>
        <v>8bdbe149</v>
      </c>
      <c r="G1745" s="211" t="str">
        <f>IFERROR(__xludf.DUMMYFUNCTION("""COMPUTED_VALUE"""),"Oksigen 6m3")</f>
        <v>Oksigen 6m3</v>
      </c>
      <c r="H1745" s="211"/>
      <c r="I1745" s="211" t="str">
        <f>IFERROR(__xludf.DUMMYFUNCTION("""COMPUTED_VALUE"""),"EMPTY")</f>
        <v>EMPTY</v>
      </c>
      <c r="J1745" s="211">
        <f>IFERROR(__xludf.DUMMYFUNCTION("""COMPUTED_VALUE"""),2.0)</f>
        <v>2</v>
      </c>
      <c r="K1745" s="210" t="str">
        <f>IFERROR(__xludf.DUMMYFUNCTION("""COMPUTED_VALUE"""),"1134 1144")</f>
        <v>1134 1144</v>
      </c>
      <c r="L1745" s="211">
        <f>IFERROR(__xludf.DUMMYFUNCTION("""COMPUTED_VALUE"""),0.0)</f>
        <v>0</v>
      </c>
      <c r="M1745" s="211"/>
      <c r="N1745" s="211"/>
      <c r="O1745" s="211"/>
      <c r="Q1745" s="210" t="str">
        <f>IFERROR(__xludf.DUMMYFUNCTION("""COMPUTED_VALUE"""),"112541745")</f>
        <v>112541745</v>
      </c>
      <c r="R1745" s="210" t="str">
        <f>IFERROR(__xludf.DUMMYFUNCTION("""COMPUTED_VALUE"""),"112541745")</f>
        <v>112541745</v>
      </c>
      <c r="S1745" s="211" t="str">
        <f>IFERROR(__xludf.DUMMYFUNCTION("""COMPUTED_VALUE"""),"9e66ced9")</f>
        <v>9e66ced9</v>
      </c>
      <c r="T1745" s="211" t="str">
        <f>IFERROR(__xludf.DUMMYFUNCTION("""COMPUTED_VALUE"""),"Bapak Angga")</f>
        <v>Bapak Angga</v>
      </c>
      <c r="U1745" s="215">
        <f>IFERROR(__xludf.DUMMYFUNCTION("""COMPUTED_VALUE"""),45979.4444212963)</f>
        <v>45979.44442</v>
      </c>
      <c r="V1745" s="211" t="str">
        <f>IFERROR(__xludf.DUMMYFUNCTION("""COMPUTED_VALUE"""),"Jl. Bypass Krian No.2, Tundungan, Sidomojo, Kec. Krian, Kabupaten Sidoarjo, Jawa Timur 61262")</f>
        <v>Jl. Bypass Krian No.2, Tundungan, Sidomojo, Kec. Krian, Kabupaten Sidoarjo, Jawa Timur 61262</v>
      </c>
      <c r="W1745" s="211" t="str">
        <f>IFERROR(__xludf.DUMMYFUNCTION("""COMPUTED_VALUE"""),"OUT")</f>
        <v>OUT</v>
      </c>
      <c r="X1745" s="211"/>
      <c r="AL1745" s="211"/>
      <c r="AM1745" s="211"/>
      <c r="AN1745" s="211"/>
      <c r="AO1745" s="211"/>
      <c r="AP1745" s="215"/>
      <c r="AQ1745" s="218"/>
      <c r="AR1745" s="211"/>
    </row>
    <row r="1746">
      <c r="A1746" s="211"/>
      <c r="B1746" s="211"/>
      <c r="C1746" s="211"/>
      <c r="D1746" s="211"/>
      <c r="E1746" s="211"/>
      <c r="F1746" s="211" t="str">
        <f>IFERROR(__xludf.DUMMYFUNCTION("""COMPUTED_VALUE"""),"8bdbe149")</f>
        <v>8bdbe149</v>
      </c>
      <c r="G1746" s="211" t="str">
        <f>IFERROR(__xludf.DUMMYFUNCTION("""COMPUTED_VALUE"""),"Oksigen 6m3")</f>
        <v>Oksigen 6m3</v>
      </c>
      <c r="H1746" s="211"/>
      <c r="I1746" s="211" t="str">
        <f>IFERROR(__xludf.DUMMYFUNCTION("""COMPUTED_VALUE"""),"NORMAL")</f>
        <v>NORMAL</v>
      </c>
      <c r="J1746" s="211">
        <f>IFERROR(__xludf.DUMMYFUNCTION("""COMPUTED_VALUE"""),2.0)</f>
        <v>2</v>
      </c>
      <c r="K1746" s="210" t="str">
        <f>IFERROR(__xludf.DUMMYFUNCTION("""COMPUTED_VALUE"""),"1144 1134")</f>
        <v>1144 1134</v>
      </c>
      <c r="L1746" s="211"/>
      <c r="M1746" s="211"/>
      <c r="N1746" s="211"/>
      <c r="O1746" s="211"/>
      <c r="Q1746" s="210" t="str">
        <f>IFERROR(__xludf.DUMMYFUNCTION("""COMPUTED_VALUE"""),"112591746")</f>
        <v>112591746</v>
      </c>
      <c r="R1746" s="210" t="str">
        <f>IFERROR(__xludf.DUMMYFUNCTION("""COMPUTED_VALUE"""),"112591746")</f>
        <v>112591746</v>
      </c>
      <c r="S1746" s="211" t="str">
        <f>IFERROR(__xludf.DUMMYFUNCTION("""COMPUTED_VALUE"""),"faf71ae5")</f>
        <v>faf71ae5</v>
      </c>
      <c r="T1746" s="211" t="str">
        <f>IFERROR(__xludf.DUMMYFUNCTION("""COMPUTED_VALUE"""),"Bpk. Sampurna")</f>
        <v>Bpk. Sampurna</v>
      </c>
      <c r="U1746" s="215">
        <f>IFERROR(__xludf.DUMMYFUNCTION("""COMPUTED_VALUE"""),45979.44483796296)</f>
        <v>45979.44484</v>
      </c>
      <c r="V1746" s="211" t="str">
        <f>IFERROR(__xludf.DUMMYFUNCTION("""COMPUTED_VALUE"""),"Jl. Bypass Krian KM.30 No.15, Kraton, Kec. Krian, Kabupaten Sidoarjo, Jawa Timur 61262")</f>
        <v>Jl. Bypass Krian KM.30 No.15, Kraton, Kec. Krian, Kabupaten Sidoarjo, Jawa Timur 61262</v>
      </c>
      <c r="W1746" s="211" t="str">
        <f>IFERROR(__xludf.DUMMYFUNCTION("""COMPUTED_VALUE"""),"OUT")</f>
        <v>OUT</v>
      </c>
      <c r="X1746" s="211"/>
      <c r="AL1746" s="211"/>
      <c r="AM1746" s="211"/>
      <c r="AN1746" s="211"/>
      <c r="AO1746" s="211"/>
      <c r="AP1746" s="215"/>
      <c r="AQ1746" s="218"/>
      <c r="AR1746" s="211"/>
    </row>
    <row r="1747">
      <c r="A1747" s="210" t="str">
        <f>IFERROR(__xludf.DUMMYFUNCTION("""COMPUTED_VALUE"""),"092531260")</f>
        <v>092531260</v>
      </c>
      <c r="B1747" s="210" t="str">
        <f>IFERROR(__xludf.DUMMYFUNCTION("""COMPUTED_VALUE"""),"092531260")</f>
        <v>092531260</v>
      </c>
      <c r="C1747" s="213">
        <f>IFERROR(__xludf.DUMMYFUNCTION("""COMPUTED_VALUE"""),45912.38164351852)</f>
        <v>45912.38164</v>
      </c>
      <c r="D1747" s="211" t="str">
        <f>IFERROR(__xludf.DUMMYFUNCTION("""COMPUTED_VALUE"""),"17a8e612")</f>
        <v>17a8e612</v>
      </c>
      <c r="E1747" s="211" t="str">
        <f>IFERROR(__xludf.DUMMYFUNCTION("""COMPUTED_VALUE"""),"Flashtech Machinery")</f>
        <v>Flashtech Machinery</v>
      </c>
      <c r="F1747" s="211" t="str">
        <f>IFERROR(__xludf.DUMMYFUNCTION("""COMPUTED_VALUE"""),"8bdbe149")</f>
        <v>8bdbe149</v>
      </c>
      <c r="G1747" s="211" t="str">
        <f>IFERROR(__xludf.DUMMYFUNCTION("""COMPUTED_VALUE"""),"Oksigen 6m3")</f>
        <v>Oksigen 6m3</v>
      </c>
      <c r="H1747" s="211" t="str">
        <f>IFERROR(__xludf.DUMMYFUNCTION("""COMPUTED_VALUE"""),"OUT")</f>
        <v>OUT</v>
      </c>
      <c r="I1747" s="211" t="str">
        <f>IFERROR(__xludf.DUMMYFUNCTION("""COMPUTED_VALUE"""),"NORMAL")</f>
        <v>NORMAL</v>
      </c>
      <c r="J1747" s="211">
        <f>IFERROR(__xludf.DUMMYFUNCTION("""COMPUTED_VALUE"""),2.0)</f>
        <v>2</v>
      </c>
      <c r="K1747" s="210" t="str">
        <f>IFERROR(__xludf.DUMMYFUNCTION("""COMPUTED_VALUE"""),"1134 1144")</f>
        <v>1134 1144</v>
      </c>
      <c r="L1747" s="211">
        <f>IFERROR(__xludf.DUMMYFUNCTION("""COMPUTED_VALUE"""),70000.0)</f>
        <v>70000</v>
      </c>
      <c r="M1747" s="211"/>
      <c r="N1747" s="211"/>
      <c r="O1747" s="211"/>
      <c r="Q1747" s="210" t="str">
        <f>IFERROR(__xludf.DUMMYFUNCTION("""COMPUTED_VALUE"""),"1250801")</f>
        <v>1250801</v>
      </c>
      <c r="R1747" s="210" t="str">
        <f>IFERROR(__xludf.DUMMYFUNCTION("""COMPUTED_VALUE"""),"1250801")</f>
        <v>1250801</v>
      </c>
      <c r="S1747" s="211" t="str">
        <f>IFERROR(__xludf.DUMMYFUNCTION("""COMPUTED_VALUE"""),"a0f0ad2d")</f>
        <v>a0f0ad2d</v>
      </c>
      <c r="T1747" s="211" t="str">
        <f>IFERROR(__xludf.DUMMYFUNCTION("""COMPUTED_VALUE"""),"CV. Yulie Jaya")</f>
        <v>CV. Yulie Jaya</v>
      </c>
      <c r="U1747" s="215">
        <f>IFERROR(__xludf.DUMMYFUNCTION("""COMPUTED_VALUE"""),45979.46836805555)</f>
        <v>45979.46837</v>
      </c>
      <c r="V1747" s="211" t="str">
        <f>IFERROR(__xludf.DUMMYFUNCTION("""COMPUTED_VALUE"""),"JJH4+6RV, Badas, Barengkrajan, Kec. Krian, Kabupaten Sidoarjo, Jawa Timur 61262")</f>
        <v>JJH4+6RV, Badas, Barengkrajan, Kec. Krian, Kabupaten Sidoarjo, Jawa Timur 61262</v>
      </c>
      <c r="W1747" s="211" t="str">
        <f>IFERROR(__xludf.DUMMYFUNCTION("""COMPUTED_VALUE"""),"IN")</f>
        <v>IN</v>
      </c>
      <c r="X1747" s="211"/>
      <c r="AL1747" s="211"/>
      <c r="AM1747" s="211"/>
      <c r="AN1747" s="211"/>
      <c r="AO1747" s="211"/>
      <c r="AP1747" s="215"/>
      <c r="AQ1747" s="218"/>
      <c r="AR1747" s="211"/>
    </row>
    <row r="1748">
      <c r="A1748" s="210" t="str">
        <f>IFERROR(__xludf.DUMMYFUNCTION("""COMPUTED_VALUE"""),"0925471248")</f>
        <v>0925471248</v>
      </c>
      <c r="B1748" s="210" t="str">
        <f>IFERROR(__xludf.DUMMYFUNCTION("""COMPUTED_VALUE"""),"0925471248")</f>
        <v>0925471248</v>
      </c>
      <c r="C1748" s="213">
        <f>IFERROR(__xludf.DUMMYFUNCTION("""COMPUTED_VALUE"""),45911.33866898148)</f>
        <v>45911.33867</v>
      </c>
      <c r="D1748" s="211" t="str">
        <f>IFERROR(__xludf.DUMMYFUNCTION("""COMPUTED_VALUE"""),"e86baf3b")</f>
        <v>e86baf3b</v>
      </c>
      <c r="E1748" s="211" t="str">
        <f>IFERROR(__xludf.DUMMYFUNCTION("""COMPUTED_VALUE"""),"PT GEMILANG CIPTA WAWASAN")</f>
        <v>PT GEMILANG CIPTA WAWASAN</v>
      </c>
      <c r="F1748" s="211" t="str">
        <f>IFERROR(__xludf.DUMMYFUNCTION("""COMPUTED_VALUE"""),"66af7c72")</f>
        <v>66af7c72</v>
      </c>
      <c r="G1748" s="211" t="str">
        <f>IFERROR(__xludf.DUMMYFUNCTION("""COMPUTED_VALUE"""),"Argon 6m3")</f>
        <v>Argon 6m3</v>
      </c>
      <c r="H1748" s="211" t="str">
        <f>IFERROR(__xludf.DUMMYFUNCTION("""COMPUTED_VALUE"""),"OUT")</f>
        <v>OUT</v>
      </c>
      <c r="I1748" s="211" t="str">
        <f>IFERROR(__xludf.DUMMYFUNCTION("""COMPUTED_VALUE"""),"NORMAL")</f>
        <v>NORMAL</v>
      </c>
      <c r="J1748" s="211">
        <f>IFERROR(__xludf.DUMMYFUNCTION("""COMPUTED_VALUE"""),5.0)</f>
        <v>5</v>
      </c>
      <c r="K1748" s="210" t="str">
        <f>IFERROR(__xludf.DUMMYFUNCTION("""COMPUTED_VALUE"""),"12061 12014 12050 12053 12070")</f>
        <v>12061 12014 12050 12053 12070</v>
      </c>
      <c r="L1748" s="211">
        <f>IFERROR(__xludf.DUMMYFUNCTION("""COMPUTED_VALUE"""),185000.0)</f>
        <v>185000</v>
      </c>
      <c r="M1748" s="211"/>
      <c r="N1748" s="211"/>
      <c r="O1748" s="211"/>
      <c r="Q1748" s="210" t="str">
        <f>IFERROR(__xludf.DUMMYFUNCTION("""COMPUTED_VALUE"""),"1250802")</f>
        <v>1250802</v>
      </c>
      <c r="R1748" s="210" t="str">
        <f>IFERROR(__xludf.DUMMYFUNCTION("""COMPUTED_VALUE"""),"1250802")</f>
        <v>1250802</v>
      </c>
      <c r="S1748" s="211" t="str">
        <f>IFERROR(__xludf.DUMMYFUNCTION("""COMPUTED_VALUE"""),"9e5d8274")</f>
        <v>9e5d8274</v>
      </c>
      <c r="T1748" s="211" t="str">
        <f>IFERROR(__xludf.DUMMYFUNCTION("""COMPUTED_VALUE"""),"Bpk. Erry ( Lik Trosobo )")</f>
        <v>Bpk. Erry ( Lik Trosobo )</v>
      </c>
      <c r="U1748" s="215">
        <f>IFERROR(__xludf.DUMMYFUNCTION("""COMPUTED_VALUE"""),45979.468877314815)</f>
        <v>45979.46888</v>
      </c>
      <c r="V1748" s="211" t="str">
        <f>IFERROR(__xludf.DUMMYFUNCTION("""COMPUTED_VALUE"""),"Trosobo Taman")</f>
        <v>Trosobo Taman</v>
      </c>
      <c r="W1748" s="211" t="str">
        <f>IFERROR(__xludf.DUMMYFUNCTION("""COMPUTED_VALUE"""),"IN")</f>
        <v>IN</v>
      </c>
      <c r="X1748" s="211"/>
      <c r="AL1748" s="211"/>
      <c r="AM1748" s="211"/>
      <c r="AN1748" s="211"/>
      <c r="AO1748" s="211"/>
      <c r="AP1748" s="215"/>
      <c r="AQ1748" s="218"/>
      <c r="AR1748" s="211"/>
    </row>
    <row r="1749">
      <c r="A1749" s="210" t="str">
        <f>IFERROR(__xludf.DUMMYFUNCTION("""COMPUTED_VALUE"""),"1250578")</f>
        <v>1250578</v>
      </c>
      <c r="B1749" s="210" t="str">
        <f>IFERROR(__xludf.DUMMYFUNCTION("""COMPUTED_VALUE"""),"1250578")</f>
        <v>1250578</v>
      </c>
      <c r="C1749" s="213">
        <f>IFERROR(__xludf.DUMMYFUNCTION("""COMPUTED_VALUE"""),45912.59519675926)</f>
        <v>45912.5952</v>
      </c>
      <c r="D1749" s="211" t="str">
        <f>IFERROR(__xludf.DUMMYFUNCTION("""COMPUTED_VALUE"""),"01158be1")</f>
        <v>01158be1</v>
      </c>
      <c r="E1749" s="211" t="str">
        <f>IFERROR(__xludf.DUMMYFUNCTION("""COMPUTED_VALUE"""),"GYF")</f>
        <v>GYF</v>
      </c>
      <c r="F1749" s="211" t="str">
        <f>IFERROR(__xludf.DUMMYFUNCTION("""COMPUTED_VALUE"""),"66af7c72")</f>
        <v>66af7c72</v>
      </c>
      <c r="G1749" s="211" t="str">
        <f>IFERROR(__xludf.DUMMYFUNCTION("""COMPUTED_VALUE"""),"Argon 6m3")</f>
        <v>Argon 6m3</v>
      </c>
      <c r="H1749" s="211" t="str">
        <f>IFERROR(__xludf.DUMMYFUNCTION("""COMPUTED_VALUE"""),"IN")</f>
        <v>IN</v>
      </c>
      <c r="I1749" s="211" t="str">
        <f>IFERROR(__xludf.DUMMYFUNCTION("""COMPUTED_VALUE"""),"EMPTY")</f>
        <v>EMPTY</v>
      </c>
      <c r="J1749" s="211">
        <f>IFERROR(__xludf.DUMMYFUNCTION("""COMPUTED_VALUE"""),2.0)</f>
        <v>2</v>
      </c>
      <c r="K1749" s="210" t="str">
        <f>IFERROR(__xludf.DUMMYFUNCTION("""COMPUTED_VALUE"""),"12027 12028")</f>
        <v>12027 12028</v>
      </c>
      <c r="L1749" s="211">
        <f>IFERROR(__xludf.DUMMYFUNCTION("""COMPUTED_VALUE"""),0.0)</f>
        <v>0</v>
      </c>
      <c r="M1749" s="211"/>
      <c r="N1749" s="211"/>
      <c r="O1749" s="211"/>
      <c r="Q1749" s="210" t="str">
        <f>IFERROR(__xludf.DUMMYFUNCTION("""COMPUTED_VALUE"""),"1250804")</f>
        <v>1250804</v>
      </c>
      <c r="R1749" s="210" t="str">
        <f>IFERROR(__xludf.DUMMYFUNCTION("""COMPUTED_VALUE"""),"1250804")</f>
        <v>1250804</v>
      </c>
      <c r="S1749" s="211" t="str">
        <f>IFERROR(__xludf.DUMMYFUNCTION("""COMPUTED_VALUE"""),"63fc688a")</f>
        <v>63fc688a</v>
      </c>
      <c r="T1749" s="211" t="str">
        <f>IFERROR(__xludf.DUMMYFUNCTION("""COMPUTED_VALUE"""),"CV Malik Nusantara")</f>
        <v>CV Malik Nusantara</v>
      </c>
      <c r="U1749" s="215">
        <f>IFERROR(__xludf.DUMMYFUNCTION("""COMPUTED_VALUE"""),45979.47429398148)</f>
        <v>45979.47429</v>
      </c>
      <c r="V1749" s="211" t="str">
        <f>IFERROR(__xludf.DUMMYFUNCTION("""COMPUTED_VALUE"""),"Jl. Raya Balongbendo No.12, Suwaluh Utara, Suwaluh, Kec. BalongBendo, Kabupaten Sidoarjo, Jawa Timur 61263")</f>
        <v>Jl. Raya Balongbendo No.12, Suwaluh Utara, Suwaluh, Kec. BalongBendo, Kabupaten Sidoarjo, Jawa Timur 61263</v>
      </c>
      <c r="W1749" s="211" t="str">
        <f>IFERROR(__xludf.DUMMYFUNCTION("""COMPUTED_VALUE"""),"IN")</f>
        <v>IN</v>
      </c>
      <c r="X1749" s="211"/>
      <c r="AL1749" s="211"/>
      <c r="AM1749" s="211"/>
      <c r="AN1749" s="211"/>
      <c r="AO1749" s="211"/>
      <c r="AP1749" s="215"/>
      <c r="AQ1749" s="218"/>
      <c r="AR1749" s="211"/>
    </row>
    <row r="1750">
      <c r="A1750" s="210" t="str">
        <f>IFERROR(__xludf.DUMMYFUNCTION("""COMPUTED_VALUE"""),"1250578")</f>
        <v>1250578</v>
      </c>
      <c r="B1750" s="210" t="str">
        <f>IFERROR(__xludf.DUMMYFUNCTION("""COMPUTED_VALUE"""),"1250578")</f>
        <v>1250578</v>
      </c>
      <c r="C1750" s="213">
        <f>IFERROR(__xludf.DUMMYFUNCTION("""COMPUTED_VALUE"""),45912.59519675926)</f>
        <v>45912.5952</v>
      </c>
      <c r="D1750" s="211" t="str">
        <f>IFERROR(__xludf.DUMMYFUNCTION("""COMPUTED_VALUE"""),"01158be1")</f>
        <v>01158be1</v>
      </c>
      <c r="E1750" s="211" t="str">
        <f>IFERROR(__xludf.DUMMYFUNCTION("""COMPUTED_VALUE"""),"GYF")</f>
        <v>GYF</v>
      </c>
      <c r="F1750" s="211" t="str">
        <f>IFERROR(__xludf.DUMMYFUNCTION("""COMPUTED_VALUE"""),"8bdbe149")</f>
        <v>8bdbe149</v>
      </c>
      <c r="G1750" s="211" t="str">
        <f>IFERROR(__xludf.DUMMYFUNCTION("""COMPUTED_VALUE"""),"Oksigen 6m3")</f>
        <v>Oksigen 6m3</v>
      </c>
      <c r="H1750" s="211" t="str">
        <f>IFERROR(__xludf.DUMMYFUNCTION("""COMPUTED_VALUE"""),"IN")</f>
        <v>IN</v>
      </c>
      <c r="I1750" s="211" t="str">
        <f>IFERROR(__xludf.DUMMYFUNCTION("""COMPUTED_VALUE"""),"EMPTY")</f>
        <v>EMPTY</v>
      </c>
      <c r="J1750" s="211">
        <f>IFERROR(__xludf.DUMMYFUNCTION("""COMPUTED_VALUE"""),12.0)</f>
        <v>12</v>
      </c>
      <c r="K1750" s="210" t="str">
        <f>IFERROR(__xludf.DUMMYFUNCTION("""COMPUTED_VALUE"""),"11238 11199 11197 1184 11198 11208 11250 1164 11248 11268 11101 1101")</f>
        <v>11238 11199 11197 1184 11198 11208 11250 1164 11248 11268 11101 1101</v>
      </c>
      <c r="L1750" s="211">
        <f>IFERROR(__xludf.DUMMYFUNCTION("""COMPUTED_VALUE"""),0.0)</f>
        <v>0</v>
      </c>
      <c r="M1750" s="211"/>
      <c r="N1750" s="211"/>
      <c r="O1750" s="211"/>
      <c r="Q1750" s="210" t="str">
        <f>IFERROR(__xludf.DUMMYFUNCTION("""COMPUTED_VALUE"""),"1250805")</f>
        <v>1250805</v>
      </c>
      <c r="R1750" s="210" t="str">
        <f>IFERROR(__xludf.DUMMYFUNCTION("""COMPUTED_VALUE"""),"1250805")</f>
        <v>1250805</v>
      </c>
      <c r="S1750" s="211" t="str">
        <f>IFERROR(__xludf.DUMMYFUNCTION("""COMPUTED_VALUE"""),"faf71ae5")</f>
        <v>faf71ae5</v>
      </c>
      <c r="T1750" s="211" t="str">
        <f>IFERROR(__xludf.DUMMYFUNCTION("""COMPUTED_VALUE"""),"Bpk. Sampurna")</f>
        <v>Bpk. Sampurna</v>
      </c>
      <c r="U1750" s="215">
        <f>IFERROR(__xludf.DUMMYFUNCTION("""COMPUTED_VALUE"""),45979.5000462963)</f>
        <v>45979.50005</v>
      </c>
      <c r="V1750" s="211" t="str">
        <f>IFERROR(__xludf.DUMMYFUNCTION("""COMPUTED_VALUE"""),"Jl. Bypass Krian KM.30 No.15, Kraton, Kec. Krian, Kabupaten Sidoarjo, Jawa Timur 61262")</f>
        <v>Jl. Bypass Krian KM.30 No.15, Kraton, Kec. Krian, Kabupaten Sidoarjo, Jawa Timur 61262</v>
      </c>
      <c r="W1750" s="211" t="str">
        <f>IFERROR(__xludf.DUMMYFUNCTION("""COMPUTED_VALUE"""),"IN")</f>
        <v>IN</v>
      </c>
      <c r="X1750" s="211"/>
      <c r="AL1750" s="211"/>
      <c r="AM1750" s="211"/>
      <c r="AN1750" s="211"/>
      <c r="AO1750" s="211"/>
      <c r="AP1750" s="215"/>
      <c r="AQ1750" s="218"/>
      <c r="AR1750" s="211"/>
    </row>
    <row r="1751">
      <c r="A1751" s="210" t="str">
        <f>IFERROR(__xludf.DUMMYFUNCTION("""COMPUTED_VALUE"""),"092541262")</f>
        <v>092541262</v>
      </c>
      <c r="B1751" s="210" t="str">
        <f>IFERROR(__xludf.DUMMYFUNCTION("""COMPUTED_VALUE"""),"092541262")</f>
        <v>092541262</v>
      </c>
      <c r="C1751" s="213">
        <f>IFERROR(__xludf.DUMMYFUNCTION("""COMPUTED_VALUE"""),45912.62982638889)</f>
        <v>45912.62983</v>
      </c>
      <c r="D1751" s="211" t="str">
        <f>IFERROR(__xludf.DUMMYFUNCTION("""COMPUTED_VALUE"""),"06d600f6")</f>
        <v>06d600f6</v>
      </c>
      <c r="E1751" s="211" t="str">
        <f>IFERROR(__xludf.DUMMYFUNCTION("""COMPUTED_VALUE"""),"Ibu Ida")</f>
        <v>Ibu Ida</v>
      </c>
      <c r="F1751" s="211" t="str">
        <f>IFERROR(__xludf.DUMMYFUNCTION("""COMPUTED_VALUE"""),"f6aab7a9")</f>
        <v>f6aab7a9</v>
      </c>
      <c r="G1751" s="211" t="str">
        <f>IFERROR(__xludf.DUMMYFUNCTION("""COMPUTED_VALUE"""),"Oksigen 6m3 MR")</f>
        <v>Oksigen 6m3 MR</v>
      </c>
      <c r="H1751" s="211" t="str">
        <f>IFERROR(__xludf.DUMMYFUNCTION("""COMPUTED_VALUE"""),"OUT")</f>
        <v>OUT</v>
      </c>
      <c r="I1751" s="211" t="str">
        <f>IFERROR(__xludf.DUMMYFUNCTION("""COMPUTED_VALUE"""),"NORMAL")</f>
        <v>NORMAL</v>
      </c>
      <c r="J1751" s="211">
        <f>IFERROR(__xludf.DUMMYFUNCTION("""COMPUTED_VALUE"""),6.0)</f>
        <v>6</v>
      </c>
      <c r="K1751" s="211"/>
      <c r="L1751" s="211">
        <f>IFERROR(__xludf.DUMMYFUNCTION("""COMPUTED_VALUE"""),50000.0)</f>
        <v>50000</v>
      </c>
      <c r="M1751" s="211"/>
      <c r="N1751" s="211"/>
      <c r="O1751" s="211"/>
      <c r="Q1751" s="210" t="str">
        <f>IFERROR(__xludf.DUMMYFUNCTION("""COMPUTED_VALUE"""),"1250803")</f>
        <v>1250803</v>
      </c>
      <c r="R1751" s="210" t="str">
        <f>IFERROR(__xludf.DUMMYFUNCTION("""COMPUTED_VALUE"""),"1250803")</f>
        <v>1250803</v>
      </c>
      <c r="S1751" s="211" t="str">
        <f>IFERROR(__xludf.DUMMYFUNCTION("""COMPUTED_VALUE"""),"9e66ced9")</f>
        <v>9e66ced9</v>
      </c>
      <c r="T1751" s="211" t="str">
        <f>IFERROR(__xludf.DUMMYFUNCTION("""COMPUTED_VALUE"""),"Bapak Angga")</f>
        <v>Bapak Angga</v>
      </c>
      <c r="U1751" s="215">
        <f>IFERROR(__xludf.DUMMYFUNCTION("""COMPUTED_VALUE"""),45979.50099537037)</f>
        <v>45979.501</v>
      </c>
      <c r="V1751" s="211" t="str">
        <f>IFERROR(__xludf.DUMMYFUNCTION("""COMPUTED_VALUE"""),"Jl. Bypass Krian No.2, Tundungan, Sidomojo, Kec. Krian, Kabupaten Sidoarjo, Jawa Timur 61262")</f>
        <v>Jl. Bypass Krian No.2, Tundungan, Sidomojo, Kec. Krian, Kabupaten Sidoarjo, Jawa Timur 61262</v>
      </c>
      <c r="W1751" s="211" t="str">
        <f>IFERROR(__xludf.DUMMYFUNCTION("""COMPUTED_VALUE"""),"IN")</f>
        <v>IN</v>
      </c>
      <c r="X1751" s="211"/>
      <c r="AL1751" s="211"/>
      <c r="AM1751" s="211"/>
      <c r="AN1751" s="211"/>
      <c r="AO1751" s="211"/>
      <c r="AP1751" s="215"/>
      <c r="AQ1751" s="218"/>
      <c r="AR1751" s="211"/>
    </row>
    <row r="1752">
      <c r="A1752" s="210" t="str">
        <f>IFERROR(__xludf.DUMMYFUNCTION("""COMPUTED_VALUE"""),"0925481265")</f>
        <v>0925481265</v>
      </c>
      <c r="B1752" s="210" t="str">
        <f>IFERROR(__xludf.DUMMYFUNCTION("""COMPUTED_VALUE"""),"0925481265")</f>
        <v>0925481265</v>
      </c>
      <c r="C1752" s="213">
        <f>IFERROR(__xludf.DUMMYFUNCTION("""COMPUTED_VALUE"""),45913.34074074074)</f>
        <v>45913.34074</v>
      </c>
      <c r="D1752" s="211" t="str">
        <f>IFERROR(__xludf.DUMMYFUNCTION("""COMPUTED_VALUE"""),"e86baf3b")</f>
        <v>e86baf3b</v>
      </c>
      <c r="E1752" s="211" t="str">
        <f>IFERROR(__xludf.DUMMYFUNCTION("""COMPUTED_VALUE"""),"PT GEMILANG CIPTA WAWASAN")</f>
        <v>PT GEMILANG CIPTA WAWASAN</v>
      </c>
      <c r="F1752" s="211" t="str">
        <f>IFERROR(__xludf.DUMMYFUNCTION("""COMPUTED_VALUE"""),"66af7c72")</f>
        <v>66af7c72</v>
      </c>
      <c r="G1752" s="211" t="str">
        <f>IFERROR(__xludf.DUMMYFUNCTION("""COMPUTED_VALUE"""),"Argon 6m3")</f>
        <v>Argon 6m3</v>
      </c>
      <c r="H1752" s="211" t="str">
        <f>IFERROR(__xludf.DUMMYFUNCTION("""COMPUTED_VALUE"""),"OUT")</f>
        <v>OUT</v>
      </c>
      <c r="I1752" s="211" t="str">
        <f>IFERROR(__xludf.DUMMYFUNCTION("""COMPUTED_VALUE"""),"NORMAL")</f>
        <v>NORMAL</v>
      </c>
      <c r="J1752" s="211">
        <f>IFERROR(__xludf.DUMMYFUNCTION("""COMPUTED_VALUE"""),5.0)</f>
        <v>5</v>
      </c>
      <c r="K1752" s="210" t="str">
        <f>IFERROR(__xludf.DUMMYFUNCTION("""COMPUTED_VALUE"""),"12034 12023 12057 12051 12019")</f>
        <v>12034 12023 12057 12051 12019</v>
      </c>
      <c r="L1752" s="211">
        <f>IFERROR(__xludf.DUMMYFUNCTION("""COMPUTED_VALUE"""),185000.0)</f>
        <v>185000</v>
      </c>
      <c r="M1752" s="211"/>
      <c r="N1752" s="211"/>
      <c r="O1752" s="211"/>
      <c r="Q1752" s="210" t="str">
        <f>IFERROR(__xludf.DUMMYFUNCTION("""COMPUTED_VALUE"""),"1250789")</f>
        <v>1250789</v>
      </c>
      <c r="R1752" s="210" t="str">
        <f>IFERROR(__xludf.DUMMYFUNCTION("""COMPUTED_VALUE"""),"1250789")</f>
        <v>1250789</v>
      </c>
      <c r="S1752" s="211" t="str">
        <f>IFERROR(__xludf.DUMMYFUNCTION("""COMPUTED_VALUE"""),"01158be1")</f>
        <v>01158be1</v>
      </c>
      <c r="T1752" s="211" t="str">
        <f>IFERROR(__xludf.DUMMYFUNCTION("""COMPUTED_VALUE"""),"GYF")</f>
        <v>GYF</v>
      </c>
      <c r="U1752" s="215">
        <f>IFERROR(__xludf.DUMMYFUNCTION("""COMPUTED_VALUE"""),45979.504953703705)</f>
        <v>45979.50495</v>
      </c>
      <c r="V1752" s="211" t="str">
        <f>IFERROR(__xludf.DUMMYFUNCTION("""COMPUTED_VALUE"""),"Kangkungan, Lengkong, Kec. Mojoanyar, Kabupaten Mojokerto, Jawa Timur")</f>
        <v>Kangkungan, Lengkong, Kec. Mojoanyar, Kabupaten Mojokerto, Jawa Timur</v>
      </c>
      <c r="W1752" s="211" t="str">
        <f>IFERROR(__xludf.DUMMYFUNCTION("""COMPUTED_VALUE"""),"IN")</f>
        <v>IN</v>
      </c>
      <c r="X1752" s="211"/>
      <c r="AL1752" s="211"/>
      <c r="AM1752" s="211"/>
      <c r="AN1752" s="211"/>
      <c r="AO1752" s="211"/>
      <c r="AP1752" s="215"/>
      <c r="AQ1752" s="218"/>
      <c r="AR1752" s="211"/>
    </row>
    <row r="1753">
      <c r="A1753" s="210" t="str">
        <f>IFERROR(__xludf.DUMMYFUNCTION("""COMPUTED_VALUE"""),"0925181266")</f>
        <v>0925181266</v>
      </c>
      <c r="B1753" s="210" t="str">
        <f>IFERROR(__xludf.DUMMYFUNCTION("""COMPUTED_VALUE"""),"0925181266")</f>
        <v>0925181266</v>
      </c>
      <c r="C1753" s="213">
        <f>IFERROR(__xludf.DUMMYFUNCTION("""COMPUTED_VALUE"""),45913.35074074074)</f>
        <v>45913.35074</v>
      </c>
      <c r="D1753" s="211" t="str">
        <f>IFERROR(__xludf.DUMMYFUNCTION("""COMPUTED_VALUE"""),"b2b5f2c5")</f>
        <v>b2b5f2c5</v>
      </c>
      <c r="E1753" s="211" t="str">
        <f>IFERROR(__xludf.DUMMYFUNCTION("""COMPUTED_VALUE"""),"Bengkel Las Bpk. Ari")</f>
        <v>Bengkel Las Bpk. Ari</v>
      </c>
      <c r="F1753" s="211" t="str">
        <f>IFERROR(__xludf.DUMMYFUNCTION("""COMPUTED_VALUE"""),"8bdbe149")</f>
        <v>8bdbe149</v>
      </c>
      <c r="G1753" s="211" t="str">
        <f>IFERROR(__xludf.DUMMYFUNCTION("""COMPUTED_VALUE"""),"Oksigen 6m3")</f>
        <v>Oksigen 6m3</v>
      </c>
      <c r="H1753" s="211" t="str">
        <f>IFERROR(__xludf.DUMMYFUNCTION("""COMPUTED_VALUE"""),"OUT")</f>
        <v>OUT</v>
      </c>
      <c r="I1753" s="211" t="str">
        <f>IFERROR(__xludf.DUMMYFUNCTION("""COMPUTED_VALUE"""),"NORMAL")</f>
        <v>NORMAL</v>
      </c>
      <c r="J1753" s="211">
        <f>IFERROR(__xludf.DUMMYFUNCTION("""COMPUTED_VALUE"""),5.0)</f>
        <v>5</v>
      </c>
      <c r="K1753" s="210" t="str">
        <f>IFERROR(__xludf.DUMMYFUNCTION("""COMPUTED_VALUE"""),"1187 11127 11117 11115 11118")</f>
        <v>1187 11127 11117 11115 11118</v>
      </c>
      <c r="L1753" s="211">
        <f>IFERROR(__xludf.DUMMYFUNCTION("""COMPUTED_VALUE"""),60000.0)</f>
        <v>60000</v>
      </c>
      <c r="M1753" s="211"/>
      <c r="N1753" s="211"/>
      <c r="O1753" s="211"/>
      <c r="Q1753" s="210" t="str">
        <f>IFERROR(__xludf.DUMMYFUNCTION("""COMPUTED_VALUE"""),"112541747")</f>
        <v>112541747</v>
      </c>
      <c r="R1753" s="210" t="str">
        <f>IFERROR(__xludf.DUMMYFUNCTION("""COMPUTED_VALUE"""),"112541747")</f>
        <v>112541747</v>
      </c>
      <c r="S1753" s="211" t="str">
        <f>IFERROR(__xludf.DUMMYFUNCTION("""COMPUTED_VALUE"""),"f98b1e81")</f>
        <v>f98b1e81</v>
      </c>
      <c r="T1753" s="211" t="str">
        <f>IFERROR(__xludf.DUMMYFUNCTION("""COMPUTED_VALUE"""),"CV. Greenlife Tirta Sentosa")</f>
        <v>CV. Greenlife Tirta Sentosa</v>
      </c>
      <c r="U1753" s="215">
        <f>IFERROR(__xludf.DUMMYFUNCTION("""COMPUTED_VALUE"""),45979.63701388889)</f>
        <v>45979.63701</v>
      </c>
      <c r="V1753" s="211" t="str">
        <f>IFERROR(__xludf.DUMMYFUNCTION("""COMPUTED_VALUE"""),"Jl. Parengan NO.354 Semawut, Balongbendo, Kec. Krian Sidoarjo, Jawa Timur 61263")</f>
        <v>Jl. Parengan NO.354 Semawut, Balongbendo, Kec. Krian Sidoarjo, Jawa Timur 61263</v>
      </c>
      <c r="W1753" s="211" t="str">
        <f>IFERROR(__xludf.DUMMYFUNCTION("""COMPUTED_VALUE"""),"OUT")</f>
        <v>OUT</v>
      </c>
      <c r="X1753" s="211"/>
      <c r="AL1753" s="211"/>
      <c r="AM1753" s="211"/>
      <c r="AN1753" s="211"/>
      <c r="AO1753" s="211"/>
      <c r="AP1753" s="215"/>
      <c r="AQ1753" s="218"/>
      <c r="AR1753" s="211"/>
    </row>
    <row r="1754">
      <c r="A1754" s="210" t="str">
        <f>IFERROR(__xludf.DUMMYFUNCTION("""COMPUTED_VALUE"""),"092541267")</f>
        <v>092541267</v>
      </c>
      <c r="B1754" s="210" t="str">
        <f>IFERROR(__xludf.DUMMYFUNCTION("""COMPUTED_VALUE"""),"092541267")</f>
        <v>092541267</v>
      </c>
      <c r="C1754" s="213">
        <f>IFERROR(__xludf.DUMMYFUNCTION("""COMPUTED_VALUE"""),45913.358298611114)</f>
        <v>45913.3583</v>
      </c>
      <c r="D1754" s="211" t="str">
        <f>IFERROR(__xludf.DUMMYFUNCTION("""COMPUTED_VALUE"""),"17a8e612")</f>
        <v>17a8e612</v>
      </c>
      <c r="E1754" s="211" t="str">
        <f>IFERROR(__xludf.DUMMYFUNCTION("""COMPUTED_VALUE"""),"Flashtech Machinery")</f>
        <v>Flashtech Machinery</v>
      </c>
      <c r="F1754" s="211" t="str">
        <f>IFERROR(__xludf.DUMMYFUNCTION("""COMPUTED_VALUE"""),"66af7c72")</f>
        <v>66af7c72</v>
      </c>
      <c r="G1754" s="211" t="str">
        <f>IFERROR(__xludf.DUMMYFUNCTION("""COMPUTED_VALUE"""),"Argon 6m3")</f>
        <v>Argon 6m3</v>
      </c>
      <c r="H1754" s="211" t="str">
        <f>IFERROR(__xludf.DUMMYFUNCTION("""COMPUTED_VALUE"""),"OUT")</f>
        <v>OUT</v>
      </c>
      <c r="I1754" s="211" t="str">
        <f>IFERROR(__xludf.DUMMYFUNCTION("""COMPUTED_VALUE"""),"NORMAL")</f>
        <v>NORMAL</v>
      </c>
      <c r="J1754" s="211">
        <f>IFERROR(__xludf.DUMMYFUNCTION("""COMPUTED_VALUE"""),1.0)</f>
        <v>1</v>
      </c>
      <c r="K1754" s="210" t="str">
        <f>IFERROR(__xludf.DUMMYFUNCTION("""COMPUTED_VALUE"""),"12012")</f>
        <v>12012</v>
      </c>
      <c r="L1754" s="211">
        <f>IFERROR(__xludf.DUMMYFUNCTION("""COMPUTED_VALUE"""),195000.0)</f>
        <v>195000</v>
      </c>
      <c r="M1754" s="211"/>
      <c r="N1754" s="211"/>
      <c r="O1754" s="211"/>
      <c r="Q1754" s="210" t="str">
        <f>IFERROR(__xludf.DUMMYFUNCTION("""COMPUTED_VALUE"""),"1250830")</f>
        <v>1250830</v>
      </c>
      <c r="R1754" s="210" t="str">
        <f>IFERROR(__xludf.DUMMYFUNCTION("""COMPUTED_VALUE"""),"1250830")</f>
        <v>1250830</v>
      </c>
      <c r="S1754" s="211" t="str">
        <f>IFERROR(__xludf.DUMMYFUNCTION("""COMPUTED_VALUE"""),"ca4876e2")</f>
        <v>ca4876e2</v>
      </c>
      <c r="T1754" s="211" t="str">
        <f>IFERROR(__xludf.DUMMYFUNCTION("""COMPUTED_VALUE"""),"Bengkel Mustika Mojosari")</f>
        <v>Bengkel Mustika Mojosari</v>
      </c>
      <c r="U1754" s="215">
        <f>IFERROR(__xludf.DUMMYFUNCTION("""COMPUTED_VALUE"""),45979.66452546296)</f>
        <v>45979.66453</v>
      </c>
      <c r="V1754" s="211" t="str">
        <f>IFERROR(__xludf.DUMMYFUNCTION("""COMPUTED_VALUE"""),"Jl. Kusuma Bangsa, Bulanan, Randubango, Kec. Mojosari, Kabupaten Mojokerto, Jawa Timur 61382")</f>
        <v>Jl. Kusuma Bangsa, Bulanan, Randubango, Kec. Mojosari, Kabupaten Mojokerto, Jawa Timur 61382</v>
      </c>
      <c r="W1754" s="211" t="str">
        <f>IFERROR(__xludf.DUMMYFUNCTION("""COMPUTED_VALUE"""),"IN")</f>
        <v>IN</v>
      </c>
      <c r="X1754" s="211"/>
      <c r="AL1754" s="211"/>
      <c r="AM1754" s="211"/>
      <c r="AN1754" s="211"/>
      <c r="AO1754" s="211"/>
      <c r="AP1754" s="215"/>
      <c r="AQ1754" s="218"/>
      <c r="AR1754" s="211"/>
    </row>
    <row r="1755">
      <c r="A1755" s="211"/>
      <c r="B1755" s="211"/>
      <c r="C1755" s="211"/>
      <c r="D1755" s="211"/>
      <c r="E1755" s="211"/>
      <c r="F1755" s="211"/>
      <c r="G1755" s="211"/>
      <c r="H1755" s="211"/>
      <c r="I1755" s="211"/>
      <c r="J1755" s="211"/>
      <c r="K1755" s="211"/>
      <c r="L1755" s="211"/>
      <c r="M1755" s="211"/>
      <c r="N1755" s="211"/>
      <c r="O1755" s="211"/>
      <c r="Q1755" s="210" t="str">
        <f>IFERROR(__xludf.DUMMYFUNCTION("""COMPUTED_VALUE"""),"1250831")</f>
        <v>1250831</v>
      </c>
      <c r="R1755" s="210" t="str">
        <f>IFERROR(__xludf.DUMMYFUNCTION("""COMPUTED_VALUE"""),"1250831")</f>
        <v>1250831</v>
      </c>
      <c r="S1755" s="211" t="str">
        <f>IFERROR(__xludf.DUMMYFUNCTION("""COMPUTED_VALUE"""),"b2b5f2c5")</f>
        <v>b2b5f2c5</v>
      </c>
      <c r="T1755" s="211" t="str">
        <f>IFERROR(__xludf.DUMMYFUNCTION("""COMPUTED_VALUE"""),"Bengkel Las Bpk. Ari")</f>
        <v>Bengkel Las Bpk. Ari</v>
      </c>
      <c r="U1755" s="215">
        <f>IFERROR(__xludf.DUMMYFUNCTION("""COMPUTED_VALUE"""),45979.665625)</f>
        <v>45979.66563</v>
      </c>
      <c r="V1755" s="211" t="str">
        <f>IFERROR(__xludf.DUMMYFUNCTION("""COMPUTED_VALUE"""),"Sumber Kembar, Wonodadi, Kec. Kutorejo, Kabupaten Mojokerto, Jawa Timur")</f>
        <v>Sumber Kembar, Wonodadi, Kec. Kutorejo, Kabupaten Mojokerto, Jawa Timur</v>
      </c>
      <c r="W1755" s="211" t="str">
        <f>IFERROR(__xludf.DUMMYFUNCTION("""COMPUTED_VALUE"""),"IN")</f>
        <v>IN</v>
      </c>
      <c r="X1755" s="211"/>
      <c r="AL1755" s="211"/>
      <c r="AM1755" s="211"/>
      <c r="AN1755" s="211"/>
      <c r="AO1755" s="211"/>
      <c r="AP1755" s="215"/>
      <c r="AQ1755" s="218"/>
      <c r="AR1755" s="211"/>
    </row>
    <row r="1756">
      <c r="A1756" s="210" t="str">
        <f>IFERROR(__xludf.DUMMYFUNCTION("""COMPUTED_VALUE"""),"1250590")</f>
        <v>1250590</v>
      </c>
      <c r="B1756" s="210" t="str">
        <f>IFERROR(__xludf.DUMMYFUNCTION("""COMPUTED_VALUE"""),"1250590")</f>
        <v>1250590</v>
      </c>
      <c r="C1756" s="213">
        <f>IFERROR(__xludf.DUMMYFUNCTION("""COMPUTED_VALUE"""),45913.48409722222)</f>
        <v>45913.4841</v>
      </c>
      <c r="D1756" s="211" t="str">
        <f>IFERROR(__xludf.DUMMYFUNCTION("""COMPUTED_VALUE"""),"e86baf3b")</f>
        <v>e86baf3b</v>
      </c>
      <c r="E1756" s="211" t="str">
        <f>IFERROR(__xludf.DUMMYFUNCTION("""COMPUTED_VALUE"""),"PT GEMILANG CIPTA WAWASAN")</f>
        <v>PT GEMILANG CIPTA WAWASAN</v>
      </c>
      <c r="F1756" s="211" t="str">
        <f>IFERROR(__xludf.DUMMYFUNCTION("""COMPUTED_VALUE"""),"be525f3b")</f>
        <v>be525f3b</v>
      </c>
      <c r="G1756" s="211" t="str">
        <f>IFERROR(__xludf.DUMMYFUNCTION("""COMPUTED_VALUE"""),"LPG 12kg")</f>
        <v>LPG 12kg</v>
      </c>
      <c r="H1756" s="211" t="str">
        <f>IFERROR(__xludf.DUMMYFUNCTION("""COMPUTED_VALUE"""),"IN")</f>
        <v>IN</v>
      </c>
      <c r="I1756" s="211" t="str">
        <f>IFERROR(__xludf.DUMMYFUNCTION("""COMPUTED_VALUE"""),"EMPTY")</f>
        <v>EMPTY</v>
      </c>
      <c r="J1756" s="211">
        <f>IFERROR(__xludf.DUMMYFUNCTION("""COMPUTED_VALUE"""),1.0)</f>
        <v>1</v>
      </c>
      <c r="K1756" s="210" t="str">
        <f>IFERROR(__xludf.DUMMYFUNCTION("""COMPUTED_VALUE"""),"01")</f>
        <v>01</v>
      </c>
      <c r="L1756" s="211">
        <f>IFERROR(__xludf.DUMMYFUNCTION("""COMPUTED_VALUE"""),0.0)</f>
        <v>0</v>
      </c>
      <c r="M1756" s="211"/>
      <c r="N1756" s="211"/>
      <c r="O1756" s="211"/>
      <c r="Q1756" s="210" t="str">
        <f>IFERROR(__xludf.DUMMYFUNCTION("""COMPUTED_VALUE"""),"112521754")</f>
        <v>112521754</v>
      </c>
      <c r="R1756" s="210" t="str">
        <f>IFERROR(__xludf.DUMMYFUNCTION("""COMPUTED_VALUE"""),"112521754")</f>
        <v>112521754</v>
      </c>
      <c r="S1756" s="211" t="str">
        <f>IFERROR(__xludf.DUMMYFUNCTION("""COMPUTED_VALUE"""),"a0f0ad2d")</f>
        <v>a0f0ad2d</v>
      </c>
      <c r="T1756" s="211" t="str">
        <f>IFERROR(__xludf.DUMMYFUNCTION("""COMPUTED_VALUE"""),"CV. Yulie Jaya")</f>
        <v>CV. Yulie Jaya</v>
      </c>
      <c r="U1756" s="215">
        <f>IFERROR(__xludf.DUMMYFUNCTION("""COMPUTED_VALUE"""),45980.34303240741)</f>
        <v>45980.34303</v>
      </c>
      <c r="V1756" s="211" t="str">
        <f>IFERROR(__xludf.DUMMYFUNCTION("""COMPUTED_VALUE"""),"JJH4+6RV, Badas, Barengkrajan, Kec. Krian, Kabupaten Sidoarjo, Jawa Timur 61262")</f>
        <v>JJH4+6RV, Badas, Barengkrajan, Kec. Krian, Kabupaten Sidoarjo, Jawa Timur 61262</v>
      </c>
      <c r="W1756" s="211" t="str">
        <f>IFERROR(__xludf.DUMMYFUNCTION("""COMPUTED_VALUE"""),"OUT")</f>
        <v>OUT</v>
      </c>
      <c r="X1756" s="211"/>
      <c r="AL1756" s="211"/>
      <c r="AM1756" s="211"/>
      <c r="AN1756" s="211"/>
      <c r="AO1756" s="211"/>
      <c r="AP1756" s="215"/>
      <c r="AQ1756" s="218"/>
      <c r="AR1756" s="211"/>
    </row>
    <row r="1757">
      <c r="A1757" s="210" t="str">
        <f>IFERROR(__xludf.DUMMYFUNCTION("""COMPUTED_VALUE"""),"1250591")</f>
        <v>1250591</v>
      </c>
      <c r="B1757" s="210" t="str">
        <f>IFERROR(__xludf.DUMMYFUNCTION("""COMPUTED_VALUE"""),"1250591")</f>
        <v>1250591</v>
      </c>
      <c r="C1757" s="213">
        <f>IFERROR(__xludf.DUMMYFUNCTION("""COMPUTED_VALUE"""),45913.48479166667)</f>
        <v>45913.48479</v>
      </c>
      <c r="D1757" s="211" t="str">
        <f>IFERROR(__xludf.DUMMYFUNCTION("""COMPUTED_VALUE"""),"b2b5f2c5")</f>
        <v>b2b5f2c5</v>
      </c>
      <c r="E1757" s="211" t="str">
        <f>IFERROR(__xludf.DUMMYFUNCTION("""COMPUTED_VALUE"""),"Bengkel Las Bpk. Ari")</f>
        <v>Bengkel Las Bpk. Ari</v>
      </c>
      <c r="F1757" s="211" t="str">
        <f>IFERROR(__xludf.DUMMYFUNCTION("""COMPUTED_VALUE"""),"8bdbe149")</f>
        <v>8bdbe149</v>
      </c>
      <c r="G1757" s="211" t="str">
        <f>IFERROR(__xludf.DUMMYFUNCTION("""COMPUTED_VALUE"""),"Oksigen 6m3")</f>
        <v>Oksigen 6m3</v>
      </c>
      <c r="H1757" s="211" t="str">
        <f>IFERROR(__xludf.DUMMYFUNCTION("""COMPUTED_VALUE"""),"IN")</f>
        <v>IN</v>
      </c>
      <c r="I1757" s="211" t="str">
        <f>IFERROR(__xludf.DUMMYFUNCTION("""COMPUTED_VALUE"""),"EMPTY")</f>
        <v>EMPTY</v>
      </c>
      <c r="J1757" s="211">
        <f>IFERROR(__xludf.DUMMYFUNCTION("""COMPUTED_VALUE"""),5.0)</f>
        <v>5</v>
      </c>
      <c r="K1757" s="210" t="str">
        <f>IFERROR(__xludf.DUMMYFUNCTION("""COMPUTED_VALUE"""),"11234 11261 1136 11258 11125")</f>
        <v>11234 11261 1136 11258 11125</v>
      </c>
      <c r="L1757" s="211">
        <f>IFERROR(__xludf.DUMMYFUNCTION("""COMPUTED_VALUE"""),0.0)</f>
        <v>0</v>
      </c>
      <c r="M1757" s="211"/>
      <c r="N1757" s="211"/>
      <c r="O1757" s="211"/>
      <c r="Q1757" s="210" t="str">
        <f>IFERROR(__xludf.DUMMYFUNCTION("""COMPUTED_VALUE"""),"1250832")</f>
        <v>1250832</v>
      </c>
      <c r="R1757" s="210" t="str">
        <f>IFERROR(__xludf.DUMMYFUNCTION("""COMPUTED_VALUE"""),"1250832")</f>
        <v>1250832</v>
      </c>
      <c r="S1757" s="211" t="str">
        <f>IFERROR(__xludf.DUMMYFUNCTION("""COMPUTED_VALUE"""),"a0f0ad2d")</f>
        <v>a0f0ad2d</v>
      </c>
      <c r="T1757" s="211" t="str">
        <f>IFERROR(__xludf.DUMMYFUNCTION("""COMPUTED_VALUE"""),"CV. Yulie Jaya")</f>
        <v>CV. Yulie Jaya</v>
      </c>
      <c r="U1757" s="215">
        <f>IFERROR(__xludf.DUMMYFUNCTION("""COMPUTED_VALUE"""),45980.40420138889)</f>
        <v>45980.4042</v>
      </c>
      <c r="V1757" s="211" t="str">
        <f>IFERROR(__xludf.DUMMYFUNCTION("""COMPUTED_VALUE"""),"JJH4+6RV, Badas, Barengkrajan, Kec. Krian, Kabupaten Sidoarjo, Jawa Timur 61262")</f>
        <v>JJH4+6RV, Badas, Barengkrajan, Kec. Krian, Kabupaten Sidoarjo, Jawa Timur 61262</v>
      </c>
      <c r="W1757" s="211" t="str">
        <f>IFERROR(__xludf.DUMMYFUNCTION("""COMPUTED_VALUE"""),"IN")</f>
        <v>IN</v>
      </c>
      <c r="X1757" s="211"/>
      <c r="AL1757" s="211"/>
      <c r="AM1757" s="211"/>
      <c r="AN1757" s="211"/>
      <c r="AO1757" s="211"/>
      <c r="AP1757" s="215"/>
      <c r="AQ1757" s="218"/>
      <c r="AR1757" s="211"/>
    </row>
    <row r="1758">
      <c r="A1758" s="210" t="str">
        <f>IFERROR(__xludf.DUMMYFUNCTION("""COMPUTED_VALUE"""),"1250581")</f>
        <v>1250581</v>
      </c>
      <c r="B1758" s="210" t="str">
        <f>IFERROR(__xludf.DUMMYFUNCTION("""COMPUTED_VALUE"""),"1250581")</f>
        <v>1250581</v>
      </c>
      <c r="C1758" s="213">
        <f>IFERROR(__xludf.DUMMYFUNCTION("""COMPUTED_VALUE"""),45913.48877314815)</f>
        <v>45913.48877</v>
      </c>
      <c r="D1758" s="211" t="str">
        <f>IFERROR(__xludf.DUMMYFUNCTION("""COMPUTED_VALUE"""),"dcdf8b31")</f>
        <v>dcdf8b31</v>
      </c>
      <c r="E1758" s="211" t="str">
        <f>IFERROR(__xludf.DUMMYFUNCTION("""COMPUTED_VALUE"""),"Bpk. Samsul (Jetis)")</f>
        <v>Bpk. Samsul (Jetis)</v>
      </c>
      <c r="F1758" s="211" t="str">
        <f>IFERROR(__xludf.DUMMYFUNCTION("""COMPUTED_VALUE"""),"be525f3b")</f>
        <v>be525f3b</v>
      </c>
      <c r="G1758" s="211" t="str">
        <f>IFERROR(__xludf.DUMMYFUNCTION("""COMPUTED_VALUE"""),"LPG 12kg")</f>
        <v>LPG 12kg</v>
      </c>
      <c r="H1758" s="211" t="str">
        <f>IFERROR(__xludf.DUMMYFUNCTION("""COMPUTED_VALUE"""),"IN")</f>
        <v>IN</v>
      </c>
      <c r="I1758" s="211" t="str">
        <f>IFERROR(__xludf.DUMMYFUNCTION("""COMPUTED_VALUE"""),"EMPTY")</f>
        <v>EMPTY</v>
      </c>
      <c r="J1758" s="211">
        <f>IFERROR(__xludf.DUMMYFUNCTION("""COMPUTED_VALUE"""),1.0)</f>
        <v>1</v>
      </c>
      <c r="K1758" s="210" t="str">
        <f>IFERROR(__xludf.DUMMYFUNCTION("""COMPUTED_VALUE"""),"01")</f>
        <v>01</v>
      </c>
      <c r="L1758" s="211">
        <f>IFERROR(__xludf.DUMMYFUNCTION("""COMPUTED_VALUE"""),0.0)</f>
        <v>0</v>
      </c>
      <c r="M1758" s="211"/>
      <c r="N1758" s="211"/>
      <c r="O1758" s="211"/>
      <c r="Q1758" s="210" t="str">
        <f>IFERROR(__xludf.DUMMYFUNCTION("""COMPUTED_VALUE"""),"1125701757")</f>
        <v>1125701757</v>
      </c>
      <c r="R1758" s="210" t="str">
        <f>IFERROR(__xludf.DUMMYFUNCTION("""COMPUTED_VALUE"""),"1125701757")</f>
        <v>1125701757</v>
      </c>
      <c r="S1758" s="211" t="str">
        <f>IFERROR(__xludf.DUMMYFUNCTION("""COMPUTED_VALUE"""),"e86baf3b")</f>
        <v>e86baf3b</v>
      </c>
      <c r="T1758" s="211" t="str">
        <f>IFERROR(__xludf.DUMMYFUNCTION("""COMPUTED_VALUE"""),"PT GEMILANG CIPTA WAWASAN")</f>
        <v>PT GEMILANG CIPTA WAWASAN</v>
      </c>
      <c r="U1758" s="215">
        <f>IFERROR(__xludf.DUMMYFUNCTION("""COMPUTED_VALUE"""),45980.40855324074)</f>
        <v>45980.40855</v>
      </c>
      <c r="V1758" s="211" t="str">
        <f>IFERROR(__xludf.DUMMYFUNCTION("""COMPUTED_VALUE"""),"JL TEBET RAYA, 2A, TEBET BARAT, TEBET, KOTA ADM, JAKARTA SELATAN, DKI JAKARTA")</f>
        <v>JL TEBET RAYA, 2A, TEBET BARAT, TEBET, KOTA ADM, JAKARTA SELATAN, DKI JAKARTA</v>
      </c>
      <c r="W1758" s="211" t="str">
        <f>IFERROR(__xludf.DUMMYFUNCTION("""COMPUTED_VALUE"""),"OUT")</f>
        <v>OUT</v>
      </c>
      <c r="X1758" s="211"/>
      <c r="AL1758" s="211"/>
      <c r="AM1758" s="211"/>
      <c r="AN1758" s="211"/>
      <c r="AO1758" s="211"/>
      <c r="AP1758" s="215"/>
      <c r="AQ1758" s="218"/>
      <c r="AR1758" s="211"/>
    </row>
    <row r="1759">
      <c r="A1759" s="210" t="str">
        <f>IFERROR(__xludf.DUMMYFUNCTION("""COMPUTED_VALUE"""),"092511269")</f>
        <v>092511269</v>
      </c>
      <c r="B1759" s="210" t="str">
        <f>IFERROR(__xludf.DUMMYFUNCTION("""COMPUTED_VALUE"""),"092511269")</f>
        <v>092511269</v>
      </c>
      <c r="C1759" s="213">
        <f>IFERROR(__xludf.DUMMYFUNCTION("""COMPUTED_VALUE"""),45913.49836805555)</f>
        <v>45913.49837</v>
      </c>
      <c r="D1759" s="211" t="str">
        <f>IFERROR(__xludf.DUMMYFUNCTION("""COMPUTED_VALUE"""),"3a48ba8b")</f>
        <v>3a48ba8b</v>
      </c>
      <c r="E1759" s="211" t="str">
        <f>IFERROR(__xludf.DUMMYFUNCTION("""COMPUTED_VALUE"""),"Bpk. Kacung")</f>
        <v>Bpk. Kacung</v>
      </c>
      <c r="F1759" s="211" t="str">
        <f>IFERROR(__xludf.DUMMYFUNCTION("""COMPUTED_VALUE"""),"be525f3b")</f>
        <v>be525f3b</v>
      </c>
      <c r="G1759" s="211" t="str">
        <f>IFERROR(__xludf.DUMMYFUNCTION("""COMPUTED_VALUE"""),"LPG 12kg")</f>
        <v>LPG 12kg</v>
      </c>
      <c r="H1759" s="211" t="str">
        <f>IFERROR(__xludf.DUMMYFUNCTION("""COMPUTED_VALUE"""),"OUT")</f>
        <v>OUT</v>
      </c>
      <c r="I1759" s="211" t="str">
        <f>IFERROR(__xludf.DUMMYFUNCTION("""COMPUTED_VALUE"""),"NORMAL")</f>
        <v>NORMAL</v>
      </c>
      <c r="J1759" s="211">
        <f>IFERROR(__xludf.DUMMYFUNCTION("""COMPUTED_VALUE"""),1.0)</f>
        <v>1</v>
      </c>
      <c r="K1759" s="210" t="str">
        <f>IFERROR(__xludf.DUMMYFUNCTION("""COMPUTED_VALUE"""),"01")</f>
        <v>01</v>
      </c>
      <c r="L1759" s="211">
        <f>IFERROR(__xludf.DUMMYFUNCTION("""COMPUTED_VALUE"""),500000.0)</f>
        <v>500000</v>
      </c>
      <c r="M1759" s="211"/>
      <c r="N1759" s="211"/>
      <c r="O1759" s="211"/>
      <c r="Q1759" s="210" t="str">
        <f>IFERROR(__xludf.DUMMYFUNCTION("""COMPUTED_VALUE"""),"112551759")</f>
        <v>112551759</v>
      </c>
      <c r="R1759" s="210" t="str">
        <f>IFERROR(__xludf.DUMMYFUNCTION("""COMPUTED_VALUE"""),"112551759")</f>
        <v>112551759</v>
      </c>
      <c r="S1759" s="211" t="str">
        <f>IFERROR(__xludf.DUMMYFUNCTION("""COMPUTED_VALUE"""),"9e66ced9")</f>
        <v>9e66ced9</v>
      </c>
      <c r="T1759" s="211" t="str">
        <f>IFERROR(__xludf.DUMMYFUNCTION("""COMPUTED_VALUE"""),"Bapak Angga")</f>
        <v>Bapak Angga</v>
      </c>
      <c r="U1759" s="215">
        <f>IFERROR(__xludf.DUMMYFUNCTION("""COMPUTED_VALUE"""),45980.56327546296)</f>
        <v>45980.56328</v>
      </c>
      <c r="V1759" s="211" t="str">
        <f>IFERROR(__xludf.DUMMYFUNCTION("""COMPUTED_VALUE"""),"Jl. Bypass Krian No.2, Tundungan, Sidomojo, Kec. Krian, Kabupaten Sidoarjo, Jawa Timur 61262")</f>
        <v>Jl. Bypass Krian No.2, Tundungan, Sidomojo, Kec. Krian, Kabupaten Sidoarjo, Jawa Timur 61262</v>
      </c>
      <c r="W1759" s="211" t="str">
        <f>IFERROR(__xludf.DUMMYFUNCTION("""COMPUTED_VALUE"""),"OUT")</f>
        <v>OUT</v>
      </c>
      <c r="X1759" s="211"/>
      <c r="AL1759" s="211"/>
      <c r="AM1759" s="211"/>
      <c r="AN1759" s="211"/>
      <c r="AO1759" s="211"/>
      <c r="AP1759" s="215"/>
      <c r="AQ1759" s="218"/>
      <c r="AR1759" s="211"/>
    </row>
    <row r="1760">
      <c r="A1760" s="210" t="str">
        <f>IFERROR(__xludf.DUMMYFUNCTION("""COMPUTED_VALUE"""),"0925191273")</f>
        <v>0925191273</v>
      </c>
      <c r="B1760" s="210" t="str">
        <f>IFERROR(__xludf.DUMMYFUNCTION("""COMPUTED_VALUE"""),"0925191273")</f>
        <v>0925191273</v>
      </c>
      <c r="C1760" s="213">
        <f>IFERROR(__xludf.DUMMYFUNCTION("""COMPUTED_VALUE"""),45913.66913194444)</f>
        <v>45913.66913</v>
      </c>
      <c r="D1760" s="211" t="str">
        <f>IFERROR(__xludf.DUMMYFUNCTION("""COMPUTED_VALUE"""),"ec231cc9")</f>
        <v>ec231cc9</v>
      </c>
      <c r="E1760" s="211" t="str">
        <f>IFERROR(__xludf.DUMMYFUNCTION("""COMPUTED_VALUE"""),"Bpk. Kohir (Maintenance Velg)")</f>
        <v>Bpk. Kohir (Maintenance Velg)</v>
      </c>
      <c r="F1760" s="211" t="str">
        <f>IFERROR(__xludf.DUMMYFUNCTION("""COMPUTED_VALUE"""),"8bdbe149")</f>
        <v>8bdbe149</v>
      </c>
      <c r="G1760" s="211" t="str">
        <f>IFERROR(__xludf.DUMMYFUNCTION("""COMPUTED_VALUE"""),"Oksigen 6m3")</f>
        <v>Oksigen 6m3</v>
      </c>
      <c r="H1760" s="211" t="str">
        <f>IFERROR(__xludf.DUMMYFUNCTION("""COMPUTED_VALUE"""),"OUT")</f>
        <v>OUT</v>
      </c>
      <c r="I1760" s="211" t="str">
        <f>IFERROR(__xludf.DUMMYFUNCTION("""COMPUTED_VALUE"""),"NORMAL")</f>
        <v>NORMAL</v>
      </c>
      <c r="J1760" s="211">
        <f>IFERROR(__xludf.DUMMYFUNCTION("""COMPUTED_VALUE"""),5.0)</f>
        <v>5</v>
      </c>
      <c r="K1760" s="210" t="str">
        <f>IFERROR(__xludf.DUMMYFUNCTION("""COMPUTED_VALUE"""),"1164 11238 11101 11198 11268")</f>
        <v>1164 11238 11101 11198 11268</v>
      </c>
      <c r="L1760" s="211">
        <f>IFERROR(__xludf.DUMMYFUNCTION("""COMPUTED_VALUE"""),55000.0)</f>
        <v>55000</v>
      </c>
      <c r="M1760" s="211"/>
      <c r="N1760" s="211"/>
      <c r="O1760" s="211"/>
      <c r="Q1760" s="210" t="str">
        <f>IFERROR(__xludf.DUMMYFUNCTION("""COMPUTED_VALUE"""),"1250833")</f>
        <v>1250833</v>
      </c>
      <c r="R1760" s="210" t="str">
        <f>IFERROR(__xludf.DUMMYFUNCTION("""COMPUTED_VALUE"""),"1250833")</f>
        <v>1250833</v>
      </c>
      <c r="S1760" s="211" t="str">
        <f>IFERROR(__xludf.DUMMYFUNCTION("""COMPUTED_VALUE"""),"196b24da")</f>
        <v>196b24da</v>
      </c>
      <c r="T1760" s="211" t="str">
        <f>IFERROR(__xludf.DUMMYFUNCTION("""COMPUTED_VALUE"""),"PT Samudra Cipta Enjineering")</f>
        <v>PT Samudra Cipta Enjineering</v>
      </c>
      <c r="U1760" s="215">
        <f>IFERROR(__xludf.DUMMYFUNCTION("""COMPUTED_VALUE"""),45980.58803240741)</f>
        <v>45980.58803</v>
      </c>
      <c r="V1760" s="211" t="str">
        <f>IFERROR(__xludf.DUMMYFUNCTION("""COMPUTED_VALUE"""),"Pergudangan Center Point Blok C4   Ds. Kemangsen  Balongbendo")</f>
        <v>Pergudangan Center Point Blok C4   Ds. Kemangsen  Balongbendo</v>
      </c>
      <c r="W1760" s="211" t="str">
        <f>IFERROR(__xludf.DUMMYFUNCTION("""COMPUTED_VALUE"""),"IN")</f>
        <v>IN</v>
      </c>
      <c r="X1760" s="211"/>
      <c r="AL1760" s="211"/>
      <c r="AM1760" s="211"/>
      <c r="AN1760" s="211"/>
      <c r="AO1760" s="211"/>
      <c r="AP1760" s="215"/>
      <c r="AQ1760" s="218"/>
      <c r="AR1760" s="211"/>
    </row>
    <row r="1761">
      <c r="A1761" s="210" t="str">
        <f>IFERROR(__xludf.DUMMYFUNCTION("""COMPUTED_VALUE"""),"1250592")</f>
        <v>1250592</v>
      </c>
      <c r="B1761" s="210" t="str">
        <f>IFERROR(__xludf.DUMMYFUNCTION("""COMPUTED_VALUE"""),"1250592")</f>
        <v>1250592</v>
      </c>
      <c r="C1761" s="213">
        <f>IFERROR(__xludf.DUMMYFUNCTION("""COMPUTED_VALUE"""),45915.34680555556)</f>
        <v>45915.34681</v>
      </c>
      <c r="D1761" s="211" t="str">
        <f>IFERROR(__xludf.DUMMYFUNCTION("""COMPUTED_VALUE"""),"ec231cc9")</f>
        <v>ec231cc9</v>
      </c>
      <c r="E1761" s="211" t="str">
        <f>IFERROR(__xludf.DUMMYFUNCTION("""COMPUTED_VALUE"""),"Bpk. Kohir (Maintenance Velg)")</f>
        <v>Bpk. Kohir (Maintenance Velg)</v>
      </c>
      <c r="F1761" s="211" t="str">
        <f>IFERROR(__xludf.DUMMYFUNCTION("""COMPUTED_VALUE"""),"8bdbe149")</f>
        <v>8bdbe149</v>
      </c>
      <c r="G1761" s="211" t="str">
        <f>IFERROR(__xludf.DUMMYFUNCTION("""COMPUTED_VALUE"""),"Oksigen 6m3")</f>
        <v>Oksigen 6m3</v>
      </c>
      <c r="H1761" s="211" t="str">
        <f>IFERROR(__xludf.DUMMYFUNCTION("""COMPUTED_VALUE"""),"IN")</f>
        <v>IN</v>
      </c>
      <c r="I1761" s="211" t="str">
        <f>IFERROR(__xludf.DUMMYFUNCTION("""COMPUTED_VALUE"""),"EMPTY")</f>
        <v>EMPTY</v>
      </c>
      <c r="J1761" s="211">
        <f>IFERROR(__xludf.DUMMYFUNCTION("""COMPUTED_VALUE"""),5.0)</f>
        <v>5</v>
      </c>
      <c r="K1761" s="210" t="str">
        <f>IFERROR(__xludf.DUMMYFUNCTION("""COMPUTED_VALUE"""),"11283 11175 11204 11193 11231")</f>
        <v>11283 11175 11204 11193 11231</v>
      </c>
      <c r="L1761" s="211">
        <f>IFERROR(__xludf.DUMMYFUNCTION("""COMPUTED_VALUE"""),0.0)</f>
        <v>0</v>
      </c>
      <c r="M1761" s="211"/>
      <c r="N1761" s="211"/>
      <c r="O1761" s="211"/>
      <c r="Q1761" s="210" t="str">
        <f>IFERROR(__xludf.DUMMYFUNCTION("""COMPUTED_VALUE"""),"1250834")</f>
        <v>1250834</v>
      </c>
      <c r="R1761" s="210" t="str">
        <f>IFERROR(__xludf.DUMMYFUNCTION("""COMPUTED_VALUE"""),"1250834")</f>
        <v>1250834</v>
      </c>
      <c r="S1761" s="211" t="str">
        <f>IFERROR(__xludf.DUMMYFUNCTION("""COMPUTED_VALUE"""),"4ec68cf6")</f>
        <v>4ec68cf6</v>
      </c>
      <c r="T1761" s="211" t="str">
        <f>IFERROR(__xludf.DUMMYFUNCTION("""COMPUTED_VALUE"""),"CV Sido Mukti Karya")</f>
        <v>CV Sido Mukti Karya</v>
      </c>
      <c r="U1761" s="215">
        <f>IFERROR(__xludf.DUMMYFUNCTION("""COMPUTED_VALUE"""),45980.58951388889)</f>
        <v>45980.58951</v>
      </c>
      <c r="V1761" s="211" t="str">
        <f>IFERROR(__xludf.DUMMYFUNCTION("""COMPUTED_VALUE"""),"Pergudangan Center Point no A3, Kemangsen")</f>
        <v>Pergudangan Center Point no A3, Kemangsen</v>
      </c>
      <c r="W1761" s="211" t="str">
        <f>IFERROR(__xludf.DUMMYFUNCTION("""COMPUTED_VALUE"""),"IN")</f>
        <v>IN</v>
      </c>
      <c r="X1761" s="211"/>
      <c r="AL1761" s="211"/>
      <c r="AM1761" s="211"/>
      <c r="AN1761" s="211"/>
      <c r="AO1761" s="211"/>
      <c r="AP1761" s="215"/>
      <c r="AQ1761" s="218"/>
      <c r="AR1761" s="211"/>
    </row>
    <row r="1762">
      <c r="A1762" s="210" t="str">
        <f>IFERROR(__xludf.DUMMYFUNCTION("""COMPUTED_VALUE"""),"0925231274")</f>
        <v>0925231274</v>
      </c>
      <c r="B1762" s="210" t="str">
        <f>IFERROR(__xludf.DUMMYFUNCTION("""COMPUTED_VALUE"""),"0925231274")</f>
        <v>0925231274</v>
      </c>
      <c r="C1762" s="213">
        <f>IFERROR(__xludf.DUMMYFUNCTION("""COMPUTED_VALUE"""),45915.36953703704)</f>
        <v>45915.36954</v>
      </c>
      <c r="D1762" s="211" t="str">
        <f>IFERROR(__xludf.DUMMYFUNCTION("""COMPUTED_VALUE"""),"2d88931c")</f>
        <v>2d88931c</v>
      </c>
      <c r="E1762" s="211" t="str">
        <f>IFERROR(__xludf.DUMMYFUNCTION("""COMPUTED_VALUE"""),"PT Dunia Berkat Marga Mulya")</f>
        <v>PT Dunia Berkat Marga Mulya</v>
      </c>
      <c r="F1762" s="211" t="str">
        <f>IFERROR(__xludf.DUMMYFUNCTION("""COMPUTED_VALUE"""),"8bdbe149")</f>
        <v>8bdbe149</v>
      </c>
      <c r="G1762" s="211" t="str">
        <f>IFERROR(__xludf.DUMMYFUNCTION("""COMPUTED_VALUE"""),"Oksigen 6m3")</f>
        <v>Oksigen 6m3</v>
      </c>
      <c r="H1762" s="211" t="str">
        <f>IFERROR(__xludf.DUMMYFUNCTION("""COMPUTED_VALUE"""),"OUT")</f>
        <v>OUT</v>
      </c>
      <c r="I1762" s="211" t="str">
        <f>IFERROR(__xludf.DUMMYFUNCTION("""COMPUTED_VALUE"""),"NORMAL")</f>
        <v>NORMAL</v>
      </c>
      <c r="J1762" s="211">
        <f>IFERROR(__xludf.DUMMYFUNCTION("""COMPUTED_VALUE"""),5.0)</f>
        <v>5</v>
      </c>
      <c r="K1762" s="210" t="str">
        <f>IFERROR(__xludf.DUMMYFUNCTION("""COMPUTED_VALUE"""),"11248 1113 11250 1184 1101")</f>
        <v>11248 1113 11250 1184 1101</v>
      </c>
      <c r="L1762" s="211">
        <f>IFERROR(__xludf.DUMMYFUNCTION("""COMPUTED_VALUE"""),60000.0)</f>
        <v>60000</v>
      </c>
      <c r="M1762" s="211"/>
      <c r="N1762" s="211"/>
      <c r="O1762" s="211"/>
      <c r="Q1762" s="210" t="str">
        <f>IFERROR(__xludf.DUMMYFUNCTION("""COMPUTED_VALUE"""),"1250835")</f>
        <v>1250835</v>
      </c>
      <c r="R1762" s="210" t="str">
        <f>IFERROR(__xludf.DUMMYFUNCTION("""COMPUTED_VALUE"""),"1250835")</f>
        <v>1250835</v>
      </c>
      <c r="S1762" s="211" t="str">
        <f>IFERROR(__xludf.DUMMYFUNCTION("""COMPUTED_VALUE"""),"eec2e801")</f>
        <v>eec2e801</v>
      </c>
      <c r="T1762" s="211" t="str">
        <f>IFERROR(__xludf.DUMMYFUNCTION("""COMPUTED_VALUE"""),"Mitra Wood Sejahtera")</f>
        <v>Mitra Wood Sejahtera</v>
      </c>
      <c r="U1762" s="215">
        <f>IFERROR(__xludf.DUMMYFUNCTION("""COMPUTED_VALUE"""),45980.590625)</f>
        <v>45980.59063</v>
      </c>
      <c r="V1762" s="211" t="str">
        <f>IFERROR(__xludf.DUMMYFUNCTION("""COMPUTED_VALUE"""),"Jl.cungkling, Jl. Tanggungan, Nanom Kidul, Lebaniwaras, Kec. Wringinanom, Kabupaten Gresik, Jawa Timur 61176")</f>
        <v>Jl.cungkling, Jl. Tanggungan, Nanom Kidul, Lebaniwaras, Kec. Wringinanom, Kabupaten Gresik, Jawa Timur 61176</v>
      </c>
      <c r="W1762" s="211" t="str">
        <f>IFERROR(__xludf.DUMMYFUNCTION("""COMPUTED_VALUE"""),"IN")</f>
        <v>IN</v>
      </c>
      <c r="X1762" s="211"/>
      <c r="AL1762" s="211"/>
      <c r="AM1762" s="211"/>
      <c r="AN1762" s="211"/>
      <c r="AO1762" s="211"/>
      <c r="AP1762" s="215"/>
      <c r="AQ1762" s="218"/>
      <c r="AR1762" s="211"/>
    </row>
    <row r="1763">
      <c r="A1763" s="210" t="str">
        <f>IFERROR(__xludf.DUMMYFUNCTION("""COMPUTED_VALUE"""),"1250593")</f>
        <v>1250593</v>
      </c>
      <c r="B1763" s="210" t="str">
        <f>IFERROR(__xludf.DUMMYFUNCTION("""COMPUTED_VALUE"""),"1250593")</f>
        <v>1250593</v>
      </c>
      <c r="C1763" s="213">
        <f>IFERROR(__xludf.DUMMYFUNCTION("""COMPUTED_VALUE"""),45915.40625)</f>
        <v>45915.40625</v>
      </c>
      <c r="D1763" s="211" t="str">
        <f>IFERROR(__xludf.DUMMYFUNCTION("""COMPUTED_VALUE"""),"2d88931c")</f>
        <v>2d88931c</v>
      </c>
      <c r="E1763" s="211" t="str">
        <f>IFERROR(__xludf.DUMMYFUNCTION("""COMPUTED_VALUE"""),"PT Dunia Berkat Marga Mulya")</f>
        <v>PT Dunia Berkat Marga Mulya</v>
      </c>
      <c r="F1763" s="211" t="str">
        <f>IFERROR(__xludf.DUMMYFUNCTION("""COMPUTED_VALUE"""),"8bdbe149")</f>
        <v>8bdbe149</v>
      </c>
      <c r="G1763" s="211" t="str">
        <f>IFERROR(__xludf.DUMMYFUNCTION("""COMPUTED_VALUE"""),"Oksigen 6m3")</f>
        <v>Oksigen 6m3</v>
      </c>
      <c r="H1763" s="211" t="str">
        <f>IFERROR(__xludf.DUMMYFUNCTION("""COMPUTED_VALUE"""),"IN")</f>
        <v>IN</v>
      </c>
      <c r="I1763" s="211" t="str">
        <f>IFERROR(__xludf.DUMMYFUNCTION("""COMPUTED_VALUE"""),"EMPTY")</f>
        <v>EMPTY</v>
      </c>
      <c r="J1763" s="211">
        <f>IFERROR(__xludf.DUMMYFUNCTION("""COMPUTED_VALUE"""),1.0)</f>
        <v>1</v>
      </c>
      <c r="K1763" s="210" t="str">
        <f>IFERROR(__xludf.DUMMYFUNCTION("""COMPUTED_VALUE"""),"11179")</f>
        <v>11179</v>
      </c>
      <c r="L1763" s="211">
        <f>IFERROR(__xludf.DUMMYFUNCTION("""COMPUTED_VALUE"""),0.0)</f>
        <v>0</v>
      </c>
      <c r="M1763" s="211"/>
      <c r="N1763" s="211"/>
      <c r="O1763" s="211"/>
      <c r="Q1763" s="210" t="str">
        <f>IFERROR(__xludf.DUMMYFUNCTION("""COMPUTED_VALUE"""),"112531760")</f>
        <v>112531760</v>
      </c>
      <c r="R1763" s="210" t="str">
        <f>IFERROR(__xludf.DUMMYFUNCTION("""COMPUTED_VALUE"""),"112531760")</f>
        <v>112531760</v>
      </c>
      <c r="S1763" s="211" t="str">
        <f>IFERROR(__xludf.DUMMYFUNCTION("""COMPUTED_VALUE"""),"ed4307f6")</f>
        <v>ed4307f6</v>
      </c>
      <c r="T1763" s="211" t="str">
        <f>IFERROR(__xludf.DUMMYFUNCTION("""COMPUTED_VALUE"""),"Bpk. Andi (Jetis)")</f>
        <v>Bpk. Andi (Jetis)</v>
      </c>
      <c r="U1763" s="215">
        <f>IFERROR(__xludf.DUMMYFUNCTION("""COMPUTED_VALUE"""),45980.62446759259)</f>
        <v>45980.62447</v>
      </c>
      <c r="V1763" s="211" t="str">
        <f>IFERROR(__xludf.DUMMYFUNCTION("""COMPUTED_VALUE"""),"HFH9+P7 Pelabuhan Kidul, Jetis, Kec. Jetis, Kabupaten Mojokerto, Jawa Timur, Indonesia")</f>
        <v>HFH9+P7 Pelabuhan Kidul, Jetis, Kec. Jetis, Kabupaten Mojokerto, Jawa Timur, Indonesia</v>
      </c>
      <c r="W1763" s="211" t="str">
        <f>IFERROR(__xludf.DUMMYFUNCTION("""COMPUTED_VALUE"""),"OUT")</f>
        <v>OUT</v>
      </c>
      <c r="X1763" s="211"/>
      <c r="AL1763" s="211"/>
      <c r="AM1763" s="211"/>
      <c r="AN1763" s="211"/>
      <c r="AO1763" s="211"/>
      <c r="AP1763" s="215"/>
      <c r="AQ1763" s="218"/>
      <c r="AR1763" s="211"/>
    </row>
    <row r="1764">
      <c r="A1764" s="210" t="str">
        <f>IFERROR(__xludf.DUMMYFUNCTION("""COMPUTED_VALUE"""),"0925491276")</f>
        <v>0925491276</v>
      </c>
      <c r="B1764" s="210" t="str">
        <f>IFERROR(__xludf.DUMMYFUNCTION("""COMPUTED_VALUE"""),"0925491276")</f>
        <v>0925491276</v>
      </c>
      <c r="C1764" s="213">
        <f>IFERROR(__xludf.DUMMYFUNCTION("""COMPUTED_VALUE"""),45915.56512731482)</f>
        <v>45915.56513</v>
      </c>
      <c r="D1764" s="211" t="str">
        <f>IFERROR(__xludf.DUMMYFUNCTION("""COMPUTED_VALUE"""),"e86baf3b")</f>
        <v>e86baf3b</v>
      </c>
      <c r="E1764" s="211" t="str">
        <f>IFERROR(__xludf.DUMMYFUNCTION("""COMPUTED_VALUE"""),"PT GEMILANG CIPTA WAWASAN")</f>
        <v>PT GEMILANG CIPTA WAWASAN</v>
      </c>
      <c r="F1764" s="211" t="str">
        <f>IFERROR(__xludf.DUMMYFUNCTION("""COMPUTED_VALUE"""),"66af7c72")</f>
        <v>66af7c72</v>
      </c>
      <c r="G1764" s="211" t="str">
        <f>IFERROR(__xludf.DUMMYFUNCTION("""COMPUTED_VALUE"""),"Argon 6m3")</f>
        <v>Argon 6m3</v>
      </c>
      <c r="H1764" s="211" t="str">
        <f>IFERROR(__xludf.DUMMYFUNCTION("""COMPUTED_VALUE"""),"OUT")</f>
        <v>OUT</v>
      </c>
      <c r="I1764" s="211" t="str">
        <f>IFERROR(__xludf.DUMMYFUNCTION("""COMPUTED_VALUE"""),"NORMAL")</f>
        <v>NORMAL</v>
      </c>
      <c r="J1764" s="211">
        <f>IFERROR(__xludf.DUMMYFUNCTION("""COMPUTED_VALUE"""),8.0)</f>
        <v>8</v>
      </c>
      <c r="K1764" s="210" t="str">
        <f>IFERROR(__xludf.DUMMYFUNCTION("""COMPUTED_VALUE"""),"12063 12025 12027 12033 12030 12006 12048 12028")</f>
        <v>12063 12025 12027 12033 12030 12006 12048 12028</v>
      </c>
      <c r="L1764" s="211">
        <f>IFERROR(__xludf.DUMMYFUNCTION("""COMPUTED_VALUE"""),185000.0)</f>
        <v>185000</v>
      </c>
      <c r="M1764" s="211"/>
      <c r="N1764" s="211"/>
      <c r="O1764" s="211"/>
      <c r="Q1764" s="210" t="str">
        <f>IFERROR(__xludf.DUMMYFUNCTION("""COMPUTED_VALUE"""),"1250807")</f>
        <v>1250807</v>
      </c>
      <c r="R1764" s="210" t="str">
        <f>IFERROR(__xludf.DUMMYFUNCTION("""COMPUTED_VALUE"""),"1250807")</f>
        <v>1250807</v>
      </c>
      <c r="S1764" s="211" t="str">
        <f>IFERROR(__xludf.DUMMYFUNCTION("""COMPUTED_VALUE"""),"ed4307f6")</f>
        <v>ed4307f6</v>
      </c>
      <c r="T1764" s="211" t="str">
        <f>IFERROR(__xludf.DUMMYFUNCTION("""COMPUTED_VALUE"""),"Bpk. Andi (Jetis)")</f>
        <v>Bpk. Andi (Jetis)</v>
      </c>
      <c r="U1764" s="215">
        <f>IFERROR(__xludf.DUMMYFUNCTION("""COMPUTED_VALUE"""),45980.65280092593)</f>
        <v>45980.6528</v>
      </c>
      <c r="V1764" s="211" t="str">
        <f>IFERROR(__xludf.DUMMYFUNCTION("""COMPUTED_VALUE"""),"HFH9+P7 Pelabuhan Kidul, Jetis, Kec. Jetis, Kabupaten Mojokerto, Jawa Timur, Indonesia")</f>
        <v>HFH9+P7 Pelabuhan Kidul, Jetis, Kec. Jetis, Kabupaten Mojokerto, Jawa Timur, Indonesia</v>
      </c>
      <c r="W1764" s="211" t="str">
        <f>IFERROR(__xludf.DUMMYFUNCTION("""COMPUTED_VALUE"""),"IN")</f>
        <v>IN</v>
      </c>
      <c r="X1764" s="211"/>
      <c r="AL1764" s="211"/>
      <c r="AM1764" s="211"/>
      <c r="AN1764" s="211"/>
      <c r="AO1764" s="211"/>
      <c r="AP1764" s="215"/>
      <c r="AQ1764" s="218"/>
      <c r="AR1764" s="211"/>
    </row>
    <row r="1765">
      <c r="A1765" s="210" t="str">
        <f>IFERROR(__xludf.DUMMYFUNCTION("""COMPUTED_VALUE"""),"1250594")</f>
        <v>1250594</v>
      </c>
      <c r="B1765" s="210" t="str">
        <f>IFERROR(__xludf.DUMMYFUNCTION("""COMPUTED_VALUE"""),"1250594")</f>
        <v>1250594</v>
      </c>
      <c r="C1765" s="213">
        <f>IFERROR(__xludf.DUMMYFUNCTION("""COMPUTED_VALUE"""),45916.343773148146)</f>
        <v>45916.34377</v>
      </c>
      <c r="D1765" s="211" t="str">
        <f>IFERROR(__xludf.DUMMYFUNCTION("""COMPUTED_VALUE"""),"e86baf3b")</f>
        <v>e86baf3b</v>
      </c>
      <c r="E1765" s="211" t="str">
        <f>IFERROR(__xludf.DUMMYFUNCTION("""COMPUTED_VALUE"""),"PT GEMILANG CIPTA WAWASAN")</f>
        <v>PT GEMILANG CIPTA WAWASAN</v>
      </c>
      <c r="F1765" s="211" t="str">
        <f>IFERROR(__xludf.DUMMYFUNCTION("""COMPUTED_VALUE"""),"66af7c72")</f>
        <v>66af7c72</v>
      </c>
      <c r="G1765" s="211" t="str">
        <f>IFERROR(__xludf.DUMMYFUNCTION("""COMPUTED_VALUE"""),"Argon 6m3")</f>
        <v>Argon 6m3</v>
      </c>
      <c r="H1765" s="211" t="str">
        <f>IFERROR(__xludf.DUMMYFUNCTION("""COMPUTED_VALUE"""),"IN")</f>
        <v>IN</v>
      </c>
      <c r="I1765" s="211" t="str">
        <f>IFERROR(__xludf.DUMMYFUNCTION("""COMPUTED_VALUE"""),"EMPTY")</f>
        <v>EMPTY</v>
      </c>
      <c r="J1765" s="211">
        <f>IFERROR(__xludf.DUMMYFUNCTION("""COMPUTED_VALUE"""),23.0)</f>
        <v>23</v>
      </c>
      <c r="K1765" s="210" t="str">
        <f>IFERROR(__xludf.DUMMYFUNCTION("""COMPUTED_VALUE"""),"12062 12047 12046 12015 12039 12055 12054 12023 12045 12070 12044 12064 12065 12021 12075 12037 12029 12026 12042 12001 12038 12024 12069")</f>
        <v>12062 12047 12046 12015 12039 12055 12054 12023 12045 12070 12044 12064 12065 12021 12075 12037 12029 12026 12042 12001 12038 12024 12069</v>
      </c>
      <c r="L1765" s="211">
        <f>IFERROR(__xludf.DUMMYFUNCTION("""COMPUTED_VALUE"""),0.0)</f>
        <v>0</v>
      </c>
      <c r="M1765" s="211"/>
      <c r="N1765" s="211"/>
      <c r="O1765" s="211"/>
      <c r="Q1765" s="210" t="str">
        <f>IFERROR(__xludf.DUMMYFUNCTION("""COMPUTED_VALUE"""),"112531764")</f>
        <v>112531764</v>
      </c>
      <c r="R1765" s="210" t="str">
        <f>IFERROR(__xludf.DUMMYFUNCTION("""COMPUTED_VALUE"""),"112531764")</f>
        <v>112531764</v>
      </c>
      <c r="S1765" s="211" t="str">
        <f>IFERROR(__xludf.DUMMYFUNCTION("""COMPUTED_VALUE"""),"734c6d17")</f>
        <v>734c6d17</v>
      </c>
      <c r="T1765" s="211" t="str">
        <f>IFERROR(__xludf.DUMMYFUNCTION("""COMPUTED_VALUE"""),"Bapak Ainol Yaqin ( Bpk. Ibnu )")</f>
        <v>Bapak Ainol Yaqin ( Bpk. Ibnu )</v>
      </c>
      <c r="U1765" s="215">
        <f>IFERROR(__xludf.DUMMYFUNCTION("""COMPUTED_VALUE"""),45981.35804398148)</f>
        <v>45981.35804</v>
      </c>
      <c r="V1765" s="211" t="str">
        <f>IFERROR(__xludf.DUMMYFUNCTION("""COMPUTED_VALUE"""),"Tanggul Wetan, Tanggul, Kec. Wonoayu, Kabupaten Sidoarjo, Jawa Timur")</f>
        <v>Tanggul Wetan, Tanggul, Kec. Wonoayu, Kabupaten Sidoarjo, Jawa Timur</v>
      </c>
      <c r="W1765" s="211" t="str">
        <f>IFERROR(__xludf.DUMMYFUNCTION("""COMPUTED_VALUE"""),"OUT")</f>
        <v>OUT</v>
      </c>
      <c r="X1765" s="211"/>
      <c r="AL1765" s="211"/>
      <c r="AM1765" s="211"/>
      <c r="AN1765" s="211"/>
      <c r="AO1765" s="211"/>
      <c r="AP1765" s="215"/>
      <c r="AQ1765" s="218"/>
      <c r="AR1765" s="211"/>
    </row>
    <row r="1766">
      <c r="A1766" s="210" t="str">
        <f>IFERROR(__xludf.DUMMYFUNCTION("""COMPUTED_VALUE"""),"0925501278")</f>
        <v>0925501278</v>
      </c>
      <c r="B1766" s="210" t="str">
        <f>IFERROR(__xludf.DUMMYFUNCTION("""COMPUTED_VALUE"""),"0925501278")</f>
        <v>0925501278</v>
      </c>
      <c r="C1766" s="213">
        <f>IFERROR(__xludf.DUMMYFUNCTION("""COMPUTED_VALUE"""),45916.35209490741)</f>
        <v>45916.35209</v>
      </c>
      <c r="D1766" s="211" t="str">
        <f>IFERROR(__xludf.DUMMYFUNCTION("""COMPUTED_VALUE"""),"e86baf3b")</f>
        <v>e86baf3b</v>
      </c>
      <c r="E1766" s="211" t="str">
        <f>IFERROR(__xludf.DUMMYFUNCTION("""COMPUTED_VALUE"""),"PT GEMILANG CIPTA WAWASAN")</f>
        <v>PT GEMILANG CIPTA WAWASAN</v>
      </c>
      <c r="F1766" s="211" t="str">
        <f>IFERROR(__xludf.DUMMYFUNCTION("""COMPUTED_VALUE"""),"8bdbe149")</f>
        <v>8bdbe149</v>
      </c>
      <c r="G1766" s="211" t="str">
        <f>IFERROR(__xludf.DUMMYFUNCTION("""COMPUTED_VALUE"""),"Oksigen 6m3")</f>
        <v>Oksigen 6m3</v>
      </c>
      <c r="H1766" s="211" t="str">
        <f>IFERROR(__xludf.DUMMYFUNCTION("""COMPUTED_VALUE"""),"OUT")</f>
        <v>OUT</v>
      </c>
      <c r="I1766" s="211" t="str">
        <f>IFERROR(__xludf.DUMMYFUNCTION("""COMPUTED_VALUE"""),"NORMAL")</f>
        <v>NORMAL</v>
      </c>
      <c r="J1766" s="211">
        <f>IFERROR(__xludf.DUMMYFUNCTION("""COMPUTED_VALUE"""),10.0)</f>
        <v>10</v>
      </c>
      <c r="K1766" s="210" t="str">
        <f>IFERROR(__xludf.DUMMYFUNCTION("""COMPUTED_VALUE"""),"1146 11116 11187 11121 11196 11183 1188 1129 11102 11124")</f>
        <v>1146 11116 11187 11121 11196 11183 1188 1129 11102 11124</v>
      </c>
      <c r="L1766" s="211">
        <f>IFERROR(__xludf.DUMMYFUNCTION("""COMPUTED_VALUE"""),60000.0)</f>
        <v>60000</v>
      </c>
      <c r="M1766" s="211"/>
      <c r="N1766" s="211"/>
      <c r="O1766" s="211"/>
      <c r="Q1766" s="210" t="str">
        <f>IFERROR(__xludf.DUMMYFUNCTION("""COMPUTED_VALUE"""),"112511766")</f>
        <v>112511766</v>
      </c>
      <c r="R1766" s="210" t="str">
        <f>IFERROR(__xludf.DUMMYFUNCTION("""COMPUTED_VALUE"""),"112511766")</f>
        <v>112511766</v>
      </c>
      <c r="S1766" s="211" t="str">
        <f>IFERROR(__xludf.DUMMYFUNCTION("""COMPUTED_VALUE"""),"8b765561")</f>
        <v>8b765561</v>
      </c>
      <c r="T1766" s="211" t="str">
        <f>IFERROR(__xludf.DUMMYFUNCTION("""COMPUTED_VALUE"""),"Bpk. Idris")</f>
        <v>Bpk. Idris</v>
      </c>
      <c r="U1766" s="215">
        <f>IFERROR(__xludf.DUMMYFUNCTION("""COMPUTED_VALUE"""),45981.36053240741)</f>
        <v>45981.36053</v>
      </c>
      <c r="V1766" s="211" t="str">
        <f>IFERROR(__xludf.DUMMYFUNCTION("""COMPUTED_VALUE"""),"Tanggul Wetan, Tanggul, Kec. Wonoayu, Kabupaten Sidoarjo, Jawa Timur")</f>
        <v>Tanggul Wetan, Tanggul, Kec. Wonoayu, Kabupaten Sidoarjo, Jawa Timur</v>
      </c>
      <c r="W1766" s="211" t="str">
        <f>IFERROR(__xludf.DUMMYFUNCTION("""COMPUTED_VALUE"""),"OUT")</f>
        <v>OUT</v>
      </c>
      <c r="X1766" s="211"/>
      <c r="AL1766" s="211"/>
      <c r="AM1766" s="211"/>
      <c r="AN1766" s="211"/>
      <c r="AO1766" s="211"/>
      <c r="AP1766" s="215"/>
      <c r="AQ1766" s="218"/>
      <c r="AR1766" s="211"/>
    </row>
    <row r="1767">
      <c r="A1767" s="210" t="str">
        <f>IFERROR(__xludf.DUMMYFUNCTION("""COMPUTED_VALUE"""),"0925501278")</f>
        <v>0925501278</v>
      </c>
      <c r="B1767" s="210" t="str">
        <f>IFERROR(__xludf.DUMMYFUNCTION("""COMPUTED_VALUE"""),"0925501278")</f>
        <v>0925501278</v>
      </c>
      <c r="C1767" s="213">
        <f>IFERROR(__xludf.DUMMYFUNCTION("""COMPUTED_VALUE"""),45916.35209490741)</f>
        <v>45916.35209</v>
      </c>
      <c r="D1767" s="211" t="str">
        <f>IFERROR(__xludf.DUMMYFUNCTION("""COMPUTED_VALUE"""),"e86baf3b")</f>
        <v>e86baf3b</v>
      </c>
      <c r="E1767" s="211" t="str">
        <f>IFERROR(__xludf.DUMMYFUNCTION("""COMPUTED_VALUE"""),"PT GEMILANG CIPTA WAWASAN")</f>
        <v>PT GEMILANG CIPTA WAWASAN</v>
      </c>
      <c r="F1767" s="211" t="str">
        <f>IFERROR(__xludf.DUMMYFUNCTION("""COMPUTED_VALUE"""),"3b9d6a30")</f>
        <v>3b9d6a30</v>
      </c>
      <c r="G1767" s="211" t="str">
        <f>IFERROR(__xludf.DUMMYFUNCTION("""COMPUTED_VALUE"""),"Acetyline")</f>
        <v>Acetyline</v>
      </c>
      <c r="H1767" s="211" t="str">
        <f>IFERROR(__xludf.DUMMYFUNCTION("""COMPUTED_VALUE"""),"OUT")</f>
        <v>OUT</v>
      </c>
      <c r="I1767" s="211" t="str">
        <f>IFERROR(__xludf.DUMMYFUNCTION("""COMPUTED_VALUE"""),"NORMAL")</f>
        <v>NORMAL</v>
      </c>
      <c r="J1767" s="211">
        <f>IFERROR(__xludf.DUMMYFUNCTION("""COMPUTED_VALUE"""),1.0)</f>
        <v>1</v>
      </c>
      <c r="K1767" s="210" t="str">
        <f>IFERROR(__xludf.DUMMYFUNCTION("""COMPUTED_VALUE"""),"7001")</f>
        <v>7001</v>
      </c>
      <c r="L1767" s="211">
        <f>IFERROR(__xludf.DUMMYFUNCTION("""COMPUTED_VALUE"""),400000.0)</f>
        <v>400000</v>
      </c>
      <c r="M1767" s="211"/>
      <c r="N1767" s="211"/>
      <c r="O1767" s="211"/>
      <c r="Q1767" s="210" t="str">
        <f>IFERROR(__xludf.DUMMYFUNCTION("""COMPUTED_VALUE"""),"1125221767")</f>
        <v>1125221767</v>
      </c>
      <c r="R1767" s="210" t="str">
        <f>IFERROR(__xludf.DUMMYFUNCTION("""COMPUTED_VALUE"""),"1125221767")</f>
        <v>1125221767</v>
      </c>
      <c r="S1767" s="211" t="str">
        <f>IFERROR(__xludf.DUMMYFUNCTION("""COMPUTED_VALUE"""),"3bcd7fe6")</f>
        <v>3bcd7fe6</v>
      </c>
      <c r="T1767" s="211" t="str">
        <f>IFERROR(__xludf.DUMMYFUNCTION("""COMPUTED_VALUE"""),"Bpk. Alvin (LB Group)")</f>
        <v>Bpk. Alvin (LB Group)</v>
      </c>
      <c r="U1767" s="215">
        <f>IFERROR(__xludf.DUMMYFUNCTION("""COMPUTED_VALUE"""),45981.37018518519)</f>
        <v>45981.37019</v>
      </c>
      <c r="V1767" s="211" t="str">
        <f>IFERROR(__xludf.DUMMYFUNCTION("""COMPUTED_VALUE"""),"MFF9+XHC, Jalan, Tambakrejo, Temuireng, Kec. Dawar Blandong, Kabupaten Mojokerto, Jawa Timur 61354")</f>
        <v>MFF9+XHC, Jalan, Tambakrejo, Temuireng, Kec. Dawar Blandong, Kabupaten Mojokerto, Jawa Timur 61354</v>
      </c>
      <c r="W1767" s="211" t="str">
        <f>IFERROR(__xludf.DUMMYFUNCTION("""COMPUTED_VALUE"""),"OUT")</f>
        <v>OUT</v>
      </c>
      <c r="X1767" s="211"/>
      <c r="AL1767" s="211"/>
      <c r="AM1767" s="211"/>
      <c r="AN1767" s="211"/>
      <c r="AO1767" s="211"/>
      <c r="AP1767" s="215"/>
      <c r="AQ1767" s="218"/>
      <c r="AR1767" s="211"/>
    </row>
    <row r="1768">
      <c r="A1768" s="210" t="str">
        <f>IFERROR(__xludf.DUMMYFUNCTION("""COMPUTED_VALUE"""),"1250596")</f>
        <v>1250596</v>
      </c>
      <c r="B1768" s="210" t="str">
        <f>IFERROR(__xludf.DUMMYFUNCTION("""COMPUTED_VALUE"""),"1250596")</f>
        <v>1250596</v>
      </c>
      <c r="C1768" s="213">
        <f>IFERROR(__xludf.DUMMYFUNCTION("""COMPUTED_VALUE"""),45916.454305555555)</f>
        <v>45916.45431</v>
      </c>
      <c r="D1768" s="211" t="str">
        <f>IFERROR(__xludf.DUMMYFUNCTION("""COMPUTED_VALUE"""),"785e0e07")</f>
        <v>785e0e07</v>
      </c>
      <c r="E1768" s="211" t="str">
        <f>IFERROR(__xludf.DUMMYFUNCTION("""COMPUTED_VALUE"""),"Bpk. Sukirno (Bejo)")</f>
        <v>Bpk. Sukirno (Bejo)</v>
      </c>
      <c r="F1768" s="211" t="str">
        <f>IFERROR(__xludf.DUMMYFUNCTION("""COMPUTED_VALUE"""),"8bdbe149")</f>
        <v>8bdbe149</v>
      </c>
      <c r="G1768" s="211" t="str">
        <f>IFERROR(__xludf.DUMMYFUNCTION("""COMPUTED_VALUE"""),"Oksigen 6m3")</f>
        <v>Oksigen 6m3</v>
      </c>
      <c r="H1768" s="211" t="str">
        <f>IFERROR(__xludf.DUMMYFUNCTION("""COMPUTED_VALUE"""),"IN")</f>
        <v>IN</v>
      </c>
      <c r="I1768" s="211" t="str">
        <f>IFERROR(__xludf.DUMMYFUNCTION("""COMPUTED_VALUE"""),"EMPTY")</f>
        <v>EMPTY</v>
      </c>
      <c r="J1768" s="211">
        <f>IFERROR(__xludf.DUMMYFUNCTION("""COMPUTED_VALUE"""),11.0)</f>
        <v>11</v>
      </c>
      <c r="K1768" s="210" t="str">
        <f>IFERROR(__xludf.DUMMYFUNCTION("""COMPUTED_VALUE"""),"11113 11169 1121 11235 1151 1122 11106 1155 11260 11249 1107")</f>
        <v>11113 11169 1121 11235 1151 1122 11106 1155 11260 11249 1107</v>
      </c>
      <c r="L1768" s="211">
        <f>IFERROR(__xludf.DUMMYFUNCTION("""COMPUTED_VALUE"""),0.0)</f>
        <v>0</v>
      </c>
      <c r="M1768" s="211"/>
      <c r="N1768" s="211"/>
      <c r="O1768" s="211"/>
      <c r="Q1768" s="210" t="str">
        <f>IFERROR(__xludf.DUMMYFUNCTION("""COMPUTED_VALUE"""),"1252806")</f>
        <v>1252806</v>
      </c>
      <c r="R1768" s="210" t="str">
        <f>IFERROR(__xludf.DUMMYFUNCTION("""COMPUTED_VALUE"""),"1252806")</f>
        <v>1252806</v>
      </c>
      <c r="S1768" s="211" t="str">
        <f>IFERROR(__xludf.DUMMYFUNCTION("""COMPUTED_VALUE"""),"e86baf3b")</f>
        <v>e86baf3b</v>
      </c>
      <c r="T1768" s="211" t="str">
        <f>IFERROR(__xludf.DUMMYFUNCTION("""COMPUTED_VALUE"""),"PT GEMILANG CIPTA WAWASAN")</f>
        <v>PT GEMILANG CIPTA WAWASAN</v>
      </c>
      <c r="U1768" s="215">
        <f>IFERROR(__xludf.DUMMYFUNCTION("""COMPUTED_VALUE"""),45980.66731481482)</f>
        <v>45980.66731</v>
      </c>
      <c r="V1768" s="211" t="str">
        <f>IFERROR(__xludf.DUMMYFUNCTION("""COMPUTED_VALUE"""),"JL TEBET RAYA, 2A, TEBET BARAT, TEBET, KOTA ADM, JAKARTA SELATAN, DKI JAKARTA")</f>
        <v>JL TEBET RAYA, 2A, TEBET BARAT, TEBET, KOTA ADM, JAKARTA SELATAN, DKI JAKARTA</v>
      </c>
      <c r="W1768" s="211" t="str">
        <f>IFERROR(__xludf.DUMMYFUNCTION("""COMPUTED_VALUE"""),"IN")</f>
        <v>IN</v>
      </c>
      <c r="X1768" s="211"/>
      <c r="AL1768" s="211"/>
      <c r="AM1768" s="211"/>
      <c r="AN1768" s="211"/>
      <c r="AO1768" s="211"/>
      <c r="AP1768" s="215"/>
      <c r="AQ1768" s="218"/>
      <c r="AR1768" s="211"/>
    </row>
    <row r="1769">
      <c r="A1769" s="210" t="str">
        <f>IFERROR(__xludf.DUMMYFUNCTION("""COMPUTED_VALUE"""),"1250596")</f>
        <v>1250596</v>
      </c>
      <c r="B1769" s="210" t="str">
        <f>IFERROR(__xludf.DUMMYFUNCTION("""COMPUTED_VALUE"""),"1250596")</f>
        <v>1250596</v>
      </c>
      <c r="C1769" s="213">
        <f>IFERROR(__xludf.DUMMYFUNCTION("""COMPUTED_VALUE"""),45916.454305555555)</f>
        <v>45916.45431</v>
      </c>
      <c r="D1769" s="211" t="str">
        <f>IFERROR(__xludf.DUMMYFUNCTION("""COMPUTED_VALUE"""),"785e0e07")</f>
        <v>785e0e07</v>
      </c>
      <c r="E1769" s="211" t="str">
        <f>IFERROR(__xludf.DUMMYFUNCTION("""COMPUTED_VALUE"""),"Bpk. Sukirno (Bejo)")</f>
        <v>Bpk. Sukirno (Bejo)</v>
      </c>
      <c r="F1769" s="211" t="str">
        <f>IFERROR(__xludf.DUMMYFUNCTION("""COMPUTED_VALUE"""),"f6aab7a9")</f>
        <v>f6aab7a9</v>
      </c>
      <c r="G1769" s="211" t="str">
        <f>IFERROR(__xludf.DUMMYFUNCTION("""COMPUTED_VALUE"""),"Oksigen 6m3 MR")</f>
        <v>Oksigen 6m3 MR</v>
      </c>
      <c r="H1769" s="211" t="str">
        <f>IFERROR(__xludf.DUMMYFUNCTION("""COMPUTED_VALUE"""),"IN")</f>
        <v>IN</v>
      </c>
      <c r="I1769" s="211" t="str">
        <f>IFERROR(__xludf.DUMMYFUNCTION("""COMPUTED_VALUE"""),"EMPTY")</f>
        <v>EMPTY</v>
      </c>
      <c r="J1769" s="211">
        <f>IFERROR(__xludf.DUMMYFUNCTION("""COMPUTED_VALUE"""),1.0)</f>
        <v>1</v>
      </c>
      <c r="K1769" s="210" t="str">
        <f>IFERROR(__xludf.DUMMYFUNCTION("""COMPUTED_VALUE"""),"2151")</f>
        <v>2151</v>
      </c>
      <c r="L1769" s="211">
        <f>IFERROR(__xludf.DUMMYFUNCTION("""COMPUTED_VALUE"""),0.0)</f>
        <v>0</v>
      </c>
      <c r="M1769" s="211"/>
      <c r="N1769" s="211"/>
      <c r="O1769" s="211"/>
      <c r="Q1769" s="210" t="str">
        <f>IFERROR(__xludf.DUMMYFUNCTION("""COMPUTED_VALUE"""),"112541768")</f>
        <v>112541768</v>
      </c>
      <c r="R1769" s="210" t="str">
        <f>IFERROR(__xludf.DUMMYFUNCTION("""COMPUTED_VALUE"""),"112541768")</f>
        <v>112541768</v>
      </c>
      <c r="S1769" s="211" t="str">
        <f>IFERROR(__xludf.DUMMYFUNCTION("""COMPUTED_VALUE"""),"ba97d58d")</f>
        <v>ba97d58d</v>
      </c>
      <c r="T1769" s="211" t="str">
        <f>IFERROR(__xludf.DUMMYFUNCTION("""COMPUTED_VALUE"""),"Bengkel Citra Mojosari")</f>
        <v>Bengkel Citra Mojosari</v>
      </c>
      <c r="U1769" s="215">
        <f>IFERROR(__xludf.DUMMYFUNCTION("""COMPUTED_VALUE"""),45981.41701388889)</f>
        <v>45981.41701</v>
      </c>
      <c r="V1769" s="211" t="str">
        <f>IFERROR(__xludf.DUMMYFUNCTION("""COMPUTED_VALUE"""),"Jl. Raden Wijaya, Kemloko, Jotangan, Kec. Mojosari, Kabupaten Mojokerto, Jawa Timur 61382")</f>
        <v>Jl. Raden Wijaya, Kemloko, Jotangan, Kec. Mojosari, Kabupaten Mojokerto, Jawa Timur 61382</v>
      </c>
      <c r="W1769" s="211" t="str">
        <f>IFERROR(__xludf.DUMMYFUNCTION("""COMPUTED_VALUE"""),"OUT")</f>
        <v>OUT</v>
      </c>
      <c r="X1769" s="211"/>
      <c r="AL1769" s="211"/>
      <c r="AM1769" s="211"/>
      <c r="AN1769" s="211"/>
      <c r="AO1769" s="211"/>
      <c r="AP1769" s="215"/>
      <c r="AQ1769" s="218"/>
      <c r="AR1769" s="211"/>
    </row>
    <row r="1770">
      <c r="A1770" s="210" t="str">
        <f>IFERROR(__xludf.DUMMYFUNCTION("""COMPUTED_VALUE"""),"1250595")</f>
        <v>1250595</v>
      </c>
      <c r="B1770" s="210" t="str">
        <f>IFERROR(__xludf.DUMMYFUNCTION("""COMPUTED_VALUE"""),"1250595")</f>
        <v>1250595</v>
      </c>
      <c r="C1770" s="213">
        <f>IFERROR(__xludf.DUMMYFUNCTION("""COMPUTED_VALUE"""),45916.45773148148)</f>
        <v>45916.45773</v>
      </c>
      <c r="D1770" s="211" t="str">
        <f>IFERROR(__xludf.DUMMYFUNCTION("""COMPUTED_VALUE"""),"e86baf3b")</f>
        <v>e86baf3b</v>
      </c>
      <c r="E1770" s="211" t="str">
        <f>IFERROR(__xludf.DUMMYFUNCTION("""COMPUTED_VALUE"""),"PT GEMILANG CIPTA WAWASAN")</f>
        <v>PT GEMILANG CIPTA WAWASAN</v>
      </c>
      <c r="F1770" s="211" t="str">
        <f>IFERROR(__xludf.DUMMYFUNCTION("""COMPUTED_VALUE"""),"8bdbe149")</f>
        <v>8bdbe149</v>
      </c>
      <c r="G1770" s="211" t="str">
        <f>IFERROR(__xludf.DUMMYFUNCTION("""COMPUTED_VALUE"""),"Oksigen 6m3")</f>
        <v>Oksigen 6m3</v>
      </c>
      <c r="H1770" s="211" t="str">
        <f>IFERROR(__xludf.DUMMYFUNCTION("""COMPUTED_VALUE"""),"IN")</f>
        <v>IN</v>
      </c>
      <c r="I1770" s="211" t="str">
        <f>IFERROR(__xludf.DUMMYFUNCTION("""COMPUTED_VALUE"""),"EMPTY")</f>
        <v>EMPTY</v>
      </c>
      <c r="J1770" s="211">
        <f>IFERROR(__xludf.DUMMYFUNCTION("""COMPUTED_VALUE"""),8.0)</f>
        <v>8</v>
      </c>
      <c r="K1770" s="210" t="str">
        <f>IFERROR(__xludf.DUMMYFUNCTION("""COMPUTED_VALUE"""),"1117 11109 11244 11267 11100 11114 1135 1197")</f>
        <v>1117 11109 11244 11267 11100 11114 1135 1197</v>
      </c>
      <c r="L1770" s="211">
        <f>IFERROR(__xludf.DUMMYFUNCTION("""COMPUTED_VALUE"""),0.0)</f>
        <v>0</v>
      </c>
      <c r="M1770" s="211"/>
      <c r="N1770" s="211"/>
      <c r="O1770" s="211"/>
      <c r="Q1770" s="210" t="str">
        <f>IFERROR(__xludf.DUMMYFUNCTION("""COMPUTED_VALUE"""),"1250838")</f>
        <v>1250838</v>
      </c>
      <c r="R1770" s="210" t="str">
        <f>IFERROR(__xludf.DUMMYFUNCTION("""COMPUTED_VALUE"""),"1250838")</f>
        <v>1250838</v>
      </c>
      <c r="S1770" s="211" t="str">
        <f>IFERROR(__xludf.DUMMYFUNCTION("""COMPUTED_VALUE"""),"a0f0ad2d")</f>
        <v>a0f0ad2d</v>
      </c>
      <c r="T1770" s="211" t="str">
        <f>IFERROR(__xludf.DUMMYFUNCTION("""COMPUTED_VALUE"""),"CV. Yulie Jaya")</f>
        <v>CV. Yulie Jaya</v>
      </c>
      <c r="U1770" s="215">
        <f>IFERROR(__xludf.DUMMYFUNCTION("""COMPUTED_VALUE"""),45981.44412037037)</f>
        <v>45981.44412</v>
      </c>
      <c r="V1770" s="211" t="str">
        <f>IFERROR(__xludf.DUMMYFUNCTION("""COMPUTED_VALUE"""),"JJH4+6RV, Badas, Barengkrajan, Kec. Krian, Kabupaten Sidoarjo, Jawa Timur 61262")</f>
        <v>JJH4+6RV, Badas, Barengkrajan, Kec. Krian, Kabupaten Sidoarjo, Jawa Timur 61262</v>
      </c>
      <c r="W1770" s="211" t="str">
        <f>IFERROR(__xludf.DUMMYFUNCTION("""COMPUTED_VALUE"""),"IN")</f>
        <v>IN</v>
      </c>
      <c r="X1770" s="211"/>
      <c r="AL1770" s="211"/>
      <c r="AM1770" s="211"/>
      <c r="AN1770" s="211"/>
      <c r="AO1770" s="211"/>
      <c r="AP1770" s="215"/>
      <c r="AQ1770" s="218"/>
      <c r="AR1770" s="211"/>
    </row>
    <row r="1771">
      <c r="A1771" s="210" t="str">
        <f>IFERROR(__xludf.DUMMYFUNCTION("""COMPUTED_VALUE"""),"0925111280")</f>
        <v>0925111280</v>
      </c>
      <c r="B1771" s="210" t="str">
        <f>IFERROR(__xludf.DUMMYFUNCTION("""COMPUTED_VALUE"""),"0925111280")</f>
        <v>0925111280</v>
      </c>
      <c r="C1771" s="213">
        <f>IFERROR(__xludf.DUMMYFUNCTION("""COMPUTED_VALUE"""),45917.361226851855)</f>
        <v>45917.36123</v>
      </c>
      <c r="D1771" s="211" t="str">
        <f>IFERROR(__xludf.DUMMYFUNCTION("""COMPUTED_VALUE"""),"3bcd7fe6")</f>
        <v>3bcd7fe6</v>
      </c>
      <c r="E1771" s="211" t="str">
        <f>IFERROR(__xludf.DUMMYFUNCTION("""COMPUTED_VALUE"""),"Bpk. Alvin (LB Group)")</f>
        <v>Bpk. Alvin (LB Group)</v>
      </c>
      <c r="F1771" s="211" t="str">
        <f>IFERROR(__xludf.DUMMYFUNCTION("""COMPUTED_VALUE"""),"8bdbe149")</f>
        <v>8bdbe149</v>
      </c>
      <c r="G1771" s="211" t="str">
        <f>IFERROR(__xludf.DUMMYFUNCTION("""COMPUTED_VALUE"""),"Oksigen 6m3")</f>
        <v>Oksigen 6m3</v>
      </c>
      <c r="H1771" s="211" t="str">
        <f>IFERROR(__xludf.DUMMYFUNCTION("""COMPUTED_VALUE"""),"OUT")</f>
        <v>OUT</v>
      </c>
      <c r="I1771" s="211" t="str">
        <f>IFERROR(__xludf.DUMMYFUNCTION("""COMPUTED_VALUE"""),"NORMAL")</f>
        <v>NORMAL</v>
      </c>
      <c r="J1771" s="211">
        <f>IFERROR(__xludf.DUMMYFUNCTION("""COMPUTED_VALUE"""),4.0)</f>
        <v>4</v>
      </c>
      <c r="K1771" s="210" t="str">
        <f>IFERROR(__xludf.DUMMYFUNCTION("""COMPUTED_VALUE"""),"1109 11185 1116 1193")</f>
        <v>1109 11185 1116 1193</v>
      </c>
      <c r="L1771" s="211">
        <f>IFERROR(__xludf.DUMMYFUNCTION("""COMPUTED_VALUE"""),50000.0)</f>
        <v>50000</v>
      </c>
      <c r="M1771" s="211"/>
      <c r="N1771" s="211"/>
      <c r="O1771" s="211"/>
      <c r="Q1771" s="210" t="str">
        <f>IFERROR(__xludf.DUMMYFUNCTION("""COMPUTED_VALUE"""),"1250837")</f>
        <v>1250837</v>
      </c>
      <c r="R1771" s="210" t="str">
        <f>IFERROR(__xludf.DUMMYFUNCTION("""COMPUTED_VALUE"""),"1250837")</f>
        <v>1250837</v>
      </c>
      <c r="S1771" s="211" t="str">
        <f>IFERROR(__xludf.DUMMYFUNCTION("""COMPUTED_VALUE"""),"63fc688a")</f>
        <v>63fc688a</v>
      </c>
      <c r="T1771" s="211" t="str">
        <f>IFERROR(__xludf.DUMMYFUNCTION("""COMPUTED_VALUE"""),"CV Malik Nusantara")</f>
        <v>CV Malik Nusantara</v>
      </c>
      <c r="U1771" s="215">
        <f>IFERROR(__xludf.DUMMYFUNCTION("""COMPUTED_VALUE"""),45981.44550925926)</f>
        <v>45981.44551</v>
      </c>
      <c r="V1771" s="211" t="str">
        <f>IFERROR(__xludf.DUMMYFUNCTION("""COMPUTED_VALUE"""),"Jl. Raya Balongbendo No.12, Suwaluh Utara, Suwaluh, Kec. BalongBendo, Kabupaten Sidoarjo, Jawa Timur 61263")</f>
        <v>Jl. Raya Balongbendo No.12, Suwaluh Utara, Suwaluh, Kec. BalongBendo, Kabupaten Sidoarjo, Jawa Timur 61263</v>
      </c>
      <c r="W1771" s="211" t="str">
        <f>IFERROR(__xludf.DUMMYFUNCTION("""COMPUTED_VALUE"""),"IN")</f>
        <v>IN</v>
      </c>
      <c r="X1771" s="211"/>
      <c r="AL1771" s="211"/>
      <c r="AM1771" s="211"/>
      <c r="AN1771" s="211"/>
      <c r="AO1771" s="211"/>
      <c r="AP1771" s="215"/>
      <c r="AQ1771" s="218"/>
      <c r="AR1771" s="211"/>
    </row>
    <row r="1772">
      <c r="A1772" s="210" t="str">
        <f>IFERROR(__xludf.DUMMYFUNCTION("""COMPUTED_VALUE"""),"0925201283")</f>
        <v>0925201283</v>
      </c>
      <c r="B1772" s="210" t="str">
        <f>IFERROR(__xludf.DUMMYFUNCTION("""COMPUTED_VALUE"""),"0925201283")</f>
        <v>0925201283</v>
      </c>
      <c r="C1772" s="213">
        <f>IFERROR(__xludf.DUMMYFUNCTION("""COMPUTED_VALUE"""),45916.68015046296)</f>
        <v>45916.68015</v>
      </c>
      <c r="D1772" s="211" t="str">
        <f>IFERROR(__xludf.DUMMYFUNCTION("""COMPUTED_VALUE"""),"ec231cc9")</f>
        <v>ec231cc9</v>
      </c>
      <c r="E1772" s="211" t="str">
        <f>IFERROR(__xludf.DUMMYFUNCTION("""COMPUTED_VALUE"""),"Bpk. Kohir (Maintenance Velg)")</f>
        <v>Bpk. Kohir (Maintenance Velg)</v>
      </c>
      <c r="F1772" s="211" t="str">
        <f>IFERROR(__xludf.DUMMYFUNCTION("""COMPUTED_VALUE"""),"ef306e54")</f>
        <v>ef306e54</v>
      </c>
      <c r="G1772" s="211" t="str">
        <f>IFERROR(__xludf.DUMMYFUNCTION("""COMPUTED_VALUE"""),"Karbondioksida")</f>
        <v>Karbondioksida</v>
      </c>
      <c r="H1772" s="211" t="str">
        <f>IFERROR(__xludf.DUMMYFUNCTION("""COMPUTED_VALUE"""),"OUT")</f>
        <v>OUT</v>
      </c>
      <c r="I1772" s="211" t="str">
        <f>IFERROR(__xludf.DUMMYFUNCTION("""COMPUTED_VALUE"""),"NORMAL")</f>
        <v>NORMAL</v>
      </c>
      <c r="J1772" s="211">
        <f>IFERROR(__xludf.DUMMYFUNCTION("""COMPUTED_VALUE"""),2.0)</f>
        <v>2</v>
      </c>
      <c r="K1772" s="210" t="str">
        <f>IFERROR(__xludf.DUMMYFUNCTION("""COMPUTED_VALUE"""),"13006 13027")</f>
        <v>13006 13027</v>
      </c>
      <c r="L1772" s="211">
        <f>IFERROR(__xludf.DUMMYFUNCTION("""COMPUTED_VALUE"""),165000.0)</f>
        <v>165000</v>
      </c>
      <c r="M1772" s="211"/>
      <c r="N1772" s="211"/>
      <c r="O1772" s="211"/>
      <c r="Q1772" s="210" t="str">
        <f>IFERROR(__xludf.DUMMYFUNCTION("""COMPUTED_VALUE"""),"1125421770")</f>
        <v>1125421770</v>
      </c>
      <c r="R1772" s="210" t="str">
        <f>IFERROR(__xludf.DUMMYFUNCTION("""COMPUTED_VALUE"""),"1125421770")</f>
        <v>1125421770</v>
      </c>
      <c r="S1772" s="211" t="str">
        <f>IFERROR(__xludf.DUMMYFUNCTION("""COMPUTED_VALUE"""),"b2b5f2c5")</f>
        <v>b2b5f2c5</v>
      </c>
      <c r="T1772" s="211" t="str">
        <f>IFERROR(__xludf.DUMMYFUNCTION("""COMPUTED_VALUE"""),"Bengkel Las Bpk. Ari")</f>
        <v>Bengkel Las Bpk. Ari</v>
      </c>
      <c r="U1772" s="215">
        <f>IFERROR(__xludf.DUMMYFUNCTION("""COMPUTED_VALUE"""),45981.52609953703)</f>
        <v>45981.5261</v>
      </c>
      <c r="V1772" s="211" t="str">
        <f>IFERROR(__xludf.DUMMYFUNCTION("""COMPUTED_VALUE"""),"Sumber Kembar, Wonodadi, Kec. Kutorejo, Kabupaten Mojokerto, Jawa Timur")</f>
        <v>Sumber Kembar, Wonodadi, Kec. Kutorejo, Kabupaten Mojokerto, Jawa Timur</v>
      </c>
      <c r="W1772" s="211" t="str">
        <f>IFERROR(__xludf.DUMMYFUNCTION("""COMPUTED_VALUE"""),"OUT")</f>
        <v>OUT</v>
      </c>
      <c r="X1772" s="211"/>
      <c r="AL1772" s="211"/>
      <c r="AM1772" s="211"/>
      <c r="AN1772" s="211"/>
      <c r="AO1772" s="211"/>
      <c r="AP1772" s="215"/>
      <c r="AQ1772" s="218"/>
      <c r="AR1772" s="211"/>
    </row>
    <row r="1773">
      <c r="A1773" s="210" t="str">
        <f>IFERROR(__xludf.DUMMYFUNCTION("""COMPUTED_VALUE"""),"1250597")</f>
        <v>1250597</v>
      </c>
      <c r="B1773" s="210" t="str">
        <f>IFERROR(__xludf.DUMMYFUNCTION("""COMPUTED_VALUE"""),"1250597")</f>
        <v>1250597</v>
      </c>
      <c r="C1773" s="213">
        <f>IFERROR(__xludf.DUMMYFUNCTION("""COMPUTED_VALUE"""),45917.365381944444)</f>
        <v>45917.36538</v>
      </c>
      <c r="D1773" s="211" t="str">
        <f>IFERROR(__xludf.DUMMYFUNCTION("""COMPUTED_VALUE"""),"ec231cc9")</f>
        <v>ec231cc9</v>
      </c>
      <c r="E1773" s="211" t="str">
        <f>IFERROR(__xludf.DUMMYFUNCTION("""COMPUTED_VALUE"""),"Bpk. Kohir (Maintenance Velg)")</f>
        <v>Bpk. Kohir (Maintenance Velg)</v>
      </c>
      <c r="F1773" s="211" t="str">
        <f>IFERROR(__xludf.DUMMYFUNCTION("""COMPUTED_VALUE"""),"ef306e54")</f>
        <v>ef306e54</v>
      </c>
      <c r="G1773" s="211" t="str">
        <f>IFERROR(__xludf.DUMMYFUNCTION("""COMPUTED_VALUE"""),"Karbondioksida")</f>
        <v>Karbondioksida</v>
      </c>
      <c r="H1773" s="211" t="str">
        <f>IFERROR(__xludf.DUMMYFUNCTION("""COMPUTED_VALUE"""),"IN")</f>
        <v>IN</v>
      </c>
      <c r="I1773" s="211" t="str">
        <f>IFERROR(__xludf.DUMMYFUNCTION("""COMPUTED_VALUE"""),"EMPTY")</f>
        <v>EMPTY</v>
      </c>
      <c r="J1773" s="211">
        <f>IFERROR(__xludf.DUMMYFUNCTION("""COMPUTED_VALUE"""),1.0)</f>
        <v>1</v>
      </c>
      <c r="K1773" s="210" t="str">
        <f>IFERROR(__xludf.DUMMYFUNCTION("""COMPUTED_VALUE"""),"13031")</f>
        <v>13031</v>
      </c>
      <c r="L1773" s="211">
        <f>IFERROR(__xludf.DUMMYFUNCTION("""COMPUTED_VALUE"""),0.0)</f>
        <v>0</v>
      </c>
      <c r="M1773" s="211"/>
      <c r="N1773" s="211"/>
      <c r="O1773" s="211"/>
      <c r="Q1773" s="210" t="str">
        <f>IFERROR(__xludf.DUMMYFUNCTION("""COMPUTED_VALUE"""),"1125281773")</f>
        <v>1125281773</v>
      </c>
      <c r="R1773" s="210" t="str">
        <f>IFERROR(__xludf.DUMMYFUNCTION("""COMPUTED_VALUE"""),"1125281773")</f>
        <v>1125281773</v>
      </c>
      <c r="S1773" s="211" t="str">
        <f>IFERROR(__xludf.DUMMYFUNCTION("""COMPUTED_VALUE"""),"ec231cc9")</f>
        <v>ec231cc9</v>
      </c>
      <c r="T1773" s="211" t="str">
        <f>IFERROR(__xludf.DUMMYFUNCTION("""COMPUTED_VALUE"""),"Bpk. Kohir (Maintenance Velg)")</f>
        <v>Bpk. Kohir (Maintenance Velg)</v>
      </c>
      <c r="U1773" s="215">
        <f>IFERROR(__xludf.DUMMYFUNCTION("""COMPUTED_VALUE"""),45981.528715277775)</f>
        <v>45981.52872</v>
      </c>
      <c r="V1773" s="211" t="str">
        <f>IFERROR(__xludf.DUMMYFUNCTION("""COMPUTED_VALUE"""),"Jl. Lkr. Bypass Krian Timur, Sidogolong, Watugolong, Kec. Krian, Kabupaten Sidoarjo, Jawa Timur 61262")</f>
        <v>Jl. Lkr. Bypass Krian Timur, Sidogolong, Watugolong, Kec. Krian, Kabupaten Sidoarjo, Jawa Timur 61262</v>
      </c>
      <c r="W1773" s="211" t="str">
        <f>IFERROR(__xludf.DUMMYFUNCTION("""COMPUTED_VALUE"""),"OUT")</f>
        <v>OUT</v>
      </c>
      <c r="X1773" s="211"/>
      <c r="AL1773" s="211"/>
      <c r="AM1773" s="211"/>
      <c r="AN1773" s="211"/>
      <c r="AO1773" s="211"/>
      <c r="AP1773" s="215"/>
      <c r="AQ1773" s="218"/>
      <c r="AR1773" s="211"/>
    </row>
    <row r="1774">
      <c r="A1774" s="210" t="str">
        <f>IFERROR(__xludf.DUMMYFUNCTION("""COMPUTED_VALUE"""),"1250598")</f>
        <v>1250598</v>
      </c>
      <c r="B1774" s="210" t="str">
        <f>IFERROR(__xludf.DUMMYFUNCTION("""COMPUTED_VALUE"""),"1250598")</f>
        <v>1250598</v>
      </c>
      <c r="C1774" s="213">
        <f>IFERROR(__xludf.DUMMYFUNCTION("""COMPUTED_VALUE"""),45917.518055555556)</f>
        <v>45917.51806</v>
      </c>
      <c r="D1774" s="211" t="str">
        <f>IFERROR(__xludf.DUMMYFUNCTION("""COMPUTED_VALUE"""),"3bcd7fe6")</f>
        <v>3bcd7fe6</v>
      </c>
      <c r="E1774" s="211" t="str">
        <f>IFERROR(__xludf.DUMMYFUNCTION("""COMPUTED_VALUE"""),"Bpk. Alvin (LB Group)")</f>
        <v>Bpk. Alvin (LB Group)</v>
      </c>
      <c r="F1774" s="211" t="str">
        <f>IFERROR(__xludf.DUMMYFUNCTION("""COMPUTED_VALUE"""),"8bdbe149")</f>
        <v>8bdbe149</v>
      </c>
      <c r="G1774" s="211" t="str">
        <f>IFERROR(__xludf.DUMMYFUNCTION("""COMPUTED_VALUE"""),"Oksigen 6m3")</f>
        <v>Oksigen 6m3</v>
      </c>
      <c r="H1774" s="211" t="str">
        <f>IFERROR(__xludf.DUMMYFUNCTION("""COMPUTED_VALUE"""),"IN")</f>
        <v>IN</v>
      </c>
      <c r="I1774" s="211" t="str">
        <f>IFERROR(__xludf.DUMMYFUNCTION("""COMPUTED_VALUE"""),"EMPTY")</f>
        <v>EMPTY</v>
      </c>
      <c r="J1774" s="211">
        <f>IFERROR(__xludf.DUMMYFUNCTION("""COMPUTED_VALUE"""),4.0)</f>
        <v>4</v>
      </c>
      <c r="K1774" s="210" t="str">
        <f>IFERROR(__xludf.DUMMYFUNCTION("""COMPUTED_VALUE"""),"1152 1192 11256 11120")</f>
        <v>1152 1192 11256 11120</v>
      </c>
      <c r="L1774" s="211">
        <f>IFERROR(__xludf.DUMMYFUNCTION("""COMPUTED_VALUE"""),0.0)</f>
        <v>0</v>
      </c>
      <c r="M1774" s="211"/>
      <c r="N1774" s="211"/>
      <c r="O1774" s="211"/>
      <c r="Q1774" s="210" t="str">
        <f>IFERROR(__xludf.DUMMYFUNCTION("""COMPUTED_VALUE"""),"1250809")</f>
        <v>1250809</v>
      </c>
      <c r="R1774" s="210" t="str">
        <f>IFERROR(__xludf.DUMMYFUNCTION("""COMPUTED_VALUE"""),"1250809")</f>
        <v>1250809</v>
      </c>
      <c r="S1774" s="211" t="str">
        <f>IFERROR(__xludf.DUMMYFUNCTION("""COMPUTED_VALUE"""),"e86baf3b")</f>
        <v>e86baf3b</v>
      </c>
      <c r="T1774" s="211" t="str">
        <f>IFERROR(__xludf.DUMMYFUNCTION("""COMPUTED_VALUE"""),"PT GEMILANG CIPTA WAWASAN")</f>
        <v>PT GEMILANG CIPTA WAWASAN</v>
      </c>
      <c r="U1774" s="215">
        <f>IFERROR(__xludf.DUMMYFUNCTION("""COMPUTED_VALUE"""),45981.55824074074)</f>
        <v>45981.55824</v>
      </c>
      <c r="V1774" s="211" t="str">
        <f>IFERROR(__xludf.DUMMYFUNCTION("""COMPUTED_VALUE"""),"JL TEBET RAYA, 2A, TEBET BARAT, TEBET, KOTA ADM, JAKARTA SELATAN, DKI JAKARTA")</f>
        <v>JL TEBET RAYA, 2A, TEBET BARAT, TEBET, KOTA ADM, JAKARTA SELATAN, DKI JAKARTA</v>
      </c>
      <c r="W1774" s="211" t="str">
        <f>IFERROR(__xludf.DUMMYFUNCTION("""COMPUTED_VALUE"""),"IN")</f>
        <v>IN</v>
      </c>
      <c r="X1774" s="211"/>
      <c r="AL1774" s="211"/>
      <c r="AM1774" s="211"/>
      <c r="AN1774" s="211"/>
      <c r="AO1774" s="211"/>
      <c r="AP1774" s="215"/>
      <c r="AQ1774" s="218"/>
      <c r="AR1774" s="211"/>
    </row>
    <row r="1775">
      <c r="A1775" s="210" t="str">
        <f>IFERROR(__xludf.DUMMYFUNCTION("""COMPUTED_VALUE"""),"1250598")</f>
        <v>1250598</v>
      </c>
      <c r="B1775" s="210" t="str">
        <f>IFERROR(__xludf.DUMMYFUNCTION("""COMPUTED_VALUE"""),"1250598")</f>
        <v>1250598</v>
      </c>
      <c r="C1775" s="213">
        <f>IFERROR(__xludf.DUMMYFUNCTION("""COMPUTED_VALUE"""),45917.518055555556)</f>
        <v>45917.51806</v>
      </c>
      <c r="D1775" s="211" t="str">
        <f>IFERROR(__xludf.DUMMYFUNCTION("""COMPUTED_VALUE"""),"3bcd7fe6")</f>
        <v>3bcd7fe6</v>
      </c>
      <c r="E1775" s="211" t="str">
        <f>IFERROR(__xludf.DUMMYFUNCTION("""COMPUTED_VALUE"""),"Bpk. Alvin (LB Group)")</f>
        <v>Bpk. Alvin (LB Group)</v>
      </c>
      <c r="F1775" s="211" t="str">
        <f>IFERROR(__xludf.DUMMYFUNCTION("""COMPUTED_VALUE"""),"f6aab7a9")</f>
        <v>f6aab7a9</v>
      </c>
      <c r="G1775" s="211" t="str">
        <f>IFERROR(__xludf.DUMMYFUNCTION("""COMPUTED_VALUE"""),"Oksigen 6m3 MR")</f>
        <v>Oksigen 6m3 MR</v>
      </c>
      <c r="H1775" s="211" t="str">
        <f>IFERROR(__xludf.DUMMYFUNCTION("""COMPUTED_VALUE"""),"IN")</f>
        <v>IN</v>
      </c>
      <c r="I1775" s="211" t="str">
        <f>IFERROR(__xludf.DUMMYFUNCTION("""COMPUTED_VALUE"""),"EMPTY")</f>
        <v>EMPTY</v>
      </c>
      <c r="J1775" s="211">
        <f>IFERROR(__xludf.DUMMYFUNCTION("""COMPUTED_VALUE"""),1.0)</f>
        <v>1</v>
      </c>
      <c r="K1775" s="210" t="str">
        <f>IFERROR(__xludf.DUMMYFUNCTION("""COMPUTED_VALUE"""),"01")</f>
        <v>01</v>
      </c>
      <c r="L1775" s="211">
        <f>IFERROR(__xludf.DUMMYFUNCTION("""COMPUTED_VALUE"""),0.0)</f>
        <v>0</v>
      </c>
      <c r="M1775" s="211"/>
      <c r="N1775" s="211"/>
      <c r="O1775" s="211"/>
      <c r="Q1775" s="210" t="str">
        <f>IFERROR(__xludf.DUMMYFUNCTION("""COMPUTED_VALUE"""),"1250810")</f>
        <v>1250810</v>
      </c>
      <c r="R1775" s="210" t="str">
        <f>IFERROR(__xludf.DUMMYFUNCTION("""COMPUTED_VALUE"""),"1250810")</f>
        <v>1250810</v>
      </c>
      <c r="S1775" s="211" t="str">
        <f>IFERROR(__xludf.DUMMYFUNCTION("""COMPUTED_VALUE"""),"01158be1")</f>
        <v>01158be1</v>
      </c>
      <c r="T1775" s="211" t="str">
        <f>IFERROR(__xludf.DUMMYFUNCTION("""COMPUTED_VALUE"""),"GYF")</f>
        <v>GYF</v>
      </c>
      <c r="U1775" s="215">
        <f>IFERROR(__xludf.DUMMYFUNCTION("""COMPUTED_VALUE"""),45981.558842592596)</f>
        <v>45981.55884</v>
      </c>
      <c r="V1775" s="211" t="str">
        <f>IFERROR(__xludf.DUMMYFUNCTION("""COMPUTED_VALUE"""),"Kangkungan, Lengkong, Kec. Mojoanyar, Kabupaten Mojokerto, Jawa Timur")</f>
        <v>Kangkungan, Lengkong, Kec. Mojoanyar, Kabupaten Mojokerto, Jawa Timur</v>
      </c>
      <c r="W1775" s="211" t="str">
        <f>IFERROR(__xludf.DUMMYFUNCTION("""COMPUTED_VALUE"""),"IN")</f>
        <v>IN</v>
      </c>
      <c r="X1775" s="211"/>
      <c r="AL1775" s="211"/>
      <c r="AM1775" s="211"/>
      <c r="AN1775" s="211"/>
      <c r="AO1775" s="211"/>
      <c r="AP1775" s="215"/>
      <c r="AQ1775" s="218"/>
      <c r="AR1775" s="211"/>
    </row>
    <row r="1776">
      <c r="A1776" s="210" t="str">
        <f>IFERROR(__xludf.DUMMYFUNCTION("""COMPUTED_VALUE"""),"1250599")</f>
        <v>1250599</v>
      </c>
      <c r="B1776" s="210" t="str">
        <f>IFERROR(__xludf.DUMMYFUNCTION("""COMPUTED_VALUE"""),"1250599")</f>
        <v>1250599</v>
      </c>
      <c r="C1776" s="213">
        <f>IFERROR(__xludf.DUMMYFUNCTION("""COMPUTED_VALUE"""),45917.51900462963)</f>
        <v>45917.519</v>
      </c>
      <c r="D1776" s="211" t="str">
        <f>IFERROR(__xludf.DUMMYFUNCTION("""COMPUTED_VALUE"""),"ed4307f6")</f>
        <v>ed4307f6</v>
      </c>
      <c r="E1776" s="211" t="str">
        <f>IFERROR(__xludf.DUMMYFUNCTION("""COMPUTED_VALUE"""),"Bpk. Andi (Jetis)")</f>
        <v>Bpk. Andi (Jetis)</v>
      </c>
      <c r="F1776" s="211" t="str">
        <f>IFERROR(__xludf.DUMMYFUNCTION("""COMPUTED_VALUE"""),"f6aab7a9")</f>
        <v>f6aab7a9</v>
      </c>
      <c r="G1776" s="211" t="str">
        <f>IFERROR(__xludf.DUMMYFUNCTION("""COMPUTED_VALUE"""),"Oksigen 6m3 MR")</f>
        <v>Oksigen 6m3 MR</v>
      </c>
      <c r="H1776" s="211" t="str">
        <f>IFERROR(__xludf.DUMMYFUNCTION("""COMPUTED_VALUE"""),"IN")</f>
        <v>IN</v>
      </c>
      <c r="I1776" s="211" t="str">
        <f>IFERROR(__xludf.DUMMYFUNCTION("""COMPUTED_VALUE"""),"EMPTY")</f>
        <v>EMPTY</v>
      </c>
      <c r="J1776" s="211">
        <f>IFERROR(__xludf.DUMMYFUNCTION("""COMPUTED_VALUE"""),29.0)</f>
        <v>29</v>
      </c>
      <c r="K1776" s="211"/>
      <c r="L1776" s="211">
        <f>IFERROR(__xludf.DUMMYFUNCTION("""COMPUTED_VALUE"""),0.0)</f>
        <v>0</v>
      </c>
      <c r="M1776" s="211"/>
      <c r="N1776" s="211"/>
      <c r="O1776" s="211"/>
      <c r="Q1776" s="210" t="str">
        <f>IFERROR(__xludf.DUMMYFUNCTION("""COMPUTED_VALUE"""),"1250808")</f>
        <v>1250808</v>
      </c>
      <c r="R1776" s="210" t="str">
        <f>IFERROR(__xludf.DUMMYFUNCTION("""COMPUTED_VALUE"""),"1250808")</f>
        <v>1250808</v>
      </c>
      <c r="S1776" s="211" t="str">
        <f>IFERROR(__xludf.DUMMYFUNCTION("""COMPUTED_VALUE"""),"3bcd7fe6")</f>
        <v>3bcd7fe6</v>
      </c>
      <c r="T1776" s="211" t="str">
        <f>IFERROR(__xludf.DUMMYFUNCTION("""COMPUTED_VALUE"""),"Bpk. Alvin (LB Group)")</f>
        <v>Bpk. Alvin (LB Group)</v>
      </c>
      <c r="U1776" s="215">
        <f>IFERROR(__xludf.DUMMYFUNCTION("""COMPUTED_VALUE"""),45981.55998842593)</f>
        <v>45981.55999</v>
      </c>
      <c r="V1776" s="211" t="str">
        <f>IFERROR(__xludf.DUMMYFUNCTION("""COMPUTED_VALUE"""),"MFF9+XHC, Jalan, Tambakrejo, Temuireng, Kec. Dawar Blandong, Kabupaten Mojokerto, Jawa Timur 61354")</f>
        <v>MFF9+XHC, Jalan, Tambakrejo, Temuireng, Kec. Dawar Blandong, Kabupaten Mojokerto, Jawa Timur 61354</v>
      </c>
      <c r="W1776" s="211" t="str">
        <f>IFERROR(__xludf.DUMMYFUNCTION("""COMPUTED_VALUE"""),"IN")</f>
        <v>IN</v>
      </c>
      <c r="X1776" s="211"/>
      <c r="AL1776" s="211"/>
      <c r="AM1776" s="211"/>
      <c r="AN1776" s="211"/>
      <c r="AO1776" s="211"/>
      <c r="AP1776" s="215"/>
      <c r="AQ1776" s="218"/>
      <c r="AR1776" s="211"/>
    </row>
    <row r="1777">
      <c r="A1777" s="210" t="str">
        <f>IFERROR(__xludf.DUMMYFUNCTION("""COMPUTED_VALUE"""),"0925291284")</f>
        <v>0925291284</v>
      </c>
      <c r="B1777" s="210" t="str">
        <f>IFERROR(__xludf.DUMMYFUNCTION("""COMPUTED_VALUE"""),"0925291284")</f>
        <v>0925291284</v>
      </c>
      <c r="C1777" s="213">
        <f>IFERROR(__xludf.DUMMYFUNCTION("""COMPUTED_VALUE"""),45917.649097222224)</f>
        <v>45917.6491</v>
      </c>
      <c r="D1777" s="211" t="str">
        <f>IFERROR(__xludf.DUMMYFUNCTION("""COMPUTED_VALUE"""),"01158be1")</f>
        <v>01158be1</v>
      </c>
      <c r="E1777" s="211" t="str">
        <f>IFERROR(__xludf.DUMMYFUNCTION("""COMPUTED_VALUE"""),"GYF")</f>
        <v>GYF</v>
      </c>
      <c r="F1777" s="211" t="str">
        <f>IFERROR(__xludf.DUMMYFUNCTION("""COMPUTED_VALUE"""),"8bdbe149")</f>
        <v>8bdbe149</v>
      </c>
      <c r="G1777" s="211" t="str">
        <f>IFERROR(__xludf.DUMMYFUNCTION("""COMPUTED_VALUE"""),"Oksigen 6m3")</f>
        <v>Oksigen 6m3</v>
      </c>
      <c r="H1777" s="211" t="str">
        <f>IFERROR(__xludf.DUMMYFUNCTION("""COMPUTED_VALUE"""),"OUT")</f>
        <v>OUT</v>
      </c>
      <c r="I1777" s="211" t="str">
        <f>IFERROR(__xludf.DUMMYFUNCTION("""COMPUTED_VALUE"""),"NORMAL")</f>
        <v>NORMAL</v>
      </c>
      <c r="J1777" s="211">
        <f>IFERROR(__xludf.DUMMYFUNCTION("""COMPUTED_VALUE"""),20.0)</f>
        <v>20</v>
      </c>
      <c r="K1777" s="210" t="str">
        <f>IFERROR(__xludf.DUMMYFUNCTION("""COMPUTED_VALUE"""),"11201 11203 11252 1135 11109 1157 11211 1114 11244 1155 11267 1107 11231 11106 11235 11249 1122 11260 11175 1117")</f>
        <v>11201 11203 11252 1135 11109 1157 11211 1114 11244 1155 11267 1107 11231 11106 11235 11249 1122 11260 11175 1117</v>
      </c>
      <c r="L1777" s="211">
        <f>IFERROR(__xludf.DUMMYFUNCTION("""COMPUTED_VALUE"""),45000.0)</f>
        <v>45000</v>
      </c>
      <c r="M1777" s="211"/>
      <c r="N1777" s="211"/>
      <c r="O1777" s="211"/>
      <c r="Q1777" s="210" t="str">
        <f>IFERROR(__xludf.DUMMYFUNCTION("""COMPUTED_VALUE"""),"1250841")</f>
        <v>1250841</v>
      </c>
      <c r="R1777" s="210" t="str">
        <f>IFERROR(__xludf.DUMMYFUNCTION("""COMPUTED_VALUE"""),"1250841")</f>
        <v>1250841</v>
      </c>
      <c r="S1777" s="211" t="str">
        <f>IFERROR(__xludf.DUMMYFUNCTION("""COMPUTED_VALUE"""),"b2b5f2c5")</f>
        <v>b2b5f2c5</v>
      </c>
      <c r="T1777" s="211" t="str">
        <f>IFERROR(__xludf.DUMMYFUNCTION("""COMPUTED_VALUE"""),"Bengkel Las Bpk. Ari")</f>
        <v>Bengkel Las Bpk. Ari</v>
      </c>
      <c r="U1777" s="215">
        <f>IFERROR(__xludf.DUMMYFUNCTION("""COMPUTED_VALUE"""),45981.63590277778)</f>
        <v>45981.6359</v>
      </c>
      <c r="V1777" s="211" t="str">
        <f>IFERROR(__xludf.DUMMYFUNCTION("""COMPUTED_VALUE"""),"Sumber Kembar, Wonodadi, Kec. Kutorejo, Kabupaten Mojokerto, Jawa Timur")</f>
        <v>Sumber Kembar, Wonodadi, Kec. Kutorejo, Kabupaten Mojokerto, Jawa Timur</v>
      </c>
      <c r="W1777" s="211" t="str">
        <f>IFERROR(__xludf.DUMMYFUNCTION("""COMPUTED_VALUE"""),"IN")</f>
        <v>IN</v>
      </c>
      <c r="X1777" s="211"/>
      <c r="AL1777" s="211"/>
      <c r="AM1777" s="211"/>
      <c r="AN1777" s="211"/>
      <c r="AO1777" s="211"/>
      <c r="AP1777" s="215"/>
      <c r="AQ1777" s="218"/>
      <c r="AR1777" s="211"/>
    </row>
    <row r="1778">
      <c r="A1778" s="210" t="str">
        <f>IFERROR(__xludf.DUMMYFUNCTION("""COMPUTED_VALUE"""),"092511288")</f>
        <v>092511288</v>
      </c>
      <c r="B1778" s="210" t="str">
        <f>IFERROR(__xludf.DUMMYFUNCTION("""COMPUTED_VALUE"""),"092511288")</f>
        <v>092511288</v>
      </c>
      <c r="C1778" s="213">
        <f>IFERROR(__xludf.DUMMYFUNCTION("""COMPUTED_VALUE"""),45918.368310185186)</f>
        <v>45918.36831</v>
      </c>
      <c r="D1778" s="211" t="str">
        <f>IFERROR(__xludf.DUMMYFUNCTION("""COMPUTED_VALUE"""),"ed4307f6")</f>
        <v>ed4307f6</v>
      </c>
      <c r="E1778" s="211" t="str">
        <f>IFERROR(__xludf.DUMMYFUNCTION("""COMPUTED_VALUE"""),"Bpk. Andi (Jetis)")</f>
        <v>Bpk. Andi (Jetis)</v>
      </c>
      <c r="F1778" s="211" t="str">
        <f>IFERROR(__xludf.DUMMYFUNCTION("""COMPUTED_VALUE"""),"f6aab7a9")</f>
        <v>f6aab7a9</v>
      </c>
      <c r="G1778" s="211" t="str">
        <f>IFERROR(__xludf.DUMMYFUNCTION("""COMPUTED_VALUE"""),"Oksigen 6m3 MR")</f>
        <v>Oksigen 6m3 MR</v>
      </c>
      <c r="H1778" s="211" t="str">
        <f>IFERROR(__xludf.DUMMYFUNCTION("""COMPUTED_VALUE"""),"OUT")</f>
        <v>OUT</v>
      </c>
      <c r="I1778" s="211" t="str">
        <f>IFERROR(__xludf.DUMMYFUNCTION("""COMPUTED_VALUE"""),"NORMAL")</f>
        <v>NORMAL</v>
      </c>
      <c r="J1778" s="211">
        <f>IFERROR(__xludf.DUMMYFUNCTION("""COMPUTED_VALUE"""),29.0)</f>
        <v>29</v>
      </c>
      <c r="K1778" s="210" t="str">
        <f>IFERROR(__xludf.DUMMYFUNCTION("""COMPUTED_VALUE"""),"02 03 04 05 06 07 08 09 10 11 12 13 01 14 15 16 17 18 19 20 21 22 23 24 25 26 27 28 29")</f>
        <v>02 03 04 05 06 07 08 09 10 11 12 13 01 14 15 16 17 18 19 20 21 22 23 24 25 26 27 28 29</v>
      </c>
      <c r="L1778" s="211">
        <f>IFERROR(__xludf.DUMMYFUNCTION("""COMPUTED_VALUE"""),50000.0)</f>
        <v>50000</v>
      </c>
      <c r="M1778" s="211"/>
      <c r="N1778" s="211"/>
      <c r="O1778" s="211"/>
      <c r="Q1778" s="210" t="str">
        <f>IFERROR(__xludf.DUMMYFUNCTION("""COMPUTED_VALUE"""),"1250839")</f>
        <v>1250839</v>
      </c>
      <c r="R1778" s="210" t="str">
        <f>IFERROR(__xludf.DUMMYFUNCTION("""COMPUTED_VALUE"""),"1250839")</f>
        <v>1250839</v>
      </c>
      <c r="S1778" s="211" t="str">
        <f>IFERROR(__xludf.DUMMYFUNCTION("""COMPUTED_VALUE"""),"ba97d58d")</f>
        <v>ba97d58d</v>
      </c>
      <c r="T1778" s="211" t="str">
        <f>IFERROR(__xludf.DUMMYFUNCTION("""COMPUTED_VALUE"""),"Bengkel Citra Mojosari")</f>
        <v>Bengkel Citra Mojosari</v>
      </c>
      <c r="U1778" s="215">
        <f>IFERROR(__xludf.DUMMYFUNCTION("""COMPUTED_VALUE"""),45981.63791666667)</f>
        <v>45981.63792</v>
      </c>
      <c r="V1778" s="211" t="str">
        <f>IFERROR(__xludf.DUMMYFUNCTION("""COMPUTED_VALUE"""),"Jl. Raden Wijaya, Kemloko, Jotangan, Kec. Mojosari, Kabupaten Mojokerto, Jawa Timur 61382")</f>
        <v>Jl. Raden Wijaya, Kemloko, Jotangan, Kec. Mojosari, Kabupaten Mojokerto, Jawa Timur 61382</v>
      </c>
      <c r="W1778" s="211" t="str">
        <f>IFERROR(__xludf.DUMMYFUNCTION("""COMPUTED_VALUE"""),"IN")</f>
        <v>IN</v>
      </c>
      <c r="X1778" s="211"/>
      <c r="AL1778" s="211"/>
      <c r="AM1778" s="211"/>
      <c r="AN1778" s="211"/>
      <c r="AO1778" s="211"/>
      <c r="AP1778" s="215"/>
      <c r="AQ1778" s="218"/>
      <c r="AR1778" s="211"/>
    </row>
    <row r="1779">
      <c r="A1779" s="210" t="str">
        <f>IFERROR(__xludf.DUMMYFUNCTION("""COMPUTED_VALUE"""),"1250600")</f>
        <v>1250600</v>
      </c>
      <c r="B1779" s="210" t="str">
        <f>IFERROR(__xludf.DUMMYFUNCTION("""COMPUTED_VALUE"""),"1250600")</f>
        <v>1250600</v>
      </c>
      <c r="C1779" s="213">
        <f>IFERROR(__xludf.DUMMYFUNCTION("""COMPUTED_VALUE"""),45918.35894675926)</f>
        <v>45918.35895</v>
      </c>
      <c r="D1779" s="211" t="str">
        <f>IFERROR(__xludf.DUMMYFUNCTION("""COMPUTED_VALUE"""),"b218b89b")</f>
        <v>b218b89b</v>
      </c>
      <c r="E1779" s="211" t="str">
        <f>IFERROR(__xludf.DUMMYFUNCTION("""COMPUTED_VALUE"""),"PT Harapan Sentosa")</f>
        <v>PT Harapan Sentosa</v>
      </c>
      <c r="F1779" s="211" t="str">
        <f>IFERROR(__xludf.DUMMYFUNCTION("""COMPUTED_VALUE"""),"ef306e54")</f>
        <v>ef306e54</v>
      </c>
      <c r="G1779" s="211" t="str">
        <f>IFERROR(__xludf.DUMMYFUNCTION("""COMPUTED_VALUE"""),"Karbondioksida")</f>
        <v>Karbondioksida</v>
      </c>
      <c r="H1779" s="211" t="str">
        <f>IFERROR(__xludf.DUMMYFUNCTION("""COMPUTED_VALUE"""),"IN")</f>
        <v>IN</v>
      </c>
      <c r="I1779" s="211" t="str">
        <f>IFERROR(__xludf.DUMMYFUNCTION("""COMPUTED_VALUE"""),"EMPTY")</f>
        <v>EMPTY</v>
      </c>
      <c r="J1779" s="211">
        <f>IFERROR(__xludf.DUMMYFUNCTION("""COMPUTED_VALUE"""),4.0)</f>
        <v>4</v>
      </c>
      <c r="K1779" s="210" t="str">
        <f>IFERROR(__xludf.DUMMYFUNCTION("""COMPUTED_VALUE"""),"13003 13035 13029 13005")</f>
        <v>13003 13035 13029 13005</v>
      </c>
      <c r="L1779" s="211">
        <f>IFERROR(__xludf.DUMMYFUNCTION("""COMPUTED_VALUE"""),0.0)</f>
        <v>0</v>
      </c>
      <c r="M1779" s="211"/>
      <c r="N1779" s="211"/>
      <c r="O1779" s="211"/>
      <c r="Q1779" s="210" t="str">
        <f>IFERROR(__xludf.DUMMYFUNCTION("""COMPUTED_VALUE"""),"1250811")</f>
        <v>1250811</v>
      </c>
      <c r="R1779" s="210" t="str">
        <f>IFERROR(__xludf.DUMMYFUNCTION("""COMPUTED_VALUE"""),"1250811")</f>
        <v>1250811</v>
      </c>
      <c r="S1779" s="211" t="str">
        <f>IFERROR(__xludf.DUMMYFUNCTION("""COMPUTED_VALUE"""),"e968afef")</f>
        <v>e968afef</v>
      </c>
      <c r="T1779" s="211" t="str">
        <f>IFERROR(__xludf.DUMMYFUNCTION("""COMPUTED_VALUE"""),"Bpk. Agus")</f>
        <v>Bpk. Agus</v>
      </c>
      <c r="U1779" s="215">
        <f>IFERROR(__xludf.DUMMYFUNCTION("""COMPUTED_VALUE"""),45981.639131944445)</f>
        <v>45981.63913</v>
      </c>
      <c r="V1779" s="211" t="str">
        <f>IFERROR(__xludf.DUMMYFUNCTION("""COMPUTED_VALUE"""),"Jl. Parengan 13, Semawut, Balongbendo, Kec. BalongBendo, Kabupaten Sidoarjo, Jawa Timur 61263")</f>
        <v>Jl. Parengan 13, Semawut, Balongbendo, Kec. BalongBendo, Kabupaten Sidoarjo, Jawa Timur 61263</v>
      </c>
      <c r="W1779" s="211" t="str">
        <f>IFERROR(__xludf.DUMMYFUNCTION("""COMPUTED_VALUE"""),"IN")</f>
        <v>IN</v>
      </c>
      <c r="X1779" s="211"/>
      <c r="AL1779" s="211"/>
      <c r="AM1779" s="211"/>
      <c r="AN1779" s="211"/>
      <c r="AO1779" s="211"/>
      <c r="AP1779" s="215"/>
      <c r="AQ1779" s="218"/>
      <c r="AR1779" s="211"/>
    </row>
    <row r="1780">
      <c r="A1780" s="210" t="str">
        <f>IFERROR(__xludf.DUMMYFUNCTION("""COMPUTED_VALUE"""),"1250600")</f>
        <v>1250600</v>
      </c>
      <c r="B1780" s="210" t="str">
        <f>IFERROR(__xludf.DUMMYFUNCTION("""COMPUTED_VALUE"""),"1250600")</f>
        <v>1250600</v>
      </c>
      <c r="C1780" s="213">
        <f>IFERROR(__xludf.DUMMYFUNCTION("""COMPUTED_VALUE"""),45918.35894675926)</f>
        <v>45918.35895</v>
      </c>
      <c r="D1780" s="211" t="str">
        <f>IFERROR(__xludf.DUMMYFUNCTION("""COMPUTED_VALUE"""),"b218b89b")</f>
        <v>b218b89b</v>
      </c>
      <c r="E1780" s="211" t="str">
        <f>IFERROR(__xludf.DUMMYFUNCTION("""COMPUTED_VALUE"""),"PT Harapan Sentosa")</f>
        <v>PT Harapan Sentosa</v>
      </c>
      <c r="F1780" s="211" t="str">
        <f>IFERROR(__xludf.DUMMYFUNCTION("""COMPUTED_VALUE"""),"7d2764f1")</f>
        <v>7d2764f1</v>
      </c>
      <c r="G1780" s="211" t="str">
        <f>IFERROR(__xludf.DUMMYFUNCTION("""COMPUTED_VALUE"""),"Oksigen 7m3")</f>
        <v>Oksigen 7m3</v>
      </c>
      <c r="H1780" s="211" t="str">
        <f>IFERROR(__xludf.DUMMYFUNCTION("""COMPUTED_VALUE"""),"IN")</f>
        <v>IN</v>
      </c>
      <c r="I1780" s="211" t="str">
        <f>IFERROR(__xludf.DUMMYFUNCTION("""COMPUTED_VALUE"""),"EMPTY")</f>
        <v>EMPTY</v>
      </c>
      <c r="J1780" s="211">
        <f>IFERROR(__xludf.DUMMYFUNCTION("""COMPUTED_VALUE"""),9.0)</f>
        <v>9</v>
      </c>
      <c r="K1780" s="210" t="str">
        <f>IFERROR(__xludf.DUMMYFUNCTION("""COMPUTED_VALUE"""),"11145 11153 11154 11214 11223 11213 11230 11149 11215")</f>
        <v>11145 11153 11154 11214 11223 11213 11230 11149 11215</v>
      </c>
      <c r="L1780" s="211">
        <f>IFERROR(__xludf.DUMMYFUNCTION("""COMPUTED_VALUE"""),0.0)</f>
        <v>0</v>
      </c>
      <c r="M1780" s="211"/>
      <c r="N1780" s="211"/>
      <c r="O1780" s="211"/>
      <c r="Q1780" s="210" t="str">
        <f>IFERROR(__xludf.DUMMYFUNCTION("""COMPUTED_VALUE"""),"1250842")</f>
        <v>1250842</v>
      </c>
      <c r="R1780" s="210" t="str">
        <f>IFERROR(__xludf.DUMMYFUNCTION("""COMPUTED_VALUE"""),"1250842")</f>
        <v>1250842</v>
      </c>
      <c r="S1780" s="211" t="str">
        <f>IFERROR(__xludf.DUMMYFUNCTION("""COMPUTED_VALUE"""),"ec231cc9")</f>
        <v>ec231cc9</v>
      </c>
      <c r="T1780" s="211" t="str">
        <f>IFERROR(__xludf.DUMMYFUNCTION("""COMPUTED_VALUE"""),"Bpk. Kohir (Maintenance Velg)")</f>
        <v>Bpk. Kohir (Maintenance Velg)</v>
      </c>
      <c r="U1780" s="215">
        <f>IFERROR(__xludf.DUMMYFUNCTION("""COMPUTED_VALUE"""),45981.68829861111)</f>
        <v>45981.6883</v>
      </c>
      <c r="V1780" s="211" t="str">
        <f>IFERROR(__xludf.DUMMYFUNCTION("""COMPUTED_VALUE"""),"Jl. Lkr. Bypass Krian Timur, Sidogolong, Watugolong, Kec. Krian, Kabupaten Sidoarjo, Jawa Timur 61262")</f>
        <v>Jl. Lkr. Bypass Krian Timur, Sidogolong, Watugolong, Kec. Krian, Kabupaten Sidoarjo, Jawa Timur 61262</v>
      </c>
      <c r="W1780" s="211" t="str">
        <f>IFERROR(__xludf.DUMMYFUNCTION("""COMPUTED_VALUE"""),"IN")</f>
        <v>IN</v>
      </c>
      <c r="X1780" s="211"/>
      <c r="AL1780" s="211"/>
      <c r="AM1780" s="211"/>
      <c r="AN1780" s="211"/>
      <c r="AO1780" s="211"/>
      <c r="AP1780" s="215"/>
      <c r="AQ1780" s="218"/>
      <c r="AR1780" s="211"/>
    </row>
    <row r="1781">
      <c r="A1781" s="210" t="str">
        <f>IFERROR(__xludf.DUMMYFUNCTION("""COMPUTED_VALUE"""),"0925371289")</f>
        <v>0925371289</v>
      </c>
      <c r="B1781" s="210" t="str">
        <f>IFERROR(__xludf.DUMMYFUNCTION("""COMPUTED_VALUE"""),"0925371289")</f>
        <v>0925371289</v>
      </c>
      <c r="C1781" s="213">
        <f>IFERROR(__xludf.DUMMYFUNCTION("""COMPUTED_VALUE"""),45918.36730324074)</f>
        <v>45918.3673</v>
      </c>
      <c r="D1781" s="211" t="str">
        <f>IFERROR(__xludf.DUMMYFUNCTION("""COMPUTED_VALUE"""),"785e0e07")</f>
        <v>785e0e07</v>
      </c>
      <c r="E1781" s="211" t="str">
        <f>IFERROR(__xludf.DUMMYFUNCTION("""COMPUTED_VALUE"""),"Bpk. Sukirno (Bejo)")</f>
        <v>Bpk. Sukirno (Bejo)</v>
      </c>
      <c r="F1781" s="211" t="str">
        <f>IFERROR(__xludf.DUMMYFUNCTION("""COMPUTED_VALUE"""),"f6aab7a9")</f>
        <v>f6aab7a9</v>
      </c>
      <c r="G1781" s="211" t="str">
        <f>IFERROR(__xludf.DUMMYFUNCTION("""COMPUTED_VALUE"""),"Oksigen 6m3 MR")</f>
        <v>Oksigen 6m3 MR</v>
      </c>
      <c r="H1781" s="211" t="str">
        <f>IFERROR(__xludf.DUMMYFUNCTION("""COMPUTED_VALUE"""),"OUT")</f>
        <v>OUT</v>
      </c>
      <c r="I1781" s="211" t="str">
        <f>IFERROR(__xludf.DUMMYFUNCTION("""COMPUTED_VALUE"""),"NORMAL")</f>
        <v>NORMAL</v>
      </c>
      <c r="J1781" s="211">
        <f>IFERROR(__xludf.DUMMYFUNCTION("""COMPUTED_VALUE"""),1.0)</f>
        <v>1</v>
      </c>
      <c r="K1781" s="210" t="str">
        <f>IFERROR(__xludf.DUMMYFUNCTION("""COMPUTED_VALUE"""),"2151")</f>
        <v>2151</v>
      </c>
      <c r="L1781" s="211">
        <f>IFERROR(__xludf.DUMMYFUNCTION("""COMPUTED_VALUE"""),60000.0)</f>
        <v>60000</v>
      </c>
      <c r="M1781" s="211"/>
      <c r="N1781" s="211"/>
      <c r="O1781" s="211"/>
      <c r="Q1781" s="210" t="str">
        <f>IFERROR(__xludf.DUMMYFUNCTION("""COMPUTED_VALUE"""),"1125161774")</f>
        <v>1125161774</v>
      </c>
      <c r="R1781" s="210" t="str">
        <f>IFERROR(__xludf.DUMMYFUNCTION("""COMPUTED_VALUE"""),"1125161774")</f>
        <v>1125161774</v>
      </c>
      <c r="S1781" s="211" t="str">
        <f>IFERROR(__xludf.DUMMYFUNCTION("""COMPUTED_VALUE"""),"b218b89b")</f>
        <v>b218b89b</v>
      </c>
      <c r="T1781" s="211" t="str">
        <f>IFERROR(__xludf.DUMMYFUNCTION("""COMPUTED_VALUE"""),"PT Harapan Sentosa")</f>
        <v>PT Harapan Sentosa</v>
      </c>
      <c r="U1781" s="215">
        <f>IFERROR(__xludf.DUMMYFUNCTION("""COMPUTED_VALUE"""),45982.48925925926)</f>
        <v>45982.48926</v>
      </c>
      <c r="V1781" s="211" t="str">
        <f>IFERROR(__xludf.DUMMYFUNCTION("""COMPUTED_VALUE"""),"Seketi, Jl. Purboyo II Selatan, RT.02/RW.02, Seketi, Kec. BalongBendo, Kabupaten Sidoarjo, Jawa Timur 61263")</f>
        <v>Seketi, Jl. Purboyo II Selatan, RT.02/RW.02, Seketi, Kec. BalongBendo, Kabupaten Sidoarjo, Jawa Timur 61263</v>
      </c>
      <c r="W1781" s="211" t="str">
        <f>IFERROR(__xludf.DUMMYFUNCTION("""COMPUTED_VALUE"""),"OUT")</f>
        <v>OUT</v>
      </c>
      <c r="X1781" s="211"/>
      <c r="AL1781" s="211"/>
      <c r="AM1781" s="211"/>
      <c r="AN1781" s="211"/>
      <c r="AO1781" s="211"/>
      <c r="AP1781" s="215"/>
      <c r="AQ1781" s="218"/>
      <c r="AR1781" s="211"/>
    </row>
    <row r="1782">
      <c r="A1782" s="210" t="str">
        <f>IFERROR(__xludf.DUMMYFUNCTION("""COMPUTED_VALUE"""),"0925371289")</f>
        <v>0925371289</v>
      </c>
      <c r="B1782" s="210" t="str">
        <f>IFERROR(__xludf.DUMMYFUNCTION("""COMPUTED_VALUE"""),"0925371289")</f>
        <v>0925371289</v>
      </c>
      <c r="C1782" s="213">
        <f>IFERROR(__xludf.DUMMYFUNCTION("""COMPUTED_VALUE"""),45918.36730324074)</f>
        <v>45918.3673</v>
      </c>
      <c r="D1782" s="211" t="str">
        <f>IFERROR(__xludf.DUMMYFUNCTION("""COMPUTED_VALUE"""),"785e0e07")</f>
        <v>785e0e07</v>
      </c>
      <c r="E1782" s="211" t="str">
        <f>IFERROR(__xludf.DUMMYFUNCTION("""COMPUTED_VALUE"""),"Bpk. Sukirno (Bejo)")</f>
        <v>Bpk. Sukirno (Bejo)</v>
      </c>
      <c r="F1782" s="211" t="str">
        <f>IFERROR(__xludf.DUMMYFUNCTION("""COMPUTED_VALUE"""),"7d2764f1")</f>
        <v>7d2764f1</v>
      </c>
      <c r="G1782" s="211" t="str">
        <f>IFERROR(__xludf.DUMMYFUNCTION("""COMPUTED_VALUE"""),"Oksigen 7m3")</f>
        <v>Oksigen 7m3</v>
      </c>
      <c r="H1782" s="211" t="str">
        <f>IFERROR(__xludf.DUMMYFUNCTION("""COMPUTED_VALUE"""),"OUT")</f>
        <v>OUT</v>
      </c>
      <c r="I1782" s="211" t="str">
        <f>IFERROR(__xludf.DUMMYFUNCTION("""COMPUTED_VALUE"""),"NORMAL")</f>
        <v>NORMAL</v>
      </c>
      <c r="J1782" s="211">
        <f>IFERROR(__xludf.DUMMYFUNCTION("""COMPUTED_VALUE"""),10.0)</f>
        <v>10</v>
      </c>
      <c r="K1782" s="210" t="str">
        <f>IFERROR(__xludf.DUMMYFUNCTION("""COMPUTED_VALUE"""),"11135 11150 11169 11146 11166 11155 11164 11174 11157 76")</f>
        <v>11135 11150 11169 11146 11166 11155 11164 11174 11157 76</v>
      </c>
      <c r="L1782" s="211">
        <f>IFERROR(__xludf.DUMMYFUNCTION("""COMPUTED_VALUE"""),60000.0)</f>
        <v>60000</v>
      </c>
      <c r="M1782" s="211"/>
      <c r="N1782" s="211"/>
      <c r="O1782" s="211"/>
      <c r="Q1782" s="210" t="str">
        <f>IFERROR(__xludf.DUMMYFUNCTION("""COMPUTED_VALUE"""),"112531782")</f>
        <v>112531782</v>
      </c>
      <c r="R1782" s="210" t="str">
        <f>IFERROR(__xludf.DUMMYFUNCTION("""COMPUTED_VALUE"""),"112531782")</f>
        <v>112531782</v>
      </c>
      <c r="S1782" s="211" t="str">
        <f>IFERROR(__xludf.DUMMYFUNCTION("""COMPUTED_VALUE"""),"a0f0ad2d")</f>
        <v>a0f0ad2d</v>
      </c>
      <c r="T1782" s="211" t="str">
        <f>IFERROR(__xludf.DUMMYFUNCTION("""COMPUTED_VALUE"""),"CV. Yulie Jaya")</f>
        <v>CV. Yulie Jaya</v>
      </c>
      <c r="U1782" s="215">
        <f>IFERROR(__xludf.DUMMYFUNCTION("""COMPUTED_VALUE"""),45982.49140046296)</f>
        <v>45982.4914</v>
      </c>
      <c r="V1782" s="211" t="str">
        <f>IFERROR(__xludf.DUMMYFUNCTION("""COMPUTED_VALUE"""),"JJH4+6RV, Badas, Barengkrajan, Kec. Krian, Kabupaten Sidoarjo, Jawa Timur 61262")</f>
        <v>JJH4+6RV, Badas, Barengkrajan, Kec. Krian, Kabupaten Sidoarjo, Jawa Timur 61262</v>
      </c>
      <c r="W1782" s="211" t="str">
        <f>IFERROR(__xludf.DUMMYFUNCTION("""COMPUTED_VALUE"""),"OUT")</f>
        <v>OUT</v>
      </c>
      <c r="X1782" s="211"/>
      <c r="AL1782" s="211"/>
      <c r="AM1782" s="211"/>
      <c r="AN1782" s="211"/>
      <c r="AO1782" s="211"/>
      <c r="AP1782" s="215"/>
      <c r="AQ1782" s="218"/>
      <c r="AR1782" s="211"/>
    </row>
    <row r="1783">
      <c r="A1783" s="211"/>
      <c r="B1783" s="211"/>
      <c r="C1783" s="211"/>
      <c r="D1783" s="211"/>
      <c r="E1783" s="211"/>
      <c r="F1783" s="211"/>
      <c r="G1783" s="211"/>
      <c r="H1783" s="211"/>
      <c r="I1783" s="211"/>
      <c r="J1783" s="211"/>
      <c r="K1783" s="211"/>
      <c r="L1783" s="211"/>
      <c r="M1783" s="211"/>
      <c r="N1783" s="211"/>
      <c r="O1783" s="211"/>
      <c r="Q1783" s="210" t="str">
        <f>IFERROR(__xludf.DUMMYFUNCTION("""COMPUTED_VALUE"""),"1125101783")</f>
        <v>1125101783</v>
      </c>
      <c r="R1783" s="210" t="str">
        <f>IFERROR(__xludf.DUMMYFUNCTION("""COMPUTED_VALUE"""),"1125101783")</f>
        <v>1125101783</v>
      </c>
      <c r="S1783" s="211" t="str">
        <f>IFERROR(__xludf.DUMMYFUNCTION("""COMPUTED_VALUE"""),"8ea74d81")</f>
        <v>8ea74d81</v>
      </c>
      <c r="T1783" s="211" t="str">
        <f>IFERROR(__xludf.DUMMYFUNCTION("""COMPUTED_VALUE"""),"Bengkel Adi Putra")</f>
        <v>Bengkel Adi Putra</v>
      </c>
      <c r="U1783" s="215">
        <f>IFERROR(__xludf.DUMMYFUNCTION("""COMPUTED_VALUE"""),45982.49204861111)</f>
        <v>45982.49205</v>
      </c>
      <c r="V1783" s="211" t="str">
        <f>IFERROR(__xludf.DUMMYFUNCTION("""COMPUTED_VALUE"""),"Bypass Balongbendo")</f>
        <v>Bypass Balongbendo</v>
      </c>
      <c r="W1783" s="211" t="str">
        <f>IFERROR(__xludf.DUMMYFUNCTION("""COMPUTED_VALUE"""),"OUT")</f>
        <v>OUT</v>
      </c>
      <c r="X1783" s="211"/>
      <c r="AL1783" s="211"/>
      <c r="AM1783" s="211"/>
      <c r="AN1783" s="211"/>
      <c r="AO1783" s="211"/>
      <c r="AP1783" s="215"/>
      <c r="AQ1783" s="218"/>
      <c r="AR1783" s="211"/>
    </row>
    <row r="1784">
      <c r="A1784" s="210" t="str">
        <f>IFERROR(__xludf.DUMMYFUNCTION("""COMPUTED_VALUE"""),"092581291")</f>
        <v>092581291</v>
      </c>
      <c r="B1784" s="210" t="str">
        <f>IFERROR(__xludf.DUMMYFUNCTION("""COMPUTED_VALUE"""),"092581291")</f>
        <v>092581291</v>
      </c>
      <c r="C1784" s="213">
        <f>IFERROR(__xludf.DUMMYFUNCTION("""COMPUTED_VALUE"""),45918.37185185185)</f>
        <v>45918.37185</v>
      </c>
      <c r="D1784" s="211" t="str">
        <f>IFERROR(__xludf.DUMMYFUNCTION("""COMPUTED_VALUE"""),"e968afef")</f>
        <v>e968afef</v>
      </c>
      <c r="E1784" s="211" t="str">
        <f>IFERROR(__xludf.DUMMYFUNCTION("""COMPUTED_VALUE"""),"Bpk. Agus")</f>
        <v>Bpk. Agus</v>
      </c>
      <c r="F1784" s="211" t="str">
        <f>IFERROR(__xludf.DUMMYFUNCTION("""COMPUTED_VALUE"""),"8bdbe149")</f>
        <v>8bdbe149</v>
      </c>
      <c r="G1784" s="211" t="str">
        <f>IFERROR(__xludf.DUMMYFUNCTION("""COMPUTED_VALUE"""),"Oksigen 6m3")</f>
        <v>Oksigen 6m3</v>
      </c>
      <c r="H1784" s="211" t="str">
        <f>IFERROR(__xludf.DUMMYFUNCTION("""COMPUTED_VALUE"""),"OUT")</f>
        <v>OUT</v>
      </c>
      <c r="I1784" s="211" t="str">
        <f>IFERROR(__xludf.DUMMYFUNCTION("""COMPUTED_VALUE"""),"NORMAL")</f>
        <v>NORMAL</v>
      </c>
      <c r="J1784" s="211">
        <f>IFERROR(__xludf.DUMMYFUNCTION("""COMPUTED_VALUE"""),5.0)</f>
        <v>5</v>
      </c>
      <c r="K1784" s="210" t="str">
        <f>IFERROR(__xludf.DUMMYFUNCTION("""COMPUTED_VALUE"""),"11283 11100 1121 1197 1151")</f>
        <v>11283 11100 1121 1197 1151</v>
      </c>
      <c r="L1784" s="211">
        <f>IFERROR(__xludf.DUMMYFUNCTION("""COMPUTED_VALUE"""),60000.0)</f>
        <v>60000</v>
      </c>
      <c r="M1784" s="211"/>
      <c r="N1784" s="211"/>
      <c r="O1784" s="211"/>
      <c r="Q1784" s="210" t="str">
        <f>IFERROR(__xludf.DUMMYFUNCTION("""COMPUTED_VALUE"""),"1125111784")</f>
        <v>1125111784</v>
      </c>
      <c r="R1784" s="210" t="str">
        <f>IFERROR(__xludf.DUMMYFUNCTION("""COMPUTED_VALUE"""),"1125111784")</f>
        <v>1125111784</v>
      </c>
      <c r="S1784" s="211" t="str">
        <f>IFERROR(__xludf.DUMMYFUNCTION("""COMPUTED_VALUE"""),"8ea74d81")</f>
        <v>8ea74d81</v>
      </c>
      <c r="T1784" s="211" t="str">
        <f>IFERROR(__xludf.DUMMYFUNCTION("""COMPUTED_VALUE"""),"Bengkel Adi Putra")</f>
        <v>Bengkel Adi Putra</v>
      </c>
      <c r="U1784" s="215">
        <f>IFERROR(__xludf.DUMMYFUNCTION("""COMPUTED_VALUE"""),45982.49234953704)</f>
        <v>45982.49235</v>
      </c>
      <c r="V1784" s="211" t="str">
        <f>IFERROR(__xludf.DUMMYFUNCTION("""COMPUTED_VALUE"""),"Bypass Balongbendo")</f>
        <v>Bypass Balongbendo</v>
      </c>
      <c r="W1784" s="211" t="str">
        <f>IFERROR(__xludf.DUMMYFUNCTION("""COMPUTED_VALUE"""),"OUT")</f>
        <v>OUT</v>
      </c>
      <c r="X1784" s="211"/>
      <c r="AL1784" s="211"/>
      <c r="AM1784" s="211"/>
      <c r="AN1784" s="211"/>
      <c r="AO1784" s="211"/>
      <c r="AP1784" s="215"/>
      <c r="AQ1784" s="218"/>
      <c r="AR1784" s="211"/>
    </row>
    <row r="1785">
      <c r="A1785" s="210" t="str">
        <f>IFERROR(__xludf.DUMMYFUNCTION("""COMPUTED_VALUE"""),"092581291")</f>
        <v>092581291</v>
      </c>
      <c r="B1785" s="210" t="str">
        <f>IFERROR(__xludf.DUMMYFUNCTION("""COMPUTED_VALUE"""),"092581291")</f>
        <v>092581291</v>
      </c>
      <c r="C1785" s="213">
        <f>IFERROR(__xludf.DUMMYFUNCTION("""COMPUTED_VALUE"""),45918.37185185185)</f>
        <v>45918.37185</v>
      </c>
      <c r="D1785" s="211" t="str">
        <f>IFERROR(__xludf.DUMMYFUNCTION("""COMPUTED_VALUE"""),"e968afef")</f>
        <v>e968afef</v>
      </c>
      <c r="E1785" s="211" t="str">
        <f>IFERROR(__xludf.DUMMYFUNCTION("""COMPUTED_VALUE"""),"Bpk. Agus")</f>
        <v>Bpk. Agus</v>
      </c>
      <c r="F1785" s="211" t="str">
        <f>IFERROR(__xludf.DUMMYFUNCTION("""COMPUTED_VALUE"""),"be525f3b")</f>
        <v>be525f3b</v>
      </c>
      <c r="G1785" s="211" t="str">
        <f>IFERROR(__xludf.DUMMYFUNCTION("""COMPUTED_VALUE"""),"LPG 12kg")</f>
        <v>LPG 12kg</v>
      </c>
      <c r="H1785" s="211" t="str">
        <f>IFERROR(__xludf.DUMMYFUNCTION("""COMPUTED_VALUE"""),"OUT")</f>
        <v>OUT</v>
      </c>
      <c r="I1785" s="211" t="str">
        <f>IFERROR(__xludf.DUMMYFUNCTION("""COMPUTED_VALUE"""),"NORMAL")</f>
        <v>NORMAL</v>
      </c>
      <c r="J1785" s="211">
        <f>IFERROR(__xludf.DUMMYFUNCTION("""COMPUTED_VALUE"""),1.0)</f>
        <v>1</v>
      </c>
      <c r="K1785" s="210" t="str">
        <f>IFERROR(__xludf.DUMMYFUNCTION("""COMPUTED_VALUE"""),"01")</f>
        <v>01</v>
      </c>
      <c r="L1785" s="211">
        <f>IFERROR(__xludf.DUMMYFUNCTION("""COMPUTED_VALUE"""),210000.0)</f>
        <v>210000</v>
      </c>
      <c r="M1785" s="211"/>
      <c r="N1785" s="211"/>
      <c r="O1785" s="211"/>
      <c r="Q1785" s="210" t="str">
        <f>IFERROR(__xludf.DUMMYFUNCTION("""COMPUTED_VALUE"""),"1125101785")</f>
        <v>1125101785</v>
      </c>
      <c r="R1785" s="210" t="str">
        <f>IFERROR(__xludf.DUMMYFUNCTION("""COMPUTED_VALUE"""),"1125101785")</f>
        <v>1125101785</v>
      </c>
      <c r="S1785" s="211" t="str">
        <f>IFERROR(__xludf.DUMMYFUNCTION("""COMPUTED_VALUE"""),"faf71ae5")</f>
        <v>faf71ae5</v>
      </c>
      <c r="T1785" s="211" t="str">
        <f>IFERROR(__xludf.DUMMYFUNCTION("""COMPUTED_VALUE"""),"Bpk. Sampurna")</f>
        <v>Bpk. Sampurna</v>
      </c>
      <c r="U1785" s="215">
        <f>IFERROR(__xludf.DUMMYFUNCTION("""COMPUTED_VALUE"""),45982.539976851855)</f>
        <v>45982.53998</v>
      </c>
      <c r="V1785" s="211" t="str">
        <f>IFERROR(__xludf.DUMMYFUNCTION("""COMPUTED_VALUE"""),"Jl. Bypass Krian KM.30 No.15, Kraton, Kec. Krian, Kabupaten Sidoarjo, Jawa Timur 61262")</f>
        <v>Jl. Bypass Krian KM.30 No.15, Kraton, Kec. Krian, Kabupaten Sidoarjo, Jawa Timur 61262</v>
      </c>
      <c r="W1785" s="211" t="str">
        <f>IFERROR(__xludf.DUMMYFUNCTION("""COMPUTED_VALUE"""),"OUT")</f>
        <v>OUT</v>
      </c>
      <c r="X1785" s="211"/>
      <c r="AL1785" s="211"/>
      <c r="AM1785" s="211"/>
      <c r="AN1785" s="211"/>
      <c r="AO1785" s="211"/>
      <c r="AP1785" s="215"/>
      <c r="AQ1785" s="218"/>
      <c r="AR1785" s="211"/>
    </row>
    <row r="1786">
      <c r="A1786" s="211"/>
      <c r="B1786" s="211"/>
      <c r="C1786" s="211"/>
      <c r="D1786" s="211"/>
      <c r="E1786" s="211"/>
      <c r="F1786" s="211" t="str">
        <f>IFERROR(__xludf.DUMMYFUNCTION("""COMPUTED_VALUE"""),"8bdbe149")</f>
        <v>8bdbe149</v>
      </c>
      <c r="G1786" s="211" t="str">
        <f>IFERROR(__xludf.DUMMYFUNCTION("""COMPUTED_VALUE"""),"Oksigen 6m3")</f>
        <v>Oksigen 6m3</v>
      </c>
      <c r="H1786" s="211"/>
      <c r="I1786" s="211" t="str">
        <f>IFERROR(__xludf.DUMMYFUNCTION("""COMPUTED_VALUE"""),"EMPTY")</f>
        <v>EMPTY</v>
      </c>
      <c r="J1786" s="211">
        <f>IFERROR(__xludf.DUMMYFUNCTION("""COMPUTED_VALUE"""),10.0)</f>
        <v>10</v>
      </c>
      <c r="K1786" s="210" t="str">
        <f>IFERROR(__xludf.DUMMYFUNCTION("""COMPUTED_VALUE"""),"11245 1111 11263 11282 11191 11180 11242 1189 1143 1139")</f>
        <v>11245 1111 11263 11282 11191 11180 11242 1189 1143 1139</v>
      </c>
      <c r="L1786" s="211">
        <f>IFERROR(__xludf.DUMMYFUNCTION("""COMPUTED_VALUE"""),45000.0)</f>
        <v>45000</v>
      </c>
      <c r="M1786" s="211"/>
      <c r="N1786" s="211"/>
      <c r="O1786" s="211"/>
      <c r="Q1786" s="210" t="str">
        <f>IFERROR(__xludf.DUMMYFUNCTION("""COMPUTED_VALUE"""),"1250843")</f>
        <v>1250843</v>
      </c>
      <c r="R1786" s="210" t="str">
        <f>IFERROR(__xludf.DUMMYFUNCTION("""COMPUTED_VALUE"""),"1250843")</f>
        <v>1250843</v>
      </c>
      <c r="S1786" s="211" t="str">
        <f>IFERROR(__xludf.DUMMYFUNCTION("""COMPUTED_VALUE"""),"8ea74d81")</f>
        <v>8ea74d81</v>
      </c>
      <c r="T1786" s="211" t="str">
        <f>IFERROR(__xludf.DUMMYFUNCTION("""COMPUTED_VALUE"""),"Bengkel Adi Putra")</f>
        <v>Bengkel Adi Putra</v>
      </c>
      <c r="U1786" s="215">
        <f>IFERROR(__xludf.DUMMYFUNCTION("""COMPUTED_VALUE"""),45982.61571759259)</f>
        <v>45982.61572</v>
      </c>
      <c r="V1786" s="211" t="str">
        <f>IFERROR(__xludf.DUMMYFUNCTION("""COMPUTED_VALUE"""),"Bypass Balongbendo")</f>
        <v>Bypass Balongbendo</v>
      </c>
      <c r="W1786" s="211" t="str">
        <f>IFERROR(__xludf.DUMMYFUNCTION("""COMPUTED_VALUE"""),"IN")</f>
        <v>IN</v>
      </c>
      <c r="X1786" s="211"/>
      <c r="AL1786" s="211"/>
      <c r="AM1786" s="211"/>
      <c r="AN1786" s="211"/>
      <c r="AO1786" s="211"/>
      <c r="AP1786" s="215"/>
      <c r="AQ1786" s="218"/>
      <c r="AR1786" s="211"/>
    </row>
    <row r="1787">
      <c r="A1787" s="211"/>
      <c r="B1787" s="211"/>
      <c r="C1787" s="211"/>
      <c r="D1787" s="211"/>
      <c r="E1787" s="211"/>
      <c r="F1787" s="211"/>
      <c r="G1787" s="211"/>
      <c r="H1787" s="211"/>
      <c r="I1787" s="211"/>
      <c r="J1787" s="211"/>
      <c r="K1787" s="211"/>
      <c r="L1787" s="211"/>
      <c r="M1787" s="211"/>
      <c r="N1787" s="211"/>
      <c r="O1787" s="211"/>
      <c r="Q1787" s="210" t="str">
        <f>IFERROR(__xludf.DUMMYFUNCTION("""COMPUTED_VALUE"""),"1250844")</f>
        <v>1250844</v>
      </c>
      <c r="R1787" s="210" t="str">
        <f>IFERROR(__xludf.DUMMYFUNCTION("""COMPUTED_VALUE"""),"1250844")</f>
        <v>1250844</v>
      </c>
      <c r="S1787" s="211" t="str">
        <f>IFERROR(__xludf.DUMMYFUNCTION("""COMPUTED_VALUE"""),"a0f0ad2d")</f>
        <v>a0f0ad2d</v>
      </c>
      <c r="T1787" s="211" t="str">
        <f>IFERROR(__xludf.DUMMYFUNCTION("""COMPUTED_VALUE"""),"CV. Yulie Jaya")</f>
        <v>CV. Yulie Jaya</v>
      </c>
      <c r="U1787" s="215">
        <f>IFERROR(__xludf.DUMMYFUNCTION("""COMPUTED_VALUE"""),45982.61809027778)</f>
        <v>45982.61809</v>
      </c>
      <c r="V1787" s="211" t="str">
        <f>IFERROR(__xludf.DUMMYFUNCTION("""COMPUTED_VALUE"""),"JJH4+6RV, Badas, Barengkrajan, Kec. Krian, Kabupaten Sidoarjo, Jawa Timur 61262")</f>
        <v>JJH4+6RV, Badas, Barengkrajan, Kec. Krian, Kabupaten Sidoarjo, Jawa Timur 61262</v>
      </c>
      <c r="W1787" s="211" t="str">
        <f>IFERROR(__xludf.DUMMYFUNCTION("""COMPUTED_VALUE"""),"IN")</f>
        <v>IN</v>
      </c>
      <c r="X1787" s="211"/>
      <c r="AL1787" s="211"/>
      <c r="AM1787" s="211"/>
      <c r="AN1787" s="211"/>
      <c r="AO1787" s="211"/>
      <c r="AP1787" s="215"/>
      <c r="AQ1787" s="218"/>
      <c r="AR1787" s="211"/>
    </row>
    <row r="1788">
      <c r="A1788" s="211"/>
      <c r="B1788" s="211"/>
      <c r="C1788" s="211"/>
      <c r="D1788" s="211"/>
      <c r="E1788" s="211"/>
      <c r="F1788" s="211" t="str">
        <f>IFERROR(__xludf.DUMMYFUNCTION("""COMPUTED_VALUE"""),"8bdbe149")</f>
        <v>8bdbe149</v>
      </c>
      <c r="G1788" s="211" t="str">
        <f>IFERROR(__xludf.DUMMYFUNCTION("""COMPUTED_VALUE"""),"Oksigen 6m3")</f>
        <v>Oksigen 6m3</v>
      </c>
      <c r="H1788" s="211"/>
      <c r="I1788" s="211" t="str">
        <f>IFERROR(__xludf.DUMMYFUNCTION("""COMPUTED_VALUE"""),"EMPTY")</f>
        <v>EMPTY</v>
      </c>
      <c r="J1788" s="211">
        <f>IFERROR(__xludf.DUMMYFUNCTION("""COMPUTED_VALUE"""),10.0)</f>
        <v>10</v>
      </c>
      <c r="K1788" s="210" t="str">
        <f>IFERROR(__xludf.DUMMYFUNCTION("""COMPUTED_VALUE"""),"11245 1111 11263 11282 11191 11180 11242 1189 1143 1139")</f>
        <v>11245 1111 11263 11282 11191 11180 11242 1189 1143 1139</v>
      </c>
      <c r="L1788" s="211">
        <f>IFERROR(__xludf.DUMMYFUNCTION("""COMPUTED_VALUE"""),0.0)</f>
        <v>0</v>
      </c>
      <c r="M1788" s="211"/>
      <c r="N1788" s="211"/>
      <c r="O1788" s="211"/>
      <c r="Q1788" s="210" t="str">
        <f>IFERROR(__xludf.DUMMYFUNCTION("""COMPUTED_VALUE"""),"1250812")</f>
        <v>1250812</v>
      </c>
      <c r="R1788" s="210" t="str">
        <f>IFERROR(__xludf.DUMMYFUNCTION("""COMPUTED_VALUE"""),"1250812")</f>
        <v>1250812</v>
      </c>
      <c r="S1788" s="211" t="str">
        <f>IFERROR(__xludf.DUMMYFUNCTION("""COMPUTED_VALUE"""),"b218b89b")</f>
        <v>b218b89b</v>
      </c>
      <c r="T1788" s="211" t="str">
        <f>IFERROR(__xludf.DUMMYFUNCTION("""COMPUTED_VALUE"""),"PT Harapan Sentosa")</f>
        <v>PT Harapan Sentosa</v>
      </c>
      <c r="U1788" s="215">
        <f>IFERROR(__xludf.DUMMYFUNCTION("""COMPUTED_VALUE"""),45982.64460648148)</f>
        <v>45982.64461</v>
      </c>
      <c r="V1788" s="211" t="str">
        <f>IFERROR(__xludf.DUMMYFUNCTION("""COMPUTED_VALUE"""),"Seketi, Jl. Purboyo II Selatan, RT.02/RW.02, Seketi, Kec. BalongBendo, Kabupaten Sidoarjo, Jawa Timur 61263")</f>
        <v>Seketi, Jl. Purboyo II Selatan, RT.02/RW.02, Seketi, Kec. BalongBendo, Kabupaten Sidoarjo, Jawa Timur 61263</v>
      </c>
      <c r="W1788" s="211" t="str">
        <f>IFERROR(__xludf.DUMMYFUNCTION("""COMPUTED_VALUE"""),"IN")</f>
        <v>IN</v>
      </c>
      <c r="X1788" s="211"/>
      <c r="AL1788" s="211"/>
      <c r="AM1788" s="211"/>
      <c r="AN1788" s="211"/>
      <c r="AO1788" s="211"/>
      <c r="AP1788" s="215"/>
      <c r="AQ1788" s="218"/>
      <c r="AR1788" s="211"/>
    </row>
    <row r="1789">
      <c r="A1789" s="210" t="str">
        <f>IFERROR(__xludf.DUMMYFUNCTION("""COMPUTED_VALUE"""),"1250601")</f>
        <v>1250601</v>
      </c>
      <c r="B1789" s="210" t="str">
        <f>IFERROR(__xludf.DUMMYFUNCTION("""COMPUTED_VALUE"""),"1250601")</f>
        <v>1250601</v>
      </c>
      <c r="C1789" s="213">
        <f>IFERROR(__xludf.DUMMYFUNCTION("""COMPUTED_VALUE"""),45918.43210648148)</f>
        <v>45918.43211</v>
      </c>
      <c r="D1789" s="211" t="str">
        <f>IFERROR(__xludf.DUMMYFUNCTION("""COMPUTED_VALUE"""),"01158be1")</f>
        <v>01158be1</v>
      </c>
      <c r="E1789" s="211" t="str">
        <f>IFERROR(__xludf.DUMMYFUNCTION("""COMPUTED_VALUE"""),"GYF")</f>
        <v>GYF</v>
      </c>
      <c r="F1789" s="211" t="str">
        <f>IFERROR(__xludf.DUMMYFUNCTION("""COMPUTED_VALUE"""),"8bdbe149")</f>
        <v>8bdbe149</v>
      </c>
      <c r="G1789" s="211" t="str">
        <f>IFERROR(__xludf.DUMMYFUNCTION("""COMPUTED_VALUE"""),"Oksigen 6m3")</f>
        <v>Oksigen 6m3</v>
      </c>
      <c r="H1789" s="211" t="str">
        <f>IFERROR(__xludf.DUMMYFUNCTION("""COMPUTED_VALUE"""),"IN")</f>
        <v>IN</v>
      </c>
      <c r="I1789" s="211" t="str">
        <f>IFERROR(__xludf.DUMMYFUNCTION("""COMPUTED_VALUE"""),"EMPTY")</f>
        <v>EMPTY</v>
      </c>
      <c r="J1789" s="211">
        <f>IFERROR(__xludf.DUMMYFUNCTION("""COMPUTED_VALUE"""),10.0)</f>
        <v>10</v>
      </c>
      <c r="K1789" s="210" t="str">
        <f>IFERROR(__xludf.DUMMYFUNCTION("""COMPUTED_VALUE"""),"11245 1111 11263 11282 11191 11180 11242 1189 1143 1139")</f>
        <v>11245 1111 11263 11282 11191 11180 11242 1189 1143 1139</v>
      </c>
      <c r="L1789" s="211">
        <f>IFERROR(__xludf.DUMMYFUNCTION("""COMPUTED_VALUE"""),0.0)</f>
        <v>0</v>
      </c>
      <c r="M1789" s="211"/>
      <c r="N1789" s="211"/>
      <c r="O1789" s="211"/>
      <c r="Q1789" s="210" t="str">
        <f>IFERROR(__xludf.DUMMYFUNCTION("""COMPUTED_VALUE"""),"112521786")</f>
        <v>112521786</v>
      </c>
      <c r="R1789" s="210" t="str">
        <f>IFERROR(__xludf.DUMMYFUNCTION("""COMPUTED_VALUE"""),"112521786")</f>
        <v>112521786</v>
      </c>
      <c r="S1789" s="211" t="str">
        <f>IFERROR(__xludf.DUMMYFUNCTION("""COMPUTED_VALUE"""),"58b72e0c")</f>
        <v>58b72e0c</v>
      </c>
      <c r="T1789" s="211" t="str">
        <f>IFERROR(__xludf.DUMMYFUNCTION("""COMPUTED_VALUE"""),"UD. Ais Jaya")</f>
        <v>UD. Ais Jaya</v>
      </c>
      <c r="U1789" s="215">
        <f>IFERROR(__xludf.DUMMYFUNCTION("""COMPUTED_VALUE"""),45983.35766203704)</f>
        <v>45983.35766</v>
      </c>
      <c r="V1789" s="211" t="str">
        <f>IFERROR(__xludf.DUMMYFUNCTION("""COMPUTED_VALUE"""),"Jl. Bypass Krian, Kraton, Kec. Krian, Kabupaten Sidoarjo, Jawa Timur 61262")</f>
        <v>Jl. Bypass Krian, Kraton, Kec. Krian, Kabupaten Sidoarjo, Jawa Timur 61262</v>
      </c>
      <c r="W1789" s="211" t="str">
        <f>IFERROR(__xludf.DUMMYFUNCTION("""COMPUTED_VALUE"""),"OUT")</f>
        <v>OUT</v>
      </c>
      <c r="X1789" s="211"/>
      <c r="AL1789" s="211"/>
      <c r="AM1789" s="211"/>
      <c r="AN1789" s="211"/>
      <c r="AO1789" s="211"/>
      <c r="AP1789" s="215"/>
      <c r="AQ1789" s="218"/>
      <c r="AR1789" s="211"/>
    </row>
    <row r="1790">
      <c r="A1790" s="210" t="str">
        <f>IFERROR(__xludf.DUMMYFUNCTION("""COMPUTED_VALUE"""),"092541297")</f>
        <v>092541297</v>
      </c>
      <c r="B1790" s="210" t="str">
        <f>IFERROR(__xludf.DUMMYFUNCTION("""COMPUTED_VALUE"""),"092541297")</f>
        <v>092541297</v>
      </c>
      <c r="C1790" s="213">
        <f>IFERROR(__xludf.DUMMYFUNCTION("""COMPUTED_VALUE"""),45918.46178240741)</f>
        <v>45918.46178</v>
      </c>
      <c r="D1790" s="211" t="str">
        <f>IFERROR(__xludf.DUMMYFUNCTION("""COMPUTED_VALUE"""),"3a48b432")</f>
        <v>3a48b432</v>
      </c>
      <c r="E1790" s="211" t="str">
        <f>IFERROR(__xludf.DUMMYFUNCTION("""COMPUTED_VALUE"""),"Bpk. Dio")</f>
        <v>Bpk. Dio</v>
      </c>
      <c r="F1790" s="211" t="str">
        <f>IFERROR(__xludf.DUMMYFUNCTION("""COMPUTED_VALUE"""),"2690846b")</f>
        <v>2690846b</v>
      </c>
      <c r="G1790" s="211" t="str">
        <f>IFERROR(__xludf.DUMMYFUNCTION("""COMPUTED_VALUE"""),"Oksigen 1m3 MR")</f>
        <v>Oksigen 1m3 MR</v>
      </c>
      <c r="H1790" s="211" t="str">
        <f>IFERROR(__xludf.DUMMYFUNCTION("""COMPUTED_VALUE"""),"OUT")</f>
        <v>OUT</v>
      </c>
      <c r="I1790" s="211" t="str">
        <f>IFERROR(__xludf.DUMMYFUNCTION("""COMPUTED_VALUE"""),"NORMAL")</f>
        <v>NORMAL</v>
      </c>
      <c r="J1790" s="211">
        <f>IFERROR(__xludf.DUMMYFUNCTION("""COMPUTED_VALUE"""),1.0)</f>
        <v>1</v>
      </c>
      <c r="K1790" s="210" t="str">
        <f>IFERROR(__xludf.DUMMYFUNCTION("""COMPUTED_VALUE"""),"01")</f>
        <v>01</v>
      </c>
      <c r="L1790" s="211">
        <f>IFERROR(__xludf.DUMMYFUNCTION("""COMPUTED_VALUE"""),50000.0)</f>
        <v>50000</v>
      </c>
      <c r="M1790" s="211"/>
      <c r="N1790" s="211"/>
      <c r="O1790" s="211"/>
      <c r="Q1790" s="210" t="str">
        <f>IFERROR(__xludf.DUMMYFUNCTION("""COMPUTED_VALUE"""),"1125431786")</f>
        <v>1125431786</v>
      </c>
      <c r="R1790" s="210" t="str">
        <f>IFERROR(__xludf.DUMMYFUNCTION("""COMPUTED_VALUE"""),"1125431786")</f>
        <v>1125431786</v>
      </c>
      <c r="S1790" s="211" t="str">
        <f>IFERROR(__xludf.DUMMYFUNCTION("""COMPUTED_VALUE"""),"b2b5f2c5")</f>
        <v>b2b5f2c5</v>
      </c>
      <c r="T1790" s="211" t="str">
        <f>IFERROR(__xludf.DUMMYFUNCTION("""COMPUTED_VALUE"""),"Bengkel Las Bpk. Ari")</f>
        <v>Bengkel Las Bpk. Ari</v>
      </c>
      <c r="U1790" s="215">
        <f>IFERROR(__xludf.DUMMYFUNCTION("""COMPUTED_VALUE"""),45983.406006944446)</f>
        <v>45983.40601</v>
      </c>
      <c r="V1790" s="211" t="str">
        <f>IFERROR(__xludf.DUMMYFUNCTION("""COMPUTED_VALUE"""),"Sumber Kembar, Wonodadi, Kec. Kutorejo, Kabupaten Mojokerto, Jawa Timur")</f>
        <v>Sumber Kembar, Wonodadi, Kec. Kutorejo, Kabupaten Mojokerto, Jawa Timur</v>
      </c>
      <c r="W1790" s="211" t="str">
        <f>IFERROR(__xludf.DUMMYFUNCTION("""COMPUTED_VALUE"""),"OUT")</f>
        <v>OUT</v>
      </c>
      <c r="X1790" s="211"/>
      <c r="AL1790" s="211"/>
      <c r="AM1790" s="211"/>
      <c r="AN1790" s="211"/>
      <c r="AO1790" s="211"/>
      <c r="AP1790" s="215"/>
      <c r="AQ1790" s="218"/>
      <c r="AR1790" s="211"/>
    </row>
    <row r="1791">
      <c r="A1791" s="210" t="str">
        <f>IFERROR(__xludf.DUMMYFUNCTION("""COMPUTED_VALUE"""),"092541297")</f>
        <v>092541297</v>
      </c>
      <c r="B1791" s="210" t="str">
        <f>IFERROR(__xludf.DUMMYFUNCTION("""COMPUTED_VALUE"""),"092541297")</f>
        <v>092541297</v>
      </c>
      <c r="C1791" s="213">
        <f>IFERROR(__xludf.DUMMYFUNCTION("""COMPUTED_VALUE"""),45918.46178240741)</f>
        <v>45918.46178</v>
      </c>
      <c r="D1791" s="211" t="str">
        <f>IFERROR(__xludf.DUMMYFUNCTION("""COMPUTED_VALUE"""),"3a48b432")</f>
        <v>3a48b432</v>
      </c>
      <c r="E1791" s="211" t="str">
        <f>IFERROR(__xludf.DUMMYFUNCTION("""COMPUTED_VALUE"""),"Bpk. Dio")</f>
        <v>Bpk. Dio</v>
      </c>
      <c r="F1791" s="211" t="str">
        <f>IFERROR(__xludf.DUMMYFUNCTION("""COMPUTED_VALUE"""),"8bdbe149")</f>
        <v>8bdbe149</v>
      </c>
      <c r="G1791" s="211" t="str">
        <f>IFERROR(__xludf.DUMMYFUNCTION("""COMPUTED_VALUE"""),"Oksigen 6m3")</f>
        <v>Oksigen 6m3</v>
      </c>
      <c r="H1791" s="211" t="str">
        <f>IFERROR(__xludf.DUMMYFUNCTION("""COMPUTED_VALUE"""),"OUT")</f>
        <v>OUT</v>
      </c>
      <c r="I1791" s="211" t="str">
        <f>IFERROR(__xludf.DUMMYFUNCTION("""COMPUTED_VALUE"""),"NORMAL")</f>
        <v>NORMAL</v>
      </c>
      <c r="J1791" s="211">
        <f>IFERROR(__xludf.DUMMYFUNCTION("""COMPUTED_VALUE"""),1.0)</f>
        <v>1</v>
      </c>
      <c r="K1791" s="210" t="str">
        <f>IFERROR(__xludf.DUMMYFUNCTION("""COMPUTED_VALUE"""),"11204")</f>
        <v>11204</v>
      </c>
      <c r="L1791" s="211">
        <f>IFERROR(__xludf.DUMMYFUNCTION("""COMPUTED_VALUE"""),80000.0)</f>
        <v>80000</v>
      </c>
      <c r="M1791" s="211"/>
      <c r="N1791" s="211"/>
      <c r="O1791" s="211"/>
      <c r="Q1791" s="210" t="str">
        <f>IFERROR(__xludf.DUMMYFUNCTION("""COMPUTED_VALUE"""),"4112531663")</f>
        <v>4112531663</v>
      </c>
      <c r="R1791" s="210" t="str">
        <f>IFERROR(__xludf.DUMMYFUNCTION("""COMPUTED_VALUE"""),"4112531663")</f>
        <v>4112531663</v>
      </c>
      <c r="S1791" s="211" t="str">
        <f>IFERROR(__xludf.DUMMYFUNCTION("""COMPUTED_VALUE"""),"b2b5f2c5")</f>
        <v>b2b5f2c5</v>
      </c>
      <c r="T1791" s="211" t="str">
        <f>IFERROR(__xludf.DUMMYFUNCTION("""COMPUTED_VALUE"""),"Bengkel Las Bpk. Ari")</f>
        <v>Bengkel Las Bpk. Ari</v>
      </c>
      <c r="U1791" s="215">
        <f>IFERROR(__xludf.DUMMYFUNCTION("""COMPUTED_VALUE"""),45983.408159722225)</f>
        <v>45983.40816</v>
      </c>
      <c r="V1791" s="211" t="str">
        <f>IFERROR(__xludf.DUMMYFUNCTION("""COMPUTED_VALUE"""),"Sumber Kembar, Wonodadi, Kec. Kutorejo, Kabupaten Mojokerto, Jawa Timur")</f>
        <v>Sumber Kembar, Wonodadi, Kec. Kutorejo, Kabupaten Mojokerto, Jawa Timur</v>
      </c>
      <c r="W1791" s="211" t="str">
        <f>IFERROR(__xludf.DUMMYFUNCTION("""COMPUTED_VALUE"""),"OTHER")</f>
        <v>OTHER</v>
      </c>
      <c r="X1791" s="211"/>
      <c r="AL1791" s="211"/>
      <c r="AM1791" s="211"/>
      <c r="AN1791" s="211"/>
      <c r="AO1791" s="211"/>
      <c r="AP1791" s="215"/>
      <c r="AQ1791" s="218"/>
      <c r="AR1791" s="211"/>
    </row>
    <row r="1792">
      <c r="A1792" s="210" t="str">
        <f>IFERROR(__xludf.DUMMYFUNCTION("""COMPUTED_VALUE"""),"1250583")</f>
        <v>1250583</v>
      </c>
      <c r="B1792" s="210" t="str">
        <f>IFERROR(__xludf.DUMMYFUNCTION("""COMPUTED_VALUE"""),"1250583")</f>
        <v>1250583</v>
      </c>
      <c r="C1792" s="213">
        <f>IFERROR(__xludf.DUMMYFUNCTION("""COMPUTED_VALUE"""),45918.68369212963)</f>
        <v>45918.68369</v>
      </c>
      <c r="D1792" s="211" t="str">
        <f>IFERROR(__xludf.DUMMYFUNCTION("""COMPUTED_VALUE"""),"5f23ba17")</f>
        <v>5f23ba17</v>
      </c>
      <c r="E1792" s="211" t="str">
        <f>IFERROR(__xludf.DUMMYFUNCTION("""COMPUTED_VALUE"""),"Bpk. Joko (Gresik)")</f>
        <v>Bpk. Joko (Gresik)</v>
      </c>
      <c r="F1792" s="211" t="str">
        <f>IFERROR(__xludf.DUMMYFUNCTION("""COMPUTED_VALUE"""),"8bdbe149")</f>
        <v>8bdbe149</v>
      </c>
      <c r="G1792" s="211" t="str">
        <f>IFERROR(__xludf.DUMMYFUNCTION("""COMPUTED_VALUE"""),"Oksigen 6m3")</f>
        <v>Oksigen 6m3</v>
      </c>
      <c r="H1792" s="211" t="str">
        <f>IFERROR(__xludf.DUMMYFUNCTION("""COMPUTED_VALUE"""),"IN")</f>
        <v>IN</v>
      </c>
      <c r="I1792" s="211" t="str">
        <f>IFERROR(__xludf.DUMMYFUNCTION("""COMPUTED_VALUE"""),"EMPTY")</f>
        <v>EMPTY</v>
      </c>
      <c r="J1792" s="211">
        <f>IFERROR(__xludf.DUMMYFUNCTION("""COMPUTED_VALUE"""),3.0)</f>
        <v>3</v>
      </c>
      <c r="K1792" s="210" t="str">
        <f>IFERROR(__xludf.DUMMYFUNCTION("""COMPUTED_VALUE"""),"11273 11287 11177")</f>
        <v>11273 11287 11177</v>
      </c>
      <c r="L1792" s="211">
        <f>IFERROR(__xludf.DUMMYFUNCTION("""COMPUTED_VALUE"""),0.0)</f>
        <v>0</v>
      </c>
      <c r="M1792" s="211"/>
      <c r="N1792" s="211"/>
      <c r="O1792" s="211"/>
      <c r="Q1792" s="210" t="str">
        <f>IFERROR(__xludf.DUMMYFUNCTION("""COMPUTED_VALUE"""),"1125311791")</f>
        <v>1125311791</v>
      </c>
      <c r="R1792" s="210" t="str">
        <f>IFERROR(__xludf.DUMMYFUNCTION("""COMPUTED_VALUE"""),"1125311791")</f>
        <v>1125311791</v>
      </c>
      <c r="S1792" s="211" t="str">
        <f>IFERROR(__xludf.DUMMYFUNCTION("""COMPUTED_VALUE"""),"ce83e171")</f>
        <v>ce83e171</v>
      </c>
      <c r="T1792" s="211" t="str">
        <f>IFERROR(__xludf.DUMMYFUNCTION("""COMPUTED_VALUE"""),"Bpk. Sulaiman")</f>
        <v>Bpk. Sulaiman</v>
      </c>
      <c r="U1792" s="215">
        <f>IFERROR(__xludf.DUMMYFUNCTION("""COMPUTED_VALUE"""),45983.408842592595)</f>
        <v>45983.40884</v>
      </c>
      <c r="V1792" s="211" t="str">
        <f>IFERROR(__xludf.DUMMYFUNCTION("""COMPUTED_VALUE"""),"Jl. Raya Kramat Temenggung No.43, Kramat, Kramat Temenggung, Kec. Tarik, Kabupaten Sidoarjo, Jawa Timur 61265")</f>
        <v>Jl. Raya Kramat Temenggung No.43, Kramat, Kramat Temenggung, Kec. Tarik, Kabupaten Sidoarjo, Jawa Timur 61265</v>
      </c>
      <c r="W1792" s="211" t="str">
        <f>IFERROR(__xludf.DUMMYFUNCTION("""COMPUTED_VALUE"""),"OUT")</f>
        <v>OUT</v>
      </c>
      <c r="X1792" s="211"/>
      <c r="AL1792" s="211"/>
      <c r="AM1792" s="211"/>
      <c r="AN1792" s="211"/>
      <c r="AO1792" s="211"/>
      <c r="AP1792" s="215"/>
      <c r="AQ1792" s="218"/>
      <c r="AR1792" s="211"/>
    </row>
    <row r="1793">
      <c r="A1793" s="210" t="str">
        <f>IFERROR(__xludf.DUMMYFUNCTION("""COMPUTED_VALUE"""),"1250583")</f>
        <v>1250583</v>
      </c>
      <c r="B1793" s="210" t="str">
        <f>IFERROR(__xludf.DUMMYFUNCTION("""COMPUTED_VALUE"""),"1250583")</f>
        <v>1250583</v>
      </c>
      <c r="C1793" s="213">
        <f>IFERROR(__xludf.DUMMYFUNCTION("""COMPUTED_VALUE"""),45918.68369212963)</f>
        <v>45918.68369</v>
      </c>
      <c r="D1793" s="211" t="str">
        <f>IFERROR(__xludf.DUMMYFUNCTION("""COMPUTED_VALUE"""),"5f23ba17")</f>
        <v>5f23ba17</v>
      </c>
      <c r="E1793" s="211" t="str">
        <f>IFERROR(__xludf.DUMMYFUNCTION("""COMPUTED_VALUE"""),"Bpk. Joko (Gresik)")</f>
        <v>Bpk. Joko (Gresik)</v>
      </c>
      <c r="F1793" s="211" t="str">
        <f>IFERROR(__xludf.DUMMYFUNCTION("""COMPUTED_VALUE"""),"be525f3b")</f>
        <v>be525f3b</v>
      </c>
      <c r="G1793" s="211" t="str">
        <f>IFERROR(__xludf.DUMMYFUNCTION("""COMPUTED_VALUE"""),"LPG 12kg")</f>
        <v>LPG 12kg</v>
      </c>
      <c r="H1793" s="211" t="str">
        <f>IFERROR(__xludf.DUMMYFUNCTION("""COMPUTED_VALUE"""),"IN")</f>
        <v>IN</v>
      </c>
      <c r="I1793" s="211" t="str">
        <f>IFERROR(__xludf.DUMMYFUNCTION("""COMPUTED_VALUE"""),"EMPTY")</f>
        <v>EMPTY</v>
      </c>
      <c r="J1793" s="211">
        <f>IFERROR(__xludf.DUMMYFUNCTION("""COMPUTED_VALUE"""),1.0)</f>
        <v>1</v>
      </c>
      <c r="K1793" s="210" t="str">
        <f>IFERROR(__xludf.DUMMYFUNCTION("""COMPUTED_VALUE"""),"01")</f>
        <v>01</v>
      </c>
      <c r="L1793" s="211">
        <f>IFERROR(__xludf.DUMMYFUNCTION("""COMPUTED_VALUE"""),0.0)</f>
        <v>0</v>
      </c>
      <c r="M1793" s="211"/>
      <c r="N1793" s="211"/>
      <c r="O1793" s="211"/>
      <c r="Q1793" s="210" t="str">
        <f>IFERROR(__xludf.DUMMYFUNCTION("""COMPUTED_VALUE"""),"112521793")</f>
        <v>112521793</v>
      </c>
      <c r="R1793" s="210" t="str">
        <f>IFERROR(__xludf.DUMMYFUNCTION("""COMPUTED_VALUE"""),"112521793")</f>
        <v>112521793</v>
      </c>
      <c r="S1793" s="211" t="str">
        <f>IFERROR(__xludf.DUMMYFUNCTION("""COMPUTED_VALUE"""),"86b29f43")</f>
        <v>86b29f43</v>
      </c>
      <c r="T1793" s="211" t="str">
        <f>IFERROR(__xludf.DUMMYFUNCTION("""COMPUTED_VALUE"""),"Bpk. Gaguk")</f>
        <v>Bpk. Gaguk</v>
      </c>
      <c r="U1793" s="215">
        <f>IFERROR(__xludf.DUMMYFUNCTION("""COMPUTED_VALUE"""),45983.40940972222)</f>
        <v>45983.40941</v>
      </c>
      <c r="V1793" s="211" t="str">
        <f>IFERROR(__xludf.DUMMYFUNCTION("""COMPUTED_VALUE"""),"Rumah sakit Sidoarjo barat, krian sidoarjo")</f>
        <v>Rumah sakit Sidoarjo barat, krian sidoarjo</v>
      </c>
      <c r="W1793" s="211" t="str">
        <f>IFERROR(__xludf.DUMMYFUNCTION("""COMPUTED_VALUE"""),"OUT")</f>
        <v>OUT</v>
      </c>
      <c r="X1793" s="211"/>
      <c r="AL1793" s="211"/>
      <c r="AM1793" s="211"/>
      <c r="AN1793" s="211"/>
      <c r="AO1793" s="211"/>
      <c r="AP1793" s="215"/>
      <c r="AQ1793" s="218"/>
      <c r="AR1793" s="211"/>
    </row>
    <row r="1794">
      <c r="A1794" s="210" t="str">
        <f>IFERROR(__xludf.DUMMYFUNCTION("""COMPUTED_VALUE"""),"1250583")</f>
        <v>1250583</v>
      </c>
      <c r="B1794" s="210" t="str">
        <f>IFERROR(__xludf.DUMMYFUNCTION("""COMPUTED_VALUE"""),"1250583")</f>
        <v>1250583</v>
      </c>
      <c r="C1794" s="213">
        <f>IFERROR(__xludf.DUMMYFUNCTION("""COMPUTED_VALUE"""),45918.68369212963)</f>
        <v>45918.68369</v>
      </c>
      <c r="D1794" s="211" t="str">
        <f>IFERROR(__xludf.DUMMYFUNCTION("""COMPUTED_VALUE"""),"5f23ba17")</f>
        <v>5f23ba17</v>
      </c>
      <c r="E1794" s="211" t="str">
        <f>IFERROR(__xludf.DUMMYFUNCTION("""COMPUTED_VALUE"""),"Bpk. Joko (Gresik)")</f>
        <v>Bpk. Joko (Gresik)</v>
      </c>
      <c r="F1794" s="211" t="str">
        <f>IFERROR(__xludf.DUMMYFUNCTION("""COMPUTED_VALUE"""),"ef306e54")</f>
        <v>ef306e54</v>
      </c>
      <c r="G1794" s="211" t="str">
        <f>IFERROR(__xludf.DUMMYFUNCTION("""COMPUTED_VALUE"""),"Karbondioksida")</f>
        <v>Karbondioksida</v>
      </c>
      <c r="H1794" s="211" t="str">
        <f>IFERROR(__xludf.DUMMYFUNCTION("""COMPUTED_VALUE"""),"IN")</f>
        <v>IN</v>
      </c>
      <c r="I1794" s="211" t="str">
        <f>IFERROR(__xludf.DUMMYFUNCTION("""COMPUTED_VALUE"""),"EMPTY")</f>
        <v>EMPTY</v>
      </c>
      <c r="J1794" s="211">
        <f>IFERROR(__xludf.DUMMYFUNCTION("""COMPUTED_VALUE"""),1.0)</f>
        <v>1</v>
      </c>
      <c r="K1794" s="210" t="str">
        <f>IFERROR(__xludf.DUMMYFUNCTION("""COMPUTED_VALUE"""),"13023")</f>
        <v>13023</v>
      </c>
      <c r="L1794" s="211">
        <f>IFERROR(__xludf.DUMMYFUNCTION("""COMPUTED_VALUE"""),0.0)</f>
        <v>0</v>
      </c>
      <c r="M1794" s="211"/>
      <c r="N1794" s="211"/>
      <c r="O1794" s="211"/>
      <c r="Q1794" s="210" t="str">
        <f>IFERROR(__xludf.DUMMYFUNCTION("""COMPUTED_VALUE"""),"1250845")</f>
        <v>1250845</v>
      </c>
      <c r="R1794" s="210" t="str">
        <f>IFERROR(__xludf.DUMMYFUNCTION("""COMPUTED_VALUE"""),"1250845")</f>
        <v>1250845</v>
      </c>
      <c r="S1794" s="211" t="str">
        <f>IFERROR(__xludf.DUMMYFUNCTION("""COMPUTED_VALUE"""),"86b29f43")</f>
        <v>86b29f43</v>
      </c>
      <c r="T1794" s="211" t="str">
        <f>IFERROR(__xludf.DUMMYFUNCTION("""COMPUTED_VALUE"""),"Bpk. Gaguk")</f>
        <v>Bpk. Gaguk</v>
      </c>
      <c r="U1794" s="215">
        <f>IFERROR(__xludf.DUMMYFUNCTION("""COMPUTED_VALUE"""),45983.4225)</f>
        <v>45983.4225</v>
      </c>
      <c r="V1794" s="211" t="str">
        <f>IFERROR(__xludf.DUMMYFUNCTION("""COMPUTED_VALUE"""),"Rumah sakit Sidoarjo barat, krian sidoarjo")</f>
        <v>Rumah sakit Sidoarjo barat, krian sidoarjo</v>
      </c>
      <c r="W1794" s="211" t="str">
        <f>IFERROR(__xludf.DUMMYFUNCTION("""COMPUTED_VALUE"""),"IN")</f>
        <v>IN</v>
      </c>
      <c r="X1794" s="211"/>
      <c r="AL1794" s="211"/>
      <c r="AM1794" s="211"/>
      <c r="AN1794" s="211"/>
      <c r="AO1794" s="211"/>
      <c r="AP1794" s="215"/>
      <c r="AQ1794" s="218"/>
      <c r="AR1794" s="211"/>
    </row>
    <row r="1795">
      <c r="A1795" s="210" t="str">
        <f>IFERROR(__xludf.DUMMYFUNCTION("""COMPUTED_VALUE"""),"1250583")</f>
        <v>1250583</v>
      </c>
      <c r="B1795" s="210" t="str">
        <f>IFERROR(__xludf.DUMMYFUNCTION("""COMPUTED_VALUE"""),"1250583")</f>
        <v>1250583</v>
      </c>
      <c r="C1795" s="213">
        <f>IFERROR(__xludf.DUMMYFUNCTION("""COMPUTED_VALUE"""),45918.68369212963)</f>
        <v>45918.68369</v>
      </c>
      <c r="D1795" s="211" t="str">
        <f>IFERROR(__xludf.DUMMYFUNCTION("""COMPUTED_VALUE"""),"5f23ba17")</f>
        <v>5f23ba17</v>
      </c>
      <c r="E1795" s="211" t="str">
        <f>IFERROR(__xludf.DUMMYFUNCTION("""COMPUTED_VALUE"""),"Bpk. Joko (Gresik)")</f>
        <v>Bpk. Joko (Gresik)</v>
      </c>
      <c r="F1795" s="211" t="str">
        <f>IFERROR(__xludf.DUMMYFUNCTION("""COMPUTED_VALUE"""),"ef306e54")</f>
        <v>ef306e54</v>
      </c>
      <c r="G1795" s="211" t="str">
        <f>IFERROR(__xludf.DUMMYFUNCTION("""COMPUTED_VALUE"""),"Karbondioksida")</f>
        <v>Karbondioksida</v>
      </c>
      <c r="H1795" s="211" t="str">
        <f>IFERROR(__xludf.DUMMYFUNCTION("""COMPUTED_VALUE"""),"IN")</f>
        <v>IN</v>
      </c>
      <c r="I1795" s="211" t="str">
        <f>IFERROR(__xludf.DUMMYFUNCTION("""COMPUTED_VALUE"""),"CLAIM")</f>
        <v>CLAIM</v>
      </c>
      <c r="J1795" s="211">
        <f>IFERROR(__xludf.DUMMYFUNCTION("""COMPUTED_VALUE"""),1.0)</f>
        <v>1</v>
      </c>
      <c r="K1795" s="210" t="str">
        <f>IFERROR(__xludf.DUMMYFUNCTION("""COMPUTED_VALUE"""),"13030")</f>
        <v>13030</v>
      </c>
      <c r="L1795" s="211">
        <f>IFERROR(__xludf.DUMMYFUNCTION("""COMPUTED_VALUE"""),0.0)</f>
        <v>0</v>
      </c>
      <c r="M1795" s="211"/>
      <c r="N1795" s="211"/>
      <c r="O1795" s="211"/>
      <c r="Q1795" s="210" t="str">
        <f>IFERROR(__xludf.DUMMYFUNCTION("""COMPUTED_VALUE"""),"1125111794")</f>
        <v>1125111794</v>
      </c>
      <c r="R1795" s="210" t="str">
        <f>IFERROR(__xludf.DUMMYFUNCTION("""COMPUTED_VALUE"""),"1125111794")</f>
        <v>1125111794</v>
      </c>
      <c r="S1795" s="211" t="str">
        <f>IFERROR(__xludf.DUMMYFUNCTION("""COMPUTED_VALUE"""),"faf71ae5")</f>
        <v>faf71ae5</v>
      </c>
      <c r="T1795" s="211" t="str">
        <f>IFERROR(__xludf.DUMMYFUNCTION("""COMPUTED_VALUE"""),"Bpk. Sampurna")</f>
        <v>Bpk. Sampurna</v>
      </c>
      <c r="U1795" s="215">
        <f>IFERROR(__xludf.DUMMYFUNCTION("""COMPUTED_VALUE"""),45983.56675925926)</f>
        <v>45983.56676</v>
      </c>
      <c r="V1795" s="211" t="str">
        <f>IFERROR(__xludf.DUMMYFUNCTION("""COMPUTED_VALUE"""),"Jl. Bypass Krian KM.30 No.15, Kraton, Kec. Krian, Kabupaten Sidoarjo, Jawa Timur 61262")</f>
        <v>Jl. Bypass Krian KM.30 No.15, Kraton, Kec. Krian, Kabupaten Sidoarjo, Jawa Timur 61262</v>
      </c>
      <c r="W1795" s="211" t="str">
        <f>IFERROR(__xludf.DUMMYFUNCTION("""COMPUTED_VALUE"""),"OUT")</f>
        <v>OUT</v>
      </c>
      <c r="X1795" s="211"/>
      <c r="AL1795" s="211"/>
      <c r="AM1795" s="211"/>
      <c r="AN1795" s="211"/>
      <c r="AO1795" s="211"/>
      <c r="AP1795" s="215"/>
      <c r="AQ1795" s="218"/>
      <c r="AR1795" s="211"/>
    </row>
    <row r="1796">
      <c r="A1796" s="210" t="str">
        <f>IFERROR(__xludf.DUMMYFUNCTION("""COMPUTED_VALUE"""),"1250583")</f>
        <v>1250583</v>
      </c>
      <c r="B1796" s="210" t="str">
        <f>IFERROR(__xludf.DUMMYFUNCTION("""COMPUTED_VALUE"""),"1250583")</f>
        <v>1250583</v>
      </c>
      <c r="C1796" s="213">
        <f>IFERROR(__xludf.DUMMYFUNCTION("""COMPUTED_VALUE"""),45918.68369212963)</f>
        <v>45918.68369</v>
      </c>
      <c r="D1796" s="211" t="str">
        <f>IFERROR(__xludf.DUMMYFUNCTION("""COMPUTED_VALUE"""),"5f23ba17")</f>
        <v>5f23ba17</v>
      </c>
      <c r="E1796" s="211" t="str">
        <f>IFERROR(__xludf.DUMMYFUNCTION("""COMPUTED_VALUE"""),"Bpk. Joko (Gresik)")</f>
        <v>Bpk. Joko (Gresik)</v>
      </c>
      <c r="F1796" s="211" t="str">
        <f>IFERROR(__xludf.DUMMYFUNCTION("""COMPUTED_VALUE"""),"f6aab7a9")</f>
        <v>f6aab7a9</v>
      </c>
      <c r="G1796" s="211" t="str">
        <f>IFERROR(__xludf.DUMMYFUNCTION("""COMPUTED_VALUE"""),"Oksigen 6m3 MR")</f>
        <v>Oksigen 6m3 MR</v>
      </c>
      <c r="H1796" s="211" t="str">
        <f>IFERROR(__xludf.DUMMYFUNCTION("""COMPUTED_VALUE"""),"IN")</f>
        <v>IN</v>
      </c>
      <c r="I1796" s="211" t="str">
        <f>IFERROR(__xludf.DUMMYFUNCTION("""COMPUTED_VALUE"""),"EMPTY")</f>
        <v>EMPTY</v>
      </c>
      <c r="J1796" s="211">
        <f>IFERROR(__xludf.DUMMYFUNCTION("""COMPUTED_VALUE"""),10.0)</f>
        <v>10</v>
      </c>
      <c r="K1796" s="210" t="str">
        <f>IFERROR(__xludf.DUMMYFUNCTION("""COMPUTED_VALUE"""),"01 03 04 05 06 07 08 02 09 10")</f>
        <v>01 03 04 05 06 07 08 02 09 10</v>
      </c>
      <c r="L1796" s="211">
        <f>IFERROR(__xludf.DUMMYFUNCTION("""COMPUTED_VALUE"""),0.0)</f>
        <v>0</v>
      </c>
      <c r="M1796" s="211"/>
      <c r="N1796" s="211"/>
      <c r="O1796" s="211"/>
      <c r="Q1796" s="210" t="str">
        <f>IFERROR(__xludf.DUMMYFUNCTION("""COMPUTED_VALUE"""),"1250813")</f>
        <v>1250813</v>
      </c>
      <c r="R1796" s="210" t="str">
        <f>IFERROR(__xludf.DUMMYFUNCTION("""COMPUTED_VALUE"""),"1250813")</f>
        <v>1250813</v>
      </c>
      <c r="S1796" s="211" t="str">
        <f>IFERROR(__xludf.DUMMYFUNCTION("""COMPUTED_VALUE"""),"faf71ae5")</f>
        <v>faf71ae5</v>
      </c>
      <c r="T1796" s="211" t="str">
        <f>IFERROR(__xludf.DUMMYFUNCTION("""COMPUTED_VALUE"""),"Bpk. Sampurna")</f>
        <v>Bpk. Sampurna</v>
      </c>
      <c r="U1796" s="215">
        <f>IFERROR(__xludf.DUMMYFUNCTION("""COMPUTED_VALUE"""),45983.58994212963)</f>
        <v>45983.58994</v>
      </c>
      <c r="V1796" s="211" t="str">
        <f>IFERROR(__xludf.DUMMYFUNCTION("""COMPUTED_VALUE"""),"Jl. Bypass Krian KM.30 No.15, Kraton, Kec. Krian, Kabupaten Sidoarjo, Jawa Timur 61262")</f>
        <v>Jl. Bypass Krian KM.30 No.15, Kraton, Kec. Krian, Kabupaten Sidoarjo, Jawa Timur 61262</v>
      </c>
      <c r="W1796" s="211" t="str">
        <f>IFERROR(__xludf.DUMMYFUNCTION("""COMPUTED_VALUE"""),"IN")</f>
        <v>IN</v>
      </c>
      <c r="X1796" s="211"/>
      <c r="AL1796" s="211"/>
      <c r="AM1796" s="211"/>
      <c r="AN1796" s="211"/>
      <c r="AO1796" s="211"/>
      <c r="AP1796" s="215"/>
      <c r="AQ1796" s="218"/>
      <c r="AR1796" s="211"/>
    </row>
    <row r="1797">
      <c r="A1797" s="210" t="str">
        <f>IFERROR(__xludf.DUMMYFUNCTION("""COMPUTED_VALUE"""),"1250582")</f>
        <v>1250582</v>
      </c>
      <c r="B1797" s="210" t="str">
        <f>IFERROR(__xludf.DUMMYFUNCTION("""COMPUTED_VALUE"""),"1250582")</f>
        <v>1250582</v>
      </c>
      <c r="C1797" s="213">
        <f>IFERROR(__xludf.DUMMYFUNCTION("""COMPUTED_VALUE"""),45918.68709490741)</f>
        <v>45918.68709</v>
      </c>
      <c r="D1797" s="211" t="str">
        <f>IFERROR(__xludf.DUMMYFUNCTION("""COMPUTED_VALUE"""),"785e0e07")</f>
        <v>785e0e07</v>
      </c>
      <c r="E1797" s="211" t="str">
        <f>IFERROR(__xludf.DUMMYFUNCTION("""COMPUTED_VALUE"""),"Bpk. Sukirno (Bejo)")</f>
        <v>Bpk. Sukirno (Bejo)</v>
      </c>
      <c r="F1797" s="211" t="str">
        <f>IFERROR(__xludf.DUMMYFUNCTION("""COMPUTED_VALUE"""),"8bdbe149")</f>
        <v>8bdbe149</v>
      </c>
      <c r="G1797" s="211" t="str">
        <f>IFERROR(__xludf.DUMMYFUNCTION("""COMPUTED_VALUE"""),"Oksigen 6m3")</f>
        <v>Oksigen 6m3</v>
      </c>
      <c r="H1797" s="211" t="str">
        <f>IFERROR(__xludf.DUMMYFUNCTION("""COMPUTED_VALUE"""),"IN")</f>
        <v>IN</v>
      </c>
      <c r="I1797" s="211" t="str">
        <f>IFERROR(__xludf.DUMMYFUNCTION("""COMPUTED_VALUE"""),"EMPTY")</f>
        <v>EMPTY</v>
      </c>
      <c r="J1797" s="211">
        <f>IFERROR(__xludf.DUMMYFUNCTION("""COMPUTED_VALUE"""),3.0)</f>
        <v>3</v>
      </c>
      <c r="K1797" s="210" t="str">
        <f>IFERROR(__xludf.DUMMYFUNCTION("""COMPUTED_VALUE"""),"11122 11126 11279")</f>
        <v>11122 11126 11279</v>
      </c>
      <c r="L1797" s="211">
        <f>IFERROR(__xludf.DUMMYFUNCTION("""COMPUTED_VALUE"""),0.0)</f>
        <v>0</v>
      </c>
      <c r="M1797" s="211"/>
      <c r="N1797" s="211"/>
      <c r="O1797" s="211"/>
      <c r="Q1797" s="210" t="str">
        <f>IFERROR(__xludf.DUMMYFUNCTION("""COMPUTED_VALUE"""),"1250816")</f>
        <v>1250816</v>
      </c>
      <c r="R1797" s="210" t="str">
        <f>IFERROR(__xludf.DUMMYFUNCTION("""COMPUTED_VALUE"""),"1250816")</f>
        <v>1250816</v>
      </c>
      <c r="S1797" s="211" t="str">
        <f>IFERROR(__xludf.DUMMYFUNCTION("""COMPUTED_VALUE"""),"2d88931c")</f>
        <v>2d88931c</v>
      </c>
      <c r="T1797" s="211" t="str">
        <f>IFERROR(__xludf.DUMMYFUNCTION("""COMPUTED_VALUE"""),"PT Dunia Berkat Marga Mulya")</f>
        <v>PT Dunia Berkat Marga Mulya</v>
      </c>
      <c r="U1797" s="215">
        <f>IFERROR(__xludf.DUMMYFUNCTION("""COMPUTED_VALUE"""),45983.590636574074)</f>
        <v>45983.59064</v>
      </c>
      <c r="V1797" s="211" t="str">
        <f>IFERROR(__xludf.DUMMYFUNCTION("""COMPUTED_VALUE"""),"JL JABARAN, WATESARI, BALONGBENDO, SIDOARJO, JAWA TIMUR")</f>
        <v>JL JABARAN, WATESARI, BALONGBENDO, SIDOARJO, JAWA TIMUR</v>
      </c>
      <c r="W1797" s="211" t="str">
        <f>IFERROR(__xludf.DUMMYFUNCTION("""COMPUTED_VALUE"""),"IN")</f>
        <v>IN</v>
      </c>
      <c r="X1797" s="211"/>
      <c r="AL1797" s="211"/>
      <c r="AM1797" s="211"/>
      <c r="AN1797" s="211"/>
      <c r="AO1797" s="211"/>
      <c r="AP1797" s="215"/>
      <c r="AQ1797" s="218"/>
      <c r="AR1797" s="211"/>
    </row>
    <row r="1798">
      <c r="A1798" s="210" t="str">
        <f>IFERROR(__xludf.DUMMYFUNCTION("""COMPUTED_VALUE"""),"0925261298")</f>
        <v>0925261298</v>
      </c>
      <c r="B1798" s="210" t="str">
        <f>IFERROR(__xludf.DUMMYFUNCTION("""COMPUTED_VALUE"""),"0925261298")</f>
        <v>0925261298</v>
      </c>
      <c r="C1798" s="213">
        <f>IFERROR(__xludf.DUMMYFUNCTION("""COMPUTED_VALUE"""),45919.58709490741)</f>
        <v>45919.58709</v>
      </c>
      <c r="D1798" s="211" t="str">
        <f>IFERROR(__xludf.DUMMYFUNCTION("""COMPUTED_VALUE"""),"5f23ba17")</f>
        <v>5f23ba17</v>
      </c>
      <c r="E1798" s="211" t="str">
        <f>IFERROR(__xludf.DUMMYFUNCTION("""COMPUTED_VALUE"""),"Bpk. Joko (Gresik)")</f>
        <v>Bpk. Joko (Gresik)</v>
      </c>
      <c r="F1798" s="211" t="str">
        <f>IFERROR(__xludf.DUMMYFUNCTION("""COMPUTED_VALUE"""),"be525f3b")</f>
        <v>be525f3b</v>
      </c>
      <c r="G1798" s="211" t="str">
        <f>IFERROR(__xludf.DUMMYFUNCTION("""COMPUTED_VALUE"""),"LPG 12kg")</f>
        <v>LPG 12kg</v>
      </c>
      <c r="H1798" s="211" t="str">
        <f>IFERROR(__xludf.DUMMYFUNCTION("""COMPUTED_VALUE"""),"OUT")</f>
        <v>OUT</v>
      </c>
      <c r="I1798" s="211" t="str">
        <f>IFERROR(__xludf.DUMMYFUNCTION("""COMPUTED_VALUE"""),"NORMAL")</f>
        <v>NORMAL</v>
      </c>
      <c r="J1798" s="211">
        <f>IFERROR(__xludf.DUMMYFUNCTION("""COMPUTED_VALUE"""),3.0)</f>
        <v>3</v>
      </c>
      <c r="K1798" s="210" t="str">
        <f>IFERROR(__xludf.DUMMYFUNCTION("""COMPUTED_VALUE"""),"01 02 03")</f>
        <v>01 02 03</v>
      </c>
      <c r="L1798" s="211">
        <f>IFERROR(__xludf.DUMMYFUNCTION("""COMPUTED_VALUE"""),200000.0)</f>
        <v>200000</v>
      </c>
      <c r="M1798" s="211"/>
      <c r="N1798" s="211"/>
      <c r="O1798" s="211"/>
      <c r="Q1798" s="210" t="str">
        <f>IFERROR(__xludf.DUMMYFUNCTION("""COMPUTED_VALUE"""),"1250814")</f>
        <v>1250814</v>
      </c>
      <c r="R1798" s="210" t="str">
        <f>IFERROR(__xludf.DUMMYFUNCTION("""COMPUTED_VALUE"""),"1250814")</f>
        <v>1250814</v>
      </c>
      <c r="S1798" s="211" t="str">
        <f>IFERROR(__xludf.DUMMYFUNCTION("""COMPUTED_VALUE"""),"58b72e0c")</f>
        <v>58b72e0c</v>
      </c>
      <c r="T1798" s="211" t="str">
        <f>IFERROR(__xludf.DUMMYFUNCTION("""COMPUTED_VALUE"""),"UD. Ais Jaya")</f>
        <v>UD. Ais Jaya</v>
      </c>
      <c r="U1798" s="215">
        <f>IFERROR(__xludf.DUMMYFUNCTION("""COMPUTED_VALUE"""),45983.59240740741)</f>
        <v>45983.59241</v>
      </c>
      <c r="V1798" s="211" t="str">
        <f>IFERROR(__xludf.DUMMYFUNCTION("""COMPUTED_VALUE"""),"Jl. Bypass Krian, Kraton, Kec. Krian, Kabupaten Sidoarjo, Jawa Timur 61262")</f>
        <v>Jl. Bypass Krian, Kraton, Kec. Krian, Kabupaten Sidoarjo, Jawa Timur 61262</v>
      </c>
      <c r="W1798" s="211" t="str">
        <f>IFERROR(__xludf.DUMMYFUNCTION("""COMPUTED_VALUE"""),"IN")</f>
        <v>IN</v>
      </c>
      <c r="X1798" s="211"/>
      <c r="AL1798" s="211"/>
      <c r="AM1798" s="211"/>
      <c r="AN1798" s="211"/>
      <c r="AO1798" s="211"/>
      <c r="AP1798" s="215"/>
      <c r="AQ1798" s="218"/>
      <c r="AR1798" s="211"/>
    </row>
    <row r="1799">
      <c r="A1799" s="210" t="str">
        <f>IFERROR(__xludf.DUMMYFUNCTION("""COMPUTED_VALUE"""),"0925261298")</f>
        <v>0925261298</v>
      </c>
      <c r="B1799" s="210" t="str">
        <f>IFERROR(__xludf.DUMMYFUNCTION("""COMPUTED_VALUE"""),"0925261298")</f>
        <v>0925261298</v>
      </c>
      <c r="C1799" s="213">
        <f>IFERROR(__xludf.DUMMYFUNCTION("""COMPUTED_VALUE"""),45919.58709490741)</f>
        <v>45919.58709</v>
      </c>
      <c r="D1799" s="211" t="str">
        <f>IFERROR(__xludf.DUMMYFUNCTION("""COMPUTED_VALUE"""),"5f23ba17")</f>
        <v>5f23ba17</v>
      </c>
      <c r="E1799" s="211" t="str">
        <f>IFERROR(__xludf.DUMMYFUNCTION("""COMPUTED_VALUE"""),"Bpk. Joko (Gresik)")</f>
        <v>Bpk. Joko (Gresik)</v>
      </c>
      <c r="F1799" s="211" t="str">
        <f>IFERROR(__xludf.DUMMYFUNCTION("""COMPUTED_VALUE"""),"f6aab7a9")</f>
        <v>f6aab7a9</v>
      </c>
      <c r="G1799" s="211" t="str">
        <f>IFERROR(__xludf.DUMMYFUNCTION("""COMPUTED_VALUE"""),"Oksigen 6m3 MR")</f>
        <v>Oksigen 6m3 MR</v>
      </c>
      <c r="H1799" s="211" t="str">
        <f>IFERROR(__xludf.DUMMYFUNCTION("""COMPUTED_VALUE"""),"OUT")</f>
        <v>OUT</v>
      </c>
      <c r="I1799" s="211" t="str">
        <f>IFERROR(__xludf.DUMMYFUNCTION("""COMPUTED_VALUE"""),"NORMAL")</f>
        <v>NORMAL</v>
      </c>
      <c r="J1799" s="211">
        <f>IFERROR(__xludf.DUMMYFUNCTION("""COMPUTED_VALUE"""),9.0)</f>
        <v>9</v>
      </c>
      <c r="K1799" s="210" t="str">
        <f>IFERROR(__xludf.DUMMYFUNCTION("""COMPUTED_VALUE"""),"01 02 03 04 05 06 07 08 09")</f>
        <v>01 02 03 04 05 06 07 08 09</v>
      </c>
      <c r="L1799" s="211">
        <f>IFERROR(__xludf.DUMMYFUNCTION("""COMPUTED_VALUE"""),55000.0)</f>
        <v>55000</v>
      </c>
      <c r="M1799" s="211"/>
      <c r="N1799" s="211"/>
      <c r="O1799" s="211"/>
      <c r="Q1799" s="210" t="str">
        <f>IFERROR(__xludf.DUMMYFUNCTION("""COMPUTED_VALUE"""),"1250815")</f>
        <v>1250815</v>
      </c>
      <c r="R1799" s="210" t="str">
        <f>IFERROR(__xludf.DUMMYFUNCTION("""COMPUTED_VALUE"""),"1250815")</f>
        <v>1250815</v>
      </c>
      <c r="S1799" s="211" t="str">
        <f>IFERROR(__xludf.DUMMYFUNCTION("""COMPUTED_VALUE"""),"b0735da4")</f>
        <v>b0735da4</v>
      </c>
      <c r="T1799" s="211" t="str">
        <f>IFERROR(__xludf.DUMMYFUNCTION("""COMPUTED_VALUE"""),"Bpk. Amer Ciro")</f>
        <v>Bpk. Amer Ciro</v>
      </c>
      <c r="U1799" s="215">
        <f>IFERROR(__xludf.DUMMYFUNCTION("""COMPUTED_VALUE"""),45983.59275462963)</f>
        <v>45983.59275</v>
      </c>
      <c r="V1799" s="211" t="str">
        <f>IFERROR(__xludf.DUMMYFUNCTION("""COMPUTED_VALUE"""),"HFJR+FV8 Bakungtemenggungan, Kabupaten Sidoarjo, Jawa Timur")</f>
        <v>HFJR+FV8 Bakungtemenggungan, Kabupaten Sidoarjo, Jawa Timur</v>
      </c>
      <c r="W1799" s="211" t="str">
        <f>IFERROR(__xludf.DUMMYFUNCTION("""COMPUTED_VALUE"""),"IN")</f>
        <v>IN</v>
      </c>
      <c r="X1799" s="211"/>
      <c r="AL1799" s="211"/>
      <c r="AM1799" s="211"/>
      <c r="AN1799" s="211"/>
      <c r="AO1799" s="211"/>
      <c r="AP1799" s="215"/>
      <c r="AQ1799" s="218"/>
      <c r="AR1799" s="211"/>
    </row>
    <row r="1800">
      <c r="A1800" s="211"/>
      <c r="B1800" s="211"/>
      <c r="C1800" s="211"/>
      <c r="D1800" s="211"/>
      <c r="E1800" s="211"/>
      <c r="F1800" s="211"/>
      <c r="G1800" s="211"/>
      <c r="H1800" s="211"/>
      <c r="I1800" s="211"/>
      <c r="J1800" s="211"/>
      <c r="K1800" s="211"/>
      <c r="L1800" s="211"/>
      <c r="M1800" s="211"/>
      <c r="N1800" s="211"/>
      <c r="O1800" s="211"/>
      <c r="Q1800" s="210" t="str">
        <f>IFERROR(__xludf.DUMMYFUNCTION("""COMPUTED_VALUE"""),"1250846")</f>
        <v>1250846</v>
      </c>
      <c r="R1800" s="210" t="str">
        <f>IFERROR(__xludf.DUMMYFUNCTION("""COMPUTED_VALUE"""),"1250846")</f>
        <v>1250846</v>
      </c>
      <c r="S1800" s="211" t="str">
        <f>IFERROR(__xludf.DUMMYFUNCTION("""COMPUTED_VALUE"""),"63fc688a")</f>
        <v>63fc688a</v>
      </c>
      <c r="T1800" s="211" t="str">
        <f>IFERROR(__xludf.DUMMYFUNCTION("""COMPUTED_VALUE"""),"CV Malik Nusantara")</f>
        <v>CV Malik Nusantara</v>
      </c>
      <c r="U1800" s="215">
        <f>IFERROR(__xludf.DUMMYFUNCTION("""COMPUTED_VALUE"""),45983.615902777776)</f>
        <v>45983.6159</v>
      </c>
      <c r="V1800" s="211" t="str">
        <f>IFERROR(__xludf.DUMMYFUNCTION("""COMPUTED_VALUE"""),"Jl. Raya Balongbendo No.12, Suwaluh Utara, Suwaluh, Kec. BalongBendo, Kabupaten Sidoarjo, Jawa Timur 61263")</f>
        <v>Jl. Raya Balongbendo No.12, Suwaluh Utara, Suwaluh, Kec. BalongBendo, Kabupaten Sidoarjo, Jawa Timur 61263</v>
      </c>
      <c r="W1800" s="211" t="str">
        <f>IFERROR(__xludf.DUMMYFUNCTION("""COMPUTED_VALUE"""),"IN")</f>
        <v>IN</v>
      </c>
      <c r="X1800" s="211"/>
      <c r="AL1800" s="211"/>
      <c r="AM1800" s="211"/>
      <c r="AN1800" s="211"/>
      <c r="AO1800" s="211"/>
      <c r="AP1800" s="215"/>
      <c r="AQ1800" s="218"/>
      <c r="AR1800" s="211"/>
    </row>
    <row r="1801">
      <c r="A1801" s="210" t="str">
        <f>IFERROR(__xludf.DUMMYFUNCTION("""COMPUTED_VALUE"""),"4092521203")</f>
        <v>4092521203</v>
      </c>
      <c r="B1801" s="210" t="str">
        <f>IFERROR(__xludf.DUMMYFUNCTION("""COMPUTED_VALUE"""),"4092521203")</f>
        <v>4092521203</v>
      </c>
      <c r="C1801" s="213">
        <f>IFERROR(__xludf.DUMMYFUNCTION("""COMPUTED_VALUE"""),45919.59028935185)</f>
        <v>45919.59029</v>
      </c>
      <c r="D1801" s="211" t="str">
        <f>IFERROR(__xludf.DUMMYFUNCTION("""COMPUTED_VALUE"""),"5f23ba17")</f>
        <v>5f23ba17</v>
      </c>
      <c r="E1801" s="211" t="str">
        <f>IFERROR(__xludf.DUMMYFUNCTION("""COMPUTED_VALUE"""),"Bpk. Joko (Gresik)")</f>
        <v>Bpk. Joko (Gresik)</v>
      </c>
      <c r="F1801" s="211" t="str">
        <f>IFERROR(__xludf.DUMMYFUNCTION("""COMPUTED_VALUE"""),"ef306e54")</f>
        <v>ef306e54</v>
      </c>
      <c r="G1801" s="211" t="str">
        <f>IFERROR(__xludf.DUMMYFUNCTION("""COMPUTED_VALUE"""),"Karbondioksida")</f>
        <v>Karbondioksida</v>
      </c>
      <c r="H1801" s="211" t="str">
        <f>IFERROR(__xludf.DUMMYFUNCTION("""COMPUTED_VALUE"""),"OTHER")</f>
        <v>OTHER</v>
      </c>
      <c r="I1801" s="211" t="str">
        <f>IFERROR(__xludf.DUMMYFUNCTION("""COMPUTED_VALUE"""),"RETUR CLAIM")</f>
        <v>RETUR CLAIM</v>
      </c>
      <c r="J1801" s="211">
        <f>IFERROR(__xludf.DUMMYFUNCTION("""COMPUTED_VALUE"""),1.0)</f>
        <v>1</v>
      </c>
      <c r="K1801" s="210" t="str">
        <f>IFERROR(__xludf.DUMMYFUNCTION("""COMPUTED_VALUE"""),"13026")</f>
        <v>13026</v>
      </c>
      <c r="L1801" s="211">
        <f>IFERROR(__xludf.DUMMYFUNCTION("""COMPUTED_VALUE"""),0.0)</f>
        <v>0</v>
      </c>
      <c r="M1801" s="211"/>
      <c r="N1801" s="211"/>
      <c r="O1801" s="211"/>
      <c r="Q1801" s="210" t="str">
        <f>IFERROR(__xludf.DUMMYFUNCTION("""COMPUTED_VALUE"""),"1250847")</f>
        <v>1250847</v>
      </c>
      <c r="R1801" s="210" t="str">
        <f>IFERROR(__xludf.DUMMYFUNCTION("""COMPUTED_VALUE"""),"1250847")</f>
        <v>1250847</v>
      </c>
      <c r="S1801" s="211" t="str">
        <f>IFERROR(__xludf.DUMMYFUNCTION("""COMPUTED_VALUE"""),"ce83e171")</f>
        <v>ce83e171</v>
      </c>
      <c r="T1801" s="211" t="str">
        <f>IFERROR(__xludf.DUMMYFUNCTION("""COMPUTED_VALUE"""),"Bpk. Sulaiman")</f>
        <v>Bpk. Sulaiman</v>
      </c>
      <c r="U1801" s="215">
        <f>IFERROR(__xludf.DUMMYFUNCTION("""COMPUTED_VALUE"""),45983.617106481484)</f>
        <v>45983.61711</v>
      </c>
      <c r="V1801" s="211" t="str">
        <f>IFERROR(__xludf.DUMMYFUNCTION("""COMPUTED_VALUE"""),"Jl. Raya Kramat Temenggung No.43, Kramat, Kramat Temenggung, Kec. Tarik, Kabupaten Sidoarjo, Jawa Timur 61265")</f>
        <v>Jl. Raya Kramat Temenggung No.43, Kramat, Kramat Temenggung, Kec. Tarik, Kabupaten Sidoarjo, Jawa Timur 61265</v>
      </c>
      <c r="W1801" s="211" t="str">
        <f>IFERROR(__xludf.DUMMYFUNCTION("""COMPUTED_VALUE"""),"IN")</f>
        <v>IN</v>
      </c>
      <c r="X1801" s="211"/>
      <c r="AL1801" s="211"/>
      <c r="AM1801" s="211"/>
      <c r="AN1801" s="211"/>
      <c r="AO1801" s="211"/>
      <c r="AP1801" s="215"/>
      <c r="AQ1801" s="218"/>
      <c r="AR1801" s="211"/>
    </row>
    <row r="1802">
      <c r="A1802" s="210" t="str">
        <f>IFERROR(__xludf.DUMMYFUNCTION("""COMPUTED_VALUE"""),"0925211301")</f>
        <v>0925211301</v>
      </c>
      <c r="B1802" s="210" t="str">
        <f>IFERROR(__xludf.DUMMYFUNCTION("""COMPUTED_VALUE"""),"0925211301")</f>
        <v>0925211301</v>
      </c>
      <c r="C1802" s="213">
        <f>IFERROR(__xludf.DUMMYFUNCTION("""COMPUTED_VALUE"""),45919.59371527778)</f>
        <v>45919.59372</v>
      </c>
      <c r="D1802" s="211" t="str">
        <f>IFERROR(__xludf.DUMMYFUNCTION("""COMPUTED_VALUE"""),"8f5ebaea")</f>
        <v>8f5ebaea</v>
      </c>
      <c r="E1802" s="211" t="str">
        <f>IFERROR(__xludf.DUMMYFUNCTION("""COMPUTED_VALUE"""),"PT Hua Zong Mesindo")</f>
        <v>PT Hua Zong Mesindo</v>
      </c>
      <c r="F1802" s="211" t="str">
        <f>IFERROR(__xludf.DUMMYFUNCTION("""COMPUTED_VALUE"""),"66af7c72")</f>
        <v>66af7c72</v>
      </c>
      <c r="G1802" s="211" t="str">
        <f>IFERROR(__xludf.DUMMYFUNCTION("""COMPUTED_VALUE"""),"Argon 6m3")</f>
        <v>Argon 6m3</v>
      </c>
      <c r="H1802" s="211" t="str">
        <f>IFERROR(__xludf.DUMMYFUNCTION("""COMPUTED_VALUE"""),"OUT")</f>
        <v>OUT</v>
      </c>
      <c r="I1802" s="211" t="str">
        <f>IFERROR(__xludf.DUMMYFUNCTION("""COMPUTED_VALUE"""),"NORMAL")</f>
        <v>NORMAL</v>
      </c>
      <c r="J1802" s="211">
        <f>IFERROR(__xludf.DUMMYFUNCTION("""COMPUTED_VALUE"""),4.0)</f>
        <v>4</v>
      </c>
      <c r="K1802" s="210" t="str">
        <f>IFERROR(__xludf.DUMMYFUNCTION("""COMPUTED_VALUE"""),"12045 12055 12023 12075")</f>
        <v>12045 12055 12023 12075</v>
      </c>
      <c r="L1802" s="211">
        <f>IFERROR(__xludf.DUMMYFUNCTION("""COMPUTED_VALUE"""),190000.0)</f>
        <v>190000</v>
      </c>
      <c r="M1802" s="211"/>
      <c r="N1802" s="211"/>
      <c r="O1802" s="211"/>
      <c r="Q1802" s="210" t="str">
        <f>IFERROR(__xludf.DUMMYFUNCTION("""COMPUTED_VALUE"""),"1250848")</f>
        <v>1250848</v>
      </c>
      <c r="R1802" s="210" t="str">
        <f>IFERROR(__xludf.DUMMYFUNCTION("""COMPUTED_VALUE"""),"1250848")</f>
        <v>1250848</v>
      </c>
      <c r="S1802" s="211" t="str">
        <f>IFERROR(__xludf.DUMMYFUNCTION("""COMPUTED_VALUE"""),"b2b5f2c5")</f>
        <v>b2b5f2c5</v>
      </c>
      <c r="T1802" s="211" t="str">
        <f>IFERROR(__xludf.DUMMYFUNCTION("""COMPUTED_VALUE"""),"Bengkel Las Bpk. Ari")</f>
        <v>Bengkel Las Bpk. Ari</v>
      </c>
      <c r="U1802" s="215">
        <f>IFERROR(__xludf.DUMMYFUNCTION("""COMPUTED_VALUE"""),45983.61746527778)</f>
        <v>45983.61747</v>
      </c>
      <c r="V1802" s="211" t="str">
        <f>IFERROR(__xludf.DUMMYFUNCTION("""COMPUTED_VALUE"""),"Sumber Kembar, Wonodadi, Kec. Kutorejo, Kabupaten Mojokerto, Jawa Timur")</f>
        <v>Sumber Kembar, Wonodadi, Kec. Kutorejo, Kabupaten Mojokerto, Jawa Timur</v>
      </c>
      <c r="W1802" s="211" t="str">
        <f>IFERROR(__xludf.DUMMYFUNCTION("""COMPUTED_VALUE"""),"IN")</f>
        <v>IN</v>
      </c>
      <c r="X1802" s="211"/>
      <c r="AL1802" s="211"/>
      <c r="AM1802" s="211"/>
      <c r="AN1802" s="211"/>
      <c r="AO1802" s="211"/>
      <c r="AP1802" s="215"/>
      <c r="AQ1802" s="218"/>
      <c r="AR1802" s="211"/>
    </row>
    <row r="1803">
      <c r="A1803" s="210" t="str">
        <f>IFERROR(__xludf.DUMMYFUNCTION("""COMPUTED_VALUE"""),"0925211301")</f>
        <v>0925211301</v>
      </c>
      <c r="B1803" s="210" t="str">
        <f>IFERROR(__xludf.DUMMYFUNCTION("""COMPUTED_VALUE"""),"0925211301")</f>
        <v>0925211301</v>
      </c>
      <c r="C1803" s="213">
        <f>IFERROR(__xludf.DUMMYFUNCTION("""COMPUTED_VALUE"""),45919.59371527778)</f>
        <v>45919.59372</v>
      </c>
      <c r="D1803" s="211" t="str">
        <f>IFERROR(__xludf.DUMMYFUNCTION("""COMPUTED_VALUE"""),"8f5ebaea")</f>
        <v>8f5ebaea</v>
      </c>
      <c r="E1803" s="211" t="str">
        <f>IFERROR(__xludf.DUMMYFUNCTION("""COMPUTED_VALUE"""),"PT Hua Zong Mesindo")</f>
        <v>PT Hua Zong Mesindo</v>
      </c>
      <c r="F1803" s="211" t="str">
        <f>IFERROR(__xludf.DUMMYFUNCTION("""COMPUTED_VALUE"""),"ef306e54")</f>
        <v>ef306e54</v>
      </c>
      <c r="G1803" s="211" t="str">
        <f>IFERROR(__xludf.DUMMYFUNCTION("""COMPUTED_VALUE"""),"Karbondioksida")</f>
        <v>Karbondioksida</v>
      </c>
      <c r="H1803" s="211" t="str">
        <f>IFERROR(__xludf.DUMMYFUNCTION("""COMPUTED_VALUE"""),"OUT")</f>
        <v>OUT</v>
      </c>
      <c r="I1803" s="211" t="str">
        <f>IFERROR(__xludf.DUMMYFUNCTION("""COMPUTED_VALUE"""),"NORMAL")</f>
        <v>NORMAL</v>
      </c>
      <c r="J1803" s="211">
        <f>IFERROR(__xludf.DUMMYFUNCTION("""COMPUTED_VALUE"""),1.0)</f>
        <v>1</v>
      </c>
      <c r="K1803" s="210" t="str">
        <f>IFERROR(__xludf.DUMMYFUNCTION("""COMPUTED_VALUE"""),"13030")</f>
        <v>13030</v>
      </c>
      <c r="L1803" s="211">
        <f>IFERROR(__xludf.DUMMYFUNCTION("""COMPUTED_VALUE"""),160000.0)</f>
        <v>160000</v>
      </c>
      <c r="M1803" s="211"/>
      <c r="N1803" s="211"/>
      <c r="O1803" s="211"/>
      <c r="Q1803" s="210" t="str">
        <f>IFERROR(__xludf.DUMMYFUNCTION("""COMPUTED_VALUE"""),"112541796")</f>
        <v>112541796</v>
      </c>
      <c r="R1803" s="210" t="str">
        <f>IFERROR(__xludf.DUMMYFUNCTION("""COMPUTED_VALUE"""),"112541796")</f>
        <v>112541796</v>
      </c>
      <c r="S1803" s="211" t="str">
        <f>IFERROR(__xludf.DUMMYFUNCTION("""COMPUTED_VALUE"""),"a0f0ad2d")</f>
        <v>a0f0ad2d</v>
      </c>
      <c r="T1803" s="211" t="str">
        <f>IFERROR(__xludf.DUMMYFUNCTION("""COMPUTED_VALUE"""),"CV. Yulie Jaya")</f>
        <v>CV. Yulie Jaya</v>
      </c>
      <c r="U1803" s="215">
        <f>IFERROR(__xludf.DUMMYFUNCTION("""COMPUTED_VALUE"""),45985.4571875)</f>
        <v>45985.45719</v>
      </c>
      <c r="V1803" s="211" t="str">
        <f>IFERROR(__xludf.DUMMYFUNCTION("""COMPUTED_VALUE"""),"JJH4+6RV, Badas, Barengkrajan, Kec. Krian, Kabupaten Sidoarjo, Jawa Timur 61262")</f>
        <v>JJH4+6RV, Badas, Barengkrajan, Kec. Krian, Kabupaten Sidoarjo, Jawa Timur 61262</v>
      </c>
      <c r="W1803" s="211" t="str">
        <f>IFERROR(__xludf.DUMMYFUNCTION("""COMPUTED_VALUE"""),"OUT")</f>
        <v>OUT</v>
      </c>
      <c r="X1803" s="211"/>
      <c r="AL1803" s="211"/>
      <c r="AM1803" s="211"/>
      <c r="AN1803" s="211"/>
      <c r="AO1803" s="211"/>
      <c r="AP1803" s="215"/>
      <c r="AQ1803" s="218"/>
      <c r="AR1803" s="211"/>
    </row>
    <row r="1804">
      <c r="A1804" s="210" t="str">
        <f>IFERROR(__xludf.DUMMYFUNCTION("""COMPUTED_VALUE"""),"1250585")</f>
        <v>1250585</v>
      </c>
      <c r="B1804" s="210" t="str">
        <f>IFERROR(__xludf.DUMMYFUNCTION("""COMPUTED_VALUE"""),"1250585")</f>
        <v>1250585</v>
      </c>
      <c r="C1804" s="213">
        <f>IFERROR(__xludf.DUMMYFUNCTION("""COMPUTED_VALUE"""),45919.65185185185)</f>
        <v>45919.65185</v>
      </c>
      <c r="D1804" s="211" t="str">
        <f>IFERROR(__xludf.DUMMYFUNCTION("""COMPUTED_VALUE"""),"a343b84d")</f>
        <v>a343b84d</v>
      </c>
      <c r="E1804" s="211" t="str">
        <f>IFERROR(__xludf.DUMMYFUNCTION("""COMPUTED_VALUE"""),"PT Utama Alim Sejahtera")</f>
        <v>PT Utama Alim Sejahtera</v>
      </c>
      <c r="F1804" s="211" t="str">
        <f>IFERROR(__xludf.DUMMYFUNCTION("""COMPUTED_VALUE"""),"7d2764f1")</f>
        <v>7d2764f1</v>
      </c>
      <c r="G1804" s="211" t="str">
        <f>IFERROR(__xludf.DUMMYFUNCTION("""COMPUTED_VALUE"""),"Oksigen 7m3")</f>
        <v>Oksigen 7m3</v>
      </c>
      <c r="H1804" s="211" t="str">
        <f>IFERROR(__xludf.DUMMYFUNCTION("""COMPUTED_VALUE"""),"IN")</f>
        <v>IN</v>
      </c>
      <c r="I1804" s="211" t="str">
        <f>IFERROR(__xludf.DUMMYFUNCTION("""COMPUTED_VALUE"""),"EMPTY")</f>
        <v>EMPTY</v>
      </c>
      <c r="J1804" s="211">
        <f>IFERROR(__xludf.DUMMYFUNCTION("""COMPUTED_VALUE"""),2.0)</f>
        <v>2</v>
      </c>
      <c r="K1804" s="210" t="str">
        <f>IFERROR(__xludf.DUMMYFUNCTION("""COMPUTED_VALUE"""),"11162 1137")</f>
        <v>11162 1137</v>
      </c>
      <c r="L1804" s="211">
        <f>IFERROR(__xludf.DUMMYFUNCTION("""COMPUTED_VALUE"""),0.0)</f>
        <v>0</v>
      </c>
      <c r="M1804" s="211"/>
      <c r="N1804" s="211"/>
      <c r="O1804" s="211"/>
      <c r="Q1804" s="210" t="str">
        <f>IFERROR(__xludf.DUMMYFUNCTION("""COMPUTED_VALUE"""),"1125121804")</f>
        <v>1125121804</v>
      </c>
      <c r="R1804" s="210" t="str">
        <f>IFERROR(__xludf.DUMMYFUNCTION("""COMPUTED_VALUE"""),"1125121804")</f>
        <v>1125121804</v>
      </c>
      <c r="S1804" s="211" t="str">
        <f>IFERROR(__xludf.DUMMYFUNCTION("""COMPUTED_VALUE"""),"8ea74d81")</f>
        <v>8ea74d81</v>
      </c>
      <c r="T1804" s="211" t="str">
        <f>IFERROR(__xludf.DUMMYFUNCTION("""COMPUTED_VALUE"""),"Bengkel Adi Putra")</f>
        <v>Bengkel Adi Putra</v>
      </c>
      <c r="U1804" s="215">
        <f>IFERROR(__xludf.DUMMYFUNCTION("""COMPUTED_VALUE"""),45985.54923611111)</f>
        <v>45985.54924</v>
      </c>
      <c r="V1804" s="211" t="str">
        <f>IFERROR(__xludf.DUMMYFUNCTION("""COMPUTED_VALUE"""),"Bypass Balongbendo")</f>
        <v>Bypass Balongbendo</v>
      </c>
      <c r="W1804" s="211" t="str">
        <f>IFERROR(__xludf.DUMMYFUNCTION("""COMPUTED_VALUE"""),"OUT")</f>
        <v>OUT</v>
      </c>
      <c r="X1804" s="211"/>
      <c r="AL1804" s="211"/>
      <c r="AM1804" s="211"/>
      <c r="AN1804" s="211"/>
      <c r="AO1804" s="211"/>
      <c r="AP1804" s="215"/>
      <c r="AQ1804" s="218"/>
      <c r="AR1804" s="211"/>
    </row>
    <row r="1805">
      <c r="A1805" s="210" t="str">
        <f>IFERROR(__xludf.DUMMYFUNCTION("""COMPUTED_VALUE"""),"1250584")</f>
        <v>1250584</v>
      </c>
      <c r="B1805" s="210" t="str">
        <f>IFERROR(__xludf.DUMMYFUNCTION("""COMPUTED_VALUE"""),"1250584")</f>
        <v>1250584</v>
      </c>
      <c r="C1805" s="213">
        <f>IFERROR(__xludf.DUMMYFUNCTION("""COMPUTED_VALUE"""),45919.702465277776)</f>
        <v>45919.70247</v>
      </c>
      <c r="D1805" s="211" t="str">
        <f>IFERROR(__xludf.DUMMYFUNCTION("""COMPUTED_VALUE"""),"8f5ebaea")</f>
        <v>8f5ebaea</v>
      </c>
      <c r="E1805" s="211" t="str">
        <f>IFERROR(__xludf.DUMMYFUNCTION("""COMPUTED_VALUE"""),"PT Hua Zong Mesindo")</f>
        <v>PT Hua Zong Mesindo</v>
      </c>
      <c r="F1805" s="211" t="str">
        <f>IFERROR(__xludf.DUMMYFUNCTION("""COMPUTED_VALUE"""),"8bdbe149")</f>
        <v>8bdbe149</v>
      </c>
      <c r="G1805" s="211" t="str">
        <f>IFERROR(__xludf.DUMMYFUNCTION("""COMPUTED_VALUE"""),"Oksigen 6m3")</f>
        <v>Oksigen 6m3</v>
      </c>
      <c r="H1805" s="211" t="str">
        <f>IFERROR(__xludf.DUMMYFUNCTION("""COMPUTED_VALUE"""),"IN")</f>
        <v>IN</v>
      </c>
      <c r="I1805" s="211" t="str">
        <f>IFERROR(__xludf.DUMMYFUNCTION("""COMPUTED_VALUE"""),"EMPTY")</f>
        <v>EMPTY</v>
      </c>
      <c r="J1805" s="211">
        <f>IFERROR(__xludf.DUMMYFUNCTION("""COMPUTED_VALUE"""),1.0)</f>
        <v>1</v>
      </c>
      <c r="K1805" s="210" t="str">
        <f>IFERROR(__xludf.DUMMYFUNCTION("""COMPUTED_VALUE"""),"1186")</f>
        <v>1186</v>
      </c>
      <c r="L1805" s="211">
        <f>IFERROR(__xludf.DUMMYFUNCTION("""COMPUTED_VALUE"""),0.0)</f>
        <v>0</v>
      </c>
      <c r="M1805" s="211"/>
      <c r="N1805" s="211"/>
      <c r="O1805" s="211"/>
      <c r="Q1805" s="210" t="str">
        <f>IFERROR(__xludf.DUMMYFUNCTION("""COMPUTED_VALUE"""),"112571805")</f>
        <v>112571805</v>
      </c>
      <c r="R1805" s="210" t="str">
        <f>IFERROR(__xludf.DUMMYFUNCTION("""COMPUTED_VALUE"""),"112571805")</f>
        <v>112571805</v>
      </c>
      <c r="S1805" s="211" t="str">
        <f>IFERROR(__xludf.DUMMYFUNCTION("""COMPUTED_VALUE"""),"eec2e801")</f>
        <v>eec2e801</v>
      </c>
      <c r="T1805" s="211" t="str">
        <f>IFERROR(__xludf.DUMMYFUNCTION("""COMPUTED_VALUE"""),"Mitra Wood Sejahtera")</f>
        <v>Mitra Wood Sejahtera</v>
      </c>
      <c r="U1805" s="215">
        <f>IFERROR(__xludf.DUMMYFUNCTION("""COMPUTED_VALUE"""),45985.54944444444)</f>
        <v>45985.54944</v>
      </c>
      <c r="V1805" s="211" t="str">
        <f>IFERROR(__xludf.DUMMYFUNCTION("""COMPUTED_VALUE"""),"Jl.cungkling, Jl. Tanggungan, Nanom Kidul, Lebaniwaras, Kec. Wringinanom, Kabupaten Gresik, Jawa Timur 61176")</f>
        <v>Jl.cungkling, Jl. Tanggungan, Nanom Kidul, Lebaniwaras, Kec. Wringinanom, Kabupaten Gresik, Jawa Timur 61176</v>
      </c>
      <c r="W1805" s="211" t="str">
        <f>IFERROR(__xludf.DUMMYFUNCTION("""COMPUTED_VALUE"""),"OUT")</f>
        <v>OUT</v>
      </c>
      <c r="X1805" s="211"/>
      <c r="AL1805" s="211"/>
      <c r="AM1805" s="211"/>
      <c r="AN1805" s="211"/>
      <c r="AO1805" s="211"/>
      <c r="AP1805" s="215"/>
      <c r="AQ1805" s="218"/>
      <c r="AR1805" s="211"/>
    </row>
    <row r="1806">
      <c r="A1806" s="210" t="str">
        <f>IFERROR(__xludf.DUMMYFUNCTION("""COMPUTED_VALUE"""),"1250584")</f>
        <v>1250584</v>
      </c>
      <c r="B1806" s="210" t="str">
        <f>IFERROR(__xludf.DUMMYFUNCTION("""COMPUTED_VALUE"""),"1250584")</f>
        <v>1250584</v>
      </c>
      <c r="C1806" s="213">
        <f>IFERROR(__xludf.DUMMYFUNCTION("""COMPUTED_VALUE"""),45919.702465277776)</f>
        <v>45919.70247</v>
      </c>
      <c r="D1806" s="211" t="str">
        <f>IFERROR(__xludf.DUMMYFUNCTION("""COMPUTED_VALUE"""),"8f5ebaea")</f>
        <v>8f5ebaea</v>
      </c>
      <c r="E1806" s="211" t="str">
        <f>IFERROR(__xludf.DUMMYFUNCTION("""COMPUTED_VALUE"""),"PT Hua Zong Mesindo")</f>
        <v>PT Hua Zong Mesindo</v>
      </c>
      <c r="F1806" s="211" t="str">
        <f>IFERROR(__xludf.DUMMYFUNCTION("""COMPUTED_VALUE"""),"66af7c72")</f>
        <v>66af7c72</v>
      </c>
      <c r="G1806" s="211" t="str">
        <f>IFERROR(__xludf.DUMMYFUNCTION("""COMPUTED_VALUE"""),"Argon 6m3")</f>
        <v>Argon 6m3</v>
      </c>
      <c r="H1806" s="211" t="str">
        <f>IFERROR(__xludf.DUMMYFUNCTION("""COMPUTED_VALUE"""),"IN")</f>
        <v>IN</v>
      </c>
      <c r="I1806" s="211" t="str">
        <f>IFERROR(__xludf.DUMMYFUNCTION("""COMPUTED_VALUE"""),"EMPTY")</f>
        <v>EMPTY</v>
      </c>
      <c r="J1806" s="211">
        <f>IFERROR(__xludf.DUMMYFUNCTION("""COMPUTED_VALUE"""),4.0)</f>
        <v>4</v>
      </c>
      <c r="K1806" s="210" t="str">
        <f>IFERROR(__xludf.DUMMYFUNCTION("""COMPUTED_VALUE"""),"12032 12056 12009 12004")</f>
        <v>12032 12056 12009 12004</v>
      </c>
      <c r="L1806" s="211">
        <f>IFERROR(__xludf.DUMMYFUNCTION("""COMPUTED_VALUE"""),0.0)</f>
        <v>0</v>
      </c>
      <c r="M1806" s="211"/>
      <c r="N1806" s="211"/>
      <c r="O1806" s="211"/>
      <c r="Q1806" s="210" t="str">
        <f>IFERROR(__xludf.DUMMYFUNCTION("""COMPUTED_VALUE"""),"1250817")</f>
        <v>1250817</v>
      </c>
      <c r="R1806" s="210" t="str">
        <f>IFERROR(__xludf.DUMMYFUNCTION("""COMPUTED_VALUE"""),"1250817")</f>
        <v>1250817</v>
      </c>
      <c r="S1806" s="211" t="str">
        <f>IFERROR(__xludf.DUMMYFUNCTION("""COMPUTED_VALUE"""),"a0f0ad2d")</f>
        <v>a0f0ad2d</v>
      </c>
      <c r="T1806" s="211" t="str">
        <f>IFERROR(__xludf.DUMMYFUNCTION("""COMPUTED_VALUE"""),"CV. Yulie Jaya")</f>
        <v>CV. Yulie Jaya</v>
      </c>
      <c r="U1806" s="215">
        <f>IFERROR(__xludf.DUMMYFUNCTION("""COMPUTED_VALUE"""),45985.5552662037)</f>
        <v>45985.55527</v>
      </c>
      <c r="V1806" s="211" t="str">
        <f>IFERROR(__xludf.DUMMYFUNCTION("""COMPUTED_VALUE"""),"JJH4+6RV, Badas, Barengkrajan, Kec. Krian, Kabupaten Sidoarjo, Jawa Timur 61262")</f>
        <v>JJH4+6RV, Badas, Barengkrajan, Kec. Krian, Kabupaten Sidoarjo, Jawa Timur 61262</v>
      </c>
      <c r="W1806" s="211" t="str">
        <f>IFERROR(__xludf.DUMMYFUNCTION("""COMPUTED_VALUE"""),"IN")</f>
        <v>IN</v>
      </c>
      <c r="X1806" s="211"/>
      <c r="AL1806" s="211"/>
      <c r="AM1806" s="211"/>
      <c r="AN1806" s="211"/>
      <c r="AO1806" s="211"/>
      <c r="AP1806" s="215"/>
      <c r="AQ1806" s="218"/>
      <c r="AR1806" s="211"/>
    </row>
    <row r="1807">
      <c r="A1807" s="210" t="str">
        <f>IFERROR(__xludf.DUMMYFUNCTION("""COMPUTED_VALUE"""),"1250609")</f>
        <v>1250609</v>
      </c>
      <c r="B1807" s="210" t="str">
        <f>IFERROR(__xludf.DUMMYFUNCTION("""COMPUTED_VALUE"""),"1250609")</f>
        <v>1250609</v>
      </c>
      <c r="C1807" s="213">
        <f>IFERROR(__xludf.DUMMYFUNCTION("""COMPUTED_VALUE"""),45919.70353009259)</f>
        <v>45919.70353</v>
      </c>
      <c r="D1807" s="211" t="str">
        <f>IFERROR(__xludf.DUMMYFUNCTION("""COMPUTED_VALUE"""),"5f23ba17")</f>
        <v>5f23ba17</v>
      </c>
      <c r="E1807" s="211" t="str">
        <f>IFERROR(__xludf.DUMMYFUNCTION("""COMPUTED_VALUE"""),"Bpk. Joko (Gresik)")</f>
        <v>Bpk. Joko (Gresik)</v>
      </c>
      <c r="F1807" s="211" t="str">
        <f>IFERROR(__xludf.DUMMYFUNCTION("""COMPUTED_VALUE"""),"be525f3b")</f>
        <v>be525f3b</v>
      </c>
      <c r="G1807" s="211" t="str">
        <f>IFERROR(__xludf.DUMMYFUNCTION("""COMPUTED_VALUE"""),"LPG 12kg")</f>
        <v>LPG 12kg</v>
      </c>
      <c r="H1807" s="211" t="str">
        <f>IFERROR(__xludf.DUMMYFUNCTION("""COMPUTED_VALUE"""),"IN")</f>
        <v>IN</v>
      </c>
      <c r="I1807" s="211" t="str">
        <f>IFERROR(__xludf.DUMMYFUNCTION("""COMPUTED_VALUE"""),"EMPTY")</f>
        <v>EMPTY</v>
      </c>
      <c r="J1807" s="211">
        <f>IFERROR(__xludf.DUMMYFUNCTION("""COMPUTED_VALUE"""),3.0)</f>
        <v>3</v>
      </c>
      <c r="K1807" s="210" t="str">
        <f>IFERROR(__xludf.DUMMYFUNCTION("""COMPUTED_VALUE"""),"01 02 03")</f>
        <v>01 02 03</v>
      </c>
      <c r="L1807" s="211">
        <f>IFERROR(__xludf.DUMMYFUNCTION("""COMPUTED_VALUE"""),0.0)</f>
        <v>0</v>
      </c>
      <c r="M1807" s="211"/>
      <c r="N1807" s="211"/>
      <c r="O1807" s="211"/>
      <c r="Q1807" s="210" t="str">
        <f>IFERROR(__xludf.DUMMYFUNCTION("""COMPUTED_VALUE"""),"1250849")</f>
        <v>1250849</v>
      </c>
      <c r="R1807" s="210" t="str">
        <f>IFERROR(__xludf.DUMMYFUNCTION("""COMPUTED_VALUE"""),"1250849")</f>
        <v>1250849</v>
      </c>
      <c r="S1807" s="211" t="str">
        <f>IFERROR(__xludf.DUMMYFUNCTION("""COMPUTED_VALUE"""),"8f5ebaea")</f>
        <v>8f5ebaea</v>
      </c>
      <c r="T1807" s="211" t="str">
        <f>IFERROR(__xludf.DUMMYFUNCTION("""COMPUTED_VALUE"""),"PT Hua Zong Mesindo")</f>
        <v>PT Hua Zong Mesindo</v>
      </c>
      <c r="U1807" s="215">
        <f>IFERROR(__xludf.DUMMYFUNCTION("""COMPUTED_VALUE"""),45985.59956018518)</f>
        <v>45985.59956</v>
      </c>
      <c r="V1807" s="211" t="str">
        <f>IFERROR(__xludf.DUMMYFUNCTION("""COMPUTED_VALUE"""),"Jl. Bypass Krian, Sidotemo, Sidomulyo, Kec. Krian, Kabupaten Sidoarjo, Jawa Timur 61262")</f>
        <v>Jl. Bypass Krian, Sidotemo, Sidomulyo, Kec. Krian, Kabupaten Sidoarjo, Jawa Timur 61262</v>
      </c>
      <c r="W1807" s="211" t="str">
        <f>IFERROR(__xludf.DUMMYFUNCTION("""COMPUTED_VALUE"""),"IN")</f>
        <v>IN</v>
      </c>
      <c r="X1807" s="211"/>
      <c r="AL1807" s="211"/>
      <c r="AM1807" s="211"/>
      <c r="AN1807" s="211"/>
      <c r="AO1807" s="211"/>
      <c r="AP1807" s="215"/>
      <c r="AQ1807" s="218"/>
      <c r="AR1807" s="211"/>
    </row>
    <row r="1808">
      <c r="A1808" s="210" t="str">
        <f>IFERROR(__xludf.DUMMYFUNCTION("""COMPUTED_VALUE"""),"092561303")</f>
        <v>092561303</v>
      </c>
      <c r="B1808" s="210" t="str">
        <f>IFERROR(__xludf.DUMMYFUNCTION("""COMPUTED_VALUE"""),"092561303")</f>
        <v>092561303</v>
      </c>
      <c r="C1808" s="213">
        <f>IFERROR(__xludf.DUMMYFUNCTION("""COMPUTED_VALUE"""),45920.358194444445)</f>
        <v>45920.35819</v>
      </c>
      <c r="D1808" s="211" t="str">
        <f>IFERROR(__xludf.DUMMYFUNCTION("""COMPUTED_VALUE"""),"8ea74d81")</f>
        <v>8ea74d81</v>
      </c>
      <c r="E1808" s="211" t="str">
        <f>IFERROR(__xludf.DUMMYFUNCTION("""COMPUTED_VALUE"""),"Bengkel Adi Putra")</f>
        <v>Bengkel Adi Putra</v>
      </c>
      <c r="F1808" s="211" t="str">
        <f>IFERROR(__xludf.DUMMYFUNCTION("""COMPUTED_VALUE"""),"ef306e54")</f>
        <v>ef306e54</v>
      </c>
      <c r="G1808" s="211" t="str">
        <f>IFERROR(__xludf.DUMMYFUNCTION("""COMPUTED_VALUE"""),"Karbondioksida")</f>
        <v>Karbondioksida</v>
      </c>
      <c r="H1808" s="211" t="str">
        <f>IFERROR(__xludf.DUMMYFUNCTION("""COMPUTED_VALUE"""),"OUT")</f>
        <v>OUT</v>
      </c>
      <c r="I1808" s="211" t="str">
        <f>IFERROR(__xludf.DUMMYFUNCTION("""COMPUTED_VALUE"""),"NORMAL")</f>
        <v>NORMAL</v>
      </c>
      <c r="J1808" s="211">
        <f>IFERROR(__xludf.DUMMYFUNCTION("""COMPUTED_VALUE"""),1.0)</f>
        <v>1</v>
      </c>
      <c r="K1808" s="210" t="str">
        <f>IFERROR(__xludf.DUMMYFUNCTION("""COMPUTED_VALUE"""),"13011")</f>
        <v>13011</v>
      </c>
      <c r="L1808" s="211">
        <f>IFERROR(__xludf.DUMMYFUNCTION("""COMPUTED_VALUE"""),180000.0)</f>
        <v>180000</v>
      </c>
      <c r="M1808" s="211"/>
      <c r="N1808" s="211"/>
      <c r="O1808" s="211"/>
      <c r="Q1808" s="210" t="str">
        <f>IFERROR(__xludf.DUMMYFUNCTION("""COMPUTED_VALUE"""),"1250850")</f>
        <v>1250850</v>
      </c>
      <c r="R1808" s="210" t="str">
        <f>IFERROR(__xludf.DUMMYFUNCTION("""COMPUTED_VALUE"""),"1250850")</f>
        <v>1250850</v>
      </c>
      <c r="S1808" s="211" t="str">
        <f>IFERROR(__xludf.DUMMYFUNCTION("""COMPUTED_VALUE"""),"ec231cc9")</f>
        <v>ec231cc9</v>
      </c>
      <c r="T1808" s="211" t="str">
        <f>IFERROR(__xludf.DUMMYFUNCTION("""COMPUTED_VALUE"""),"Bpk. Kohir (Maintenance Velg)")</f>
        <v>Bpk. Kohir (Maintenance Velg)</v>
      </c>
      <c r="U1808" s="215">
        <f>IFERROR(__xludf.DUMMYFUNCTION("""COMPUTED_VALUE"""),45985.600625)</f>
        <v>45985.60063</v>
      </c>
      <c r="V1808" s="211" t="str">
        <f>IFERROR(__xludf.DUMMYFUNCTION("""COMPUTED_VALUE"""),"Jl. Lkr. Bypass Krian Timur, Sidogolong, Watugolong, Kec. Krian, Kabupaten Sidoarjo, Jawa Timur 61262")</f>
        <v>Jl. Lkr. Bypass Krian Timur, Sidogolong, Watugolong, Kec. Krian, Kabupaten Sidoarjo, Jawa Timur 61262</v>
      </c>
      <c r="W1808" s="211" t="str">
        <f>IFERROR(__xludf.DUMMYFUNCTION("""COMPUTED_VALUE"""),"IN")</f>
        <v>IN</v>
      </c>
      <c r="X1808" s="211"/>
      <c r="AL1808" s="211"/>
      <c r="AM1808" s="211"/>
      <c r="AN1808" s="211"/>
      <c r="AO1808" s="211"/>
      <c r="AP1808" s="215"/>
      <c r="AQ1808" s="218"/>
      <c r="AR1808" s="211"/>
    </row>
    <row r="1809">
      <c r="A1809" s="210" t="str">
        <f>IFERROR(__xludf.DUMMYFUNCTION("""COMPUTED_VALUE"""),"092561303")</f>
        <v>092561303</v>
      </c>
      <c r="B1809" s="210" t="str">
        <f>IFERROR(__xludf.DUMMYFUNCTION("""COMPUTED_VALUE"""),"092561303")</f>
        <v>092561303</v>
      </c>
      <c r="C1809" s="213">
        <f>IFERROR(__xludf.DUMMYFUNCTION("""COMPUTED_VALUE"""),45920.358194444445)</f>
        <v>45920.35819</v>
      </c>
      <c r="D1809" s="211" t="str">
        <f>IFERROR(__xludf.DUMMYFUNCTION("""COMPUTED_VALUE"""),"8ea74d81")</f>
        <v>8ea74d81</v>
      </c>
      <c r="E1809" s="211" t="str">
        <f>IFERROR(__xludf.DUMMYFUNCTION("""COMPUTED_VALUE"""),"Bengkel Adi Putra")</f>
        <v>Bengkel Adi Putra</v>
      </c>
      <c r="F1809" s="211" t="str">
        <f>IFERROR(__xludf.DUMMYFUNCTION("""COMPUTED_VALUE"""),"8bdbe149")</f>
        <v>8bdbe149</v>
      </c>
      <c r="G1809" s="211" t="str">
        <f>IFERROR(__xludf.DUMMYFUNCTION("""COMPUTED_VALUE"""),"Oksigen 6m3")</f>
        <v>Oksigen 6m3</v>
      </c>
      <c r="H1809" s="211" t="str">
        <f>IFERROR(__xludf.DUMMYFUNCTION("""COMPUTED_VALUE"""),"OUT")</f>
        <v>OUT</v>
      </c>
      <c r="I1809" s="211" t="str">
        <f>IFERROR(__xludf.DUMMYFUNCTION("""COMPUTED_VALUE"""),"NORMAL")</f>
        <v>NORMAL</v>
      </c>
      <c r="J1809" s="211">
        <f>IFERROR(__xludf.DUMMYFUNCTION("""COMPUTED_VALUE"""),1.0)</f>
        <v>1</v>
      </c>
      <c r="K1809" s="210" t="str">
        <f>IFERROR(__xludf.DUMMYFUNCTION("""COMPUTED_VALUE"""),"11122")</f>
        <v>11122</v>
      </c>
      <c r="L1809" s="211">
        <f>IFERROR(__xludf.DUMMYFUNCTION("""COMPUTED_VALUE"""),70000.0)</f>
        <v>70000</v>
      </c>
      <c r="M1809" s="211"/>
      <c r="N1809" s="211"/>
      <c r="O1809" s="211"/>
      <c r="Q1809" s="210" t="str">
        <f>IFERROR(__xludf.DUMMYFUNCTION("""COMPUTED_VALUE"""),"1250851")</f>
        <v>1250851</v>
      </c>
      <c r="R1809" s="210" t="str">
        <f>IFERROR(__xludf.DUMMYFUNCTION("""COMPUTED_VALUE"""),"1250851")</f>
        <v>1250851</v>
      </c>
      <c r="S1809" s="211" t="str">
        <f>IFERROR(__xludf.DUMMYFUNCTION("""COMPUTED_VALUE"""),"a0f0ad2d")</f>
        <v>a0f0ad2d</v>
      </c>
      <c r="T1809" s="211" t="str">
        <f>IFERROR(__xludf.DUMMYFUNCTION("""COMPUTED_VALUE"""),"CV. Yulie Jaya")</f>
        <v>CV. Yulie Jaya</v>
      </c>
      <c r="U1809" s="215">
        <f>IFERROR(__xludf.DUMMYFUNCTION("""COMPUTED_VALUE"""),45985.60313657407)</f>
        <v>45985.60314</v>
      </c>
      <c r="V1809" s="211" t="str">
        <f>IFERROR(__xludf.DUMMYFUNCTION("""COMPUTED_VALUE"""),"JJH4+6RV, Badas, Barengkrajan, Kec. Krian, Kabupaten Sidoarjo, Jawa Timur 61262")</f>
        <v>JJH4+6RV, Badas, Barengkrajan, Kec. Krian, Kabupaten Sidoarjo, Jawa Timur 61262</v>
      </c>
      <c r="W1809" s="211" t="str">
        <f>IFERROR(__xludf.DUMMYFUNCTION("""COMPUTED_VALUE"""),"IN")</f>
        <v>IN</v>
      </c>
      <c r="X1809" s="211"/>
      <c r="AL1809" s="211"/>
      <c r="AM1809" s="211"/>
      <c r="AN1809" s="211"/>
      <c r="AO1809" s="211"/>
      <c r="AP1809" s="215"/>
      <c r="AQ1809" s="218"/>
      <c r="AR1809" s="211"/>
    </row>
    <row r="1810">
      <c r="A1810" s="210" t="str">
        <f>IFERROR(__xludf.DUMMYFUNCTION("""COMPUTED_VALUE"""),"1250607")</f>
        <v>1250607</v>
      </c>
      <c r="B1810" s="210" t="str">
        <f>IFERROR(__xludf.DUMMYFUNCTION("""COMPUTED_VALUE"""),"1250607")</f>
        <v>1250607</v>
      </c>
      <c r="C1810" s="213">
        <f>IFERROR(__xludf.DUMMYFUNCTION("""COMPUTED_VALUE"""),45920.51771990741)</f>
        <v>45920.51772</v>
      </c>
      <c r="D1810" s="211" t="str">
        <f>IFERROR(__xludf.DUMMYFUNCTION("""COMPUTED_VALUE"""),"e86baf3b")</f>
        <v>e86baf3b</v>
      </c>
      <c r="E1810" s="211" t="str">
        <f>IFERROR(__xludf.DUMMYFUNCTION("""COMPUTED_VALUE"""),"PT GEMILANG CIPTA WAWASAN")</f>
        <v>PT GEMILANG CIPTA WAWASAN</v>
      </c>
      <c r="F1810" s="211" t="str">
        <f>IFERROR(__xludf.DUMMYFUNCTION("""COMPUTED_VALUE"""),"8bdbe149")</f>
        <v>8bdbe149</v>
      </c>
      <c r="G1810" s="211" t="str">
        <f>IFERROR(__xludf.DUMMYFUNCTION("""COMPUTED_VALUE"""),"Oksigen 6m3")</f>
        <v>Oksigen 6m3</v>
      </c>
      <c r="H1810" s="211" t="str">
        <f>IFERROR(__xludf.DUMMYFUNCTION("""COMPUTED_VALUE"""),"IN")</f>
        <v>IN</v>
      </c>
      <c r="I1810" s="211" t="str">
        <f>IFERROR(__xludf.DUMMYFUNCTION("""COMPUTED_VALUE"""),"EMPTY")</f>
        <v>EMPTY</v>
      </c>
      <c r="J1810" s="211">
        <f>IFERROR(__xludf.DUMMYFUNCTION("""COMPUTED_VALUE"""),3.0)</f>
        <v>3</v>
      </c>
      <c r="K1810" s="210" t="str">
        <f>IFERROR(__xludf.DUMMYFUNCTION("""COMPUTED_VALUE"""),"11196 11168 11291")</f>
        <v>11196 11168 11291</v>
      </c>
      <c r="L1810" s="211">
        <f>IFERROR(__xludf.DUMMYFUNCTION("""COMPUTED_VALUE"""),0.0)</f>
        <v>0</v>
      </c>
      <c r="M1810" s="211"/>
      <c r="N1810" s="211"/>
      <c r="O1810" s="211"/>
      <c r="Q1810" s="210" t="str">
        <f>IFERROR(__xludf.DUMMYFUNCTION("""COMPUTED_VALUE"""),"1250818")</f>
        <v>1250818</v>
      </c>
      <c r="R1810" s="210" t="str">
        <f>IFERROR(__xludf.DUMMYFUNCTION("""COMPUTED_VALUE"""),"1250818")</f>
        <v>1250818</v>
      </c>
      <c r="S1810" s="211" t="str">
        <f>IFERROR(__xludf.DUMMYFUNCTION("""COMPUTED_VALUE"""),"8ea74d81")</f>
        <v>8ea74d81</v>
      </c>
      <c r="T1810" s="211" t="str">
        <f>IFERROR(__xludf.DUMMYFUNCTION("""COMPUTED_VALUE"""),"Bengkel Adi Putra")</f>
        <v>Bengkel Adi Putra</v>
      </c>
      <c r="U1810" s="215">
        <f>IFERROR(__xludf.DUMMYFUNCTION("""COMPUTED_VALUE"""),45985.671064814815)</f>
        <v>45985.67106</v>
      </c>
      <c r="V1810" s="211" t="str">
        <f>IFERROR(__xludf.DUMMYFUNCTION("""COMPUTED_VALUE"""),"Bypass Balongbendo")</f>
        <v>Bypass Balongbendo</v>
      </c>
      <c r="W1810" s="211" t="str">
        <f>IFERROR(__xludf.DUMMYFUNCTION("""COMPUTED_VALUE"""),"IN")</f>
        <v>IN</v>
      </c>
      <c r="X1810" s="211"/>
      <c r="AL1810" s="211"/>
      <c r="AM1810" s="211"/>
      <c r="AN1810" s="211"/>
      <c r="AO1810" s="211"/>
      <c r="AP1810" s="215"/>
      <c r="AQ1810" s="218"/>
      <c r="AR1810" s="211"/>
    </row>
    <row r="1811">
      <c r="A1811" s="210" t="str">
        <f>IFERROR(__xludf.DUMMYFUNCTION("""COMPUTED_VALUE"""),"1250607")</f>
        <v>1250607</v>
      </c>
      <c r="B1811" s="210" t="str">
        <f>IFERROR(__xludf.DUMMYFUNCTION("""COMPUTED_VALUE"""),"1250607")</f>
        <v>1250607</v>
      </c>
      <c r="C1811" s="213">
        <f>IFERROR(__xludf.DUMMYFUNCTION("""COMPUTED_VALUE"""),45920.51771990741)</f>
        <v>45920.51772</v>
      </c>
      <c r="D1811" s="211" t="str">
        <f>IFERROR(__xludf.DUMMYFUNCTION("""COMPUTED_VALUE"""),"e86baf3b")</f>
        <v>e86baf3b</v>
      </c>
      <c r="E1811" s="211" t="str">
        <f>IFERROR(__xludf.DUMMYFUNCTION("""COMPUTED_VALUE"""),"PT GEMILANG CIPTA WAWASAN")</f>
        <v>PT GEMILANG CIPTA WAWASAN</v>
      </c>
      <c r="F1811" s="211" t="str">
        <f>IFERROR(__xludf.DUMMYFUNCTION("""COMPUTED_VALUE"""),"66af7c72")</f>
        <v>66af7c72</v>
      </c>
      <c r="G1811" s="211" t="str">
        <f>IFERROR(__xludf.DUMMYFUNCTION("""COMPUTED_VALUE"""),"Argon 6m3")</f>
        <v>Argon 6m3</v>
      </c>
      <c r="H1811" s="211" t="str">
        <f>IFERROR(__xludf.DUMMYFUNCTION("""COMPUTED_VALUE"""),"IN")</f>
        <v>IN</v>
      </c>
      <c r="I1811" s="211" t="str">
        <f>IFERROR(__xludf.DUMMYFUNCTION("""COMPUTED_VALUE"""),"EMPTY")</f>
        <v>EMPTY</v>
      </c>
      <c r="J1811" s="211">
        <f>IFERROR(__xludf.DUMMYFUNCTION("""COMPUTED_VALUE"""),14.0)</f>
        <v>14</v>
      </c>
      <c r="K1811" s="210" t="str">
        <f>IFERROR(__xludf.DUMMYFUNCTION("""COMPUTED_VALUE"""),"12066 12025 12078 12019 12034 12006 12052 12049 12053 12060 12061 12050 12057 12018")</f>
        <v>12066 12025 12078 12019 12034 12006 12052 12049 12053 12060 12061 12050 12057 12018</v>
      </c>
      <c r="L1811" s="211">
        <f>IFERROR(__xludf.DUMMYFUNCTION("""COMPUTED_VALUE"""),0.0)</f>
        <v>0</v>
      </c>
      <c r="M1811" s="211"/>
      <c r="N1811" s="211"/>
      <c r="O1811" s="211"/>
      <c r="Q1811" s="210" t="str">
        <f>IFERROR(__xludf.DUMMYFUNCTION("""COMPUTED_VALUE"""),"1250860")</f>
        <v>1250860</v>
      </c>
      <c r="R1811" s="210" t="str">
        <f>IFERROR(__xludf.DUMMYFUNCTION("""COMPUTED_VALUE"""),"1250860")</f>
        <v>1250860</v>
      </c>
      <c r="S1811" s="211" t="str">
        <f>IFERROR(__xludf.DUMMYFUNCTION("""COMPUTED_VALUE"""),"faf71ae5")</f>
        <v>faf71ae5</v>
      </c>
      <c r="T1811" s="211" t="str">
        <f>IFERROR(__xludf.DUMMYFUNCTION("""COMPUTED_VALUE"""),"Bpk. Sampurna")</f>
        <v>Bpk. Sampurna</v>
      </c>
      <c r="U1811" s="215">
        <f>IFERROR(__xludf.DUMMYFUNCTION("""COMPUTED_VALUE"""),45985.67508101852)</f>
        <v>45985.67508</v>
      </c>
      <c r="V1811" s="211" t="str">
        <f>IFERROR(__xludf.DUMMYFUNCTION("""COMPUTED_VALUE"""),"Jl. Bypass Krian KM.30 No.15, Kraton, Kec. Krian, Kabupaten Sidoarjo, Jawa Timur 61262")</f>
        <v>Jl. Bypass Krian KM.30 No.15, Kraton, Kec. Krian, Kabupaten Sidoarjo, Jawa Timur 61262</v>
      </c>
      <c r="W1811" s="211" t="str">
        <f>IFERROR(__xludf.DUMMYFUNCTION("""COMPUTED_VALUE"""),"IN")</f>
        <v>IN</v>
      </c>
      <c r="X1811" s="211"/>
      <c r="AL1811" s="211"/>
      <c r="AM1811" s="211"/>
      <c r="AN1811" s="211"/>
      <c r="AO1811" s="211"/>
      <c r="AP1811" s="215"/>
      <c r="AQ1811" s="218"/>
      <c r="AR1811" s="211"/>
    </row>
    <row r="1812">
      <c r="A1812" s="210" t="str">
        <f>IFERROR(__xludf.DUMMYFUNCTION("""COMPUTED_VALUE"""),"1250608")</f>
        <v>1250608</v>
      </c>
      <c r="B1812" s="210" t="str">
        <f>IFERROR(__xludf.DUMMYFUNCTION("""COMPUTED_VALUE"""),"1250608")</f>
        <v>1250608</v>
      </c>
      <c r="C1812" s="213">
        <f>IFERROR(__xludf.DUMMYFUNCTION("""COMPUTED_VALUE"""),45920.51974537037)</f>
        <v>45920.51975</v>
      </c>
      <c r="D1812" s="211" t="str">
        <f>IFERROR(__xludf.DUMMYFUNCTION("""COMPUTED_VALUE"""),"8ea74d81")</f>
        <v>8ea74d81</v>
      </c>
      <c r="E1812" s="211" t="str">
        <f>IFERROR(__xludf.DUMMYFUNCTION("""COMPUTED_VALUE"""),"Bengkel Adi Putra")</f>
        <v>Bengkel Adi Putra</v>
      </c>
      <c r="F1812" s="211" t="str">
        <f>IFERROR(__xludf.DUMMYFUNCTION("""COMPUTED_VALUE"""),"8bdbe149")</f>
        <v>8bdbe149</v>
      </c>
      <c r="G1812" s="211" t="str">
        <f>IFERROR(__xludf.DUMMYFUNCTION("""COMPUTED_VALUE"""),"Oksigen 6m3")</f>
        <v>Oksigen 6m3</v>
      </c>
      <c r="H1812" s="211" t="str">
        <f>IFERROR(__xludf.DUMMYFUNCTION("""COMPUTED_VALUE"""),"IN")</f>
        <v>IN</v>
      </c>
      <c r="I1812" s="211" t="str">
        <f>IFERROR(__xludf.DUMMYFUNCTION("""COMPUTED_VALUE"""),"EMPTY")</f>
        <v>EMPTY</v>
      </c>
      <c r="J1812" s="211">
        <f>IFERROR(__xludf.DUMMYFUNCTION("""COMPUTED_VALUE"""),1.0)</f>
        <v>1</v>
      </c>
      <c r="K1812" s="210" t="str">
        <f>IFERROR(__xludf.DUMMYFUNCTION("""COMPUTED_VALUE"""),"11178")</f>
        <v>11178</v>
      </c>
      <c r="L1812" s="211">
        <f>IFERROR(__xludf.DUMMYFUNCTION("""COMPUTED_VALUE"""),0.0)</f>
        <v>0</v>
      </c>
      <c r="M1812" s="211"/>
      <c r="N1812" s="211"/>
      <c r="O1812" s="211"/>
      <c r="Q1812" s="210" t="str">
        <f>IFERROR(__xludf.DUMMYFUNCTION("""COMPUTED_VALUE"""),"1250819")</f>
        <v>1250819</v>
      </c>
      <c r="R1812" s="210" t="str">
        <f>IFERROR(__xludf.DUMMYFUNCTION("""COMPUTED_VALUE"""),"1250819")</f>
        <v>1250819</v>
      </c>
      <c r="S1812" s="211" t="str">
        <f>IFERROR(__xludf.DUMMYFUNCTION("""COMPUTED_VALUE"""),"56828503")</f>
        <v>56828503</v>
      </c>
      <c r="T1812" s="211" t="str">
        <f>IFERROR(__xludf.DUMMYFUNCTION("""COMPUTED_VALUE"""),"Bpk. Widodo (Wringinanom)")</f>
        <v>Bpk. Widodo (Wringinanom)</v>
      </c>
      <c r="U1812" s="215">
        <f>IFERROR(__xludf.DUMMYFUNCTION("""COMPUTED_VALUE"""),45985.676203703704)</f>
        <v>45985.6762</v>
      </c>
      <c r="V1812" s="211" t="str">
        <f>IFERROR(__xludf.DUMMYFUNCTION("""COMPUTED_VALUE"""),"JG4H+3J Area Sawah/Kebun, Lebaniwaras, Kec. Wringinanom, Kabupaten Gresik, Jawa Timur, Indonesia")</f>
        <v>JG4H+3J Area Sawah/Kebun, Lebaniwaras, Kec. Wringinanom, Kabupaten Gresik, Jawa Timur, Indonesia</v>
      </c>
      <c r="W1812" s="211" t="str">
        <f>IFERROR(__xludf.DUMMYFUNCTION("""COMPUTED_VALUE"""),"IN")</f>
        <v>IN</v>
      </c>
      <c r="X1812" s="211"/>
      <c r="AL1812" s="211"/>
      <c r="AM1812" s="211"/>
      <c r="AN1812" s="211"/>
      <c r="AO1812" s="211"/>
      <c r="AP1812" s="215"/>
      <c r="AQ1812" s="218"/>
      <c r="AR1812" s="211"/>
    </row>
    <row r="1813">
      <c r="A1813" s="210" t="str">
        <f>IFERROR(__xludf.DUMMYFUNCTION("""COMPUTED_VALUE"""),"1250608")</f>
        <v>1250608</v>
      </c>
      <c r="B1813" s="210" t="str">
        <f>IFERROR(__xludf.DUMMYFUNCTION("""COMPUTED_VALUE"""),"1250608")</f>
        <v>1250608</v>
      </c>
      <c r="C1813" s="213">
        <f>IFERROR(__xludf.DUMMYFUNCTION("""COMPUTED_VALUE"""),45920.51974537037)</f>
        <v>45920.51975</v>
      </c>
      <c r="D1813" s="211" t="str">
        <f>IFERROR(__xludf.DUMMYFUNCTION("""COMPUTED_VALUE"""),"8ea74d81")</f>
        <v>8ea74d81</v>
      </c>
      <c r="E1813" s="211" t="str">
        <f>IFERROR(__xludf.DUMMYFUNCTION("""COMPUTED_VALUE"""),"Bengkel Adi Putra")</f>
        <v>Bengkel Adi Putra</v>
      </c>
      <c r="F1813" s="211" t="str">
        <f>IFERROR(__xludf.DUMMYFUNCTION("""COMPUTED_VALUE"""),"ef306e54")</f>
        <v>ef306e54</v>
      </c>
      <c r="G1813" s="211" t="str">
        <f>IFERROR(__xludf.DUMMYFUNCTION("""COMPUTED_VALUE"""),"Karbondioksida")</f>
        <v>Karbondioksida</v>
      </c>
      <c r="H1813" s="211" t="str">
        <f>IFERROR(__xludf.DUMMYFUNCTION("""COMPUTED_VALUE"""),"IN")</f>
        <v>IN</v>
      </c>
      <c r="I1813" s="211" t="str">
        <f>IFERROR(__xludf.DUMMYFUNCTION("""COMPUTED_VALUE"""),"EMPTY")</f>
        <v>EMPTY</v>
      </c>
      <c r="J1813" s="211">
        <f>IFERROR(__xludf.DUMMYFUNCTION("""COMPUTED_VALUE"""),1.0)</f>
        <v>1</v>
      </c>
      <c r="K1813" s="210" t="str">
        <f>IFERROR(__xludf.DUMMYFUNCTION("""COMPUTED_VALUE"""),"13032")</f>
        <v>13032</v>
      </c>
      <c r="L1813" s="211">
        <f>IFERROR(__xludf.DUMMYFUNCTION("""COMPUTED_VALUE"""),0.0)</f>
        <v>0</v>
      </c>
      <c r="M1813" s="211"/>
      <c r="N1813" s="211"/>
      <c r="O1813" s="211"/>
      <c r="Q1813" s="210" t="str">
        <f>IFERROR(__xludf.DUMMYFUNCTION("""COMPUTED_VALUE"""),"112511806")</f>
        <v>112511806</v>
      </c>
      <c r="R1813" s="210" t="str">
        <f>IFERROR(__xludf.DUMMYFUNCTION("""COMPUTED_VALUE"""),"112511806")</f>
        <v>112511806</v>
      </c>
      <c r="S1813" s="211" t="str">
        <f>IFERROR(__xludf.DUMMYFUNCTION("""COMPUTED_VALUE"""),"03ff52db")</f>
        <v>03ff52db</v>
      </c>
      <c r="T1813" s="211" t="str">
        <f>IFERROR(__xludf.DUMMYFUNCTION("""COMPUTED_VALUE"""),"Aneka Teknik Logam")</f>
        <v>Aneka Teknik Logam</v>
      </c>
      <c r="U1813" s="215">
        <f>IFERROR(__xludf.DUMMYFUNCTION("""COMPUTED_VALUE"""),45986.35318287037)</f>
        <v>45986.35318</v>
      </c>
      <c r="V1813" s="211" t="str">
        <f>IFERROR(__xludf.DUMMYFUNCTION("""COMPUTED_VALUE"""),"HH8G+MQC, Areng Areng, Tropodo, Kec. Krian, Kabupaten Sidoarjo, Jawa Timur 61262")</f>
        <v>HH8G+MQC, Areng Areng, Tropodo, Kec. Krian, Kabupaten Sidoarjo, Jawa Timur 61262</v>
      </c>
      <c r="W1813" s="211" t="str">
        <f>IFERROR(__xludf.DUMMYFUNCTION("""COMPUTED_VALUE"""),"OUT")</f>
        <v>OUT</v>
      </c>
      <c r="X1813" s="211"/>
      <c r="AL1813" s="211"/>
      <c r="AM1813" s="211"/>
      <c r="AN1813" s="211"/>
      <c r="AO1813" s="211"/>
      <c r="AP1813" s="215"/>
      <c r="AQ1813" s="218"/>
      <c r="AR1813" s="211"/>
    </row>
    <row r="1814">
      <c r="A1814" s="210" t="str">
        <f>IFERROR(__xludf.DUMMYFUNCTION("""COMPUTED_VALUE"""),"1250606")</f>
        <v>1250606</v>
      </c>
      <c r="B1814" s="210" t="str">
        <f>IFERROR(__xludf.DUMMYFUNCTION("""COMPUTED_VALUE"""),"1250606")</f>
        <v>1250606</v>
      </c>
      <c r="C1814" s="213">
        <f>IFERROR(__xludf.DUMMYFUNCTION("""COMPUTED_VALUE"""),45922.45142361111)</f>
        <v>45922.45142</v>
      </c>
      <c r="D1814" s="211" t="str">
        <f>IFERROR(__xludf.DUMMYFUNCTION("""COMPUTED_VALUE"""),"196b24da")</f>
        <v>196b24da</v>
      </c>
      <c r="E1814" s="211" t="str">
        <f>IFERROR(__xludf.DUMMYFUNCTION("""COMPUTED_VALUE"""),"PT Samudra Cipta Enjineering")</f>
        <v>PT Samudra Cipta Enjineering</v>
      </c>
      <c r="F1814" s="211" t="str">
        <f>IFERROR(__xludf.DUMMYFUNCTION("""COMPUTED_VALUE"""),"b7a8fff1")</f>
        <v>b7a8fff1</v>
      </c>
      <c r="G1814" s="211" t="str">
        <f>IFERROR(__xludf.DUMMYFUNCTION("""COMPUTED_VALUE"""),"LPG 50kg")</f>
        <v>LPG 50kg</v>
      </c>
      <c r="H1814" s="211" t="str">
        <f>IFERROR(__xludf.DUMMYFUNCTION("""COMPUTED_VALUE"""),"IN")</f>
        <v>IN</v>
      </c>
      <c r="I1814" s="211" t="str">
        <f>IFERROR(__xludf.DUMMYFUNCTION("""COMPUTED_VALUE"""),"CLAIM")</f>
        <v>CLAIM</v>
      </c>
      <c r="J1814" s="211">
        <f>IFERROR(__xludf.DUMMYFUNCTION("""COMPUTED_VALUE"""),1.0)</f>
        <v>1</v>
      </c>
      <c r="K1814" s="211"/>
      <c r="L1814" s="211">
        <f>IFERROR(__xludf.DUMMYFUNCTION("""COMPUTED_VALUE"""),0.0)</f>
        <v>0</v>
      </c>
      <c r="M1814" s="211"/>
      <c r="N1814" s="211"/>
      <c r="O1814" s="211"/>
      <c r="Q1814" s="210" t="str">
        <f>IFERROR(__xludf.DUMMYFUNCTION("""COMPUTED_VALUE"""),"112561814")</f>
        <v>112561814</v>
      </c>
      <c r="R1814" s="210" t="str">
        <f>IFERROR(__xludf.DUMMYFUNCTION("""COMPUTED_VALUE"""),"112561814")</f>
        <v>112561814</v>
      </c>
      <c r="S1814" s="211" t="str">
        <f>IFERROR(__xludf.DUMMYFUNCTION("""COMPUTED_VALUE"""),"440df1db")</f>
        <v>440df1db</v>
      </c>
      <c r="T1814" s="211" t="str">
        <f>IFERROR(__xludf.DUMMYFUNCTION("""COMPUTED_VALUE"""),"PT. Mecca Abadi Sejahtera")</f>
        <v>PT. Mecca Abadi Sejahtera</v>
      </c>
      <c r="U1814" s="215">
        <f>IFERROR(__xludf.DUMMYFUNCTION("""COMPUTED_VALUE"""),45986.38753472222)</f>
        <v>45986.38753</v>
      </c>
      <c r="V1814" s="211" t="str">
        <f>IFERROR(__xludf.DUMMYFUNCTION("""COMPUTED_VALUE"""),"Jl. Raya Sawocangkring, RT.006/RW.002, Sawo, Sawocangkring, Kec. Wonoayu, Kabupaten Sidoarjo, Jawa Timur 61261")</f>
        <v>Jl. Raya Sawocangkring, RT.006/RW.002, Sawo, Sawocangkring, Kec. Wonoayu, Kabupaten Sidoarjo, Jawa Timur 61261</v>
      </c>
      <c r="W1814" s="211" t="str">
        <f>IFERROR(__xludf.DUMMYFUNCTION("""COMPUTED_VALUE"""),"OUT")</f>
        <v>OUT</v>
      </c>
      <c r="X1814" s="211"/>
      <c r="AL1814" s="211"/>
      <c r="AM1814" s="211"/>
      <c r="AN1814" s="211"/>
      <c r="AO1814" s="211"/>
      <c r="AP1814" s="215"/>
      <c r="AQ1814" s="218"/>
      <c r="AR1814" s="211"/>
    </row>
    <row r="1815">
      <c r="A1815" s="210" t="str">
        <f>IFERROR(__xludf.DUMMYFUNCTION("""COMPUTED_VALUE"""),"0925511307")</f>
        <v>0925511307</v>
      </c>
      <c r="B1815" s="210" t="str">
        <f>IFERROR(__xludf.DUMMYFUNCTION("""COMPUTED_VALUE"""),"0925511307")</f>
        <v>0925511307</v>
      </c>
      <c r="C1815" s="213">
        <f>IFERROR(__xludf.DUMMYFUNCTION("""COMPUTED_VALUE"""),45922.60189814815)</f>
        <v>45922.6019</v>
      </c>
      <c r="D1815" s="211" t="str">
        <f>IFERROR(__xludf.DUMMYFUNCTION("""COMPUTED_VALUE"""),"e86baf3b")</f>
        <v>e86baf3b</v>
      </c>
      <c r="E1815" s="211" t="str">
        <f>IFERROR(__xludf.DUMMYFUNCTION("""COMPUTED_VALUE"""),"PT GEMILANG CIPTA WAWASAN")</f>
        <v>PT GEMILANG CIPTA WAWASAN</v>
      </c>
      <c r="F1815" s="211" t="str">
        <f>IFERROR(__xludf.DUMMYFUNCTION("""COMPUTED_VALUE"""),"66af7c72")</f>
        <v>66af7c72</v>
      </c>
      <c r="G1815" s="211" t="str">
        <f>IFERROR(__xludf.DUMMYFUNCTION("""COMPUTED_VALUE"""),"Argon 6m3")</f>
        <v>Argon 6m3</v>
      </c>
      <c r="H1815" s="211" t="str">
        <f>IFERROR(__xludf.DUMMYFUNCTION("""COMPUTED_VALUE"""),"OUT")</f>
        <v>OUT</v>
      </c>
      <c r="I1815" s="211" t="str">
        <f>IFERROR(__xludf.DUMMYFUNCTION("""COMPUTED_VALUE"""),"NORMAL")</f>
        <v>NORMAL</v>
      </c>
      <c r="J1815" s="211">
        <f>IFERROR(__xludf.DUMMYFUNCTION("""COMPUTED_VALUE"""),10.0)</f>
        <v>10</v>
      </c>
      <c r="K1815" s="210" t="str">
        <f>IFERROR(__xludf.DUMMYFUNCTION("""COMPUTED_VALUE"""),"12081 12082 12084 12080 12083 12079 12049 12043 12069 12062")</f>
        <v>12081 12082 12084 12080 12083 12079 12049 12043 12069 12062</v>
      </c>
      <c r="L1815" s="211">
        <f>IFERROR(__xludf.DUMMYFUNCTION("""COMPUTED_VALUE"""),185000.0)</f>
        <v>185000</v>
      </c>
      <c r="M1815" s="211"/>
      <c r="N1815" s="211"/>
      <c r="O1815" s="211"/>
      <c r="Q1815" s="210" t="str">
        <f>IFERROR(__xludf.DUMMYFUNCTION("""COMPUTED_VALUE"""),"112531815")</f>
        <v>112531815</v>
      </c>
      <c r="R1815" s="210" t="str">
        <f>IFERROR(__xludf.DUMMYFUNCTION("""COMPUTED_VALUE"""),"112531815")</f>
        <v>112531815</v>
      </c>
      <c r="S1815" s="211" t="str">
        <f>IFERROR(__xludf.DUMMYFUNCTION("""COMPUTED_VALUE"""),"ba97d58d")</f>
        <v>ba97d58d</v>
      </c>
      <c r="T1815" s="211" t="str">
        <f>IFERROR(__xludf.DUMMYFUNCTION("""COMPUTED_VALUE"""),"Bengkel Citra Mojosari")</f>
        <v>Bengkel Citra Mojosari</v>
      </c>
      <c r="U1815" s="215">
        <f>IFERROR(__xludf.DUMMYFUNCTION("""COMPUTED_VALUE"""),45986.469189814816)</f>
        <v>45986.46919</v>
      </c>
      <c r="V1815" s="211" t="str">
        <f>IFERROR(__xludf.DUMMYFUNCTION("""COMPUTED_VALUE"""),"Jl. Raden Wijaya, Kemloko, Jotangan, Kec. Mojosari, Kabupaten Mojokerto, Jawa Timur 61382")</f>
        <v>Jl. Raden Wijaya, Kemloko, Jotangan, Kec. Mojosari, Kabupaten Mojokerto, Jawa Timur 61382</v>
      </c>
      <c r="W1815" s="211" t="str">
        <f>IFERROR(__xludf.DUMMYFUNCTION("""COMPUTED_VALUE"""),"OUT")</f>
        <v>OUT</v>
      </c>
      <c r="X1815" s="211"/>
      <c r="AL1815" s="211"/>
      <c r="AM1815" s="211"/>
      <c r="AN1815" s="211"/>
      <c r="AO1815" s="211"/>
      <c r="AP1815" s="215"/>
      <c r="AQ1815" s="218"/>
      <c r="AR1815" s="211"/>
    </row>
    <row r="1816">
      <c r="A1816" s="210" t="str">
        <f>IFERROR(__xludf.DUMMYFUNCTION("""COMPUTED_VALUE"""),"1250605")</f>
        <v>1250605</v>
      </c>
      <c r="B1816" s="210" t="str">
        <f>IFERROR(__xludf.DUMMYFUNCTION("""COMPUTED_VALUE"""),"1250605")</f>
        <v>1250605</v>
      </c>
      <c r="C1816" s="213">
        <f>IFERROR(__xludf.DUMMYFUNCTION("""COMPUTED_VALUE"""),45922.65332175926)</f>
        <v>45922.65332</v>
      </c>
      <c r="D1816" s="211" t="str">
        <f>IFERROR(__xludf.DUMMYFUNCTION("""COMPUTED_VALUE"""),"e86baf3b")</f>
        <v>e86baf3b</v>
      </c>
      <c r="E1816" s="211" t="str">
        <f>IFERROR(__xludf.DUMMYFUNCTION("""COMPUTED_VALUE"""),"PT GEMILANG CIPTA WAWASAN")</f>
        <v>PT GEMILANG CIPTA WAWASAN</v>
      </c>
      <c r="F1816" s="211" t="str">
        <f>IFERROR(__xludf.DUMMYFUNCTION("""COMPUTED_VALUE"""),"be525f3b")</f>
        <v>be525f3b</v>
      </c>
      <c r="G1816" s="211" t="str">
        <f>IFERROR(__xludf.DUMMYFUNCTION("""COMPUTED_VALUE"""),"LPG 12kg")</f>
        <v>LPG 12kg</v>
      </c>
      <c r="H1816" s="211" t="str">
        <f>IFERROR(__xludf.DUMMYFUNCTION("""COMPUTED_VALUE"""),"IN")</f>
        <v>IN</v>
      </c>
      <c r="I1816" s="211" t="str">
        <f>IFERROR(__xludf.DUMMYFUNCTION("""COMPUTED_VALUE"""),"EMPTY")</f>
        <v>EMPTY</v>
      </c>
      <c r="J1816" s="211">
        <f>IFERROR(__xludf.DUMMYFUNCTION("""COMPUTED_VALUE"""),2.0)</f>
        <v>2</v>
      </c>
      <c r="K1816" s="210" t="str">
        <f>IFERROR(__xludf.DUMMYFUNCTION("""COMPUTED_VALUE"""),"01 02")</f>
        <v>01 02</v>
      </c>
      <c r="L1816" s="211">
        <f>IFERROR(__xludf.DUMMYFUNCTION("""COMPUTED_VALUE"""),0.0)</f>
        <v>0</v>
      </c>
      <c r="M1816" s="211"/>
      <c r="N1816" s="211"/>
      <c r="O1816" s="211"/>
      <c r="Q1816" s="210" t="str">
        <f>IFERROR(__xludf.DUMMYFUNCTION("""COMPUTED_VALUE"""),"1125441816")</f>
        <v>1125441816</v>
      </c>
      <c r="R1816" s="210" t="str">
        <f>IFERROR(__xludf.DUMMYFUNCTION("""COMPUTED_VALUE"""),"1125441816")</f>
        <v>1125441816</v>
      </c>
      <c r="S1816" s="211" t="str">
        <f>IFERROR(__xludf.DUMMYFUNCTION("""COMPUTED_VALUE"""),"b2b5f2c5")</f>
        <v>b2b5f2c5</v>
      </c>
      <c r="T1816" s="211" t="str">
        <f>IFERROR(__xludf.DUMMYFUNCTION("""COMPUTED_VALUE"""),"Bengkel Las Bpk. Ari")</f>
        <v>Bengkel Las Bpk. Ari</v>
      </c>
      <c r="U1816" s="215">
        <f>IFERROR(__xludf.DUMMYFUNCTION("""COMPUTED_VALUE"""),45986.470509259256)</f>
        <v>45986.47051</v>
      </c>
      <c r="V1816" s="211" t="str">
        <f>IFERROR(__xludf.DUMMYFUNCTION("""COMPUTED_VALUE"""),"Sumber Kembar, Wonodadi, Kec. Kutorejo, Kabupaten Mojokerto, Jawa Timur")</f>
        <v>Sumber Kembar, Wonodadi, Kec. Kutorejo, Kabupaten Mojokerto, Jawa Timur</v>
      </c>
      <c r="W1816" s="211" t="str">
        <f>IFERROR(__xludf.DUMMYFUNCTION("""COMPUTED_VALUE"""),"OUT")</f>
        <v>OUT</v>
      </c>
      <c r="X1816" s="211"/>
      <c r="AL1816" s="211"/>
      <c r="AM1816" s="211"/>
      <c r="AN1816" s="211"/>
      <c r="AO1816" s="211"/>
      <c r="AP1816" s="215"/>
      <c r="AQ1816" s="218"/>
      <c r="AR1816" s="211"/>
    </row>
    <row r="1817">
      <c r="A1817" s="210" t="str">
        <f>IFERROR(__xludf.DUMMYFUNCTION("""COMPUTED_VALUE"""),"0925191311")</f>
        <v>0925191311</v>
      </c>
      <c r="B1817" s="210" t="str">
        <f>IFERROR(__xludf.DUMMYFUNCTION("""COMPUTED_VALUE"""),"0925191311")</f>
        <v>0925191311</v>
      </c>
      <c r="C1817" s="213">
        <f>IFERROR(__xludf.DUMMYFUNCTION("""COMPUTED_VALUE"""),45923.354317129626)</f>
        <v>45923.35432</v>
      </c>
      <c r="D1817" s="211" t="str">
        <f>IFERROR(__xludf.DUMMYFUNCTION("""COMPUTED_VALUE"""),"b2b5f2c5")</f>
        <v>b2b5f2c5</v>
      </c>
      <c r="E1817" s="211" t="str">
        <f>IFERROR(__xludf.DUMMYFUNCTION("""COMPUTED_VALUE"""),"Bengkel Las Bpk. Ari")</f>
        <v>Bengkel Las Bpk. Ari</v>
      </c>
      <c r="F1817" s="211" t="str">
        <f>IFERROR(__xludf.DUMMYFUNCTION("""COMPUTED_VALUE"""),"8bdbe149")</f>
        <v>8bdbe149</v>
      </c>
      <c r="G1817" s="211" t="str">
        <f>IFERROR(__xludf.DUMMYFUNCTION("""COMPUTED_VALUE"""),"Oksigen 6m3")</f>
        <v>Oksigen 6m3</v>
      </c>
      <c r="H1817" s="211" t="str">
        <f>IFERROR(__xludf.DUMMYFUNCTION("""COMPUTED_VALUE"""),"OUT")</f>
        <v>OUT</v>
      </c>
      <c r="I1817" s="211" t="str">
        <f>IFERROR(__xludf.DUMMYFUNCTION("""COMPUTED_VALUE"""),"NORMAL")</f>
        <v>NORMAL</v>
      </c>
      <c r="J1817" s="211">
        <f>IFERROR(__xludf.DUMMYFUNCTION("""COMPUTED_VALUE"""),3.0)</f>
        <v>3</v>
      </c>
      <c r="K1817" s="210" t="str">
        <f>IFERROR(__xludf.DUMMYFUNCTION("""COMPUTED_VALUE"""),"11125 1186 11291")</f>
        <v>11125 1186 11291</v>
      </c>
      <c r="L1817" s="211">
        <f>IFERROR(__xludf.DUMMYFUNCTION("""COMPUTED_VALUE"""),60000.0)</f>
        <v>60000</v>
      </c>
      <c r="M1817" s="211"/>
      <c r="N1817" s="211"/>
      <c r="O1817" s="211"/>
      <c r="Q1817" s="210" t="str">
        <f>IFERROR(__xludf.DUMMYFUNCTION("""COMPUTED_VALUE"""),"1250862")</f>
        <v>1250862</v>
      </c>
      <c r="R1817" s="210" t="str">
        <f>IFERROR(__xludf.DUMMYFUNCTION("""COMPUTED_VALUE"""),"1250862")</f>
        <v>1250862</v>
      </c>
      <c r="S1817" s="211" t="str">
        <f>IFERROR(__xludf.DUMMYFUNCTION("""COMPUTED_VALUE"""),"9e66ced9")</f>
        <v>9e66ced9</v>
      </c>
      <c r="T1817" s="211" t="str">
        <f>IFERROR(__xludf.DUMMYFUNCTION("""COMPUTED_VALUE"""),"Bapak Angga")</f>
        <v>Bapak Angga</v>
      </c>
      <c r="U1817" s="215">
        <f>IFERROR(__xludf.DUMMYFUNCTION("""COMPUTED_VALUE"""),45986.47659722222)</f>
        <v>45986.4766</v>
      </c>
      <c r="V1817" s="211" t="str">
        <f>IFERROR(__xludf.DUMMYFUNCTION("""COMPUTED_VALUE"""),"Jl. Bypass Krian No.2, Tundungan, Sidomojo, Kec. Krian, Kabupaten Sidoarjo, Jawa Timur 61262")</f>
        <v>Jl. Bypass Krian No.2, Tundungan, Sidomojo, Kec. Krian, Kabupaten Sidoarjo, Jawa Timur 61262</v>
      </c>
      <c r="W1817" s="211" t="str">
        <f>IFERROR(__xludf.DUMMYFUNCTION("""COMPUTED_VALUE"""),"IN")</f>
        <v>IN</v>
      </c>
      <c r="X1817" s="211"/>
      <c r="AL1817" s="211"/>
      <c r="AM1817" s="211"/>
      <c r="AN1817" s="211"/>
      <c r="AO1817" s="211"/>
      <c r="AP1817" s="215"/>
      <c r="AQ1817" s="218"/>
      <c r="AR1817" s="211"/>
    </row>
    <row r="1818">
      <c r="A1818" s="210" t="str">
        <f>IFERROR(__xludf.DUMMYFUNCTION("""COMPUTED_VALUE"""),"0925121313")</f>
        <v>0925121313</v>
      </c>
      <c r="B1818" s="210" t="str">
        <f>IFERROR(__xludf.DUMMYFUNCTION("""COMPUTED_VALUE"""),"0925121313")</f>
        <v>0925121313</v>
      </c>
      <c r="C1818" s="213">
        <f>IFERROR(__xludf.DUMMYFUNCTION("""COMPUTED_VALUE"""),45923.360300925924)</f>
        <v>45923.3603</v>
      </c>
      <c r="D1818" s="211" t="str">
        <f>IFERROR(__xludf.DUMMYFUNCTION("""COMPUTED_VALUE"""),"3bcd7fe6")</f>
        <v>3bcd7fe6</v>
      </c>
      <c r="E1818" s="211" t="str">
        <f>IFERROR(__xludf.DUMMYFUNCTION("""COMPUTED_VALUE"""),"Bpk. Alvin (LB Group)")</f>
        <v>Bpk. Alvin (LB Group)</v>
      </c>
      <c r="F1818" s="211" t="str">
        <f>IFERROR(__xludf.DUMMYFUNCTION("""COMPUTED_VALUE"""),"7d2764f1")</f>
        <v>7d2764f1</v>
      </c>
      <c r="G1818" s="211" t="str">
        <f>IFERROR(__xludf.DUMMYFUNCTION("""COMPUTED_VALUE"""),"Oksigen 7m3")</f>
        <v>Oksigen 7m3</v>
      </c>
      <c r="H1818" s="211" t="str">
        <f>IFERROR(__xludf.DUMMYFUNCTION("""COMPUTED_VALUE"""),"OUT")</f>
        <v>OUT</v>
      </c>
      <c r="I1818" s="211" t="str">
        <f>IFERROR(__xludf.DUMMYFUNCTION("""COMPUTED_VALUE"""),"NORMAL")</f>
        <v>NORMAL</v>
      </c>
      <c r="J1818" s="211">
        <f>IFERROR(__xludf.DUMMYFUNCTION("""COMPUTED_VALUE"""),3.0)</f>
        <v>3</v>
      </c>
      <c r="K1818" s="210" t="str">
        <f>IFERROR(__xludf.DUMMYFUNCTION("""COMPUTED_VALUE"""),"11217 11229 11218")</f>
        <v>11217 11229 11218</v>
      </c>
      <c r="L1818" s="211">
        <f>IFERROR(__xludf.DUMMYFUNCTION("""COMPUTED_VALUE"""),55000.0)</f>
        <v>55000</v>
      </c>
      <c r="M1818" s="211"/>
      <c r="N1818" s="211"/>
      <c r="O1818" s="211"/>
      <c r="Q1818" s="210" t="str">
        <f>IFERROR(__xludf.DUMMYFUNCTION("""COMPUTED_VALUE"""),"1250863")</f>
        <v>1250863</v>
      </c>
      <c r="R1818" s="210" t="str">
        <f>IFERROR(__xludf.DUMMYFUNCTION("""COMPUTED_VALUE"""),"1250863")</f>
        <v>1250863</v>
      </c>
      <c r="S1818" s="211" t="str">
        <f>IFERROR(__xludf.DUMMYFUNCTION("""COMPUTED_VALUE"""),"63fc688a")</f>
        <v>63fc688a</v>
      </c>
      <c r="T1818" s="211" t="str">
        <f>IFERROR(__xludf.DUMMYFUNCTION("""COMPUTED_VALUE"""),"CV Malik Nusantara")</f>
        <v>CV Malik Nusantara</v>
      </c>
      <c r="U1818" s="215">
        <f>IFERROR(__xludf.DUMMYFUNCTION("""COMPUTED_VALUE"""),45986.47756944445)</f>
        <v>45986.47757</v>
      </c>
      <c r="V1818" s="211" t="str">
        <f>IFERROR(__xludf.DUMMYFUNCTION("""COMPUTED_VALUE"""),"Jl. Raya Balongbendo No.12, Suwaluh Utara, Suwaluh, Kec. BalongBendo, Kabupaten Sidoarjo, Jawa Timur 61263")</f>
        <v>Jl. Raya Balongbendo No.12, Suwaluh Utara, Suwaluh, Kec. BalongBendo, Kabupaten Sidoarjo, Jawa Timur 61263</v>
      </c>
      <c r="W1818" s="211" t="str">
        <f>IFERROR(__xludf.DUMMYFUNCTION("""COMPUTED_VALUE"""),"IN")</f>
        <v>IN</v>
      </c>
      <c r="X1818" s="211"/>
      <c r="AL1818" s="211"/>
      <c r="AM1818" s="211"/>
      <c r="AN1818" s="211"/>
      <c r="AO1818" s="211"/>
      <c r="AP1818" s="215"/>
      <c r="AQ1818" s="218"/>
      <c r="AR1818" s="211"/>
    </row>
    <row r="1819">
      <c r="A1819" s="210" t="str">
        <f>IFERROR(__xludf.DUMMYFUNCTION("""COMPUTED_VALUE"""),"0925121313")</f>
        <v>0925121313</v>
      </c>
      <c r="B1819" s="210" t="str">
        <f>IFERROR(__xludf.DUMMYFUNCTION("""COMPUTED_VALUE"""),"0925121313")</f>
        <v>0925121313</v>
      </c>
      <c r="C1819" s="213">
        <f>IFERROR(__xludf.DUMMYFUNCTION("""COMPUTED_VALUE"""),45923.360300925924)</f>
        <v>45923.3603</v>
      </c>
      <c r="D1819" s="211" t="str">
        <f>IFERROR(__xludf.DUMMYFUNCTION("""COMPUTED_VALUE"""),"3bcd7fe6")</f>
        <v>3bcd7fe6</v>
      </c>
      <c r="E1819" s="211" t="str">
        <f>IFERROR(__xludf.DUMMYFUNCTION("""COMPUTED_VALUE"""),"Bpk. Alvin (LB Group)")</f>
        <v>Bpk. Alvin (LB Group)</v>
      </c>
      <c r="F1819" s="211" t="str">
        <f>IFERROR(__xludf.DUMMYFUNCTION("""COMPUTED_VALUE"""),"f6aab7a9")</f>
        <v>f6aab7a9</v>
      </c>
      <c r="G1819" s="211" t="str">
        <f>IFERROR(__xludf.DUMMYFUNCTION("""COMPUTED_VALUE"""),"Oksigen 6m3 MR")</f>
        <v>Oksigen 6m3 MR</v>
      </c>
      <c r="H1819" s="211" t="str">
        <f>IFERROR(__xludf.DUMMYFUNCTION("""COMPUTED_VALUE"""),"OUT")</f>
        <v>OUT</v>
      </c>
      <c r="I1819" s="211" t="str">
        <f>IFERROR(__xludf.DUMMYFUNCTION("""COMPUTED_VALUE"""),"NORMAL")</f>
        <v>NORMAL</v>
      </c>
      <c r="J1819" s="211">
        <f>IFERROR(__xludf.DUMMYFUNCTION("""COMPUTED_VALUE"""),1.0)</f>
        <v>1</v>
      </c>
      <c r="K1819" s="210" t="str">
        <f>IFERROR(__xludf.DUMMYFUNCTION("""COMPUTED_VALUE"""),"01")</f>
        <v>01</v>
      </c>
      <c r="L1819" s="211">
        <f>IFERROR(__xludf.DUMMYFUNCTION("""COMPUTED_VALUE"""),50000.0)</f>
        <v>50000</v>
      </c>
      <c r="M1819" s="211"/>
      <c r="N1819" s="211"/>
      <c r="O1819" s="211"/>
      <c r="Q1819" s="210" t="str">
        <f>IFERROR(__xludf.DUMMYFUNCTION("""COMPUTED_VALUE"""),"1250861")</f>
        <v>1250861</v>
      </c>
      <c r="R1819" s="210" t="str">
        <f>IFERROR(__xludf.DUMMYFUNCTION("""COMPUTED_VALUE"""),"1250861")</f>
        <v>1250861</v>
      </c>
      <c r="S1819" s="211" t="str">
        <f>IFERROR(__xludf.DUMMYFUNCTION("""COMPUTED_VALUE"""),"440df1db")</f>
        <v>440df1db</v>
      </c>
      <c r="T1819" s="211" t="str">
        <f>IFERROR(__xludf.DUMMYFUNCTION("""COMPUTED_VALUE"""),"PT. Mecca Abadi Sejahtera")</f>
        <v>PT. Mecca Abadi Sejahtera</v>
      </c>
      <c r="U1819" s="215">
        <f>IFERROR(__xludf.DUMMYFUNCTION("""COMPUTED_VALUE"""),45986.478414351855)</f>
        <v>45986.47841</v>
      </c>
      <c r="V1819" s="211" t="str">
        <f>IFERROR(__xludf.DUMMYFUNCTION("""COMPUTED_VALUE"""),"Jl. Raya Sawocangkring, RT.006/RW.002, Sawo, Sawocangkring, Kec. Wonoayu, Kabupaten Sidoarjo, Jawa Timur 61261")</f>
        <v>Jl. Raya Sawocangkring, RT.006/RW.002, Sawo, Sawocangkring, Kec. Wonoayu, Kabupaten Sidoarjo, Jawa Timur 61261</v>
      </c>
      <c r="W1819" s="211" t="str">
        <f>IFERROR(__xludf.DUMMYFUNCTION("""COMPUTED_VALUE"""),"IN")</f>
        <v>IN</v>
      </c>
      <c r="X1819" s="211"/>
      <c r="AL1819" s="211"/>
      <c r="AM1819" s="211"/>
      <c r="AN1819" s="211"/>
      <c r="AO1819" s="211"/>
      <c r="AP1819" s="215"/>
      <c r="AQ1819" s="218"/>
      <c r="AR1819" s="211"/>
    </row>
    <row r="1820">
      <c r="A1820" s="210" t="str">
        <f>IFERROR(__xludf.DUMMYFUNCTION("""COMPUTED_VALUE"""),"092511314")</f>
        <v>092511314</v>
      </c>
      <c r="B1820" s="210" t="str">
        <f>IFERROR(__xludf.DUMMYFUNCTION("""COMPUTED_VALUE"""),"092511314")</f>
        <v>092511314</v>
      </c>
      <c r="C1820" s="213">
        <f>IFERROR(__xludf.DUMMYFUNCTION("""COMPUTED_VALUE"""),45923.38313657408)</f>
        <v>45923.38314</v>
      </c>
      <c r="D1820" s="211" t="str">
        <f>IFERROR(__xludf.DUMMYFUNCTION("""COMPUTED_VALUE"""),"370c84d1")</f>
        <v>370c84d1</v>
      </c>
      <c r="E1820" s="211" t="str">
        <f>IFERROR(__xludf.DUMMYFUNCTION("""COMPUTED_VALUE"""),"PT. Citra Bintang Karya")</f>
        <v>PT. Citra Bintang Karya</v>
      </c>
      <c r="F1820" s="211" t="str">
        <f>IFERROR(__xludf.DUMMYFUNCTION("""COMPUTED_VALUE"""),"7d2764f1")</f>
        <v>7d2764f1</v>
      </c>
      <c r="G1820" s="211" t="str">
        <f>IFERROR(__xludf.DUMMYFUNCTION("""COMPUTED_VALUE"""),"Oksigen 7m3")</f>
        <v>Oksigen 7m3</v>
      </c>
      <c r="H1820" s="211" t="str">
        <f>IFERROR(__xludf.DUMMYFUNCTION("""COMPUTED_VALUE"""),"OUT")</f>
        <v>OUT</v>
      </c>
      <c r="I1820" s="211" t="str">
        <f>IFERROR(__xludf.DUMMYFUNCTION("""COMPUTED_VALUE"""),"NORMAL")</f>
        <v>NORMAL</v>
      </c>
      <c r="J1820" s="211">
        <f>IFERROR(__xludf.DUMMYFUNCTION("""COMPUTED_VALUE"""),1.0)</f>
        <v>1</v>
      </c>
      <c r="K1820" s="210" t="str">
        <f>IFERROR(__xludf.DUMMYFUNCTION("""COMPUTED_VALUE"""),"11178")</f>
        <v>11178</v>
      </c>
      <c r="L1820" s="211">
        <f>IFERROR(__xludf.DUMMYFUNCTION("""COMPUTED_VALUE"""),65000.0)</f>
        <v>65000</v>
      </c>
      <c r="M1820" s="211"/>
      <c r="N1820" s="211"/>
      <c r="O1820" s="211"/>
      <c r="Q1820" s="210" t="str">
        <f>IFERROR(__xludf.DUMMYFUNCTION("""COMPUTED_VALUE"""),"112541817")</f>
        <v>112541817</v>
      </c>
      <c r="R1820" s="210" t="str">
        <f>IFERROR(__xludf.DUMMYFUNCTION("""COMPUTED_VALUE"""),"112541817")</f>
        <v>112541817</v>
      </c>
      <c r="S1820" s="211" t="str">
        <f>IFERROR(__xludf.DUMMYFUNCTION("""COMPUTED_VALUE"""),"f8a982a4")</f>
        <v>f8a982a4</v>
      </c>
      <c r="T1820" s="211" t="str">
        <f>IFERROR(__xludf.DUMMYFUNCTION("""COMPUTED_VALUE"""),"Bpk. Nasir")</f>
        <v>Bpk. Nasir</v>
      </c>
      <c r="U1820" s="215">
        <f>IFERROR(__xludf.DUMMYFUNCTION("""COMPUTED_VALUE"""),45986.55788194444)</f>
        <v>45986.55788</v>
      </c>
      <c r="V1820" s="211" t="str">
        <f>IFERROR(__xludf.DUMMYFUNCTION("""COMPUTED_VALUE"""),"JL Raya Pacet, Dsn. Janti Ds. Jatilangkung RT.01 RW. 04. Kabupaten. Mojokerto Pungging, Jawa Timur")</f>
        <v>JL Raya Pacet, Dsn. Janti Ds. Jatilangkung RT.01 RW. 04. Kabupaten. Mojokerto Pungging, Jawa Timur</v>
      </c>
      <c r="W1820" s="211" t="str">
        <f>IFERROR(__xludf.DUMMYFUNCTION("""COMPUTED_VALUE"""),"OUT")</f>
        <v>OUT</v>
      </c>
      <c r="X1820" s="211"/>
      <c r="AL1820" s="211"/>
      <c r="AM1820" s="211"/>
      <c r="AN1820" s="211"/>
      <c r="AO1820" s="211"/>
      <c r="AP1820" s="215"/>
      <c r="AQ1820" s="218"/>
      <c r="AR1820" s="211"/>
    </row>
    <row r="1821">
      <c r="A1821" s="210" t="str">
        <f>IFERROR(__xludf.DUMMYFUNCTION("""COMPUTED_VALUE"""),"092511315")</f>
        <v>092511315</v>
      </c>
      <c r="B1821" s="210" t="str">
        <f>IFERROR(__xludf.DUMMYFUNCTION("""COMPUTED_VALUE"""),"092511315")</f>
        <v>092511315</v>
      </c>
      <c r="C1821" s="213">
        <f>IFERROR(__xludf.DUMMYFUNCTION("""COMPUTED_VALUE"""),45923.38631944444)</f>
        <v>45923.38632</v>
      </c>
      <c r="D1821" s="211" t="str">
        <f>IFERROR(__xludf.DUMMYFUNCTION("""COMPUTED_VALUE"""),"5d599a87")</f>
        <v>5d599a87</v>
      </c>
      <c r="E1821" s="211" t="str">
        <f>IFERROR(__xludf.DUMMYFUNCTION("""COMPUTED_VALUE"""),"Bapak Hasan")</f>
        <v>Bapak Hasan</v>
      </c>
      <c r="F1821" s="211" t="str">
        <f>IFERROR(__xludf.DUMMYFUNCTION("""COMPUTED_VALUE"""),"e8544a46")</f>
        <v>e8544a46</v>
      </c>
      <c r="G1821" s="211" t="str">
        <f>IFERROR(__xludf.DUMMYFUNCTION("""COMPUTED_VALUE"""),"Oksigen 1m3")</f>
        <v>Oksigen 1m3</v>
      </c>
      <c r="H1821" s="211" t="str">
        <f>IFERROR(__xludf.DUMMYFUNCTION("""COMPUTED_VALUE"""),"OUT")</f>
        <v>OUT</v>
      </c>
      <c r="I1821" s="211" t="str">
        <f>IFERROR(__xludf.DUMMYFUNCTION("""COMPUTED_VALUE"""),"NORMAL")</f>
        <v>NORMAL</v>
      </c>
      <c r="J1821" s="211">
        <f>IFERROR(__xludf.DUMMYFUNCTION("""COMPUTED_VALUE"""),1.0)</f>
        <v>1</v>
      </c>
      <c r="K1821" s="210" t="str">
        <f>IFERROR(__xludf.DUMMYFUNCTION("""COMPUTED_VALUE"""),"0009")</f>
        <v>0009</v>
      </c>
      <c r="L1821" s="211">
        <f>IFERROR(__xludf.DUMMYFUNCTION("""COMPUTED_VALUE"""),60000.0)</f>
        <v>60000</v>
      </c>
      <c r="M1821" s="211"/>
      <c r="N1821" s="211"/>
      <c r="O1821" s="211"/>
      <c r="Q1821" s="210" t="str">
        <f>IFERROR(__xludf.DUMMYFUNCTION("""COMPUTED_VALUE"""),"1250852")</f>
        <v>1250852</v>
      </c>
      <c r="R1821" s="210" t="str">
        <f>IFERROR(__xludf.DUMMYFUNCTION("""COMPUTED_VALUE"""),"1250852")</f>
        <v>1250852</v>
      </c>
      <c r="S1821" s="211" t="str">
        <f>IFERROR(__xludf.DUMMYFUNCTION("""COMPUTED_VALUE"""),"ca4876e2")</f>
        <v>ca4876e2</v>
      </c>
      <c r="T1821" s="211" t="str">
        <f>IFERROR(__xludf.DUMMYFUNCTION("""COMPUTED_VALUE"""),"Bengkel Mustika Mojosari")</f>
        <v>Bengkel Mustika Mojosari</v>
      </c>
      <c r="U1821" s="215">
        <f>IFERROR(__xludf.DUMMYFUNCTION("""COMPUTED_VALUE"""),45986.60313657407)</f>
        <v>45986.60314</v>
      </c>
      <c r="V1821" s="211" t="str">
        <f>IFERROR(__xludf.DUMMYFUNCTION("""COMPUTED_VALUE"""),"Jl. Kusuma Bangsa, Bulanan, Randubango, Kec. Mojosari, Kabupaten Mojokerto, Jawa Timur 61382")</f>
        <v>Jl. Kusuma Bangsa, Bulanan, Randubango, Kec. Mojosari, Kabupaten Mojokerto, Jawa Timur 61382</v>
      </c>
      <c r="W1821" s="211" t="str">
        <f>IFERROR(__xludf.DUMMYFUNCTION("""COMPUTED_VALUE"""),"IN")</f>
        <v>IN</v>
      </c>
      <c r="X1821" s="211"/>
      <c r="AL1821" s="211"/>
      <c r="AM1821" s="211"/>
      <c r="AN1821" s="211"/>
      <c r="AO1821" s="211"/>
      <c r="AP1821" s="215"/>
      <c r="AQ1821" s="218"/>
      <c r="AR1821" s="211"/>
    </row>
    <row r="1822">
      <c r="A1822" s="210" t="str">
        <f>IFERROR(__xludf.DUMMYFUNCTION("""COMPUTED_VALUE"""),"1250589")</f>
        <v>1250589</v>
      </c>
      <c r="B1822" s="210" t="str">
        <f>IFERROR(__xludf.DUMMYFUNCTION("""COMPUTED_VALUE"""),"1250589")</f>
        <v>1250589</v>
      </c>
      <c r="C1822" s="213">
        <f>IFERROR(__xludf.DUMMYFUNCTION("""COMPUTED_VALUE"""),45923.40394675926)</f>
        <v>45923.40395</v>
      </c>
      <c r="D1822" s="211" t="str">
        <f>IFERROR(__xludf.DUMMYFUNCTION("""COMPUTED_VALUE"""),"370c84d1")</f>
        <v>370c84d1</v>
      </c>
      <c r="E1822" s="211" t="str">
        <f>IFERROR(__xludf.DUMMYFUNCTION("""COMPUTED_VALUE"""),"PT. Citra Bintang Karya")</f>
        <v>PT. Citra Bintang Karya</v>
      </c>
      <c r="F1822" s="211" t="str">
        <f>IFERROR(__xludf.DUMMYFUNCTION("""COMPUTED_VALUE"""),"f6aab7a9")</f>
        <v>f6aab7a9</v>
      </c>
      <c r="G1822" s="211" t="str">
        <f>IFERROR(__xludf.DUMMYFUNCTION("""COMPUTED_VALUE"""),"Oksigen 6m3 MR")</f>
        <v>Oksigen 6m3 MR</v>
      </c>
      <c r="H1822" s="211" t="str">
        <f>IFERROR(__xludf.DUMMYFUNCTION("""COMPUTED_VALUE"""),"IN")</f>
        <v>IN</v>
      </c>
      <c r="I1822" s="211" t="str">
        <f>IFERROR(__xludf.DUMMYFUNCTION("""COMPUTED_VALUE"""),"EMPTY")</f>
        <v>EMPTY</v>
      </c>
      <c r="J1822" s="211">
        <f>IFERROR(__xludf.DUMMYFUNCTION("""COMPUTED_VALUE"""),1.0)</f>
        <v>1</v>
      </c>
      <c r="K1822" s="210" t="str">
        <f>IFERROR(__xludf.DUMMYFUNCTION("""COMPUTED_VALUE"""),"01")</f>
        <v>01</v>
      </c>
      <c r="L1822" s="211">
        <f>IFERROR(__xludf.DUMMYFUNCTION("""COMPUTED_VALUE"""),0.0)</f>
        <v>0</v>
      </c>
      <c r="M1822" s="211"/>
      <c r="N1822" s="211"/>
      <c r="O1822" s="211"/>
      <c r="Q1822" s="210" t="str">
        <f>IFERROR(__xludf.DUMMYFUNCTION("""COMPUTED_VALUE"""),"1250853")</f>
        <v>1250853</v>
      </c>
      <c r="R1822" s="210" t="str">
        <f>IFERROR(__xludf.DUMMYFUNCTION("""COMPUTED_VALUE"""),"1250853")</f>
        <v>1250853</v>
      </c>
      <c r="S1822" s="211" t="str">
        <f>IFERROR(__xludf.DUMMYFUNCTION("""COMPUTED_VALUE"""),"ba97d58d")</f>
        <v>ba97d58d</v>
      </c>
      <c r="T1822" s="211" t="str">
        <f>IFERROR(__xludf.DUMMYFUNCTION("""COMPUTED_VALUE"""),"Bengkel Citra Mojosari")</f>
        <v>Bengkel Citra Mojosari</v>
      </c>
      <c r="U1822" s="215">
        <f>IFERROR(__xludf.DUMMYFUNCTION("""COMPUTED_VALUE"""),45986.606724537036)</f>
        <v>45986.60672</v>
      </c>
      <c r="V1822" s="211" t="str">
        <f>IFERROR(__xludf.DUMMYFUNCTION("""COMPUTED_VALUE"""),"Jl. Raden Wijaya, Kemloko, Jotangan, Kec. Mojosari, Kabupaten Mojokerto, Jawa Timur 61382")</f>
        <v>Jl. Raden Wijaya, Kemloko, Jotangan, Kec. Mojosari, Kabupaten Mojokerto, Jawa Timur 61382</v>
      </c>
      <c r="W1822" s="211" t="str">
        <f>IFERROR(__xludf.DUMMYFUNCTION("""COMPUTED_VALUE"""),"IN")</f>
        <v>IN</v>
      </c>
      <c r="X1822" s="211"/>
      <c r="AL1822" s="211"/>
      <c r="AM1822" s="211"/>
      <c r="AN1822" s="211"/>
      <c r="AO1822" s="211"/>
      <c r="AP1822" s="215"/>
      <c r="AQ1822" s="218"/>
      <c r="AR1822" s="211"/>
    </row>
    <row r="1823">
      <c r="A1823" s="210" t="str">
        <f>IFERROR(__xludf.DUMMYFUNCTION("""COMPUTED_VALUE"""),"1250604")</f>
        <v>1250604</v>
      </c>
      <c r="B1823" s="210" t="str">
        <f>IFERROR(__xludf.DUMMYFUNCTION("""COMPUTED_VALUE"""),"1250604")</f>
        <v>1250604</v>
      </c>
      <c r="C1823" s="213">
        <f>IFERROR(__xludf.DUMMYFUNCTION("""COMPUTED_VALUE"""),45923.586226851854)</f>
        <v>45923.58623</v>
      </c>
      <c r="D1823" s="211" t="str">
        <f>IFERROR(__xludf.DUMMYFUNCTION("""COMPUTED_VALUE"""),"dcdf8b31")</f>
        <v>dcdf8b31</v>
      </c>
      <c r="E1823" s="211" t="str">
        <f>IFERROR(__xludf.DUMMYFUNCTION("""COMPUTED_VALUE"""),"Bpk. Samsul (Jetis)")</f>
        <v>Bpk. Samsul (Jetis)</v>
      </c>
      <c r="F1823" s="211" t="str">
        <f>IFERROR(__xludf.DUMMYFUNCTION("""COMPUTED_VALUE"""),"8bdbe149")</f>
        <v>8bdbe149</v>
      </c>
      <c r="G1823" s="211" t="str">
        <f>IFERROR(__xludf.DUMMYFUNCTION("""COMPUTED_VALUE"""),"Oksigen 6m3")</f>
        <v>Oksigen 6m3</v>
      </c>
      <c r="H1823" s="211" t="str">
        <f>IFERROR(__xludf.DUMMYFUNCTION("""COMPUTED_VALUE"""),"IN")</f>
        <v>IN</v>
      </c>
      <c r="I1823" s="211" t="str">
        <f>IFERROR(__xludf.DUMMYFUNCTION("""COMPUTED_VALUE"""),"EMPTY")</f>
        <v>EMPTY</v>
      </c>
      <c r="J1823" s="211">
        <f>IFERROR(__xludf.DUMMYFUNCTION("""COMPUTED_VALUE"""),2.0)</f>
        <v>2</v>
      </c>
      <c r="K1823" s="210" t="str">
        <f>IFERROR(__xludf.DUMMYFUNCTION("""COMPUTED_VALUE"""),"1112 11165")</f>
        <v>1112 11165</v>
      </c>
      <c r="L1823" s="211">
        <f>IFERROR(__xludf.DUMMYFUNCTION("""COMPUTED_VALUE"""),0.0)</f>
        <v>0</v>
      </c>
      <c r="M1823" s="211"/>
      <c r="N1823" s="211"/>
      <c r="O1823" s="211"/>
      <c r="Q1823" s="210" t="str">
        <f>IFERROR(__xludf.DUMMYFUNCTION("""COMPUTED_VALUE"""),"1250854")</f>
        <v>1250854</v>
      </c>
      <c r="R1823" s="210" t="str">
        <f>IFERROR(__xludf.DUMMYFUNCTION("""COMPUTED_VALUE"""),"1250854")</f>
        <v>1250854</v>
      </c>
      <c r="S1823" s="211" t="str">
        <f>IFERROR(__xludf.DUMMYFUNCTION("""COMPUTED_VALUE"""),"b2b5f2c5")</f>
        <v>b2b5f2c5</v>
      </c>
      <c r="T1823" s="211" t="str">
        <f>IFERROR(__xludf.DUMMYFUNCTION("""COMPUTED_VALUE"""),"Bengkel Las Bpk. Ari")</f>
        <v>Bengkel Las Bpk. Ari</v>
      </c>
      <c r="U1823" s="215">
        <f>IFERROR(__xludf.DUMMYFUNCTION("""COMPUTED_VALUE"""),45986.60743055555)</f>
        <v>45986.60743</v>
      </c>
      <c r="V1823" s="211" t="str">
        <f>IFERROR(__xludf.DUMMYFUNCTION("""COMPUTED_VALUE"""),"Sumber Kembar, Wonodadi, Kec. Kutorejo, Kabupaten Mojokerto, Jawa Timur")</f>
        <v>Sumber Kembar, Wonodadi, Kec. Kutorejo, Kabupaten Mojokerto, Jawa Timur</v>
      </c>
      <c r="W1823" s="211" t="str">
        <f>IFERROR(__xludf.DUMMYFUNCTION("""COMPUTED_VALUE"""),"IN")</f>
        <v>IN</v>
      </c>
      <c r="X1823" s="211"/>
      <c r="AL1823" s="211"/>
      <c r="AM1823" s="211"/>
      <c r="AN1823" s="211"/>
      <c r="AO1823" s="211"/>
      <c r="AP1823" s="215"/>
      <c r="AQ1823" s="218"/>
      <c r="AR1823" s="211"/>
    </row>
    <row r="1824">
      <c r="A1824" s="210" t="str">
        <f>IFERROR(__xludf.DUMMYFUNCTION("""COMPUTED_VALUE"""),"1250602")</f>
        <v>1250602</v>
      </c>
      <c r="B1824" s="210" t="str">
        <f>IFERROR(__xludf.DUMMYFUNCTION("""COMPUTED_VALUE"""),"1250602")</f>
        <v>1250602</v>
      </c>
      <c r="C1824" s="213">
        <f>IFERROR(__xludf.DUMMYFUNCTION("""COMPUTED_VALUE"""),45923.58707175926)</f>
        <v>45923.58707</v>
      </c>
      <c r="D1824" s="211" t="str">
        <f>IFERROR(__xludf.DUMMYFUNCTION("""COMPUTED_VALUE"""),"3bcd7fe6")</f>
        <v>3bcd7fe6</v>
      </c>
      <c r="E1824" s="211" t="str">
        <f>IFERROR(__xludf.DUMMYFUNCTION("""COMPUTED_VALUE"""),"Bpk. Alvin (LB Group)")</f>
        <v>Bpk. Alvin (LB Group)</v>
      </c>
      <c r="F1824" s="211" t="str">
        <f>IFERROR(__xludf.DUMMYFUNCTION("""COMPUTED_VALUE"""),"8bdbe149")</f>
        <v>8bdbe149</v>
      </c>
      <c r="G1824" s="211" t="str">
        <f>IFERROR(__xludf.DUMMYFUNCTION("""COMPUTED_VALUE"""),"Oksigen 6m3")</f>
        <v>Oksigen 6m3</v>
      </c>
      <c r="H1824" s="211" t="str">
        <f>IFERROR(__xludf.DUMMYFUNCTION("""COMPUTED_VALUE"""),"IN")</f>
        <v>IN</v>
      </c>
      <c r="I1824" s="211" t="str">
        <f>IFERROR(__xludf.DUMMYFUNCTION("""COMPUTED_VALUE"""),"EMPTY")</f>
        <v>EMPTY</v>
      </c>
      <c r="J1824" s="211">
        <f>IFERROR(__xludf.DUMMYFUNCTION("""COMPUTED_VALUE"""),1.0)</f>
        <v>1</v>
      </c>
      <c r="K1824" s="210" t="str">
        <f>IFERROR(__xludf.DUMMYFUNCTION("""COMPUTED_VALUE"""),"1109")</f>
        <v>1109</v>
      </c>
      <c r="L1824" s="211">
        <f>IFERROR(__xludf.DUMMYFUNCTION("""COMPUTED_VALUE"""),0.0)</f>
        <v>0</v>
      </c>
      <c r="M1824" s="211"/>
      <c r="N1824" s="211"/>
      <c r="O1824" s="211"/>
      <c r="Q1824" s="210" t="str">
        <f>IFERROR(__xludf.DUMMYFUNCTION("""COMPUTED_VALUE"""),"1125121806")</f>
        <v>1125121806</v>
      </c>
      <c r="R1824" s="210" t="str">
        <f>IFERROR(__xludf.DUMMYFUNCTION("""COMPUTED_VALUE"""),"1125121806")</f>
        <v>1125121806</v>
      </c>
      <c r="S1824" s="211" t="str">
        <f>IFERROR(__xludf.DUMMYFUNCTION("""COMPUTED_VALUE"""),"faf71ae5")</f>
        <v>faf71ae5</v>
      </c>
      <c r="T1824" s="211" t="str">
        <f>IFERROR(__xludf.DUMMYFUNCTION("""COMPUTED_VALUE"""),"Bpk. Sampurna")</f>
        <v>Bpk. Sampurna</v>
      </c>
      <c r="U1824" s="215">
        <f>IFERROR(__xludf.DUMMYFUNCTION("""COMPUTED_VALUE"""),45986.645150462966)</f>
        <v>45986.64515</v>
      </c>
      <c r="V1824" s="211" t="str">
        <f>IFERROR(__xludf.DUMMYFUNCTION("""COMPUTED_VALUE"""),"Jl. Bypass Krian KM.30 No.15, Kraton, Kec. Krian, Kabupaten Sidoarjo, Jawa Timur 61262")</f>
        <v>Jl. Bypass Krian KM.30 No.15, Kraton, Kec. Krian, Kabupaten Sidoarjo, Jawa Timur 61262</v>
      </c>
      <c r="W1824" s="211" t="str">
        <f>IFERROR(__xludf.DUMMYFUNCTION("""COMPUTED_VALUE"""),"OUT")</f>
        <v>OUT</v>
      </c>
      <c r="X1824" s="211"/>
      <c r="AL1824" s="211"/>
      <c r="AM1824" s="211"/>
      <c r="AN1824" s="211"/>
      <c r="AO1824" s="211"/>
      <c r="AP1824" s="215"/>
      <c r="AQ1824" s="218"/>
      <c r="AR1824" s="211"/>
    </row>
    <row r="1825">
      <c r="A1825" s="210" t="str">
        <f>IFERROR(__xludf.DUMMYFUNCTION("""COMPUTED_VALUE"""),"1250602")</f>
        <v>1250602</v>
      </c>
      <c r="B1825" s="210" t="str">
        <f>IFERROR(__xludf.DUMMYFUNCTION("""COMPUTED_VALUE"""),"1250602")</f>
        <v>1250602</v>
      </c>
      <c r="C1825" s="213">
        <f>IFERROR(__xludf.DUMMYFUNCTION("""COMPUTED_VALUE"""),45923.58707175926)</f>
        <v>45923.58707</v>
      </c>
      <c r="D1825" s="211" t="str">
        <f>IFERROR(__xludf.DUMMYFUNCTION("""COMPUTED_VALUE"""),"3bcd7fe6")</f>
        <v>3bcd7fe6</v>
      </c>
      <c r="E1825" s="211" t="str">
        <f>IFERROR(__xludf.DUMMYFUNCTION("""COMPUTED_VALUE"""),"Bpk. Alvin (LB Group)")</f>
        <v>Bpk. Alvin (LB Group)</v>
      </c>
      <c r="F1825" s="211" t="str">
        <f>IFERROR(__xludf.DUMMYFUNCTION("""COMPUTED_VALUE"""),"f6aab7a9")</f>
        <v>f6aab7a9</v>
      </c>
      <c r="G1825" s="211" t="str">
        <f>IFERROR(__xludf.DUMMYFUNCTION("""COMPUTED_VALUE"""),"Oksigen 6m3 MR")</f>
        <v>Oksigen 6m3 MR</v>
      </c>
      <c r="H1825" s="211" t="str">
        <f>IFERROR(__xludf.DUMMYFUNCTION("""COMPUTED_VALUE"""),"IN")</f>
        <v>IN</v>
      </c>
      <c r="I1825" s="211" t="str">
        <f>IFERROR(__xludf.DUMMYFUNCTION("""COMPUTED_VALUE"""),"EMPTY")</f>
        <v>EMPTY</v>
      </c>
      <c r="J1825" s="211">
        <f>IFERROR(__xludf.DUMMYFUNCTION("""COMPUTED_VALUE"""),2.0)</f>
        <v>2</v>
      </c>
      <c r="K1825" s="210" t="str">
        <f>IFERROR(__xludf.DUMMYFUNCTION("""COMPUTED_VALUE"""),"01 02")</f>
        <v>01 02</v>
      </c>
      <c r="L1825" s="211">
        <f>IFERROR(__xludf.DUMMYFUNCTION("""COMPUTED_VALUE"""),0.0)</f>
        <v>0</v>
      </c>
      <c r="M1825" s="211"/>
      <c r="N1825" s="211"/>
      <c r="O1825" s="211"/>
      <c r="Q1825" s="210" t="str">
        <f>IFERROR(__xludf.DUMMYFUNCTION("""COMPUTED_VALUE"""),"1125131825")</f>
        <v>1125131825</v>
      </c>
      <c r="R1825" s="210" t="str">
        <f>IFERROR(__xludf.DUMMYFUNCTION("""COMPUTED_VALUE"""),"1125131825")</f>
        <v>1125131825</v>
      </c>
      <c r="S1825" s="211" t="str">
        <f>IFERROR(__xludf.DUMMYFUNCTION("""COMPUTED_VALUE"""),"faf71ae5")</f>
        <v>faf71ae5</v>
      </c>
      <c r="T1825" s="211" t="str">
        <f>IFERROR(__xludf.DUMMYFUNCTION("""COMPUTED_VALUE"""),"Bpk. Sampurna")</f>
        <v>Bpk. Sampurna</v>
      </c>
      <c r="U1825" s="215">
        <f>IFERROR(__xludf.DUMMYFUNCTION("""COMPUTED_VALUE"""),45987.35873842592)</f>
        <v>45987.35874</v>
      </c>
      <c r="V1825" s="211" t="str">
        <f>IFERROR(__xludf.DUMMYFUNCTION("""COMPUTED_VALUE"""),"Jl. Bypass Krian KM.30 No.15, Kraton, Kec. Krian, Kabupaten Sidoarjo, Jawa Timur 61262")</f>
        <v>Jl. Bypass Krian KM.30 No.15, Kraton, Kec. Krian, Kabupaten Sidoarjo, Jawa Timur 61262</v>
      </c>
      <c r="W1825" s="211" t="str">
        <f>IFERROR(__xludf.DUMMYFUNCTION("""COMPUTED_VALUE"""),"OUT")</f>
        <v>OUT</v>
      </c>
      <c r="X1825" s="211"/>
      <c r="AL1825" s="211"/>
      <c r="AM1825" s="211"/>
      <c r="AN1825" s="211"/>
      <c r="AO1825" s="211"/>
      <c r="AP1825" s="215"/>
      <c r="AQ1825" s="218"/>
      <c r="AR1825" s="211"/>
    </row>
    <row r="1826">
      <c r="A1826" s="210" t="str">
        <f>IFERROR(__xludf.DUMMYFUNCTION("""COMPUTED_VALUE"""),"1250603")</f>
        <v>1250603</v>
      </c>
      <c r="B1826" s="210" t="str">
        <f>IFERROR(__xludf.DUMMYFUNCTION("""COMPUTED_VALUE"""),"1250603")</f>
        <v>1250603</v>
      </c>
      <c r="C1826" s="213">
        <f>IFERROR(__xludf.DUMMYFUNCTION("""COMPUTED_VALUE"""),45923.5875)</f>
        <v>45923.5875</v>
      </c>
      <c r="D1826" s="211" t="str">
        <f>IFERROR(__xludf.DUMMYFUNCTION("""COMPUTED_VALUE"""),"b2b5f2c5")</f>
        <v>b2b5f2c5</v>
      </c>
      <c r="E1826" s="211" t="str">
        <f>IFERROR(__xludf.DUMMYFUNCTION("""COMPUTED_VALUE"""),"Bengkel Las Bpk. Ari")</f>
        <v>Bengkel Las Bpk. Ari</v>
      </c>
      <c r="F1826" s="211" t="str">
        <f>IFERROR(__xludf.DUMMYFUNCTION("""COMPUTED_VALUE"""),"8bdbe149")</f>
        <v>8bdbe149</v>
      </c>
      <c r="G1826" s="211" t="str">
        <f>IFERROR(__xludf.DUMMYFUNCTION("""COMPUTED_VALUE"""),"Oksigen 6m3")</f>
        <v>Oksigen 6m3</v>
      </c>
      <c r="H1826" s="211" t="str">
        <f>IFERROR(__xludf.DUMMYFUNCTION("""COMPUTED_VALUE"""),"IN")</f>
        <v>IN</v>
      </c>
      <c r="I1826" s="211" t="str">
        <f>IFERROR(__xludf.DUMMYFUNCTION("""COMPUTED_VALUE"""),"EMPTY")</f>
        <v>EMPTY</v>
      </c>
      <c r="J1826" s="211">
        <f>IFERROR(__xludf.DUMMYFUNCTION("""COMPUTED_VALUE"""),5.0)</f>
        <v>5</v>
      </c>
      <c r="K1826" s="210" t="str">
        <f>IFERROR(__xludf.DUMMYFUNCTION("""COMPUTED_VALUE"""),"11127 11247 11182 11115 11117")</f>
        <v>11127 11247 11182 11115 11117</v>
      </c>
      <c r="L1826" s="211">
        <f>IFERROR(__xludf.DUMMYFUNCTION("""COMPUTED_VALUE"""),0.0)</f>
        <v>0</v>
      </c>
      <c r="M1826" s="211"/>
      <c r="N1826" s="211"/>
      <c r="O1826" s="211"/>
      <c r="Q1826" s="210" t="str">
        <f>IFERROR(__xludf.DUMMYFUNCTION("""COMPUTED_VALUE"""),"1125321826")</f>
        <v>1125321826</v>
      </c>
      <c r="R1826" s="210" t="str">
        <f>IFERROR(__xludf.DUMMYFUNCTION("""COMPUTED_VALUE"""),"1125321826")</f>
        <v>1125321826</v>
      </c>
      <c r="S1826" s="211" t="str">
        <f>IFERROR(__xludf.DUMMYFUNCTION("""COMPUTED_VALUE"""),"ce83e171")</f>
        <v>ce83e171</v>
      </c>
      <c r="T1826" s="211" t="str">
        <f>IFERROR(__xludf.DUMMYFUNCTION("""COMPUTED_VALUE"""),"Bpk. Sulaiman")</f>
        <v>Bpk. Sulaiman</v>
      </c>
      <c r="U1826" s="215">
        <f>IFERROR(__xludf.DUMMYFUNCTION("""COMPUTED_VALUE"""),45987.36027777778)</f>
        <v>45987.36028</v>
      </c>
      <c r="V1826" s="211" t="str">
        <f>IFERROR(__xludf.DUMMYFUNCTION("""COMPUTED_VALUE"""),"Jl. Raya Kramat Temenggung No.43, Kramat, Kramat Temenggung, Kec. Tarik, Kabupaten Sidoarjo, Jawa Timur 61265")</f>
        <v>Jl. Raya Kramat Temenggung No.43, Kramat, Kramat Temenggung, Kec. Tarik, Kabupaten Sidoarjo, Jawa Timur 61265</v>
      </c>
      <c r="W1826" s="211" t="str">
        <f>IFERROR(__xludf.DUMMYFUNCTION("""COMPUTED_VALUE"""),"OUT")</f>
        <v>OUT</v>
      </c>
      <c r="X1826" s="211"/>
      <c r="AL1826" s="211"/>
      <c r="AM1826" s="211"/>
      <c r="AN1826" s="211"/>
      <c r="AO1826" s="211"/>
      <c r="AP1826" s="215"/>
      <c r="AQ1826" s="218"/>
      <c r="AR1826" s="211"/>
    </row>
    <row r="1827">
      <c r="A1827" s="210" t="str">
        <f>IFERROR(__xludf.DUMMYFUNCTION("""COMPUTED_VALUE"""),"1250611")</f>
        <v>1250611</v>
      </c>
      <c r="B1827" s="210" t="str">
        <f>IFERROR(__xludf.DUMMYFUNCTION("""COMPUTED_VALUE"""),"1250611")</f>
        <v>1250611</v>
      </c>
      <c r="C1827" s="213">
        <f>IFERROR(__xludf.DUMMYFUNCTION("""COMPUTED_VALUE"""),45923.58894675926)</f>
        <v>45923.58895</v>
      </c>
      <c r="D1827" s="211" t="str">
        <f>IFERROR(__xludf.DUMMYFUNCTION("""COMPUTED_VALUE"""),"ce83e171")</f>
        <v>ce83e171</v>
      </c>
      <c r="E1827" s="211" t="str">
        <f>IFERROR(__xludf.DUMMYFUNCTION("""COMPUTED_VALUE"""),"Bpk. Sulaiman")</f>
        <v>Bpk. Sulaiman</v>
      </c>
      <c r="F1827" s="211" t="str">
        <f>IFERROR(__xludf.DUMMYFUNCTION("""COMPUTED_VALUE"""),"7d2764f1")</f>
        <v>7d2764f1</v>
      </c>
      <c r="G1827" s="211" t="str">
        <f>IFERROR(__xludf.DUMMYFUNCTION("""COMPUTED_VALUE"""),"Oksigen 7m3")</f>
        <v>Oksigen 7m3</v>
      </c>
      <c r="H1827" s="211" t="str">
        <f>IFERROR(__xludf.DUMMYFUNCTION("""COMPUTED_VALUE"""),"IN")</f>
        <v>IN</v>
      </c>
      <c r="I1827" s="211" t="str">
        <f>IFERROR(__xludf.DUMMYFUNCTION("""COMPUTED_VALUE"""),"EMPTY")</f>
        <v>EMPTY</v>
      </c>
      <c r="J1827" s="211">
        <f>IFERROR(__xludf.DUMMYFUNCTION("""COMPUTED_VALUE"""),4.0)</f>
        <v>4</v>
      </c>
      <c r="K1827" s="210" t="str">
        <f>IFERROR(__xludf.DUMMYFUNCTION("""COMPUTED_VALUE"""),"11136 11141 11158 11228")</f>
        <v>11136 11141 11158 11228</v>
      </c>
      <c r="L1827" s="211">
        <f>IFERROR(__xludf.DUMMYFUNCTION("""COMPUTED_VALUE"""),0.0)</f>
        <v>0</v>
      </c>
      <c r="M1827" s="211"/>
      <c r="N1827" s="211"/>
      <c r="O1827" s="211"/>
      <c r="Q1827" s="210" t="str">
        <f>IFERROR(__xludf.DUMMYFUNCTION("""COMPUTED_VALUE"""),"112541827")</f>
        <v>112541827</v>
      </c>
      <c r="R1827" s="210" t="str">
        <f>IFERROR(__xludf.DUMMYFUNCTION("""COMPUTED_VALUE"""),"112541827")</f>
        <v>112541827</v>
      </c>
      <c r="S1827" s="211" t="str">
        <f>IFERROR(__xludf.DUMMYFUNCTION("""COMPUTED_VALUE"""),"63fc688a")</f>
        <v>63fc688a</v>
      </c>
      <c r="T1827" s="211" t="str">
        <f>IFERROR(__xludf.DUMMYFUNCTION("""COMPUTED_VALUE"""),"CV Malik Nusantara")</f>
        <v>CV Malik Nusantara</v>
      </c>
      <c r="U1827" s="215">
        <f>IFERROR(__xludf.DUMMYFUNCTION("""COMPUTED_VALUE"""),45987.363912037035)</f>
        <v>45987.36391</v>
      </c>
      <c r="V1827" s="211" t="str">
        <f>IFERROR(__xludf.DUMMYFUNCTION("""COMPUTED_VALUE"""),"Jl. Raya Balongbendo No.12, Suwaluh Utara, Suwaluh, Kec. BalongBendo, Kabupaten Sidoarjo, Jawa Timur 61263")</f>
        <v>Jl. Raya Balongbendo No.12, Suwaluh Utara, Suwaluh, Kec. BalongBendo, Kabupaten Sidoarjo, Jawa Timur 61263</v>
      </c>
      <c r="W1827" s="211" t="str">
        <f>IFERROR(__xludf.DUMMYFUNCTION("""COMPUTED_VALUE"""),"OUT")</f>
        <v>OUT</v>
      </c>
      <c r="X1827" s="211"/>
      <c r="AL1827" s="211"/>
      <c r="AM1827" s="211"/>
      <c r="AN1827" s="211"/>
      <c r="AO1827" s="211"/>
      <c r="AP1827" s="215"/>
      <c r="AQ1827" s="218"/>
      <c r="AR1827" s="211"/>
    </row>
    <row r="1828">
      <c r="A1828" s="210" t="str">
        <f>IFERROR(__xludf.DUMMYFUNCTION("""COMPUTED_VALUE"""),"1250611")</f>
        <v>1250611</v>
      </c>
      <c r="B1828" s="210" t="str">
        <f>IFERROR(__xludf.DUMMYFUNCTION("""COMPUTED_VALUE"""),"1250611")</f>
        <v>1250611</v>
      </c>
      <c r="C1828" s="213">
        <f>IFERROR(__xludf.DUMMYFUNCTION("""COMPUTED_VALUE"""),45923.58894675926)</f>
        <v>45923.58895</v>
      </c>
      <c r="D1828" s="211" t="str">
        <f>IFERROR(__xludf.DUMMYFUNCTION("""COMPUTED_VALUE"""),"ce83e171")</f>
        <v>ce83e171</v>
      </c>
      <c r="E1828" s="211" t="str">
        <f>IFERROR(__xludf.DUMMYFUNCTION("""COMPUTED_VALUE"""),"Bpk. Sulaiman")</f>
        <v>Bpk. Sulaiman</v>
      </c>
      <c r="F1828" s="211" t="str">
        <f>IFERROR(__xludf.DUMMYFUNCTION("""COMPUTED_VALUE"""),"be525f3b")</f>
        <v>be525f3b</v>
      </c>
      <c r="G1828" s="211" t="str">
        <f>IFERROR(__xludf.DUMMYFUNCTION("""COMPUTED_VALUE"""),"LPG 12kg")</f>
        <v>LPG 12kg</v>
      </c>
      <c r="H1828" s="211" t="str">
        <f>IFERROR(__xludf.DUMMYFUNCTION("""COMPUTED_VALUE"""),"IN")</f>
        <v>IN</v>
      </c>
      <c r="I1828" s="211" t="str">
        <f>IFERROR(__xludf.DUMMYFUNCTION("""COMPUTED_VALUE"""),"EMPTY")</f>
        <v>EMPTY</v>
      </c>
      <c r="J1828" s="211">
        <f>IFERROR(__xludf.DUMMYFUNCTION("""COMPUTED_VALUE"""),1.0)</f>
        <v>1</v>
      </c>
      <c r="K1828" s="210" t="str">
        <f>IFERROR(__xludf.DUMMYFUNCTION("""COMPUTED_VALUE"""),"01")</f>
        <v>01</v>
      </c>
      <c r="L1828" s="211">
        <f>IFERROR(__xludf.DUMMYFUNCTION("""COMPUTED_VALUE"""),0.0)</f>
        <v>0</v>
      </c>
      <c r="M1828" s="211"/>
      <c r="N1828" s="211"/>
      <c r="O1828" s="211"/>
      <c r="Q1828" s="210" t="str">
        <f>IFERROR(__xludf.DUMMYFUNCTION("""COMPUTED_VALUE"""),"1250855")</f>
        <v>1250855</v>
      </c>
      <c r="R1828" s="210" t="str">
        <f>IFERROR(__xludf.DUMMYFUNCTION("""COMPUTED_VALUE"""),"1250855")</f>
        <v>1250855</v>
      </c>
      <c r="S1828" s="211" t="str">
        <f>IFERROR(__xludf.DUMMYFUNCTION("""COMPUTED_VALUE"""),"f8a982a4")</f>
        <v>f8a982a4</v>
      </c>
      <c r="T1828" s="211" t="str">
        <f>IFERROR(__xludf.DUMMYFUNCTION("""COMPUTED_VALUE"""),"Bpk. Nasir")</f>
        <v>Bpk. Nasir</v>
      </c>
      <c r="U1828" s="215">
        <f>IFERROR(__xludf.DUMMYFUNCTION("""COMPUTED_VALUE"""),45987.369155092594)</f>
        <v>45987.36916</v>
      </c>
      <c r="V1828" s="211" t="str">
        <f>IFERROR(__xludf.DUMMYFUNCTION("""COMPUTED_VALUE"""),"JL Raya Pacet, Dsn. Janti Ds. Jatilangkung RT.01 RW. 04. Kabupaten. Mojokerto Pungging, Jawa Timur")</f>
        <v>JL Raya Pacet, Dsn. Janti Ds. Jatilangkung RT.01 RW. 04. Kabupaten. Mojokerto Pungging, Jawa Timur</v>
      </c>
      <c r="W1828" s="211" t="str">
        <f>IFERROR(__xludf.DUMMYFUNCTION("""COMPUTED_VALUE"""),"IN")</f>
        <v>IN</v>
      </c>
      <c r="X1828" s="211"/>
      <c r="AL1828" s="211"/>
      <c r="AM1828" s="211"/>
      <c r="AN1828" s="211"/>
      <c r="AO1828" s="211"/>
      <c r="AP1828" s="215"/>
      <c r="AQ1828" s="218"/>
      <c r="AR1828" s="211"/>
    </row>
    <row r="1829">
      <c r="A1829" s="210" t="str">
        <f>IFERROR(__xludf.DUMMYFUNCTION("""COMPUTED_VALUE"""),"1250610")</f>
        <v>1250610</v>
      </c>
      <c r="B1829" s="210" t="str">
        <f>IFERROR(__xludf.DUMMYFUNCTION("""COMPUTED_VALUE"""),"1250610")</f>
        <v>1250610</v>
      </c>
      <c r="C1829" s="213">
        <f>IFERROR(__xludf.DUMMYFUNCTION("""COMPUTED_VALUE"""),45923.589907407404)</f>
        <v>45923.58991</v>
      </c>
      <c r="D1829" s="211" t="str">
        <f>IFERROR(__xludf.DUMMYFUNCTION("""COMPUTED_VALUE"""),"01158be1")</f>
        <v>01158be1</v>
      </c>
      <c r="E1829" s="211" t="str">
        <f>IFERROR(__xludf.DUMMYFUNCTION("""COMPUTED_VALUE"""),"GYF")</f>
        <v>GYF</v>
      </c>
      <c r="F1829" s="211" t="str">
        <f>IFERROR(__xludf.DUMMYFUNCTION("""COMPUTED_VALUE"""),"8bdbe149")</f>
        <v>8bdbe149</v>
      </c>
      <c r="G1829" s="211" t="str">
        <f>IFERROR(__xludf.DUMMYFUNCTION("""COMPUTED_VALUE"""),"Oksigen 6m3")</f>
        <v>Oksigen 6m3</v>
      </c>
      <c r="H1829" s="211" t="str">
        <f>IFERROR(__xludf.DUMMYFUNCTION("""COMPUTED_VALUE"""),"IN")</f>
        <v>IN</v>
      </c>
      <c r="I1829" s="211" t="str">
        <f>IFERROR(__xludf.DUMMYFUNCTION("""COMPUTED_VALUE"""),"EMPTY")</f>
        <v>EMPTY</v>
      </c>
      <c r="J1829" s="211">
        <f>IFERROR(__xludf.DUMMYFUNCTION("""COMPUTED_VALUE"""),11.0)</f>
        <v>11</v>
      </c>
      <c r="K1829" s="210" t="str">
        <f>IFERROR(__xludf.DUMMYFUNCTION("""COMPUTED_VALUE"""),"11105 11235 11188 11176 11244 1135 11239 11267 1117 11260 1105")</f>
        <v>11105 11235 11188 11176 11244 1135 11239 11267 1117 11260 1105</v>
      </c>
      <c r="L1829" s="211">
        <f>IFERROR(__xludf.DUMMYFUNCTION("""COMPUTED_VALUE"""),0.0)</f>
        <v>0</v>
      </c>
      <c r="M1829" s="211"/>
      <c r="N1829" s="211"/>
      <c r="O1829" s="211"/>
      <c r="Q1829" s="210" t="str">
        <f>IFERROR(__xludf.DUMMYFUNCTION("""COMPUTED_VALUE"""),"1250864")</f>
        <v>1250864</v>
      </c>
      <c r="R1829" s="210" t="str">
        <f>IFERROR(__xludf.DUMMYFUNCTION("""COMPUTED_VALUE"""),"1250864")</f>
        <v>1250864</v>
      </c>
      <c r="S1829" s="211" t="str">
        <f>IFERROR(__xludf.DUMMYFUNCTION("""COMPUTED_VALUE"""),"63fc688a")</f>
        <v>63fc688a</v>
      </c>
      <c r="T1829" s="211" t="str">
        <f>IFERROR(__xludf.DUMMYFUNCTION("""COMPUTED_VALUE"""),"CV Malik Nusantara")</f>
        <v>CV Malik Nusantara</v>
      </c>
      <c r="U1829" s="215">
        <f>IFERROR(__xludf.DUMMYFUNCTION("""COMPUTED_VALUE"""),45987.44532407408)</f>
        <v>45987.44532</v>
      </c>
      <c r="V1829" s="211" t="str">
        <f>IFERROR(__xludf.DUMMYFUNCTION("""COMPUTED_VALUE"""),"Jl. Raya Balongbendo No.12, Suwaluh Utara, Suwaluh, Kec. BalongBendo, Kabupaten Sidoarjo, Jawa Timur 61263")</f>
        <v>Jl. Raya Balongbendo No.12, Suwaluh Utara, Suwaluh, Kec. BalongBendo, Kabupaten Sidoarjo, Jawa Timur 61263</v>
      </c>
      <c r="W1829" s="211" t="str">
        <f>IFERROR(__xludf.DUMMYFUNCTION("""COMPUTED_VALUE"""),"IN")</f>
        <v>IN</v>
      </c>
      <c r="X1829" s="211"/>
      <c r="AL1829" s="211"/>
      <c r="AM1829" s="211"/>
      <c r="AN1829" s="211"/>
      <c r="AO1829" s="211"/>
      <c r="AP1829" s="215"/>
      <c r="AQ1829" s="218"/>
      <c r="AR1829" s="211"/>
    </row>
    <row r="1830">
      <c r="A1830" s="210" t="str">
        <f>IFERROR(__xludf.DUMMYFUNCTION("""COMPUTED_VALUE"""),"092521316")</f>
        <v>092521316</v>
      </c>
      <c r="B1830" s="210" t="str">
        <f>IFERROR(__xludf.DUMMYFUNCTION("""COMPUTED_VALUE"""),"092521316")</f>
        <v>092521316</v>
      </c>
      <c r="C1830" s="213">
        <f>IFERROR(__xludf.DUMMYFUNCTION("""COMPUTED_VALUE"""),45923.62472222222)</f>
        <v>45923.62472</v>
      </c>
      <c r="D1830" s="211" t="str">
        <f>IFERROR(__xludf.DUMMYFUNCTION("""COMPUTED_VALUE"""),"56828503")</f>
        <v>56828503</v>
      </c>
      <c r="E1830" s="211" t="str">
        <f>IFERROR(__xludf.DUMMYFUNCTION("""COMPUTED_VALUE"""),"Bpk. Widodo (Wringinanom)")</f>
        <v>Bpk. Widodo (Wringinanom)</v>
      </c>
      <c r="F1830" s="211" t="str">
        <f>IFERROR(__xludf.DUMMYFUNCTION("""COMPUTED_VALUE"""),"8bdbe149")</f>
        <v>8bdbe149</v>
      </c>
      <c r="G1830" s="211" t="str">
        <f>IFERROR(__xludf.DUMMYFUNCTION("""COMPUTED_VALUE"""),"Oksigen 6m3")</f>
        <v>Oksigen 6m3</v>
      </c>
      <c r="H1830" s="211" t="str">
        <f>IFERROR(__xludf.DUMMYFUNCTION("""COMPUTED_VALUE"""),"OUT")</f>
        <v>OUT</v>
      </c>
      <c r="I1830" s="211" t="str">
        <f>IFERROR(__xludf.DUMMYFUNCTION("""COMPUTED_VALUE"""),"NORMAL")</f>
        <v>NORMAL</v>
      </c>
      <c r="J1830" s="211">
        <f>IFERROR(__xludf.DUMMYFUNCTION("""COMPUTED_VALUE"""),10.0)</f>
        <v>10</v>
      </c>
      <c r="K1830" s="210" t="str">
        <f>IFERROR(__xludf.DUMMYFUNCTION("""COMPUTED_VALUE"""),"11234 11191 1139 11258 11177 11126 11279 1136 11261 11208")</f>
        <v>11234 11191 1139 11258 11177 11126 11279 1136 11261 11208</v>
      </c>
      <c r="L1830" s="211">
        <f>IFERROR(__xludf.DUMMYFUNCTION("""COMPUTED_VALUE"""),55000.0)</f>
        <v>55000</v>
      </c>
      <c r="M1830" s="211"/>
      <c r="N1830" s="211"/>
      <c r="O1830" s="211"/>
      <c r="Q1830" s="210" t="str">
        <f>IFERROR(__xludf.DUMMYFUNCTION("""COMPUTED_VALUE"""),"1250865")</f>
        <v>1250865</v>
      </c>
      <c r="R1830" s="210" t="str">
        <f>IFERROR(__xludf.DUMMYFUNCTION("""COMPUTED_VALUE"""),"1250865")</f>
        <v>1250865</v>
      </c>
      <c r="S1830" s="211" t="str">
        <f>IFERROR(__xludf.DUMMYFUNCTION("""COMPUTED_VALUE"""),"a0f0ad2d")</f>
        <v>a0f0ad2d</v>
      </c>
      <c r="T1830" s="211" t="str">
        <f>IFERROR(__xludf.DUMMYFUNCTION("""COMPUTED_VALUE"""),"CV. Yulie Jaya")</f>
        <v>CV. Yulie Jaya</v>
      </c>
      <c r="U1830" s="215">
        <f>IFERROR(__xludf.DUMMYFUNCTION("""COMPUTED_VALUE"""),45987.446226851855)</f>
        <v>45987.44623</v>
      </c>
      <c r="V1830" s="211" t="str">
        <f>IFERROR(__xludf.DUMMYFUNCTION("""COMPUTED_VALUE"""),"JJH4+6RV, Badas, Barengkrajan, Kec. Krian, Kabupaten Sidoarjo, Jawa Timur 61262")</f>
        <v>JJH4+6RV, Badas, Barengkrajan, Kec. Krian, Kabupaten Sidoarjo, Jawa Timur 61262</v>
      </c>
      <c r="W1830" s="211" t="str">
        <f>IFERROR(__xludf.DUMMYFUNCTION("""COMPUTED_VALUE"""),"IN")</f>
        <v>IN</v>
      </c>
      <c r="X1830" s="211"/>
      <c r="AL1830" s="211"/>
      <c r="AM1830" s="211"/>
      <c r="AN1830" s="211"/>
      <c r="AO1830" s="211"/>
      <c r="AP1830" s="215"/>
      <c r="AQ1830" s="218"/>
      <c r="AR1830" s="211"/>
    </row>
    <row r="1831">
      <c r="A1831" s="210" t="str">
        <f>IFERROR(__xludf.DUMMYFUNCTION("""COMPUTED_VALUE"""),"1250612")</f>
        <v>1250612</v>
      </c>
      <c r="B1831" s="210" t="str">
        <f>IFERROR(__xludf.DUMMYFUNCTION("""COMPUTED_VALUE"""),"1250612")</f>
        <v>1250612</v>
      </c>
      <c r="C1831" s="213">
        <f>IFERROR(__xludf.DUMMYFUNCTION("""COMPUTED_VALUE"""),45923.70034722222)</f>
        <v>45923.70035</v>
      </c>
      <c r="D1831" s="211" t="str">
        <f>IFERROR(__xludf.DUMMYFUNCTION("""COMPUTED_VALUE"""),"56828503")</f>
        <v>56828503</v>
      </c>
      <c r="E1831" s="211" t="str">
        <f>IFERROR(__xludf.DUMMYFUNCTION("""COMPUTED_VALUE"""),"Bpk. Widodo (Wringinanom)")</f>
        <v>Bpk. Widodo (Wringinanom)</v>
      </c>
      <c r="F1831" s="211" t="str">
        <f>IFERROR(__xludf.DUMMYFUNCTION("""COMPUTED_VALUE"""),"8bdbe149")</f>
        <v>8bdbe149</v>
      </c>
      <c r="G1831" s="211" t="str">
        <f>IFERROR(__xludf.DUMMYFUNCTION("""COMPUTED_VALUE"""),"Oksigen 6m3")</f>
        <v>Oksigen 6m3</v>
      </c>
      <c r="H1831" s="211" t="str">
        <f>IFERROR(__xludf.DUMMYFUNCTION("""COMPUTED_VALUE"""),"IN")</f>
        <v>IN</v>
      </c>
      <c r="I1831" s="211" t="str">
        <f>IFERROR(__xludf.DUMMYFUNCTION("""COMPUTED_VALUE"""),"EMPTY")</f>
        <v>EMPTY</v>
      </c>
      <c r="J1831" s="211">
        <f>IFERROR(__xludf.DUMMYFUNCTION("""COMPUTED_VALUE"""),5.0)</f>
        <v>5</v>
      </c>
      <c r="K1831" s="210" t="str">
        <f>IFERROR(__xludf.DUMMYFUNCTION("""COMPUTED_VALUE"""),"11271 1171 11144 11212 11266")</f>
        <v>11271 1171 11144 11212 11266</v>
      </c>
      <c r="L1831" s="211">
        <f>IFERROR(__xludf.DUMMYFUNCTION("""COMPUTED_VALUE"""),0.0)</f>
        <v>0</v>
      </c>
      <c r="M1831" s="211"/>
      <c r="N1831" s="211"/>
      <c r="O1831" s="211"/>
      <c r="Q1831" s="210" t="str">
        <f>IFERROR(__xludf.DUMMYFUNCTION("""COMPUTED_VALUE"""),"112541828")</f>
        <v>112541828</v>
      </c>
      <c r="R1831" s="210" t="str">
        <f>IFERROR(__xludf.DUMMYFUNCTION("""COMPUTED_VALUE"""),"112541828")</f>
        <v>112541828</v>
      </c>
      <c r="S1831" s="211" t="str">
        <f>IFERROR(__xludf.DUMMYFUNCTION("""COMPUTED_VALUE"""),"734c6d17")</f>
        <v>734c6d17</v>
      </c>
      <c r="T1831" s="211" t="str">
        <f>IFERROR(__xludf.DUMMYFUNCTION("""COMPUTED_VALUE"""),"Bapak Ainol Yaqin ( Bpk. Ibnu )")</f>
        <v>Bapak Ainol Yaqin ( Bpk. Ibnu )</v>
      </c>
      <c r="U1831" s="215">
        <f>IFERROR(__xludf.DUMMYFUNCTION("""COMPUTED_VALUE"""),45987.46604166667)</f>
        <v>45987.46604</v>
      </c>
      <c r="V1831" s="211" t="str">
        <f>IFERROR(__xludf.DUMMYFUNCTION("""COMPUTED_VALUE"""),"Tanggul Wetan, Tanggul, Kec. Wonoayu, Kabupaten Sidoarjo, Jawa Timur")</f>
        <v>Tanggul Wetan, Tanggul, Kec. Wonoayu, Kabupaten Sidoarjo, Jawa Timur</v>
      </c>
      <c r="W1831" s="211" t="str">
        <f>IFERROR(__xludf.DUMMYFUNCTION("""COMPUTED_VALUE"""),"OUT")</f>
        <v>OUT</v>
      </c>
      <c r="X1831" s="211"/>
      <c r="AL1831" s="211"/>
      <c r="AM1831" s="211"/>
      <c r="AN1831" s="211"/>
      <c r="AO1831" s="211"/>
      <c r="AP1831" s="215"/>
      <c r="AQ1831" s="218"/>
      <c r="AR1831" s="211"/>
    </row>
    <row r="1832">
      <c r="A1832" s="210" t="str">
        <f>IFERROR(__xludf.DUMMYFUNCTION("""COMPUTED_VALUE"""),"0925131323")</f>
        <v>0925131323</v>
      </c>
      <c r="B1832" s="210" t="str">
        <f>IFERROR(__xludf.DUMMYFUNCTION("""COMPUTED_VALUE"""),"0925131323")</f>
        <v>0925131323</v>
      </c>
      <c r="C1832" s="213">
        <f>IFERROR(__xludf.DUMMYFUNCTION("""COMPUTED_VALUE"""),45924.367118055554)</f>
        <v>45924.36712</v>
      </c>
      <c r="D1832" s="211" t="str">
        <f>IFERROR(__xludf.DUMMYFUNCTION("""COMPUTED_VALUE"""),"b218b89b")</f>
        <v>b218b89b</v>
      </c>
      <c r="E1832" s="211" t="str">
        <f>IFERROR(__xludf.DUMMYFUNCTION("""COMPUTED_VALUE"""),"PT Harapan Sentosa")</f>
        <v>PT Harapan Sentosa</v>
      </c>
      <c r="F1832" s="211" t="str">
        <f>IFERROR(__xludf.DUMMYFUNCTION("""COMPUTED_VALUE"""),"ef306e54")</f>
        <v>ef306e54</v>
      </c>
      <c r="G1832" s="211" t="str">
        <f>IFERROR(__xludf.DUMMYFUNCTION("""COMPUTED_VALUE"""),"Karbondioksida")</f>
        <v>Karbondioksida</v>
      </c>
      <c r="H1832" s="211" t="str">
        <f>IFERROR(__xludf.DUMMYFUNCTION("""COMPUTED_VALUE"""),"OUT")</f>
        <v>OUT</v>
      </c>
      <c r="I1832" s="211" t="str">
        <f>IFERROR(__xludf.DUMMYFUNCTION("""COMPUTED_VALUE"""),"NORMAL")</f>
        <v>NORMAL</v>
      </c>
      <c r="J1832" s="211">
        <f>IFERROR(__xludf.DUMMYFUNCTION("""COMPUTED_VALUE"""),5.0)</f>
        <v>5</v>
      </c>
      <c r="K1832" s="210" t="str">
        <f>IFERROR(__xludf.DUMMYFUNCTION("""COMPUTED_VALUE"""),"13004 13005 13023 13029 13031")</f>
        <v>13004 13005 13023 13029 13031</v>
      </c>
      <c r="L1832" s="211">
        <f>IFERROR(__xludf.DUMMYFUNCTION("""COMPUTED_VALUE"""),210000.0)</f>
        <v>210000</v>
      </c>
      <c r="M1832" s="211"/>
      <c r="N1832" s="211"/>
      <c r="O1832" s="211"/>
      <c r="Q1832" s="210" t="str">
        <f>IFERROR(__xludf.DUMMYFUNCTION("""COMPUTED_VALUE"""),"1125231832")</f>
        <v>1125231832</v>
      </c>
      <c r="R1832" s="210" t="str">
        <f>IFERROR(__xludf.DUMMYFUNCTION("""COMPUTED_VALUE"""),"1125231832")</f>
        <v>1125231832</v>
      </c>
      <c r="S1832" s="211" t="str">
        <f>IFERROR(__xludf.DUMMYFUNCTION("""COMPUTED_VALUE"""),"3bcd7fe6")</f>
        <v>3bcd7fe6</v>
      </c>
      <c r="T1832" s="211" t="str">
        <f>IFERROR(__xludf.DUMMYFUNCTION("""COMPUTED_VALUE"""),"Bpk. Alvin (LB Group)")</f>
        <v>Bpk. Alvin (LB Group)</v>
      </c>
      <c r="U1832" s="215">
        <f>IFERROR(__xludf.DUMMYFUNCTION("""COMPUTED_VALUE"""),45987.466319444444)</f>
        <v>45987.46632</v>
      </c>
      <c r="V1832" s="211" t="str">
        <f>IFERROR(__xludf.DUMMYFUNCTION("""COMPUTED_VALUE"""),"MFF9+XHC, Jalan, Tambakrejo, Temuireng, Kec. Dawar Blandong, Kabupaten Mojokerto, Jawa Timur 61354")</f>
        <v>MFF9+XHC, Jalan, Tambakrejo, Temuireng, Kec. Dawar Blandong, Kabupaten Mojokerto, Jawa Timur 61354</v>
      </c>
      <c r="W1832" s="211" t="str">
        <f>IFERROR(__xludf.DUMMYFUNCTION("""COMPUTED_VALUE"""),"OUT")</f>
        <v>OUT</v>
      </c>
      <c r="X1832" s="211"/>
      <c r="AL1832" s="211"/>
      <c r="AM1832" s="211"/>
      <c r="AN1832" s="211"/>
      <c r="AO1832" s="211"/>
      <c r="AP1832" s="215"/>
      <c r="AQ1832" s="218"/>
      <c r="AR1832" s="211"/>
    </row>
    <row r="1833">
      <c r="A1833" s="210" t="str">
        <f>IFERROR(__xludf.DUMMYFUNCTION("""COMPUTED_VALUE"""),"0925211323")</f>
        <v>0925211323</v>
      </c>
      <c r="B1833" s="210" t="str">
        <f>IFERROR(__xludf.DUMMYFUNCTION("""COMPUTED_VALUE"""),"0925211323")</f>
        <v>0925211323</v>
      </c>
      <c r="C1833" s="213">
        <f>IFERROR(__xludf.DUMMYFUNCTION("""COMPUTED_VALUE"""),45924.37144675926)</f>
        <v>45924.37145</v>
      </c>
      <c r="D1833" s="211" t="str">
        <f>IFERROR(__xludf.DUMMYFUNCTION("""COMPUTED_VALUE"""),"ec231cc9")</f>
        <v>ec231cc9</v>
      </c>
      <c r="E1833" s="211" t="str">
        <f>IFERROR(__xludf.DUMMYFUNCTION("""COMPUTED_VALUE"""),"Bpk. Kohir (Maintenance Velg)")</f>
        <v>Bpk. Kohir (Maintenance Velg)</v>
      </c>
      <c r="F1833" s="211" t="str">
        <f>IFERROR(__xludf.DUMMYFUNCTION("""COMPUTED_VALUE"""),"8bdbe149")</f>
        <v>8bdbe149</v>
      </c>
      <c r="G1833" s="211" t="str">
        <f>IFERROR(__xludf.DUMMYFUNCTION("""COMPUTED_VALUE"""),"Oksigen 6m3")</f>
        <v>Oksigen 6m3</v>
      </c>
      <c r="H1833" s="211" t="str">
        <f>IFERROR(__xludf.DUMMYFUNCTION("""COMPUTED_VALUE"""),"OUT")</f>
        <v>OUT</v>
      </c>
      <c r="I1833" s="211" t="str">
        <f>IFERROR(__xludf.DUMMYFUNCTION("""COMPUTED_VALUE"""),"NORMAL")</f>
        <v>NORMAL</v>
      </c>
      <c r="J1833" s="211">
        <f>IFERROR(__xludf.DUMMYFUNCTION("""COMPUTED_VALUE"""),4.0)</f>
        <v>4</v>
      </c>
      <c r="K1833" s="210" t="str">
        <f>IFERROR(__xludf.DUMMYFUNCTION("""COMPUTED_VALUE"""),"11196 11287 11273 1157")</f>
        <v>11196 11287 11273 1157</v>
      </c>
      <c r="L1833" s="211">
        <f>IFERROR(__xludf.DUMMYFUNCTION("""COMPUTED_VALUE"""),55000.0)</f>
        <v>55000</v>
      </c>
      <c r="M1833" s="211"/>
      <c r="N1833" s="211"/>
      <c r="O1833" s="211"/>
      <c r="Q1833" s="210" t="str">
        <f>IFERROR(__xludf.DUMMYFUNCTION("""COMPUTED_VALUE"""),"1250857")</f>
        <v>1250857</v>
      </c>
      <c r="R1833" s="210" t="str">
        <f>IFERROR(__xludf.DUMMYFUNCTION("""COMPUTED_VALUE"""),"1250857")</f>
        <v>1250857</v>
      </c>
      <c r="S1833" s="211" t="str">
        <f>IFERROR(__xludf.DUMMYFUNCTION("""COMPUTED_VALUE"""),"ed2cc96a")</f>
        <v>ed2cc96a</v>
      </c>
      <c r="T1833" s="211" t="str">
        <f>IFERROR(__xludf.DUMMYFUNCTION("""COMPUTED_VALUE"""),"Bengkel Dian Jaya")</f>
        <v>Bengkel Dian Jaya</v>
      </c>
      <c r="U1833" s="215">
        <f>IFERROR(__xludf.DUMMYFUNCTION("""COMPUTED_VALUE"""),45987.54042824074)</f>
        <v>45987.54043</v>
      </c>
      <c r="V1833" s="211" t="str">
        <f>IFERROR(__xludf.DUMMYFUNCTION("""COMPUTED_VALUE"""),"Gg. 2, Kejagan, Kec. Trowulan, Kabupaten Mojokerto, Jawa Timur 61362")</f>
        <v>Gg. 2, Kejagan, Kec. Trowulan, Kabupaten Mojokerto, Jawa Timur 61362</v>
      </c>
      <c r="W1833" s="211" t="str">
        <f>IFERROR(__xludf.DUMMYFUNCTION("""COMPUTED_VALUE"""),"IN")</f>
        <v>IN</v>
      </c>
      <c r="X1833" s="211"/>
      <c r="AL1833" s="211"/>
      <c r="AM1833" s="211"/>
      <c r="AN1833" s="211"/>
      <c r="AO1833" s="211"/>
      <c r="AP1833" s="215"/>
      <c r="AQ1833" s="218"/>
      <c r="AR1833" s="211"/>
    </row>
    <row r="1834">
      <c r="A1834" s="210" t="str">
        <f>IFERROR(__xludf.DUMMYFUNCTION("""COMPUTED_VALUE"""),"0925521326")</f>
        <v>0925521326</v>
      </c>
      <c r="B1834" s="210" t="str">
        <f>IFERROR(__xludf.DUMMYFUNCTION("""COMPUTED_VALUE"""),"0925521326")</f>
        <v>0925521326</v>
      </c>
      <c r="C1834" s="213">
        <f>IFERROR(__xludf.DUMMYFUNCTION("""COMPUTED_VALUE"""),45924.37400462963)</f>
        <v>45924.374</v>
      </c>
      <c r="D1834" s="211" t="str">
        <f>IFERROR(__xludf.DUMMYFUNCTION("""COMPUTED_VALUE"""),"e86baf3b")</f>
        <v>e86baf3b</v>
      </c>
      <c r="E1834" s="211" t="str">
        <f>IFERROR(__xludf.DUMMYFUNCTION("""COMPUTED_VALUE"""),"PT GEMILANG CIPTA WAWASAN")</f>
        <v>PT GEMILANG CIPTA WAWASAN</v>
      </c>
      <c r="F1834" s="211" t="str">
        <f>IFERROR(__xludf.DUMMYFUNCTION("""COMPUTED_VALUE"""),"66af7c72")</f>
        <v>66af7c72</v>
      </c>
      <c r="G1834" s="211" t="str">
        <f>IFERROR(__xludf.DUMMYFUNCTION("""COMPUTED_VALUE"""),"Argon 6m3")</f>
        <v>Argon 6m3</v>
      </c>
      <c r="H1834" s="211" t="str">
        <f>IFERROR(__xludf.DUMMYFUNCTION("""COMPUTED_VALUE"""),"OUT")</f>
        <v>OUT</v>
      </c>
      <c r="I1834" s="211" t="str">
        <f>IFERROR(__xludf.DUMMYFUNCTION("""COMPUTED_VALUE"""),"NORMAL")</f>
        <v>NORMAL</v>
      </c>
      <c r="J1834" s="211">
        <f>IFERROR(__xludf.DUMMYFUNCTION("""COMPUTED_VALUE"""),6.0)</f>
        <v>6</v>
      </c>
      <c r="K1834" s="210" t="str">
        <f>IFERROR(__xludf.DUMMYFUNCTION("""COMPUTED_VALUE"""),"12001 12057 12053 12047 12046 12038")</f>
        <v>12001 12057 12053 12047 12046 12038</v>
      </c>
      <c r="L1834" s="211">
        <f>IFERROR(__xludf.DUMMYFUNCTION("""COMPUTED_VALUE"""),185000.0)</f>
        <v>185000</v>
      </c>
      <c r="M1834" s="211"/>
      <c r="N1834" s="211"/>
      <c r="O1834" s="211"/>
      <c r="Q1834" s="210" t="str">
        <f>IFERROR(__xludf.DUMMYFUNCTION("""COMPUTED_VALUE"""),"1250858")</f>
        <v>1250858</v>
      </c>
      <c r="R1834" s="210" t="str">
        <f>IFERROR(__xludf.DUMMYFUNCTION("""COMPUTED_VALUE"""),"1250858")</f>
        <v>1250858</v>
      </c>
      <c r="S1834" s="211" t="str">
        <f>IFERROR(__xludf.DUMMYFUNCTION("""COMPUTED_VALUE"""),"01158be1")</f>
        <v>01158be1</v>
      </c>
      <c r="T1834" s="211" t="str">
        <f>IFERROR(__xludf.DUMMYFUNCTION("""COMPUTED_VALUE"""),"GYF")</f>
        <v>GYF</v>
      </c>
      <c r="U1834" s="215">
        <f>IFERROR(__xludf.DUMMYFUNCTION("""COMPUTED_VALUE"""),45987.54094907407)</f>
        <v>45987.54095</v>
      </c>
      <c r="V1834" s="211" t="str">
        <f>IFERROR(__xludf.DUMMYFUNCTION("""COMPUTED_VALUE"""),"Kangkungan, Lengkong, Kec. Mojoanyar, Kabupaten Mojokerto, Jawa Timur")</f>
        <v>Kangkungan, Lengkong, Kec. Mojoanyar, Kabupaten Mojokerto, Jawa Timur</v>
      </c>
      <c r="W1834" s="211" t="str">
        <f>IFERROR(__xludf.DUMMYFUNCTION("""COMPUTED_VALUE"""),"IN")</f>
        <v>IN</v>
      </c>
      <c r="X1834" s="211"/>
      <c r="AL1834" s="211"/>
      <c r="AM1834" s="211"/>
      <c r="AN1834" s="211"/>
      <c r="AO1834" s="211"/>
      <c r="AP1834" s="215"/>
      <c r="AQ1834" s="218"/>
      <c r="AR1834" s="211"/>
    </row>
    <row r="1835">
      <c r="A1835" s="210" t="str">
        <f>IFERROR(__xludf.DUMMYFUNCTION("""COMPUTED_VALUE"""),"0925521326")</f>
        <v>0925521326</v>
      </c>
      <c r="B1835" s="210" t="str">
        <f>IFERROR(__xludf.DUMMYFUNCTION("""COMPUTED_VALUE"""),"0925521326")</f>
        <v>0925521326</v>
      </c>
      <c r="C1835" s="213">
        <f>IFERROR(__xludf.DUMMYFUNCTION("""COMPUTED_VALUE"""),45924.37400462963)</f>
        <v>45924.374</v>
      </c>
      <c r="D1835" s="211" t="str">
        <f>IFERROR(__xludf.DUMMYFUNCTION("""COMPUTED_VALUE"""),"e86baf3b")</f>
        <v>e86baf3b</v>
      </c>
      <c r="E1835" s="211" t="str">
        <f>IFERROR(__xludf.DUMMYFUNCTION("""COMPUTED_VALUE"""),"PT GEMILANG CIPTA WAWASAN")</f>
        <v>PT GEMILANG CIPTA WAWASAN</v>
      </c>
      <c r="F1835" s="211" t="str">
        <f>IFERROR(__xludf.DUMMYFUNCTION("""COMPUTED_VALUE"""),"8bdbe149")</f>
        <v>8bdbe149</v>
      </c>
      <c r="G1835" s="211" t="str">
        <f>IFERROR(__xludf.DUMMYFUNCTION("""COMPUTED_VALUE"""),"Oksigen 6m3")</f>
        <v>Oksigen 6m3</v>
      </c>
      <c r="H1835" s="211" t="str">
        <f>IFERROR(__xludf.DUMMYFUNCTION("""COMPUTED_VALUE"""),"OUT")</f>
        <v>OUT</v>
      </c>
      <c r="I1835" s="211" t="str">
        <f>IFERROR(__xludf.DUMMYFUNCTION("""COMPUTED_VALUE"""),"NORMAL")</f>
        <v>NORMAL</v>
      </c>
      <c r="J1835" s="211">
        <f>IFERROR(__xludf.DUMMYFUNCTION("""COMPUTED_VALUE"""),6.0)</f>
        <v>6</v>
      </c>
      <c r="K1835" s="210" t="str">
        <f>IFERROR(__xludf.DUMMYFUNCTION("""COMPUTED_VALUE"""),"11245 11256 1143 11120 1189 11242")</f>
        <v>11245 11256 1143 11120 1189 11242</v>
      </c>
      <c r="L1835" s="211">
        <f>IFERROR(__xludf.DUMMYFUNCTION("""COMPUTED_VALUE"""),60000.0)</f>
        <v>60000</v>
      </c>
      <c r="M1835" s="211"/>
      <c r="N1835" s="211"/>
      <c r="O1835" s="211"/>
      <c r="Q1835" s="210" t="str">
        <f>IFERROR(__xludf.DUMMYFUNCTION("""COMPUTED_VALUE"""),"1250856")</f>
        <v>1250856</v>
      </c>
      <c r="R1835" s="210" t="str">
        <f>IFERROR(__xludf.DUMMYFUNCTION("""COMPUTED_VALUE"""),"1250856")</f>
        <v>1250856</v>
      </c>
      <c r="S1835" s="211" t="str">
        <f>IFERROR(__xludf.DUMMYFUNCTION("""COMPUTED_VALUE"""),"faf71ae5")</f>
        <v>faf71ae5</v>
      </c>
      <c r="T1835" s="211" t="str">
        <f>IFERROR(__xludf.DUMMYFUNCTION("""COMPUTED_VALUE"""),"Bpk. Sampurna")</f>
        <v>Bpk. Sampurna</v>
      </c>
      <c r="U1835" s="215">
        <f>IFERROR(__xludf.DUMMYFUNCTION("""COMPUTED_VALUE"""),45987.54177083333)</f>
        <v>45987.54177</v>
      </c>
      <c r="V1835" s="211" t="str">
        <f>IFERROR(__xludf.DUMMYFUNCTION("""COMPUTED_VALUE"""),"Jl. Bypass Krian KM.30 No.15, Kraton, Kec. Krian, Kabupaten Sidoarjo, Jawa Timur 61262")</f>
        <v>Jl. Bypass Krian KM.30 No.15, Kraton, Kec. Krian, Kabupaten Sidoarjo, Jawa Timur 61262</v>
      </c>
      <c r="W1835" s="211" t="str">
        <f>IFERROR(__xludf.DUMMYFUNCTION("""COMPUTED_VALUE"""),"IN")</f>
        <v>IN</v>
      </c>
      <c r="X1835" s="211"/>
      <c r="AL1835" s="211"/>
      <c r="AM1835" s="211"/>
      <c r="AN1835" s="211"/>
      <c r="AO1835" s="211"/>
      <c r="AP1835" s="215"/>
      <c r="AQ1835" s="218"/>
      <c r="AR1835" s="211"/>
    </row>
    <row r="1836">
      <c r="A1836" s="210" t="str">
        <f>IFERROR(__xludf.DUMMYFUNCTION("""COMPUTED_VALUE"""),"092591327")</f>
        <v>092591327</v>
      </c>
      <c r="B1836" s="210" t="str">
        <f>IFERROR(__xludf.DUMMYFUNCTION("""COMPUTED_VALUE"""),"092591327")</f>
        <v>092591327</v>
      </c>
      <c r="C1836" s="213">
        <f>IFERROR(__xludf.DUMMYFUNCTION("""COMPUTED_VALUE"""),45924.40516203704)</f>
        <v>45924.40516</v>
      </c>
      <c r="D1836" s="211" t="str">
        <f>IFERROR(__xludf.DUMMYFUNCTION("""COMPUTED_VALUE"""),"e968afef")</f>
        <v>e968afef</v>
      </c>
      <c r="E1836" s="211" t="str">
        <f>IFERROR(__xludf.DUMMYFUNCTION("""COMPUTED_VALUE"""),"Bpk. Agus")</f>
        <v>Bpk. Agus</v>
      </c>
      <c r="F1836" s="211" t="str">
        <f>IFERROR(__xludf.DUMMYFUNCTION("""COMPUTED_VALUE"""),"be525f3b")</f>
        <v>be525f3b</v>
      </c>
      <c r="G1836" s="211" t="str">
        <f>IFERROR(__xludf.DUMMYFUNCTION("""COMPUTED_VALUE"""),"LPG 12kg")</f>
        <v>LPG 12kg</v>
      </c>
      <c r="H1836" s="211" t="str">
        <f>IFERROR(__xludf.DUMMYFUNCTION("""COMPUTED_VALUE"""),"OUT")</f>
        <v>OUT</v>
      </c>
      <c r="I1836" s="211" t="str">
        <f>IFERROR(__xludf.DUMMYFUNCTION("""COMPUTED_VALUE"""),"NORMAL")</f>
        <v>NORMAL</v>
      </c>
      <c r="J1836" s="211">
        <f>IFERROR(__xludf.DUMMYFUNCTION("""COMPUTED_VALUE"""),1.0)</f>
        <v>1</v>
      </c>
      <c r="K1836" s="210" t="str">
        <f>IFERROR(__xludf.DUMMYFUNCTION("""COMPUTED_VALUE"""),"01")</f>
        <v>01</v>
      </c>
      <c r="L1836" s="211">
        <f>IFERROR(__xludf.DUMMYFUNCTION("""COMPUTED_VALUE"""),210000.0)</f>
        <v>210000</v>
      </c>
      <c r="M1836" s="211"/>
      <c r="N1836" s="211"/>
      <c r="O1836" s="211"/>
      <c r="Q1836" s="210" t="str">
        <f>IFERROR(__xludf.DUMMYFUNCTION("""COMPUTED_VALUE"""),"1250866")</f>
        <v>1250866</v>
      </c>
      <c r="R1836" s="210" t="str">
        <f>IFERROR(__xludf.DUMMYFUNCTION("""COMPUTED_VALUE"""),"1250866")</f>
        <v>1250866</v>
      </c>
      <c r="S1836" s="211" t="str">
        <f>IFERROR(__xludf.DUMMYFUNCTION("""COMPUTED_VALUE"""),"734c6d17")</f>
        <v>734c6d17</v>
      </c>
      <c r="T1836" s="211" t="str">
        <f>IFERROR(__xludf.DUMMYFUNCTION("""COMPUTED_VALUE"""),"Bapak Ainol Yaqin ( Bpk. Ibnu )")</f>
        <v>Bapak Ainol Yaqin ( Bpk. Ibnu )</v>
      </c>
      <c r="U1836" s="215">
        <f>IFERROR(__xludf.DUMMYFUNCTION("""COMPUTED_VALUE"""),45987.644108796296)</f>
        <v>45987.64411</v>
      </c>
      <c r="V1836" s="211" t="str">
        <f>IFERROR(__xludf.DUMMYFUNCTION("""COMPUTED_VALUE"""),"Tanggul Wetan, Tanggul, Kec. Wonoayu, Kabupaten Sidoarjo, Jawa Timur")</f>
        <v>Tanggul Wetan, Tanggul, Kec. Wonoayu, Kabupaten Sidoarjo, Jawa Timur</v>
      </c>
      <c r="W1836" s="211" t="str">
        <f>IFERROR(__xludf.DUMMYFUNCTION("""COMPUTED_VALUE"""),"IN")</f>
        <v>IN</v>
      </c>
      <c r="X1836" s="211"/>
      <c r="AL1836" s="211"/>
      <c r="AM1836" s="211"/>
      <c r="AN1836" s="211"/>
      <c r="AO1836" s="211"/>
      <c r="AP1836" s="215"/>
      <c r="AQ1836" s="218"/>
      <c r="AR1836" s="211"/>
    </row>
    <row r="1837">
      <c r="A1837" s="210" t="str">
        <f>IFERROR(__xludf.DUMMYFUNCTION("""COMPUTED_VALUE"""),"092591327")</f>
        <v>092591327</v>
      </c>
      <c r="B1837" s="210" t="str">
        <f>IFERROR(__xludf.DUMMYFUNCTION("""COMPUTED_VALUE"""),"092591327")</f>
        <v>092591327</v>
      </c>
      <c r="C1837" s="213">
        <f>IFERROR(__xludf.DUMMYFUNCTION("""COMPUTED_VALUE"""),45924.40516203704)</f>
        <v>45924.40516</v>
      </c>
      <c r="D1837" s="211" t="str">
        <f>IFERROR(__xludf.DUMMYFUNCTION("""COMPUTED_VALUE"""),"e968afef")</f>
        <v>e968afef</v>
      </c>
      <c r="E1837" s="211" t="str">
        <f>IFERROR(__xludf.DUMMYFUNCTION("""COMPUTED_VALUE"""),"Bpk. Agus")</f>
        <v>Bpk. Agus</v>
      </c>
      <c r="F1837" s="211" t="str">
        <f>IFERROR(__xludf.DUMMYFUNCTION("""COMPUTED_VALUE"""),"8bdbe149")</f>
        <v>8bdbe149</v>
      </c>
      <c r="G1837" s="211" t="str">
        <f>IFERROR(__xludf.DUMMYFUNCTION("""COMPUTED_VALUE"""),"Oksigen 6m3")</f>
        <v>Oksigen 6m3</v>
      </c>
      <c r="H1837" s="211" t="str">
        <f>IFERROR(__xludf.DUMMYFUNCTION("""COMPUTED_VALUE"""),"OUT")</f>
        <v>OUT</v>
      </c>
      <c r="I1837" s="211" t="str">
        <f>IFERROR(__xludf.DUMMYFUNCTION("""COMPUTED_VALUE"""),"NORMAL")</f>
        <v>NORMAL</v>
      </c>
      <c r="J1837" s="211">
        <f>IFERROR(__xludf.DUMMYFUNCTION("""COMPUTED_VALUE"""),10.0)</f>
        <v>10</v>
      </c>
      <c r="K1837" s="210" t="str">
        <f>IFERROR(__xludf.DUMMYFUNCTION("""COMPUTED_VALUE"""),"1192 1111 11113 11193 11197 11282 11180 11199 11179 11263")</f>
        <v>1192 1111 11113 11193 11197 11282 11180 11199 11179 11263</v>
      </c>
      <c r="L1837" s="211">
        <f>IFERROR(__xludf.DUMMYFUNCTION("""COMPUTED_VALUE"""),60000.0)</f>
        <v>60000</v>
      </c>
      <c r="M1837" s="211"/>
      <c r="N1837" s="211"/>
      <c r="O1837" s="211"/>
      <c r="Q1837" s="210" t="str">
        <f>IFERROR(__xludf.DUMMYFUNCTION("""COMPUTED_VALUE"""),"1250867")</f>
        <v>1250867</v>
      </c>
      <c r="R1837" s="210" t="str">
        <f>IFERROR(__xludf.DUMMYFUNCTION("""COMPUTED_VALUE"""),"1250867")</f>
        <v>1250867</v>
      </c>
      <c r="S1837" s="211" t="str">
        <f>IFERROR(__xludf.DUMMYFUNCTION("""COMPUTED_VALUE"""),"3bcd7fe6")</f>
        <v>3bcd7fe6</v>
      </c>
      <c r="T1837" s="211" t="str">
        <f>IFERROR(__xludf.DUMMYFUNCTION("""COMPUTED_VALUE"""),"Bpk. Alvin (LB Group)")</f>
        <v>Bpk. Alvin (LB Group)</v>
      </c>
      <c r="U1837" s="215">
        <f>IFERROR(__xludf.DUMMYFUNCTION("""COMPUTED_VALUE"""),45987.64439814815)</f>
        <v>45987.6444</v>
      </c>
      <c r="V1837" s="211" t="str">
        <f>IFERROR(__xludf.DUMMYFUNCTION("""COMPUTED_VALUE"""),"MFF9+XHC, Jalan, Tambakrejo, Temuireng, Kec. Dawar Blandong, Kabupaten Mojokerto, Jawa Timur 61354")</f>
        <v>MFF9+XHC, Jalan, Tambakrejo, Temuireng, Kec. Dawar Blandong, Kabupaten Mojokerto, Jawa Timur 61354</v>
      </c>
      <c r="W1837" s="211" t="str">
        <f>IFERROR(__xludf.DUMMYFUNCTION("""COMPUTED_VALUE"""),"IN")</f>
        <v>IN</v>
      </c>
      <c r="X1837" s="211"/>
      <c r="AL1837" s="211"/>
      <c r="AM1837" s="211"/>
      <c r="AN1837" s="211"/>
      <c r="AO1837" s="211"/>
      <c r="AP1837" s="215"/>
      <c r="AQ1837" s="218"/>
      <c r="AR1837" s="211"/>
    </row>
    <row r="1838">
      <c r="A1838" s="210" t="str">
        <f>IFERROR(__xludf.DUMMYFUNCTION("""COMPUTED_VALUE"""),"092521328")</f>
        <v>092521328</v>
      </c>
      <c r="B1838" s="210" t="str">
        <f>IFERROR(__xludf.DUMMYFUNCTION("""COMPUTED_VALUE"""),"092521328")</f>
        <v>092521328</v>
      </c>
      <c r="C1838" s="213">
        <f>IFERROR(__xludf.DUMMYFUNCTION("""COMPUTED_VALUE"""),45924.574467592596)</f>
        <v>45924.57447</v>
      </c>
      <c r="D1838" s="211" t="str">
        <f>IFERROR(__xludf.DUMMYFUNCTION("""COMPUTED_VALUE"""),"370c84d1")</f>
        <v>370c84d1</v>
      </c>
      <c r="E1838" s="211" t="str">
        <f>IFERROR(__xludf.DUMMYFUNCTION("""COMPUTED_VALUE"""),"PT. Citra Bintang Karya")</f>
        <v>PT. Citra Bintang Karya</v>
      </c>
      <c r="F1838" s="211" t="str">
        <f>IFERROR(__xludf.DUMMYFUNCTION("""COMPUTED_VALUE"""),"7d2764f1")</f>
        <v>7d2764f1</v>
      </c>
      <c r="G1838" s="211" t="str">
        <f>IFERROR(__xludf.DUMMYFUNCTION("""COMPUTED_VALUE"""),"Oksigen 7m3")</f>
        <v>Oksigen 7m3</v>
      </c>
      <c r="H1838" s="211" t="str">
        <f>IFERROR(__xludf.DUMMYFUNCTION("""COMPUTED_VALUE"""),"OUT")</f>
        <v>OUT</v>
      </c>
      <c r="I1838" s="211" t="str">
        <f>IFERROR(__xludf.DUMMYFUNCTION("""COMPUTED_VALUE"""),"NORMAL")</f>
        <v>NORMAL</v>
      </c>
      <c r="J1838" s="211">
        <f>IFERROR(__xludf.DUMMYFUNCTION("""COMPUTED_VALUE"""),3.0)</f>
        <v>3</v>
      </c>
      <c r="K1838" s="210" t="str">
        <f>IFERROR(__xludf.DUMMYFUNCTION("""COMPUTED_VALUE"""),"11230 11220 11224")</f>
        <v>11230 11220 11224</v>
      </c>
      <c r="L1838" s="211">
        <f>IFERROR(__xludf.DUMMYFUNCTION("""COMPUTED_VALUE"""),65000.0)</f>
        <v>65000</v>
      </c>
      <c r="M1838" s="211"/>
      <c r="N1838" s="211"/>
      <c r="O1838" s="211"/>
      <c r="Q1838" s="210" t="str">
        <f>IFERROR(__xludf.DUMMYFUNCTION("""COMPUTED_VALUE"""),"112551833")</f>
        <v>112551833</v>
      </c>
      <c r="R1838" s="210" t="str">
        <f>IFERROR(__xludf.DUMMYFUNCTION("""COMPUTED_VALUE"""),"112551833")</f>
        <v>112551833</v>
      </c>
      <c r="S1838" s="211" t="str">
        <f>IFERROR(__xludf.DUMMYFUNCTION("""COMPUTED_VALUE"""),"a0f0ad2d")</f>
        <v>a0f0ad2d</v>
      </c>
      <c r="T1838" s="211" t="str">
        <f>IFERROR(__xludf.DUMMYFUNCTION("""COMPUTED_VALUE"""),"CV. Yulie Jaya")</f>
        <v>CV. Yulie Jaya</v>
      </c>
      <c r="U1838" s="215">
        <f>IFERROR(__xludf.DUMMYFUNCTION("""COMPUTED_VALUE"""),45988.36636574074)</f>
        <v>45988.36637</v>
      </c>
      <c r="V1838" s="211" t="str">
        <f>IFERROR(__xludf.DUMMYFUNCTION("""COMPUTED_VALUE"""),"JJH4+6RV, Badas, Barengkrajan, Kec. Krian, Kabupaten Sidoarjo, Jawa Timur 61262")</f>
        <v>JJH4+6RV, Badas, Barengkrajan, Kec. Krian, Kabupaten Sidoarjo, Jawa Timur 61262</v>
      </c>
      <c r="W1838" s="211" t="str">
        <f>IFERROR(__xludf.DUMMYFUNCTION("""COMPUTED_VALUE"""),"OUT")</f>
        <v>OUT</v>
      </c>
      <c r="X1838" s="211"/>
      <c r="AL1838" s="211"/>
      <c r="AM1838" s="211"/>
      <c r="AN1838" s="211"/>
      <c r="AO1838" s="211"/>
      <c r="AP1838" s="215"/>
      <c r="AQ1838" s="218"/>
      <c r="AR1838" s="211"/>
    </row>
    <row r="1839">
      <c r="A1839" s="210" t="str">
        <f>IFERROR(__xludf.DUMMYFUNCTION("""COMPUTED_VALUE"""),"1250588")</f>
        <v>1250588</v>
      </c>
      <c r="B1839" s="210" t="str">
        <f>IFERROR(__xludf.DUMMYFUNCTION("""COMPUTED_VALUE"""),"1250588")</f>
        <v>1250588</v>
      </c>
      <c r="C1839" s="213">
        <f>IFERROR(__xludf.DUMMYFUNCTION("""COMPUTED_VALUE"""),45924.60070601852)</f>
        <v>45924.60071</v>
      </c>
      <c r="D1839" s="211" t="str">
        <f>IFERROR(__xludf.DUMMYFUNCTION("""COMPUTED_VALUE"""),"370c84d1")</f>
        <v>370c84d1</v>
      </c>
      <c r="E1839" s="211" t="str">
        <f>IFERROR(__xludf.DUMMYFUNCTION("""COMPUTED_VALUE"""),"PT. Citra Bintang Karya")</f>
        <v>PT. Citra Bintang Karya</v>
      </c>
      <c r="F1839" s="211" t="str">
        <f>IFERROR(__xludf.DUMMYFUNCTION("""COMPUTED_VALUE"""),"7d2764f1")</f>
        <v>7d2764f1</v>
      </c>
      <c r="G1839" s="211" t="str">
        <f>IFERROR(__xludf.DUMMYFUNCTION("""COMPUTED_VALUE"""),"Oksigen 7m3")</f>
        <v>Oksigen 7m3</v>
      </c>
      <c r="H1839" s="211" t="str">
        <f>IFERROR(__xludf.DUMMYFUNCTION("""COMPUTED_VALUE"""),"IN")</f>
        <v>IN</v>
      </c>
      <c r="I1839" s="211" t="str">
        <f>IFERROR(__xludf.DUMMYFUNCTION("""COMPUTED_VALUE"""),"EMPTY")</f>
        <v>EMPTY</v>
      </c>
      <c r="J1839" s="211">
        <f>IFERROR(__xludf.DUMMYFUNCTION("""COMPUTED_VALUE"""),1.0)</f>
        <v>1</v>
      </c>
      <c r="K1839" s="210" t="str">
        <f>IFERROR(__xludf.DUMMYFUNCTION("""COMPUTED_VALUE"""),"11178")</f>
        <v>11178</v>
      </c>
      <c r="L1839" s="211">
        <f>IFERROR(__xludf.DUMMYFUNCTION("""COMPUTED_VALUE"""),0.0)</f>
        <v>0</v>
      </c>
      <c r="M1839" s="211"/>
      <c r="N1839" s="211"/>
      <c r="O1839" s="211"/>
      <c r="Q1839" s="210" t="str">
        <f>IFERROR(__xludf.DUMMYFUNCTION("""COMPUTED_VALUE"""),"1250859")</f>
        <v>1250859</v>
      </c>
      <c r="R1839" s="210" t="str">
        <f>IFERROR(__xludf.DUMMYFUNCTION("""COMPUTED_VALUE"""),"1250859")</f>
        <v>1250859</v>
      </c>
      <c r="S1839" s="211" t="str">
        <f>IFERROR(__xludf.DUMMYFUNCTION("""COMPUTED_VALUE"""),"06d600f6")</f>
        <v>06d600f6</v>
      </c>
      <c r="T1839" s="211" t="str">
        <f>IFERROR(__xludf.DUMMYFUNCTION("""COMPUTED_VALUE"""),"Ibu Ida")</f>
        <v>Ibu Ida</v>
      </c>
      <c r="U1839" s="215">
        <f>IFERROR(__xludf.DUMMYFUNCTION("""COMPUTED_VALUE"""),45988.387349537035)</f>
        <v>45988.38735</v>
      </c>
      <c r="V1839" s="211" t="str">
        <f>IFERROR(__xludf.DUMMYFUNCTION("""COMPUTED_VALUE"""),"Wonoayu rt 1 rw 4, Kec wonoayu, Kab. Sidoarjo")</f>
        <v>Wonoayu rt 1 rw 4, Kec wonoayu, Kab. Sidoarjo</v>
      </c>
      <c r="W1839" s="211" t="str">
        <f>IFERROR(__xludf.DUMMYFUNCTION("""COMPUTED_VALUE"""),"IN")</f>
        <v>IN</v>
      </c>
      <c r="X1839" s="211"/>
      <c r="AL1839" s="211"/>
      <c r="AM1839" s="211"/>
      <c r="AN1839" s="211"/>
      <c r="AO1839" s="211"/>
      <c r="AP1839" s="215"/>
      <c r="AQ1839" s="218"/>
      <c r="AR1839" s="211"/>
    </row>
    <row r="1840">
      <c r="A1840" s="210" t="str">
        <f>IFERROR(__xludf.DUMMYFUNCTION("""COMPUTED_VALUE"""),"1250614")</f>
        <v>1250614</v>
      </c>
      <c r="B1840" s="210" t="str">
        <f>IFERROR(__xludf.DUMMYFUNCTION("""COMPUTED_VALUE"""),"1250614")</f>
        <v>1250614</v>
      </c>
      <c r="C1840" s="213">
        <f>IFERROR(__xludf.DUMMYFUNCTION("""COMPUTED_VALUE"""),45924.608125)</f>
        <v>45924.60813</v>
      </c>
      <c r="D1840" s="211" t="str">
        <f>IFERROR(__xludf.DUMMYFUNCTION("""COMPUTED_VALUE"""),"b218b89b")</f>
        <v>b218b89b</v>
      </c>
      <c r="E1840" s="211" t="str">
        <f>IFERROR(__xludf.DUMMYFUNCTION("""COMPUTED_VALUE"""),"PT Harapan Sentosa")</f>
        <v>PT Harapan Sentosa</v>
      </c>
      <c r="F1840" s="211" t="str">
        <f>IFERROR(__xludf.DUMMYFUNCTION("""COMPUTED_VALUE"""),"ef306e54")</f>
        <v>ef306e54</v>
      </c>
      <c r="G1840" s="211" t="str">
        <f>IFERROR(__xludf.DUMMYFUNCTION("""COMPUTED_VALUE"""),"Karbondioksida")</f>
        <v>Karbondioksida</v>
      </c>
      <c r="H1840" s="211" t="str">
        <f>IFERROR(__xludf.DUMMYFUNCTION("""COMPUTED_VALUE"""),"IN")</f>
        <v>IN</v>
      </c>
      <c r="I1840" s="211" t="str">
        <f>IFERROR(__xludf.DUMMYFUNCTION("""COMPUTED_VALUE"""),"EMPTY")</f>
        <v>EMPTY</v>
      </c>
      <c r="J1840" s="211">
        <f>IFERROR(__xludf.DUMMYFUNCTION("""COMPUTED_VALUE"""),2.0)</f>
        <v>2</v>
      </c>
      <c r="K1840" s="210" t="str">
        <f>IFERROR(__xludf.DUMMYFUNCTION("""COMPUTED_VALUE"""),"13014 13028")</f>
        <v>13014 13028</v>
      </c>
      <c r="L1840" s="211">
        <f>IFERROR(__xludf.DUMMYFUNCTION("""COMPUTED_VALUE"""),0.0)</f>
        <v>0</v>
      </c>
      <c r="M1840" s="211"/>
      <c r="N1840" s="211"/>
      <c r="O1840" s="211"/>
      <c r="Q1840" s="210" t="str">
        <f>IFERROR(__xludf.DUMMYFUNCTION("""COMPUTED_VALUE"""),"1250868")</f>
        <v>1250868</v>
      </c>
      <c r="R1840" s="210" t="str">
        <f>IFERROR(__xludf.DUMMYFUNCTION("""COMPUTED_VALUE"""),"1250868")</f>
        <v>1250868</v>
      </c>
      <c r="S1840" s="211" t="str">
        <f>IFERROR(__xludf.DUMMYFUNCTION("""COMPUTED_VALUE"""),"a0f0ad2d")</f>
        <v>a0f0ad2d</v>
      </c>
      <c r="T1840" s="211" t="str">
        <f>IFERROR(__xludf.DUMMYFUNCTION("""COMPUTED_VALUE"""),"CV. Yulie Jaya")</f>
        <v>CV. Yulie Jaya</v>
      </c>
      <c r="U1840" s="215">
        <f>IFERROR(__xludf.DUMMYFUNCTION("""COMPUTED_VALUE"""),45988.43850694445)</f>
        <v>45988.43851</v>
      </c>
      <c r="V1840" s="211" t="str">
        <f>IFERROR(__xludf.DUMMYFUNCTION("""COMPUTED_VALUE"""),"JJH4+6RV, Badas, Barengkrajan, Kec. Krian, Kabupaten Sidoarjo, Jawa Timur 61262")</f>
        <v>JJH4+6RV, Badas, Barengkrajan, Kec. Krian, Kabupaten Sidoarjo, Jawa Timur 61262</v>
      </c>
      <c r="W1840" s="211" t="str">
        <f>IFERROR(__xludf.DUMMYFUNCTION("""COMPUTED_VALUE"""),"IN")</f>
        <v>IN</v>
      </c>
      <c r="X1840" s="211"/>
      <c r="AL1840" s="211"/>
      <c r="AM1840" s="211"/>
      <c r="AN1840" s="211"/>
      <c r="AO1840" s="211"/>
      <c r="AP1840" s="215"/>
      <c r="AQ1840" s="218"/>
      <c r="AR1840" s="211"/>
    </row>
    <row r="1841">
      <c r="A1841" s="210" t="str">
        <f>IFERROR(__xludf.DUMMYFUNCTION("""COMPUTED_VALUE"""),"1250614")</f>
        <v>1250614</v>
      </c>
      <c r="B1841" s="210" t="str">
        <f>IFERROR(__xludf.DUMMYFUNCTION("""COMPUTED_VALUE"""),"1250614")</f>
        <v>1250614</v>
      </c>
      <c r="C1841" s="213">
        <f>IFERROR(__xludf.DUMMYFUNCTION("""COMPUTED_VALUE"""),45924.608125)</f>
        <v>45924.60813</v>
      </c>
      <c r="D1841" s="211" t="str">
        <f>IFERROR(__xludf.DUMMYFUNCTION("""COMPUTED_VALUE"""),"b218b89b")</f>
        <v>b218b89b</v>
      </c>
      <c r="E1841" s="211" t="str">
        <f>IFERROR(__xludf.DUMMYFUNCTION("""COMPUTED_VALUE"""),"PT Harapan Sentosa")</f>
        <v>PT Harapan Sentosa</v>
      </c>
      <c r="F1841" s="211" t="str">
        <f>IFERROR(__xludf.DUMMYFUNCTION("""COMPUTED_VALUE"""),"7d2764f1")</f>
        <v>7d2764f1</v>
      </c>
      <c r="G1841" s="211" t="str">
        <f>IFERROR(__xludf.DUMMYFUNCTION("""COMPUTED_VALUE"""),"Oksigen 7m3")</f>
        <v>Oksigen 7m3</v>
      </c>
      <c r="H1841" s="211" t="str">
        <f>IFERROR(__xludf.DUMMYFUNCTION("""COMPUTED_VALUE"""),"IN")</f>
        <v>IN</v>
      </c>
      <c r="I1841" s="211" t="str">
        <f>IFERROR(__xludf.DUMMYFUNCTION("""COMPUTED_VALUE"""),"EMPTY")</f>
        <v>EMPTY</v>
      </c>
      <c r="J1841" s="211">
        <f>IFERROR(__xludf.DUMMYFUNCTION("""COMPUTED_VALUE"""),4.0)</f>
        <v>4</v>
      </c>
      <c r="K1841" s="210" t="str">
        <f>IFERROR(__xludf.DUMMYFUNCTION("""COMPUTED_VALUE"""),"11172 11221 11227 11195")</f>
        <v>11172 11221 11227 11195</v>
      </c>
      <c r="L1841" s="211">
        <f>IFERROR(__xludf.DUMMYFUNCTION("""COMPUTED_VALUE"""),0.0)</f>
        <v>0</v>
      </c>
      <c r="M1841" s="211"/>
      <c r="N1841" s="211"/>
      <c r="O1841" s="211"/>
      <c r="Q1841" s="210" t="str">
        <f>IFERROR(__xludf.DUMMYFUNCTION("""COMPUTED_VALUE"""),"1250869")</f>
        <v>1250869</v>
      </c>
      <c r="R1841" s="210" t="str">
        <f>IFERROR(__xludf.DUMMYFUNCTION("""COMPUTED_VALUE"""),"1250869")</f>
        <v>1250869</v>
      </c>
      <c r="S1841" s="211" t="str">
        <f>IFERROR(__xludf.DUMMYFUNCTION("""COMPUTED_VALUE"""),"8f5ebaea")</f>
        <v>8f5ebaea</v>
      </c>
      <c r="T1841" s="211" t="str">
        <f>IFERROR(__xludf.DUMMYFUNCTION("""COMPUTED_VALUE"""),"PT Hua Zong Mesindo")</f>
        <v>PT Hua Zong Mesindo</v>
      </c>
      <c r="U1841" s="215">
        <f>IFERROR(__xludf.DUMMYFUNCTION("""COMPUTED_VALUE"""),45988.439039351855)</f>
        <v>45988.43904</v>
      </c>
      <c r="V1841" s="211" t="str">
        <f>IFERROR(__xludf.DUMMYFUNCTION("""COMPUTED_VALUE"""),"Jl. Bypass Krian, Sidotemo, Sidomulyo, Kec. Krian, Kabupaten Sidoarjo, Jawa Timur 61262")</f>
        <v>Jl. Bypass Krian, Sidotemo, Sidomulyo, Kec. Krian, Kabupaten Sidoarjo, Jawa Timur 61262</v>
      </c>
      <c r="W1841" s="211" t="str">
        <f>IFERROR(__xludf.DUMMYFUNCTION("""COMPUTED_VALUE"""),"IN")</f>
        <v>IN</v>
      </c>
      <c r="X1841" s="211"/>
      <c r="AL1841" s="211"/>
      <c r="AM1841" s="211"/>
      <c r="AN1841" s="211"/>
      <c r="AO1841" s="211"/>
      <c r="AP1841" s="215"/>
      <c r="AQ1841" s="218"/>
      <c r="AR1841" s="211"/>
    </row>
    <row r="1842">
      <c r="A1842" s="210" t="str">
        <f>IFERROR(__xludf.DUMMYFUNCTION("""COMPUTED_VALUE"""),"0925311332")</f>
        <v>0925311332</v>
      </c>
      <c r="B1842" s="210" t="str">
        <f>IFERROR(__xludf.DUMMYFUNCTION("""COMPUTED_VALUE"""),"0925311332")</f>
        <v>0925311332</v>
      </c>
      <c r="C1842" s="213">
        <f>IFERROR(__xludf.DUMMYFUNCTION("""COMPUTED_VALUE"""),45924.63827546296)</f>
        <v>45924.63828</v>
      </c>
      <c r="D1842" s="211" t="str">
        <f>IFERROR(__xludf.DUMMYFUNCTION("""COMPUTED_VALUE"""),"01158be1")</f>
        <v>01158be1</v>
      </c>
      <c r="E1842" s="211" t="str">
        <f>IFERROR(__xludf.DUMMYFUNCTION("""COMPUTED_VALUE"""),"GYF")</f>
        <v>GYF</v>
      </c>
      <c r="F1842" s="211" t="str">
        <f>IFERROR(__xludf.DUMMYFUNCTION("""COMPUTED_VALUE"""),"8bdbe149")</f>
        <v>8bdbe149</v>
      </c>
      <c r="G1842" s="211" t="str">
        <f>IFERROR(__xludf.DUMMYFUNCTION("""COMPUTED_VALUE"""),"Oksigen 6m3")</f>
        <v>Oksigen 6m3</v>
      </c>
      <c r="H1842" s="211" t="str">
        <f>IFERROR(__xludf.DUMMYFUNCTION("""COMPUTED_VALUE"""),"OUT")</f>
        <v>OUT</v>
      </c>
      <c r="I1842" s="211" t="str">
        <f>IFERROR(__xludf.DUMMYFUNCTION("""COMPUTED_VALUE"""),"NORMAL")</f>
        <v>NORMAL</v>
      </c>
      <c r="J1842" s="211">
        <f>IFERROR(__xludf.DUMMYFUNCTION("""COMPUTED_VALUE"""),20.0)</f>
        <v>20</v>
      </c>
      <c r="K1842" s="210" t="str">
        <f>IFERROR(__xludf.DUMMYFUNCTION("""COMPUTED_VALUE"""),"11188 1152 1109 11182 11127 11230 1171 11239 11244 11115 11271 11105 11247 11235 11117 11267 11266 11176 11268 1164")</f>
        <v>11188 1152 1109 11182 11127 11230 1171 11239 11244 11115 11271 11105 11247 11235 11117 11267 11266 11176 11268 1164</v>
      </c>
      <c r="L1842" s="211">
        <f>IFERROR(__xludf.DUMMYFUNCTION("""COMPUTED_VALUE"""),45000.0)</f>
        <v>45000</v>
      </c>
      <c r="M1842" s="211"/>
      <c r="N1842" s="211"/>
      <c r="O1842" s="211"/>
      <c r="Q1842" s="210" t="str">
        <f>IFERROR(__xludf.DUMMYFUNCTION("""COMPUTED_VALUE"""),"1250880")</f>
        <v>1250880</v>
      </c>
      <c r="R1842" s="210" t="str">
        <f>IFERROR(__xludf.DUMMYFUNCTION("""COMPUTED_VALUE"""),"1250880")</f>
        <v>1250880</v>
      </c>
      <c r="S1842" s="211" t="str">
        <f>IFERROR(__xludf.DUMMYFUNCTION("""COMPUTED_VALUE"""),"1bf27092")</f>
        <v>1bf27092</v>
      </c>
      <c r="T1842" s="211" t="str">
        <f>IFERROR(__xludf.DUMMYFUNCTION("""COMPUTED_VALUE"""),"Bpk. Ari Budiarto")</f>
        <v>Bpk. Ari Budiarto</v>
      </c>
      <c r="U1842" s="215">
        <f>IFERROR(__xludf.DUMMYFUNCTION("""COMPUTED_VALUE"""),45988.459652777776)</f>
        <v>45988.45965</v>
      </c>
      <c r="V1842" s="211" t="str">
        <f>IFERROR(__xludf.DUMMYFUNCTION("""COMPUTED_VALUE"""),"Jl. Raya Balongbendo 232, Bakalan, Bakalan Wringinpitu, Kec. BalongBendo, Kabupaten Sidoarjo, Jawa Timur 61263")</f>
        <v>Jl. Raya Balongbendo 232, Bakalan, Bakalan Wringinpitu, Kec. BalongBendo, Kabupaten Sidoarjo, Jawa Timur 61263</v>
      </c>
      <c r="W1842" s="211" t="str">
        <f>IFERROR(__xludf.DUMMYFUNCTION("""COMPUTED_VALUE"""),"IN")</f>
        <v>IN</v>
      </c>
      <c r="X1842" s="211"/>
      <c r="AL1842" s="211"/>
      <c r="AM1842" s="211"/>
      <c r="AN1842" s="211"/>
      <c r="AO1842" s="211"/>
      <c r="AP1842" s="215"/>
      <c r="AQ1842" s="218"/>
      <c r="AR1842" s="211"/>
    </row>
    <row r="1843">
      <c r="A1843" s="210" t="str">
        <f>IFERROR(__xludf.DUMMYFUNCTION("""COMPUTED_VALUE"""),"0925131333")</f>
        <v>0925131333</v>
      </c>
      <c r="B1843" s="210" t="str">
        <f>IFERROR(__xludf.DUMMYFUNCTION("""COMPUTED_VALUE"""),"0925131333")</f>
        <v>0925131333</v>
      </c>
      <c r="C1843" s="213">
        <f>IFERROR(__xludf.DUMMYFUNCTION("""COMPUTED_VALUE"""),45925.35712962963)</f>
        <v>45925.35713</v>
      </c>
      <c r="D1843" s="211" t="str">
        <f>IFERROR(__xludf.DUMMYFUNCTION("""COMPUTED_VALUE"""),"3bcd7fe6")</f>
        <v>3bcd7fe6</v>
      </c>
      <c r="E1843" s="211" t="str">
        <f>IFERROR(__xludf.DUMMYFUNCTION("""COMPUTED_VALUE"""),"Bpk. Alvin (LB Group)")</f>
        <v>Bpk. Alvin (LB Group)</v>
      </c>
      <c r="F1843" s="211" t="str">
        <f>IFERROR(__xludf.DUMMYFUNCTION("""COMPUTED_VALUE"""),"f6aab7a9")</f>
        <v>f6aab7a9</v>
      </c>
      <c r="G1843" s="211" t="str">
        <f>IFERROR(__xludf.DUMMYFUNCTION("""COMPUTED_VALUE"""),"Oksigen 6m3 MR")</f>
        <v>Oksigen 6m3 MR</v>
      </c>
      <c r="H1843" s="211" t="str">
        <f>IFERROR(__xludf.DUMMYFUNCTION("""COMPUTED_VALUE"""),"OUT")</f>
        <v>OUT</v>
      </c>
      <c r="I1843" s="211" t="str">
        <f>IFERROR(__xludf.DUMMYFUNCTION("""COMPUTED_VALUE"""),"NORMAL")</f>
        <v>NORMAL</v>
      </c>
      <c r="J1843" s="211">
        <f>IFERROR(__xludf.DUMMYFUNCTION("""COMPUTED_VALUE"""),2.0)</f>
        <v>2</v>
      </c>
      <c r="K1843" s="210" t="str">
        <f>IFERROR(__xludf.DUMMYFUNCTION("""COMPUTED_VALUE"""),"01 02")</f>
        <v>01 02</v>
      </c>
      <c r="L1843" s="211">
        <f>IFERROR(__xludf.DUMMYFUNCTION("""COMPUTED_VALUE"""),50000.0)</f>
        <v>50000</v>
      </c>
      <c r="M1843" s="211"/>
      <c r="N1843" s="211"/>
      <c r="O1843" s="211"/>
      <c r="Q1843" s="210" t="str">
        <f>IFERROR(__xludf.DUMMYFUNCTION("""COMPUTED_VALUE"""),"1250870")</f>
        <v>1250870</v>
      </c>
      <c r="R1843" s="210" t="str">
        <f>IFERROR(__xludf.DUMMYFUNCTION("""COMPUTED_VALUE"""),"1250870")</f>
        <v>1250870</v>
      </c>
      <c r="S1843" s="211" t="str">
        <f>IFERROR(__xludf.DUMMYFUNCTION("""COMPUTED_VALUE"""),"faf71ae5")</f>
        <v>faf71ae5</v>
      </c>
      <c r="T1843" s="211" t="str">
        <f>IFERROR(__xludf.DUMMYFUNCTION("""COMPUTED_VALUE"""),"Bpk. Sampurna")</f>
        <v>Bpk. Sampurna</v>
      </c>
      <c r="U1843" s="215">
        <f>IFERROR(__xludf.DUMMYFUNCTION("""COMPUTED_VALUE"""),45988.61987268519)</f>
        <v>45988.61987</v>
      </c>
      <c r="V1843" s="211" t="str">
        <f>IFERROR(__xludf.DUMMYFUNCTION("""COMPUTED_VALUE"""),"Jl. Bypass Krian KM.30 No.15, Kraton, Kec. Krian, Kabupaten Sidoarjo, Jawa Timur 61262")</f>
        <v>Jl. Bypass Krian KM.30 No.15, Kraton, Kec. Krian, Kabupaten Sidoarjo, Jawa Timur 61262</v>
      </c>
      <c r="W1843" s="211" t="str">
        <f>IFERROR(__xludf.DUMMYFUNCTION("""COMPUTED_VALUE"""),"IN")</f>
        <v>IN</v>
      </c>
      <c r="X1843" s="211"/>
      <c r="AL1843" s="211"/>
      <c r="AM1843" s="211"/>
      <c r="AN1843" s="211"/>
      <c r="AO1843" s="211"/>
      <c r="AP1843" s="215"/>
      <c r="AQ1843" s="218"/>
      <c r="AR1843" s="211"/>
    </row>
    <row r="1844">
      <c r="A1844" s="210" t="str">
        <f>IFERROR(__xludf.DUMMYFUNCTION("""COMPUTED_VALUE"""),"4092521302")</f>
        <v>4092521302</v>
      </c>
      <c r="B1844" s="210" t="str">
        <f>IFERROR(__xludf.DUMMYFUNCTION("""COMPUTED_VALUE"""),"4092521302")</f>
        <v>4092521302</v>
      </c>
      <c r="C1844" s="213">
        <f>IFERROR(__xludf.DUMMYFUNCTION("""COMPUTED_VALUE"""),45925.35748842593)</f>
        <v>45925.35749</v>
      </c>
      <c r="D1844" s="211" t="str">
        <f>IFERROR(__xludf.DUMMYFUNCTION("""COMPUTED_VALUE"""),"3bcd7fe6")</f>
        <v>3bcd7fe6</v>
      </c>
      <c r="E1844" s="211" t="str">
        <f>IFERROR(__xludf.DUMMYFUNCTION("""COMPUTED_VALUE"""),"Bpk. Alvin (LB Group)")</f>
        <v>Bpk. Alvin (LB Group)</v>
      </c>
      <c r="F1844" s="211" t="str">
        <f>IFERROR(__xludf.DUMMYFUNCTION("""COMPUTED_VALUE"""),"8bdbe149")</f>
        <v>8bdbe149</v>
      </c>
      <c r="G1844" s="211" t="str">
        <f>IFERROR(__xludf.DUMMYFUNCTION("""COMPUTED_VALUE"""),"Oksigen 6m3")</f>
        <v>Oksigen 6m3</v>
      </c>
      <c r="H1844" s="211" t="str">
        <f>IFERROR(__xludf.DUMMYFUNCTION("""COMPUTED_VALUE"""),"OTHER")</f>
        <v>OTHER</v>
      </c>
      <c r="I1844" s="211" t="str">
        <f>IFERROR(__xludf.DUMMYFUNCTION("""COMPUTED_VALUE"""),"RETUR CLAIM")</f>
        <v>RETUR CLAIM</v>
      </c>
      <c r="J1844" s="211">
        <f>IFERROR(__xludf.DUMMYFUNCTION("""COMPUTED_VALUE"""),1.0)</f>
        <v>1</v>
      </c>
      <c r="K1844" s="210" t="str">
        <f>IFERROR(__xludf.DUMMYFUNCTION("""COMPUTED_VALUE"""),"11228")</f>
        <v>11228</v>
      </c>
      <c r="L1844" s="211">
        <f>IFERROR(__xludf.DUMMYFUNCTION("""COMPUTED_VALUE"""),50000.0)</f>
        <v>50000</v>
      </c>
      <c r="M1844" s="211"/>
      <c r="N1844" s="211"/>
      <c r="O1844" s="211"/>
      <c r="Q1844" s="210" t="str">
        <f>IFERROR(__xludf.DUMMYFUNCTION("""COMPUTED_VALUE"""),"112551839")</f>
        <v>112551839</v>
      </c>
      <c r="R1844" s="210" t="str">
        <f>IFERROR(__xludf.DUMMYFUNCTION("""COMPUTED_VALUE"""),"112551839")</f>
        <v>112551839</v>
      </c>
      <c r="S1844" s="211" t="str">
        <f>IFERROR(__xludf.DUMMYFUNCTION("""COMPUTED_VALUE"""),"f98b1e81")</f>
        <v>f98b1e81</v>
      </c>
      <c r="T1844" s="211" t="str">
        <f>IFERROR(__xludf.DUMMYFUNCTION("""COMPUTED_VALUE"""),"CV. Greenlife Tirta Sentosa")</f>
        <v>CV. Greenlife Tirta Sentosa</v>
      </c>
      <c r="U1844" s="215">
        <f>IFERROR(__xludf.DUMMYFUNCTION("""COMPUTED_VALUE"""),45988.626550925925)</f>
        <v>45988.62655</v>
      </c>
      <c r="V1844" s="211" t="str">
        <f>IFERROR(__xludf.DUMMYFUNCTION("""COMPUTED_VALUE"""),"Jl. Parengan NO.354 Semawut, Balongbendo, Kec. Krian Sidoarjo, Jawa Timur 61263")</f>
        <v>Jl. Parengan NO.354 Semawut, Balongbendo, Kec. Krian Sidoarjo, Jawa Timur 61263</v>
      </c>
      <c r="W1844" s="211" t="str">
        <f>IFERROR(__xludf.DUMMYFUNCTION("""COMPUTED_VALUE"""),"OUT")</f>
        <v>OUT</v>
      </c>
      <c r="X1844" s="211"/>
      <c r="AL1844" s="211"/>
      <c r="AM1844" s="211"/>
      <c r="AN1844" s="211"/>
      <c r="AO1844" s="211"/>
      <c r="AP1844" s="215"/>
      <c r="AQ1844" s="218"/>
      <c r="AR1844" s="211"/>
    </row>
    <row r="1845">
      <c r="A1845" s="210" t="str">
        <f>IFERROR(__xludf.DUMMYFUNCTION("""COMPUTED_VALUE"""),"0925131334")</f>
        <v>0925131334</v>
      </c>
      <c r="B1845" s="210" t="str">
        <f>IFERROR(__xludf.DUMMYFUNCTION("""COMPUTED_VALUE"""),"0925131334")</f>
        <v>0925131334</v>
      </c>
      <c r="C1845" s="213">
        <f>IFERROR(__xludf.DUMMYFUNCTION("""COMPUTED_VALUE"""),45925.37299768518)</f>
        <v>45925.373</v>
      </c>
      <c r="D1845" s="211" t="str">
        <f>IFERROR(__xludf.DUMMYFUNCTION("""COMPUTED_VALUE"""),"182fb0fe")</f>
        <v>182fb0fe</v>
      </c>
      <c r="E1845" s="211" t="str">
        <f>IFERROR(__xludf.DUMMYFUNCTION("""COMPUTED_VALUE"""),"PT Amtech")</f>
        <v>PT Amtech</v>
      </c>
      <c r="F1845" s="211" t="str">
        <f>IFERROR(__xludf.DUMMYFUNCTION("""COMPUTED_VALUE"""),"66af7c72")</f>
        <v>66af7c72</v>
      </c>
      <c r="G1845" s="211" t="str">
        <f>IFERROR(__xludf.DUMMYFUNCTION("""COMPUTED_VALUE"""),"Argon 6m3")</f>
        <v>Argon 6m3</v>
      </c>
      <c r="H1845" s="211" t="str">
        <f>IFERROR(__xludf.DUMMYFUNCTION("""COMPUTED_VALUE"""),"OUT")</f>
        <v>OUT</v>
      </c>
      <c r="I1845" s="211" t="str">
        <f>IFERROR(__xludf.DUMMYFUNCTION("""COMPUTED_VALUE"""),"NORMAL")</f>
        <v>NORMAL</v>
      </c>
      <c r="J1845" s="211">
        <f>IFERROR(__xludf.DUMMYFUNCTION("""COMPUTED_VALUE"""),6.0)</f>
        <v>6</v>
      </c>
      <c r="K1845" s="210" t="str">
        <f>IFERROR(__xludf.DUMMYFUNCTION("""COMPUTED_VALUE"""),"12026 12070 12024 12015 12025 12037")</f>
        <v>12026 12070 12024 12015 12025 12037</v>
      </c>
      <c r="L1845" s="211">
        <f>IFERROR(__xludf.DUMMYFUNCTION("""COMPUTED_VALUE"""),195000.0)</f>
        <v>195000</v>
      </c>
      <c r="M1845" s="211"/>
      <c r="N1845" s="211"/>
      <c r="O1845" s="211"/>
      <c r="Q1845" s="210" t="str">
        <f>IFERROR(__xludf.DUMMYFUNCTION("""COMPUTED_VALUE"""),"112561845")</f>
        <v>112561845</v>
      </c>
      <c r="R1845" s="210" t="str">
        <f>IFERROR(__xludf.DUMMYFUNCTION("""COMPUTED_VALUE"""),"112561845")</f>
        <v>112561845</v>
      </c>
      <c r="S1845" s="211" t="str">
        <f>IFERROR(__xludf.DUMMYFUNCTION("""COMPUTED_VALUE"""),"06d600f6")</f>
        <v>06d600f6</v>
      </c>
      <c r="T1845" s="211" t="str">
        <f>IFERROR(__xludf.DUMMYFUNCTION("""COMPUTED_VALUE"""),"Ibu Ida")</f>
        <v>Ibu Ida</v>
      </c>
      <c r="U1845" s="215">
        <f>IFERROR(__xludf.DUMMYFUNCTION("""COMPUTED_VALUE"""),45988.64511574074)</f>
        <v>45988.64512</v>
      </c>
      <c r="V1845" s="211" t="str">
        <f>IFERROR(__xludf.DUMMYFUNCTION("""COMPUTED_VALUE"""),"Wonoayu rt 1 rw 4, Kec wonoayu, Kab. Sidoarjo")</f>
        <v>Wonoayu rt 1 rw 4, Kec wonoayu, Kab. Sidoarjo</v>
      </c>
      <c r="W1845" s="211" t="str">
        <f>IFERROR(__xludf.DUMMYFUNCTION("""COMPUTED_VALUE"""),"OUT")</f>
        <v>OUT</v>
      </c>
      <c r="X1845" s="211"/>
      <c r="AL1845" s="211"/>
      <c r="AM1845" s="211"/>
      <c r="AN1845" s="211"/>
      <c r="AO1845" s="211"/>
      <c r="AP1845" s="215"/>
      <c r="AQ1845" s="218"/>
      <c r="AR1845" s="211"/>
    </row>
    <row r="1846">
      <c r="A1846" s="210" t="str">
        <f>IFERROR(__xludf.DUMMYFUNCTION("""COMPUTED_VALUE"""),"1250586")</f>
        <v>1250586</v>
      </c>
      <c r="B1846" s="210" t="str">
        <f>IFERROR(__xludf.DUMMYFUNCTION("""COMPUTED_VALUE"""),"1250586")</f>
        <v>1250586</v>
      </c>
      <c r="C1846" s="213">
        <f>IFERROR(__xludf.DUMMYFUNCTION("""COMPUTED_VALUE"""),45925.45459490741)</f>
        <v>45925.45459</v>
      </c>
      <c r="D1846" s="211" t="str">
        <f>IFERROR(__xludf.DUMMYFUNCTION("""COMPUTED_VALUE"""),"3bcd7fe6")</f>
        <v>3bcd7fe6</v>
      </c>
      <c r="E1846" s="211" t="str">
        <f>IFERROR(__xludf.DUMMYFUNCTION("""COMPUTED_VALUE"""),"Bpk. Alvin (LB Group)")</f>
        <v>Bpk. Alvin (LB Group)</v>
      </c>
      <c r="F1846" s="211" t="str">
        <f>IFERROR(__xludf.DUMMYFUNCTION("""COMPUTED_VALUE"""),"7d2764f1")</f>
        <v>7d2764f1</v>
      </c>
      <c r="G1846" s="211" t="str">
        <f>IFERROR(__xludf.DUMMYFUNCTION("""COMPUTED_VALUE"""),"Oksigen 7m3")</f>
        <v>Oksigen 7m3</v>
      </c>
      <c r="H1846" s="211" t="str">
        <f>IFERROR(__xludf.DUMMYFUNCTION("""COMPUTED_VALUE"""),"IN")</f>
        <v>IN</v>
      </c>
      <c r="I1846" s="211" t="str">
        <f>IFERROR(__xludf.DUMMYFUNCTION("""COMPUTED_VALUE"""),"EMPTY")</f>
        <v>EMPTY</v>
      </c>
      <c r="J1846" s="211">
        <f>IFERROR(__xludf.DUMMYFUNCTION("""COMPUTED_VALUE"""),1.0)</f>
        <v>1</v>
      </c>
      <c r="K1846" s="210" t="str">
        <f>IFERROR(__xludf.DUMMYFUNCTION("""COMPUTED_VALUE"""),"11218")</f>
        <v>11218</v>
      </c>
      <c r="L1846" s="211">
        <f>IFERROR(__xludf.DUMMYFUNCTION("""COMPUTED_VALUE"""),0.0)</f>
        <v>0</v>
      </c>
      <c r="M1846" s="211"/>
      <c r="N1846" s="211"/>
      <c r="O1846" s="211"/>
      <c r="Q1846" s="210" t="str">
        <f>IFERROR(__xludf.DUMMYFUNCTION("""COMPUTED_VALUE"""),"1250871")</f>
        <v>1250871</v>
      </c>
      <c r="R1846" s="210" t="str">
        <f>IFERROR(__xludf.DUMMYFUNCTION("""COMPUTED_VALUE"""),"1250871")</f>
        <v>1250871</v>
      </c>
      <c r="S1846" s="211" t="str">
        <f>IFERROR(__xludf.DUMMYFUNCTION("""COMPUTED_VALUE"""),"f98b1e81")</f>
        <v>f98b1e81</v>
      </c>
      <c r="T1846" s="211" t="str">
        <f>IFERROR(__xludf.DUMMYFUNCTION("""COMPUTED_VALUE"""),"CV. Greenlife Tirta Sentosa")</f>
        <v>CV. Greenlife Tirta Sentosa</v>
      </c>
      <c r="U1846" s="215">
        <f>IFERROR(__xludf.DUMMYFUNCTION("""COMPUTED_VALUE"""),45988.648726851854)</f>
        <v>45988.64873</v>
      </c>
      <c r="V1846" s="211" t="str">
        <f>IFERROR(__xludf.DUMMYFUNCTION("""COMPUTED_VALUE"""),"Jl. Parengan NO.354 Semawut, Balongbendo, Kec. Krian Sidoarjo, Jawa Timur 61263")</f>
        <v>Jl. Parengan NO.354 Semawut, Balongbendo, Kec. Krian Sidoarjo, Jawa Timur 61263</v>
      </c>
      <c r="W1846" s="211" t="str">
        <f>IFERROR(__xludf.DUMMYFUNCTION("""COMPUTED_VALUE"""),"IN")</f>
        <v>IN</v>
      </c>
      <c r="X1846" s="211"/>
      <c r="AL1846" s="211"/>
      <c r="AM1846" s="211"/>
      <c r="AN1846" s="211"/>
      <c r="AO1846" s="211"/>
      <c r="AP1846" s="215"/>
      <c r="AQ1846" s="218"/>
      <c r="AR1846" s="211"/>
    </row>
    <row r="1847">
      <c r="A1847" s="210" t="str">
        <f>IFERROR(__xludf.DUMMYFUNCTION("""COMPUTED_VALUE"""),"1250586")</f>
        <v>1250586</v>
      </c>
      <c r="B1847" s="210" t="str">
        <f>IFERROR(__xludf.DUMMYFUNCTION("""COMPUTED_VALUE"""),"1250586")</f>
        <v>1250586</v>
      </c>
      <c r="C1847" s="213">
        <f>IFERROR(__xludf.DUMMYFUNCTION("""COMPUTED_VALUE"""),45925.45459490741)</f>
        <v>45925.45459</v>
      </c>
      <c r="D1847" s="211" t="str">
        <f>IFERROR(__xludf.DUMMYFUNCTION("""COMPUTED_VALUE"""),"3bcd7fe6")</f>
        <v>3bcd7fe6</v>
      </c>
      <c r="E1847" s="211" t="str">
        <f>IFERROR(__xludf.DUMMYFUNCTION("""COMPUTED_VALUE"""),"Bpk. Alvin (LB Group)")</f>
        <v>Bpk. Alvin (LB Group)</v>
      </c>
      <c r="F1847" s="211" t="str">
        <f>IFERROR(__xludf.DUMMYFUNCTION("""COMPUTED_VALUE"""),"8bdbe149")</f>
        <v>8bdbe149</v>
      </c>
      <c r="G1847" s="211" t="str">
        <f>IFERROR(__xludf.DUMMYFUNCTION("""COMPUTED_VALUE"""),"Oksigen 6m3")</f>
        <v>Oksigen 6m3</v>
      </c>
      <c r="H1847" s="211" t="str">
        <f>IFERROR(__xludf.DUMMYFUNCTION("""COMPUTED_VALUE"""),"IN")</f>
        <v>IN</v>
      </c>
      <c r="I1847" s="211" t="str">
        <f>IFERROR(__xludf.DUMMYFUNCTION("""COMPUTED_VALUE"""),"CLAIM")</f>
        <v>CLAIM</v>
      </c>
      <c r="J1847" s="211">
        <f>IFERROR(__xludf.DUMMYFUNCTION("""COMPUTED_VALUE"""),1.0)</f>
        <v>1</v>
      </c>
      <c r="K1847" s="210" t="str">
        <f>IFERROR(__xludf.DUMMYFUNCTION("""COMPUTED_VALUE"""),"1193")</f>
        <v>1193</v>
      </c>
      <c r="L1847" s="211">
        <f>IFERROR(__xludf.DUMMYFUNCTION("""COMPUTED_VALUE"""),0.0)</f>
        <v>0</v>
      </c>
      <c r="M1847" s="211"/>
      <c r="N1847" s="211"/>
      <c r="O1847" s="211"/>
      <c r="Q1847" s="210" t="str">
        <f>IFERROR(__xludf.DUMMYFUNCTION("""COMPUTED_VALUE"""),"112581846")</f>
        <v>112581846</v>
      </c>
      <c r="R1847" s="210" t="str">
        <f>IFERROR(__xludf.DUMMYFUNCTION("""COMPUTED_VALUE"""),"112581846")</f>
        <v>112581846</v>
      </c>
      <c r="S1847" s="211" t="str">
        <f>IFERROR(__xludf.DUMMYFUNCTION("""COMPUTED_VALUE"""),"eec2e801")</f>
        <v>eec2e801</v>
      </c>
      <c r="T1847" s="211" t="str">
        <f>IFERROR(__xludf.DUMMYFUNCTION("""COMPUTED_VALUE"""),"Mitra Wood Sejahtera")</f>
        <v>Mitra Wood Sejahtera</v>
      </c>
      <c r="U1847" s="215">
        <f>IFERROR(__xludf.DUMMYFUNCTION("""COMPUTED_VALUE"""),45989.34646990741)</f>
        <v>45989.34647</v>
      </c>
      <c r="V1847" s="211" t="str">
        <f>IFERROR(__xludf.DUMMYFUNCTION("""COMPUTED_VALUE"""),"Jl.cungkling, Jl. Tanggungan, Nanom Kidul, Lebaniwaras, Kec. Wringinanom, Kabupaten Gresik, Jawa Timur 61176")</f>
        <v>Jl.cungkling, Jl. Tanggungan, Nanom Kidul, Lebaniwaras, Kec. Wringinanom, Kabupaten Gresik, Jawa Timur 61176</v>
      </c>
      <c r="W1847" s="211" t="str">
        <f>IFERROR(__xludf.DUMMYFUNCTION("""COMPUTED_VALUE"""),"OUT")</f>
        <v>OUT</v>
      </c>
      <c r="X1847" s="211"/>
      <c r="AL1847" s="211"/>
      <c r="AM1847" s="211"/>
      <c r="AN1847" s="211"/>
      <c r="AO1847" s="211"/>
      <c r="AP1847" s="215"/>
      <c r="AQ1847" s="218"/>
      <c r="AR1847" s="211"/>
    </row>
    <row r="1848">
      <c r="A1848" s="210" t="str">
        <f>IFERROR(__xludf.DUMMYFUNCTION("""COMPUTED_VALUE"""),"1250616")</f>
        <v>1250616</v>
      </c>
      <c r="B1848" s="210" t="str">
        <f>IFERROR(__xludf.DUMMYFUNCTION("""COMPUTED_VALUE"""),"1250616")</f>
        <v>1250616</v>
      </c>
      <c r="C1848" s="213">
        <f>IFERROR(__xludf.DUMMYFUNCTION("""COMPUTED_VALUE"""),45925.46853009259)</f>
        <v>45925.46853</v>
      </c>
      <c r="D1848" s="211" t="str">
        <f>IFERROR(__xludf.DUMMYFUNCTION("""COMPUTED_VALUE"""),"e86baf3b")</f>
        <v>e86baf3b</v>
      </c>
      <c r="E1848" s="211" t="str">
        <f>IFERROR(__xludf.DUMMYFUNCTION("""COMPUTED_VALUE"""),"PT GEMILANG CIPTA WAWASAN")</f>
        <v>PT GEMILANG CIPTA WAWASAN</v>
      </c>
      <c r="F1848" s="211" t="str">
        <f>IFERROR(__xludf.DUMMYFUNCTION("""COMPUTED_VALUE"""),"66af7c72")</f>
        <v>66af7c72</v>
      </c>
      <c r="G1848" s="211" t="str">
        <f>IFERROR(__xludf.DUMMYFUNCTION("""COMPUTED_VALUE"""),"Argon 6m3")</f>
        <v>Argon 6m3</v>
      </c>
      <c r="H1848" s="211" t="str">
        <f>IFERROR(__xludf.DUMMYFUNCTION("""COMPUTED_VALUE"""),"IN")</f>
        <v>IN</v>
      </c>
      <c r="I1848" s="211" t="str">
        <f>IFERROR(__xludf.DUMMYFUNCTION("""COMPUTED_VALUE"""),"EMPTY")</f>
        <v>EMPTY</v>
      </c>
      <c r="J1848" s="211">
        <f>IFERROR(__xludf.DUMMYFUNCTION("""COMPUTED_VALUE"""),4.0)</f>
        <v>4</v>
      </c>
      <c r="K1848" s="210" t="str">
        <f>IFERROR(__xludf.DUMMYFUNCTION("""COMPUTED_VALUE"""),"12014 12063 12022 12028")</f>
        <v>12014 12063 12022 12028</v>
      </c>
      <c r="L1848" s="211">
        <f>IFERROR(__xludf.DUMMYFUNCTION("""COMPUTED_VALUE"""),0.0)</f>
        <v>0</v>
      </c>
      <c r="M1848" s="211"/>
      <c r="N1848" s="211"/>
      <c r="O1848" s="211"/>
      <c r="Q1848" s="210" t="str">
        <f>IFERROR(__xludf.DUMMYFUNCTION("""COMPUTED_VALUE"""),"112561848")</f>
        <v>112561848</v>
      </c>
      <c r="R1848" s="210" t="str">
        <f>IFERROR(__xludf.DUMMYFUNCTION("""COMPUTED_VALUE"""),"112561848")</f>
        <v>112561848</v>
      </c>
      <c r="S1848" s="211" t="str">
        <f>IFERROR(__xludf.DUMMYFUNCTION("""COMPUTED_VALUE"""),"a0f0ad2d")</f>
        <v>a0f0ad2d</v>
      </c>
      <c r="T1848" s="211" t="str">
        <f>IFERROR(__xludf.DUMMYFUNCTION("""COMPUTED_VALUE"""),"CV. Yulie Jaya")</f>
        <v>CV. Yulie Jaya</v>
      </c>
      <c r="U1848" s="215">
        <f>IFERROR(__xludf.DUMMYFUNCTION("""COMPUTED_VALUE"""),45989.36552083334)</f>
        <v>45989.36552</v>
      </c>
      <c r="V1848" s="211" t="str">
        <f>IFERROR(__xludf.DUMMYFUNCTION("""COMPUTED_VALUE"""),"JJH4+6RV, Badas, Barengkrajan, Kec. Krian, Kabupaten Sidoarjo, Jawa Timur 61262")</f>
        <v>JJH4+6RV, Badas, Barengkrajan, Kec. Krian, Kabupaten Sidoarjo, Jawa Timur 61262</v>
      </c>
      <c r="W1848" s="211" t="str">
        <f>IFERROR(__xludf.DUMMYFUNCTION("""COMPUTED_VALUE"""),"OUT")</f>
        <v>OUT</v>
      </c>
      <c r="X1848" s="211"/>
      <c r="AL1848" s="211"/>
      <c r="AM1848" s="211"/>
      <c r="AN1848" s="211"/>
      <c r="AO1848" s="211"/>
      <c r="AP1848" s="215"/>
      <c r="AQ1848" s="218"/>
      <c r="AR1848" s="211"/>
    </row>
    <row r="1849">
      <c r="A1849" s="210" t="str">
        <f>IFERROR(__xludf.DUMMYFUNCTION("""COMPUTED_VALUE"""),"1250613")</f>
        <v>1250613</v>
      </c>
      <c r="B1849" s="210" t="str">
        <f>IFERROR(__xludf.DUMMYFUNCTION("""COMPUTED_VALUE"""),"1250613")</f>
        <v>1250613</v>
      </c>
      <c r="C1849" s="213">
        <f>IFERROR(__xludf.DUMMYFUNCTION("""COMPUTED_VALUE"""),45925.469872685186)</f>
        <v>45925.46987</v>
      </c>
      <c r="D1849" s="211" t="str">
        <f>IFERROR(__xludf.DUMMYFUNCTION("""COMPUTED_VALUE"""),"ec231cc9")</f>
        <v>ec231cc9</v>
      </c>
      <c r="E1849" s="211" t="str">
        <f>IFERROR(__xludf.DUMMYFUNCTION("""COMPUTED_VALUE"""),"Bpk. Kohir (Maintenance Velg)")</f>
        <v>Bpk. Kohir (Maintenance Velg)</v>
      </c>
      <c r="F1849" s="211" t="str">
        <f>IFERROR(__xludf.DUMMYFUNCTION("""COMPUTED_VALUE"""),"8bdbe149")</f>
        <v>8bdbe149</v>
      </c>
      <c r="G1849" s="211" t="str">
        <f>IFERROR(__xludf.DUMMYFUNCTION("""COMPUTED_VALUE"""),"Oksigen 6m3")</f>
        <v>Oksigen 6m3</v>
      </c>
      <c r="H1849" s="211" t="str">
        <f>IFERROR(__xludf.DUMMYFUNCTION("""COMPUTED_VALUE"""),"IN")</f>
        <v>IN</v>
      </c>
      <c r="I1849" s="211" t="str">
        <f>IFERROR(__xludf.DUMMYFUNCTION("""COMPUTED_VALUE"""),"EMPTY")</f>
        <v>EMPTY</v>
      </c>
      <c r="J1849" s="211">
        <f>IFERROR(__xludf.DUMMYFUNCTION("""COMPUTED_VALUE"""),3.0)</f>
        <v>3</v>
      </c>
      <c r="K1849" s="210" t="str">
        <f>IFERROR(__xludf.DUMMYFUNCTION("""COMPUTED_VALUE"""),"1164 11238 11268")</f>
        <v>1164 11238 11268</v>
      </c>
      <c r="L1849" s="211">
        <f>IFERROR(__xludf.DUMMYFUNCTION("""COMPUTED_VALUE"""),0.0)</f>
        <v>0</v>
      </c>
      <c r="M1849" s="211"/>
      <c r="N1849" s="211"/>
      <c r="O1849" s="211"/>
      <c r="Q1849" s="210" t="str">
        <f>IFERROR(__xludf.DUMMYFUNCTION("""COMPUTED_VALUE"""),"1250872")</f>
        <v>1250872</v>
      </c>
      <c r="R1849" s="210" t="str">
        <f>IFERROR(__xludf.DUMMYFUNCTION("""COMPUTED_VALUE"""),"1250872")</f>
        <v>1250872</v>
      </c>
      <c r="S1849" s="211" t="str">
        <f>IFERROR(__xludf.DUMMYFUNCTION("""COMPUTED_VALUE"""),"182fb0fe")</f>
        <v>182fb0fe</v>
      </c>
      <c r="T1849" s="211" t="str">
        <f>IFERROR(__xludf.DUMMYFUNCTION("""COMPUTED_VALUE"""),"PT Amtech")</f>
        <v>PT Amtech</v>
      </c>
      <c r="U1849" s="215">
        <f>IFERROR(__xludf.DUMMYFUNCTION("""COMPUTED_VALUE"""),45989.38489583333)</f>
        <v>45989.3849</v>
      </c>
      <c r="V1849"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849" s="211" t="str">
        <f>IFERROR(__xludf.DUMMYFUNCTION("""COMPUTED_VALUE"""),"IN")</f>
        <v>IN</v>
      </c>
      <c r="X1849" s="211"/>
      <c r="AL1849" s="211"/>
      <c r="AM1849" s="211"/>
      <c r="AN1849" s="211"/>
      <c r="AO1849" s="211"/>
      <c r="AP1849" s="215"/>
      <c r="AQ1849" s="218"/>
      <c r="AR1849" s="211"/>
    </row>
    <row r="1850">
      <c r="A1850" s="210" t="str">
        <f>IFERROR(__xludf.DUMMYFUNCTION("""COMPUTED_VALUE"""),"1250615")</f>
        <v>1250615</v>
      </c>
      <c r="B1850" s="210" t="str">
        <f>IFERROR(__xludf.DUMMYFUNCTION("""COMPUTED_VALUE"""),"1250615")</f>
        <v>1250615</v>
      </c>
      <c r="C1850" s="213">
        <f>IFERROR(__xludf.DUMMYFUNCTION("""COMPUTED_VALUE"""),45925.47076388889)</f>
        <v>45925.47076</v>
      </c>
      <c r="D1850" s="211" t="str">
        <f>IFERROR(__xludf.DUMMYFUNCTION("""COMPUTED_VALUE"""),"01158be1")</f>
        <v>01158be1</v>
      </c>
      <c r="E1850" s="211" t="str">
        <f>IFERROR(__xludf.DUMMYFUNCTION("""COMPUTED_VALUE"""),"GYF")</f>
        <v>GYF</v>
      </c>
      <c r="F1850" s="211" t="str">
        <f>IFERROR(__xludf.DUMMYFUNCTION("""COMPUTED_VALUE"""),"8bdbe149")</f>
        <v>8bdbe149</v>
      </c>
      <c r="G1850" s="211" t="str">
        <f>IFERROR(__xludf.DUMMYFUNCTION("""COMPUTED_VALUE"""),"Oksigen 6m3")</f>
        <v>Oksigen 6m3</v>
      </c>
      <c r="H1850" s="211" t="str">
        <f>IFERROR(__xludf.DUMMYFUNCTION("""COMPUTED_VALUE"""),"IN")</f>
        <v>IN</v>
      </c>
      <c r="I1850" s="211" t="str">
        <f>IFERROR(__xludf.DUMMYFUNCTION("""COMPUTED_VALUE"""),"EMPTY")</f>
        <v>EMPTY</v>
      </c>
      <c r="J1850" s="211">
        <f>IFERROR(__xludf.DUMMYFUNCTION("""COMPUTED_VALUE"""),8.0)</f>
        <v>8</v>
      </c>
      <c r="K1850" s="210" t="str">
        <f>IFERROR(__xludf.DUMMYFUNCTION("""COMPUTED_VALUE"""),"11203 11109 11252 11106 11210 11114 11249 1148")</f>
        <v>11203 11109 11252 11106 11210 11114 11249 1148</v>
      </c>
      <c r="L1850" s="211">
        <f>IFERROR(__xludf.DUMMYFUNCTION("""COMPUTED_VALUE"""),0.0)</f>
        <v>0</v>
      </c>
      <c r="M1850" s="211"/>
      <c r="N1850" s="211"/>
      <c r="O1850" s="211"/>
      <c r="Q1850" s="210" t="str">
        <f>IFERROR(__xludf.DUMMYFUNCTION("""COMPUTED_VALUE"""),"1250873")</f>
        <v>1250873</v>
      </c>
      <c r="R1850" s="210" t="str">
        <f>IFERROR(__xludf.DUMMYFUNCTION("""COMPUTED_VALUE"""),"1250873")</f>
        <v>1250873</v>
      </c>
      <c r="S1850" s="211" t="str">
        <f>IFERROR(__xludf.DUMMYFUNCTION("""COMPUTED_VALUE"""),"a0f0ad2d")</f>
        <v>a0f0ad2d</v>
      </c>
      <c r="T1850" s="211" t="str">
        <f>IFERROR(__xludf.DUMMYFUNCTION("""COMPUTED_VALUE"""),"CV. Yulie Jaya")</f>
        <v>CV. Yulie Jaya</v>
      </c>
      <c r="U1850" s="215">
        <f>IFERROR(__xludf.DUMMYFUNCTION("""COMPUTED_VALUE"""),45989.440833333334)</f>
        <v>45989.44083</v>
      </c>
      <c r="V1850" s="211" t="str">
        <f>IFERROR(__xludf.DUMMYFUNCTION("""COMPUTED_VALUE"""),"JJH4+6RV, Badas, Barengkrajan, Kec. Krian, Kabupaten Sidoarjo, Jawa Timur 61262")</f>
        <v>JJH4+6RV, Badas, Barengkrajan, Kec. Krian, Kabupaten Sidoarjo, Jawa Timur 61262</v>
      </c>
      <c r="W1850" s="211" t="str">
        <f>IFERROR(__xludf.DUMMYFUNCTION("""COMPUTED_VALUE"""),"IN")</f>
        <v>IN</v>
      </c>
      <c r="X1850" s="211"/>
      <c r="AL1850" s="211"/>
      <c r="AM1850" s="211"/>
      <c r="AN1850" s="211"/>
      <c r="AO1850" s="211"/>
      <c r="AP1850" s="215"/>
      <c r="AQ1850" s="218"/>
      <c r="AR1850" s="211"/>
    </row>
    <row r="1851">
      <c r="A1851" s="210" t="str">
        <f>IFERROR(__xludf.DUMMYFUNCTION("""COMPUTED_VALUE"""),"1250620")</f>
        <v>1250620</v>
      </c>
      <c r="B1851" s="210" t="str">
        <f>IFERROR(__xludf.DUMMYFUNCTION("""COMPUTED_VALUE"""),"1250620")</f>
        <v>1250620</v>
      </c>
      <c r="C1851" s="213">
        <f>IFERROR(__xludf.DUMMYFUNCTION("""COMPUTED_VALUE"""),45925.59806712963)</f>
        <v>45925.59807</v>
      </c>
      <c r="D1851" s="211" t="str">
        <f>IFERROR(__xludf.DUMMYFUNCTION("""COMPUTED_VALUE"""),"182fb0fe")</f>
        <v>182fb0fe</v>
      </c>
      <c r="E1851" s="211" t="str">
        <f>IFERROR(__xludf.DUMMYFUNCTION("""COMPUTED_VALUE"""),"PT Amtech")</f>
        <v>PT Amtech</v>
      </c>
      <c r="F1851" s="211" t="str">
        <f>IFERROR(__xludf.DUMMYFUNCTION("""COMPUTED_VALUE"""),"8bdbe149")</f>
        <v>8bdbe149</v>
      </c>
      <c r="G1851" s="211" t="str">
        <f>IFERROR(__xludf.DUMMYFUNCTION("""COMPUTED_VALUE"""),"Oksigen 6m3")</f>
        <v>Oksigen 6m3</v>
      </c>
      <c r="H1851" s="211" t="str">
        <f>IFERROR(__xludf.DUMMYFUNCTION("""COMPUTED_VALUE"""),"IN")</f>
        <v>IN</v>
      </c>
      <c r="I1851" s="211" t="str">
        <f>IFERROR(__xludf.DUMMYFUNCTION("""COMPUTED_VALUE"""),"EMPTY")</f>
        <v>EMPTY</v>
      </c>
      <c r="J1851" s="211">
        <f>IFERROR(__xludf.DUMMYFUNCTION("""COMPUTED_VALUE"""),1.0)</f>
        <v>1</v>
      </c>
      <c r="K1851" s="210" t="str">
        <f>IFERROR(__xludf.DUMMYFUNCTION("""COMPUTED_VALUE"""),"1133")</f>
        <v>1133</v>
      </c>
      <c r="L1851" s="211">
        <f>IFERROR(__xludf.DUMMYFUNCTION("""COMPUTED_VALUE"""),0.0)</f>
        <v>0</v>
      </c>
      <c r="M1851" s="211"/>
      <c r="N1851" s="211"/>
      <c r="O1851" s="211"/>
      <c r="Q1851" s="210" t="str">
        <f>IFERROR(__xludf.DUMMYFUNCTION("""COMPUTED_VALUE"""),"1250881")</f>
        <v>1250881</v>
      </c>
      <c r="R1851" s="210" t="str">
        <f>IFERROR(__xludf.DUMMYFUNCTION("""COMPUTED_VALUE"""),"1250881")</f>
        <v>1250881</v>
      </c>
      <c r="S1851" s="211" t="str">
        <f>IFERROR(__xludf.DUMMYFUNCTION("""COMPUTED_VALUE"""),"eec2e801")</f>
        <v>eec2e801</v>
      </c>
      <c r="T1851" s="211" t="str">
        <f>IFERROR(__xludf.DUMMYFUNCTION("""COMPUTED_VALUE"""),"Mitra Wood Sejahtera")</f>
        <v>Mitra Wood Sejahtera</v>
      </c>
      <c r="U1851" s="215">
        <f>IFERROR(__xludf.DUMMYFUNCTION("""COMPUTED_VALUE"""),45989.464212962965)</f>
        <v>45989.46421</v>
      </c>
      <c r="V1851" s="211" t="str">
        <f>IFERROR(__xludf.DUMMYFUNCTION("""COMPUTED_VALUE"""),"Jl.cungkling, Jl. Tanggungan, Nanom Kidul, Lebaniwaras, Kec. Wringinanom, Kabupaten Gresik, Jawa Timur 61176")</f>
        <v>Jl.cungkling, Jl. Tanggungan, Nanom Kidul, Lebaniwaras, Kec. Wringinanom, Kabupaten Gresik, Jawa Timur 61176</v>
      </c>
      <c r="W1851" s="211" t="str">
        <f>IFERROR(__xludf.DUMMYFUNCTION("""COMPUTED_VALUE"""),"IN")</f>
        <v>IN</v>
      </c>
      <c r="X1851" s="211"/>
      <c r="AL1851" s="211"/>
      <c r="AM1851" s="211"/>
      <c r="AN1851" s="211"/>
      <c r="AO1851" s="211"/>
      <c r="AP1851" s="215"/>
      <c r="AQ1851" s="218"/>
      <c r="AR1851" s="211"/>
    </row>
    <row r="1852">
      <c r="A1852" s="210" t="str">
        <f>IFERROR(__xludf.DUMMYFUNCTION("""COMPUTED_VALUE"""),"1250620")</f>
        <v>1250620</v>
      </c>
      <c r="B1852" s="210" t="str">
        <f>IFERROR(__xludf.DUMMYFUNCTION("""COMPUTED_VALUE"""),"1250620")</f>
        <v>1250620</v>
      </c>
      <c r="C1852" s="213">
        <f>IFERROR(__xludf.DUMMYFUNCTION("""COMPUTED_VALUE"""),45925.59806712963)</f>
        <v>45925.59807</v>
      </c>
      <c r="D1852" s="211" t="str">
        <f>IFERROR(__xludf.DUMMYFUNCTION("""COMPUTED_VALUE"""),"182fb0fe")</f>
        <v>182fb0fe</v>
      </c>
      <c r="E1852" s="211" t="str">
        <f>IFERROR(__xludf.DUMMYFUNCTION("""COMPUTED_VALUE"""),"PT Amtech")</f>
        <v>PT Amtech</v>
      </c>
      <c r="F1852" s="211" t="str">
        <f>IFERROR(__xludf.DUMMYFUNCTION("""COMPUTED_VALUE"""),"66af7c72")</f>
        <v>66af7c72</v>
      </c>
      <c r="G1852" s="211" t="str">
        <f>IFERROR(__xludf.DUMMYFUNCTION("""COMPUTED_VALUE"""),"Argon 6m3")</f>
        <v>Argon 6m3</v>
      </c>
      <c r="H1852" s="211" t="str">
        <f>IFERROR(__xludf.DUMMYFUNCTION("""COMPUTED_VALUE"""),"IN")</f>
        <v>IN</v>
      </c>
      <c r="I1852" s="211" t="str">
        <f>IFERROR(__xludf.DUMMYFUNCTION("""COMPUTED_VALUE"""),"EMPTY")</f>
        <v>EMPTY</v>
      </c>
      <c r="J1852" s="211">
        <f>IFERROR(__xludf.DUMMYFUNCTION("""COMPUTED_VALUE"""),6.0)</f>
        <v>6</v>
      </c>
      <c r="K1852" s="210" t="str">
        <f>IFERROR(__xludf.DUMMYFUNCTION("""COMPUTED_VALUE"""),"12013 12067 12036 12020 12005 12035")</f>
        <v>12013 12067 12036 12020 12005 12035</v>
      </c>
      <c r="L1852" s="211">
        <f>IFERROR(__xludf.DUMMYFUNCTION("""COMPUTED_VALUE"""),0.0)</f>
        <v>0</v>
      </c>
      <c r="M1852" s="211"/>
      <c r="N1852" s="211"/>
      <c r="O1852" s="211"/>
      <c r="Q1852" s="210" t="str">
        <f>IFERROR(__xludf.DUMMYFUNCTION("""COMPUTED_VALUE"""),"1125371849")</f>
        <v>1125371849</v>
      </c>
      <c r="R1852" s="210" t="str">
        <f>IFERROR(__xludf.DUMMYFUNCTION("""COMPUTED_VALUE"""),"1125371849")</f>
        <v>1125371849</v>
      </c>
      <c r="S1852" s="211" t="str">
        <f>IFERROR(__xludf.DUMMYFUNCTION("""COMPUTED_VALUE"""),"5f23ba17")</f>
        <v>5f23ba17</v>
      </c>
      <c r="T1852" s="211" t="str">
        <f>IFERROR(__xludf.DUMMYFUNCTION("""COMPUTED_VALUE"""),"Bpk. Joko (Gresik)")</f>
        <v>Bpk. Joko (Gresik)</v>
      </c>
      <c r="U1852" s="215">
        <f>IFERROR(__xludf.DUMMYFUNCTION("""COMPUTED_VALUE"""),45989.47094907407)</f>
        <v>45989.47095</v>
      </c>
      <c r="V1852" s="211" t="str">
        <f>IFERROR(__xludf.DUMMYFUNCTION("""COMPUTED_VALUE"""),"Tanggungan, Lebaniwaras, Kec. Wringinanom, Kabupaten Gresik, Jawa Timur")</f>
        <v>Tanggungan, Lebaniwaras, Kec. Wringinanom, Kabupaten Gresik, Jawa Timur</v>
      </c>
      <c r="W1852" s="211" t="str">
        <f>IFERROR(__xludf.DUMMYFUNCTION("""COMPUTED_VALUE"""),"OUT")</f>
        <v>OUT</v>
      </c>
      <c r="X1852" s="211"/>
      <c r="AL1852" s="211"/>
      <c r="AM1852" s="211"/>
      <c r="AN1852" s="211"/>
      <c r="AO1852" s="211"/>
      <c r="AP1852" s="215"/>
      <c r="AQ1852" s="218"/>
      <c r="AR1852" s="211"/>
    </row>
    <row r="1853">
      <c r="A1853" s="210" t="str">
        <f>IFERROR(__xludf.DUMMYFUNCTION("""COMPUTED_VALUE"""),"092531336")</f>
        <v>092531336</v>
      </c>
      <c r="B1853" s="210" t="str">
        <f>IFERROR(__xludf.DUMMYFUNCTION("""COMPUTED_VALUE"""),"092531336")</f>
        <v>092531336</v>
      </c>
      <c r="C1853" s="213">
        <f>IFERROR(__xludf.DUMMYFUNCTION("""COMPUTED_VALUE"""),45926.343506944446)</f>
        <v>45926.34351</v>
      </c>
      <c r="D1853" s="211" t="str">
        <f>IFERROR(__xludf.DUMMYFUNCTION("""COMPUTED_VALUE"""),"bdb5baf3")</f>
        <v>bdb5baf3</v>
      </c>
      <c r="E1853" s="211" t="str">
        <f>IFERROR(__xludf.DUMMYFUNCTION("""COMPUTED_VALUE"""),"Bpk. Abdul")</f>
        <v>Bpk. Abdul</v>
      </c>
      <c r="F1853" s="211" t="str">
        <f>IFERROR(__xludf.DUMMYFUNCTION("""COMPUTED_VALUE"""),"7d2764f1")</f>
        <v>7d2764f1</v>
      </c>
      <c r="G1853" s="211" t="str">
        <f>IFERROR(__xludf.DUMMYFUNCTION("""COMPUTED_VALUE"""),"Oksigen 7m3")</f>
        <v>Oksigen 7m3</v>
      </c>
      <c r="H1853" s="211" t="str">
        <f>IFERROR(__xludf.DUMMYFUNCTION("""COMPUTED_VALUE"""),"OUT")</f>
        <v>OUT</v>
      </c>
      <c r="I1853" s="211" t="str">
        <f>IFERROR(__xludf.DUMMYFUNCTION("""COMPUTED_VALUE"""),"NORMAL")</f>
        <v>NORMAL</v>
      </c>
      <c r="J1853" s="211">
        <f>IFERROR(__xludf.DUMMYFUNCTION("""COMPUTED_VALUE"""),1.0)</f>
        <v>1</v>
      </c>
      <c r="K1853" s="210" t="str">
        <f>IFERROR(__xludf.DUMMYFUNCTION("""COMPUTED_VALUE"""),"11136")</f>
        <v>11136</v>
      </c>
      <c r="L1853" s="211">
        <f>IFERROR(__xludf.DUMMYFUNCTION("""COMPUTED_VALUE"""),80000.0)</f>
        <v>80000</v>
      </c>
      <c r="M1853" s="211"/>
      <c r="N1853" s="211"/>
      <c r="O1853" s="211"/>
      <c r="Q1853" s="210" t="str">
        <f>IFERROR(__xludf.DUMMYFUNCTION("""COMPUTED_VALUE"""),"1250882")</f>
        <v>1250882</v>
      </c>
      <c r="R1853" s="210" t="str">
        <f>IFERROR(__xludf.DUMMYFUNCTION("""COMPUTED_VALUE"""),"1250882")</f>
        <v>1250882</v>
      </c>
      <c r="S1853" s="211" t="str">
        <f>IFERROR(__xludf.DUMMYFUNCTION("""COMPUTED_VALUE"""),"5f23ba17")</f>
        <v>5f23ba17</v>
      </c>
      <c r="T1853" s="211" t="str">
        <f>IFERROR(__xludf.DUMMYFUNCTION("""COMPUTED_VALUE"""),"Bpk. Joko (Gresik)")</f>
        <v>Bpk. Joko (Gresik)</v>
      </c>
      <c r="U1853" s="215">
        <f>IFERROR(__xludf.DUMMYFUNCTION("""COMPUTED_VALUE"""),45989.613854166666)</f>
        <v>45989.61385</v>
      </c>
      <c r="V1853" s="211" t="str">
        <f>IFERROR(__xludf.DUMMYFUNCTION("""COMPUTED_VALUE"""),"Tanggungan, Lebaniwaras, Kec. Wringinanom, Kabupaten Gresik, Jawa Timur")</f>
        <v>Tanggungan, Lebaniwaras, Kec. Wringinanom, Kabupaten Gresik, Jawa Timur</v>
      </c>
      <c r="W1853" s="211" t="str">
        <f>IFERROR(__xludf.DUMMYFUNCTION("""COMPUTED_VALUE"""),"IN")</f>
        <v>IN</v>
      </c>
      <c r="X1853" s="211"/>
      <c r="AL1853" s="211"/>
      <c r="AM1853" s="211"/>
      <c r="AN1853" s="211"/>
      <c r="AO1853" s="211"/>
      <c r="AP1853" s="215"/>
      <c r="AQ1853" s="218"/>
      <c r="AR1853" s="211"/>
    </row>
    <row r="1854">
      <c r="A1854" s="210" t="str">
        <f>IFERROR(__xludf.DUMMYFUNCTION("""COMPUTED_VALUE"""),"1250617")</f>
        <v>1250617</v>
      </c>
      <c r="B1854" s="210" t="str">
        <f>IFERROR(__xludf.DUMMYFUNCTION("""COMPUTED_VALUE"""),"1250617")</f>
        <v>1250617</v>
      </c>
      <c r="C1854" s="213">
        <f>IFERROR(__xludf.DUMMYFUNCTION("""COMPUTED_VALUE"""),45926.36158564815)</f>
        <v>45926.36159</v>
      </c>
      <c r="D1854" s="211" t="str">
        <f>IFERROR(__xludf.DUMMYFUNCTION("""COMPUTED_VALUE"""),"bdb5baf3")</f>
        <v>bdb5baf3</v>
      </c>
      <c r="E1854" s="211" t="str">
        <f>IFERROR(__xludf.DUMMYFUNCTION("""COMPUTED_VALUE"""),"Bpk. Abdul")</f>
        <v>Bpk. Abdul</v>
      </c>
      <c r="F1854" s="211" t="str">
        <f>IFERROR(__xludf.DUMMYFUNCTION("""COMPUTED_VALUE"""),"7d2764f1")</f>
        <v>7d2764f1</v>
      </c>
      <c r="G1854" s="211" t="str">
        <f>IFERROR(__xludf.DUMMYFUNCTION("""COMPUTED_VALUE"""),"Oksigen 7m3")</f>
        <v>Oksigen 7m3</v>
      </c>
      <c r="H1854" s="211" t="str">
        <f>IFERROR(__xludf.DUMMYFUNCTION("""COMPUTED_VALUE"""),"IN")</f>
        <v>IN</v>
      </c>
      <c r="I1854" s="211" t="str">
        <f>IFERROR(__xludf.DUMMYFUNCTION("""COMPUTED_VALUE"""),"EMPTY")</f>
        <v>EMPTY</v>
      </c>
      <c r="J1854" s="211">
        <f>IFERROR(__xludf.DUMMYFUNCTION("""COMPUTED_VALUE"""),1.0)</f>
        <v>1</v>
      </c>
      <c r="K1854" s="210" t="str">
        <f>IFERROR(__xludf.DUMMYFUNCTION("""COMPUTED_VALUE"""),"1161")</f>
        <v>1161</v>
      </c>
      <c r="L1854" s="211">
        <f>IFERROR(__xludf.DUMMYFUNCTION("""COMPUTED_VALUE"""),0.0)</f>
        <v>0</v>
      </c>
      <c r="M1854" s="211"/>
      <c r="N1854" s="211"/>
      <c r="O1854" s="211"/>
      <c r="Q1854" s="210" t="str">
        <f>IFERROR(__xludf.DUMMYFUNCTION("""COMPUTED_VALUE"""),"1125451853")</f>
        <v>1125451853</v>
      </c>
      <c r="R1854" s="210" t="str">
        <f>IFERROR(__xludf.DUMMYFUNCTION("""COMPUTED_VALUE"""),"1125451853")</f>
        <v>1125451853</v>
      </c>
      <c r="S1854" s="211" t="str">
        <f>IFERROR(__xludf.DUMMYFUNCTION("""COMPUTED_VALUE"""),"b2b5f2c5")</f>
        <v>b2b5f2c5</v>
      </c>
      <c r="T1854" s="211" t="str">
        <f>IFERROR(__xludf.DUMMYFUNCTION("""COMPUTED_VALUE"""),"Bengkel Las Bpk. Ari")</f>
        <v>Bengkel Las Bpk. Ari</v>
      </c>
      <c r="U1854" s="215">
        <f>IFERROR(__xludf.DUMMYFUNCTION("""COMPUTED_VALUE"""),45990.352488425924)</f>
        <v>45990.35249</v>
      </c>
      <c r="V1854" s="211" t="str">
        <f>IFERROR(__xludf.DUMMYFUNCTION("""COMPUTED_VALUE"""),"Sumber Kembar, Wonodadi, Kec. Kutorejo, Kabupaten Mojokerto, Jawa Timur")</f>
        <v>Sumber Kembar, Wonodadi, Kec. Kutorejo, Kabupaten Mojokerto, Jawa Timur</v>
      </c>
      <c r="W1854" s="211" t="str">
        <f>IFERROR(__xludf.DUMMYFUNCTION("""COMPUTED_VALUE"""),"OUT")</f>
        <v>OUT</v>
      </c>
      <c r="X1854" s="211"/>
      <c r="AL1854" s="211"/>
      <c r="AM1854" s="211"/>
      <c r="AN1854" s="211"/>
      <c r="AO1854" s="211"/>
      <c r="AP1854" s="215"/>
      <c r="AQ1854" s="218"/>
      <c r="AR1854" s="211"/>
    </row>
    <row r="1855">
      <c r="A1855" s="210" t="str">
        <f>IFERROR(__xludf.DUMMYFUNCTION("""COMPUTED_VALUE"""),"1250617")</f>
        <v>1250617</v>
      </c>
      <c r="B1855" s="210" t="str">
        <f>IFERROR(__xludf.DUMMYFUNCTION("""COMPUTED_VALUE"""),"1250617")</f>
        <v>1250617</v>
      </c>
      <c r="C1855" s="213">
        <f>IFERROR(__xludf.DUMMYFUNCTION("""COMPUTED_VALUE"""),45926.36158564815)</f>
        <v>45926.36159</v>
      </c>
      <c r="D1855" s="211" t="str">
        <f>IFERROR(__xludf.DUMMYFUNCTION("""COMPUTED_VALUE"""),"bdb5baf3")</f>
        <v>bdb5baf3</v>
      </c>
      <c r="E1855" s="211" t="str">
        <f>IFERROR(__xludf.DUMMYFUNCTION("""COMPUTED_VALUE"""),"Bpk. Abdul")</f>
        <v>Bpk. Abdul</v>
      </c>
      <c r="F1855" s="211" t="str">
        <f>IFERROR(__xludf.DUMMYFUNCTION("""COMPUTED_VALUE"""),"f6aab7a9")</f>
        <v>f6aab7a9</v>
      </c>
      <c r="G1855" s="211" t="str">
        <f>IFERROR(__xludf.DUMMYFUNCTION("""COMPUTED_VALUE"""),"Oksigen 6m3 MR")</f>
        <v>Oksigen 6m3 MR</v>
      </c>
      <c r="H1855" s="211" t="str">
        <f>IFERROR(__xludf.DUMMYFUNCTION("""COMPUTED_VALUE"""),"IN")</f>
        <v>IN</v>
      </c>
      <c r="I1855" s="211" t="str">
        <f>IFERROR(__xludf.DUMMYFUNCTION("""COMPUTED_VALUE"""),"EMPTY")</f>
        <v>EMPTY</v>
      </c>
      <c r="J1855" s="211">
        <f>IFERROR(__xludf.DUMMYFUNCTION("""COMPUTED_VALUE"""),2.0)</f>
        <v>2</v>
      </c>
      <c r="K1855" s="210" t="str">
        <f>IFERROR(__xludf.DUMMYFUNCTION("""COMPUTED_VALUE"""),"22 119")</f>
        <v>22 119</v>
      </c>
      <c r="L1855" s="211">
        <f>IFERROR(__xludf.DUMMYFUNCTION("""COMPUTED_VALUE"""),0.0)</f>
        <v>0</v>
      </c>
      <c r="M1855" s="211"/>
      <c r="N1855" s="211"/>
      <c r="O1855" s="211"/>
      <c r="Q1855" s="211"/>
      <c r="R1855" s="211"/>
      <c r="S1855" s="211"/>
      <c r="T1855" s="211"/>
      <c r="U1855" s="211"/>
      <c r="V1855" s="211"/>
      <c r="W1855" s="211"/>
      <c r="X1855" s="211"/>
      <c r="AL1855" s="211"/>
      <c r="AM1855" s="211"/>
      <c r="AN1855" s="211"/>
      <c r="AO1855" s="211"/>
      <c r="AP1855" s="215"/>
      <c r="AQ1855" s="218"/>
      <c r="AR1855" s="211"/>
    </row>
    <row r="1856">
      <c r="A1856" s="210" t="str">
        <f>IFERROR(__xludf.DUMMYFUNCTION("""COMPUTED_VALUE"""),"092561342")</f>
        <v>092561342</v>
      </c>
      <c r="B1856" s="210" t="str">
        <f>IFERROR(__xludf.DUMMYFUNCTION("""COMPUTED_VALUE"""),"092561342")</f>
        <v>092561342</v>
      </c>
      <c r="C1856" s="213">
        <f>IFERROR(__xludf.DUMMYFUNCTION("""COMPUTED_VALUE"""),45926.61864583333)</f>
        <v>45926.61865</v>
      </c>
      <c r="D1856" s="211" t="str">
        <f>IFERROR(__xludf.DUMMYFUNCTION("""COMPUTED_VALUE"""),"dcdf8b31")</f>
        <v>dcdf8b31</v>
      </c>
      <c r="E1856" s="211" t="str">
        <f>IFERROR(__xludf.DUMMYFUNCTION("""COMPUTED_VALUE"""),"Bpk. Samsul (Jetis)")</f>
        <v>Bpk. Samsul (Jetis)</v>
      </c>
      <c r="F1856" s="211" t="str">
        <f>IFERROR(__xludf.DUMMYFUNCTION("""COMPUTED_VALUE"""),"7d2764f1")</f>
        <v>7d2764f1</v>
      </c>
      <c r="G1856" s="211" t="str">
        <f>IFERROR(__xludf.DUMMYFUNCTION("""COMPUTED_VALUE"""),"Oksigen 7m3")</f>
        <v>Oksigen 7m3</v>
      </c>
      <c r="H1856" s="211" t="str">
        <f>IFERROR(__xludf.DUMMYFUNCTION("""COMPUTED_VALUE"""),"OUT")</f>
        <v>OUT</v>
      </c>
      <c r="I1856" s="211" t="str">
        <f>IFERROR(__xludf.DUMMYFUNCTION("""COMPUTED_VALUE"""),"NORMAL")</f>
        <v>NORMAL</v>
      </c>
      <c r="J1856" s="211">
        <f>IFERROR(__xludf.DUMMYFUNCTION("""COMPUTED_VALUE"""),2.0)</f>
        <v>2</v>
      </c>
      <c r="K1856" s="210" t="str">
        <f>IFERROR(__xludf.DUMMYFUNCTION("""COMPUTED_VALUE"""),"11178 11218")</f>
        <v>11178 11218</v>
      </c>
      <c r="L1856" s="211">
        <f>IFERROR(__xludf.DUMMYFUNCTION("""COMPUTED_VALUE"""),75000.0)</f>
        <v>75000</v>
      </c>
      <c r="M1856" s="211"/>
      <c r="N1856" s="211"/>
      <c r="O1856" s="211"/>
      <c r="Q1856" s="210" t="str">
        <f>IFERROR(__xludf.DUMMYFUNCTION("""COMPUTED_VALUE"""),"112511856")</f>
        <v>112511856</v>
      </c>
      <c r="R1856" s="210" t="str">
        <f>IFERROR(__xludf.DUMMYFUNCTION("""COMPUTED_VALUE"""),"112511856")</f>
        <v>112511856</v>
      </c>
      <c r="S1856" s="211" t="str">
        <f>IFERROR(__xludf.DUMMYFUNCTION("""COMPUTED_VALUE"""),"9b941888")</f>
        <v>9b941888</v>
      </c>
      <c r="T1856" s="211" t="str">
        <f>IFERROR(__xludf.DUMMYFUNCTION("""COMPUTED_VALUE"""),"Mas Devi ( Parengan )")</f>
        <v>Mas Devi ( Parengan )</v>
      </c>
      <c r="U1856" s="215">
        <f>IFERROR(__xludf.DUMMYFUNCTION("""COMPUTED_VALUE"""),45990.390185185184)</f>
        <v>45990.39019</v>
      </c>
      <c r="V1856" s="211" t="str">
        <f>IFERROR(__xludf.DUMMYFUNCTION("""COMPUTED_VALUE"""),"Kraton Krian Sidoarjo, ( sebelah tower listrik )")</f>
        <v>Kraton Krian Sidoarjo, ( sebelah tower listrik )</v>
      </c>
      <c r="W1856" s="211" t="str">
        <f>IFERROR(__xludf.DUMMYFUNCTION("""COMPUTED_VALUE"""),"OUT")</f>
        <v>OUT</v>
      </c>
      <c r="X1856" s="211"/>
      <c r="AL1856" s="211"/>
      <c r="AM1856" s="211"/>
      <c r="AN1856" s="211"/>
      <c r="AO1856" s="211"/>
      <c r="AP1856" s="215"/>
      <c r="AQ1856" s="218"/>
      <c r="AR1856" s="211"/>
    </row>
    <row r="1857">
      <c r="A1857" s="210" t="str">
        <f>IFERROR(__xludf.DUMMYFUNCTION("""COMPUTED_VALUE"""),"0925531344")</f>
        <v>0925531344</v>
      </c>
      <c r="B1857" s="210" t="str">
        <f>IFERROR(__xludf.DUMMYFUNCTION("""COMPUTED_VALUE"""),"0925531344")</f>
        <v>0925531344</v>
      </c>
      <c r="C1857" s="213">
        <f>IFERROR(__xludf.DUMMYFUNCTION("""COMPUTED_VALUE"""),45927.36041666667)</f>
        <v>45927.36042</v>
      </c>
      <c r="D1857" s="211" t="str">
        <f>IFERROR(__xludf.DUMMYFUNCTION("""COMPUTED_VALUE"""),"e86baf3b")</f>
        <v>e86baf3b</v>
      </c>
      <c r="E1857" s="211" t="str">
        <f>IFERROR(__xludf.DUMMYFUNCTION("""COMPUTED_VALUE"""),"PT GEMILANG CIPTA WAWASAN")</f>
        <v>PT GEMILANG CIPTA WAWASAN</v>
      </c>
      <c r="F1857" s="211" t="str">
        <f>IFERROR(__xludf.DUMMYFUNCTION("""COMPUTED_VALUE"""),"66af7c72")</f>
        <v>66af7c72</v>
      </c>
      <c r="G1857" s="211" t="str">
        <f>IFERROR(__xludf.DUMMYFUNCTION("""COMPUTED_VALUE"""),"Argon 6m3")</f>
        <v>Argon 6m3</v>
      </c>
      <c r="H1857" s="211" t="str">
        <f>IFERROR(__xludf.DUMMYFUNCTION("""COMPUTED_VALUE"""),"OUT")</f>
        <v>OUT</v>
      </c>
      <c r="I1857" s="211" t="str">
        <f>IFERROR(__xludf.DUMMYFUNCTION("""COMPUTED_VALUE"""),"NORMAL")</f>
        <v>NORMAL</v>
      </c>
      <c r="J1857" s="211">
        <f>IFERROR(__xludf.DUMMYFUNCTION("""COMPUTED_VALUE"""),10.0)</f>
        <v>10</v>
      </c>
      <c r="K1857" s="210" t="str">
        <f>IFERROR(__xludf.DUMMYFUNCTION("""COMPUTED_VALUE"""),"12006 12052 12068 12054 12042 12021 12050 12039 12019 12044")</f>
        <v>12006 12052 12068 12054 12042 12021 12050 12039 12019 12044</v>
      </c>
      <c r="L1857" s="211">
        <f>IFERROR(__xludf.DUMMYFUNCTION("""COMPUTED_VALUE"""),185000.0)</f>
        <v>185000</v>
      </c>
      <c r="M1857" s="211"/>
      <c r="N1857" s="211"/>
      <c r="O1857" s="211"/>
      <c r="Q1857" s="210" t="str">
        <f>IFERROR(__xludf.DUMMYFUNCTION("""COMPUTED_VALUE"""),"1250874")</f>
        <v>1250874</v>
      </c>
      <c r="R1857" s="210" t="str">
        <f>IFERROR(__xludf.DUMMYFUNCTION("""COMPUTED_VALUE"""),"1250874")</f>
        <v>1250874</v>
      </c>
      <c r="S1857" s="211" t="str">
        <f>IFERROR(__xludf.DUMMYFUNCTION("""COMPUTED_VALUE"""),"faf71ae5")</f>
        <v>faf71ae5</v>
      </c>
      <c r="T1857" s="211" t="str">
        <f>IFERROR(__xludf.DUMMYFUNCTION("""COMPUTED_VALUE"""),"Bpk. Sampurna")</f>
        <v>Bpk. Sampurna</v>
      </c>
      <c r="U1857" s="215">
        <f>IFERROR(__xludf.DUMMYFUNCTION("""COMPUTED_VALUE"""),45990.395324074074)</f>
        <v>45990.39532</v>
      </c>
      <c r="V1857" s="211" t="str">
        <f>IFERROR(__xludf.DUMMYFUNCTION("""COMPUTED_VALUE"""),"Jl. Bypass Krian KM.30 No.15, Kraton, Kec. Krian, Kabupaten Sidoarjo, Jawa Timur 61262")</f>
        <v>Jl. Bypass Krian KM.30 No.15, Kraton, Kec. Krian, Kabupaten Sidoarjo, Jawa Timur 61262</v>
      </c>
      <c r="W1857" s="211" t="str">
        <f>IFERROR(__xludf.DUMMYFUNCTION("""COMPUTED_VALUE"""),"IN")</f>
        <v>IN</v>
      </c>
      <c r="X1857" s="211"/>
      <c r="AL1857" s="211"/>
      <c r="AM1857" s="211"/>
      <c r="AN1857" s="211"/>
      <c r="AO1857" s="211"/>
      <c r="AP1857" s="215"/>
      <c r="AQ1857" s="218"/>
      <c r="AR1857" s="211"/>
    </row>
    <row r="1858">
      <c r="A1858" s="210" t="str">
        <f>IFERROR(__xludf.DUMMYFUNCTION("""COMPUTED_VALUE"""),"0925271345")</f>
        <v>0925271345</v>
      </c>
      <c r="B1858" s="210" t="str">
        <f>IFERROR(__xludf.DUMMYFUNCTION("""COMPUTED_VALUE"""),"0925271345")</f>
        <v>0925271345</v>
      </c>
      <c r="C1858" s="213">
        <f>IFERROR(__xludf.DUMMYFUNCTION("""COMPUTED_VALUE"""),45927.361805555556)</f>
        <v>45927.36181</v>
      </c>
      <c r="D1858" s="211" t="str">
        <f>IFERROR(__xludf.DUMMYFUNCTION("""COMPUTED_VALUE"""),"ce83e171")</f>
        <v>ce83e171</v>
      </c>
      <c r="E1858" s="211" t="str">
        <f>IFERROR(__xludf.DUMMYFUNCTION("""COMPUTED_VALUE"""),"Bpk. Sulaiman")</f>
        <v>Bpk. Sulaiman</v>
      </c>
      <c r="F1858" s="211" t="str">
        <f>IFERROR(__xludf.DUMMYFUNCTION("""COMPUTED_VALUE"""),"7d2764f1")</f>
        <v>7d2764f1</v>
      </c>
      <c r="G1858" s="211" t="str">
        <f>IFERROR(__xludf.DUMMYFUNCTION("""COMPUTED_VALUE"""),"Oksigen 7m3")</f>
        <v>Oksigen 7m3</v>
      </c>
      <c r="H1858" s="211" t="str">
        <f>IFERROR(__xludf.DUMMYFUNCTION("""COMPUTED_VALUE"""),"OUT")</f>
        <v>OUT</v>
      </c>
      <c r="I1858" s="211" t="str">
        <f>IFERROR(__xludf.DUMMYFUNCTION("""COMPUTED_VALUE"""),"NORMAL")</f>
        <v>NORMAL</v>
      </c>
      <c r="J1858" s="211">
        <f>IFERROR(__xludf.DUMMYFUNCTION("""COMPUTED_VALUE"""),5.0)</f>
        <v>5</v>
      </c>
      <c r="K1858" s="210" t="str">
        <f>IFERROR(__xludf.DUMMYFUNCTION("""COMPUTED_VALUE"""),"11172 11154 11162 11144 11137")</f>
        <v>11172 11154 11162 11144 11137</v>
      </c>
      <c r="L1858" s="211">
        <f>IFERROR(__xludf.DUMMYFUNCTION("""COMPUTED_VALUE"""),55000.0)</f>
        <v>55000</v>
      </c>
      <c r="M1858" s="211"/>
      <c r="N1858" s="211"/>
      <c r="O1858" s="211"/>
      <c r="Q1858" s="210" t="str">
        <f>IFERROR(__xludf.DUMMYFUNCTION("""COMPUTED_VALUE"""),"1125711857")</f>
        <v>1125711857</v>
      </c>
      <c r="R1858" s="210" t="str">
        <f>IFERROR(__xludf.DUMMYFUNCTION("""COMPUTED_VALUE"""),"1125711857")</f>
        <v>1125711857</v>
      </c>
      <c r="S1858" s="211" t="str">
        <f>IFERROR(__xludf.DUMMYFUNCTION("""COMPUTED_VALUE"""),"e86baf3b")</f>
        <v>e86baf3b</v>
      </c>
      <c r="T1858" s="211" t="str">
        <f>IFERROR(__xludf.DUMMYFUNCTION("""COMPUTED_VALUE"""),"PT GEMILANG CIPTA WAWASAN")</f>
        <v>PT GEMILANG CIPTA WAWASAN</v>
      </c>
      <c r="U1858" s="215">
        <f>IFERROR(__xludf.DUMMYFUNCTION("""COMPUTED_VALUE"""),45990.434583333335)</f>
        <v>45990.43458</v>
      </c>
      <c r="V1858" s="211" t="str">
        <f>IFERROR(__xludf.DUMMYFUNCTION("""COMPUTED_VALUE"""),"JL TEBET RAYA, 2A, TEBET BARAT, TEBET, KOTA ADM, JAKARTA SELATAN, DKI JAKARTA")</f>
        <v>JL TEBET RAYA, 2A, TEBET BARAT, TEBET, KOTA ADM, JAKARTA SELATAN, DKI JAKARTA</v>
      </c>
      <c r="W1858" s="211" t="str">
        <f>IFERROR(__xludf.DUMMYFUNCTION("""COMPUTED_VALUE"""),"OUT")</f>
        <v>OUT</v>
      </c>
      <c r="X1858" s="211"/>
      <c r="AL1858" s="211"/>
      <c r="AM1858" s="211"/>
      <c r="AN1858" s="211"/>
      <c r="AO1858" s="211"/>
      <c r="AP1858" s="215"/>
      <c r="AQ1858" s="218"/>
      <c r="AR1858" s="211"/>
    </row>
    <row r="1859">
      <c r="A1859" s="210" t="str">
        <f>IFERROR(__xludf.DUMMYFUNCTION("""COMPUTED_VALUE"""),"4092521303")</f>
        <v>4092521303</v>
      </c>
      <c r="B1859" s="210" t="str">
        <f>IFERROR(__xludf.DUMMYFUNCTION("""COMPUTED_VALUE"""),"4092521303")</f>
        <v>4092521303</v>
      </c>
      <c r="C1859" s="213">
        <f>IFERROR(__xludf.DUMMYFUNCTION("""COMPUTED_VALUE"""),45927.368055555555)</f>
        <v>45927.36806</v>
      </c>
      <c r="D1859" s="211" t="str">
        <f>IFERROR(__xludf.DUMMYFUNCTION("""COMPUTED_VALUE"""),"ed2cc96a")</f>
        <v>ed2cc96a</v>
      </c>
      <c r="E1859" s="211" t="str">
        <f>IFERROR(__xludf.DUMMYFUNCTION("""COMPUTED_VALUE"""),"Bengkel Dian Jaya")</f>
        <v>Bengkel Dian Jaya</v>
      </c>
      <c r="F1859" s="211" t="str">
        <f>IFERROR(__xludf.DUMMYFUNCTION("""COMPUTED_VALUE"""),"8bdbe149")</f>
        <v>8bdbe149</v>
      </c>
      <c r="G1859" s="211" t="str">
        <f>IFERROR(__xludf.DUMMYFUNCTION("""COMPUTED_VALUE"""),"Oksigen 6m3")</f>
        <v>Oksigen 6m3</v>
      </c>
      <c r="H1859" s="211" t="str">
        <f>IFERROR(__xludf.DUMMYFUNCTION("""COMPUTED_VALUE"""),"OTHER")</f>
        <v>OTHER</v>
      </c>
      <c r="I1859" s="211" t="str">
        <f>IFERROR(__xludf.DUMMYFUNCTION("""COMPUTED_VALUE"""),"RETUR CLAIM")</f>
        <v>RETUR CLAIM</v>
      </c>
      <c r="J1859" s="211">
        <f>IFERROR(__xludf.DUMMYFUNCTION("""COMPUTED_VALUE"""),2.0)</f>
        <v>2</v>
      </c>
      <c r="K1859" s="210" t="str">
        <f>IFERROR(__xludf.DUMMYFUNCTION("""COMPUTED_VALUE"""),"1193 11252")</f>
        <v>1193 11252</v>
      </c>
      <c r="L1859" s="211">
        <f>IFERROR(__xludf.DUMMYFUNCTION("""COMPUTED_VALUE"""),50000.0)</f>
        <v>50000</v>
      </c>
      <c r="M1859" s="211"/>
      <c r="N1859" s="211"/>
      <c r="O1859" s="211"/>
      <c r="Q1859" s="210" t="str">
        <f>IFERROR(__xludf.DUMMYFUNCTION("""COMPUTED_VALUE"""),"1250883")</f>
        <v>1250883</v>
      </c>
      <c r="R1859" s="210" t="str">
        <f>IFERROR(__xludf.DUMMYFUNCTION("""COMPUTED_VALUE"""),"1250883")</f>
        <v>1250883</v>
      </c>
      <c r="S1859" s="211" t="str">
        <f>IFERROR(__xludf.DUMMYFUNCTION("""COMPUTED_VALUE"""),"9b941888")</f>
        <v>9b941888</v>
      </c>
      <c r="T1859" s="211" t="str">
        <f>IFERROR(__xludf.DUMMYFUNCTION("""COMPUTED_VALUE"""),"Mas Devi ( Parengan )")</f>
        <v>Mas Devi ( Parengan )</v>
      </c>
      <c r="U1859" s="215">
        <f>IFERROR(__xludf.DUMMYFUNCTION("""COMPUTED_VALUE"""),45990.44048611111)</f>
        <v>45990.44049</v>
      </c>
      <c r="V1859" s="211" t="str">
        <f>IFERROR(__xludf.DUMMYFUNCTION("""COMPUTED_VALUE"""),"Kraton Krian Sidoarjo, ( sebelah tower listrik )")</f>
        <v>Kraton Krian Sidoarjo, ( sebelah tower listrik )</v>
      </c>
      <c r="W1859" s="211" t="str">
        <f>IFERROR(__xludf.DUMMYFUNCTION("""COMPUTED_VALUE"""),"IN")</f>
        <v>IN</v>
      </c>
      <c r="X1859" s="211"/>
      <c r="AL1859" s="211"/>
      <c r="AM1859" s="211"/>
      <c r="AN1859" s="211"/>
      <c r="AO1859" s="211"/>
      <c r="AP1859" s="215"/>
      <c r="AQ1859" s="218"/>
      <c r="AR1859" s="211"/>
    </row>
    <row r="1860">
      <c r="A1860" s="210" t="str">
        <f>IFERROR(__xludf.DUMMYFUNCTION("""COMPUTED_VALUE"""),"1250621")</f>
        <v>1250621</v>
      </c>
      <c r="B1860" s="210" t="str">
        <f>IFERROR(__xludf.DUMMYFUNCTION("""COMPUTED_VALUE"""),"1250621")</f>
        <v>1250621</v>
      </c>
      <c r="C1860" s="213">
        <f>IFERROR(__xludf.DUMMYFUNCTION("""COMPUTED_VALUE"""),45927.390752314815)</f>
        <v>45927.39075</v>
      </c>
      <c r="D1860" s="211" t="str">
        <f>IFERROR(__xludf.DUMMYFUNCTION("""COMPUTED_VALUE"""),"e86baf3b")</f>
        <v>e86baf3b</v>
      </c>
      <c r="E1860" s="211" t="str">
        <f>IFERROR(__xludf.DUMMYFUNCTION("""COMPUTED_VALUE"""),"PT GEMILANG CIPTA WAWASAN")</f>
        <v>PT GEMILANG CIPTA WAWASAN</v>
      </c>
      <c r="F1860" s="211" t="str">
        <f>IFERROR(__xludf.DUMMYFUNCTION("""COMPUTED_VALUE"""),"66af7c72")</f>
        <v>66af7c72</v>
      </c>
      <c r="G1860" s="211" t="str">
        <f>IFERROR(__xludf.DUMMYFUNCTION("""COMPUTED_VALUE"""),"Argon 6m3")</f>
        <v>Argon 6m3</v>
      </c>
      <c r="H1860" s="211" t="str">
        <f>IFERROR(__xludf.DUMMYFUNCTION("""COMPUTED_VALUE"""),"IN")</f>
        <v>IN</v>
      </c>
      <c r="I1860" s="211" t="str">
        <f>IFERROR(__xludf.DUMMYFUNCTION("""COMPUTED_VALUE"""),"EMPTY")</f>
        <v>EMPTY</v>
      </c>
      <c r="J1860" s="211">
        <f>IFERROR(__xludf.DUMMYFUNCTION("""COMPUTED_VALUE"""),1.0)</f>
        <v>1</v>
      </c>
      <c r="K1860" s="210" t="str">
        <f>IFERROR(__xludf.DUMMYFUNCTION("""COMPUTED_VALUE"""),"12082")</f>
        <v>12082</v>
      </c>
      <c r="L1860" s="211">
        <f>IFERROR(__xludf.DUMMYFUNCTION("""COMPUTED_VALUE"""),0.0)</f>
        <v>0</v>
      </c>
      <c r="M1860" s="211"/>
      <c r="N1860" s="211"/>
      <c r="O1860" s="211"/>
      <c r="Q1860" s="210" t="str">
        <f>IFERROR(__xludf.DUMMYFUNCTION("""COMPUTED_VALUE"""),"1250875")</f>
        <v>1250875</v>
      </c>
      <c r="R1860" s="210" t="str">
        <f>IFERROR(__xludf.DUMMYFUNCTION("""COMPUTED_VALUE"""),"1250875")</f>
        <v>1250875</v>
      </c>
      <c r="S1860" s="211" t="str">
        <f>IFERROR(__xludf.DUMMYFUNCTION("""COMPUTED_VALUE"""),"b2b5f2c5")</f>
        <v>b2b5f2c5</v>
      </c>
      <c r="T1860" s="211" t="str">
        <f>IFERROR(__xludf.DUMMYFUNCTION("""COMPUTED_VALUE"""),"Bengkel Las Bpk. Ari")</f>
        <v>Bengkel Las Bpk. Ari</v>
      </c>
      <c r="U1860" s="215">
        <f>IFERROR(__xludf.DUMMYFUNCTION("""COMPUTED_VALUE"""),45990.54353009259)</f>
        <v>45990.54353</v>
      </c>
      <c r="V1860" s="211" t="str">
        <f>IFERROR(__xludf.DUMMYFUNCTION("""COMPUTED_VALUE"""),"Sumber Kembar, Wonodadi, Kec. Kutorejo, Kabupaten Mojokerto, Jawa Timur")</f>
        <v>Sumber Kembar, Wonodadi, Kec. Kutorejo, Kabupaten Mojokerto, Jawa Timur</v>
      </c>
      <c r="W1860" s="211" t="str">
        <f>IFERROR(__xludf.DUMMYFUNCTION("""COMPUTED_VALUE"""),"IN")</f>
        <v>IN</v>
      </c>
      <c r="X1860" s="211"/>
      <c r="AL1860" s="211"/>
      <c r="AM1860" s="211"/>
      <c r="AN1860" s="211"/>
      <c r="AO1860" s="211"/>
      <c r="AP1860" s="215"/>
      <c r="AQ1860" s="218"/>
      <c r="AR1860" s="211"/>
    </row>
    <row r="1861">
      <c r="A1861" s="210" t="str">
        <f>IFERROR(__xludf.DUMMYFUNCTION("""COMPUTED_VALUE"""),"1250631")</f>
        <v>1250631</v>
      </c>
      <c r="B1861" s="210" t="str">
        <f>IFERROR(__xludf.DUMMYFUNCTION("""COMPUTED_VALUE"""),"1250631")</f>
        <v>1250631</v>
      </c>
      <c r="C1861" s="213">
        <f>IFERROR(__xludf.DUMMYFUNCTION("""COMPUTED_VALUE"""),45927.47534722222)</f>
        <v>45927.47535</v>
      </c>
      <c r="D1861" s="211" t="str">
        <f>IFERROR(__xludf.DUMMYFUNCTION("""COMPUTED_VALUE"""),"ed2cc96a")</f>
        <v>ed2cc96a</v>
      </c>
      <c r="E1861" s="211" t="str">
        <f>IFERROR(__xludf.DUMMYFUNCTION("""COMPUTED_VALUE"""),"Bengkel Dian Jaya")</f>
        <v>Bengkel Dian Jaya</v>
      </c>
      <c r="F1861" s="211" t="str">
        <f>IFERROR(__xludf.DUMMYFUNCTION("""COMPUTED_VALUE"""),"8bdbe149")</f>
        <v>8bdbe149</v>
      </c>
      <c r="G1861" s="211" t="str">
        <f>IFERROR(__xludf.DUMMYFUNCTION("""COMPUTED_VALUE"""),"Oksigen 6m3")</f>
        <v>Oksigen 6m3</v>
      </c>
      <c r="H1861" s="211" t="str">
        <f>IFERROR(__xludf.DUMMYFUNCTION("""COMPUTED_VALUE"""),"IN")</f>
        <v>IN</v>
      </c>
      <c r="I1861" s="211" t="str">
        <f>IFERROR(__xludf.DUMMYFUNCTION("""COMPUTED_VALUE"""),"EMPTY")</f>
        <v>EMPTY</v>
      </c>
      <c r="J1861" s="211">
        <f>IFERROR(__xludf.DUMMYFUNCTION("""COMPUTED_VALUE"""),8.0)</f>
        <v>8</v>
      </c>
      <c r="K1861" s="210" t="str">
        <f>IFERROR(__xludf.DUMMYFUNCTION("""COMPUTED_VALUE"""),"11255 11277 1130 1106 1110 11262 1119 11236")</f>
        <v>11255 11277 1130 1106 1110 11262 1119 11236</v>
      </c>
      <c r="L1861" s="211">
        <f>IFERROR(__xludf.DUMMYFUNCTION("""COMPUTED_VALUE"""),0.0)</f>
        <v>0</v>
      </c>
      <c r="M1861" s="211"/>
      <c r="N1861" s="211"/>
      <c r="O1861" s="211"/>
      <c r="Q1861" s="210" t="str">
        <f>IFERROR(__xludf.DUMMYFUNCTION("""COMPUTED_VALUE"""),"122511859")</f>
        <v>122511859</v>
      </c>
      <c r="R1861" s="210" t="str">
        <f>IFERROR(__xludf.DUMMYFUNCTION("""COMPUTED_VALUE"""),"122511859")</f>
        <v>122511859</v>
      </c>
      <c r="S1861" s="211" t="str">
        <f>IFERROR(__xludf.DUMMYFUNCTION("""COMPUTED_VALUE"""),"3b04351a")</f>
        <v>3b04351a</v>
      </c>
      <c r="T1861" s="211" t="str">
        <f>IFERROR(__xludf.DUMMYFUNCTION("""COMPUTED_VALUE"""),"CV Usaha Logam Jaya")</f>
        <v>CV Usaha Logam Jaya</v>
      </c>
      <c r="U1861" s="215">
        <f>IFERROR(__xludf.DUMMYFUNCTION("""COMPUTED_VALUE"""),45992.286828703705)</f>
        <v>45992.28683</v>
      </c>
      <c r="V1861" s="211" t="str">
        <f>IFERROR(__xludf.DUMMYFUNCTION("""COMPUTED_VALUE"""),"Jl. Jetis Karya, Wonorejo, Jetis, Kec. Jetis, Kabupaten Mojokerto, Jawa Timur 61352")</f>
        <v>Jl. Jetis Karya, Wonorejo, Jetis, Kec. Jetis, Kabupaten Mojokerto, Jawa Timur 61352</v>
      </c>
      <c r="W1861" s="211" t="str">
        <f>IFERROR(__xludf.DUMMYFUNCTION("""COMPUTED_VALUE"""),"OUT")</f>
        <v>OUT</v>
      </c>
      <c r="X1861" s="211"/>
      <c r="AL1861" s="211"/>
      <c r="AM1861" s="211"/>
      <c r="AN1861" s="211"/>
      <c r="AO1861" s="211"/>
      <c r="AP1861" s="215"/>
      <c r="AQ1861" s="218"/>
      <c r="AR1861" s="211"/>
    </row>
    <row r="1862">
      <c r="A1862" s="210" t="str">
        <f>IFERROR(__xludf.DUMMYFUNCTION("""COMPUTED_VALUE"""),"1250631")</f>
        <v>1250631</v>
      </c>
      <c r="B1862" s="210" t="str">
        <f>IFERROR(__xludf.DUMMYFUNCTION("""COMPUTED_VALUE"""),"1250631")</f>
        <v>1250631</v>
      </c>
      <c r="C1862" s="213">
        <f>IFERROR(__xludf.DUMMYFUNCTION("""COMPUTED_VALUE"""),45927.47534722222)</f>
        <v>45927.47535</v>
      </c>
      <c r="D1862" s="211" t="str">
        <f>IFERROR(__xludf.DUMMYFUNCTION("""COMPUTED_VALUE"""),"ed2cc96a")</f>
        <v>ed2cc96a</v>
      </c>
      <c r="E1862" s="211" t="str">
        <f>IFERROR(__xludf.DUMMYFUNCTION("""COMPUTED_VALUE"""),"Bengkel Dian Jaya")</f>
        <v>Bengkel Dian Jaya</v>
      </c>
      <c r="F1862" s="211" t="str">
        <f>IFERROR(__xludf.DUMMYFUNCTION("""COMPUTED_VALUE"""),"8bdbe149")</f>
        <v>8bdbe149</v>
      </c>
      <c r="G1862" s="211" t="str">
        <f>IFERROR(__xludf.DUMMYFUNCTION("""COMPUTED_VALUE"""),"Oksigen 6m3")</f>
        <v>Oksigen 6m3</v>
      </c>
      <c r="H1862" s="211" t="str">
        <f>IFERROR(__xludf.DUMMYFUNCTION("""COMPUTED_VALUE"""),"IN")</f>
        <v>IN</v>
      </c>
      <c r="I1862" s="211" t="str">
        <f>IFERROR(__xludf.DUMMYFUNCTION("""COMPUTED_VALUE"""),"CLAIM")</f>
        <v>CLAIM</v>
      </c>
      <c r="J1862" s="211">
        <f>IFERROR(__xludf.DUMMYFUNCTION("""COMPUTED_VALUE"""),1.0)</f>
        <v>1</v>
      </c>
      <c r="K1862" s="210" t="str">
        <f>IFERROR(__xludf.DUMMYFUNCTION("""COMPUTED_VALUE"""),"11206")</f>
        <v>11206</v>
      </c>
      <c r="L1862" s="211">
        <f>IFERROR(__xludf.DUMMYFUNCTION("""COMPUTED_VALUE"""),0.0)</f>
        <v>0</v>
      </c>
      <c r="M1862" s="211"/>
      <c r="N1862" s="211"/>
      <c r="O1862" s="211"/>
      <c r="Q1862" s="210" t="str">
        <f>IFERROR(__xludf.DUMMYFUNCTION("""COMPUTED_VALUE"""),"1225271862")</f>
        <v>1225271862</v>
      </c>
      <c r="R1862" s="210" t="str">
        <f>IFERROR(__xludf.DUMMYFUNCTION("""COMPUTED_VALUE"""),"1225271862")</f>
        <v>1225271862</v>
      </c>
      <c r="S1862" s="211" t="str">
        <f>IFERROR(__xludf.DUMMYFUNCTION("""COMPUTED_VALUE"""),"2d88931c")</f>
        <v>2d88931c</v>
      </c>
      <c r="T1862" s="211" t="str">
        <f>IFERROR(__xludf.DUMMYFUNCTION("""COMPUTED_VALUE"""),"PT Dunia Berkat Marga Mulya")</f>
        <v>PT Dunia Berkat Marga Mulya</v>
      </c>
      <c r="U1862" s="215">
        <f>IFERROR(__xludf.DUMMYFUNCTION("""COMPUTED_VALUE"""),45992.37513888889)</f>
        <v>45992.37514</v>
      </c>
      <c r="V1862" s="211" t="str">
        <f>IFERROR(__xludf.DUMMYFUNCTION("""COMPUTED_VALUE"""),"JL JABARAN, WATESARI, BALONGBENDO, SIDOARJO, JAWA TIMUR")</f>
        <v>JL JABARAN, WATESARI, BALONGBENDO, SIDOARJO, JAWA TIMUR</v>
      </c>
      <c r="W1862" s="211" t="str">
        <f>IFERROR(__xludf.DUMMYFUNCTION("""COMPUTED_VALUE"""),"OUT")</f>
        <v>OUT</v>
      </c>
      <c r="X1862" s="211"/>
      <c r="AL1862" s="211"/>
      <c r="AM1862" s="211"/>
      <c r="AN1862" s="211"/>
      <c r="AO1862" s="211"/>
      <c r="AP1862" s="215"/>
      <c r="AQ1862" s="218"/>
      <c r="AR1862" s="211"/>
    </row>
    <row r="1863">
      <c r="A1863" s="210" t="str">
        <f>IFERROR(__xludf.DUMMYFUNCTION("""COMPUTED_VALUE"""),"1250630")</f>
        <v>1250630</v>
      </c>
      <c r="B1863" s="210" t="str">
        <f>IFERROR(__xludf.DUMMYFUNCTION("""COMPUTED_VALUE"""),"1250630")</f>
        <v>1250630</v>
      </c>
      <c r="C1863" s="213">
        <f>IFERROR(__xludf.DUMMYFUNCTION("""COMPUTED_VALUE"""),45927.478530092594)</f>
        <v>45927.47853</v>
      </c>
      <c r="D1863" s="211" t="str">
        <f>IFERROR(__xludf.DUMMYFUNCTION("""COMPUTED_VALUE"""),"ce83e171")</f>
        <v>ce83e171</v>
      </c>
      <c r="E1863" s="211" t="str">
        <f>IFERROR(__xludf.DUMMYFUNCTION("""COMPUTED_VALUE"""),"Bpk. Sulaiman")</f>
        <v>Bpk. Sulaiman</v>
      </c>
      <c r="F1863" s="211" t="str">
        <f>IFERROR(__xludf.DUMMYFUNCTION("""COMPUTED_VALUE"""),"f6aab7a9")</f>
        <v>f6aab7a9</v>
      </c>
      <c r="G1863" s="211" t="str">
        <f>IFERROR(__xludf.DUMMYFUNCTION("""COMPUTED_VALUE"""),"Oksigen 6m3 MR")</f>
        <v>Oksigen 6m3 MR</v>
      </c>
      <c r="H1863" s="211" t="str">
        <f>IFERROR(__xludf.DUMMYFUNCTION("""COMPUTED_VALUE"""),"IN")</f>
        <v>IN</v>
      </c>
      <c r="I1863" s="211" t="str">
        <f>IFERROR(__xludf.DUMMYFUNCTION("""COMPUTED_VALUE"""),"EMPTY")</f>
        <v>EMPTY</v>
      </c>
      <c r="J1863" s="211">
        <f>IFERROR(__xludf.DUMMYFUNCTION("""COMPUTED_VALUE"""),1.0)</f>
        <v>1</v>
      </c>
      <c r="K1863" s="210" t="str">
        <f>IFERROR(__xludf.DUMMYFUNCTION("""COMPUTED_VALUE"""),"76")</f>
        <v>76</v>
      </c>
      <c r="L1863" s="211">
        <f>IFERROR(__xludf.DUMMYFUNCTION("""COMPUTED_VALUE"""),0.0)</f>
        <v>0</v>
      </c>
      <c r="M1863" s="211"/>
      <c r="N1863" s="211"/>
      <c r="O1863" s="211"/>
      <c r="Q1863" s="210" t="str">
        <f>IFERROR(__xludf.DUMMYFUNCTION("""COMPUTED_VALUE"""),"1250884")</f>
        <v>1250884</v>
      </c>
      <c r="R1863" s="210" t="str">
        <f>IFERROR(__xludf.DUMMYFUNCTION("""COMPUTED_VALUE"""),"1250884")</f>
        <v>1250884</v>
      </c>
      <c r="S1863" s="211" t="str">
        <f>IFERROR(__xludf.DUMMYFUNCTION("""COMPUTED_VALUE"""),"2d88931c")</f>
        <v>2d88931c</v>
      </c>
      <c r="T1863" s="211" t="str">
        <f>IFERROR(__xludf.DUMMYFUNCTION("""COMPUTED_VALUE"""),"PT Dunia Berkat Marga Mulya")</f>
        <v>PT Dunia Berkat Marga Mulya</v>
      </c>
      <c r="U1863" s="215">
        <f>IFERROR(__xludf.DUMMYFUNCTION("""COMPUTED_VALUE"""),45992.531226851854)</f>
        <v>45992.53123</v>
      </c>
      <c r="V1863" s="211" t="str">
        <f>IFERROR(__xludf.DUMMYFUNCTION("""COMPUTED_VALUE"""),"JL JABARAN, WATESARI, BALONGBENDO, SIDOARJO, JAWA TIMUR")</f>
        <v>JL JABARAN, WATESARI, BALONGBENDO, SIDOARJO, JAWA TIMUR</v>
      </c>
      <c r="W1863" s="211" t="str">
        <f>IFERROR(__xludf.DUMMYFUNCTION("""COMPUTED_VALUE"""),"IN")</f>
        <v>IN</v>
      </c>
      <c r="X1863" s="211"/>
      <c r="AL1863" s="211"/>
      <c r="AM1863" s="211"/>
      <c r="AN1863" s="211"/>
      <c r="AO1863" s="211"/>
      <c r="AP1863" s="215"/>
      <c r="AQ1863" s="218"/>
      <c r="AR1863" s="211"/>
    </row>
    <row r="1864">
      <c r="A1864" s="210" t="str">
        <f>IFERROR(__xludf.DUMMYFUNCTION("""COMPUTED_VALUE"""),"1250632")</f>
        <v>1250632</v>
      </c>
      <c r="B1864" s="210" t="str">
        <f>IFERROR(__xludf.DUMMYFUNCTION("""COMPUTED_VALUE"""),"1250632")</f>
        <v>1250632</v>
      </c>
      <c r="C1864" s="213">
        <f>IFERROR(__xludf.DUMMYFUNCTION("""COMPUTED_VALUE"""),45927.47888888889)</f>
        <v>45927.47889</v>
      </c>
      <c r="D1864" s="211" t="str">
        <f>IFERROR(__xludf.DUMMYFUNCTION("""COMPUTED_VALUE"""),"01158be1")</f>
        <v>01158be1</v>
      </c>
      <c r="E1864" s="211" t="str">
        <f>IFERROR(__xludf.DUMMYFUNCTION("""COMPUTED_VALUE"""),"GYF")</f>
        <v>GYF</v>
      </c>
      <c r="F1864" s="211" t="str">
        <f>IFERROR(__xludf.DUMMYFUNCTION("""COMPUTED_VALUE"""),"8bdbe149")</f>
        <v>8bdbe149</v>
      </c>
      <c r="G1864" s="211" t="str">
        <f>IFERROR(__xludf.DUMMYFUNCTION("""COMPUTED_VALUE"""),"Oksigen 6m3")</f>
        <v>Oksigen 6m3</v>
      </c>
      <c r="H1864" s="211" t="str">
        <f>IFERROR(__xludf.DUMMYFUNCTION("""COMPUTED_VALUE"""),"IN")</f>
        <v>IN</v>
      </c>
      <c r="I1864" s="211" t="str">
        <f>IFERROR(__xludf.DUMMYFUNCTION("""COMPUTED_VALUE"""),"EMPTY")</f>
        <v>EMPTY</v>
      </c>
      <c r="J1864" s="211">
        <f>IFERROR(__xludf.DUMMYFUNCTION("""COMPUTED_VALUE"""),2.0)</f>
        <v>2</v>
      </c>
      <c r="K1864" s="210" t="str">
        <f>IFERROR(__xludf.DUMMYFUNCTION("""COMPUTED_VALUE"""),"11231 11244")</f>
        <v>11231 11244</v>
      </c>
      <c r="L1864" s="211">
        <f>IFERROR(__xludf.DUMMYFUNCTION("""COMPUTED_VALUE"""),0.0)</f>
        <v>0</v>
      </c>
      <c r="M1864" s="211"/>
      <c r="N1864" s="211"/>
      <c r="O1864" s="211"/>
      <c r="Q1864" s="210" t="str">
        <f>IFERROR(__xludf.DUMMYFUNCTION("""COMPUTED_VALUE"""),"1250885")</f>
        <v>1250885</v>
      </c>
      <c r="R1864" s="210" t="str">
        <f>IFERROR(__xludf.DUMMYFUNCTION("""COMPUTED_VALUE"""),"1250885")</f>
        <v>1250885</v>
      </c>
      <c r="S1864" s="211" t="str">
        <f>IFERROR(__xludf.DUMMYFUNCTION("""COMPUTED_VALUE"""),"ed4307f6")</f>
        <v>ed4307f6</v>
      </c>
      <c r="T1864" s="211" t="str">
        <f>IFERROR(__xludf.DUMMYFUNCTION("""COMPUTED_VALUE"""),"Bpk. Andi (Jetis)")</f>
        <v>Bpk. Andi (Jetis)</v>
      </c>
      <c r="U1864" s="215">
        <f>IFERROR(__xludf.DUMMYFUNCTION("""COMPUTED_VALUE"""),45992.53172453704)</f>
        <v>45992.53172</v>
      </c>
      <c r="V1864" s="211" t="str">
        <f>IFERROR(__xludf.DUMMYFUNCTION("""COMPUTED_VALUE"""),"HFH9+P7 Pelabuhan Kidul, Jetis, Kec. Jetis, Kabupaten Mojokerto, Jawa Timur, Indonesia")</f>
        <v>HFH9+P7 Pelabuhan Kidul, Jetis, Kec. Jetis, Kabupaten Mojokerto, Jawa Timur, Indonesia</v>
      </c>
      <c r="W1864" s="211" t="str">
        <f>IFERROR(__xludf.DUMMYFUNCTION("""COMPUTED_VALUE"""),"IN")</f>
        <v>IN</v>
      </c>
      <c r="X1864" s="211"/>
      <c r="AL1864" s="211"/>
      <c r="AM1864" s="211"/>
      <c r="AN1864" s="211"/>
      <c r="AO1864" s="211"/>
      <c r="AP1864" s="215"/>
      <c r="AQ1864" s="218"/>
      <c r="AR1864" s="211"/>
    </row>
    <row r="1865">
      <c r="A1865" s="210" t="str">
        <f>IFERROR(__xludf.DUMMYFUNCTION("""COMPUTED_VALUE"""),"0925101346")</f>
        <v>0925101346</v>
      </c>
      <c r="B1865" s="210" t="str">
        <f>IFERROR(__xludf.DUMMYFUNCTION("""COMPUTED_VALUE"""),"0925101346")</f>
        <v>0925101346</v>
      </c>
      <c r="C1865" s="213">
        <f>IFERROR(__xludf.DUMMYFUNCTION("""COMPUTED_VALUE"""),45927.486921296295)</f>
        <v>45927.48692</v>
      </c>
      <c r="D1865" s="211" t="str">
        <f>IFERROR(__xludf.DUMMYFUNCTION("""COMPUTED_VALUE"""),"e968afef")</f>
        <v>e968afef</v>
      </c>
      <c r="E1865" s="211" t="str">
        <f>IFERROR(__xludf.DUMMYFUNCTION("""COMPUTED_VALUE"""),"Bpk. Agus")</f>
        <v>Bpk. Agus</v>
      </c>
      <c r="F1865" s="211" t="str">
        <f>IFERROR(__xludf.DUMMYFUNCTION("""COMPUTED_VALUE"""),"8bdbe149")</f>
        <v>8bdbe149</v>
      </c>
      <c r="G1865" s="211" t="str">
        <f>IFERROR(__xludf.DUMMYFUNCTION("""COMPUTED_VALUE"""),"Oksigen 6m3")</f>
        <v>Oksigen 6m3</v>
      </c>
      <c r="H1865" s="211" t="str">
        <f>IFERROR(__xludf.DUMMYFUNCTION("""COMPUTED_VALUE"""),"OUT")</f>
        <v>OUT</v>
      </c>
      <c r="I1865" s="211" t="str">
        <f>IFERROR(__xludf.DUMMYFUNCTION("""COMPUTED_VALUE"""),"NORMAL")</f>
        <v>NORMAL</v>
      </c>
      <c r="J1865" s="211">
        <f>IFERROR(__xludf.DUMMYFUNCTION("""COMPUTED_VALUE"""),6.0)</f>
        <v>6</v>
      </c>
      <c r="K1865" s="210" t="str">
        <f>IFERROR(__xludf.DUMMYFUNCTION("""COMPUTED_VALUE"""),"1135 11249 11203 1105 11210 11206")</f>
        <v>1135 11249 11203 1105 11210 11206</v>
      </c>
      <c r="L1865" s="211">
        <f>IFERROR(__xludf.DUMMYFUNCTION("""COMPUTED_VALUE"""),60000.0)</f>
        <v>60000</v>
      </c>
      <c r="M1865" s="211"/>
      <c r="N1865" s="211"/>
      <c r="O1865" s="211"/>
      <c r="Q1865" s="210" t="str">
        <f>IFERROR(__xludf.DUMMYFUNCTION("""COMPUTED_VALUE"""),"1250879")</f>
        <v>1250879</v>
      </c>
      <c r="R1865" s="210" t="str">
        <f>IFERROR(__xludf.DUMMYFUNCTION("""COMPUTED_VALUE"""),"1250879")</f>
        <v>1250879</v>
      </c>
      <c r="S1865" s="211" t="str">
        <f>IFERROR(__xludf.DUMMYFUNCTION("""COMPUTED_VALUE"""),"b2b5f2c5")</f>
        <v>b2b5f2c5</v>
      </c>
      <c r="T1865" s="211" t="str">
        <f>IFERROR(__xludf.DUMMYFUNCTION("""COMPUTED_VALUE"""),"Bengkel Las Bpk. Ari")</f>
        <v>Bengkel Las Bpk. Ari</v>
      </c>
      <c r="U1865" s="215">
        <f>IFERROR(__xludf.DUMMYFUNCTION("""COMPUTED_VALUE"""),45992.65777777778)</f>
        <v>45992.65778</v>
      </c>
      <c r="V1865" s="211" t="str">
        <f>IFERROR(__xludf.DUMMYFUNCTION("""COMPUTED_VALUE"""),"Sumber Kembar, Wonodadi, Kec. Kutorejo, Kabupaten Mojokerto, Jawa Timur")</f>
        <v>Sumber Kembar, Wonodadi, Kec. Kutorejo, Kabupaten Mojokerto, Jawa Timur</v>
      </c>
      <c r="W1865" s="211" t="str">
        <f>IFERROR(__xludf.DUMMYFUNCTION("""COMPUTED_VALUE"""),"IN")</f>
        <v>IN</v>
      </c>
      <c r="X1865" s="211"/>
      <c r="AL1865" s="211"/>
      <c r="AM1865" s="211"/>
      <c r="AN1865" s="211"/>
      <c r="AO1865" s="211"/>
      <c r="AP1865" s="215"/>
      <c r="AQ1865" s="218"/>
      <c r="AR1865" s="211"/>
    </row>
    <row r="1866">
      <c r="A1866" s="210" t="str">
        <f>IFERROR(__xludf.DUMMYFUNCTION("""COMPUTED_VALUE"""),"0925131334")</f>
        <v>0925131334</v>
      </c>
      <c r="B1866" s="210" t="str">
        <f>IFERROR(__xludf.DUMMYFUNCTION("""COMPUTED_VALUE"""),"0925131334")</f>
        <v>0925131334</v>
      </c>
      <c r="C1866" s="213">
        <f>IFERROR(__xludf.DUMMYFUNCTION("""COMPUTED_VALUE"""),45925.37299768518)</f>
        <v>45925.373</v>
      </c>
      <c r="D1866" s="211" t="str">
        <f>IFERROR(__xludf.DUMMYFUNCTION("""COMPUTED_VALUE"""),"182fb0fe")</f>
        <v>182fb0fe</v>
      </c>
      <c r="E1866" s="211" t="str">
        <f>IFERROR(__xludf.DUMMYFUNCTION("""COMPUTED_VALUE"""),"PT Amtech")</f>
        <v>PT Amtech</v>
      </c>
      <c r="F1866" s="211" t="str">
        <f>IFERROR(__xludf.DUMMYFUNCTION("""COMPUTED_VALUE"""),"f13ba52f")</f>
        <v>f13ba52f</v>
      </c>
      <c r="G1866" s="211" t="str">
        <f>IFERROR(__xludf.DUMMYFUNCTION("""COMPUTED_VALUE"""),"Ongkos Kirim (Non PPN)")</f>
        <v>Ongkos Kirim (Non PPN)</v>
      </c>
      <c r="H1866" s="211" t="str">
        <f>IFERROR(__xludf.DUMMYFUNCTION("""COMPUTED_VALUE"""),"OUT")</f>
        <v>OUT</v>
      </c>
      <c r="I1866" s="211" t="str">
        <f>IFERROR(__xludf.DUMMYFUNCTION("""COMPUTED_VALUE"""),"NORMAL")</f>
        <v>NORMAL</v>
      </c>
      <c r="J1866" s="211">
        <f>IFERROR(__xludf.DUMMYFUNCTION("""COMPUTED_VALUE"""),1.0)</f>
        <v>1</v>
      </c>
      <c r="K1866" s="211"/>
      <c r="L1866" s="211">
        <f>IFERROR(__xludf.DUMMYFUNCTION("""COMPUTED_VALUE"""),100000.0)</f>
        <v>100000</v>
      </c>
      <c r="M1866" s="211"/>
      <c r="N1866" s="211"/>
      <c r="O1866" s="211"/>
      <c r="Q1866" s="210" t="str">
        <f>IFERROR(__xludf.DUMMYFUNCTION("""COMPUTED_VALUE"""),"1250876")</f>
        <v>1250876</v>
      </c>
      <c r="R1866" s="210" t="str">
        <f>IFERROR(__xludf.DUMMYFUNCTION("""COMPUTED_VALUE"""),"1250876")</f>
        <v>1250876</v>
      </c>
      <c r="S1866" s="211" t="str">
        <f>IFERROR(__xludf.DUMMYFUNCTION("""COMPUTED_VALUE"""),"8ea74d81")</f>
        <v>8ea74d81</v>
      </c>
      <c r="T1866" s="211" t="str">
        <f>IFERROR(__xludf.DUMMYFUNCTION("""COMPUTED_VALUE"""),"Bengkel Adi Putra")</f>
        <v>Bengkel Adi Putra</v>
      </c>
      <c r="U1866" s="215">
        <f>IFERROR(__xludf.DUMMYFUNCTION("""COMPUTED_VALUE"""),45992.65856481482)</f>
        <v>45992.65856</v>
      </c>
      <c r="V1866" s="211" t="str">
        <f>IFERROR(__xludf.DUMMYFUNCTION("""COMPUTED_VALUE"""),"Bypass Balongbendo")</f>
        <v>Bypass Balongbendo</v>
      </c>
      <c r="W1866" s="211" t="str">
        <f>IFERROR(__xludf.DUMMYFUNCTION("""COMPUTED_VALUE"""),"IN")</f>
        <v>IN</v>
      </c>
      <c r="X1866" s="211"/>
      <c r="AL1866" s="211"/>
      <c r="AM1866" s="211"/>
      <c r="AN1866" s="211"/>
      <c r="AO1866" s="211"/>
      <c r="AP1866" s="215"/>
      <c r="AQ1866" s="218"/>
      <c r="AR1866" s="211"/>
    </row>
    <row r="1867">
      <c r="A1867" s="210" t="str">
        <f>IFERROR(__xludf.DUMMYFUNCTION("""COMPUTED_VALUE"""),"0925121250")</f>
        <v>0925121250</v>
      </c>
      <c r="B1867" s="210" t="str">
        <f>IFERROR(__xludf.DUMMYFUNCTION("""COMPUTED_VALUE"""),"0925121250")</f>
        <v>0925121250</v>
      </c>
      <c r="C1867" s="213">
        <f>IFERROR(__xludf.DUMMYFUNCTION("""COMPUTED_VALUE"""),45911.3612037037)</f>
        <v>45911.3612</v>
      </c>
      <c r="D1867" s="211" t="str">
        <f>IFERROR(__xludf.DUMMYFUNCTION("""COMPUTED_VALUE"""),"182fb0fe")</f>
        <v>182fb0fe</v>
      </c>
      <c r="E1867" s="211" t="str">
        <f>IFERROR(__xludf.DUMMYFUNCTION("""COMPUTED_VALUE"""),"PT Amtech")</f>
        <v>PT Amtech</v>
      </c>
      <c r="F1867" s="211" t="str">
        <f>IFERROR(__xludf.DUMMYFUNCTION("""COMPUTED_VALUE"""),"f13ba52f")</f>
        <v>f13ba52f</v>
      </c>
      <c r="G1867" s="211" t="str">
        <f>IFERROR(__xludf.DUMMYFUNCTION("""COMPUTED_VALUE"""),"Ongkos Kirim (Non PPN)")</f>
        <v>Ongkos Kirim (Non PPN)</v>
      </c>
      <c r="H1867" s="211" t="str">
        <f>IFERROR(__xludf.DUMMYFUNCTION("""COMPUTED_VALUE"""),"OUT")</f>
        <v>OUT</v>
      </c>
      <c r="I1867" s="211" t="str">
        <f>IFERROR(__xludf.DUMMYFUNCTION("""COMPUTED_VALUE"""),"NORMAL")</f>
        <v>NORMAL</v>
      </c>
      <c r="J1867" s="211">
        <f>IFERROR(__xludf.DUMMYFUNCTION("""COMPUTED_VALUE"""),1.0)</f>
        <v>1</v>
      </c>
      <c r="K1867" s="211"/>
      <c r="L1867" s="211">
        <f>IFERROR(__xludf.DUMMYFUNCTION("""COMPUTED_VALUE"""),100000.0)</f>
        <v>100000</v>
      </c>
      <c r="M1867" s="211"/>
      <c r="N1867" s="211"/>
      <c r="O1867" s="211"/>
      <c r="Q1867" s="210" t="str">
        <f>IFERROR(__xludf.DUMMYFUNCTION("""COMPUTED_VALUE"""),"1250877")</f>
        <v>1250877</v>
      </c>
      <c r="R1867" s="210" t="str">
        <f>IFERROR(__xludf.DUMMYFUNCTION("""COMPUTED_VALUE"""),"1250877")</f>
        <v>1250877</v>
      </c>
      <c r="S1867" s="211" t="str">
        <f>IFERROR(__xludf.DUMMYFUNCTION("""COMPUTED_VALUE"""),"8f5ebaea")</f>
        <v>8f5ebaea</v>
      </c>
      <c r="T1867" s="211" t="str">
        <f>IFERROR(__xludf.DUMMYFUNCTION("""COMPUTED_VALUE"""),"PT Hua Zong Mesindo")</f>
        <v>PT Hua Zong Mesindo</v>
      </c>
      <c r="U1867" s="215">
        <f>IFERROR(__xludf.DUMMYFUNCTION("""COMPUTED_VALUE"""),45992.65891203703)</f>
        <v>45992.65891</v>
      </c>
      <c r="V1867" s="211" t="str">
        <f>IFERROR(__xludf.DUMMYFUNCTION("""COMPUTED_VALUE"""),"Jl. Bypass Krian, Sidotemo, Sidomulyo, Kec. Krian, Kabupaten Sidoarjo, Jawa Timur 61262")</f>
        <v>Jl. Bypass Krian, Sidotemo, Sidomulyo, Kec. Krian, Kabupaten Sidoarjo, Jawa Timur 61262</v>
      </c>
      <c r="W1867" s="211" t="str">
        <f>IFERROR(__xludf.DUMMYFUNCTION("""COMPUTED_VALUE"""),"IN")</f>
        <v>IN</v>
      </c>
      <c r="X1867" s="211"/>
      <c r="AL1867" s="211"/>
      <c r="AM1867" s="211"/>
      <c r="AN1867" s="211"/>
      <c r="AO1867" s="211"/>
      <c r="AP1867" s="215"/>
      <c r="AQ1867" s="218"/>
      <c r="AR1867" s="211"/>
    </row>
    <row r="1868">
      <c r="A1868" s="210" t="str">
        <f>IFERROR(__xludf.DUMMYFUNCTION("""COMPUTED_VALUE"""),"1250633")</f>
        <v>1250633</v>
      </c>
      <c r="B1868" s="210" t="str">
        <f>IFERROR(__xludf.DUMMYFUNCTION("""COMPUTED_VALUE"""),"1250633")</f>
        <v>1250633</v>
      </c>
      <c r="C1868" s="213">
        <f>IFERROR(__xludf.DUMMYFUNCTION("""COMPUTED_VALUE"""),45927.59462962963)</f>
        <v>45927.59463</v>
      </c>
      <c r="D1868" s="211" t="str">
        <f>IFERROR(__xludf.DUMMYFUNCTION("""COMPUTED_VALUE"""),"e968afef")</f>
        <v>e968afef</v>
      </c>
      <c r="E1868" s="211" t="str">
        <f>IFERROR(__xludf.DUMMYFUNCTION("""COMPUTED_VALUE"""),"Bpk. Agus")</f>
        <v>Bpk. Agus</v>
      </c>
      <c r="F1868" s="211" t="str">
        <f>IFERROR(__xludf.DUMMYFUNCTION("""COMPUTED_VALUE"""),"8bdbe149")</f>
        <v>8bdbe149</v>
      </c>
      <c r="G1868" s="211" t="str">
        <f>IFERROR(__xludf.DUMMYFUNCTION("""COMPUTED_VALUE"""),"Oksigen 6m3")</f>
        <v>Oksigen 6m3</v>
      </c>
      <c r="H1868" s="211" t="str">
        <f>IFERROR(__xludf.DUMMYFUNCTION("""COMPUTED_VALUE"""),"IN")</f>
        <v>IN</v>
      </c>
      <c r="I1868" s="211" t="str">
        <f>IFERROR(__xludf.DUMMYFUNCTION("""COMPUTED_VALUE"""),"EMPTY")</f>
        <v>EMPTY</v>
      </c>
      <c r="J1868" s="211">
        <f>IFERROR(__xludf.DUMMYFUNCTION("""COMPUTED_VALUE"""),8.0)</f>
        <v>8</v>
      </c>
      <c r="K1868" s="210" t="str">
        <f>IFERROR(__xludf.DUMMYFUNCTION("""COMPUTED_VALUE"""),"11113 11179 11199 11197 11263 11282 11193 1111")</f>
        <v>11113 11179 11199 11197 11263 11282 11193 1111</v>
      </c>
      <c r="L1868" s="211">
        <f>IFERROR(__xludf.DUMMYFUNCTION("""COMPUTED_VALUE"""),0.0)</f>
        <v>0</v>
      </c>
      <c r="M1868" s="211"/>
      <c r="N1868" s="211"/>
      <c r="O1868" s="211"/>
      <c r="Q1868" s="210" t="str">
        <f>IFERROR(__xludf.DUMMYFUNCTION("""COMPUTED_VALUE"""),"1250878")</f>
        <v>1250878</v>
      </c>
      <c r="R1868" s="210" t="str">
        <f>IFERROR(__xludf.DUMMYFUNCTION("""COMPUTED_VALUE"""),"1250878")</f>
        <v>1250878</v>
      </c>
      <c r="S1868" s="211" t="str">
        <f>IFERROR(__xludf.DUMMYFUNCTION("""COMPUTED_VALUE"""),"01158be1")</f>
        <v>01158be1</v>
      </c>
      <c r="T1868" s="211" t="str">
        <f>IFERROR(__xludf.DUMMYFUNCTION("""COMPUTED_VALUE"""),"GYF")</f>
        <v>GYF</v>
      </c>
      <c r="U1868" s="215">
        <f>IFERROR(__xludf.DUMMYFUNCTION("""COMPUTED_VALUE"""),45992.65918981482)</f>
        <v>45992.65919</v>
      </c>
      <c r="V1868" s="211" t="str">
        <f>IFERROR(__xludf.DUMMYFUNCTION("""COMPUTED_VALUE"""),"Kangkungan, Lengkong, Kec. Mojoanyar, Kabupaten Mojokerto, Jawa Timur")</f>
        <v>Kangkungan, Lengkong, Kec. Mojoanyar, Kabupaten Mojokerto, Jawa Timur</v>
      </c>
      <c r="W1868" s="211" t="str">
        <f>IFERROR(__xludf.DUMMYFUNCTION("""COMPUTED_VALUE"""),"IN")</f>
        <v>IN</v>
      </c>
      <c r="X1868" s="211"/>
      <c r="AL1868" s="211"/>
      <c r="AM1868" s="211"/>
      <c r="AN1868" s="211"/>
      <c r="AO1868" s="211"/>
      <c r="AP1868" s="215"/>
      <c r="AQ1868" s="218"/>
      <c r="AR1868" s="211"/>
    </row>
    <row r="1869">
      <c r="A1869" s="210" t="str">
        <f>IFERROR(__xludf.DUMMYFUNCTION("""COMPUTED_VALUE"""),"1250640")</f>
        <v>1250640</v>
      </c>
      <c r="B1869" s="210" t="str">
        <f>IFERROR(__xludf.DUMMYFUNCTION("""COMPUTED_VALUE"""),"1250640")</f>
        <v>1250640</v>
      </c>
      <c r="C1869" s="213">
        <f>IFERROR(__xludf.DUMMYFUNCTION("""COMPUTED_VALUE"""),45927.606516203705)</f>
        <v>45927.60652</v>
      </c>
      <c r="D1869" s="211" t="str">
        <f>IFERROR(__xludf.DUMMYFUNCTION("""COMPUTED_VALUE"""),"e3268699")</f>
        <v>e3268699</v>
      </c>
      <c r="E1869" s="211" t="str">
        <f>IFERROR(__xludf.DUMMYFUNCTION("""COMPUTED_VALUE"""),"Bpk Jainul")</f>
        <v>Bpk Jainul</v>
      </c>
      <c r="F1869" s="211" t="str">
        <f>IFERROR(__xludf.DUMMYFUNCTION("""COMPUTED_VALUE"""),"f6aab7a9")</f>
        <v>f6aab7a9</v>
      </c>
      <c r="G1869" s="211" t="str">
        <f>IFERROR(__xludf.DUMMYFUNCTION("""COMPUTED_VALUE"""),"Oksigen 6m3 MR")</f>
        <v>Oksigen 6m3 MR</v>
      </c>
      <c r="H1869" s="211" t="str">
        <f>IFERROR(__xludf.DUMMYFUNCTION("""COMPUTED_VALUE"""),"IN")</f>
        <v>IN</v>
      </c>
      <c r="I1869" s="211" t="str">
        <f>IFERROR(__xludf.DUMMYFUNCTION("""COMPUTED_VALUE"""),"EMPTY")</f>
        <v>EMPTY</v>
      </c>
      <c r="J1869" s="211">
        <f>IFERROR(__xludf.DUMMYFUNCTION("""COMPUTED_VALUE"""),2.0)</f>
        <v>2</v>
      </c>
      <c r="K1869" s="210" t="str">
        <f>IFERROR(__xludf.DUMMYFUNCTION("""COMPUTED_VALUE"""),"2303 132")</f>
        <v>2303 132</v>
      </c>
      <c r="L1869" s="211">
        <f>IFERROR(__xludf.DUMMYFUNCTION("""COMPUTED_VALUE"""),0.0)</f>
        <v>0</v>
      </c>
      <c r="M1869" s="211"/>
      <c r="N1869" s="211"/>
      <c r="O1869" s="211"/>
      <c r="Q1869" s="210" t="str">
        <f>IFERROR(__xludf.DUMMYFUNCTION("""COMPUTED_VALUE"""),"1250886")</f>
        <v>1250886</v>
      </c>
      <c r="R1869" s="210" t="str">
        <f>IFERROR(__xludf.DUMMYFUNCTION("""COMPUTED_VALUE"""),"1250886")</f>
        <v>1250886</v>
      </c>
      <c r="S1869" s="211" t="str">
        <f>IFERROR(__xludf.DUMMYFUNCTION("""COMPUTED_VALUE"""),"a0f0ad2d")</f>
        <v>a0f0ad2d</v>
      </c>
      <c r="T1869" s="211" t="str">
        <f>IFERROR(__xludf.DUMMYFUNCTION("""COMPUTED_VALUE"""),"CV. Yulie Jaya")</f>
        <v>CV. Yulie Jaya</v>
      </c>
      <c r="U1869" s="215">
        <f>IFERROR(__xludf.DUMMYFUNCTION("""COMPUTED_VALUE"""),45992.6640625)</f>
        <v>45992.66406</v>
      </c>
      <c r="V1869" s="211" t="str">
        <f>IFERROR(__xludf.DUMMYFUNCTION("""COMPUTED_VALUE"""),"JJH4+6RV, Badas, Barengkrajan, Kec. Krian, Kabupaten Sidoarjo, Jawa Timur 61262")</f>
        <v>JJH4+6RV, Badas, Barengkrajan, Kec. Krian, Kabupaten Sidoarjo, Jawa Timur 61262</v>
      </c>
      <c r="W1869" s="211" t="str">
        <f>IFERROR(__xludf.DUMMYFUNCTION("""COMPUTED_VALUE"""),"IN")</f>
        <v>IN</v>
      </c>
      <c r="X1869" s="211"/>
      <c r="AL1869" s="211"/>
      <c r="AM1869" s="211"/>
      <c r="AN1869" s="211"/>
      <c r="AO1869" s="211"/>
      <c r="AP1869" s="215"/>
      <c r="AQ1869" s="218"/>
      <c r="AR1869" s="211"/>
    </row>
    <row r="1870">
      <c r="A1870" s="210" t="str">
        <f>IFERROR(__xludf.DUMMYFUNCTION("""COMPUTED_VALUE"""),"092511352")</f>
        <v>092511352</v>
      </c>
      <c r="B1870" s="210" t="str">
        <f>IFERROR(__xludf.DUMMYFUNCTION("""COMPUTED_VALUE"""),"092511352")</f>
        <v>092511352</v>
      </c>
      <c r="C1870" s="213">
        <f>IFERROR(__xludf.DUMMYFUNCTION("""COMPUTED_VALUE"""),45929.37200231481)</f>
        <v>45929.372</v>
      </c>
      <c r="D1870" s="211" t="str">
        <f>IFERROR(__xludf.DUMMYFUNCTION("""COMPUTED_VALUE"""),"f98b1e81")</f>
        <v>f98b1e81</v>
      </c>
      <c r="E1870" s="211" t="str">
        <f>IFERROR(__xludf.DUMMYFUNCTION("""COMPUTED_VALUE"""),"CV. Greenlife Tirta Sentosa")</f>
        <v>CV. Greenlife Tirta Sentosa</v>
      </c>
      <c r="F1870" s="211" t="str">
        <f>IFERROR(__xludf.DUMMYFUNCTION("""COMPUTED_VALUE"""),"7d2764f1")</f>
        <v>7d2764f1</v>
      </c>
      <c r="G1870" s="211" t="str">
        <f>IFERROR(__xludf.DUMMYFUNCTION("""COMPUTED_VALUE"""),"Oksigen 7m3")</f>
        <v>Oksigen 7m3</v>
      </c>
      <c r="H1870" s="211" t="str">
        <f>IFERROR(__xludf.DUMMYFUNCTION("""COMPUTED_VALUE"""),"OUT")</f>
        <v>OUT</v>
      </c>
      <c r="I1870" s="211" t="str">
        <f>IFERROR(__xludf.DUMMYFUNCTION("""COMPUTED_VALUE"""),"NORMAL")</f>
        <v>NORMAL</v>
      </c>
      <c r="J1870" s="211">
        <f>IFERROR(__xludf.DUMMYFUNCTION("""COMPUTED_VALUE"""),1.0)</f>
        <v>1</v>
      </c>
      <c r="K1870" s="210" t="str">
        <f>IFERROR(__xludf.DUMMYFUNCTION("""COMPUTED_VALUE"""),"11227")</f>
        <v>11227</v>
      </c>
      <c r="L1870" s="211">
        <f>IFERROR(__xludf.DUMMYFUNCTION("""COMPUTED_VALUE"""),80000.0)</f>
        <v>80000</v>
      </c>
      <c r="M1870" s="211"/>
      <c r="N1870" s="211"/>
      <c r="O1870" s="211"/>
      <c r="Q1870" s="210" t="str">
        <f>IFERROR(__xludf.DUMMYFUNCTION("""COMPUTED_VALUE"""),"122541863")</f>
        <v>122541863</v>
      </c>
      <c r="R1870" s="210" t="str">
        <f>IFERROR(__xludf.DUMMYFUNCTION("""COMPUTED_VALUE"""),"122541863")</f>
        <v>122541863</v>
      </c>
      <c r="S1870" s="211" t="str">
        <f>IFERROR(__xludf.DUMMYFUNCTION("""COMPUTED_VALUE"""),"ed4307f6")</f>
        <v>ed4307f6</v>
      </c>
      <c r="T1870" s="211" t="str">
        <f>IFERROR(__xludf.DUMMYFUNCTION("""COMPUTED_VALUE"""),"Bpk. Andi (Jetis)")</f>
        <v>Bpk. Andi (Jetis)</v>
      </c>
      <c r="U1870" s="215">
        <f>IFERROR(__xludf.DUMMYFUNCTION("""COMPUTED_VALUE"""),45993.35135416667)</f>
        <v>45993.35135</v>
      </c>
      <c r="V1870" s="211" t="str">
        <f>IFERROR(__xludf.DUMMYFUNCTION("""COMPUTED_VALUE"""),"HFH9+P7 Pelabuhan Kidul, Jetis, Kec. Jetis, Kabupaten Mojokerto, Jawa Timur, Indonesia")</f>
        <v>HFH9+P7 Pelabuhan Kidul, Jetis, Kec. Jetis, Kabupaten Mojokerto, Jawa Timur, Indonesia</v>
      </c>
      <c r="W1870" s="211" t="str">
        <f>IFERROR(__xludf.DUMMYFUNCTION("""COMPUTED_VALUE"""),"OUT")</f>
        <v>OUT</v>
      </c>
      <c r="X1870" s="211"/>
      <c r="AL1870" s="211"/>
      <c r="AM1870" s="211"/>
      <c r="AN1870" s="211"/>
      <c r="AO1870" s="211"/>
      <c r="AP1870" s="215"/>
      <c r="AQ1870" s="218"/>
      <c r="AR1870" s="211"/>
    </row>
    <row r="1871">
      <c r="A1871" s="210" t="str">
        <f>IFERROR(__xludf.DUMMYFUNCTION("""COMPUTED_VALUE"""),"092511352")</f>
        <v>092511352</v>
      </c>
      <c r="B1871" s="210" t="str">
        <f>IFERROR(__xludf.DUMMYFUNCTION("""COMPUTED_VALUE"""),"092511352")</f>
        <v>092511352</v>
      </c>
      <c r="C1871" s="213">
        <f>IFERROR(__xludf.DUMMYFUNCTION("""COMPUTED_VALUE"""),45929.37200231481)</f>
        <v>45929.372</v>
      </c>
      <c r="D1871" s="211" t="str">
        <f>IFERROR(__xludf.DUMMYFUNCTION("""COMPUTED_VALUE"""),"f98b1e81")</f>
        <v>f98b1e81</v>
      </c>
      <c r="E1871" s="211" t="str">
        <f>IFERROR(__xludf.DUMMYFUNCTION("""COMPUTED_VALUE"""),"CV. Greenlife Tirta Sentosa")</f>
        <v>CV. Greenlife Tirta Sentosa</v>
      </c>
      <c r="F1871" s="211" t="str">
        <f>IFERROR(__xludf.DUMMYFUNCTION("""COMPUTED_VALUE"""),"be525f3b")</f>
        <v>be525f3b</v>
      </c>
      <c r="G1871" s="211" t="str">
        <f>IFERROR(__xludf.DUMMYFUNCTION("""COMPUTED_VALUE"""),"LPG 12kg")</f>
        <v>LPG 12kg</v>
      </c>
      <c r="H1871" s="211" t="str">
        <f>IFERROR(__xludf.DUMMYFUNCTION("""COMPUTED_VALUE"""),"OUT")</f>
        <v>OUT</v>
      </c>
      <c r="I1871" s="211" t="str">
        <f>IFERROR(__xludf.DUMMYFUNCTION("""COMPUTED_VALUE"""),"NORMAL")</f>
        <v>NORMAL</v>
      </c>
      <c r="J1871" s="211">
        <f>IFERROR(__xludf.DUMMYFUNCTION("""COMPUTED_VALUE"""),1.0)</f>
        <v>1</v>
      </c>
      <c r="K1871" s="210" t="str">
        <f>IFERROR(__xludf.DUMMYFUNCTION("""COMPUTED_VALUE"""),"01")</f>
        <v>01</v>
      </c>
      <c r="L1871" s="211">
        <f>IFERROR(__xludf.DUMMYFUNCTION("""COMPUTED_VALUE"""),210000.0)</f>
        <v>210000</v>
      </c>
      <c r="M1871" s="211"/>
      <c r="N1871" s="211"/>
      <c r="O1871" s="211"/>
      <c r="Q1871" s="210" t="str">
        <f>IFERROR(__xludf.DUMMYFUNCTION("""COMPUTED_VALUE"""),"1225461871")</f>
        <v>1225461871</v>
      </c>
      <c r="R1871" s="210" t="str">
        <f>IFERROR(__xludf.DUMMYFUNCTION("""COMPUTED_VALUE"""),"1225461871")</f>
        <v>1225461871</v>
      </c>
      <c r="S1871" s="211" t="str">
        <f>IFERROR(__xludf.DUMMYFUNCTION("""COMPUTED_VALUE"""),"b2b5f2c5")</f>
        <v>b2b5f2c5</v>
      </c>
      <c r="T1871" s="211" t="str">
        <f>IFERROR(__xludf.DUMMYFUNCTION("""COMPUTED_VALUE"""),"Bengkel Las Bpk. Ari")</f>
        <v>Bengkel Las Bpk. Ari</v>
      </c>
      <c r="U1871" s="215">
        <f>IFERROR(__xludf.DUMMYFUNCTION("""COMPUTED_VALUE"""),45993.35780092593)</f>
        <v>45993.3578</v>
      </c>
      <c r="V1871" s="211" t="str">
        <f>IFERROR(__xludf.DUMMYFUNCTION("""COMPUTED_VALUE"""),"Sumber Kembar, Wonodadi, Kec. Kutorejo, Kabupaten Mojokerto, Jawa Timur")</f>
        <v>Sumber Kembar, Wonodadi, Kec. Kutorejo, Kabupaten Mojokerto, Jawa Timur</v>
      </c>
      <c r="W1871" s="211" t="str">
        <f>IFERROR(__xludf.DUMMYFUNCTION("""COMPUTED_VALUE"""),"OUT")</f>
        <v>OUT</v>
      </c>
      <c r="X1871" s="211"/>
      <c r="AL1871" s="211"/>
      <c r="AM1871" s="211"/>
      <c r="AN1871" s="211"/>
      <c r="AO1871" s="211"/>
      <c r="AP1871" s="215"/>
      <c r="AQ1871" s="218"/>
      <c r="AR1871" s="211"/>
    </row>
    <row r="1872">
      <c r="A1872" s="210" t="str">
        <f>IFERROR(__xludf.DUMMYFUNCTION("""COMPUTED_VALUE"""),"092541355")</f>
        <v>092541355</v>
      </c>
      <c r="B1872" s="210" t="str">
        <f>IFERROR(__xludf.DUMMYFUNCTION("""COMPUTED_VALUE"""),"092541355")</f>
        <v>092541355</v>
      </c>
      <c r="C1872" s="213">
        <f>IFERROR(__xludf.DUMMYFUNCTION("""COMPUTED_VALUE"""),45929.42978009259)</f>
        <v>45929.42978</v>
      </c>
      <c r="D1872" s="211" t="str">
        <f>IFERROR(__xludf.DUMMYFUNCTION("""COMPUTED_VALUE"""),"bdb5baf3")</f>
        <v>bdb5baf3</v>
      </c>
      <c r="E1872" s="211" t="str">
        <f>IFERROR(__xludf.DUMMYFUNCTION("""COMPUTED_VALUE"""),"Bpk. Abdul")</f>
        <v>Bpk. Abdul</v>
      </c>
      <c r="F1872" s="211" t="str">
        <f>IFERROR(__xludf.DUMMYFUNCTION("""COMPUTED_VALUE"""),"f6aab7a9")</f>
        <v>f6aab7a9</v>
      </c>
      <c r="G1872" s="211" t="str">
        <f>IFERROR(__xludf.DUMMYFUNCTION("""COMPUTED_VALUE"""),"Oksigen 6m3 MR")</f>
        <v>Oksigen 6m3 MR</v>
      </c>
      <c r="H1872" s="211" t="str">
        <f>IFERROR(__xludf.DUMMYFUNCTION("""COMPUTED_VALUE"""),"OUT")</f>
        <v>OUT</v>
      </c>
      <c r="I1872" s="211" t="str">
        <f>IFERROR(__xludf.DUMMYFUNCTION("""COMPUTED_VALUE"""),"NORMAL")</f>
        <v>NORMAL</v>
      </c>
      <c r="J1872" s="211">
        <f>IFERROR(__xludf.DUMMYFUNCTION("""COMPUTED_VALUE"""),2.0)</f>
        <v>2</v>
      </c>
      <c r="K1872" s="210" t="str">
        <f>IFERROR(__xludf.DUMMYFUNCTION("""COMPUTED_VALUE"""),"22 119")</f>
        <v>22 119</v>
      </c>
      <c r="L1872" s="211">
        <f>IFERROR(__xludf.DUMMYFUNCTION("""COMPUTED_VALUE"""),70000.0)</f>
        <v>70000</v>
      </c>
      <c r="M1872" s="211"/>
      <c r="N1872" s="211"/>
      <c r="O1872" s="211"/>
      <c r="Q1872" s="210" t="str">
        <f>IFERROR(__xludf.DUMMYFUNCTION("""COMPUTED_VALUE"""),"1225291872")</f>
        <v>1225291872</v>
      </c>
      <c r="R1872" s="210" t="str">
        <f>IFERROR(__xludf.DUMMYFUNCTION("""COMPUTED_VALUE"""),"1225291872")</f>
        <v>1225291872</v>
      </c>
      <c r="S1872" s="211" t="str">
        <f>IFERROR(__xludf.DUMMYFUNCTION("""COMPUTED_VALUE"""),"8f5ebaea")</f>
        <v>8f5ebaea</v>
      </c>
      <c r="T1872" s="211" t="str">
        <f>IFERROR(__xludf.DUMMYFUNCTION("""COMPUTED_VALUE"""),"PT Hua Zong Mesindo")</f>
        <v>PT Hua Zong Mesindo</v>
      </c>
      <c r="U1872" s="215">
        <f>IFERROR(__xludf.DUMMYFUNCTION("""COMPUTED_VALUE"""),45993.35921296296)</f>
        <v>45993.35921</v>
      </c>
      <c r="V1872" s="211" t="str">
        <f>IFERROR(__xludf.DUMMYFUNCTION("""COMPUTED_VALUE"""),"Jl. Bypass Krian, Sidotemo, Sidomulyo, Kec. Krian, Kabupaten Sidoarjo, Jawa Timur 61262")</f>
        <v>Jl. Bypass Krian, Sidotemo, Sidomulyo, Kec. Krian, Kabupaten Sidoarjo, Jawa Timur 61262</v>
      </c>
      <c r="W1872" s="211" t="str">
        <f>IFERROR(__xludf.DUMMYFUNCTION("""COMPUTED_VALUE"""),"OUT")</f>
        <v>OUT</v>
      </c>
      <c r="X1872" s="211"/>
      <c r="AL1872" s="211"/>
      <c r="AM1872" s="211"/>
      <c r="AN1872" s="211"/>
      <c r="AO1872" s="211"/>
      <c r="AP1872" s="215"/>
      <c r="AQ1872" s="218"/>
      <c r="AR1872" s="211"/>
    </row>
    <row r="1873">
      <c r="A1873" s="210" t="str">
        <f>IFERROR(__xludf.DUMMYFUNCTION("""COMPUTED_VALUE"""),"1250634")</f>
        <v>1250634</v>
      </c>
      <c r="B1873" s="210" t="str">
        <f>IFERROR(__xludf.DUMMYFUNCTION("""COMPUTED_VALUE"""),"1250634")</f>
        <v>1250634</v>
      </c>
      <c r="C1873" s="213">
        <f>IFERROR(__xludf.DUMMYFUNCTION("""COMPUTED_VALUE"""),45929.50282407407)</f>
        <v>45929.50282</v>
      </c>
      <c r="D1873" s="211" t="str">
        <f>IFERROR(__xludf.DUMMYFUNCTION("""COMPUTED_VALUE"""),"2d88931c")</f>
        <v>2d88931c</v>
      </c>
      <c r="E1873" s="211" t="str">
        <f>IFERROR(__xludf.DUMMYFUNCTION("""COMPUTED_VALUE"""),"PT Dunia Berkat Marga Mulya")</f>
        <v>PT Dunia Berkat Marga Mulya</v>
      </c>
      <c r="F1873" s="211" t="str">
        <f>IFERROR(__xludf.DUMMYFUNCTION("""COMPUTED_VALUE"""),"8bdbe149")</f>
        <v>8bdbe149</v>
      </c>
      <c r="G1873" s="211" t="str">
        <f>IFERROR(__xludf.DUMMYFUNCTION("""COMPUTED_VALUE"""),"Oksigen 6m3")</f>
        <v>Oksigen 6m3</v>
      </c>
      <c r="H1873" s="211" t="str">
        <f>IFERROR(__xludf.DUMMYFUNCTION("""COMPUTED_VALUE"""),"IN")</f>
        <v>IN</v>
      </c>
      <c r="I1873" s="211" t="str">
        <f>IFERROR(__xludf.DUMMYFUNCTION("""COMPUTED_VALUE"""),"EMPTY")</f>
        <v>EMPTY</v>
      </c>
      <c r="J1873" s="211">
        <f>IFERROR(__xludf.DUMMYFUNCTION("""COMPUTED_VALUE"""),2.0)</f>
        <v>2</v>
      </c>
      <c r="K1873" s="210" t="str">
        <f>IFERROR(__xludf.DUMMYFUNCTION("""COMPUTED_VALUE"""),"11289 11265")</f>
        <v>11289 11265</v>
      </c>
      <c r="L1873" s="211">
        <f>IFERROR(__xludf.DUMMYFUNCTION("""COMPUTED_VALUE"""),0.0)</f>
        <v>0</v>
      </c>
      <c r="M1873" s="211"/>
      <c r="N1873" s="211"/>
      <c r="O1873" s="211"/>
      <c r="Q1873" s="210" t="str">
        <f>IFERROR(__xludf.DUMMYFUNCTION("""COMPUTED_VALUE"""),"1250891")</f>
        <v>1250891</v>
      </c>
      <c r="R1873" s="210" t="str">
        <f>IFERROR(__xludf.DUMMYFUNCTION("""COMPUTED_VALUE"""),"1250891")</f>
        <v>1250891</v>
      </c>
      <c r="S1873" s="211" t="str">
        <f>IFERROR(__xludf.DUMMYFUNCTION("""COMPUTED_VALUE"""),"b2b5f2c5")</f>
        <v>b2b5f2c5</v>
      </c>
      <c r="T1873" s="211" t="str">
        <f>IFERROR(__xludf.DUMMYFUNCTION("""COMPUTED_VALUE"""),"Bengkel Las Bpk. Ari")</f>
        <v>Bengkel Las Bpk. Ari</v>
      </c>
      <c r="U1873" s="215">
        <f>IFERROR(__xludf.DUMMYFUNCTION("""COMPUTED_VALUE"""),45993.54866898148)</f>
        <v>45993.54867</v>
      </c>
      <c r="V1873" s="211" t="str">
        <f>IFERROR(__xludf.DUMMYFUNCTION("""COMPUTED_VALUE"""),"Sumber Kembar, Wonodadi, Kec. Kutorejo, Kabupaten Mojokerto, Jawa Timur")</f>
        <v>Sumber Kembar, Wonodadi, Kec. Kutorejo, Kabupaten Mojokerto, Jawa Timur</v>
      </c>
      <c r="W1873" s="211" t="str">
        <f>IFERROR(__xludf.DUMMYFUNCTION("""COMPUTED_VALUE"""),"IN")</f>
        <v>IN</v>
      </c>
      <c r="X1873" s="211"/>
      <c r="AL1873" s="211"/>
      <c r="AM1873" s="211"/>
      <c r="AN1873" s="211"/>
      <c r="AO1873" s="211"/>
      <c r="AP1873" s="215"/>
      <c r="AQ1873" s="218"/>
      <c r="AR1873" s="211"/>
    </row>
    <row r="1874">
      <c r="A1874" s="210" t="str">
        <f>IFERROR(__xludf.DUMMYFUNCTION("""COMPUTED_VALUE"""),"1250635")</f>
        <v>1250635</v>
      </c>
      <c r="B1874" s="210" t="str">
        <f>IFERROR(__xludf.DUMMYFUNCTION("""COMPUTED_VALUE"""),"1250635")</f>
        <v>1250635</v>
      </c>
      <c r="C1874" s="213">
        <f>IFERROR(__xludf.DUMMYFUNCTION("""COMPUTED_VALUE"""),45929.50518518518)</f>
        <v>45929.50519</v>
      </c>
      <c r="D1874" s="211" t="str">
        <f>IFERROR(__xludf.DUMMYFUNCTION("""COMPUTED_VALUE"""),"7b9d8eba")</f>
        <v>7b9d8eba</v>
      </c>
      <c r="E1874" s="211" t="str">
        <f>IFERROR(__xludf.DUMMYFUNCTION("""COMPUTED_VALUE"""),"PT PELANGI INDOKARYA")</f>
        <v>PT PELANGI INDOKARYA</v>
      </c>
      <c r="F1874" s="211" t="str">
        <f>IFERROR(__xludf.DUMMYFUNCTION("""COMPUTED_VALUE"""),"8bdbe149")</f>
        <v>8bdbe149</v>
      </c>
      <c r="G1874" s="211" t="str">
        <f>IFERROR(__xludf.DUMMYFUNCTION("""COMPUTED_VALUE"""),"Oksigen 6m3")</f>
        <v>Oksigen 6m3</v>
      </c>
      <c r="H1874" s="211" t="str">
        <f>IFERROR(__xludf.DUMMYFUNCTION("""COMPUTED_VALUE"""),"IN")</f>
        <v>IN</v>
      </c>
      <c r="I1874" s="211" t="str">
        <f>IFERROR(__xludf.DUMMYFUNCTION("""COMPUTED_VALUE"""),"EMPTY")</f>
        <v>EMPTY</v>
      </c>
      <c r="J1874" s="211">
        <f>IFERROR(__xludf.DUMMYFUNCTION("""COMPUTED_VALUE"""),2.0)</f>
        <v>2</v>
      </c>
      <c r="K1874" s="210" t="str">
        <f>IFERROR(__xludf.DUMMYFUNCTION("""COMPUTED_VALUE"""),"11130 1124")</f>
        <v>11130 1124</v>
      </c>
      <c r="L1874" s="211">
        <f>IFERROR(__xludf.DUMMYFUNCTION("""COMPUTED_VALUE"""),0.0)</f>
        <v>0</v>
      </c>
      <c r="M1874" s="211"/>
      <c r="N1874" s="211"/>
      <c r="O1874" s="211"/>
      <c r="Q1874" s="210" t="str">
        <f>IFERROR(__xludf.DUMMYFUNCTION("""COMPUTED_VALUE"""),"1225371873")</f>
        <v>1225371873</v>
      </c>
      <c r="R1874" s="210" t="str">
        <f>IFERROR(__xludf.DUMMYFUNCTION("""COMPUTED_VALUE"""),"1225371873")</f>
        <v>1225371873</v>
      </c>
      <c r="S1874" s="211" t="str">
        <f>IFERROR(__xludf.DUMMYFUNCTION("""COMPUTED_VALUE"""),"01158be1")</f>
        <v>01158be1</v>
      </c>
      <c r="T1874" s="211" t="str">
        <f>IFERROR(__xludf.DUMMYFUNCTION("""COMPUTED_VALUE"""),"GYF")</f>
        <v>GYF</v>
      </c>
      <c r="U1874" s="215">
        <f>IFERROR(__xludf.DUMMYFUNCTION("""COMPUTED_VALUE"""),45993.55042824074)</f>
        <v>45993.55043</v>
      </c>
      <c r="V1874" s="211" t="str">
        <f>IFERROR(__xludf.DUMMYFUNCTION("""COMPUTED_VALUE"""),"Kangkungan, Lengkong, Kec. Mojoanyar, Kabupaten Mojokerto, Jawa Timur")</f>
        <v>Kangkungan, Lengkong, Kec. Mojoanyar, Kabupaten Mojokerto, Jawa Timur</v>
      </c>
      <c r="W1874" s="211" t="str">
        <f>IFERROR(__xludf.DUMMYFUNCTION("""COMPUTED_VALUE"""),"OUT")</f>
        <v>OUT</v>
      </c>
      <c r="X1874" s="211"/>
      <c r="AL1874" s="211"/>
      <c r="AM1874" s="211"/>
      <c r="AN1874" s="211"/>
      <c r="AO1874" s="211"/>
      <c r="AP1874" s="215"/>
      <c r="AQ1874" s="218"/>
      <c r="AR1874" s="211"/>
    </row>
    <row r="1875">
      <c r="A1875" s="210" t="str">
        <f>IFERROR(__xludf.DUMMYFUNCTION("""COMPUTED_VALUE"""),"1250636")</f>
        <v>1250636</v>
      </c>
      <c r="B1875" s="210" t="str">
        <f>IFERROR(__xludf.DUMMYFUNCTION("""COMPUTED_VALUE"""),"1250636")</f>
        <v>1250636</v>
      </c>
      <c r="C1875" s="213">
        <f>IFERROR(__xludf.DUMMYFUNCTION("""COMPUTED_VALUE"""),45929.50572916667)</f>
        <v>45929.50573</v>
      </c>
      <c r="D1875" s="211" t="str">
        <f>IFERROR(__xludf.DUMMYFUNCTION("""COMPUTED_VALUE"""),"8f5ebaea")</f>
        <v>8f5ebaea</v>
      </c>
      <c r="E1875" s="211" t="str">
        <f>IFERROR(__xludf.DUMMYFUNCTION("""COMPUTED_VALUE"""),"PT Hua Zong Mesindo")</f>
        <v>PT Hua Zong Mesindo</v>
      </c>
      <c r="F1875" s="211" t="str">
        <f>IFERROR(__xludf.DUMMYFUNCTION("""COMPUTED_VALUE"""),"8bdbe149")</f>
        <v>8bdbe149</v>
      </c>
      <c r="G1875" s="211" t="str">
        <f>IFERROR(__xludf.DUMMYFUNCTION("""COMPUTED_VALUE"""),"Oksigen 6m3")</f>
        <v>Oksigen 6m3</v>
      </c>
      <c r="H1875" s="211" t="str">
        <f>IFERROR(__xludf.DUMMYFUNCTION("""COMPUTED_VALUE"""),"IN")</f>
        <v>IN</v>
      </c>
      <c r="I1875" s="211" t="str">
        <f>IFERROR(__xludf.DUMMYFUNCTION("""COMPUTED_VALUE"""),"EMPTY")</f>
        <v>EMPTY</v>
      </c>
      <c r="J1875" s="211">
        <f>IFERROR(__xludf.DUMMYFUNCTION("""COMPUTED_VALUE"""),2.0)</f>
        <v>2</v>
      </c>
      <c r="K1875" s="210" t="str">
        <f>IFERROR(__xludf.DUMMYFUNCTION("""COMPUTED_VALUE"""),"11251 1154")</f>
        <v>11251 1154</v>
      </c>
      <c r="L1875" s="211">
        <f>IFERROR(__xludf.DUMMYFUNCTION("""COMPUTED_VALUE"""),0.0)</f>
        <v>0</v>
      </c>
      <c r="M1875" s="211"/>
      <c r="N1875" s="211"/>
      <c r="O1875" s="211"/>
      <c r="Q1875" s="210" t="str">
        <f>IFERROR(__xludf.DUMMYFUNCTION("""COMPUTED_VALUE"""),"122551875")</f>
        <v>122551875</v>
      </c>
      <c r="R1875" s="210" t="str">
        <f>IFERROR(__xludf.DUMMYFUNCTION("""COMPUTED_VALUE"""),"122551875")</f>
        <v>122551875</v>
      </c>
      <c r="S1875" s="211" t="str">
        <f>IFERROR(__xludf.DUMMYFUNCTION("""COMPUTED_VALUE"""),"45d814b4")</f>
        <v>45d814b4</v>
      </c>
      <c r="T1875" s="211" t="str">
        <f>IFERROR(__xludf.DUMMYFUNCTION("""COMPUTED_VALUE"""),"Bpk. Joko (Ponokawan)")</f>
        <v>Bpk. Joko (Ponokawan)</v>
      </c>
      <c r="U1875" s="215">
        <f>IFERROR(__xludf.DUMMYFUNCTION("""COMPUTED_VALUE"""),45993.5571875)</f>
        <v>45993.55719</v>
      </c>
      <c r="V1875" s="211" t="str">
        <f>IFERROR(__xludf.DUMMYFUNCTION("""COMPUTED_VALUE"""),"Ponokawan, Krian")</f>
        <v>Ponokawan, Krian</v>
      </c>
      <c r="W1875" s="211" t="str">
        <f>IFERROR(__xludf.DUMMYFUNCTION("""COMPUTED_VALUE"""),"OUT")</f>
        <v>OUT</v>
      </c>
      <c r="X1875" s="211"/>
      <c r="AL1875" s="211"/>
      <c r="AM1875" s="211"/>
      <c r="AN1875" s="211"/>
      <c r="AO1875" s="211"/>
      <c r="AP1875" s="215"/>
      <c r="AQ1875" s="218"/>
      <c r="AR1875" s="211"/>
    </row>
    <row r="1876">
      <c r="A1876" s="210" t="str">
        <f>IFERROR(__xludf.DUMMYFUNCTION("""COMPUTED_VALUE"""),"1250636")</f>
        <v>1250636</v>
      </c>
      <c r="B1876" s="210" t="str">
        <f>IFERROR(__xludf.DUMMYFUNCTION("""COMPUTED_VALUE"""),"1250636")</f>
        <v>1250636</v>
      </c>
      <c r="C1876" s="213">
        <f>IFERROR(__xludf.DUMMYFUNCTION("""COMPUTED_VALUE"""),45929.50572916667)</f>
        <v>45929.50573</v>
      </c>
      <c r="D1876" s="211" t="str">
        <f>IFERROR(__xludf.DUMMYFUNCTION("""COMPUTED_VALUE"""),"8f5ebaea")</f>
        <v>8f5ebaea</v>
      </c>
      <c r="E1876" s="211" t="str">
        <f>IFERROR(__xludf.DUMMYFUNCTION("""COMPUTED_VALUE"""),"PT Hua Zong Mesindo")</f>
        <v>PT Hua Zong Mesindo</v>
      </c>
      <c r="F1876" s="211" t="str">
        <f>IFERROR(__xludf.DUMMYFUNCTION("""COMPUTED_VALUE"""),"66af7c72")</f>
        <v>66af7c72</v>
      </c>
      <c r="G1876" s="211" t="str">
        <f>IFERROR(__xludf.DUMMYFUNCTION("""COMPUTED_VALUE"""),"Argon 6m3")</f>
        <v>Argon 6m3</v>
      </c>
      <c r="H1876" s="211" t="str">
        <f>IFERROR(__xludf.DUMMYFUNCTION("""COMPUTED_VALUE"""),"IN")</f>
        <v>IN</v>
      </c>
      <c r="I1876" s="211" t="str">
        <f>IFERROR(__xludf.DUMMYFUNCTION("""COMPUTED_VALUE"""),"EMPTY")</f>
        <v>EMPTY</v>
      </c>
      <c r="J1876" s="211">
        <f>IFERROR(__xludf.DUMMYFUNCTION("""COMPUTED_VALUE"""),1.0)</f>
        <v>1</v>
      </c>
      <c r="K1876" s="210" t="str">
        <f>IFERROR(__xludf.DUMMYFUNCTION("""COMPUTED_VALUE"""),"12031")</f>
        <v>12031</v>
      </c>
      <c r="L1876" s="211">
        <f>IFERROR(__xludf.DUMMYFUNCTION("""COMPUTED_VALUE"""),0.0)</f>
        <v>0</v>
      </c>
      <c r="M1876" s="211"/>
      <c r="N1876" s="211"/>
      <c r="O1876" s="211"/>
      <c r="Q1876" s="210" t="str">
        <f>IFERROR(__xludf.DUMMYFUNCTION("""COMPUTED_VALUE"""),"1225291876")</f>
        <v>1225291876</v>
      </c>
      <c r="R1876" s="210" t="str">
        <f>IFERROR(__xludf.DUMMYFUNCTION("""COMPUTED_VALUE"""),"1225291876")</f>
        <v>1225291876</v>
      </c>
      <c r="S1876" s="211" t="str">
        <f>IFERROR(__xludf.DUMMYFUNCTION("""COMPUTED_VALUE"""),"ec231cc9")</f>
        <v>ec231cc9</v>
      </c>
      <c r="T1876" s="211" t="str">
        <f>IFERROR(__xludf.DUMMYFUNCTION("""COMPUTED_VALUE"""),"Bpk. Kohir (Maintenance Velg)")</f>
        <v>Bpk. Kohir (Maintenance Velg)</v>
      </c>
      <c r="U1876" s="215">
        <f>IFERROR(__xludf.DUMMYFUNCTION("""COMPUTED_VALUE"""),45993.56229166667)</f>
        <v>45993.56229</v>
      </c>
      <c r="V1876" s="211" t="str">
        <f>IFERROR(__xludf.DUMMYFUNCTION("""COMPUTED_VALUE"""),"Jl. Lkr. Bypass Krian Timur, Sidogolong, Watugolong, Kec. Krian, Kabupaten Sidoarjo, Jawa Timur 61262")</f>
        <v>Jl. Lkr. Bypass Krian Timur, Sidogolong, Watugolong, Kec. Krian, Kabupaten Sidoarjo, Jawa Timur 61262</v>
      </c>
      <c r="W1876" s="211" t="str">
        <f>IFERROR(__xludf.DUMMYFUNCTION("""COMPUTED_VALUE"""),"OUT")</f>
        <v>OUT</v>
      </c>
      <c r="X1876" s="211"/>
      <c r="AL1876" s="211"/>
      <c r="AM1876" s="211"/>
      <c r="AN1876" s="211"/>
      <c r="AO1876" s="211"/>
      <c r="AP1876" s="215"/>
      <c r="AQ1876" s="218"/>
      <c r="AR1876" s="211"/>
    </row>
    <row r="1877">
      <c r="A1877" s="210" t="str">
        <f>IFERROR(__xludf.DUMMYFUNCTION("""COMPUTED_VALUE"""),"1250637")</f>
        <v>1250637</v>
      </c>
      <c r="B1877" s="210" t="str">
        <f>IFERROR(__xludf.DUMMYFUNCTION("""COMPUTED_VALUE"""),"1250637")</f>
        <v>1250637</v>
      </c>
      <c r="C1877" s="213">
        <f>IFERROR(__xludf.DUMMYFUNCTION("""COMPUTED_VALUE"""),45929.50630787037)</f>
        <v>45929.50631</v>
      </c>
      <c r="D1877" s="211" t="str">
        <f>IFERROR(__xludf.DUMMYFUNCTION("""COMPUTED_VALUE"""),"ec231cc9")</f>
        <v>ec231cc9</v>
      </c>
      <c r="E1877" s="211" t="str">
        <f>IFERROR(__xludf.DUMMYFUNCTION("""COMPUTED_VALUE"""),"Bpk. Kohir (Maintenance Velg)")</f>
        <v>Bpk. Kohir (Maintenance Velg)</v>
      </c>
      <c r="F1877" s="211" t="str">
        <f>IFERROR(__xludf.DUMMYFUNCTION("""COMPUTED_VALUE"""),"8bdbe149")</f>
        <v>8bdbe149</v>
      </c>
      <c r="G1877" s="211" t="str">
        <f>IFERROR(__xludf.DUMMYFUNCTION("""COMPUTED_VALUE"""),"Oksigen 6m3")</f>
        <v>Oksigen 6m3</v>
      </c>
      <c r="H1877" s="211" t="str">
        <f>IFERROR(__xludf.DUMMYFUNCTION("""COMPUTED_VALUE"""),"IN")</f>
        <v>IN</v>
      </c>
      <c r="I1877" s="211" t="str">
        <f>IFERROR(__xludf.DUMMYFUNCTION("""COMPUTED_VALUE"""),"EMPTY")</f>
        <v>EMPTY</v>
      </c>
      <c r="J1877" s="211">
        <f>IFERROR(__xludf.DUMMYFUNCTION("""COMPUTED_VALUE"""),2.0)</f>
        <v>2</v>
      </c>
      <c r="K1877" s="210" t="str">
        <f>IFERROR(__xludf.DUMMYFUNCTION("""COMPUTED_VALUE"""),"11198 11287")</f>
        <v>11198 11287</v>
      </c>
      <c r="L1877" s="211">
        <f>IFERROR(__xludf.DUMMYFUNCTION("""COMPUTED_VALUE"""),0.0)</f>
        <v>0</v>
      </c>
      <c r="M1877" s="211"/>
      <c r="N1877" s="211"/>
      <c r="O1877" s="211"/>
      <c r="Q1877" s="210" t="str">
        <f>IFERROR(__xludf.DUMMYFUNCTION("""COMPUTED_VALUE"""),"4122511792")</f>
        <v>4122511792</v>
      </c>
      <c r="R1877" s="210" t="str">
        <f>IFERROR(__xludf.DUMMYFUNCTION("""COMPUTED_VALUE"""),"4122511792")</f>
        <v>4122511792</v>
      </c>
      <c r="S1877" s="211" t="str">
        <f>IFERROR(__xludf.DUMMYFUNCTION("""COMPUTED_VALUE"""),"be2c16c7")</f>
        <v>be2c16c7</v>
      </c>
      <c r="T1877" s="211" t="str">
        <f>IFERROR(__xludf.DUMMYFUNCTION("""COMPUTED_VALUE"""),"Toko setya ( Mas Farid )")</f>
        <v>Toko setya ( Mas Farid )</v>
      </c>
      <c r="U1877" s="215">
        <f>IFERROR(__xludf.DUMMYFUNCTION("""COMPUTED_VALUE"""),45993.57962962963)</f>
        <v>45993.57963</v>
      </c>
      <c r="V1877" s="211" t="str">
        <f>IFERROR(__xludf.DUMMYFUNCTION("""COMPUTED_VALUE"""),"JL. Rendi agung No 452 Kel. Urangagung, kec/kab. Sidoarjo")</f>
        <v>JL. Rendi agung No 452 Kel. Urangagung, kec/kab. Sidoarjo</v>
      </c>
      <c r="W1877" s="211" t="str">
        <f>IFERROR(__xludf.DUMMYFUNCTION("""COMPUTED_VALUE"""),"OTHER")</f>
        <v>OTHER</v>
      </c>
      <c r="X1877" s="211"/>
      <c r="AL1877" s="211"/>
      <c r="AM1877" s="211"/>
      <c r="AN1877" s="211"/>
      <c r="AO1877" s="211"/>
      <c r="AP1877" s="215"/>
      <c r="AQ1877" s="218"/>
      <c r="AR1877" s="211"/>
    </row>
    <row r="1878">
      <c r="A1878" s="210" t="str">
        <f>IFERROR(__xludf.DUMMYFUNCTION("""COMPUTED_VALUE"""),"1250637")</f>
        <v>1250637</v>
      </c>
      <c r="B1878" s="210" t="str">
        <f>IFERROR(__xludf.DUMMYFUNCTION("""COMPUTED_VALUE"""),"1250637")</f>
        <v>1250637</v>
      </c>
      <c r="C1878" s="213">
        <f>IFERROR(__xludf.DUMMYFUNCTION("""COMPUTED_VALUE"""),45929.50630787037)</f>
        <v>45929.50631</v>
      </c>
      <c r="D1878" s="211" t="str">
        <f>IFERROR(__xludf.DUMMYFUNCTION("""COMPUTED_VALUE"""),"ec231cc9")</f>
        <v>ec231cc9</v>
      </c>
      <c r="E1878" s="211" t="str">
        <f>IFERROR(__xludf.DUMMYFUNCTION("""COMPUTED_VALUE"""),"Bpk. Kohir (Maintenance Velg)")</f>
        <v>Bpk. Kohir (Maintenance Velg)</v>
      </c>
      <c r="F1878" s="211" t="str">
        <f>IFERROR(__xludf.DUMMYFUNCTION("""COMPUTED_VALUE"""),"ef306e54")</f>
        <v>ef306e54</v>
      </c>
      <c r="G1878" s="211" t="str">
        <f>IFERROR(__xludf.DUMMYFUNCTION("""COMPUTED_VALUE"""),"Karbondioksida")</f>
        <v>Karbondioksida</v>
      </c>
      <c r="H1878" s="211" t="str">
        <f>IFERROR(__xludf.DUMMYFUNCTION("""COMPUTED_VALUE"""),"IN")</f>
        <v>IN</v>
      </c>
      <c r="I1878" s="211" t="str">
        <f>IFERROR(__xludf.DUMMYFUNCTION("""COMPUTED_VALUE"""),"EMPTY")</f>
        <v>EMPTY</v>
      </c>
      <c r="J1878" s="211">
        <f>IFERROR(__xludf.DUMMYFUNCTION("""COMPUTED_VALUE"""),1.0)</f>
        <v>1</v>
      </c>
      <c r="K1878" s="210" t="str">
        <f>IFERROR(__xludf.DUMMYFUNCTION("""COMPUTED_VALUE"""),"13034")</f>
        <v>13034</v>
      </c>
      <c r="L1878" s="211">
        <f>IFERROR(__xludf.DUMMYFUNCTION("""COMPUTED_VALUE"""),0.0)</f>
        <v>0</v>
      </c>
      <c r="M1878" s="211"/>
      <c r="N1878" s="211"/>
      <c r="O1878" s="211"/>
      <c r="Q1878" s="210" t="str">
        <f>IFERROR(__xludf.DUMMYFUNCTION("""COMPUTED_VALUE"""),"1250890")</f>
        <v>1250890</v>
      </c>
      <c r="R1878" s="210" t="str">
        <f>IFERROR(__xludf.DUMMYFUNCTION("""COMPUTED_VALUE"""),"1250890")</f>
        <v>1250890</v>
      </c>
      <c r="S1878" s="211" t="str">
        <f>IFERROR(__xludf.DUMMYFUNCTION("""COMPUTED_VALUE"""),"ec231cc9")</f>
        <v>ec231cc9</v>
      </c>
      <c r="T1878" s="211" t="str">
        <f>IFERROR(__xludf.DUMMYFUNCTION("""COMPUTED_VALUE"""),"Bpk. Kohir (Maintenance Velg)")</f>
        <v>Bpk. Kohir (Maintenance Velg)</v>
      </c>
      <c r="U1878" s="215">
        <f>IFERROR(__xludf.DUMMYFUNCTION("""COMPUTED_VALUE"""),45993.70222222222)</f>
        <v>45993.70222</v>
      </c>
      <c r="V1878" s="211" t="str">
        <f>IFERROR(__xludf.DUMMYFUNCTION("""COMPUTED_VALUE"""),"Jl. Lkr. Bypass Krian Timur, Sidogolong, Watugolong, Kec. Krian, Kabupaten Sidoarjo, Jawa Timur 61262")</f>
        <v>Jl. Lkr. Bypass Krian Timur, Sidogolong, Watugolong, Kec. Krian, Kabupaten Sidoarjo, Jawa Timur 61262</v>
      </c>
      <c r="W1878" s="211" t="str">
        <f>IFERROR(__xludf.DUMMYFUNCTION("""COMPUTED_VALUE"""),"IN")</f>
        <v>IN</v>
      </c>
      <c r="X1878" s="211"/>
      <c r="AL1878" s="211"/>
      <c r="AM1878" s="211"/>
      <c r="AN1878" s="211"/>
      <c r="AO1878" s="211"/>
      <c r="AP1878" s="215"/>
      <c r="AQ1878" s="218"/>
      <c r="AR1878" s="211"/>
    </row>
    <row r="1879">
      <c r="A1879" s="210" t="str">
        <f>IFERROR(__xludf.DUMMYFUNCTION("""COMPUTED_VALUE"""),"092511356")</f>
        <v>092511356</v>
      </c>
      <c r="B1879" s="210" t="str">
        <f>IFERROR(__xludf.DUMMYFUNCTION("""COMPUTED_VALUE"""),"092511356")</f>
        <v>092511356</v>
      </c>
      <c r="C1879" s="213">
        <f>IFERROR(__xludf.DUMMYFUNCTION("""COMPUTED_VALUE"""),45929.85039351852)</f>
        <v>45929.85039</v>
      </c>
      <c r="D1879" s="211" t="str">
        <f>IFERROR(__xludf.DUMMYFUNCTION("""COMPUTED_VALUE"""),"1d018c98")</f>
        <v>1d018c98</v>
      </c>
      <c r="E1879" s="211" t="str">
        <f>IFERROR(__xludf.DUMMYFUNCTION("""COMPUTED_VALUE"""),"Mbak Angel")</f>
        <v>Mbak Angel</v>
      </c>
      <c r="F1879" s="211" t="str">
        <f>IFERROR(__xludf.DUMMYFUNCTION("""COMPUTED_VALUE"""),"e8544a46")</f>
        <v>e8544a46</v>
      </c>
      <c r="G1879" s="211" t="str">
        <f>IFERROR(__xludf.DUMMYFUNCTION("""COMPUTED_VALUE"""),"Oksigen 1m3")</f>
        <v>Oksigen 1m3</v>
      </c>
      <c r="H1879" s="211" t="str">
        <f>IFERROR(__xludf.DUMMYFUNCTION("""COMPUTED_VALUE"""),"OUT")</f>
        <v>OUT</v>
      </c>
      <c r="I1879" s="211" t="str">
        <f>IFERROR(__xludf.DUMMYFUNCTION("""COMPUTED_VALUE"""),"NORMAL")</f>
        <v>NORMAL</v>
      </c>
      <c r="J1879" s="211">
        <f>IFERROR(__xludf.DUMMYFUNCTION("""COMPUTED_VALUE"""),1.0)</f>
        <v>1</v>
      </c>
      <c r="K1879" s="210" t="str">
        <f>IFERROR(__xludf.DUMMYFUNCTION("""COMPUTED_VALUE"""),"0006")</f>
        <v>0006</v>
      </c>
      <c r="L1879" s="211">
        <f>IFERROR(__xludf.DUMMYFUNCTION("""COMPUTED_VALUE"""),60000.0)</f>
        <v>60000</v>
      </c>
      <c r="M1879" s="211"/>
      <c r="N1879" s="211"/>
      <c r="O1879" s="211"/>
      <c r="Q1879" s="210" t="str">
        <f>IFERROR(__xludf.DUMMYFUNCTION("""COMPUTED_VALUE"""),"1250892")</f>
        <v>1250892</v>
      </c>
      <c r="R1879" s="210" t="str">
        <f>IFERROR(__xludf.DUMMYFUNCTION("""COMPUTED_VALUE"""),"1250892")</f>
        <v>1250892</v>
      </c>
      <c r="S1879" s="211" t="str">
        <f>IFERROR(__xludf.DUMMYFUNCTION("""COMPUTED_VALUE"""),"45d814b4")</f>
        <v>45d814b4</v>
      </c>
      <c r="T1879" s="211" t="str">
        <f>IFERROR(__xludf.DUMMYFUNCTION("""COMPUTED_VALUE"""),"Bpk. Joko (Ponokawan)")</f>
        <v>Bpk. Joko (Ponokawan)</v>
      </c>
      <c r="U1879" s="215">
        <f>IFERROR(__xludf.DUMMYFUNCTION("""COMPUTED_VALUE"""),45993.702835648146)</f>
        <v>45993.70284</v>
      </c>
      <c r="V1879" s="211" t="str">
        <f>IFERROR(__xludf.DUMMYFUNCTION("""COMPUTED_VALUE"""),"Ponokawan, Krian")</f>
        <v>Ponokawan, Krian</v>
      </c>
      <c r="W1879" s="211" t="str">
        <f>IFERROR(__xludf.DUMMYFUNCTION("""COMPUTED_VALUE"""),"IN")</f>
        <v>IN</v>
      </c>
      <c r="X1879" s="211"/>
      <c r="AL1879" s="211"/>
      <c r="AM1879" s="211"/>
      <c r="AN1879" s="211"/>
      <c r="AO1879" s="211"/>
      <c r="AP1879" s="215"/>
      <c r="AQ1879" s="218"/>
      <c r="AR1879" s="211"/>
    </row>
    <row r="1880">
      <c r="A1880" s="210" t="str">
        <f>IFERROR(__xludf.DUMMYFUNCTION("""COMPUTED_VALUE"""),"0925311361")</f>
        <v>0925311361</v>
      </c>
      <c r="B1880" s="210" t="str">
        <f>IFERROR(__xludf.DUMMYFUNCTION("""COMPUTED_VALUE"""),"0925311361")</f>
        <v>0925311361</v>
      </c>
      <c r="C1880" s="213">
        <f>IFERROR(__xludf.DUMMYFUNCTION("""COMPUTED_VALUE"""),45930.364270833335)</f>
        <v>45930.36427</v>
      </c>
      <c r="D1880" s="211" t="str">
        <f>IFERROR(__xludf.DUMMYFUNCTION("""COMPUTED_VALUE"""),"01158be1")</f>
        <v>01158be1</v>
      </c>
      <c r="E1880" s="211" t="str">
        <f>IFERROR(__xludf.DUMMYFUNCTION("""COMPUTED_VALUE"""),"GYF")</f>
        <v>GYF</v>
      </c>
      <c r="F1880" s="211" t="str">
        <f>IFERROR(__xludf.DUMMYFUNCTION("""COMPUTED_VALUE"""),"8bdbe149")</f>
        <v>8bdbe149</v>
      </c>
      <c r="G1880" s="211" t="str">
        <f>IFERROR(__xludf.DUMMYFUNCTION("""COMPUTED_VALUE"""),"Oksigen 6m3")</f>
        <v>Oksigen 6m3</v>
      </c>
      <c r="H1880" s="211" t="str">
        <f>IFERROR(__xludf.DUMMYFUNCTION("""COMPUTED_VALUE"""),"OUT")</f>
        <v>OUT</v>
      </c>
      <c r="I1880" s="211" t="str">
        <f>IFERROR(__xludf.DUMMYFUNCTION("""COMPUTED_VALUE"""),"NORMAL")</f>
        <v>NORMAL</v>
      </c>
      <c r="J1880" s="211">
        <f>IFERROR(__xludf.DUMMYFUNCTION("""COMPUTED_VALUE"""),20.0)</f>
        <v>20</v>
      </c>
      <c r="K1880" s="210" t="str">
        <f>IFERROR(__xludf.DUMMYFUNCTION("""COMPUTED_VALUE"""),"1148 1112 1117 11236 11165 11106 1119 11197 11277 1110 1133 11109 11282 11255 11244 11114 11193 11113 11263 11199")</f>
        <v>1148 1112 1117 11236 11165 11106 1119 11197 11277 1110 1133 11109 11282 11255 11244 11114 11193 11113 11263 11199</v>
      </c>
      <c r="L1880" s="211">
        <f>IFERROR(__xludf.DUMMYFUNCTION("""COMPUTED_VALUE"""),45000.0)</f>
        <v>45000</v>
      </c>
      <c r="M1880" s="211"/>
      <c r="N1880" s="211"/>
      <c r="O1880" s="211"/>
      <c r="Q1880" s="210" t="str">
        <f>IFERROR(__xludf.DUMMYFUNCTION("""COMPUTED_VALUE"""),"1250893")</f>
        <v>1250893</v>
      </c>
      <c r="R1880" s="210" t="str">
        <f>IFERROR(__xludf.DUMMYFUNCTION("""COMPUTED_VALUE"""),"1250893")</f>
        <v>1250893</v>
      </c>
      <c r="S1880" s="211" t="str">
        <f>IFERROR(__xludf.DUMMYFUNCTION("""COMPUTED_VALUE"""),"01158be1")</f>
        <v>01158be1</v>
      </c>
      <c r="T1880" s="211" t="str">
        <f>IFERROR(__xludf.DUMMYFUNCTION("""COMPUTED_VALUE"""),"GYF")</f>
        <v>GYF</v>
      </c>
      <c r="U1880" s="215">
        <f>IFERROR(__xludf.DUMMYFUNCTION("""COMPUTED_VALUE"""),45993.70300925926)</f>
        <v>45993.70301</v>
      </c>
      <c r="V1880" s="211" t="str">
        <f>IFERROR(__xludf.DUMMYFUNCTION("""COMPUTED_VALUE"""),"Kangkungan, Lengkong, Kec. Mojoanyar, Kabupaten Mojokerto, Jawa Timur")</f>
        <v>Kangkungan, Lengkong, Kec. Mojoanyar, Kabupaten Mojokerto, Jawa Timur</v>
      </c>
      <c r="W1880" s="211" t="str">
        <f>IFERROR(__xludf.DUMMYFUNCTION("""COMPUTED_VALUE"""),"IN")</f>
        <v>IN</v>
      </c>
      <c r="X1880" s="211"/>
      <c r="AL1880" s="211"/>
      <c r="AM1880" s="211"/>
      <c r="AN1880" s="211"/>
      <c r="AO1880" s="211"/>
      <c r="AP1880" s="215"/>
      <c r="AQ1880" s="218"/>
      <c r="AR1880" s="211"/>
    </row>
    <row r="1881">
      <c r="A1881" s="210" t="str">
        <f>IFERROR(__xludf.DUMMYFUNCTION("""COMPUTED_VALUE"""),"0925111362")</f>
        <v>0925111362</v>
      </c>
      <c r="B1881" s="210" t="str">
        <f>IFERROR(__xludf.DUMMYFUNCTION("""COMPUTED_VALUE"""),"0925111362")</f>
        <v>0925111362</v>
      </c>
      <c r="C1881" s="213">
        <f>IFERROR(__xludf.DUMMYFUNCTION("""COMPUTED_VALUE"""),45930.366956018515)</f>
        <v>45930.36696</v>
      </c>
      <c r="D1881" s="211" t="str">
        <f>IFERROR(__xludf.DUMMYFUNCTION("""COMPUTED_VALUE"""),"e968afef")</f>
        <v>e968afef</v>
      </c>
      <c r="E1881" s="211" t="str">
        <f>IFERROR(__xludf.DUMMYFUNCTION("""COMPUTED_VALUE"""),"Bpk. Agus")</f>
        <v>Bpk. Agus</v>
      </c>
      <c r="F1881" s="211" t="str">
        <f>IFERROR(__xludf.DUMMYFUNCTION("""COMPUTED_VALUE"""),"8bdbe149")</f>
        <v>8bdbe149</v>
      </c>
      <c r="G1881" s="211" t="str">
        <f>IFERROR(__xludf.DUMMYFUNCTION("""COMPUTED_VALUE"""),"Oksigen 6m3")</f>
        <v>Oksigen 6m3</v>
      </c>
      <c r="H1881" s="211" t="str">
        <f>IFERROR(__xludf.DUMMYFUNCTION("""COMPUTED_VALUE"""),"OUT")</f>
        <v>OUT</v>
      </c>
      <c r="I1881" s="211" t="str">
        <f>IFERROR(__xludf.DUMMYFUNCTION("""COMPUTED_VALUE"""),"NORMAL")</f>
        <v>NORMAL</v>
      </c>
      <c r="J1881" s="211">
        <f>IFERROR(__xludf.DUMMYFUNCTION("""COMPUTED_VALUE"""),6.0)</f>
        <v>6</v>
      </c>
      <c r="K1881" s="210" t="str">
        <f>IFERROR(__xludf.DUMMYFUNCTION("""COMPUTED_VALUE"""),"1106 11231 1111 11262 1130 11179")</f>
        <v>1106 11231 1111 11262 1130 11179</v>
      </c>
      <c r="L1881" s="211">
        <f>IFERROR(__xludf.DUMMYFUNCTION("""COMPUTED_VALUE"""),60000.0)</f>
        <v>60000</v>
      </c>
      <c r="M1881" s="211"/>
      <c r="N1881" s="211"/>
      <c r="O1881" s="211"/>
      <c r="Q1881" s="210" t="str">
        <f>IFERROR(__xludf.DUMMYFUNCTION("""COMPUTED_VALUE"""),"122571877")</f>
        <v>122571877</v>
      </c>
      <c r="R1881" s="210" t="str">
        <f>IFERROR(__xludf.DUMMYFUNCTION("""COMPUTED_VALUE"""),"122571877")</f>
        <v>122571877</v>
      </c>
      <c r="S1881" s="211" t="str">
        <f>IFERROR(__xludf.DUMMYFUNCTION("""COMPUTED_VALUE"""),"440df1db")</f>
        <v>440df1db</v>
      </c>
      <c r="T1881" s="211" t="str">
        <f>IFERROR(__xludf.DUMMYFUNCTION("""COMPUTED_VALUE"""),"PT. Mecca Abadi Sejahtera")</f>
        <v>PT. Mecca Abadi Sejahtera</v>
      </c>
      <c r="U1881" s="215">
        <f>IFERROR(__xludf.DUMMYFUNCTION("""COMPUTED_VALUE"""),45994.3953125)</f>
        <v>45994.39531</v>
      </c>
      <c r="V1881" s="211" t="str">
        <f>IFERROR(__xludf.DUMMYFUNCTION("""COMPUTED_VALUE"""),"Jl. Raya Sawocangkring, RT.006/RW.002, Sawo, Sawocangkring, Kec. Wonoayu, Kabupaten Sidoarjo, Jawa Timur 61261")</f>
        <v>Jl. Raya Sawocangkring, RT.006/RW.002, Sawo, Sawocangkring, Kec. Wonoayu, Kabupaten Sidoarjo, Jawa Timur 61261</v>
      </c>
      <c r="W1881" s="211" t="str">
        <f>IFERROR(__xludf.DUMMYFUNCTION("""COMPUTED_VALUE"""),"OUT")</f>
        <v>OUT</v>
      </c>
      <c r="X1881" s="211"/>
      <c r="AL1881" s="211"/>
      <c r="AM1881" s="211"/>
      <c r="AN1881" s="211"/>
      <c r="AO1881" s="211"/>
      <c r="AP1881" s="215"/>
      <c r="AQ1881" s="218"/>
      <c r="AR1881" s="211"/>
    </row>
    <row r="1882">
      <c r="A1882" s="210" t="str">
        <f>IFERROR(__xludf.DUMMYFUNCTION("""COMPUTED_VALUE"""),"0925111362")</f>
        <v>0925111362</v>
      </c>
      <c r="B1882" s="210" t="str">
        <f>IFERROR(__xludf.DUMMYFUNCTION("""COMPUTED_VALUE"""),"0925111362")</f>
        <v>0925111362</v>
      </c>
      <c r="C1882" s="213">
        <f>IFERROR(__xludf.DUMMYFUNCTION("""COMPUTED_VALUE"""),45930.366956018515)</f>
        <v>45930.36696</v>
      </c>
      <c r="D1882" s="211" t="str">
        <f>IFERROR(__xludf.DUMMYFUNCTION("""COMPUTED_VALUE"""),"e968afef")</f>
        <v>e968afef</v>
      </c>
      <c r="E1882" s="211" t="str">
        <f>IFERROR(__xludf.DUMMYFUNCTION("""COMPUTED_VALUE"""),"Bpk. Agus")</f>
        <v>Bpk. Agus</v>
      </c>
      <c r="F1882" s="211" t="str">
        <f>IFERROR(__xludf.DUMMYFUNCTION("""COMPUTED_VALUE"""),"7d2764f1")</f>
        <v>7d2764f1</v>
      </c>
      <c r="G1882" s="211" t="str">
        <f>IFERROR(__xludf.DUMMYFUNCTION("""COMPUTED_VALUE"""),"Oksigen 7m3")</f>
        <v>Oksigen 7m3</v>
      </c>
      <c r="H1882" s="211" t="str">
        <f>IFERROR(__xludf.DUMMYFUNCTION("""COMPUTED_VALUE"""),"OUT")</f>
        <v>OUT</v>
      </c>
      <c r="I1882" s="211" t="str">
        <f>IFERROR(__xludf.DUMMYFUNCTION("""COMPUTED_VALUE"""),"NORMAL")</f>
        <v>NORMAL</v>
      </c>
      <c r="J1882" s="211">
        <f>IFERROR(__xludf.DUMMYFUNCTION("""COMPUTED_VALUE"""),4.0)</f>
        <v>4</v>
      </c>
      <c r="K1882" s="210" t="str">
        <f>IFERROR(__xludf.DUMMYFUNCTION("""COMPUTED_VALUE"""),"11212 11195 11149 11141")</f>
        <v>11212 11195 11149 11141</v>
      </c>
      <c r="L1882" s="211">
        <f>IFERROR(__xludf.DUMMYFUNCTION("""COMPUTED_VALUE"""),60000.0)</f>
        <v>60000</v>
      </c>
      <c r="M1882" s="211"/>
      <c r="N1882" s="211"/>
      <c r="O1882" s="211"/>
      <c r="Q1882" s="210" t="str">
        <f>IFERROR(__xludf.DUMMYFUNCTION("""COMPUTED_VALUE"""),"1250895")</f>
        <v>1250895</v>
      </c>
      <c r="R1882" s="210" t="str">
        <f>IFERROR(__xludf.DUMMYFUNCTION("""COMPUTED_VALUE"""),"1250895")</f>
        <v>1250895</v>
      </c>
      <c r="S1882" s="211" t="str">
        <f>IFERROR(__xludf.DUMMYFUNCTION("""COMPUTED_VALUE"""),"b218b89b")</f>
        <v>b218b89b</v>
      </c>
      <c r="T1882" s="211" t="str">
        <f>IFERROR(__xludf.DUMMYFUNCTION("""COMPUTED_VALUE"""),"PT Harapan Sentosa")</f>
        <v>PT Harapan Sentosa</v>
      </c>
      <c r="U1882" s="215">
        <f>IFERROR(__xludf.DUMMYFUNCTION("""COMPUTED_VALUE"""),45994.50131944445)</f>
        <v>45994.50132</v>
      </c>
      <c r="V1882" s="211" t="str">
        <f>IFERROR(__xludf.DUMMYFUNCTION("""COMPUTED_VALUE"""),"Seketi, Jl. Purboyo II Selatan, RT.02/RW.02, Seketi, Kec. BalongBendo, Kabupaten Sidoarjo, Jawa Timur 61263")</f>
        <v>Seketi, Jl. Purboyo II Selatan, RT.02/RW.02, Seketi, Kec. BalongBendo, Kabupaten Sidoarjo, Jawa Timur 61263</v>
      </c>
      <c r="W1882" s="211" t="str">
        <f>IFERROR(__xludf.DUMMYFUNCTION("""COMPUTED_VALUE"""),"IN")</f>
        <v>IN</v>
      </c>
      <c r="X1882" s="211"/>
      <c r="AL1882" s="211"/>
      <c r="AM1882" s="211"/>
      <c r="AN1882" s="211"/>
      <c r="AO1882" s="211"/>
      <c r="AP1882" s="215"/>
      <c r="AQ1882" s="218"/>
      <c r="AR1882" s="211"/>
    </row>
    <row r="1883">
      <c r="A1883" s="210" t="str">
        <f>IFERROR(__xludf.DUMMYFUNCTION("""COMPUTED_VALUE"""),"0925111362")</f>
        <v>0925111362</v>
      </c>
      <c r="B1883" s="210" t="str">
        <f>IFERROR(__xludf.DUMMYFUNCTION("""COMPUTED_VALUE"""),"0925111362")</f>
        <v>0925111362</v>
      </c>
      <c r="C1883" s="213">
        <f>IFERROR(__xludf.DUMMYFUNCTION("""COMPUTED_VALUE"""),45930.366956018515)</f>
        <v>45930.36696</v>
      </c>
      <c r="D1883" s="211" t="str">
        <f>IFERROR(__xludf.DUMMYFUNCTION("""COMPUTED_VALUE"""),"e968afef")</f>
        <v>e968afef</v>
      </c>
      <c r="E1883" s="211" t="str">
        <f>IFERROR(__xludf.DUMMYFUNCTION("""COMPUTED_VALUE"""),"Bpk. Agus")</f>
        <v>Bpk. Agus</v>
      </c>
      <c r="F1883" s="211" t="str">
        <f>IFERROR(__xludf.DUMMYFUNCTION("""COMPUTED_VALUE"""),"be525f3b")</f>
        <v>be525f3b</v>
      </c>
      <c r="G1883" s="211" t="str">
        <f>IFERROR(__xludf.DUMMYFUNCTION("""COMPUTED_VALUE"""),"LPG 12kg")</f>
        <v>LPG 12kg</v>
      </c>
      <c r="H1883" s="211" t="str">
        <f>IFERROR(__xludf.DUMMYFUNCTION("""COMPUTED_VALUE"""),"OUT")</f>
        <v>OUT</v>
      </c>
      <c r="I1883" s="211" t="str">
        <f>IFERROR(__xludf.DUMMYFUNCTION("""COMPUTED_VALUE"""),"NORMAL")</f>
        <v>NORMAL</v>
      </c>
      <c r="J1883" s="211">
        <f>IFERROR(__xludf.DUMMYFUNCTION("""COMPUTED_VALUE"""),1.0)</f>
        <v>1</v>
      </c>
      <c r="K1883" s="210" t="str">
        <f>IFERROR(__xludf.DUMMYFUNCTION("""COMPUTED_VALUE"""),"01")</f>
        <v>01</v>
      </c>
      <c r="L1883" s="211">
        <f>IFERROR(__xludf.DUMMYFUNCTION("""COMPUTED_VALUE"""),210000.0)</f>
        <v>210000</v>
      </c>
      <c r="M1883" s="211"/>
      <c r="N1883" s="211"/>
      <c r="O1883" s="211"/>
      <c r="Q1883" s="210" t="str">
        <f>IFERROR(__xludf.DUMMYFUNCTION("""COMPUTED_VALUE"""),"1250894")</f>
        <v>1250894</v>
      </c>
      <c r="R1883" s="210" t="str">
        <f>IFERROR(__xludf.DUMMYFUNCTION("""COMPUTED_VALUE"""),"1250894")</f>
        <v>1250894</v>
      </c>
      <c r="S1883" s="211" t="str">
        <f>IFERROR(__xludf.DUMMYFUNCTION("""COMPUTED_VALUE"""),"2d88931c")</f>
        <v>2d88931c</v>
      </c>
      <c r="T1883" s="211" t="str">
        <f>IFERROR(__xludf.DUMMYFUNCTION("""COMPUTED_VALUE"""),"PT Dunia Berkat Marga Mulya")</f>
        <v>PT Dunia Berkat Marga Mulya</v>
      </c>
      <c r="U1883" s="215">
        <f>IFERROR(__xludf.DUMMYFUNCTION("""COMPUTED_VALUE"""),45994.50255787037)</f>
        <v>45994.50256</v>
      </c>
      <c r="V1883" s="211" t="str">
        <f>IFERROR(__xludf.DUMMYFUNCTION("""COMPUTED_VALUE"""),"JL JABARAN, WATESARI, BALONGBENDO, SIDOARJO, JAWA TIMUR")</f>
        <v>JL JABARAN, WATESARI, BALONGBENDO, SIDOARJO, JAWA TIMUR</v>
      </c>
      <c r="W1883" s="211" t="str">
        <f>IFERROR(__xludf.DUMMYFUNCTION("""COMPUTED_VALUE"""),"IN")</f>
        <v>IN</v>
      </c>
      <c r="X1883" s="211"/>
      <c r="AL1883" s="211"/>
      <c r="AM1883" s="211"/>
      <c r="AN1883" s="211"/>
      <c r="AO1883" s="211"/>
      <c r="AP1883" s="215"/>
      <c r="AQ1883" s="218"/>
      <c r="AR1883" s="211"/>
    </row>
    <row r="1884">
      <c r="A1884" s="210" t="str">
        <f>IFERROR(__xludf.DUMMYFUNCTION("""COMPUTED_VALUE"""),"0925281363")</f>
        <v>0925281363</v>
      </c>
      <c r="B1884" s="210" t="str">
        <f>IFERROR(__xludf.DUMMYFUNCTION("""COMPUTED_VALUE"""),"0925281363")</f>
        <v>0925281363</v>
      </c>
      <c r="C1884" s="213">
        <f>IFERROR(__xludf.DUMMYFUNCTION("""COMPUTED_VALUE"""),45930.372453703705)</f>
        <v>45930.37245</v>
      </c>
      <c r="D1884" s="211" t="str">
        <f>IFERROR(__xludf.DUMMYFUNCTION("""COMPUTED_VALUE"""),"ce83e171")</f>
        <v>ce83e171</v>
      </c>
      <c r="E1884" s="211" t="str">
        <f>IFERROR(__xludf.DUMMYFUNCTION("""COMPUTED_VALUE"""),"Bpk. Sulaiman")</f>
        <v>Bpk. Sulaiman</v>
      </c>
      <c r="F1884" s="211" t="str">
        <f>IFERROR(__xludf.DUMMYFUNCTION("""COMPUTED_VALUE"""),"f6aab7a9")</f>
        <v>f6aab7a9</v>
      </c>
      <c r="G1884" s="211" t="str">
        <f>IFERROR(__xludf.DUMMYFUNCTION("""COMPUTED_VALUE"""),"Oksigen 6m3 MR")</f>
        <v>Oksigen 6m3 MR</v>
      </c>
      <c r="H1884" s="211" t="str">
        <f>IFERROR(__xludf.DUMMYFUNCTION("""COMPUTED_VALUE"""),"OUT")</f>
        <v>OUT</v>
      </c>
      <c r="I1884" s="211" t="str">
        <f>IFERROR(__xludf.DUMMYFUNCTION("""COMPUTED_VALUE"""),"NORMAL")</f>
        <v>NORMAL</v>
      </c>
      <c r="J1884" s="211">
        <f>IFERROR(__xludf.DUMMYFUNCTION("""COMPUTED_VALUE"""),1.0)</f>
        <v>1</v>
      </c>
      <c r="K1884" s="210" t="str">
        <f>IFERROR(__xludf.DUMMYFUNCTION("""COMPUTED_VALUE"""),"76")</f>
        <v>76</v>
      </c>
      <c r="L1884" s="211">
        <f>IFERROR(__xludf.DUMMYFUNCTION("""COMPUTED_VALUE"""),55000.0)</f>
        <v>55000</v>
      </c>
      <c r="M1884" s="211"/>
      <c r="N1884" s="211"/>
      <c r="O1884" s="211"/>
      <c r="Q1884" s="210" t="str">
        <f>IFERROR(__xludf.DUMMYFUNCTION("""COMPUTED_VALUE"""),"1250889")</f>
        <v>1250889</v>
      </c>
      <c r="R1884" s="210" t="str">
        <f>IFERROR(__xludf.DUMMYFUNCTION("""COMPUTED_VALUE"""),"1250889")</f>
        <v>1250889</v>
      </c>
      <c r="S1884" s="211" t="str">
        <f>IFERROR(__xludf.DUMMYFUNCTION("""COMPUTED_VALUE"""),"9e66ced9")</f>
        <v>9e66ced9</v>
      </c>
      <c r="T1884" s="211" t="str">
        <f>IFERROR(__xludf.DUMMYFUNCTION("""COMPUTED_VALUE"""),"Bapak Angga")</f>
        <v>Bapak Angga</v>
      </c>
      <c r="U1884" s="215">
        <f>IFERROR(__xludf.DUMMYFUNCTION("""COMPUTED_VALUE"""),45994.51137731481)</f>
        <v>45994.51138</v>
      </c>
      <c r="V1884" s="211" t="str">
        <f>IFERROR(__xludf.DUMMYFUNCTION("""COMPUTED_VALUE"""),"Jl. Bypass Krian No.2, Tundungan, Sidomojo, Kec. Krian, Kabupaten Sidoarjo, Jawa Timur 61262")</f>
        <v>Jl. Bypass Krian No.2, Tundungan, Sidomojo, Kec. Krian, Kabupaten Sidoarjo, Jawa Timur 61262</v>
      </c>
      <c r="W1884" s="211" t="str">
        <f>IFERROR(__xludf.DUMMYFUNCTION("""COMPUTED_VALUE"""),"IN")</f>
        <v>IN</v>
      </c>
      <c r="X1884" s="211"/>
      <c r="AL1884" s="211"/>
      <c r="AM1884" s="211"/>
      <c r="AN1884" s="211"/>
      <c r="AO1884" s="211"/>
      <c r="AP1884" s="215"/>
      <c r="AQ1884" s="218"/>
      <c r="AR1884" s="211"/>
    </row>
    <row r="1885">
      <c r="A1885" s="210" t="str">
        <f>IFERROR(__xludf.DUMMYFUNCTION("""COMPUTED_VALUE"""),"0825271364")</f>
        <v>0825271364</v>
      </c>
      <c r="B1885" s="210" t="str">
        <f>IFERROR(__xludf.DUMMYFUNCTION("""COMPUTED_VALUE"""),"0825271364")</f>
        <v>0825271364</v>
      </c>
      <c r="C1885" s="213">
        <f>IFERROR(__xludf.DUMMYFUNCTION("""COMPUTED_VALUE"""),45889.495092592595)</f>
        <v>45889.49509</v>
      </c>
      <c r="D1885" s="211" t="str">
        <f>IFERROR(__xludf.DUMMYFUNCTION("""COMPUTED_VALUE"""),"5f23ba17")</f>
        <v>5f23ba17</v>
      </c>
      <c r="E1885" s="211" t="str">
        <f>IFERROR(__xludf.DUMMYFUNCTION("""COMPUTED_VALUE"""),"Bpk. Joko (Gresik)")</f>
        <v>Bpk. Joko (Gresik)</v>
      </c>
      <c r="F1885" s="211" t="str">
        <f>IFERROR(__xludf.DUMMYFUNCTION("""COMPUTED_VALUE"""),"8bdbe149")</f>
        <v>8bdbe149</v>
      </c>
      <c r="G1885" s="211" t="str">
        <f>IFERROR(__xludf.DUMMYFUNCTION("""COMPUTED_VALUE"""),"Oksigen 6m3")</f>
        <v>Oksigen 6m3</v>
      </c>
      <c r="H1885" s="211" t="str">
        <f>IFERROR(__xludf.DUMMYFUNCTION("""COMPUTED_VALUE"""),"OUT")</f>
        <v>OUT</v>
      </c>
      <c r="I1885" s="211" t="str">
        <f>IFERROR(__xludf.DUMMYFUNCTION("""COMPUTED_VALUE"""),"NORMAL")</f>
        <v>NORMAL</v>
      </c>
      <c r="J1885" s="211">
        <f>IFERROR(__xludf.DUMMYFUNCTION("""COMPUTED_VALUE"""),5.0)</f>
        <v>5</v>
      </c>
      <c r="K1885" s="210" t="str">
        <f>IFERROR(__xludf.DUMMYFUNCTION("""COMPUTED_VALUE"""),"11241 11287 11273 11288 11177")</f>
        <v>11241 11287 11273 11288 11177</v>
      </c>
      <c r="L1885" s="211">
        <f>IFERROR(__xludf.DUMMYFUNCTION("""COMPUTED_VALUE"""),55000.0)</f>
        <v>55000</v>
      </c>
      <c r="M1885" s="211"/>
      <c r="N1885" s="211"/>
      <c r="O1885" s="211"/>
      <c r="Q1885" s="210" t="str">
        <f>IFERROR(__xludf.DUMMYFUNCTION("""COMPUTED_VALUE"""),"1250888")</f>
        <v>1250888</v>
      </c>
      <c r="R1885" s="210" t="str">
        <f>IFERROR(__xludf.DUMMYFUNCTION("""COMPUTED_VALUE"""),"1250888")</f>
        <v>1250888</v>
      </c>
      <c r="S1885" s="211" t="str">
        <f>IFERROR(__xludf.DUMMYFUNCTION("""COMPUTED_VALUE"""),"3b04351a")</f>
        <v>3b04351a</v>
      </c>
      <c r="T1885" s="211" t="str">
        <f>IFERROR(__xludf.DUMMYFUNCTION("""COMPUTED_VALUE"""),"CV Usaha Logam Jaya")</f>
        <v>CV Usaha Logam Jaya</v>
      </c>
      <c r="U1885" s="215">
        <f>IFERROR(__xludf.DUMMYFUNCTION("""COMPUTED_VALUE"""),45994.51290509259)</f>
        <v>45994.51291</v>
      </c>
      <c r="V1885" s="211" t="str">
        <f>IFERROR(__xludf.DUMMYFUNCTION("""COMPUTED_VALUE"""),"Jl. Jetis Karya, Wonorejo, Jetis, Kec. Jetis, Kabupaten Mojokerto, Jawa Timur 61352")</f>
        <v>Jl. Jetis Karya, Wonorejo, Jetis, Kec. Jetis, Kabupaten Mojokerto, Jawa Timur 61352</v>
      </c>
      <c r="W1885" s="211" t="str">
        <f>IFERROR(__xludf.DUMMYFUNCTION("""COMPUTED_VALUE"""),"IN")</f>
        <v>IN</v>
      </c>
      <c r="X1885" s="211"/>
      <c r="AL1885" s="211"/>
      <c r="AM1885" s="211"/>
      <c r="AN1885" s="211"/>
      <c r="AO1885" s="211"/>
      <c r="AP1885" s="215"/>
      <c r="AQ1885" s="218"/>
      <c r="AR1885" s="211"/>
    </row>
    <row r="1886">
      <c r="A1886" s="210" t="str">
        <f>IFERROR(__xludf.DUMMYFUNCTION("""COMPUTED_VALUE"""),"0825271364")</f>
        <v>0825271364</v>
      </c>
      <c r="B1886" s="210" t="str">
        <f>IFERROR(__xludf.DUMMYFUNCTION("""COMPUTED_VALUE"""),"0825271364")</f>
        <v>0825271364</v>
      </c>
      <c r="C1886" s="213">
        <f>IFERROR(__xludf.DUMMYFUNCTION("""COMPUTED_VALUE"""),45889.495092592595)</f>
        <v>45889.49509</v>
      </c>
      <c r="D1886" s="211" t="str">
        <f>IFERROR(__xludf.DUMMYFUNCTION("""COMPUTED_VALUE"""),"5f23ba17")</f>
        <v>5f23ba17</v>
      </c>
      <c r="E1886" s="211" t="str">
        <f>IFERROR(__xludf.DUMMYFUNCTION("""COMPUTED_VALUE"""),"Bpk. Joko (Gresik)")</f>
        <v>Bpk. Joko (Gresik)</v>
      </c>
      <c r="F1886" s="211" t="str">
        <f>IFERROR(__xludf.DUMMYFUNCTION("""COMPUTED_VALUE"""),"ef306e54")</f>
        <v>ef306e54</v>
      </c>
      <c r="G1886" s="211" t="str">
        <f>IFERROR(__xludf.DUMMYFUNCTION("""COMPUTED_VALUE"""),"Karbondioksida")</f>
        <v>Karbondioksida</v>
      </c>
      <c r="H1886" s="211" t="str">
        <f>IFERROR(__xludf.DUMMYFUNCTION("""COMPUTED_VALUE"""),"OUT")</f>
        <v>OUT</v>
      </c>
      <c r="I1886" s="211" t="str">
        <f>IFERROR(__xludf.DUMMYFUNCTION("""COMPUTED_VALUE"""),"NORMAL")</f>
        <v>NORMAL</v>
      </c>
      <c r="J1886" s="211">
        <f>IFERROR(__xludf.DUMMYFUNCTION("""COMPUTED_VALUE"""),1.0)</f>
        <v>1</v>
      </c>
      <c r="K1886" s="210" t="str">
        <f>IFERROR(__xludf.DUMMYFUNCTION("""COMPUTED_VALUE"""),"13030")</f>
        <v>13030</v>
      </c>
      <c r="L1886" s="211">
        <f>IFERROR(__xludf.DUMMYFUNCTION("""COMPUTED_VALUE"""),160000.0)</f>
        <v>160000</v>
      </c>
      <c r="M1886" s="211"/>
      <c r="N1886" s="211"/>
      <c r="O1886" s="211"/>
      <c r="Q1886" s="210" t="str">
        <f>IFERROR(__xludf.DUMMYFUNCTION("""COMPUTED_VALUE"""),"1225471882")</f>
        <v>1225471882</v>
      </c>
      <c r="R1886" s="210" t="str">
        <f>IFERROR(__xludf.DUMMYFUNCTION("""COMPUTED_VALUE"""),"1225471882")</f>
        <v>1225471882</v>
      </c>
      <c r="S1886" s="211" t="str">
        <f>IFERROR(__xludf.DUMMYFUNCTION("""COMPUTED_VALUE"""),"b2b5f2c5")</f>
        <v>b2b5f2c5</v>
      </c>
      <c r="T1886" s="211" t="str">
        <f>IFERROR(__xludf.DUMMYFUNCTION("""COMPUTED_VALUE"""),"Bengkel Las Bpk. Ari")</f>
        <v>Bengkel Las Bpk. Ari</v>
      </c>
      <c r="U1886" s="215">
        <f>IFERROR(__xludf.DUMMYFUNCTION("""COMPUTED_VALUE"""),45994.58731481482)</f>
        <v>45994.58731</v>
      </c>
      <c r="V1886" s="211" t="str">
        <f>IFERROR(__xludf.DUMMYFUNCTION("""COMPUTED_VALUE"""),"Sumber Kembar, Wonodadi, Kec. Kutorejo, Kabupaten Mojokerto, Jawa Timur")</f>
        <v>Sumber Kembar, Wonodadi, Kec. Kutorejo, Kabupaten Mojokerto, Jawa Timur</v>
      </c>
      <c r="W1886" s="211" t="str">
        <f>IFERROR(__xludf.DUMMYFUNCTION("""COMPUTED_VALUE"""),"OUT")</f>
        <v>OUT</v>
      </c>
      <c r="X1886" s="211"/>
      <c r="AL1886" s="211"/>
      <c r="AM1886" s="211"/>
      <c r="AN1886" s="211"/>
      <c r="AO1886" s="211"/>
      <c r="AP1886" s="215"/>
      <c r="AQ1886" s="218"/>
      <c r="AR1886" s="211"/>
    </row>
    <row r="1887">
      <c r="A1887" s="210" t="str">
        <f>IFERROR(__xludf.DUMMYFUNCTION("""COMPUTED_VALUE"""),"0825271364")</f>
        <v>0825271364</v>
      </c>
      <c r="B1887" s="210" t="str">
        <f>IFERROR(__xludf.DUMMYFUNCTION("""COMPUTED_VALUE"""),"0825271364")</f>
        <v>0825271364</v>
      </c>
      <c r="C1887" s="213">
        <f>IFERROR(__xludf.DUMMYFUNCTION("""COMPUTED_VALUE"""),45889.495092592595)</f>
        <v>45889.49509</v>
      </c>
      <c r="D1887" s="211" t="str">
        <f>IFERROR(__xludf.DUMMYFUNCTION("""COMPUTED_VALUE"""),"5f23ba17")</f>
        <v>5f23ba17</v>
      </c>
      <c r="E1887" s="211" t="str">
        <f>IFERROR(__xludf.DUMMYFUNCTION("""COMPUTED_VALUE"""),"Bpk. Joko (Gresik)")</f>
        <v>Bpk. Joko (Gresik)</v>
      </c>
      <c r="F1887" s="211" t="str">
        <f>IFERROR(__xludf.DUMMYFUNCTION("""COMPUTED_VALUE"""),"be525f3b")</f>
        <v>be525f3b</v>
      </c>
      <c r="G1887" s="211" t="str">
        <f>IFERROR(__xludf.DUMMYFUNCTION("""COMPUTED_VALUE"""),"LPG 12kg")</f>
        <v>LPG 12kg</v>
      </c>
      <c r="H1887" s="211" t="str">
        <f>IFERROR(__xludf.DUMMYFUNCTION("""COMPUTED_VALUE"""),"OUT")</f>
        <v>OUT</v>
      </c>
      <c r="I1887" s="211" t="str">
        <f>IFERROR(__xludf.DUMMYFUNCTION("""COMPUTED_VALUE"""),"NORMAL")</f>
        <v>NORMAL</v>
      </c>
      <c r="J1887" s="211">
        <f>IFERROR(__xludf.DUMMYFUNCTION("""COMPUTED_VALUE"""),4.0)</f>
        <v>4</v>
      </c>
      <c r="K1887" s="211"/>
      <c r="L1887" s="211">
        <f>IFERROR(__xludf.DUMMYFUNCTION("""COMPUTED_VALUE"""),200000.0)</f>
        <v>200000</v>
      </c>
      <c r="M1887" s="211"/>
      <c r="N1887" s="211"/>
      <c r="O1887" s="211"/>
      <c r="Q1887" s="210" t="str">
        <f>IFERROR(__xludf.DUMMYFUNCTION("""COMPUTED_VALUE"""),"122551887")</f>
        <v>122551887</v>
      </c>
      <c r="R1887" s="210" t="str">
        <f>IFERROR(__xludf.DUMMYFUNCTION("""COMPUTED_VALUE"""),"122551887")</f>
        <v>122551887</v>
      </c>
      <c r="S1887" s="211" t="str">
        <f>IFERROR(__xludf.DUMMYFUNCTION("""COMPUTED_VALUE"""),"63fc688a")</f>
        <v>63fc688a</v>
      </c>
      <c r="T1887" s="211" t="str">
        <f>IFERROR(__xludf.DUMMYFUNCTION("""COMPUTED_VALUE"""),"CV Malik Nusantara")</f>
        <v>CV Malik Nusantara</v>
      </c>
      <c r="U1887" s="215">
        <f>IFERROR(__xludf.DUMMYFUNCTION("""COMPUTED_VALUE"""),45995.361493055556)</f>
        <v>45995.36149</v>
      </c>
      <c r="V1887" s="211" t="str">
        <f>IFERROR(__xludf.DUMMYFUNCTION("""COMPUTED_VALUE"""),"Jl. Raya Balongbendo No.12, Suwaluh Utara, Suwaluh, Kec. BalongBendo, Kabupaten Sidoarjo, Jawa Timur 61263")</f>
        <v>Jl. Raya Balongbendo No.12, Suwaluh Utara, Suwaluh, Kec. BalongBendo, Kabupaten Sidoarjo, Jawa Timur 61263</v>
      </c>
      <c r="W1887" s="211" t="str">
        <f>IFERROR(__xludf.DUMMYFUNCTION("""COMPUTED_VALUE"""),"OUT")</f>
        <v>OUT</v>
      </c>
      <c r="X1887" s="211"/>
      <c r="AL1887" s="211"/>
      <c r="AM1887" s="211"/>
      <c r="AN1887" s="211"/>
      <c r="AO1887" s="211"/>
      <c r="AP1887" s="215"/>
      <c r="AQ1887" s="218"/>
      <c r="AR1887" s="211"/>
    </row>
    <row r="1888">
      <c r="A1888" s="210" t="str">
        <f>IFERROR(__xludf.DUMMYFUNCTION("""COMPUTED_VALUE"""),"1250622")</f>
        <v>1250622</v>
      </c>
      <c r="B1888" s="210" t="str">
        <f>IFERROR(__xludf.DUMMYFUNCTION("""COMPUTED_VALUE"""),"1250622")</f>
        <v>1250622</v>
      </c>
      <c r="C1888" s="213">
        <f>IFERROR(__xludf.DUMMYFUNCTION("""COMPUTED_VALUE"""),45930.437268518515)</f>
        <v>45930.43727</v>
      </c>
      <c r="D1888" s="211" t="str">
        <f>IFERROR(__xludf.DUMMYFUNCTION("""COMPUTED_VALUE"""),"e968afef")</f>
        <v>e968afef</v>
      </c>
      <c r="E1888" s="211" t="str">
        <f>IFERROR(__xludf.DUMMYFUNCTION("""COMPUTED_VALUE"""),"Bpk. Agus")</f>
        <v>Bpk. Agus</v>
      </c>
      <c r="F1888" s="211" t="str">
        <f>IFERROR(__xludf.DUMMYFUNCTION("""COMPUTED_VALUE"""),"8bdbe149")</f>
        <v>8bdbe149</v>
      </c>
      <c r="G1888" s="211" t="str">
        <f>IFERROR(__xludf.DUMMYFUNCTION("""COMPUTED_VALUE"""),"Oksigen 6m3")</f>
        <v>Oksigen 6m3</v>
      </c>
      <c r="H1888" s="211" t="str">
        <f>IFERROR(__xludf.DUMMYFUNCTION("""COMPUTED_VALUE"""),"IN")</f>
        <v>IN</v>
      </c>
      <c r="I1888" s="211" t="str">
        <f>IFERROR(__xludf.DUMMYFUNCTION("""COMPUTED_VALUE"""),"EMPTY")</f>
        <v>EMPTY</v>
      </c>
      <c r="J1888" s="211">
        <f>IFERROR(__xludf.DUMMYFUNCTION("""COMPUTED_VALUE"""),9.0)</f>
        <v>9</v>
      </c>
      <c r="K1888" s="210" t="str">
        <f>IFERROR(__xludf.DUMMYFUNCTION("""COMPUTED_VALUE"""),"11206 1121 1151 11100 11180 1197 1192 11283 11210")</f>
        <v>11206 1121 1151 11100 11180 1197 1192 11283 11210</v>
      </c>
      <c r="L1888" s="211">
        <f>IFERROR(__xludf.DUMMYFUNCTION("""COMPUTED_VALUE"""),0.0)</f>
        <v>0</v>
      </c>
      <c r="M1888" s="211"/>
      <c r="N1888" s="211"/>
      <c r="O1888" s="211"/>
      <c r="Q1888" s="210" t="str">
        <f>IFERROR(__xludf.DUMMYFUNCTION("""COMPUTED_VALUE"""),"1250896")</f>
        <v>1250896</v>
      </c>
      <c r="R1888" s="210" t="str">
        <f>IFERROR(__xludf.DUMMYFUNCTION("""COMPUTED_VALUE"""),"1250896")</f>
        <v>1250896</v>
      </c>
      <c r="S1888" s="211" t="str">
        <f>IFERROR(__xludf.DUMMYFUNCTION("""COMPUTED_VALUE"""),"63fc688a")</f>
        <v>63fc688a</v>
      </c>
      <c r="T1888" s="211" t="str">
        <f>IFERROR(__xludf.DUMMYFUNCTION("""COMPUTED_VALUE"""),"CV Malik Nusantara")</f>
        <v>CV Malik Nusantara</v>
      </c>
      <c r="U1888" s="215">
        <f>IFERROR(__xludf.DUMMYFUNCTION("""COMPUTED_VALUE"""),45995.39275462963)</f>
        <v>45995.39275</v>
      </c>
      <c r="V1888" s="211" t="str">
        <f>IFERROR(__xludf.DUMMYFUNCTION("""COMPUTED_VALUE"""),"Jl. Raya Balongbendo No.12, Suwaluh Utara, Suwaluh, Kec. BalongBendo, Kabupaten Sidoarjo, Jawa Timur 61263")</f>
        <v>Jl. Raya Balongbendo No.12, Suwaluh Utara, Suwaluh, Kec. BalongBendo, Kabupaten Sidoarjo, Jawa Timur 61263</v>
      </c>
      <c r="W1888" s="211" t="str">
        <f>IFERROR(__xludf.DUMMYFUNCTION("""COMPUTED_VALUE"""),"IN")</f>
        <v>IN</v>
      </c>
      <c r="X1888" s="211"/>
      <c r="AL1888" s="211"/>
      <c r="AM1888" s="211"/>
      <c r="AN1888" s="211"/>
      <c r="AO1888" s="211"/>
      <c r="AP1888" s="215"/>
      <c r="AQ1888" s="218"/>
      <c r="AR1888" s="211"/>
    </row>
    <row r="1889">
      <c r="A1889" s="210" t="str">
        <f>IFERROR(__xludf.DUMMYFUNCTION("""COMPUTED_VALUE"""),"1250622")</f>
        <v>1250622</v>
      </c>
      <c r="B1889" s="210" t="str">
        <f>IFERROR(__xludf.DUMMYFUNCTION("""COMPUTED_VALUE"""),"1250622")</f>
        <v>1250622</v>
      </c>
      <c r="C1889" s="213">
        <f>IFERROR(__xludf.DUMMYFUNCTION("""COMPUTED_VALUE"""),45930.437268518515)</f>
        <v>45930.43727</v>
      </c>
      <c r="D1889" s="211" t="str">
        <f>IFERROR(__xludf.DUMMYFUNCTION("""COMPUTED_VALUE"""),"e968afef")</f>
        <v>e968afef</v>
      </c>
      <c r="E1889" s="211" t="str">
        <f>IFERROR(__xludf.DUMMYFUNCTION("""COMPUTED_VALUE"""),"Bpk. Agus")</f>
        <v>Bpk. Agus</v>
      </c>
      <c r="F1889" s="211" t="str">
        <f>IFERROR(__xludf.DUMMYFUNCTION("""COMPUTED_VALUE"""),"be525f3b")</f>
        <v>be525f3b</v>
      </c>
      <c r="G1889" s="211" t="str">
        <f>IFERROR(__xludf.DUMMYFUNCTION("""COMPUTED_VALUE"""),"LPG 12kg")</f>
        <v>LPG 12kg</v>
      </c>
      <c r="H1889" s="211" t="str">
        <f>IFERROR(__xludf.DUMMYFUNCTION("""COMPUTED_VALUE"""),"IN")</f>
        <v>IN</v>
      </c>
      <c r="I1889" s="211" t="str">
        <f>IFERROR(__xludf.DUMMYFUNCTION("""COMPUTED_VALUE"""),"EMPTY")</f>
        <v>EMPTY</v>
      </c>
      <c r="J1889" s="211">
        <f>IFERROR(__xludf.DUMMYFUNCTION("""COMPUTED_VALUE"""),1.0)</f>
        <v>1</v>
      </c>
      <c r="K1889" s="210" t="str">
        <f>IFERROR(__xludf.DUMMYFUNCTION("""COMPUTED_VALUE"""),"01")</f>
        <v>01</v>
      </c>
      <c r="L1889" s="211">
        <f>IFERROR(__xludf.DUMMYFUNCTION("""COMPUTED_VALUE"""),0.0)</f>
        <v>0</v>
      </c>
      <c r="M1889" s="211"/>
      <c r="N1889" s="211"/>
      <c r="O1889" s="211"/>
      <c r="Q1889" s="210" t="str">
        <f>IFERROR(__xludf.DUMMYFUNCTION("""COMPUTED_VALUE"""),"122561888")</f>
        <v>122561888</v>
      </c>
      <c r="R1889" s="210" t="str">
        <f>IFERROR(__xludf.DUMMYFUNCTION("""COMPUTED_VALUE"""),"122561888")</f>
        <v>122561888</v>
      </c>
      <c r="S1889" s="211" t="str">
        <f>IFERROR(__xludf.DUMMYFUNCTION("""COMPUTED_VALUE"""),"f98b1e81")</f>
        <v>f98b1e81</v>
      </c>
      <c r="T1889" s="211" t="str">
        <f>IFERROR(__xludf.DUMMYFUNCTION("""COMPUTED_VALUE"""),"CV. Greenlife Tirta Sentosa")</f>
        <v>CV. Greenlife Tirta Sentosa</v>
      </c>
      <c r="U1889" s="215">
        <f>IFERROR(__xludf.DUMMYFUNCTION("""COMPUTED_VALUE"""),45995.45649305556)</f>
        <v>45995.45649</v>
      </c>
      <c r="V1889" s="211" t="str">
        <f>IFERROR(__xludf.DUMMYFUNCTION("""COMPUTED_VALUE"""),"Jl. Parengan NO.354 Semawut, Balongbendo, Kec. Krian Sidoarjo, Jawa Timur 61263")</f>
        <v>Jl. Parengan NO.354 Semawut, Balongbendo, Kec. Krian Sidoarjo, Jawa Timur 61263</v>
      </c>
      <c r="W1889" s="211" t="str">
        <f>IFERROR(__xludf.DUMMYFUNCTION("""COMPUTED_VALUE"""),"OUT")</f>
        <v>OUT</v>
      </c>
      <c r="X1889" s="211"/>
      <c r="AL1889" s="211"/>
      <c r="AM1889" s="211"/>
      <c r="AN1889" s="211"/>
      <c r="AO1889" s="211"/>
      <c r="AP1889" s="215"/>
      <c r="AQ1889" s="218"/>
      <c r="AR1889" s="211"/>
    </row>
    <row r="1890">
      <c r="A1890" s="210" t="str">
        <f>IFERROR(__xludf.DUMMYFUNCTION("""COMPUTED_VALUE"""),"0925541361")</f>
        <v>0925541361</v>
      </c>
      <c r="B1890" s="210" t="str">
        <f>IFERROR(__xludf.DUMMYFUNCTION("""COMPUTED_VALUE"""),"0925541361")</f>
        <v>0925541361</v>
      </c>
      <c r="C1890" s="213">
        <f>IFERROR(__xludf.DUMMYFUNCTION("""COMPUTED_VALUE"""),45930.51658564815)</f>
        <v>45930.51659</v>
      </c>
      <c r="D1890" s="211" t="str">
        <f>IFERROR(__xludf.DUMMYFUNCTION("""COMPUTED_VALUE"""),"e86baf3b")</f>
        <v>e86baf3b</v>
      </c>
      <c r="E1890" s="211" t="str">
        <f>IFERROR(__xludf.DUMMYFUNCTION("""COMPUTED_VALUE"""),"PT GEMILANG CIPTA WAWASAN")</f>
        <v>PT GEMILANG CIPTA WAWASAN</v>
      </c>
      <c r="F1890" s="211" t="str">
        <f>IFERROR(__xludf.DUMMYFUNCTION("""COMPUTED_VALUE"""),"66af7c72")</f>
        <v>66af7c72</v>
      </c>
      <c r="G1890" s="211" t="str">
        <f>IFERROR(__xludf.DUMMYFUNCTION("""COMPUTED_VALUE"""),"Argon 6m3")</f>
        <v>Argon 6m3</v>
      </c>
      <c r="H1890" s="211" t="str">
        <f>IFERROR(__xludf.DUMMYFUNCTION("""COMPUTED_VALUE"""),"OUT")</f>
        <v>OUT</v>
      </c>
      <c r="I1890" s="211" t="str">
        <f>IFERROR(__xludf.DUMMYFUNCTION("""COMPUTED_VALUE"""),"NORMAL")</f>
        <v>NORMAL</v>
      </c>
      <c r="J1890" s="211">
        <f>IFERROR(__xludf.DUMMYFUNCTION("""COMPUTED_VALUE"""),10.0)</f>
        <v>10</v>
      </c>
      <c r="K1890" s="210" t="str">
        <f>IFERROR(__xludf.DUMMYFUNCTION("""COMPUTED_VALUE"""),"12061 12078 12032 12009 12004 12056 12066 12018 12065 12064")</f>
        <v>12061 12078 12032 12009 12004 12056 12066 12018 12065 12064</v>
      </c>
      <c r="L1890" s="211">
        <f>IFERROR(__xludf.DUMMYFUNCTION("""COMPUTED_VALUE"""),185000.0)</f>
        <v>185000</v>
      </c>
      <c r="M1890" s="211"/>
      <c r="N1890" s="211"/>
      <c r="O1890" s="211"/>
      <c r="Q1890" s="210" t="str">
        <f>IFERROR(__xludf.DUMMYFUNCTION("""COMPUTED_VALUE"""),"1250911")</f>
        <v>1250911</v>
      </c>
      <c r="R1890" s="210" t="str">
        <f>IFERROR(__xludf.DUMMYFUNCTION("""COMPUTED_VALUE"""),"1250911")</f>
        <v>1250911</v>
      </c>
      <c r="S1890" s="211" t="str">
        <f>IFERROR(__xludf.DUMMYFUNCTION("""COMPUTED_VALUE"""),"f98b1e81")</f>
        <v>f98b1e81</v>
      </c>
      <c r="T1890" s="211" t="str">
        <f>IFERROR(__xludf.DUMMYFUNCTION("""COMPUTED_VALUE"""),"CV. Greenlife Tirta Sentosa")</f>
        <v>CV. Greenlife Tirta Sentosa</v>
      </c>
      <c r="U1890" s="215">
        <f>IFERROR(__xludf.DUMMYFUNCTION("""COMPUTED_VALUE"""),45995.48299768518)</f>
        <v>45995.483</v>
      </c>
      <c r="V1890" s="211" t="str">
        <f>IFERROR(__xludf.DUMMYFUNCTION("""COMPUTED_VALUE"""),"Jl. Parengan NO.354 Semawut, Balongbendo, Kec. Krian Sidoarjo, Jawa Timur 61263")</f>
        <v>Jl. Parengan NO.354 Semawut, Balongbendo, Kec. Krian Sidoarjo, Jawa Timur 61263</v>
      </c>
      <c r="W1890" s="211" t="str">
        <f>IFERROR(__xludf.DUMMYFUNCTION("""COMPUTED_VALUE"""),"IN")</f>
        <v>IN</v>
      </c>
      <c r="X1890" s="211"/>
      <c r="AL1890" s="211"/>
      <c r="AM1890" s="211"/>
      <c r="AN1890" s="211"/>
      <c r="AO1890" s="211"/>
      <c r="AP1890" s="215"/>
      <c r="AQ1890" s="218"/>
      <c r="AR1890" s="211"/>
    </row>
    <row r="1891">
      <c r="A1891" s="210" t="str">
        <f>IFERROR(__xludf.DUMMYFUNCTION("""COMPUTED_VALUE"""),"0925541361")</f>
        <v>0925541361</v>
      </c>
      <c r="B1891" s="210" t="str">
        <f>IFERROR(__xludf.DUMMYFUNCTION("""COMPUTED_VALUE"""),"0925541361")</f>
        <v>0925541361</v>
      </c>
      <c r="C1891" s="213">
        <f>IFERROR(__xludf.DUMMYFUNCTION("""COMPUTED_VALUE"""),45930.51658564815)</f>
        <v>45930.51659</v>
      </c>
      <c r="D1891" s="211" t="str">
        <f>IFERROR(__xludf.DUMMYFUNCTION("""COMPUTED_VALUE"""),"e86baf3b")</f>
        <v>e86baf3b</v>
      </c>
      <c r="E1891" s="211" t="str">
        <f>IFERROR(__xludf.DUMMYFUNCTION("""COMPUTED_VALUE"""),"PT GEMILANG CIPTA WAWASAN")</f>
        <v>PT GEMILANG CIPTA WAWASAN</v>
      </c>
      <c r="F1891" s="211" t="str">
        <f>IFERROR(__xludf.DUMMYFUNCTION("""COMPUTED_VALUE"""),"8bdbe149")</f>
        <v>8bdbe149</v>
      </c>
      <c r="G1891" s="211" t="str">
        <f>IFERROR(__xludf.DUMMYFUNCTION("""COMPUTED_VALUE"""),"Oksigen 6m3")</f>
        <v>Oksigen 6m3</v>
      </c>
      <c r="H1891" s="211" t="str">
        <f>IFERROR(__xludf.DUMMYFUNCTION("""COMPUTED_VALUE"""),"OUT")</f>
        <v>OUT</v>
      </c>
      <c r="I1891" s="211" t="str">
        <f>IFERROR(__xludf.DUMMYFUNCTION("""COMPUTED_VALUE"""),"NORMAL")</f>
        <v>NORMAL</v>
      </c>
      <c r="J1891" s="211">
        <f>IFERROR(__xludf.DUMMYFUNCTION("""COMPUTED_VALUE"""),5.0)</f>
        <v>5</v>
      </c>
      <c r="K1891" s="210" t="str">
        <f>IFERROR(__xludf.DUMMYFUNCTION("""COMPUTED_VALUE"""),"1154 11198 11289 11265 11287")</f>
        <v>1154 11198 11289 11265 11287</v>
      </c>
      <c r="L1891" s="211">
        <f>IFERROR(__xludf.DUMMYFUNCTION("""COMPUTED_VALUE"""),60000.0)</f>
        <v>60000</v>
      </c>
      <c r="M1891" s="211"/>
      <c r="N1891" s="211"/>
      <c r="O1891" s="211"/>
      <c r="Q1891" s="210" t="str">
        <f>IFERROR(__xludf.DUMMYFUNCTION("""COMPUTED_VALUE"""),"1225481888")</f>
        <v>1225481888</v>
      </c>
      <c r="R1891" s="210" t="str">
        <f>IFERROR(__xludf.DUMMYFUNCTION("""COMPUTED_VALUE"""),"1225481888")</f>
        <v>1225481888</v>
      </c>
      <c r="S1891" s="211" t="str">
        <f>IFERROR(__xludf.DUMMYFUNCTION("""COMPUTED_VALUE"""),"b2b5f2c5")</f>
        <v>b2b5f2c5</v>
      </c>
      <c r="T1891" s="211" t="str">
        <f>IFERROR(__xludf.DUMMYFUNCTION("""COMPUTED_VALUE"""),"Bengkel Las Bpk. Ari")</f>
        <v>Bengkel Las Bpk. Ari</v>
      </c>
      <c r="U1891" s="215">
        <f>IFERROR(__xludf.DUMMYFUNCTION("""COMPUTED_VALUE"""),45995.55284722222)</f>
        <v>45995.55285</v>
      </c>
      <c r="V1891" s="211" t="str">
        <f>IFERROR(__xludf.DUMMYFUNCTION("""COMPUTED_VALUE"""),"Sumber Kembar, Wonodadi, Kec. Kutorejo, Kabupaten Mojokerto, Jawa Timur")</f>
        <v>Sumber Kembar, Wonodadi, Kec. Kutorejo, Kabupaten Mojokerto, Jawa Timur</v>
      </c>
      <c r="W1891" s="211" t="str">
        <f>IFERROR(__xludf.DUMMYFUNCTION("""COMPUTED_VALUE"""),"OUT")</f>
        <v>OUT</v>
      </c>
      <c r="X1891" s="211"/>
      <c r="AL1891" s="211"/>
      <c r="AM1891" s="211"/>
      <c r="AN1891" s="211"/>
      <c r="AO1891" s="211"/>
      <c r="AP1891" s="215"/>
      <c r="AQ1891" s="218"/>
      <c r="AR1891" s="211"/>
    </row>
    <row r="1892">
      <c r="A1892" s="210" t="str">
        <f>IFERROR(__xludf.DUMMYFUNCTION("""COMPUTED_VALUE"""),"0925121367")</f>
        <v>0925121367</v>
      </c>
      <c r="B1892" s="210" t="str">
        <f>IFERROR(__xludf.DUMMYFUNCTION("""COMPUTED_VALUE"""),"0925121367")</f>
        <v>0925121367</v>
      </c>
      <c r="C1892" s="213">
        <f>IFERROR(__xludf.DUMMYFUNCTION("""COMPUTED_VALUE"""),45930.521840277775)</f>
        <v>45930.52184</v>
      </c>
      <c r="D1892" s="211" t="str">
        <f>IFERROR(__xludf.DUMMYFUNCTION("""COMPUTED_VALUE"""),"e968afef")</f>
        <v>e968afef</v>
      </c>
      <c r="E1892" s="211" t="str">
        <f>IFERROR(__xludf.DUMMYFUNCTION("""COMPUTED_VALUE"""),"Bpk. Agus")</f>
        <v>Bpk. Agus</v>
      </c>
      <c r="F1892" s="211" t="str">
        <f>IFERROR(__xludf.DUMMYFUNCTION("""COMPUTED_VALUE"""),"8bdbe149")</f>
        <v>8bdbe149</v>
      </c>
      <c r="G1892" s="211" t="str">
        <f>IFERROR(__xludf.DUMMYFUNCTION("""COMPUTED_VALUE"""),"Oksigen 6m3")</f>
        <v>Oksigen 6m3</v>
      </c>
      <c r="H1892" s="211" t="str">
        <f>IFERROR(__xludf.DUMMYFUNCTION("""COMPUTED_VALUE"""),"OUT")</f>
        <v>OUT</v>
      </c>
      <c r="I1892" s="211" t="str">
        <f>IFERROR(__xludf.DUMMYFUNCTION("""COMPUTED_VALUE"""),"NORMAL")</f>
        <v>NORMAL</v>
      </c>
      <c r="J1892" s="211">
        <f>IFERROR(__xludf.DUMMYFUNCTION("""COMPUTED_VALUE"""),3.0)</f>
        <v>3</v>
      </c>
      <c r="K1892" s="210" t="str">
        <f>IFERROR(__xludf.DUMMYFUNCTION("""COMPUTED_VALUE"""),"11130 1124 11251")</f>
        <v>11130 1124 11251</v>
      </c>
      <c r="L1892" s="211">
        <f>IFERROR(__xludf.DUMMYFUNCTION("""COMPUTED_VALUE"""),60000.0)</f>
        <v>60000</v>
      </c>
      <c r="M1892" s="211"/>
      <c r="N1892" s="211"/>
      <c r="O1892" s="211"/>
      <c r="Q1892" s="210" t="str">
        <f>IFERROR(__xludf.DUMMYFUNCTION("""COMPUTED_VALUE"""),"1250910")</f>
        <v>1250910</v>
      </c>
      <c r="R1892" s="210" t="str">
        <f>IFERROR(__xludf.DUMMYFUNCTION("""COMPUTED_VALUE"""),"1250910")</f>
        <v>1250910</v>
      </c>
      <c r="S1892" s="211" t="str">
        <f>IFERROR(__xludf.DUMMYFUNCTION("""COMPUTED_VALUE"""),"b2b5f2c5")</f>
        <v>b2b5f2c5</v>
      </c>
      <c r="T1892" s="211" t="str">
        <f>IFERROR(__xludf.DUMMYFUNCTION("""COMPUTED_VALUE"""),"Bengkel Las Bpk. Ari")</f>
        <v>Bengkel Las Bpk. Ari</v>
      </c>
      <c r="U1892" s="215">
        <f>IFERROR(__xludf.DUMMYFUNCTION("""COMPUTED_VALUE"""),45994.64371527778)</f>
        <v>45994.64372</v>
      </c>
      <c r="V1892" s="211" t="str">
        <f>IFERROR(__xludf.DUMMYFUNCTION("""COMPUTED_VALUE"""),"Sumber Kembar, Wonodadi, Kec. Kutorejo, Kabupaten Mojokerto, Jawa Timur")</f>
        <v>Sumber Kembar, Wonodadi, Kec. Kutorejo, Kabupaten Mojokerto, Jawa Timur</v>
      </c>
      <c r="W1892" s="211" t="str">
        <f>IFERROR(__xludf.DUMMYFUNCTION("""COMPUTED_VALUE"""),"IN")</f>
        <v>IN</v>
      </c>
      <c r="X1892" s="211"/>
      <c r="AL1892" s="211"/>
      <c r="AM1892" s="211"/>
      <c r="AN1892" s="211"/>
      <c r="AO1892" s="211"/>
      <c r="AP1892" s="215"/>
      <c r="AQ1892" s="218"/>
      <c r="AR1892" s="211"/>
    </row>
    <row r="1893">
      <c r="A1893" s="210" t="str">
        <f>IFERROR(__xludf.DUMMYFUNCTION("""COMPUTED_VALUE"""),"0925121367")</f>
        <v>0925121367</v>
      </c>
      <c r="B1893" s="210" t="str">
        <f>IFERROR(__xludf.DUMMYFUNCTION("""COMPUTED_VALUE"""),"0925121367")</f>
        <v>0925121367</v>
      </c>
      <c r="C1893" s="213">
        <f>IFERROR(__xludf.DUMMYFUNCTION("""COMPUTED_VALUE"""),45930.521840277775)</f>
        <v>45930.52184</v>
      </c>
      <c r="D1893" s="211" t="str">
        <f>IFERROR(__xludf.DUMMYFUNCTION("""COMPUTED_VALUE"""),"e968afef")</f>
        <v>e968afef</v>
      </c>
      <c r="E1893" s="211" t="str">
        <f>IFERROR(__xludf.DUMMYFUNCTION("""COMPUTED_VALUE"""),"Bpk. Agus")</f>
        <v>Bpk. Agus</v>
      </c>
      <c r="F1893" s="211" t="str">
        <f>IFERROR(__xludf.DUMMYFUNCTION("""COMPUTED_VALUE"""),"7d2764f1")</f>
        <v>7d2764f1</v>
      </c>
      <c r="G1893" s="211" t="str">
        <f>IFERROR(__xludf.DUMMYFUNCTION("""COMPUTED_VALUE"""),"Oksigen 7m3")</f>
        <v>Oksigen 7m3</v>
      </c>
      <c r="H1893" s="211" t="str">
        <f>IFERROR(__xludf.DUMMYFUNCTION("""COMPUTED_VALUE"""),"OUT")</f>
        <v>OUT</v>
      </c>
      <c r="I1893" s="211" t="str">
        <f>IFERROR(__xludf.DUMMYFUNCTION("""COMPUTED_VALUE"""),"NORMAL")</f>
        <v>NORMAL</v>
      </c>
      <c r="J1893" s="211">
        <f>IFERROR(__xludf.DUMMYFUNCTION("""COMPUTED_VALUE"""),3.0)</f>
        <v>3</v>
      </c>
      <c r="K1893" s="210" t="str">
        <f>IFERROR(__xludf.DUMMYFUNCTION("""COMPUTED_VALUE"""),"11145 11168 11153")</f>
        <v>11145 11168 11153</v>
      </c>
      <c r="L1893" s="211">
        <f>IFERROR(__xludf.DUMMYFUNCTION("""COMPUTED_VALUE"""),60000.0)</f>
        <v>60000</v>
      </c>
      <c r="M1893" s="211"/>
      <c r="N1893" s="211"/>
      <c r="O1893" s="211"/>
      <c r="Q1893" s="210" t="str">
        <f>IFERROR(__xludf.DUMMYFUNCTION("""COMPUTED_VALUE"""),"1250897")</f>
        <v>1250897</v>
      </c>
      <c r="R1893" s="210" t="str">
        <f>IFERROR(__xludf.DUMMYFUNCTION("""COMPUTED_VALUE"""),"1250897")</f>
        <v>1250897</v>
      </c>
      <c r="S1893" s="211" t="str">
        <f>IFERROR(__xludf.DUMMYFUNCTION("""COMPUTED_VALUE"""),"440df1db")</f>
        <v>440df1db</v>
      </c>
      <c r="T1893" s="211" t="str">
        <f>IFERROR(__xludf.DUMMYFUNCTION("""COMPUTED_VALUE"""),"PT. Mecca Abadi Sejahtera")</f>
        <v>PT. Mecca Abadi Sejahtera</v>
      </c>
      <c r="U1893" s="215">
        <f>IFERROR(__xludf.DUMMYFUNCTION("""COMPUTED_VALUE"""),45995.64519675926)</f>
        <v>45995.6452</v>
      </c>
      <c r="V1893" s="211" t="str">
        <f>IFERROR(__xludf.DUMMYFUNCTION("""COMPUTED_VALUE"""),"Jl. Raya Sawocangkring, RT.006/RW.002, Sawo, Sawocangkring, Kec. Wonoayu, Kabupaten Sidoarjo, Jawa Timur 61261")</f>
        <v>Jl. Raya Sawocangkring, RT.006/RW.002, Sawo, Sawocangkring, Kec. Wonoayu, Kabupaten Sidoarjo, Jawa Timur 61261</v>
      </c>
      <c r="W1893" s="211" t="str">
        <f>IFERROR(__xludf.DUMMYFUNCTION("""COMPUTED_VALUE"""),"IN")</f>
        <v>IN</v>
      </c>
      <c r="X1893" s="211"/>
      <c r="AL1893" s="211"/>
      <c r="AM1893" s="211"/>
      <c r="AN1893" s="211"/>
      <c r="AO1893" s="211"/>
      <c r="AP1893" s="215"/>
      <c r="AQ1893" s="218"/>
      <c r="AR1893" s="211"/>
    </row>
    <row r="1894">
      <c r="A1894" s="210" t="str">
        <f>IFERROR(__xludf.DUMMYFUNCTION("""COMPUTED_VALUE"""),"0925121367")</f>
        <v>0925121367</v>
      </c>
      <c r="B1894" s="210" t="str">
        <f>IFERROR(__xludf.DUMMYFUNCTION("""COMPUTED_VALUE"""),"0925121367")</f>
        <v>0925121367</v>
      </c>
      <c r="C1894" s="213">
        <f>IFERROR(__xludf.DUMMYFUNCTION("""COMPUTED_VALUE"""),45930.521840277775)</f>
        <v>45930.52184</v>
      </c>
      <c r="D1894" s="211" t="str">
        <f>IFERROR(__xludf.DUMMYFUNCTION("""COMPUTED_VALUE"""),"e968afef")</f>
        <v>e968afef</v>
      </c>
      <c r="E1894" s="211" t="str">
        <f>IFERROR(__xludf.DUMMYFUNCTION("""COMPUTED_VALUE"""),"Bpk. Agus")</f>
        <v>Bpk. Agus</v>
      </c>
      <c r="F1894" s="211" t="str">
        <f>IFERROR(__xludf.DUMMYFUNCTION("""COMPUTED_VALUE"""),"be525f3b")</f>
        <v>be525f3b</v>
      </c>
      <c r="G1894" s="211" t="str">
        <f>IFERROR(__xludf.DUMMYFUNCTION("""COMPUTED_VALUE"""),"LPG 12kg")</f>
        <v>LPG 12kg</v>
      </c>
      <c r="H1894" s="211" t="str">
        <f>IFERROR(__xludf.DUMMYFUNCTION("""COMPUTED_VALUE"""),"OUT")</f>
        <v>OUT</v>
      </c>
      <c r="I1894" s="211" t="str">
        <f>IFERROR(__xludf.DUMMYFUNCTION("""COMPUTED_VALUE"""),"NORMAL")</f>
        <v>NORMAL</v>
      </c>
      <c r="J1894" s="211">
        <f>IFERROR(__xludf.DUMMYFUNCTION("""COMPUTED_VALUE"""),1.0)</f>
        <v>1</v>
      </c>
      <c r="K1894" s="211"/>
      <c r="L1894" s="211">
        <f>IFERROR(__xludf.DUMMYFUNCTION("""COMPUTED_VALUE"""),210000.0)</f>
        <v>210000</v>
      </c>
      <c r="M1894" s="211"/>
      <c r="N1894" s="211"/>
      <c r="O1894" s="211"/>
      <c r="Q1894" s="210" t="str">
        <f>IFERROR(__xludf.DUMMYFUNCTION("""COMPUTED_VALUE"""),"1250919")</f>
        <v>1250919</v>
      </c>
      <c r="R1894" s="210" t="str">
        <f>IFERROR(__xludf.DUMMYFUNCTION("""COMPUTED_VALUE"""),"1250919")</f>
        <v>1250919</v>
      </c>
      <c r="S1894" s="211" t="str">
        <f>IFERROR(__xludf.DUMMYFUNCTION("""COMPUTED_VALUE"""),"b2b5f2c5")</f>
        <v>b2b5f2c5</v>
      </c>
      <c r="T1894" s="211" t="str">
        <f>IFERROR(__xludf.DUMMYFUNCTION("""COMPUTED_VALUE"""),"Bengkel Las Bpk. Ari")</f>
        <v>Bengkel Las Bpk. Ari</v>
      </c>
      <c r="U1894" s="215">
        <f>IFERROR(__xludf.DUMMYFUNCTION("""COMPUTED_VALUE"""),45995.64611111111)</f>
        <v>45995.64611</v>
      </c>
      <c r="V1894" s="211" t="str">
        <f>IFERROR(__xludf.DUMMYFUNCTION("""COMPUTED_VALUE"""),"Sumber Kembar, Wonodadi, Kec. Kutorejo, Kabupaten Mojokerto, Jawa Timur")</f>
        <v>Sumber Kembar, Wonodadi, Kec. Kutorejo, Kabupaten Mojokerto, Jawa Timur</v>
      </c>
      <c r="W1894" s="211" t="str">
        <f>IFERROR(__xludf.DUMMYFUNCTION("""COMPUTED_VALUE"""),"IN")</f>
        <v>IN</v>
      </c>
      <c r="X1894" s="211"/>
      <c r="AL1894" s="211"/>
      <c r="AM1894" s="211"/>
      <c r="AN1894" s="211"/>
      <c r="AO1894" s="211"/>
      <c r="AP1894" s="215"/>
      <c r="AQ1894" s="218"/>
      <c r="AR1894" s="211"/>
    </row>
    <row r="1895">
      <c r="A1895" s="210" t="str">
        <f>IFERROR(__xludf.DUMMYFUNCTION("""COMPUTED_VALUE"""),"1250638")</f>
        <v>1250638</v>
      </c>
      <c r="B1895" s="210" t="str">
        <f>IFERROR(__xludf.DUMMYFUNCTION("""COMPUTED_VALUE"""),"1250638")</f>
        <v>1250638</v>
      </c>
      <c r="C1895" s="213">
        <f>IFERROR(__xludf.DUMMYFUNCTION("""COMPUTED_VALUE"""),45930.53331018519)</f>
        <v>45930.53331</v>
      </c>
      <c r="D1895" s="211" t="str">
        <f>IFERROR(__xludf.DUMMYFUNCTION("""COMPUTED_VALUE"""),"01158be1")</f>
        <v>01158be1</v>
      </c>
      <c r="E1895" s="211" t="str">
        <f>IFERROR(__xludf.DUMMYFUNCTION("""COMPUTED_VALUE"""),"GYF")</f>
        <v>GYF</v>
      </c>
      <c r="F1895" s="211" t="str">
        <f>IFERROR(__xludf.DUMMYFUNCTION("""COMPUTED_VALUE"""),"8bdbe149")</f>
        <v>8bdbe149</v>
      </c>
      <c r="G1895" s="211" t="str">
        <f>IFERROR(__xludf.DUMMYFUNCTION("""COMPUTED_VALUE"""),"Oksigen 6m3")</f>
        <v>Oksigen 6m3</v>
      </c>
      <c r="H1895" s="211" t="str">
        <f>IFERROR(__xludf.DUMMYFUNCTION("""COMPUTED_VALUE"""),"IN")</f>
        <v>IN</v>
      </c>
      <c r="I1895" s="211" t="str">
        <f>IFERROR(__xludf.DUMMYFUNCTION("""COMPUTED_VALUE"""),"EMPTY")</f>
        <v>EMPTY</v>
      </c>
      <c r="J1895" s="211">
        <f>IFERROR(__xludf.DUMMYFUNCTION("""COMPUTED_VALUE"""),10.0)</f>
        <v>10</v>
      </c>
      <c r="K1895" s="210" t="str">
        <f>IFERROR(__xludf.DUMMYFUNCTION("""COMPUTED_VALUE"""),"11201 1171 1152 11105 1109 11182 1155 11247 11238 11211")</f>
        <v>11201 1171 1152 11105 1109 11182 1155 11247 11238 11211</v>
      </c>
      <c r="L1895" s="211">
        <f>IFERROR(__xludf.DUMMYFUNCTION("""COMPUTED_VALUE"""),0.0)</f>
        <v>0</v>
      </c>
      <c r="M1895" s="211"/>
      <c r="N1895" s="211"/>
      <c r="O1895" s="211"/>
      <c r="Q1895" s="210" t="str">
        <f>IFERROR(__xludf.DUMMYFUNCTION("""COMPUTED_VALUE"""),"122521892")</f>
        <v>122521892</v>
      </c>
      <c r="R1895" s="210" t="str">
        <f>IFERROR(__xludf.DUMMYFUNCTION("""COMPUTED_VALUE"""),"122521892")</f>
        <v>122521892</v>
      </c>
      <c r="S1895" s="211" t="str">
        <f>IFERROR(__xludf.DUMMYFUNCTION("""COMPUTED_VALUE"""),"3b04351a")</f>
        <v>3b04351a</v>
      </c>
      <c r="T1895" s="211" t="str">
        <f>IFERROR(__xludf.DUMMYFUNCTION("""COMPUTED_VALUE"""),"CV Usaha Logam Jaya ( Bpk Putra )")</f>
        <v>CV Usaha Logam Jaya ( Bpk Putra )</v>
      </c>
      <c r="U1895" s="215">
        <f>IFERROR(__xludf.DUMMYFUNCTION("""COMPUTED_VALUE"""),45996.359502314815)</f>
        <v>45996.3595</v>
      </c>
      <c r="V1895" s="211" t="str">
        <f>IFERROR(__xludf.DUMMYFUNCTION("""COMPUTED_VALUE"""),"Jl. Raya Wringinanom, Sidomoro, Pasinan Lemahputih, Kec. Wringinanom, Kabupaten Gresik, Jawa Timur 61176")</f>
        <v>Jl. Raya Wringinanom, Sidomoro, Pasinan Lemahputih, Kec. Wringinanom, Kabupaten Gresik, Jawa Timur 61176</v>
      </c>
      <c r="W1895" s="211" t="str">
        <f>IFERROR(__xludf.DUMMYFUNCTION("""COMPUTED_VALUE"""),"OUT")</f>
        <v>OUT</v>
      </c>
      <c r="X1895" s="211"/>
      <c r="AL1895" s="211"/>
      <c r="AM1895" s="211"/>
      <c r="AN1895" s="211"/>
      <c r="AO1895" s="211"/>
      <c r="AP1895" s="215"/>
      <c r="AQ1895" s="218"/>
      <c r="AR1895" s="211"/>
    </row>
    <row r="1896">
      <c r="A1896" s="210" t="str">
        <f>IFERROR(__xludf.DUMMYFUNCTION("""COMPUTED_VALUE"""),"1025141368")</f>
        <v>1025141368</v>
      </c>
      <c r="B1896" s="210" t="str">
        <f>IFERROR(__xludf.DUMMYFUNCTION("""COMPUTED_VALUE"""),"1025141368")</f>
        <v>1025141368</v>
      </c>
      <c r="C1896" s="213">
        <f>IFERROR(__xludf.DUMMYFUNCTION("""COMPUTED_VALUE"""),45931.41202546296)</f>
        <v>45931.41203</v>
      </c>
      <c r="D1896" s="211" t="str">
        <f>IFERROR(__xludf.DUMMYFUNCTION("""COMPUTED_VALUE"""),"b218b89b")</f>
        <v>b218b89b</v>
      </c>
      <c r="E1896" s="211" t="str">
        <f>IFERROR(__xludf.DUMMYFUNCTION("""COMPUTED_VALUE"""),"PT Harapan Sentosa")</f>
        <v>PT Harapan Sentosa</v>
      </c>
      <c r="F1896" s="211" t="str">
        <f>IFERROR(__xludf.DUMMYFUNCTION("""COMPUTED_VALUE"""),"7d2764f1")</f>
        <v>7d2764f1</v>
      </c>
      <c r="G1896" s="211" t="str">
        <f>IFERROR(__xludf.DUMMYFUNCTION("""COMPUTED_VALUE"""),"Oksigen 7m3")</f>
        <v>Oksigen 7m3</v>
      </c>
      <c r="H1896" s="211" t="str">
        <f>IFERROR(__xludf.DUMMYFUNCTION("""COMPUTED_VALUE"""),"OUT")</f>
        <v>OUT</v>
      </c>
      <c r="I1896" s="211" t="str">
        <f>IFERROR(__xludf.DUMMYFUNCTION("""COMPUTED_VALUE"""),"NORMAL")</f>
        <v>NORMAL</v>
      </c>
      <c r="J1896" s="211">
        <f>IFERROR(__xludf.DUMMYFUNCTION("""COMPUTED_VALUE"""),4.0)</f>
        <v>4</v>
      </c>
      <c r="K1896" s="210" t="str">
        <f>IFERROR(__xludf.DUMMYFUNCTION("""COMPUTED_VALUE"""),"11223 11219 11213 1161")</f>
        <v>11223 11219 11213 1161</v>
      </c>
      <c r="L1896" s="211">
        <f>IFERROR(__xludf.DUMMYFUNCTION("""COMPUTED_VALUE"""),70000.0)</f>
        <v>70000</v>
      </c>
      <c r="M1896" s="211"/>
      <c r="N1896" s="211"/>
      <c r="O1896" s="211"/>
      <c r="Q1896" s="210" t="str">
        <f>IFERROR(__xludf.DUMMYFUNCTION("""COMPUTED_VALUE"""),"122551896")</f>
        <v>122551896</v>
      </c>
      <c r="R1896" s="210" t="str">
        <f>IFERROR(__xludf.DUMMYFUNCTION("""COMPUTED_VALUE"""),"122551896")</f>
        <v>122551896</v>
      </c>
      <c r="S1896" s="211" t="str">
        <f>IFERROR(__xludf.DUMMYFUNCTION("""COMPUTED_VALUE"""),"ba97d58d")</f>
        <v>ba97d58d</v>
      </c>
      <c r="T1896" s="211" t="str">
        <f>IFERROR(__xludf.DUMMYFUNCTION("""COMPUTED_VALUE"""),"Bengkel Citra Mojosari")</f>
        <v>Bengkel Citra Mojosari</v>
      </c>
      <c r="U1896" s="215">
        <f>IFERROR(__xludf.DUMMYFUNCTION("""COMPUTED_VALUE"""),45996.401238425926)</f>
        <v>45996.40124</v>
      </c>
      <c r="V1896" s="211" t="str">
        <f>IFERROR(__xludf.DUMMYFUNCTION("""COMPUTED_VALUE"""),"Jl. Raden Wijaya, Kemloko, Jotangan, Kec. Mojosari, Kabupaten Mojokerto, Jawa Timur 61382")</f>
        <v>Jl. Raden Wijaya, Kemloko, Jotangan, Kec. Mojosari, Kabupaten Mojokerto, Jawa Timur 61382</v>
      </c>
      <c r="W1896" s="211" t="str">
        <f>IFERROR(__xludf.DUMMYFUNCTION("""COMPUTED_VALUE"""),"OUT")</f>
        <v>OUT</v>
      </c>
      <c r="X1896" s="211"/>
      <c r="AL1896" s="211"/>
      <c r="AM1896" s="211"/>
      <c r="AN1896" s="211"/>
      <c r="AO1896" s="211"/>
      <c r="AP1896" s="215"/>
      <c r="AQ1896" s="218"/>
      <c r="AR1896" s="211"/>
    </row>
    <row r="1897">
      <c r="A1897" s="210" t="str">
        <f>IFERROR(__xludf.DUMMYFUNCTION("""COMPUTED_VALUE"""),"1025141370")</f>
        <v>1025141370</v>
      </c>
      <c r="B1897" s="210" t="str">
        <f>IFERROR(__xludf.DUMMYFUNCTION("""COMPUTED_VALUE"""),"1025141370")</f>
        <v>1025141370</v>
      </c>
      <c r="C1897" s="213">
        <f>IFERROR(__xludf.DUMMYFUNCTION("""COMPUTED_VALUE"""),45932.35099537037)</f>
        <v>45932.351</v>
      </c>
      <c r="D1897" s="211" t="str">
        <f>IFERROR(__xludf.DUMMYFUNCTION("""COMPUTED_VALUE"""),"3bcd7fe6")</f>
        <v>3bcd7fe6</v>
      </c>
      <c r="E1897" s="211" t="str">
        <f>IFERROR(__xludf.DUMMYFUNCTION("""COMPUTED_VALUE"""),"Bpk. Alvin (LB Group)")</f>
        <v>Bpk. Alvin (LB Group)</v>
      </c>
      <c r="F1897" s="211" t="str">
        <f>IFERROR(__xludf.DUMMYFUNCTION("""COMPUTED_VALUE"""),"8bdbe149")</f>
        <v>8bdbe149</v>
      </c>
      <c r="G1897" s="211" t="str">
        <f>IFERROR(__xludf.DUMMYFUNCTION("""COMPUTED_VALUE"""),"Oksigen 6m3")</f>
        <v>Oksigen 6m3</v>
      </c>
      <c r="H1897" s="211" t="str">
        <f>IFERROR(__xludf.DUMMYFUNCTION("""COMPUTED_VALUE"""),"OUT")</f>
        <v>OUT</v>
      </c>
      <c r="I1897" s="211" t="str">
        <f>IFERROR(__xludf.DUMMYFUNCTION("""COMPUTED_VALUE"""),"NORMAL")</f>
        <v>NORMAL</v>
      </c>
      <c r="J1897" s="211">
        <f>IFERROR(__xludf.DUMMYFUNCTION("""COMPUTED_VALUE"""),4.0)</f>
        <v>4</v>
      </c>
      <c r="K1897" s="210" t="str">
        <f>IFERROR(__xludf.DUMMYFUNCTION("""COMPUTED_VALUE"""),"1121 1152 1151 1193")</f>
        <v>1121 1152 1151 1193</v>
      </c>
      <c r="L1897" s="211">
        <f>IFERROR(__xludf.DUMMYFUNCTION("""COMPUTED_VALUE"""),50000.0)</f>
        <v>50000</v>
      </c>
      <c r="M1897" s="211"/>
      <c r="N1897" s="211"/>
      <c r="O1897" s="211"/>
      <c r="Q1897" s="210" t="str">
        <f>IFERROR(__xludf.DUMMYFUNCTION("""COMPUTED_VALUE"""),"1225491897")</f>
        <v>1225491897</v>
      </c>
      <c r="R1897" s="210" t="str">
        <f>IFERROR(__xludf.DUMMYFUNCTION("""COMPUTED_VALUE"""),"1225491897")</f>
        <v>1225491897</v>
      </c>
      <c r="S1897" s="211" t="str">
        <f>IFERROR(__xludf.DUMMYFUNCTION("""COMPUTED_VALUE"""),"b2b5f2c5")</f>
        <v>b2b5f2c5</v>
      </c>
      <c r="T1897" s="211" t="str">
        <f>IFERROR(__xludf.DUMMYFUNCTION("""COMPUTED_VALUE"""),"Bengkel Las Bpk. Ari")</f>
        <v>Bengkel Las Bpk. Ari</v>
      </c>
      <c r="U1897" s="215">
        <f>IFERROR(__xludf.DUMMYFUNCTION("""COMPUTED_VALUE"""),45996.44328703704)</f>
        <v>45996.44329</v>
      </c>
      <c r="V1897" s="211" t="str">
        <f>IFERROR(__xludf.DUMMYFUNCTION("""COMPUTED_VALUE"""),"Sumber Kembar, Wonodadi, Kec. Kutorejo, Kabupaten Mojokerto, Jawa Timur")</f>
        <v>Sumber Kembar, Wonodadi, Kec. Kutorejo, Kabupaten Mojokerto, Jawa Timur</v>
      </c>
      <c r="W1897" s="211" t="str">
        <f>IFERROR(__xludf.DUMMYFUNCTION("""COMPUTED_VALUE"""),"OUT")</f>
        <v>OUT</v>
      </c>
      <c r="X1897" s="211"/>
      <c r="AL1897" s="211"/>
      <c r="AM1897" s="211"/>
      <c r="AN1897" s="211"/>
      <c r="AO1897" s="211"/>
      <c r="AP1897" s="215"/>
      <c r="AQ1897" s="218"/>
      <c r="AR1897" s="211"/>
    </row>
    <row r="1898">
      <c r="A1898" s="210" t="str">
        <f>IFERROR(__xludf.DUMMYFUNCTION("""COMPUTED_VALUE"""),"102511371")</f>
        <v>102511371</v>
      </c>
      <c r="B1898" s="210" t="str">
        <f>IFERROR(__xludf.DUMMYFUNCTION("""COMPUTED_VALUE"""),"102511371")</f>
        <v>102511371</v>
      </c>
      <c r="C1898" s="213">
        <f>IFERROR(__xludf.DUMMYFUNCTION("""COMPUTED_VALUE"""),45932.35375)</f>
        <v>45932.35375</v>
      </c>
      <c r="D1898" s="211" t="str">
        <f>IFERROR(__xludf.DUMMYFUNCTION("""COMPUTED_VALUE"""),"4c3a2a5f")</f>
        <v>4c3a2a5f</v>
      </c>
      <c r="E1898" s="211" t="str">
        <f>IFERROR(__xludf.DUMMYFUNCTION("""COMPUTED_VALUE"""),"CV Matahari Mitra Sukses")</f>
        <v>CV Matahari Mitra Sukses</v>
      </c>
      <c r="F1898" s="211" t="str">
        <f>IFERROR(__xludf.DUMMYFUNCTION("""COMPUTED_VALUE"""),"66af7c72")</f>
        <v>66af7c72</v>
      </c>
      <c r="G1898" s="211" t="str">
        <f>IFERROR(__xludf.DUMMYFUNCTION("""COMPUTED_VALUE"""),"Argon 6m3")</f>
        <v>Argon 6m3</v>
      </c>
      <c r="H1898" s="211" t="str">
        <f>IFERROR(__xludf.DUMMYFUNCTION("""COMPUTED_VALUE"""),"OUT")</f>
        <v>OUT</v>
      </c>
      <c r="I1898" s="211" t="str">
        <f>IFERROR(__xludf.DUMMYFUNCTION("""COMPUTED_VALUE"""),"NORMAL")</f>
        <v>NORMAL</v>
      </c>
      <c r="J1898" s="211">
        <f>IFERROR(__xludf.DUMMYFUNCTION("""COMPUTED_VALUE"""),3.0)</f>
        <v>3</v>
      </c>
      <c r="K1898" s="210" t="str">
        <f>IFERROR(__xludf.DUMMYFUNCTION("""COMPUTED_VALUE"""),"12013 12014 12020")</f>
        <v>12013 12014 12020</v>
      </c>
      <c r="L1898" s="211">
        <f>IFERROR(__xludf.DUMMYFUNCTION("""COMPUTED_VALUE"""),220000.0)</f>
        <v>220000</v>
      </c>
      <c r="M1898" s="211"/>
      <c r="N1898" s="211"/>
      <c r="O1898" s="211"/>
      <c r="Q1898" s="210" t="str">
        <f>IFERROR(__xludf.DUMMYFUNCTION("""COMPUTED_VALUE"""),"1250918")</f>
        <v>1250918</v>
      </c>
      <c r="R1898" s="210" t="str">
        <f>IFERROR(__xludf.DUMMYFUNCTION("""COMPUTED_VALUE"""),"1250918")</f>
        <v>1250918</v>
      </c>
      <c r="S1898" s="211" t="str">
        <f>IFERROR(__xludf.DUMMYFUNCTION("""COMPUTED_VALUE"""),"b2b5f2c5")</f>
        <v>b2b5f2c5</v>
      </c>
      <c r="T1898" s="211" t="str">
        <f>IFERROR(__xludf.DUMMYFUNCTION("""COMPUTED_VALUE"""),"Bengkel Las Bpk. Ari")</f>
        <v>Bengkel Las Bpk. Ari</v>
      </c>
      <c r="U1898" s="215">
        <f>IFERROR(__xludf.DUMMYFUNCTION("""COMPUTED_VALUE"""),45996.612129629626)</f>
        <v>45996.61213</v>
      </c>
      <c r="V1898" s="211" t="str">
        <f>IFERROR(__xludf.DUMMYFUNCTION("""COMPUTED_VALUE"""),"Sumber Kembar, Wonodadi, Kec. Kutorejo, Kabupaten Mojokerto, Jawa Timur")</f>
        <v>Sumber Kembar, Wonodadi, Kec. Kutorejo, Kabupaten Mojokerto, Jawa Timur</v>
      </c>
      <c r="W1898" s="211" t="str">
        <f>IFERROR(__xludf.DUMMYFUNCTION("""COMPUTED_VALUE"""),"IN")</f>
        <v>IN</v>
      </c>
      <c r="X1898" s="211"/>
      <c r="AL1898" s="211"/>
      <c r="AM1898" s="211"/>
      <c r="AN1898" s="211"/>
      <c r="AO1898" s="211"/>
      <c r="AP1898" s="215"/>
      <c r="AQ1898" s="218"/>
      <c r="AR1898" s="211"/>
    </row>
    <row r="1899">
      <c r="A1899" s="210" t="str">
        <f>IFERROR(__xludf.DUMMYFUNCTION("""COMPUTED_VALUE"""),"1025241372")</f>
        <v>1025241372</v>
      </c>
      <c r="B1899" s="210" t="str">
        <f>IFERROR(__xludf.DUMMYFUNCTION("""COMPUTED_VALUE"""),"1025241372")</f>
        <v>1025241372</v>
      </c>
      <c r="C1899" s="213">
        <f>IFERROR(__xludf.DUMMYFUNCTION("""COMPUTED_VALUE"""),45933.3468287037)</f>
        <v>45933.34683</v>
      </c>
      <c r="D1899" s="211" t="str">
        <f>IFERROR(__xludf.DUMMYFUNCTION("""COMPUTED_VALUE"""),"2d88931c")</f>
        <v>2d88931c</v>
      </c>
      <c r="E1899" s="211" t="str">
        <f>IFERROR(__xludf.DUMMYFUNCTION("""COMPUTED_VALUE"""),"PT Dunia Berkat Marga Mulya")</f>
        <v>PT Dunia Berkat Marga Mulya</v>
      </c>
      <c r="F1899" s="211" t="str">
        <f>IFERROR(__xludf.DUMMYFUNCTION("""COMPUTED_VALUE"""),"8bdbe149")</f>
        <v>8bdbe149</v>
      </c>
      <c r="G1899" s="211" t="str">
        <f>IFERROR(__xludf.DUMMYFUNCTION("""COMPUTED_VALUE"""),"Oksigen 6m3")</f>
        <v>Oksigen 6m3</v>
      </c>
      <c r="H1899" s="211" t="str">
        <f>IFERROR(__xludf.DUMMYFUNCTION("""COMPUTED_VALUE"""),"OUT")</f>
        <v>OUT</v>
      </c>
      <c r="I1899" s="211" t="str">
        <f>IFERROR(__xludf.DUMMYFUNCTION("""COMPUTED_VALUE"""),"NORMAL")</f>
        <v>NORMAL</v>
      </c>
      <c r="J1899" s="211">
        <f>IFERROR(__xludf.DUMMYFUNCTION("""COMPUTED_VALUE"""),5.0)</f>
        <v>5</v>
      </c>
      <c r="K1899" s="210" t="str">
        <f>IFERROR(__xludf.DUMMYFUNCTION("""COMPUTED_VALUE"""),"11247 1120 11240 11275 1115")</f>
        <v>11247 1120 11240 11275 1115</v>
      </c>
      <c r="L1899" s="211">
        <f>IFERROR(__xludf.DUMMYFUNCTION("""COMPUTED_VALUE"""),60000.0)</f>
        <v>60000</v>
      </c>
      <c r="M1899" s="211"/>
      <c r="N1899" s="211"/>
      <c r="O1899" s="211"/>
      <c r="Q1899" s="210" t="str">
        <f>IFERROR(__xludf.DUMMYFUNCTION("""COMPUTED_VALUE"""),"1225381898")</f>
        <v>1225381898</v>
      </c>
      <c r="R1899" s="210" t="str">
        <f>IFERROR(__xludf.DUMMYFUNCTION("""COMPUTED_VALUE"""),"1225381898")</f>
        <v>1225381898</v>
      </c>
      <c r="S1899" s="211" t="str">
        <f>IFERROR(__xludf.DUMMYFUNCTION("""COMPUTED_VALUE"""),"01158be1")</f>
        <v>01158be1</v>
      </c>
      <c r="T1899" s="211" t="str">
        <f>IFERROR(__xludf.DUMMYFUNCTION("""COMPUTED_VALUE"""),"GYF")</f>
        <v>GYF</v>
      </c>
      <c r="U1899" s="215">
        <f>IFERROR(__xludf.DUMMYFUNCTION("""COMPUTED_VALUE"""),45996.614756944444)</f>
        <v>45996.61476</v>
      </c>
      <c r="V1899" s="211" t="str">
        <f>IFERROR(__xludf.DUMMYFUNCTION("""COMPUTED_VALUE"""),"Kangkungan, Lengkong, Kec. Mojoanyar, Kabupaten Mojokerto, Jawa Timur")</f>
        <v>Kangkungan, Lengkong, Kec. Mojoanyar, Kabupaten Mojokerto, Jawa Timur</v>
      </c>
      <c r="W1899" s="211" t="str">
        <f>IFERROR(__xludf.DUMMYFUNCTION("""COMPUTED_VALUE"""),"OUT")</f>
        <v>OUT</v>
      </c>
      <c r="X1899" s="211"/>
      <c r="AL1899" s="211"/>
      <c r="AM1899" s="211"/>
      <c r="AN1899" s="211"/>
      <c r="AO1899" s="211"/>
      <c r="AP1899" s="215"/>
      <c r="AQ1899" s="218"/>
      <c r="AR1899" s="211"/>
    </row>
    <row r="1900">
      <c r="A1900" s="210" t="str">
        <f>IFERROR(__xludf.DUMMYFUNCTION("""COMPUTED_VALUE"""),"102511373")</f>
        <v>102511373</v>
      </c>
      <c r="B1900" s="210" t="str">
        <f>IFERROR(__xludf.DUMMYFUNCTION("""COMPUTED_VALUE"""),"102511373")</f>
        <v>102511373</v>
      </c>
      <c r="C1900" s="213">
        <f>IFERROR(__xludf.DUMMYFUNCTION("""COMPUTED_VALUE"""),45933.348541666666)</f>
        <v>45933.34854</v>
      </c>
      <c r="D1900" s="211" t="str">
        <f>IFERROR(__xludf.DUMMYFUNCTION("""COMPUTED_VALUE"""),"21ff9b6f")</f>
        <v>21ff9b6f</v>
      </c>
      <c r="E1900" s="211" t="str">
        <f>IFERROR(__xludf.DUMMYFUNCTION("""COMPUTED_VALUE"""),"Bpk. Khoirul Anam")</f>
        <v>Bpk. Khoirul Anam</v>
      </c>
      <c r="F1900" s="211" t="str">
        <f>IFERROR(__xludf.DUMMYFUNCTION("""COMPUTED_VALUE"""),"8bdbe149")</f>
        <v>8bdbe149</v>
      </c>
      <c r="G1900" s="211" t="str">
        <f>IFERROR(__xludf.DUMMYFUNCTION("""COMPUTED_VALUE"""),"Oksigen 6m3")</f>
        <v>Oksigen 6m3</v>
      </c>
      <c r="H1900" s="211" t="str">
        <f>IFERROR(__xludf.DUMMYFUNCTION("""COMPUTED_VALUE"""),"OUT")</f>
        <v>OUT</v>
      </c>
      <c r="I1900" s="211" t="str">
        <f>IFERROR(__xludf.DUMMYFUNCTION("""COMPUTED_VALUE"""),"NORMAL")</f>
        <v>NORMAL</v>
      </c>
      <c r="J1900" s="211">
        <f>IFERROR(__xludf.DUMMYFUNCTION("""COMPUTED_VALUE"""),6.0)</f>
        <v>6</v>
      </c>
      <c r="K1900" s="210" t="str">
        <f>IFERROR(__xludf.DUMMYFUNCTION("""COMPUTED_VALUE"""),"11182 1171 11211 11238 11276 1199")</f>
        <v>11182 1171 11211 11238 11276 1199</v>
      </c>
      <c r="L1900" s="211">
        <f>IFERROR(__xludf.DUMMYFUNCTION("""COMPUTED_VALUE"""),70000.0)</f>
        <v>70000</v>
      </c>
      <c r="M1900" s="211"/>
      <c r="N1900" s="211"/>
      <c r="O1900" s="211"/>
      <c r="Q1900" s="210" t="str">
        <f>IFERROR(__xludf.DUMMYFUNCTION("""COMPUTED_VALUE"""),"1250917")</f>
        <v>1250917</v>
      </c>
      <c r="R1900" s="210" t="str">
        <f>IFERROR(__xludf.DUMMYFUNCTION("""COMPUTED_VALUE"""),"1250917")</f>
        <v>1250917</v>
      </c>
      <c r="S1900" s="211" t="str">
        <f>IFERROR(__xludf.DUMMYFUNCTION("""COMPUTED_VALUE"""),"ba97d58d")</f>
        <v>ba97d58d</v>
      </c>
      <c r="T1900" s="211" t="str">
        <f>IFERROR(__xludf.DUMMYFUNCTION("""COMPUTED_VALUE"""),"Bengkel Citra Mojosari")</f>
        <v>Bengkel Citra Mojosari</v>
      </c>
      <c r="U1900" s="215">
        <f>IFERROR(__xludf.DUMMYFUNCTION("""COMPUTED_VALUE"""),45996.619525462964)</f>
        <v>45996.61953</v>
      </c>
      <c r="V1900" s="211" t="str">
        <f>IFERROR(__xludf.DUMMYFUNCTION("""COMPUTED_VALUE"""),"Jl. Raden Wijaya, Kemloko, Jotangan, Kec. Mojosari, Kabupaten Mojokerto, Jawa Timur 61382")</f>
        <v>Jl. Raden Wijaya, Kemloko, Jotangan, Kec. Mojosari, Kabupaten Mojokerto, Jawa Timur 61382</v>
      </c>
      <c r="W1900" s="211" t="str">
        <f>IFERROR(__xludf.DUMMYFUNCTION("""COMPUTED_VALUE"""),"IN")</f>
        <v>IN</v>
      </c>
      <c r="X1900" s="211"/>
      <c r="AL1900" s="211"/>
      <c r="AM1900" s="211"/>
      <c r="AN1900" s="211"/>
      <c r="AO1900" s="211"/>
      <c r="AP1900" s="215"/>
      <c r="AQ1900" s="218"/>
      <c r="AR1900" s="211"/>
    </row>
    <row r="1901">
      <c r="A1901" s="210" t="str">
        <f>IFERROR(__xludf.DUMMYFUNCTION("""COMPUTED_VALUE"""),"1025201374")</f>
        <v>1025201374</v>
      </c>
      <c r="B1901" s="210" t="str">
        <f>IFERROR(__xludf.DUMMYFUNCTION("""COMPUTED_VALUE"""),"1025201374")</f>
        <v>1025201374</v>
      </c>
      <c r="C1901" s="213">
        <f>IFERROR(__xludf.DUMMYFUNCTION("""COMPUTED_VALUE"""),45933.404386574075)</f>
        <v>45933.40439</v>
      </c>
      <c r="D1901" s="211" t="str">
        <f>IFERROR(__xludf.DUMMYFUNCTION("""COMPUTED_VALUE"""),"7b9d8eba")</f>
        <v>7b9d8eba</v>
      </c>
      <c r="E1901" s="211" t="str">
        <f>IFERROR(__xludf.DUMMYFUNCTION("""COMPUTED_VALUE"""),"PT PELANGI INDOKARYA")</f>
        <v>PT PELANGI INDOKARYA</v>
      </c>
      <c r="F1901" s="211" t="str">
        <f>IFERROR(__xludf.DUMMYFUNCTION("""COMPUTED_VALUE"""),"b7a8fff1")</f>
        <v>b7a8fff1</v>
      </c>
      <c r="G1901" s="211" t="str">
        <f>IFERROR(__xludf.DUMMYFUNCTION("""COMPUTED_VALUE"""),"LPG 50kg")</f>
        <v>LPG 50kg</v>
      </c>
      <c r="H1901" s="211" t="str">
        <f>IFERROR(__xludf.DUMMYFUNCTION("""COMPUTED_VALUE"""),"OUT")</f>
        <v>OUT</v>
      </c>
      <c r="I1901" s="211" t="str">
        <f>IFERROR(__xludf.DUMMYFUNCTION("""COMPUTED_VALUE"""),"NORMAL")</f>
        <v>NORMAL</v>
      </c>
      <c r="J1901" s="211">
        <f>IFERROR(__xludf.DUMMYFUNCTION("""COMPUTED_VALUE"""),1.0)</f>
        <v>1</v>
      </c>
      <c r="K1901" s="210" t="str">
        <f>IFERROR(__xludf.DUMMYFUNCTION("""COMPUTED_VALUE"""),"01")</f>
        <v>01</v>
      </c>
      <c r="L1901" s="211">
        <f>IFERROR(__xludf.DUMMYFUNCTION("""COMPUTED_VALUE"""),1000000.0)</f>
        <v>1000000</v>
      </c>
      <c r="M1901" s="211"/>
      <c r="N1901" s="211"/>
      <c r="O1901" s="211"/>
      <c r="Q1901" s="210" t="str">
        <f>IFERROR(__xludf.DUMMYFUNCTION("""COMPUTED_VALUE"""),"1250914")</f>
        <v>1250914</v>
      </c>
      <c r="R1901" s="210" t="str">
        <f>IFERROR(__xludf.DUMMYFUNCTION("""COMPUTED_VALUE"""),"1250914")</f>
        <v>1250914</v>
      </c>
      <c r="S1901" s="211" t="str">
        <f>IFERROR(__xludf.DUMMYFUNCTION("""COMPUTED_VALUE"""),"01158be1")</f>
        <v>01158be1</v>
      </c>
      <c r="T1901" s="211" t="str">
        <f>IFERROR(__xludf.DUMMYFUNCTION("""COMPUTED_VALUE"""),"GYF")</f>
        <v>GYF</v>
      </c>
      <c r="U1901" s="215">
        <f>IFERROR(__xludf.DUMMYFUNCTION("""COMPUTED_VALUE"""),45996.69857638889)</f>
        <v>45996.69858</v>
      </c>
      <c r="V1901" s="211" t="str">
        <f>IFERROR(__xludf.DUMMYFUNCTION("""COMPUTED_VALUE"""),"Kangkungan, Lengkong, Kec. Mojoanyar, Kabupaten Mojokerto, Jawa Timur")</f>
        <v>Kangkungan, Lengkong, Kec. Mojoanyar, Kabupaten Mojokerto, Jawa Timur</v>
      </c>
      <c r="W1901" s="211" t="str">
        <f>IFERROR(__xludf.DUMMYFUNCTION("""COMPUTED_VALUE"""),"IN")</f>
        <v>IN</v>
      </c>
      <c r="X1901" s="211"/>
      <c r="AL1901" s="211"/>
      <c r="AM1901" s="211"/>
      <c r="AN1901" s="211"/>
      <c r="AO1901" s="211"/>
      <c r="AP1901" s="215"/>
      <c r="AQ1901" s="218"/>
      <c r="AR1901" s="211"/>
    </row>
    <row r="1902">
      <c r="A1902" s="210" t="str">
        <f>IFERROR(__xludf.DUMMYFUNCTION("""COMPUTED_VALUE"""),"1250618")</f>
        <v>1250618</v>
      </c>
      <c r="B1902" s="210" t="str">
        <f>IFERROR(__xludf.DUMMYFUNCTION("""COMPUTED_VALUE"""),"1250618")</f>
        <v>1250618</v>
      </c>
      <c r="C1902" s="213">
        <f>IFERROR(__xludf.DUMMYFUNCTION("""COMPUTED_VALUE"""),45933.40773148148)</f>
        <v>45933.40773</v>
      </c>
      <c r="D1902" s="211" t="str">
        <f>IFERROR(__xludf.DUMMYFUNCTION("""COMPUTED_VALUE"""),"785e0e07")</f>
        <v>785e0e07</v>
      </c>
      <c r="E1902" s="211" t="str">
        <f>IFERROR(__xludf.DUMMYFUNCTION("""COMPUTED_VALUE"""),"Bpk. Sukirno (Bejo)")</f>
        <v>Bpk. Sukirno (Bejo)</v>
      </c>
      <c r="F1902" s="211" t="str">
        <f>IFERROR(__xludf.DUMMYFUNCTION("""COMPUTED_VALUE"""),"8bdbe149")</f>
        <v>8bdbe149</v>
      </c>
      <c r="G1902" s="211" t="str">
        <f>IFERROR(__xludf.DUMMYFUNCTION("""COMPUTED_VALUE"""),"Oksigen 6m3")</f>
        <v>Oksigen 6m3</v>
      </c>
      <c r="H1902" s="211" t="str">
        <f>IFERROR(__xludf.DUMMYFUNCTION("""COMPUTED_VALUE"""),"IN")</f>
        <v>IN</v>
      </c>
      <c r="I1902" s="211" t="str">
        <f>IFERROR(__xludf.DUMMYFUNCTION("""COMPUTED_VALUE"""),"EMPTY")</f>
        <v>EMPTY</v>
      </c>
      <c r="J1902" s="211">
        <f>IFERROR(__xludf.DUMMYFUNCTION("""COMPUTED_VALUE"""),5.0)</f>
        <v>5</v>
      </c>
      <c r="K1902" s="210" t="str">
        <f>IFERROR(__xludf.DUMMYFUNCTION("""COMPUTED_VALUE"""),"11169 11166 11150 11164 11146")</f>
        <v>11169 11166 11150 11164 11146</v>
      </c>
      <c r="L1902" s="211">
        <f>IFERROR(__xludf.DUMMYFUNCTION("""COMPUTED_VALUE"""),0.0)</f>
        <v>0</v>
      </c>
      <c r="M1902" s="211"/>
      <c r="N1902" s="211"/>
      <c r="O1902" s="211"/>
      <c r="Q1902" s="210" t="str">
        <f>IFERROR(__xludf.DUMMYFUNCTION("""COMPUTED_VALUE"""),"122531900")</f>
        <v>122531900</v>
      </c>
      <c r="R1902" s="210" t="str">
        <f>IFERROR(__xludf.DUMMYFUNCTION("""COMPUTED_VALUE"""),"122531900")</f>
        <v>122531900</v>
      </c>
      <c r="S1902" s="211" t="str">
        <f>IFERROR(__xludf.DUMMYFUNCTION("""COMPUTED_VALUE"""),"3a48ba8b")</f>
        <v>3a48ba8b</v>
      </c>
      <c r="T1902" s="211" t="str">
        <f>IFERROR(__xludf.DUMMYFUNCTION("""COMPUTED_VALUE"""),"Bpk. Kacung")</f>
        <v>Bpk. Kacung</v>
      </c>
      <c r="U1902" s="215">
        <f>IFERROR(__xludf.DUMMYFUNCTION("""COMPUTED_VALUE"""),45997.371724537035)</f>
        <v>45997.37172</v>
      </c>
      <c r="V1902" s="211" t="str">
        <f>IFERROR(__xludf.DUMMYFUNCTION("""COMPUTED_VALUE"""),"Parengan RT. 17 RW 04 Kraton Krian Sidoarjo")</f>
        <v>Parengan RT. 17 RW 04 Kraton Krian Sidoarjo</v>
      </c>
      <c r="W1902" s="211" t="str">
        <f>IFERROR(__xludf.DUMMYFUNCTION("""COMPUTED_VALUE"""),"OUT")</f>
        <v>OUT</v>
      </c>
      <c r="X1902" s="211"/>
      <c r="AL1902" s="211"/>
      <c r="AM1902" s="211"/>
      <c r="AN1902" s="211"/>
      <c r="AO1902" s="211"/>
      <c r="AP1902" s="215"/>
      <c r="AQ1902" s="218"/>
      <c r="AR1902" s="211"/>
    </row>
    <row r="1903">
      <c r="A1903" s="210" t="str">
        <f>IFERROR(__xludf.DUMMYFUNCTION("""COMPUTED_VALUE"""),"1250639")</f>
        <v>1250639</v>
      </c>
      <c r="B1903" s="210" t="str">
        <f>IFERROR(__xludf.DUMMYFUNCTION("""COMPUTED_VALUE"""),"1250639")</f>
        <v>1250639</v>
      </c>
      <c r="C1903" s="213">
        <f>IFERROR(__xludf.DUMMYFUNCTION("""COMPUTED_VALUE"""),45933.408634259256)</f>
        <v>45933.40863</v>
      </c>
      <c r="D1903" s="211" t="str">
        <f>IFERROR(__xludf.DUMMYFUNCTION("""COMPUTED_VALUE"""),"eec2e801")</f>
        <v>eec2e801</v>
      </c>
      <c r="E1903" s="211" t="str">
        <f>IFERROR(__xludf.DUMMYFUNCTION("""COMPUTED_VALUE"""),"Mitra Wood Sejahtera")</f>
        <v>Mitra Wood Sejahtera</v>
      </c>
      <c r="F1903" s="211" t="str">
        <f>IFERROR(__xludf.DUMMYFUNCTION("""COMPUTED_VALUE"""),"8bdbe149")</f>
        <v>8bdbe149</v>
      </c>
      <c r="G1903" s="211" t="str">
        <f>IFERROR(__xludf.DUMMYFUNCTION("""COMPUTED_VALUE"""),"Oksigen 6m3")</f>
        <v>Oksigen 6m3</v>
      </c>
      <c r="H1903" s="211" t="str">
        <f>IFERROR(__xludf.DUMMYFUNCTION("""COMPUTED_VALUE"""),"IN")</f>
        <v>IN</v>
      </c>
      <c r="I1903" s="211" t="str">
        <f>IFERROR(__xludf.DUMMYFUNCTION("""COMPUTED_VALUE"""),"EMPTY")</f>
        <v>EMPTY</v>
      </c>
      <c r="J1903" s="211">
        <f>IFERROR(__xludf.DUMMYFUNCTION("""COMPUTED_VALUE"""),9.0)</f>
        <v>9</v>
      </c>
      <c r="K1903" s="210" t="str">
        <f>IFERROR(__xludf.DUMMYFUNCTION("""COMPUTED_VALUE"""),"11132 1115 11276 11240 1199 11275 11184 1120 11160")</f>
        <v>11132 1115 11276 11240 1199 11275 11184 1120 11160</v>
      </c>
      <c r="L1903" s="211">
        <f>IFERROR(__xludf.DUMMYFUNCTION("""COMPUTED_VALUE"""),0.0)</f>
        <v>0</v>
      </c>
      <c r="M1903" s="211"/>
      <c r="N1903" s="211"/>
      <c r="O1903" s="211"/>
      <c r="Q1903" s="210" t="str">
        <f>IFERROR(__xludf.DUMMYFUNCTION("""COMPUTED_VALUE"""),"1250916")</f>
        <v>1250916</v>
      </c>
      <c r="R1903" s="210" t="str">
        <f>IFERROR(__xludf.DUMMYFUNCTION("""COMPUTED_VALUE"""),"1250916")</f>
        <v>1250916</v>
      </c>
      <c r="S1903" s="211" t="str">
        <f>IFERROR(__xludf.DUMMYFUNCTION("""COMPUTED_VALUE"""),"3b04351a")</f>
        <v>3b04351a</v>
      </c>
      <c r="T1903" s="211" t="str">
        <f>IFERROR(__xludf.DUMMYFUNCTION("""COMPUTED_VALUE"""),"CV Usaha Logam Jaya")</f>
        <v>CV Usaha Logam Jaya</v>
      </c>
      <c r="U1903" s="215">
        <f>IFERROR(__xludf.DUMMYFUNCTION("""COMPUTED_VALUE"""),45997.51346064815)</f>
        <v>45997.51346</v>
      </c>
      <c r="V1903" s="211" t="str">
        <f>IFERROR(__xludf.DUMMYFUNCTION("""COMPUTED_VALUE"""),"Jl. Raya Wringinanom, Sidomoro, Pasinan Lemahputih, Kec. Wringinanom, Kabupaten Gresik, Jawa Timur 61176")</f>
        <v>Jl. Raya Wringinanom, Sidomoro, Pasinan Lemahputih, Kec. Wringinanom, Kabupaten Gresik, Jawa Timur 61176</v>
      </c>
      <c r="W1903" s="211" t="str">
        <f>IFERROR(__xludf.DUMMYFUNCTION("""COMPUTED_VALUE"""),"IN")</f>
        <v>IN</v>
      </c>
      <c r="X1903" s="211"/>
      <c r="AL1903" s="211"/>
      <c r="AM1903" s="211"/>
      <c r="AN1903" s="211"/>
      <c r="AO1903" s="211"/>
      <c r="AP1903" s="215"/>
      <c r="AQ1903" s="218"/>
      <c r="AR1903" s="211"/>
    </row>
    <row r="1904">
      <c r="A1904" s="210" t="str">
        <f>IFERROR(__xludf.DUMMYFUNCTION("""COMPUTED_VALUE"""),"1250619")</f>
        <v>1250619</v>
      </c>
      <c r="B1904" s="210" t="str">
        <f>IFERROR(__xludf.DUMMYFUNCTION("""COMPUTED_VALUE"""),"1250619")</f>
        <v>1250619</v>
      </c>
      <c r="C1904" s="213">
        <f>IFERROR(__xludf.DUMMYFUNCTION("""COMPUTED_VALUE"""),45933.409525462965)</f>
        <v>45933.40953</v>
      </c>
      <c r="D1904" s="211" t="str">
        <f>IFERROR(__xludf.DUMMYFUNCTION("""COMPUTED_VALUE"""),"b218b89b")</f>
        <v>b218b89b</v>
      </c>
      <c r="E1904" s="211" t="str">
        <f>IFERROR(__xludf.DUMMYFUNCTION("""COMPUTED_VALUE"""),"PT Harapan Sentosa")</f>
        <v>PT Harapan Sentosa</v>
      </c>
      <c r="F1904" s="211" t="str">
        <f>IFERROR(__xludf.DUMMYFUNCTION("""COMPUTED_VALUE"""),"7d2764f1")</f>
        <v>7d2764f1</v>
      </c>
      <c r="G1904" s="211" t="str">
        <f>IFERROR(__xludf.DUMMYFUNCTION("""COMPUTED_VALUE"""),"Oksigen 7m3")</f>
        <v>Oksigen 7m3</v>
      </c>
      <c r="H1904" s="211" t="str">
        <f>IFERROR(__xludf.DUMMYFUNCTION("""COMPUTED_VALUE"""),"IN")</f>
        <v>IN</v>
      </c>
      <c r="I1904" s="211" t="str">
        <f>IFERROR(__xludf.DUMMYFUNCTION("""COMPUTED_VALUE"""),"EMPTY")</f>
        <v>EMPTY</v>
      </c>
      <c r="J1904" s="211">
        <f>IFERROR(__xludf.DUMMYFUNCTION("""COMPUTED_VALUE"""),2.0)</f>
        <v>2</v>
      </c>
      <c r="K1904" s="210" t="str">
        <f>IFERROR(__xludf.DUMMYFUNCTION("""COMPUTED_VALUE"""),"11163 11148")</f>
        <v>11163 11148</v>
      </c>
      <c r="L1904" s="211">
        <f>IFERROR(__xludf.DUMMYFUNCTION("""COMPUTED_VALUE"""),0.0)</f>
        <v>0</v>
      </c>
      <c r="M1904" s="211"/>
      <c r="N1904" s="211"/>
      <c r="O1904" s="211"/>
      <c r="Q1904" s="210" t="str">
        <f>IFERROR(__xludf.DUMMYFUNCTION("""COMPUTED_VALUE"""),"1250915")</f>
        <v>1250915</v>
      </c>
      <c r="R1904" s="210" t="str">
        <f>IFERROR(__xludf.DUMMYFUNCTION("""COMPUTED_VALUE"""),"1250915")</f>
        <v>1250915</v>
      </c>
      <c r="S1904" s="211" t="str">
        <f>IFERROR(__xludf.DUMMYFUNCTION("""COMPUTED_VALUE"""),"8f5ebaea")</f>
        <v>8f5ebaea</v>
      </c>
      <c r="T1904" s="211" t="str">
        <f>IFERROR(__xludf.DUMMYFUNCTION("""COMPUTED_VALUE"""),"PT Hua Zong Mesindo")</f>
        <v>PT Hua Zong Mesindo</v>
      </c>
      <c r="U1904" s="215">
        <f>IFERROR(__xludf.DUMMYFUNCTION("""COMPUTED_VALUE"""),45997.51527777778)</f>
        <v>45997.51528</v>
      </c>
      <c r="V1904" s="211" t="str">
        <f>IFERROR(__xludf.DUMMYFUNCTION("""COMPUTED_VALUE"""),"Jl. Bypass Krian, Sidotemo, Sidomulyo, Kec. Krian, Kabupaten Sidoarjo, Jawa Timur 61262")</f>
        <v>Jl. Bypass Krian, Sidotemo, Sidomulyo, Kec. Krian, Kabupaten Sidoarjo, Jawa Timur 61262</v>
      </c>
      <c r="W1904" s="211" t="str">
        <f>IFERROR(__xludf.DUMMYFUNCTION("""COMPUTED_VALUE"""),"IN")</f>
        <v>IN</v>
      </c>
      <c r="X1904" s="211"/>
      <c r="AL1904" s="211"/>
      <c r="AM1904" s="211"/>
      <c r="AN1904" s="211"/>
      <c r="AO1904" s="211"/>
      <c r="AP1904" s="215"/>
      <c r="AQ1904" s="218"/>
      <c r="AR1904" s="211"/>
    </row>
    <row r="1905">
      <c r="A1905" s="210" t="str">
        <f>IFERROR(__xludf.DUMMYFUNCTION("""COMPUTED_VALUE"""),"1250619")</f>
        <v>1250619</v>
      </c>
      <c r="B1905" s="210" t="str">
        <f>IFERROR(__xludf.DUMMYFUNCTION("""COMPUTED_VALUE"""),"1250619")</f>
        <v>1250619</v>
      </c>
      <c r="C1905" s="213">
        <f>IFERROR(__xludf.DUMMYFUNCTION("""COMPUTED_VALUE"""),45933.409525462965)</f>
        <v>45933.40953</v>
      </c>
      <c r="D1905" s="211" t="str">
        <f>IFERROR(__xludf.DUMMYFUNCTION("""COMPUTED_VALUE"""),"b218b89b")</f>
        <v>b218b89b</v>
      </c>
      <c r="E1905" s="211" t="str">
        <f>IFERROR(__xludf.DUMMYFUNCTION("""COMPUTED_VALUE"""),"PT Harapan Sentosa")</f>
        <v>PT Harapan Sentosa</v>
      </c>
      <c r="F1905" s="211" t="str">
        <f>IFERROR(__xludf.DUMMYFUNCTION("""COMPUTED_VALUE"""),"ef306e54")</f>
        <v>ef306e54</v>
      </c>
      <c r="G1905" s="211" t="str">
        <f>IFERROR(__xludf.DUMMYFUNCTION("""COMPUTED_VALUE"""),"Karbondioksida")</f>
        <v>Karbondioksida</v>
      </c>
      <c r="H1905" s="211" t="str">
        <f>IFERROR(__xludf.DUMMYFUNCTION("""COMPUTED_VALUE"""),"IN")</f>
        <v>IN</v>
      </c>
      <c r="I1905" s="211" t="str">
        <f>IFERROR(__xludf.DUMMYFUNCTION("""COMPUTED_VALUE"""),"EMPTY")</f>
        <v>EMPTY</v>
      </c>
      <c r="J1905" s="211">
        <f>IFERROR(__xludf.DUMMYFUNCTION("""COMPUTED_VALUE"""),1.0)</f>
        <v>1</v>
      </c>
      <c r="K1905" s="210" t="str">
        <f>IFERROR(__xludf.DUMMYFUNCTION("""COMPUTED_VALUE"""),"13008")</f>
        <v>13008</v>
      </c>
      <c r="L1905" s="211">
        <f>IFERROR(__xludf.DUMMYFUNCTION("""COMPUTED_VALUE"""),0.0)</f>
        <v>0</v>
      </c>
      <c r="M1905" s="211"/>
      <c r="N1905" s="211"/>
      <c r="O1905" s="211"/>
      <c r="Q1905" s="210" t="str">
        <f>IFERROR(__xludf.DUMMYFUNCTION("""COMPUTED_VALUE"""),"1250912")</f>
        <v>1250912</v>
      </c>
      <c r="R1905" s="210" t="str">
        <f>IFERROR(__xludf.DUMMYFUNCTION("""COMPUTED_VALUE"""),"1250912")</f>
        <v>1250912</v>
      </c>
      <c r="S1905" s="211" t="str">
        <f>IFERROR(__xludf.DUMMYFUNCTION("""COMPUTED_VALUE"""),"8ea74d81")</f>
        <v>8ea74d81</v>
      </c>
      <c r="T1905" s="211" t="str">
        <f>IFERROR(__xludf.DUMMYFUNCTION("""COMPUTED_VALUE"""),"Bengkel Adi Putra")</f>
        <v>Bengkel Adi Putra</v>
      </c>
      <c r="U1905" s="215">
        <f>IFERROR(__xludf.DUMMYFUNCTION("""COMPUTED_VALUE"""),45997.515914351854)</f>
        <v>45997.51591</v>
      </c>
      <c r="V1905" s="211" t="str">
        <f>IFERROR(__xludf.DUMMYFUNCTION("""COMPUTED_VALUE"""),"Bypass Balongbendo")</f>
        <v>Bypass Balongbendo</v>
      </c>
      <c r="W1905" s="211" t="str">
        <f>IFERROR(__xludf.DUMMYFUNCTION("""COMPUTED_VALUE"""),"IN")</f>
        <v>IN</v>
      </c>
      <c r="X1905" s="211"/>
      <c r="AL1905" s="211"/>
      <c r="AM1905" s="211"/>
      <c r="AN1905" s="211"/>
      <c r="AO1905" s="211"/>
      <c r="AP1905" s="215"/>
      <c r="AQ1905" s="218"/>
      <c r="AR1905" s="211"/>
    </row>
    <row r="1906">
      <c r="A1906" s="210" t="str">
        <f>IFERROR(__xludf.DUMMYFUNCTION("""COMPUTED_VALUE"""),"1250587")</f>
        <v>1250587</v>
      </c>
      <c r="B1906" s="210" t="str">
        <f>IFERROR(__xludf.DUMMYFUNCTION("""COMPUTED_VALUE"""),"1250587")</f>
        <v>1250587</v>
      </c>
      <c r="C1906" s="213">
        <f>IFERROR(__xludf.DUMMYFUNCTION("""COMPUTED_VALUE"""),45933.41033564815)</f>
        <v>45933.41034</v>
      </c>
      <c r="D1906" s="211" t="str">
        <f>IFERROR(__xludf.DUMMYFUNCTION("""COMPUTED_VALUE"""),"3bcd7fe6")</f>
        <v>3bcd7fe6</v>
      </c>
      <c r="E1906" s="211" t="str">
        <f>IFERROR(__xludf.DUMMYFUNCTION("""COMPUTED_VALUE"""),"Bpk. Alvin (LB Group)")</f>
        <v>Bpk. Alvin (LB Group)</v>
      </c>
      <c r="F1906" s="211" t="str">
        <f>IFERROR(__xludf.DUMMYFUNCTION("""COMPUTED_VALUE"""),"7d2764f1")</f>
        <v>7d2764f1</v>
      </c>
      <c r="G1906" s="211" t="str">
        <f>IFERROR(__xludf.DUMMYFUNCTION("""COMPUTED_VALUE"""),"Oksigen 7m3")</f>
        <v>Oksigen 7m3</v>
      </c>
      <c r="H1906" s="211" t="str">
        <f>IFERROR(__xludf.DUMMYFUNCTION("""COMPUTED_VALUE"""),"IN")</f>
        <v>IN</v>
      </c>
      <c r="I1906" s="211" t="str">
        <f>IFERROR(__xludf.DUMMYFUNCTION("""COMPUTED_VALUE"""),"EMPTY")</f>
        <v>EMPTY</v>
      </c>
      <c r="J1906" s="211">
        <f>IFERROR(__xludf.DUMMYFUNCTION("""COMPUTED_VALUE"""),1.0)</f>
        <v>1</v>
      </c>
      <c r="K1906" s="210" t="str">
        <f>IFERROR(__xludf.DUMMYFUNCTION("""COMPUTED_VALUE"""),"11217")</f>
        <v>11217</v>
      </c>
      <c r="L1906" s="211">
        <f>IFERROR(__xludf.DUMMYFUNCTION("""COMPUTED_VALUE"""),0.0)</f>
        <v>0</v>
      </c>
      <c r="M1906" s="211"/>
      <c r="N1906" s="211"/>
      <c r="O1906" s="211"/>
      <c r="Q1906" s="210" t="str">
        <f>IFERROR(__xludf.DUMMYFUNCTION("""COMPUTED_VALUE"""),"1250901")</f>
        <v>1250901</v>
      </c>
      <c r="R1906" s="210" t="str">
        <f>IFERROR(__xludf.DUMMYFUNCTION("""COMPUTED_VALUE"""),"1250901")</f>
        <v>1250901</v>
      </c>
      <c r="S1906" s="211" t="str">
        <f>IFERROR(__xludf.DUMMYFUNCTION("""COMPUTED_VALUE"""),"03ff52db")</f>
        <v>03ff52db</v>
      </c>
      <c r="T1906" s="211" t="str">
        <f>IFERROR(__xludf.DUMMYFUNCTION("""COMPUTED_VALUE"""),"Aneka Teknik Logam")</f>
        <v>Aneka Teknik Logam</v>
      </c>
      <c r="U1906" s="215">
        <f>IFERROR(__xludf.DUMMYFUNCTION("""COMPUTED_VALUE"""),45997.611342592594)</f>
        <v>45997.61134</v>
      </c>
      <c r="V1906" s="211" t="str">
        <f>IFERROR(__xludf.DUMMYFUNCTION("""COMPUTED_VALUE"""),"HH8G+MQC, Areng Areng, Tropodo, Kec. Krian, Kabupaten Sidoarjo, Jawa Timur 61262")</f>
        <v>HH8G+MQC, Areng Areng, Tropodo, Kec. Krian, Kabupaten Sidoarjo, Jawa Timur 61262</v>
      </c>
      <c r="W1906" s="211" t="str">
        <f>IFERROR(__xludf.DUMMYFUNCTION("""COMPUTED_VALUE"""),"IN")</f>
        <v>IN</v>
      </c>
      <c r="X1906" s="211"/>
      <c r="AL1906" s="211"/>
      <c r="AM1906" s="211"/>
      <c r="AN1906" s="211"/>
      <c r="AO1906" s="211"/>
      <c r="AP1906" s="215"/>
      <c r="AQ1906" s="218"/>
      <c r="AR1906" s="211"/>
    </row>
    <row r="1907">
      <c r="A1907" s="210" t="str">
        <f>IFERROR(__xludf.DUMMYFUNCTION("""COMPUTED_VALUE"""),"1250587")</f>
        <v>1250587</v>
      </c>
      <c r="B1907" s="210" t="str">
        <f>IFERROR(__xludf.DUMMYFUNCTION("""COMPUTED_VALUE"""),"1250587")</f>
        <v>1250587</v>
      </c>
      <c r="C1907" s="213">
        <f>IFERROR(__xludf.DUMMYFUNCTION("""COMPUTED_VALUE"""),45933.41033564815)</f>
        <v>45933.41034</v>
      </c>
      <c r="D1907" s="211" t="str">
        <f>IFERROR(__xludf.DUMMYFUNCTION("""COMPUTED_VALUE"""),"3bcd7fe6")</f>
        <v>3bcd7fe6</v>
      </c>
      <c r="E1907" s="211" t="str">
        <f>IFERROR(__xludf.DUMMYFUNCTION("""COMPUTED_VALUE"""),"Bpk. Alvin (LB Group)")</f>
        <v>Bpk. Alvin (LB Group)</v>
      </c>
      <c r="F1907" s="211" t="str">
        <f>IFERROR(__xludf.DUMMYFUNCTION("""COMPUTED_VALUE"""),"f6aab7a9")</f>
        <v>f6aab7a9</v>
      </c>
      <c r="G1907" s="211" t="str">
        <f>IFERROR(__xludf.DUMMYFUNCTION("""COMPUTED_VALUE"""),"Oksigen 6m3 MR")</f>
        <v>Oksigen 6m3 MR</v>
      </c>
      <c r="H1907" s="211" t="str">
        <f>IFERROR(__xludf.DUMMYFUNCTION("""COMPUTED_VALUE"""),"IN")</f>
        <v>IN</v>
      </c>
      <c r="I1907" s="211" t="str">
        <f>IFERROR(__xludf.DUMMYFUNCTION("""COMPUTED_VALUE"""),"EMPTY")</f>
        <v>EMPTY</v>
      </c>
      <c r="J1907" s="211">
        <f>IFERROR(__xludf.DUMMYFUNCTION("""COMPUTED_VALUE"""),3.0)</f>
        <v>3</v>
      </c>
      <c r="K1907" s="211"/>
      <c r="L1907" s="211">
        <f>IFERROR(__xludf.DUMMYFUNCTION("""COMPUTED_VALUE"""),0.0)</f>
        <v>0</v>
      </c>
      <c r="M1907" s="211"/>
      <c r="N1907" s="211"/>
      <c r="O1907" s="211"/>
      <c r="Q1907" s="210" t="str">
        <f>IFERROR(__xludf.DUMMYFUNCTION("""COMPUTED_VALUE"""),"1250902")</f>
        <v>1250902</v>
      </c>
      <c r="R1907" s="210" t="str">
        <f>IFERROR(__xludf.DUMMYFUNCTION("""COMPUTED_VALUE"""),"1250902")</f>
        <v>1250902</v>
      </c>
      <c r="S1907" s="211" t="str">
        <f>IFERROR(__xludf.DUMMYFUNCTION("""COMPUTED_VALUE"""),"9828dfc5")</f>
        <v>9828dfc5</v>
      </c>
      <c r="T1907" s="211" t="str">
        <f>IFERROR(__xludf.DUMMYFUNCTION("""COMPUTED_VALUE"""),"Bpk. David")</f>
        <v>Bpk. David</v>
      </c>
      <c r="U1907" s="215">
        <f>IFERROR(__xludf.DUMMYFUNCTION("""COMPUTED_VALUE"""),45997.61230324074)</f>
        <v>45997.6123</v>
      </c>
      <c r="V1907" s="211" t="str">
        <f>IFERROR(__xludf.DUMMYFUNCTION("""COMPUTED_VALUE"""),"GHF3+R34, Jl. Kartini, Ngingas, Ngimbangan, Kec. Mojosari, Kabupaten Mojokerto, Jawa Timur 61382")</f>
        <v>GHF3+R34, Jl. Kartini, Ngingas, Ngimbangan, Kec. Mojosari, Kabupaten Mojokerto, Jawa Timur 61382</v>
      </c>
      <c r="W1907" s="211" t="str">
        <f>IFERROR(__xludf.DUMMYFUNCTION("""COMPUTED_VALUE"""),"IN")</f>
        <v>IN</v>
      </c>
      <c r="X1907" s="211"/>
      <c r="AL1907" s="211"/>
      <c r="AM1907" s="211"/>
      <c r="AN1907" s="211"/>
      <c r="AO1907" s="211"/>
      <c r="AP1907" s="215"/>
      <c r="AQ1907" s="218"/>
      <c r="AR1907" s="211"/>
    </row>
    <row r="1908">
      <c r="A1908" s="210" t="str">
        <f>IFERROR(__xludf.DUMMYFUNCTION("""COMPUTED_VALUE"""),"1250641")</f>
        <v>1250641</v>
      </c>
      <c r="B1908" s="210" t="str">
        <f>IFERROR(__xludf.DUMMYFUNCTION("""COMPUTED_VALUE"""),"1250641")</f>
        <v>1250641</v>
      </c>
      <c r="C1908" s="213">
        <f>IFERROR(__xludf.DUMMYFUNCTION("""COMPUTED_VALUE"""),45933.411631944444)</f>
        <v>45933.41163</v>
      </c>
      <c r="D1908" s="211" t="str">
        <f>IFERROR(__xludf.DUMMYFUNCTION("""COMPUTED_VALUE"""),"e86baf3b")</f>
        <v>e86baf3b</v>
      </c>
      <c r="E1908" s="211" t="str">
        <f>IFERROR(__xludf.DUMMYFUNCTION("""COMPUTED_VALUE"""),"PT GEMILANG CIPTA WAWASAN")</f>
        <v>PT GEMILANG CIPTA WAWASAN</v>
      </c>
      <c r="F1908" s="211" t="str">
        <f>IFERROR(__xludf.DUMMYFUNCTION("""COMPUTED_VALUE"""),"8bdbe149")</f>
        <v>8bdbe149</v>
      </c>
      <c r="G1908" s="211" t="str">
        <f>IFERROR(__xludf.DUMMYFUNCTION("""COMPUTED_VALUE"""),"Oksigen 6m3")</f>
        <v>Oksigen 6m3</v>
      </c>
      <c r="H1908" s="211" t="str">
        <f>IFERROR(__xludf.DUMMYFUNCTION("""COMPUTED_VALUE"""),"IN")</f>
        <v>IN</v>
      </c>
      <c r="I1908" s="211" t="str">
        <f>IFERROR(__xludf.DUMMYFUNCTION("""COMPUTED_VALUE"""),"EMPTY")</f>
        <v>EMPTY</v>
      </c>
      <c r="J1908" s="211">
        <f>IFERROR(__xludf.DUMMYFUNCTION("""COMPUTED_VALUE"""),7.0)</f>
        <v>7</v>
      </c>
      <c r="K1908" s="210" t="str">
        <f>IFERROR(__xludf.DUMMYFUNCTION("""COMPUTED_VALUE"""),"1146 11129 11116 11183 1149 11121 1188")</f>
        <v>1146 11129 11116 11183 1149 11121 1188</v>
      </c>
      <c r="L1908" s="211">
        <f>IFERROR(__xludf.DUMMYFUNCTION("""COMPUTED_VALUE"""),0.0)</f>
        <v>0</v>
      </c>
      <c r="M1908" s="211"/>
      <c r="N1908" s="211"/>
      <c r="O1908" s="211"/>
      <c r="Q1908" s="210" t="str">
        <f>IFERROR(__xludf.DUMMYFUNCTION("""COMPUTED_VALUE"""),"1250900")</f>
        <v>1250900</v>
      </c>
      <c r="R1908" s="210" t="str">
        <f>IFERROR(__xludf.DUMMYFUNCTION("""COMPUTED_VALUE"""),"1250900")</f>
        <v>1250900</v>
      </c>
      <c r="S1908" s="211" t="str">
        <f>IFERROR(__xludf.DUMMYFUNCTION("""COMPUTED_VALUE"""),"196b24da")</f>
        <v>196b24da</v>
      </c>
      <c r="T1908" s="211" t="str">
        <f>IFERROR(__xludf.DUMMYFUNCTION("""COMPUTED_VALUE"""),"PT Samudra Cipta Enjineering")</f>
        <v>PT Samudra Cipta Enjineering</v>
      </c>
      <c r="U1908" s="215">
        <f>IFERROR(__xludf.DUMMYFUNCTION("""COMPUTED_VALUE"""),45997.613078703704)</f>
        <v>45997.61308</v>
      </c>
      <c r="V1908" s="211" t="str">
        <f>IFERROR(__xludf.DUMMYFUNCTION("""COMPUTED_VALUE"""),"Pergudangan Center Point Blok C4   Ds. Kemangsen  Balongbendo")</f>
        <v>Pergudangan Center Point Blok C4   Ds. Kemangsen  Balongbendo</v>
      </c>
      <c r="W1908" s="211" t="str">
        <f>IFERROR(__xludf.DUMMYFUNCTION("""COMPUTED_VALUE"""),"IN")</f>
        <v>IN</v>
      </c>
      <c r="X1908" s="211"/>
      <c r="AL1908" s="211"/>
      <c r="AM1908" s="211"/>
      <c r="AN1908" s="211"/>
      <c r="AO1908" s="211"/>
      <c r="AP1908" s="215"/>
      <c r="AQ1908" s="218"/>
      <c r="AR1908" s="211"/>
    </row>
    <row r="1909">
      <c r="A1909" s="210" t="str">
        <f>IFERROR(__xludf.DUMMYFUNCTION("""COMPUTED_VALUE"""),"1250641")</f>
        <v>1250641</v>
      </c>
      <c r="B1909" s="210" t="str">
        <f>IFERROR(__xludf.DUMMYFUNCTION("""COMPUTED_VALUE"""),"1250641")</f>
        <v>1250641</v>
      </c>
      <c r="C1909" s="213">
        <f>IFERROR(__xludf.DUMMYFUNCTION("""COMPUTED_VALUE"""),45933.411631944444)</f>
        <v>45933.41163</v>
      </c>
      <c r="D1909" s="211" t="str">
        <f>IFERROR(__xludf.DUMMYFUNCTION("""COMPUTED_VALUE"""),"e86baf3b")</f>
        <v>e86baf3b</v>
      </c>
      <c r="E1909" s="211" t="str">
        <f>IFERROR(__xludf.DUMMYFUNCTION("""COMPUTED_VALUE"""),"PT GEMILANG CIPTA WAWASAN")</f>
        <v>PT GEMILANG CIPTA WAWASAN</v>
      </c>
      <c r="F1909" s="211" t="str">
        <f>IFERROR(__xludf.DUMMYFUNCTION("""COMPUTED_VALUE"""),"66af7c72")</f>
        <v>66af7c72</v>
      </c>
      <c r="G1909" s="211" t="str">
        <f>IFERROR(__xludf.DUMMYFUNCTION("""COMPUTED_VALUE"""),"Argon 6m3")</f>
        <v>Argon 6m3</v>
      </c>
      <c r="H1909" s="211" t="str">
        <f>IFERROR(__xludf.DUMMYFUNCTION("""COMPUTED_VALUE"""),"IN")</f>
        <v>IN</v>
      </c>
      <c r="I1909" s="211" t="str">
        <f>IFERROR(__xludf.DUMMYFUNCTION("""COMPUTED_VALUE"""),"EMPTY")</f>
        <v>EMPTY</v>
      </c>
      <c r="J1909" s="211">
        <f>IFERROR(__xludf.DUMMYFUNCTION("""COMPUTED_VALUE"""),4.0)</f>
        <v>4</v>
      </c>
      <c r="K1909" s="210" t="str">
        <f>IFERROR(__xludf.DUMMYFUNCTION("""COMPUTED_VALUE"""),"12049 12076 12062 12068")</f>
        <v>12049 12076 12062 12068</v>
      </c>
      <c r="L1909" s="211">
        <f>IFERROR(__xludf.DUMMYFUNCTION("""COMPUTED_VALUE"""),0.0)</f>
        <v>0</v>
      </c>
      <c r="M1909" s="211"/>
      <c r="N1909" s="211"/>
      <c r="O1909" s="211"/>
      <c r="Q1909" s="210" t="str">
        <f>IFERROR(__xludf.DUMMYFUNCTION("""COMPUTED_VALUE"""),"1250903")</f>
        <v>1250903</v>
      </c>
      <c r="R1909" s="210" t="str">
        <f>IFERROR(__xludf.DUMMYFUNCTION("""COMPUTED_VALUE"""),"1250903")</f>
        <v>1250903</v>
      </c>
      <c r="S1909" s="211" t="str">
        <f>IFERROR(__xludf.DUMMYFUNCTION("""COMPUTED_VALUE"""),"b2b5f2c5")</f>
        <v>b2b5f2c5</v>
      </c>
      <c r="T1909" s="211" t="str">
        <f>IFERROR(__xludf.DUMMYFUNCTION("""COMPUTED_VALUE"""),"Bengkel Las Bpk. Ari")</f>
        <v>Bengkel Las Bpk. Ari</v>
      </c>
      <c r="U1909" s="215">
        <f>IFERROR(__xludf.DUMMYFUNCTION("""COMPUTED_VALUE"""),45997.61377314815)</f>
        <v>45997.61377</v>
      </c>
      <c r="V1909" s="211" t="str">
        <f>IFERROR(__xludf.DUMMYFUNCTION("""COMPUTED_VALUE"""),"Sumber Kembar, Wonodadi, Kec. Kutorejo, Kabupaten Mojokerto, Jawa Timur")</f>
        <v>Sumber Kembar, Wonodadi, Kec. Kutorejo, Kabupaten Mojokerto, Jawa Timur</v>
      </c>
      <c r="W1909" s="211" t="str">
        <f>IFERROR(__xludf.DUMMYFUNCTION("""COMPUTED_VALUE"""),"IN")</f>
        <v>IN</v>
      </c>
      <c r="X1909" s="211"/>
      <c r="AL1909" s="211"/>
      <c r="AM1909" s="211"/>
      <c r="AN1909" s="211"/>
      <c r="AO1909" s="211"/>
      <c r="AP1909" s="215"/>
      <c r="AQ1909" s="218"/>
      <c r="AR1909" s="211"/>
    </row>
    <row r="1910">
      <c r="A1910" s="210" t="str">
        <f>IFERROR(__xludf.DUMMYFUNCTION("""COMPUTED_VALUE"""),"1250641")</f>
        <v>1250641</v>
      </c>
      <c r="B1910" s="210" t="str">
        <f>IFERROR(__xludf.DUMMYFUNCTION("""COMPUTED_VALUE"""),"1250641")</f>
        <v>1250641</v>
      </c>
      <c r="C1910" s="213">
        <f>IFERROR(__xludf.DUMMYFUNCTION("""COMPUTED_VALUE"""),45931.41111111111)</f>
        <v>45931.41111</v>
      </c>
      <c r="D1910" s="211" t="str">
        <f>IFERROR(__xludf.DUMMYFUNCTION("""COMPUTED_VALUE"""),"e86baf3b")</f>
        <v>e86baf3b</v>
      </c>
      <c r="E1910" s="211" t="str">
        <f>IFERROR(__xludf.DUMMYFUNCTION("""COMPUTED_VALUE"""),"PT GEMILANG CIPTA WAWASAN")</f>
        <v>PT GEMILANG CIPTA WAWASAN</v>
      </c>
      <c r="F1910" s="211" t="str">
        <f>IFERROR(__xludf.DUMMYFUNCTION("""COMPUTED_VALUE"""),"be525f3b")</f>
        <v>be525f3b</v>
      </c>
      <c r="G1910" s="211" t="str">
        <f>IFERROR(__xludf.DUMMYFUNCTION("""COMPUTED_VALUE"""),"LPG 12kg")</f>
        <v>LPG 12kg</v>
      </c>
      <c r="H1910" s="211" t="str">
        <f>IFERROR(__xludf.DUMMYFUNCTION("""COMPUTED_VALUE"""),"IN")</f>
        <v>IN</v>
      </c>
      <c r="I1910" s="211" t="str">
        <f>IFERROR(__xludf.DUMMYFUNCTION("""COMPUTED_VALUE"""),"EMPTY")</f>
        <v>EMPTY</v>
      </c>
      <c r="J1910" s="211">
        <f>IFERROR(__xludf.DUMMYFUNCTION("""COMPUTED_VALUE"""),2.0)</f>
        <v>2</v>
      </c>
      <c r="K1910" s="210" t="str">
        <f>IFERROR(__xludf.DUMMYFUNCTION("""COMPUTED_VALUE"""),"01 02")</f>
        <v>01 02</v>
      </c>
      <c r="L1910" s="211">
        <f>IFERROR(__xludf.DUMMYFUNCTION("""COMPUTED_VALUE"""),0.0)</f>
        <v>0</v>
      </c>
      <c r="M1910" s="211"/>
      <c r="N1910" s="211"/>
      <c r="O1910" s="211"/>
      <c r="Q1910" s="210" t="str">
        <f>IFERROR(__xludf.DUMMYFUNCTION("""COMPUTED_VALUE"""),"122571903")</f>
        <v>122571903</v>
      </c>
      <c r="R1910" s="210" t="str">
        <f>IFERROR(__xludf.DUMMYFUNCTION("""COMPUTED_VALUE"""),"122571903")</f>
        <v>122571903</v>
      </c>
      <c r="S1910" s="211" t="str">
        <f>IFERROR(__xludf.DUMMYFUNCTION("""COMPUTED_VALUE"""),"a0f0ad2d")</f>
        <v>a0f0ad2d</v>
      </c>
      <c r="T1910" s="211" t="str">
        <f>IFERROR(__xludf.DUMMYFUNCTION("""COMPUTED_VALUE"""),"CV. Yulie Jaya")</f>
        <v>CV. Yulie Jaya</v>
      </c>
      <c r="U1910" s="215">
        <f>IFERROR(__xludf.DUMMYFUNCTION("""COMPUTED_VALUE"""),45999.35574074074)</f>
        <v>45999.35574</v>
      </c>
      <c r="V1910" s="211" t="str">
        <f>IFERROR(__xludf.DUMMYFUNCTION("""COMPUTED_VALUE"""),"JJH4+6RV, Badas, Barengkrajan, Kec. Krian, Kabupaten Sidoarjo, Jawa Timur 61262")</f>
        <v>JJH4+6RV, Badas, Barengkrajan, Kec. Krian, Kabupaten Sidoarjo, Jawa Timur 61262</v>
      </c>
      <c r="W1910" s="211" t="str">
        <f>IFERROR(__xludf.DUMMYFUNCTION("""COMPUTED_VALUE"""),"OUT")</f>
        <v>OUT</v>
      </c>
      <c r="X1910" s="211"/>
      <c r="AL1910" s="211"/>
      <c r="AM1910" s="211"/>
      <c r="AN1910" s="211"/>
      <c r="AO1910" s="211"/>
      <c r="AP1910" s="215"/>
      <c r="AQ1910" s="218"/>
      <c r="AR1910" s="211"/>
    </row>
    <row r="1911">
      <c r="A1911" s="210" t="str">
        <f>IFERROR(__xludf.DUMMYFUNCTION("""COMPUTED_VALUE"""),"1250642")</f>
        <v>1250642</v>
      </c>
      <c r="B1911" s="210" t="str">
        <f>IFERROR(__xludf.DUMMYFUNCTION("""COMPUTED_VALUE"""),"1250642")</f>
        <v>1250642</v>
      </c>
      <c r="C1911" s="213">
        <f>IFERROR(__xludf.DUMMYFUNCTION("""COMPUTED_VALUE"""),45933.41357638889)</f>
        <v>45933.41358</v>
      </c>
      <c r="D1911" s="211" t="str">
        <f>IFERROR(__xludf.DUMMYFUNCTION("""COMPUTED_VALUE"""),"01158be1")</f>
        <v>01158be1</v>
      </c>
      <c r="E1911" s="211" t="str">
        <f>IFERROR(__xludf.DUMMYFUNCTION("""COMPUTED_VALUE"""),"GYF")</f>
        <v>GYF</v>
      </c>
      <c r="F1911" s="211" t="str">
        <f>IFERROR(__xludf.DUMMYFUNCTION("""COMPUTED_VALUE"""),"8bdbe149")</f>
        <v>8bdbe149</v>
      </c>
      <c r="G1911" s="211" t="str">
        <f>IFERROR(__xludf.DUMMYFUNCTION("""COMPUTED_VALUE"""),"Oksigen 6m3")</f>
        <v>Oksigen 6m3</v>
      </c>
      <c r="H1911" s="211" t="str">
        <f>IFERROR(__xludf.DUMMYFUNCTION("""COMPUTED_VALUE"""),"IN")</f>
        <v>IN</v>
      </c>
      <c r="I1911" s="211" t="str">
        <f>IFERROR(__xludf.DUMMYFUNCTION("""COMPUTED_VALUE"""),"EMPTY")</f>
        <v>EMPTY</v>
      </c>
      <c r="J1911" s="211">
        <f>IFERROR(__xludf.DUMMYFUNCTION("""COMPUTED_VALUE"""),5.0)</f>
        <v>5</v>
      </c>
      <c r="K1911" s="210" t="str">
        <f>IFERROR(__xludf.DUMMYFUNCTION("""COMPUTED_VALUE"""),"11181 1194 11111 1147 11103")</f>
        <v>11181 1194 11111 1147 11103</v>
      </c>
      <c r="L1911" s="211">
        <f>IFERROR(__xludf.DUMMYFUNCTION("""COMPUTED_VALUE"""),0.0)</f>
        <v>0</v>
      </c>
      <c r="M1911" s="211"/>
      <c r="N1911" s="211"/>
      <c r="O1911" s="211"/>
      <c r="Q1911" s="210" t="str">
        <f>IFERROR(__xludf.DUMMYFUNCTION("""COMPUTED_VALUE"""),"1250913")</f>
        <v>1250913</v>
      </c>
      <c r="R1911" s="210" t="str">
        <f>IFERROR(__xludf.DUMMYFUNCTION("""COMPUTED_VALUE"""),"1250913")</f>
        <v>1250913</v>
      </c>
      <c r="S1911" s="211" t="str">
        <f>IFERROR(__xludf.DUMMYFUNCTION("""COMPUTED_VALUE"""),"a0f0ad2d")</f>
        <v>a0f0ad2d</v>
      </c>
      <c r="T1911" s="211" t="str">
        <f>IFERROR(__xludf.DUMMYFUNCTION("""COMPUTED_VALUE"""),"CV. Yulie Jaya")</f>
        <v>CV. Yulie Jaya</v>
      </c>
      <c r="U1911" s="215">
        <f>IFERROR(__xludf.DUMMYFUNCTION("""COMPUTED_VALUE"""),45999.435069444444)</f>
        <v>45999.43507</v>
      </c>
      <c r="V1911" s="211" t="str">
        <f>IFERROR(__xludf.DUMMYFUNCTION("""COMPUTED_VALUE"""),"JJH4+6RV, Badas, Barengkrajan, Kec. Krian, Kabupaten Sidoarjo, Jawa Timur 61262")</f>
        <v>JJH4+6RV, Badas, Barengkrajan, Kec. Krian, Kabupaten Sidoarjo, Jawa Timur 61262</v>
      </c>
      <c r="W1911" s="211" t="str">
        <f>IFERROR(__xludf.DUMMYFUNCTION("""COMPUTED_VALUE"""),"IN")</f>
        <v>IN</v>
      </c>
      <c r="X1911" s="211"/>
      <c r="AL1911" s="211"/>
      <c r="AM1911" s="211"/>
      <c r="AN1911" s="211"/>
      <c r="AO1911" s="211"/>
      <c r="AP1911" s="215"/>
      <c r="AQ1911" s="218"/>
      <c r="AR1911" s="211"/>
    </row>
    <row r="1912">
      <c r="A1912" s="210" t="str">
        <f>IFERROR(__xludf.DUMMYFUNCTION("""COMPUTED_VALUE"""),"1250644")</f>
        <v>1250644</v>
      </c>
      <c r="B1912" s="210" t="str">
        <f>IFERROR(__xludf.DUMMYFUNCTION("""COMPUTED_VALUE"""),"1250644")</f>
        <v>1250644</v>
      </c>
      <c r="C1912" s="213">
        <f>IFERROR(__xludf.DUMMYFUNCTION("""COMPUTED_VALUE"""),45933.469351851854)</f>
        <v>45933.46935</v>
      </c>
      <c r="D1912" s="211" t="str">
        <f>IFERROR(__xludf.DUMMYFUNCTION("""COMPUTED_VALUE"""),"7b9d8eba")</f>
        <v>7b9d8eba</v>
      </c>
      <c r="E1912" s="211" t="str">
        <f>IFERROR(__xludf.DUMMYFUNCTION("""COMPUTED_VALUE"""),"PT PELANGI INDOKARYA")</f>
        <v>PT PELANGI INDOKARYA</v>
      </c>
      <c r="F1912" s="211" t="str">
        <f>IFERROR(__xludf.DUMMYFUNCTION("""COMPUTED_VALUE"""),"b7a8fff1")</f>
        <v>b7a8fff1</v>
      </c>
      <c r="G1912" s="211" t="str">
        <f>IFERROR(__xludf.DUMMYFUNCTION("""COMPUTED_VALUE"""),"LPG 50kg")</f>
        <v>LPG 50kg</v>
      </c>
      <c r="H1912" s="211" t="str">
        <f>IFERROR(__xludf.DUMMYFUNCTION("""COMPUTED_VALUE"""),"IN")</f>
        <v>IN</v>
      </c>
      <c r="I1912" s="211" t="str">
        <f>IFERROR(__xludf.DUMMYFUNCTION("""COMPUTED_VALUE"""),"EMPTY")</f>
        <v>EMPTY</v>
      </c>
      <c r="J1912" s="211">
        <f>IFERROR(__xludf.DUMMYFUNCTION("""COMPUTED_VALUE"""),1.0)</f>
        <v>1</v>
      </c>
      <c r="K1912" s="210" t="str">
        <f>IFERROR(__xludf.DUMMYFUNCTION("""COMPUTED_VALUE"""),"01")</f>
        <v>01</v>
      </c>
      <c r="L1912" s="211">
        <f>IFERROR(__xludf.DUMMYFUNCTION("""COMPUTED_VALUE"""),0.0)</f>
        <v>0</v>
      </c>
      <c r="M1912" s="211"/>
      <c r="N1912" s="211"/>
      <c r="O1912" s="211"/>
      <c r="Q1912" s="210" t="str">
        <f>IFERROR(__xludf.DUMMYFUNCTION("""COMPUTED_VALUE"""),"1225501911")</f>
        <v>1225501911</v>
      </c>
      <c r="R1912" s="210" t="str">
        <f>IFERROR(__xludf.DUMMYFUNCTION("""COMPUTED_VALUE"""),"1225501911")</f>
        <v>1225501911</v>
      </c>
      <c r="S1912" s="211" t="str">
        <f>IFERROR(__xludf.DUMMYFUNCTION("""COMPUTED_VALUE"""),"b2b5f2c5")</f>
        <v>b2b5f2c5</v>
      </c>
      <c r="T1912" s="211" t="str">
        <f>IFERROR(__xludf.DUMMYFUNCTION("""COMPUTED_VALUE"""),"Bengkel Las Bpk. Ari")</f>
        <v>Bengkel Las Bpk. Ari</v>
      </c>
      <c r="U1912" s="215">
        <f>IFERROR(__xludf.DUMMYFUNCTION("""COMPUTED_VALUE"""),45999.465729166666)</f>
        <v>45999.46573</v>
      </c>
      <c r="V1912" s="211" t="str">
        <f>IFERROR(__xludf.DUMMYFUNCTION("""COMPUTED_VALUE"""),"Sumber Kembar, Wonodadi, Kec. Kutorejo, Kabupaten Mojokerto, Jawa Timur")</f>
        <v>Sumber Kembar, Wonodadi, Kec. Kutorejo, Kabupaten Mojokerto, Jawa Timur</v>
      </c>
      <c r="W1912" s="211" t="str">
        <f>IFERROR(__xludf.DUMMYFUNCTION("""COMPUTED_VALUE"""),"OUT")</f>
        <v>OUT</v>
      </c>
      <c r="X1912" s="211"/>
      <c r="AL1912" s="211"/>
      <c r="AM1912" s="211"/>
      <c r="AN1912" s="211"/>
      <c r="AO1912" s="211"/>
      <c r="AP1912" s="215"/>
      <c r="AQ1912" s="218"/>
      <c r="AR1912" s="211"/>
    </row>
    <row r="1913">
      <c r="A1913" s="210" t="str">
        <f>IFERROR(__xludf.DUMMYFUNCTION("""COMPUTED_VALUE"""),"1250643")</f>
        <v>1250643</v>
      </c>
      <c r="B1913" s="210" t="str">
        <f>IFERROR(__xludf.DUMMYFUNCTION("""COMPUTED_VALUE"""),"1250643")</f>
        <v>1250643</v>
      </c>
      <c r="C1913" s="213">
        <f>IFERROR(__xludf.DUMMYFUNCTION("""COMPUTED_VALUE"""),45933.47009259259)</f>
        <v>45933.47009</v>
      </c>
      <c r="D1913" s="211" t="str">
        <f>IFERROR(__xludf.DUMMYFUNCTION("""COMPUTED_VALUE"""),"2d88931c")</f>
        <v>2d88931c</v>
      </c>
      <c r="E1913" s="211" t="str">
        <f>IFERROR(__xludf.DUMMYFUNCTION("""COMPUTED_VALUE"""),"PT Dunia Berkat Marga Mulya")</f>
        <v>PT Dunia Berkat Marga Mulya</v>
      </c>
      <c r="F1913" s="211" t="str">
        <f>IFERROR(__xludf.DUMMYFUNCTION("""COMPUTED_VALUE"""),"8bdbe149")</f>
        <v>8bdbe149</v>
      </c>
      <c r="G1913" s="211" t="str">
        <f>IFERROR(__xludf.DUMMYFUNCTION("""COMPUTED_VALUE"""),"Oksigen 6m3")</f>
        <v>Oksigen 6m3</v>
      </c>
      <c r="H1913" s="211" t="str">
        <f>IFERROR(__xludf.DUMMYFUNCTION("""COMPUTED_VALUE"""),"IN")</f>
        <v>IN</v>
      </c>
      <c r="I1913" s="211" t="str">
        <f>IFERROR(__xludf.DUMMYFUNCTION("""COMPUTED_VALUE"""),"EMPTY")</f>
        <v>EMPTY</v>
      </c>
      <c r="J1913" s="211">
        <f>IFERROR(__xludf.DUMMYFUNCTION("""COMPUTED_VALUE"""),1.0)</f>
        <v>1</v>
      </c>
      <c r="K1913" s="210" t="str">
        <f>IFERROR(__xludf.DUMMYFUNCTION("""COMPUTED_VALUE"""),"11248")</f>
        <v>11248</v>
      </c>
      <c r="L1913" s="211">
        <f>IFERROR(__xludf.DUMMYFUNCTION("""COMPUTED_VALUE"""),0.0)</f>
        <v>0</v>
      </c>
      <c r="M1913" s="211"/>
      <c r="N1913" s="211"/>
      <c r="O1913" s="211"/>
      <c r="Q1913" s="210" t="str">
        <f>IFERROR(__xludf.DUMMYFUNCTION("""COMPUTED_VALUE"""),"122551913")</f>
        <v>122551913</v>
      </c>
      <c r="R1913" s="210" t="str">
        <f>IFERROR(__xludf.DUMMYFUNCTION("""COMPUTED_VALUE"""),"122551913")</f>
        <v>122551913</v>
      </c>
      <c r="S1913" s="211" t="str">
        <f>IFERROR(__xludf.DUMMYFUNCTION("""COMPUTED_VALUE"""),"f8a982a4")</f>
        <v>f8a982a4</v>
      </c>
      <c r="T1913" s="211" t="str">
        <f>IFERROR(__xludf.DUMMYFUNCTION("""COMPUTED_VALUE"""),"Bpk. Nasir")</f>
        <v>Bpk. Nasir</v>
      </c>
      <c r="U1913" s="215">
        <f>IFERROR(__xludf.DUMMYFUNCTION("""COMPUTED_VALUE"""),45999.46729166667)</f>
        <v>45999.46729</v>
      </c>
      <c r="V1913" s="211" t="str">
        <f>IFERROR(__xludf.DUMMYFUNCTION("""COMPUTED_VALUE"""),"JL Raya Pacet, Dsn. Janti Ds. Jatilangkung RT.01 RW. 04. Kabupaten. Mojokerto Pungging, Jawa Timur")</f>
        <v>JL Raya Pacet, Dsn. Janti Ds. Jatilangkung RT.01 RW. 04. Kabupaten. Mojokerto Pungging, Jawa Timur</v>
      </c>
      <c r="W1913" s="211" t="str">
        <f>IFERROR(__xludf.DUMMYFUNCTION("""COMPUTED_VALUE"""),"OUT")</f>
        <v>OUT</v>
      </c>
      <c r="X1913" s="211"/>
      <c r="AL1913" s="211"/>
      <c r="AM1913" s="211"/>
      <c r="AN1913" s="211"/>
      <c r="AO1913" s="211"/>
      <c r="AP1913" s="215"/>
      <c r="AQ1913" s="218"/>
      <c r="AR1913" s="211"/>
    </row>
    <row r="1914">
      <c r="A1914" s="210" t="str">
        <f>IFERROR(__xludf.DUMMYFUNCTION("""COMPUTED_VALUE"""),"1025131370")</f>
        <v>1025131370</v>
      </c>
      <c r="B1914" s="210" t="str">
        <f>IFERROR(__xludf.DUMMYFUNCTION("""COMPUTED_VALUE"""),"1025131370")</f>
        <v>1025131370</v>
      </c>
      <c r="C1914" s="213">
        <f>IFERROR(__xludf.DUMMYFUNCTION("""COMPUTED_VALUE"""),45933.54539351852)</f>
        <v>45933.54539</v>
      </c>
      <c r="D1914" s="211" t="str">
        <f>IFERROR(__xludf.DUMMYFUNCTION("""COMPUTED_VALUE"""),"e968afef")</f>
        <v>e968afef</v>
      </c>
      <c r="E1914" s="211" t="str">
        <f>IFERROR(__xludf.DUMMYFUNCTION("""COMPUTED_VALUE"""),"Bpk. Agus")</f>
        <v>Bpk. Agus</v>
      </c>
      <c r="F1914" s="211" t="str">
        <f>IFERROR(__xludf.DUMMYFUNCTION("""COMPUTED_VALUE"""),"8bdbe149")</f>
        <v>8bdbe149</v>
      </c>
      <c r="G1914" s="211" t="str">
        <f>IFERROR(__xludf.DUMMYFUNCTION("""COMPUTED_VALUE"""),"Oksigen 6m3")</f>
        <v>Oksigen 6m3</v>
      </c>
      <c r="H1914" s="211" t="str">
        <f>IFERROR(__xludf.DUMMYFUNCTION("""COMPUTED_VALUE"""),"OUT")</f>
        <v>OUT</v>
      </c>
      <c r="I1914" s="211" t="str">
        <f>IFERROR(__xludf.DUMMYFUNCTION("""COMPUTED_VALUE"""),"NORMAL")</f>
        <v>NORMAL</v>
      </c>
      <c r="J1914" s="211">
        <f>IFERROR(__xludf.DUMMYFUNCTION("""COMPUTED_VALUE"""),10.0)</f>
        <v>10</v>
      </c>
      <c r="K1914" s="210" t="str">
        <f>IFERROR(__xludf.DUMMYFUNCTION("""COMPUTED_VALUE"""),"11181 1194 11116 11103 1149 11111 11129 1146 1188 1147")</f>
        <v>11181 1194 11116 11103 1149 11111 11129 1146 1188 1147</v>
      </c>
      <c r="L1914" s="211">
        <f>IFERROR(__xludf.DUMMYFUNCTION("""COMPUTED_VALUE"""),60000.0)</f>
        <v>60000</v>
      </c>
      <c r="M1914" s="211"/>
      <c r="N1914" s="211"/>
      <c r="O1914" s="211"/>
      <c r="Q1914" s="210" t="str">
        <f>IFERROR(__xludf.DUMMYFUNCTION("""COMPUTED_VALUE"""),"122541914")</f>
        <v>122541914</v>
      </c>
      <c r="R1914" s="210" t="str">
        <f>IFERROR(__xludf.DUMMYFUNCTION("""COMPUTED_VALUE"""),"122541914")</f>
        <v>122541914</v>
      </c>
      <c r="S1914" s="211" t="str">
        <f>IFERROR(__xludf.DUMMYFUNCTION("""COMPUTED_VALUE"""),"ca4876e2")</f>
        <v>ca4876e2</v>
      </c>
      <c r="T1914" s="211" t="str">
        <f>IFERROR(__xludf.DUMMYFUNCTION("""COMPUTED_VALUE"""),"Bengkel Mustika Mojosari")</f>
        <v>Bengkel Mustika Mojosari</v>
      </c>
      <c r="U1914" s="215">
        <f>IFERROR(__xludf.DUMMYFUNCTION("""COMPUTED_VALUE"""),45999.46765046296)</f>
        <v>45999.46765</v>
      </c>
      <c r="V1914" s="211" t="str">
        <f>IFERROR(__xludf.DUMMYFUNCTION("""COMPUTED_VALUE"""),"Jl. Kusuma Bangsa, Bulanan, Randubango, Kec. Mojosari, Kabupaten Mojokerto, Jawa Timur 61382")</f>
        <v>Jl. Kusuma Bangsa, Bulanan, Randubango, Kec. Mojosari, Kabupaten Mojokerto, Jawa Timur 61382</v>
      </c>
      <c r="W1914" s="211" t="str">
        <f>IFERROR(__xludf.DUMMYFUNCTION("""COMPUTED_VALUE"""),"OUT")</f>
        <v>OUT</v>
      </c>
      <c r="X1914" s="211"/>
      <c r="AL1914" s="211"/>
      <c r="AM1914" s="211"/>
      <c r="AN1914" s="211"/>
      <c r="AO1914" s="211"/>
      <c r="AP1914" s="215"/>
      <c r="AQ1914" s="218"/>
      <c r="AR1914" s="211"/>
    </row>
    <row r="1915">
      <c r="A1915" s="210" t="str">
        <f>IFERROR(__xludf.DUMMYFUNCTION("""COMPUTED_VALUE"""),"1025131370")</f>
        <v>1025131370</v>
      </c>
      <c r="B1915" s="210" t="str">
        <f>IFERROR(__xludf.DUMMYFUNCTION("""COMPUTED_VALUE"""),"1025131370")</f>
        <v>1025131370</v>
      </c>
      <c r="C1915" s="213">
        <f>IFERROR(__xludf.DUMMYFUNCTION("""COMPUTED_VALUE"""),45933.54539351852)</f>
        <v>45933.54539</v>
      </c>
      <c r="D1915" s="211" t="str">
        <f>IFERROR(__xludf.DUMMYFUNCTION("""COMPUTED_VALUE"""),"e968afef")</f>
        <v>e968afef</v>
      </c>
      <c r="E1915" s="211" t="str">
        <f>IFERROR(__xludf.DUMMYFUNCTION("""COMPUTED_VALUE"""),"Bpk. Agus")</f>
        <v>Bpk. Agus</v>
      </c>
      <c r="F1915" s="211" t="str">
        <f>IFERROR(__xludf.DUMMYFUNCTION("""COMPUTED_VALUE"""),"be525f3b")</f>
        <v>be525f3b</v>
      </c>
      <c r="G1915" s="211" t="str">
        <f>IFERROR(__xludf.DUMMYFUNCTION("""COMPUTED_VALUE"""),"LPG 12kg")</f>
        <v>LPG 12kg</v>
      </c>
      <c r="H1915" s="211" t="str">
        <f>IFERROR(__xludf.DUMMYFUNCTION("""COMPUTED_VALUE"""),"OUT")</f>
        <v>OUT</v>
      </c>
      <c r="I1915" s="211" t="str">
        <f>IFERROR(__xludf.DUMMYFUNCTION("""COMPUTED_VALUE"""),"NORMAL")</f>
        <v>NORMAL</v>
      </c>
      <c r="J1915" s="211">
        <f>IFERROR(__xludf.DUMMYFUNCTION("""COMPUTED_VALUE"""),1.0)</f>
        <v>1</v>
      </c>
      <c r="K1915" s="211"/>
      <c r="L1915" s="211">
        <f>IFERROR(__xludf.DUMMYFUNCTION("""COMPUTED_VALUE"""),210000.0)</f>
        <v>210000</v>
      </c>
      <c r="M1915" s="211"/>
      <c r="N1915" s="211"/>
      <c r="O1915" s="211"/>
      <c r="Q1915" s="210" t="str">
        <f>IFERROR(__xludf.DUMMYFUNCTION("""COMPUTED_VALUE"""),"1225241915")</f>
        <v>1225241915</v>
      </c>
      <c r="R1915" s="210" t="str">
        <f>IFERROR(__xludf.DUMMYFUNCTION("""COMPUTED_VALUE"""),"1225241915")</f>
        <v>1225241915</v>
      </c>
      <c r="S1915" s="211" t="str">
        <f>IFERROR(__xludf.DUMMYFUNCTION("""COMPUTED_VALUE"""),"3bcd7fe6")</f>
        <v>3bcd7fe6</v>
      </c>
      <c r="T1915" s="211" t="str">
        <f>IFERROR(__xludf.DUMMYFUNCTION("""COMPUTED_VALUE"""),"Bpk. Alvin (LB Group)")</f>
        <v>Bpk. Alvin (LB Group)</v>
      </c>
      <c r="U1915" s="215">
        <f>IFERROR(__xludf.DUMMYFUNCTION("""COMPUTED_VALUE"""),45999.46821759259)</f>
        <v>45999.46822</v>
      </c>
      <c r="V1915" s="211" t="str">
        <f>IFERROR(__xludf.DUMMYFUNCTION("""COMPUTED_VALUE"""),"MFF9+XHC, Jalan, Tambakrejo, Temuireng, Kec. Dawar Blandong, Kabupaten Mojokerto, Jawa Timur 61354")</f>
        <v>MFF9+XHC, Jalan, Tambakrejo, Temuireng, Kec. Dawar Blandong, Kabupaten Mojokerto, Jawa Timur 61354</v>
      </c>
      <c r="W1915" s="211" t="str">
        <f>IFERROR(__xludf.DUMMYFUNCTION("""COMPUTED_VALUE"""),"OUT")</f>
        <v>OUT</v>
      </c>
      <c r="X1915" s="211"/>
      <c r="AL1915" s="211"/>
      <c r="AM1915" s="211"/>
      <c r="AN1915" s="211"/>
      <c r="AO1915" s="211"/>
      <c r="AP1915" s="215"/>
      <c r="AQ1915" s="218"/>
      <c r="AR1915" s="211"/>
    </row>
    <row r="1916">
      <c r="A1916" s="210" t="str">
        <f>IFERROR(__xludf.DUMMYFUNCTION("""COMPUTED_VALUE"""),"102511384")</f>
        <v>102511384</v>
      </c>
      <c r="B1916" s="210" t="str">
        <f>IFERROR(__xludf.DUMMYFUNCTION("""COMPUTED_VALUE"""),"102511384")</f>
        <v>102511384</v>
      </c>
      <c r="C1916" s="213">
        <f>IFERROR(__xludf.DUMMYFUNCTION("""COMPUTED_VALUE"""),45934.40032407407)</f>
        <v>45934.40032</v>
      </c>
      <c r="D1916" s="211" t="str">
        <f>IFERROR(__xludf.DUMMYFUNCTION("""COMPUTED_VALUE"""),"4558672e")</f>
        <v>4558672e</v>
      </c>
      <c r="E1916" s="211" t="str">
        <f>IFERROR(__xludf.DUMMYFUNCTION("""COMPUTED_VALUE"""),"Sumargiono")</f>
        <v>Sumargiono</v>
      </c>
      <c r="F1916" s="211" t="str">
        <f>IFERROR(__xludf.DUMMYFUNCTION("""COMPUTED_VALUE"""),"7d2764f1")</f>
        <v>7d2764f1</v>
      </c>
      <c r="G1916" s="211" t="str">
        <f>IFERROR(__xludf.DUMMYFUNCTION("""COMPUTED_VALUE"""),"Oksigen 7m3")</f>
        <v>Oksigen 7m3</v>
      </c>
      <c r="H1916" s="211" t="str">
        <f>IFERROR(__xludf.DUMMYFUNCTION("""COMPUTED_VALUE"""),"OUT")</f>
        <v>OUT</v>
      </c>
      <c r="I1916" s="211" t="str">
        <f>IFERROR(__xludf.DUMMYFUNCTION("""COMPUTED_VALUE"""),"NORMAL")</f>
        <v>NORMAL</v>
      </c>
      <c r="J1916" s="211">
        <f>IFERROR(__xludf.DUMMYFUNCTION("""COMPUTED_VALUE"""),1.0)</f>
        <v>1</v>
      </c>
      <c r="K1916" s="210" t="str">
        <f>IFERROR(__xludf.DUMMYFUNCTION("""COMPUTED_VALUE"""),"11148")</f>
        <v>11148</v>
      </c>
      <c r="L1916" s="211">
        <f>IFERROR(__xludf.DUMMYFUNCTION("""COMPUTED_VALUE"""),70000.0)</f>
        <v>70000</v>
      </c>
      <c r="M1916" s="211"/>
      <c r="N1916" s="211"/>
      <c r="O1916" s="211"/>
      <c r="Q1916" s="210" t="str">
        <f>IFERROR(__xludf.DUMMYFUNCTION("""COMPUTED_VALUE"""),"122561916")</f>
        <v>122561916</v>
      </c>
      <c r="R1916" s="210" t="str">
        <f>IFERROR(__xludf.DUMMYFUNCTION("""COMPUTED_VALUE"""),"122561916")</f>
        <v>122561916</v>
      </c>
      <c r="S1916" s="211" t="str">
        <f>IFERROR(__xludf.DUMMYFUNCTION("""COMPUTED_VALUE"""),"63fc688a")</f>
        <v>63fc688a</v>
      </c>
      <c r="T1916" s="211" t="str">
        <f>IFERROR(__xludf.DUMMYFUNCTION("""COMPUTED_VALUE"""),"CV Malik Nusantara")</f>
        <v>CV Malik Nusantara</v>
      </c>
      <c r="U1916" s="215">
        <f>IFERROR(__xludf.DUMMYFUNCTION("""COMPUTED_VALUE"""),45999.46865740741)</f>
        <v>45999.46866</v>
      </c>
      <c r="V1916" s="211" t="str">
        <f>IFERROR(__xludf.DUMMYFUNCTION("""COMPUTED_VALUE"""),"Jl. Raya Balongbendo No.12, Suwaluh Utara, Suwaluh, Kec. BalongBendo, Kabupaten Sidoarjo, Jawa Timur 61263")</f>
        <v>Jl. Raya Balongbendo No.12, Suwaluh Utara, Suwaluh, Kec. BalongBendo, Kabupaten Sidoarjo, Jawa Timur 61263</v>
      </c>
      <c r="W1916" s="211" t="str">
        <f>IFERROR(__xludf.DUMMYFUNCTION("""COMPUTED_VALUE"""),"OUT")</f>
        <v>OUT</v>
      </c>
      <c r="X1916" s="211"/>
      <c r="AL1916" s="211"/>
      <c r="AM1916" s="211"/>
      <c r="AN1916" s="211"/>
      <c r="AO1916" s="211"/>
      <c r="AP1916" s="215"/>
      <c r="AQ1916" s="218"/>
      <c r="AR1916" s="211"/>
    </row>
    <row r="1917">
      <c r="A1917" s="210" t="str">
        <f>IFERROR(__xludf.DUMMYFUNCTION("""COMPUTED_VALUE"""),"1025221385")</f>
        <v>1025221385</v>
      </c>
      <c r="B1917" s="210" t="str">
        <f>IFERROR(__xludf.DUMMYFUNCTION("""COMPUTED_VALUE"""),"1025221385")</f>
        <v>1025221385</v>
      </c>
      <c r="C1917" s="213">
        <f>IFERROR(__xludf.DUMMYFUNCTION("""COMPUTED_VALUE"""),45934.403958333336)</f>
        <v>45934.40396</v>
      </c>
      <c r="D1917" s="211" t="str">
        <f>IFERROR(__xludf.DUMMYFUNCTION("""COMPUTED_VALUE"""),"ec231cc9")</f>
        <v>ec231cc9</v>
      </c>
      <c r="E1917" s="211" t="str">
        <f>IFERROR(__xludf.DUMMYFUNCTION("""COMPUTED_VALUE"""),"Bpk. Kohir (Maintenance Velg)")</f>
        <v>Bpk. Kohir (Maintenance Velg)</v>
      </c>
      <c r="F1917" s="211" t="str">
        <f>IFERROR(__xludf.DUMMYFUNCTION("""COMPUTED_VALUE"""),"8bdbe149")</f>
        <v>8bdbe149</v>
      </c>
      <c r="G1917" s="211" t="str">
        <f>IFERROR(__xludf.DUMMYFUNCTION("""COMPUTED_VALUE"""),"Oksigen 6m3")</f>
        <v>Oksigen 6m3</v>
      </c>
      <c r="H1917" s="211" t="str">
        <f>IFERROR(__xludf.DUMMYFUNCTION("""COMPUTED_VALUE"""),"OUT")</f>
        <v>OUT</v>
      </c>
      <c r="I1917" s="211" t="str">
        <f>IFERROR(__xludf.DUMMYFUNCTION("""COMPUTED_VALUE"""),"NORMAL")</f>
        <v>NORMAL</v>
      </c>
      <c r="J1917" s="211">
        <f>IFERROR(__xludf.DUMMYFUNCTION("""COMPUTED_VALUE"""),4.0)</f>
        <v>4</v>
      </c>
      <c r="K1917" s="210" t="str">
        <f>IFERROR(__xludf.DUMMYFUNCTION("""COMPUTED_VALUE"""),"11121 1109 11210 11201")</f>
        <v>11121 1109 11210 11201</v>
      </c>
      <c r="L1917" s="211">
        <f>IFERROR(__xludf.DUMMYFUNCTION("""COMPUTED_VALUE"""),55000.0)</f>
        <v>55000</v>
      </c>
      <c r="M1917" s="211"/>
      <c r="N1917" s="211"/>
      <c r="O1917" s="211"/>
      <c r="Q1917" s="210" t="str">
        <f>IFERROR(__xludf.DUMMYFUNCTION("""COMPUTED_VALUE"""),"122591917")</f>
        <v>122591917</v>
      </c>
      <c r="R1917" s="210" t="str">
        <f>IFERROR(__xludf.DUMMYFUNCTION("""COMPUTED_VALUE"""),"122591917")</f>
        <v>122591917</v>
      </c>
      <c r="S1917" s="211" t="str">
        <f>IFERROR(__xludf.DUMMYFUNCTION("""COMPUTED_VALUE"""),"eec2e801")</f>
        <v>eec2e801</v>
      </c>
      <c r="T1917" s="211" t="str">
        <f>IFERROR(__xludf.DUMMYFUNCTION("""COMPUTED_VALUE"""),"Mitra Wood Sejahtera")</f>
        <v>Mitra Wood Sejahtera</v>
      </c>
      <c r="U1917" s="215">
        <f>IFERROR(__xludf.DUMMYFUNCTION("""COMPUTED_VALUE"""),45999.469618055555)</f>
        <v>45999.46962</v>
      </c>
      <c r="V1917" s="211" t="str">
        <f>IFERROR(__xludf.DUMMYFUNCTION("""COMPUTED_VALUE"""),"Jl.cungkling, Jl. Tanggungan, Nanom Kidul, Lebaniwaras, Kec. Wringinanom, Kabupaten Gresik, Jawa Timur 61176")</f>
        <v>Jl.cungkling, Jl. Tanggungan, Nanom Kidul, Lebaniwaras, Kec. Wringinanom, Kabupaten Gresik, Jawa Timur 61176</v>
      </c>
      <c r="W1917" s="211" t="str">
        <f>IFERROR(__xludf.DUMMYFUNCTION("""COMPUTED_VALUE"""),"OUT")</f>
        <v>OUT</v>
      </c>
      <c r="X1917" s="211"/>
      <c r="AL1917" s="211"/>
      <c r="AM1917" s="211"/>
      <c r="AN1917" s="211"/>
      <c r="AO1917" s="211"/>
      <c r="AP1917" s="215"/>
      <c r="AQ1917" s="218"/>
      <c r="AR1917" s="211"/>
    </row>
    <row r="1918">
      <c r="A1918" s="210" t="str">
        <f>IFERROR(__xludf.DUMMYFUNCTION("""COMPUTED_VALUE"""),"1025141386")</f>
        <v>1025141386</v>
      </c>
      <c r="B1918" s="210" t="str">
        <f>IFERROR(__xludf.DUMMYFUNCTION("""COMPUTED_VALUE"""),"1025141386")</f>
        <v>1025141386</v>
      </c>
      <c r="C1918" s="213">
        <f>IFERROR(__xludf.DUMMYFUNCTION("""COMPUTED_VALUE"""),45934.421377314815)</f>
        <v>45934.42138</v>
      </c>
      <c r="D1918" s="211" t="str">
        <f>IFERROR(__xludf.DUMMYFUNCTION("""COMPUTED_VALUE"""),"182fb0fe")</f>
        <v>182fb0fe</v>
      </c>
      <c r="E1918" s="211" t="str">
        <f>IFERROR(__xludf.DUMMYFUNCTION("""COMPUTED_VALUE"""),"PT Amtech")</f>
        <v>PT Amtech</v>
      </c>
      <c r="F1918" s="211" t="str">
        <f>IFERROR(__xludf.DUMMYFUNCTION("""COMPUTED_VALUE"""),"66af7c72")</f>
        <v>66af7c72</v>
      </c>
      <c r="G1918" s="211" t="str">
        <f>IFERROR(__xludf.DUMMYFUNCTION("""COMPUTED_VALUE"""),"Argon 6m3")</f>
        <v>Argon 6m3</v>
      </c>
      <c r="H1918" s="211" t="str">
        <f>IFERROR(__xludf.DUMMYFUNCTION("""COMPUTED_VALUE"""),"OUT")</f>
        <v>OUT</v>
      </c>
      <c r="I1918" s="211" t="str">
        <f>IFERROR(__xludf.DUMMYFUNCTION("""COMPUTED_VALUE"""),"NORMAL")</f>
        <v>NORMAL</v>
      </c>
      <c r="J1918" s="211">
        <f>IFERROR(__xludf.DUMMYFUNCTION("""COMPUTED_VALUE"""),3.0)</f>
        <v>3</v>
      </c>
      <c r="K1918" s="210" t="str">
        <f>IFERROR(__xludf.DUMMYFUNCTION("""COMPUTED_VALUE"""),"12029 12036 12063")</f>
        <v>12029 12036 12063</v>
      </c>
      <c r="L1918" s="211">
        <f>IFERROR(__xludf.DUMMYFUNCTION("""COMPUTED_VALUE"""),195000.0)</f>
        <v>195000</v>
      </c>
      <c r="M1918" s="211"/>
      <c r="N1918" s="211"/>
      <c r="O1918" s="211"/>
      <c r="Q1918" s="210" t="str">
        <f>IFERROR(__xludf.DUMMYFUNCTION("""COMPUTED_VALUE"""),"122511918")</f>
        <v>122511918</v>
      </c>
      <c r="R1918" s="210" t="str">
        <f>IFERROR(__xludf.DUMMYFUNCTION("""COMPUTED_VALUE"""),"122511918")</f>
        <v>122511918</v>
      </c>
      <c r="S1918" s="211" t="str">
        <f>IFERROR(__xludf.DUMMYFUNCTION("""COMPUTED_VALUE"""),"6bfb8bcb")</f>
        <v>6bfb8bcb</v>
      </c>
      <c r="T1918" s="211" t="str">
        <f>IFERROR(__xludf.DUMMYFUNCTION("""COMPUTED_VALUE"""),"Bpk. Mashudul Chaq")</f>
        <v>Bpk. Mashudul Chaq</v>
      </c>
      <c r="U1918" s="215">
        <f>IFERROR(__xludf.DUMMYFUNCTION("""COMPUTED_VALUE"""),45999.615902777776)</f>
        <v>45999.6159</v>
      </c>
      <c r="V1918" s="211" t="str">
        <f>IFERROR(__xludf.DUMMYFUNCTION("""COMPUTED_VALUE"""),"JL. Raya Balongbendo NO.17, Suwaluh Utara, Suwaluh, kec. Balongbendo, Kabbupaten Sidoarjo, Jawa Timur 61263")</f>
        <v>JL. Raya Balongbendo NO.17, Suwaluh Utara, Suwaluh, kec. Balongbendo, Kabbupaten Sidoarjo, Jawa Timur 61263</v>
      </c>
      <c r="W1918" s="211" t="str">
        <f>IFERROR(__xludf.DUMMYFUNCTION("""COMPUTED_VALUE"""),"OUT")</f>
        <v>OUT</v>
      </c>
      <c r="X1918" s="211"/>
      <c r="AL1918" s="211"/>
      <c r="AM1918" s="211"/>
      <c r="AN1918" s="211"/>
      <c r="AO1918" s="211"/>
      <c r="AP1918" s="215"/>
      <c r="AQ1918" s="218"/>
      <c r="AR1918" s="211"/>
    </row>
    <row r="1919">
      <c r="A1919" s="210" t="str">
        <f>IFERROR(__xludf.DUMMYFUNCTION("""COMPUTED_VALUE"""),"1025141386")</f>
        <v>1025141386</v>
      </c>
      <c r="B1919" s="210" t="str">
        <f>IFERROR(__xludf.DUMMYFUNCTION("""COMPUTED_VALUE"""),"1025141386")</f>
        <v>1025141386</v>
      </c>
      <c r="C1919" s="213">
        <f>IFERROR(__xludf.DUMMYFUNCTION("""COMPUTED_VALUE"""),45934.421377314815)</f>
        <v>45934.42138</v>
      </c>
      <c r="D1919" s="211" t="str">
        <f>IFERROR(__xludf.DUMMYFUNCTION("""COMPUTED_VALUE"""),"182fb0fe")</f>
        <v>182fb0fe</v>
      </c>
      <c r="E1919" s="211" t="str">
        <f>IFERROR(__xludf.DUMMYFUNCTION("""COMPUTED_VALUE"""),"PT Amtech")</f>
        <v>PT Amtech</v>
      </c>
      <c r="F1919" s="211" t="str">
        <f>IFERROR(__xludf.DUMMYFUNCTION("""COMPUTED_VALUE"""),"8bdbe149")</f>
        <v>8bdbe149</v>
      </c>
      <c r="G1919" s="211" t="str">
        <f>IFERROR(__xludf.DUMMYFUNCTION("""COMPUTED_VALUE"""),"Oksigen 6m3")</f>
        <v>Oksigen 6m3</v>
      </c>
      <c r="H1919" s="211" t="str">
        <f>IFERROR(__xludf.DUMMYFUNCTION("""COMPUTED_VALUE"""),"OUT")</f>
        <v>OUT</v>
      </c>
      <c r="I1919" s="211" t="str">
        <f>IFERROR(__xludf.DUMMYFUNCTION("""COMPUTED_VALUE"""),"NORMAL")</f>
        <v>NORMAL</v>
      </c>
      <c r="J1919" s="211">
        <f>IFERROR(__xludf.DUMMYFUNCTION("""COMPUTED_VALUE"""),2.0)</f>
        <v>2</v>
      </c>
      <c r="K1919" s="210" t="str">
        <f>IFERROR(__xludf.DUMMYFUNCTION("""COMPUTED_VALUE"""),"11206 11132")</f>
        <v>11206 11132</v>
      </c>
      <c r="L1919" s="211">
        <f>IFERROR(__xludf.DUMMYFUNCTION("""COMPUTED_VALUE"""),60000.0)</f>
        <v>60000</v>
      </c>
      <c r="M1919" s="211"/>
      <c r="N1919" s="211"/>
      <c r="O1919" s="211"/>
      <c r="Q1919" s="210" t="str">
        <f>IFERROR(__xludf.DUMMYFUNCTION("""COMPUTED_VALUE"""),"1250904")</f>
        <v>1250904</v>
      </c>
      <c r="R1919" s="210" t="str">
        <f>IFERROR(__xludf.DUMMYFUNCTION("""COMPUTED_VALUE"""),"1250904")</f>
        <v>1250904</v>
      </c>
      <c r="S1919" s="211" t="str">
        <f>IFERROR(__xludf.DUMMYFUNCTION("""COMPUTED_VALUE"""),"ca4876e2")</f>
        <v>ca4876e2</v>
      </c>
      <c r="T1919" s="211" t="str">
        <f>IFERROR(__xludf.DUMMYFUNCTION("""COMPUTED_VALUE"""),"Bengkel Mustika Mojosari")</f>
        <v>Bengkel Mustika Mojosari</v>
      </c>
      <c r="U1919" s="215">
        <f>IFERROR(__xludf.DUMMYFUNCTION("""COMPUTED_VALUE"""),45999.62225694444)</f>
        <v>45999.62226</v>
      </c>
      <c r="V1919" s="211" t="str">
        <f>IFERROR(__xludf.DUMMYFUNCTION("""COMPUTED_VALUE"""),"Jl. Kusuma Bangsa, Bulanan, Randubango, Kec. Mojosari, Kabupaten Mojokerto, Jawa Timur 61382")</f>
        <v>Jl. Kusuma Bangsa, Bulanan, Randubango, Kec. Mojosari, Kabupaten Mojokerto, Jawa Timur 61382</v>
      </c>
      <c r="W1919" s="211" t="str">
        <f>IFERROR(__xludf.DUMMYFUNCTION("""COMPUTED_VALUE"""),"IN")</f>
        <v>IN</v>
      </c>
      <c r="X1919" s="211"/>
      <c r="AL1919" s="211"/>
      <c r="AM1919" s="211"/>
      <c r="AN1919" s="211"/>
      <c r="AO1919" s="211"/>
      <c r="AP1919" s="215"/>
      <c r="AQ1919" s="218"/>
      <c r="AR1919" s="211"/>
    </row>
    <row r="1920">
      <c r="A1920" s="210" t="str">
        <f>IFERROR(__xludf.DUMMYFUNCTION("""COMPUTED_VALUE"""),"1025141386")</f>
        <v>1025141386</v>
      </c>
      <c r="B1920" s="210" t="str">
        <f>IFERROR(__xludf.DUMMYFUNCTION("""COMPUTED_VALUE"""),"1025141386")</f>
        <v>1025141386</v>
      </c>
      <c r="C1920" s="213">
        <f>IFERROR(__xludf.DUMMYFUNCTION("""COMPUTED_VALUE"""),45934.421377314815)</f>
        <v>45934.42138</v>
      </c>
      <c r="D1920" s="211" t="str">
        <f>IFERROR(__xludf.DUMMYFUNCTION("""COMPUTED_VALUE"""),"182fb0fe")</f>
        <v>182fb0fe</v>
      </c>
      <c r="E1920" s="211" t="str">
        <f>IFERROR(__xludf.DUMMYFUNCTION("""COMPUTED_VALUE"""),"PT Amtech")</f>
        <v>PT Amtech</v>
      </c>
      <c r="F1920" s="211" t="str">
        <f>IFERROR(__xludf.DUMMYFUNCTION("""COMPUTED_VALUE"""),"f13ba52f")</f>
        <v>f13ba52f</v>
      </c>
      <c r="G1920" s="211" t="str">
        <f>IFERROR(__xludf.DUMMYFUNCTION("""COMPUTED_VALUE"""),"Ongkos Kirim (Non PPN)")</f>
        <v>Ongkos Kirim (Non PPN)</v>
      </c>
      <c r="H1920" s="211" t="str">
        <f>IFERROR(__xludf.DUMMYFUNCTION("""COMPUTED_VALUE"""),"OUT")</f>
        <v>OUT</v>
      </c>
      <c r="I1920" s="211" t="str">
        <f>IFERROR(__xludf.DUMMYFUNCTION("""COMPUTED_VALUE"""),"NORMAL")</f>
        <v>NORMAL</v>
      </c>
      <c r="J1920" s="211">
        <f>IFERROR(__xludf.DUMMYFUNCTION("""COMPUTED_VALUE"""),1.0)</f>
        <v>1</v>
      </c>
      <c r="K1920" s="211"/>
      <c r="L1920" s="211">
        <f>IFERROR(__xludf.DUMMYFUNCTION("""COMPUTED_VALUE"""),100000.0)</f>
        <v>100000</v>
      </c>
      <c r="M1920" s="211"/>
      <c r="N1920" s="211"/>
      <c r="O1920" s="211"/>
      <c r="Q1920" s="210" t="str">
        <f>IFERROR(__xludf.DUMMYFUNCTION("""COMPUTED_VALUE"""),"1250898")</f>
        <v>1250898</v>
      </c>
      <c r="R1920" s="210" t="str">
        <f>IFERROR(__xludf.DUMMYFUNCTION("""COMPUTED_VALUE"""),"1250898")</f>
        <v>1250898</v>
      </c>
      <c r="S1920" s="211" t="str">
        <f>IFERROR(__xludf.DUMMYFUNCTION("""COMPUTED_VALUE"""),"b2b5f2c5")</f>
        <v>b2b5f2c5</v>
      </c>
      <c r="T1920" s="211" t="str">
        <f>IFERROR(__xludf.DUMMYFUNCTION("""COMPUTED_VALUE"""),"Bengkel Las Bpk. Ari")</f>
        <v>Bengkel Las Bpk. Ari</v>
      </c>
      <c r="U1920" s="215">
        <f>IFERROR(__xludf.DUMMYFUNCTION("""COMPUTED_VALUE"""),45999.622569444444)</f>
        <v>45999.62257</v>
      </c>
      <c r="V1920" s="211" t="str">
        <f>IFERROR(__xludf.DUMMYFUNCTION("""COMPUTED_VALUE"""),"Sumber Kembar, Wonodadi, Kec. Kutorejo, Kabupaten Mojokerto, Jawa Timur")</f>
        <v>Sumber Kembar, Wonodadi, Kec. Kutorejo, Kabupaten Mojokerto, Jawa Timur</v>
      </c>
      <c r="W1920" s="211" t="str">
        <f>IFERROR(__xludf.DUMMYFUNCTION("""COMPUTED_VALUE"""),"IN")</f>
        <v>IN</v>
      </c>
      <c r="X1920" s="211"/>
      <c r="AL1920" s="211"/>
      <c r="AM1920" s="211"/>
      <c r="AN1920" s="211"/>
      <c r="AO1920" s="211"/>
      <c r="AP1920" s="215"/>
      <c r="AQ1920" s="218"/>
      <c r="AR1920" s="211"/>
    </row>
    <row r="1921">
      <c r="A1921" s="210" t="str">
        <f>IFERROR(__xludf.DUMMYFUNCTION("""COMPUTED_VALUE"""),"1250645")</f>
        <v>1250645</v>
      </c>
      <c r="B1921" s="210" t="str">
        <f>IFERROR(__xludf.DUMMYFUNCTION("""COMPUTED_VALUE"""),"1250645")</f>
        <v>1250645</v>
      </c>
      <c r="C1921" s="213">
        <f>IFERROR(__xludf.DUMMYFUNCTION("""COMPUTED_VALUE"""),45934.427083333336)</f>
        <v>45934.42708</v>
      </c>
      <c r="D1921" s="211" t="str">
        <f>IFERROR(__xludf.DUMMYFUNCTION("""COMPUTED_VALUE"""),"e968afef")</f>
        <v>e968afef</v>
      </c>
      <c r="E1921" s="211" t="str">
        <f>IFERROR(__xludf.DUMMYFUNCTION("""COMPUTED_VALUE"""),"Bpk. Agus")</f>
        <v>Bpk. Agus</v>
      </c>
      <c r="F1921" s="211" t="str">
        <f>IFERROR(__xludf.DUMMYFUNCTION("""COMPUTED_VALUE"""),"be525f3b")</f>
        <v>be525f3b</v>
      </c>
      <c r="G1921" s="211" t="str">
        <f>IFERROR(__xludf.DUMMYFUNCTION("""COMPUTED_VALUE"""),"LPG 12kg")</f>
        <v>LPG 12kg</v>
      </c>
      <c r="H1921" s="211" t="str">
        <f>IFERROR(__xludf.DUMMYFUNCTION("""COMPUTED_VALUE"""),"IN")</f>
        <v>IN</v>
      </c>
      <c r="I1921" s="211" t="str">
        <f>IFERROR(__xludf.DUMMYFUNCTION("""COMPUTED_VALUE"""),"EMPTY")</f>
        <v>EMPTY</v>
      </c>
      <c r="J1921" s="211">
        <f>IFERROR(__xludf.DUMMYFUNCTION("""COMPUTED_VALUE"""),1.0)</f>
        <v>1</v>
      </c>
      <c r="K1921" s="211"/>
      <c r="L1921" s="211">
        <f>IFERROR(__xludf.DUMMYFUNCTION("""COMPUTED_VALUE"""),0.0)</f>
        <v>0</v>
      </c>
      <c r="M1921" s="211"/>
      <c r="N1921" s="211"/>
      <c r="O1921" s="211"/>
      <c r="Q1921" s="210" t="str">
        <f>IFERROR(__xludf.DUMMYFUNCTION("""COMPUTED_VALUE"""),"1250905")</f>
        <v>1250905</v>
      </c>
      <c r="R1921" s="210" t="str">
        <f>IFERROR(__xludf.DUMMYFUNCTION("""COMPUTED_VALUE"""),"1250905")</f>
        <v>1250905</v>
      </c>
      <c r="S1921" s="211" t="str">
        <f>IFERROR(__xludf.DUMMYFUNCTION("""COMPUTED_VALUE"""),"eec2e801")</f>
        <v>eec2e801</v>
      </c>
      <c r="T1921" s="211" t="str">
        <f>IFERROR(__xludf.DUMMYFUNCTION("""COMPUTED_VALUE"""),"Mitra Wood Sejahtera")</f>
        <v>Mitra Wood Sejahtera</v>
      </c>
      <c r="U1921" s="215">
        <f>IFERROR(__xludf.DUMMYFUNCTION("""COMPUTED_VALUE"""),45999.681608796294)</f>
        <v>45999.68161</v>
      </c>
      <c r="V1921" s="211" t="str">
        <f>IFERROR(__xludf.DUMMYFUNCTION("""COMPUTED_VALUE"""),"Jl.cungkling, Jl. Tanggungan, Nanom Kidul, Lebaniwaras, Kec. Wringinanom, Kabupaten Gresik, Jawa Timur 61176")</f>
        <v>Jl.cungkling, Jl. Tanggungan, Nanom Kidul, Lebaniwaras, Kec. Wringinanom, Kabupaten Gresik, Jawa Timur 61176</v>
      </c>
      <c r="W1921" s="211" t="str">
        <f>IFERROR(__xludf.DUMMYFUNCTION("""COMPUTED_VALUE"""),"IN")</f>
        <v>IN</v>
      </c>
      <c r="X1921" s="211"/>
      <c r="AL1921" s="211"/>
      <c r="AM1921" s="211"/>
      <c r="AN1921" s="211"/>
      <c r="AO1921" s="211"/>
      <c r="AP1921" s="215"/>
      <c r="AQ1921" s="218"/>
      <c r="AR1921" s="211"/>
    </row>
    <row r="1922">
      <c r="A1922" s="210" t="str">
        <f>IFERROR(__xludf.DUMMYFUNCTION("""COMPUTED_VALUE"""),"1250645")</f>
        <v>1250645</v>
      </c>
      <c r="B1922" s="210" t="str">
        <f>IFERROR(__xludf.DUMMYFUNCTION("""COMPUTED_VALUE"""),"1250645")</f>
        <v>1250645</v>
      </c>
      <c r="C1922" s="213">
        <f>IFERROR(__xludf.DUMMYFUNCTION("""COMPUTED_VALUE"""),45934.427083333336)</f>
        <v>45934.42708</v>
      </c>
      <c r="D1922" s="211" t="str">
        <f>IFERROR(__xludf.DUMMYFUNCTION("""COMPUTED_VALUE"""),"e968afef")</f>
        <v>e968afef</v>
      </c>
      <c r="E1922" s="211" t="str">
        <f>IFERROR(__xludf.DUMMYFUNCTION("""COMPUTED_VALUE"""),"Bpk. Agus")</f>
        <v>Bpk. Agus</v>
      </c>
      <c r="F1922" s="211" t="str">
        <f>IFERROR(__xludf.DUMMYFUNCTION("""COMPUTED_VALUE"""),"8bdbe149")</f>
        <v>8bdbe149</v>
      </c>
      <c r="G1922" s="211" t="str">
        <f>IFERROR(__xludf.DUMMYFUNCTION("""COMPUTED_VALUE"""),"Oksigen 6m3")</f>
        <v>Oksigen 6m3</v>
      </c>
      <c r="H1922" s="211" t="str">
        <f>IFERROR(__xludf.DUMMYFUNCTION("""COMPUTED_VALUE"""),"IN")</f>
        <v>IN</v>
      </c>
      <c r="I1922" s="211" t="str">
        <f>IFERROR(__xludf.DUMMYFUNCTION("""COMPUTED_VALUE"""),"EMPTY")</f>
        <v>EMPTY</v>
      </c>
      <c r="J1922" s="211">
        <f>IFERROR(__xludf.DUMMYFUNCTION("""COMPUTED_VALUE"""),6.0)</f>
        <v>6</v>
      </c>
      <c r="K1922" s="210" t="str">
        <f>IFERROR(__xludf.DUMMYFUNCTION("""COMPUTED_VALUE"""),"11150 11249 11251 1124 11203 1105")</f>
        <v>11150 11249 11251 1124 11203 1105</v>
      </c>
      <c r="L1922" s="211">
        <f>IFERROR(__xludf.DUMMYFUNCTION("""COMPUTED_VALUE"""),0.0)</f>
        <v>0</v>
      </c>
      <c r="M1922" s="211"/>
      <c r="N1922" s="211"/>
      <c r="O1922" s="211"/>
      <c r="Q1922" s="210" t="str">
        <f>IFERROR(__xludf.DUMMYFUNCTION("""COMPUTED_VALUE"""),"1250922")</f>
        <v>1250922</v>
      </c>
      <c r="R1922" s="210" t="str">
        <f>IFERROR(__xludf.DUMMYFUNCTION("""COMPUTED_VALUE"""),"1250922")</f>
        <v>1250922</v>
      </c>
      <c r="S1922" s="211" t="str">
        <f>IFERROR(__xludf.DUMMYFUNCTION("""COMPUTED_VALUE"""),"3bcd7fe6")</f>
        <v>3bcd7fe6</v>
      </c>
      <c r="T1922" s="211" t="str">
        <f>IFERROR(__xludf.DUMMYFUNCTION("""COMPUTED_VALUE"""),"Bpk. Alvin (LB Group)")</f>
        <v>Bpk. Alvin (LB Group)</v>
      </c>
      <c r="U1922" s="215">
        <f>IFERROR(__xludf.DUMMYFUNCTION("""COMPUTED_VALUE"""),46000.354467592595)</f>
        <v>46000.35447</v>
      </c>
      <c r="V1922" s="211" t="str">
        <f>IFERROR(__xludf.DUMMYFUNCTION("""COMPUTED_VALUE"""),"MFF9+XHC, Jalan, Tambakrejo, Temuireng, Kec. Dawar Blandong, Kabupaten Mojokerto, Jawa Timur 61354")</f>
        <v>MFF9+XHC, Jalan, Tambakrejo, Temuireng, Kec. Dawar Blandong, Kabupaten Mojokerto, Jawa Timur 61354</v>
      </c>
      <c r="W1922" s="211" t="str">
        <f>IFERROR(__xludf.DUMMYFUNCTION("""COMPUTED_VALUE"""),"IN")</f>
        <v>IN</v>
      </c>
      <c r="X1922" s="211"/>
      <c r="AL1922" s="211"/>
      <c r="AM1922" s="211"/>
      <c r="AN1922" s="211"/>
      <c r="AO1922" s="211"/>
      <c r="AP1922" s="215"/>
      <c r="AQ1922" s="218"/>
      <c r="AR1922" s="211"/>
    </row>
    <row r="1923">
      <c r="A1923" s="210" t="str">
        <f>IFERROR(__xludf.DUMMYFUNCTION("""COMPUTED_VALUE"""),"1250645")</f>
        <v>1250645</v>
      </c>
      <c r="B1923" s="210" t="str">
        <f>IFERROR(__xludf.DUMMYFUNCTION("""COMPUTED_VALUE"""),"1250645")</f>
        <v>1250645</v>
      </c>
      <c r="C1923" s="213">
        <f>IFERROR(__xludf.DUMMYFUNCTION("""COMPUTED_VALUE"""),45934.427083333336)</f>
        <v>45934.42708</v>
      </c>
      <c r="D1923" s="211" t="str">
        <f>IFERROR(__xludf.DUMMYFUNCTION("""COMPUTED_VALUE"""),"e968afef")</f>
        <v>e968afef</v>
      </c>
      <c r="E1923" s="211" t="str">
        <f>IFERROR(__xludf.DUMMYFUNCTION("""COMPUTED_VALUE"""),"Bpk. Agus")</f>
        <v>Bpk. Agus</v>
      </c>
      <c r="F1923" s="211" t="str">
        <f>IFERROR(__xludf.DUMMYFUNCTION("""COMPUTED_VALUE"""),"7d2764f1")</f>
        <v>7d2764f1</v>
      </c>
      <c r="G1923" s="211" t="str">
        <f>IFERROR(__xludf.DUMMYFUNCTION("""COMPUTED_VALUE"""),"Oksigen 7m3")</f>
        <v>Oksigen 7m3</v>
      </c>
      <c r="H1923" s="211" t="str">
        <f>IFERROR(__xludf.DUMMYFUNCTION("""COMPUTED_VALUE"""),"IN")</f>
        <v>IN</v>
      </c>
      <c r="I1923" s="211" t="str">
        <f>IFERROR(__xludf.DUMMYFUNCTION("""COMPUTED_VALUE"""),"EMPTY")</f>
        <v>EMPTY</v>
      </c>
      <c r="J1923" s="211">
        <f>IFERROR(__xludf.DUMMYFUNCTION("""COMPUTED_VALUE"""),3.0)</f>
        <v>3</v>
      </c>
      <c r="K1923" s="210" t="str">
        <f>IFERROR(__xludf.DUMMYFUNCTION("""COMPUTED_VALUE"""),"11153 11145 11168")</f>
        <v>11153 11145 11168</v>
      </c>
      <c r="L1923" s="211">
        <f>IFERROR(__xludf.DUMMYFUNCTION("""COMPUTED_VALUE"""),0.0)</f>
        <v>0</v>
      </c>
      <c r="M1923" s="211"/>
      <c r="N1923" s="211"/>
      <c r="O1923" s="211"/>
      <c r="Q1923" s="210" t="str">
        <f>IFERROR(__xludf.DUMMYFUNCTION("""COMPUTED_VALUE"""),"1250921")</f>
        <v>1250921</v>
      </c>
      <c r="R1923" s="210" t="str">
        <f>IFERROR(__xludf.DUMMYFUNCTION("""COMPUTED_VALUE"""),"1250921")</f>
        <v>1250921</v>
      </c>
      <c r="S1923" s="211" t="str">
        <f>IFERROR(__xludf.DUMMYFUNCTION("""COMPUTED_VALUE"""),"63fc688a")</f>
        <v>63fc688a</v>
      </c>
      <c r="T1923" s="211" t="str">
        <f>IFERROR(__xludf.DUMMYFUNCTION("""COMPUTED_VALUE"""),"CV Malik Nusantara")</f>
        <v>CV Malik Nusantara</v>
      </c>
      <c r="U1923" s="215">
        <f>IFERROR(__xludf.DUMMYFUNCTION("""COMPUTED_VALUE"""),46000.35868055555)</f>
        <v>46000.35868</v>
      </c>
      <c r="V1923" s="211" t="str">
        <f>IFERROR(__xludf.DUMMYFUNCTION("""COMPUTED_VALUE"""),"Jl. Raya Balongbendo No.12, Suwaluh Utara, Suwaluh, Kec. BalongBendo, Kabupaten Sidoarjo, Jawa Timur 61263")</f>
        <v>Jl. Raya Balongbendo No.12, Suwaluh Utara, Suwaluh, Kec. BalongBendo, Kabupaten Sidoarjo, Jawa Timur 61263</v>
      </c>
      <c r="W1923" s="211" t="str">
        <f>IFERROR(__xludf.DUMMYFUNCTION("""COMPUTED_VALUE"""),"IN")</f>
        <v>IN</v>
      </c>
      <c r="X1923" s="211"/>
      <c r="AL1923" s="211"/>
      <c r="AM1923" s="211"/>
      <c r="AN1923" s="211"/>
      <c r="AO1923" s="211"/>
      <c r="AP1923" s="215"/>
      <c r="AQ1923" s="218"/>
      <c r="AR1923" s="211"/>
    </row>
    <row r="1924">
      <c r="A1924" s="210" t="str">
        <f>IFERROR(__xludf.DUMMYFUNCTION("""COMPUTED_VALUE"""),"102511387")</f>
        <v>102511387</v>
      </c>
      <c r="B1924" s="210" t="str">
        <f>IFERROR(__xludf.DUMMYFUNCTION("""COMPUTED_VALUE"""),"102511387")</f>
        <v>102511387</v>
      </c>
      <c r="C1924" s="213">
        <f>IFERROR(__xludf.DUMMYFUNCTION("""COMPUTED_VALUE"""),45934.43690972222)</f>
        <v>45934.43691</v>
      </c>
      <c r="D1924" s="211" t="str">
        <f>IFERROR(__xludf.DUMMYFUNCTION("""COMPUTED_VALUE"""),"b0735da4")</f>
        <v>b0735da4</v>
      </c>
      <c r="E1924" s="211" t="str">
        <f>IFERROR(__xludf.DUMMYFUNCTION("""COMPUTED_VALUE"""),"Bpk. Amer Ciro")</f>
        <v>Bpk. Amer Ciro</v>
      </c>
      <c r="F1924" s="211" t="str">
        <f>IFERROR(__xludf.DUMMYFUNCTION("""COMPUTED_VALUE"""),"7d2764f1")</f>
        <v>7d2764f1</v>
      </c>
      <c r="G1924" s="211" t="str">
        <f>IFERROR(__xludf.DUMMYFUNCTION("""COMPUTED_VALUE"""),"Oksigen 7m3")</f>
        <v>Oksigen 7m3</v>
      </c>
      <c r="H1924" s="211" t="str">
        <f>IFERROR(__xludf.DUMMYFUNCTION("""COMPUTED_VALUE"""),"OUT")</f>
        <v>OUT</v>
      </c>
      <c r="I1924" s="211" t="str">
        <f>IFERROR(__xludf.DUMMYFUNCTION("""COMPUTED_VALUE"""),"NORMAL")</f>
        <v>NORMAL</v>
      </c>
      <c r="J1924" s="211">
        <f>IFERROR(__xludf.DUMMYFUNCTION("""COMPUTED_VALUE"""),2.0)</f>
        <v>2</v>
      </c>
      <c r="K1924" s="210" t="str">
        <f>IFERROR(__xludf.DUMMYFUNCTION("""COMPUTED_VALUE"""),"11164 11146")</f>
        <v>11164 11146</v>
      </c>
      <c r="L1924" s="211">
        <f>IFERROR(__xludf.DUMMYFUNCTION("""COMPUTED_VALUE"""),65000.0)</f>
        <v>65000</v>
      </c>
      <c r="M1924" s="211"/>
      <c r="N1924" s="211"/>
      <c r="O1924" s="211"/>
      <c r="Q1924" s="210" t="str">
        <f>IFERROR(__xludf.DUMMYFUNCTION("""COMPUTED_VALUE"""),"1250920")</f>
        <v>1250920</v>
      </c>
      <c r="R1924" s="210" t="str">
        <f>IFERROR(__xludf.DUMMYFUNCTION("""COMPUTED_VALUE"""),"1250920")</f>
        <v>1250920</v>
      </c>
      <c r="S1924" s="211" t="str">
        <f>IFERROR(__xludf.DUMMYFUNCTION("""COMPUTED_VALUE"""),"6bfb8bcb")</f>
        <v>6bfb8bcb</v>
      </c>
      <c r="T1924" s="211" t="str">
        <f>IFERROR(__xludf.DUMMYFUNCTION("""COMPUTED_VALUE"""),"Bpk. Mashudul Chaq")</f>
        <v>Bpk. Mashudul Chaq</v>
      </c>
      <c r="U1924" s="215">
        <f>IFERROR(__xludf.DUMMYFUNCTION("""COMPUTED_VALUE"""),45999.46960648148)</f>
        <v>45999.46961</v>
      </c>
      <c r="V1924" s="211" t="str">
        <f>IFERROR(__xludf.DUMMYFUNCTION("""COMPUTED_VALUE"""),"JL. Raya Balongbendo NO.17, Suwaluh Utara, Suwaluh, kec. Balongbendo, Kabbupaten Sidoarjo, Jawa Timur 61263")</f>
        <v>JL. Raya Balongbendo NO.17, Suwaluh Utara, Suwaluh, kec. Balongbendo, Kabbupaten Sidoarjo, Jawa Timur 61263</v>
      </c>
      <c r="W1924" s="211" t="str">
        <f>IFERROR(__xludf.DUMMYFUNCTION("""COMPUTED_VALUE"""),"IN")</f>
        <v>IN</v>
      </c>
      <c r="X1924" s="211"/>
      <c r="AL1924" s="211"/>
      <c r="AM1924" s="211"/>
      <c r="AN1924" s="211"/>
      <c r="AO1924" s="211"/>
      <c r="AP1924" s="215"/>
      <c r="AQ1924" s="218"/>
      <c r="AR1924" s="211"/>
    </row>
    <row r="1925">
      <c r="A1925" s="210" t="str">
        <f>IFERROR(__xludf.DUMMYFUNCTION("""COMPUTED_VALUE"""),"1250646")</f>
        <v>1250646</v>
      </c>
      <c r="B1925" s="210" t="str">
        <f>IFERROR(__xludf.DUMMYFUNCTION("""COMPUTED_VALUE"""),"1250646")</f>
        <v>1250646</v>
      </c>
      <c r="C1925" s="213">
        <f>IFERROR(__xludf.DUMMYFUNCTION("""COMPUTED_VALUE"""),45934.44248842593)</f>
        <v>45934.44249</v>
      </c>
      <c r="D1925" s="211" t="str">
        <f>IFERROR(__xludf.DUMMYFUNCTION("""COMPUTED_VALUE"""),"ec231cc9")</f>
        <v>ec231cc9</v>
      </c>
      <c r="E1925" s="211" t="str">
        <f>IFERROR(__xludf.DUMMYFUNCTION("""COMPUTED_VALUE"""),"Bpk. Kohir (Maintenance Velg)")</f>
        <v>Bpk. Kohir (Maintenance Velg)</v>
      </c>
      <c r="F1925" s="211" t="str">
        <f>IFERROR(__xludf.DUMMYFUNCTION("""COMPUTED_VALUE"""),"8bdbe149")</f>
        <v>8bdbe149</v>
      </c>
      <c r="G1925" s="211" t="str">
        <f>IFERROR(__xludf.DUMMYFUNCTION("""COMPUTED_VALUE"""),"Oksigen 6m3")</f>
        <v>Oksigen 6m3</v>
      </c>
      <c r="H1925" s="211" t="str">
        <f>IFERROR(__xludf.DUMMYFUNCTION("""COMPUTED_VALUE"""),"IN")</f>
        <v>IN</v>
      </c>
      <c r="I1925" s="211" t="str">
        <f>IFERROR(__xludf.DUMMYFUNCTION("""COMPUTED_VALUE"""),"EMPTY")</f>
        <v>EMPTY</v>
      </c>
      <c r="J1925" s="211">
        <f>IFERROR(__xludf.DUMMYFUNCTION("""COMPUTED_VALUE"""),3.0)</f>
        <v>3</v>
      </c>
      <c r="K1925" s="210" t="str">
        <f>IFERROR(__xludf.DUMMYFUNCTION("""COMPUTED_VALUE"""),"11196 1157 11273")</f>
        <v>11196 1157 11273</v>
      </c>
      <c r="L1925" s="211">
        <f>IFERROR(__xludf.DUMMYFUNCTION("""COMPUTED_VALUE"""),0.0)</f>
        <v>0</v>
      </c>
      <c r="M1925" s="211"/>
      <c r="N1925" s="211"/>
      <c r="O1925" s="211"/>
      <c r="Q1925" s="210" t="str">
        <f>IFERROR(__xludf.DUMMYFUNCTION("""COMPUTED_VALUE"""),"1250906")</f>
        <v>1250906</v>
      </c>
      <c r="R1925" s="210" t="str">
        <f>IFERROR(__xludf.DUMMYFUNCTION("""COMPUTED_VALUE"""),"1250906")</f>
        <v>1250906</v>
      </c>
      <c r="S1925" s="211" t="str">
        <f>IFERROR(__xludf.DUMMYFUNCTION("""COMPUTED_VALUE"""),"182fb0fe")</f>
        <v>182fb0fe</v>
      </c>
      <c r="T1925" s="211" t="str">
        <f>IFERROR(__xludf.DUMMYFUNCTION("""COMPUTED_VALUE"""),"PT Amtech")</f>
        <v>PT Amtech</v>
      </c>
      <c r="U1925" s="215">
        <f>IFERROR(__xludf.DUMMYFUNCTION("""COMPUTED_VALUE"""),46000.39481481481)</f>
        <v>46000.39481</v>
      </c>
      <c r="V1925"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1925" s="211" t="str">
        <f>IFERROR(__xludf.DUMMYFUNCTION("""COMPUTED_VALUE"""),"IN")</f>
        <v>IN</v>
      </c>
      <c r="X1925" s="211"/>
      <c r="AL1925" s="211"/>
      <c r="AM1925" s="211"/>
      <c r="AN1925" s="211"/>
      <c r="AO1925" s="211"/>
      <c r="AP1925" s="215"/>
      <c r="AQ1925" s="218"/>
      <c r="AR1925" s="211"/>
    </row>
    <row r="1926">
      <c r="A1926" s="210" t="str">
        <f>IFERROR(__xludf.DUMMYFUNCTION("""COMPUTED_VALUE"""),"102511389")</f>
        <v>102511389</v>
      </c>
      <c r="B1926" s="210" t="str">
        <f>IFERROR(__xludf.DUMMYFUNCTION("""COMPUTED_VALUE"""),"102511389")</f>
        <v>102511389</v>
      </c>
      <c r="C1926" s="213">
        <f>IFERROR(__xludf.DUMMYFUNCTION("""COMPUTED_VALUE"""),45934.48863425926)</f>
        <v>45934.48863</v>
      </c>
      <c r="D1926" s="211" t="str">
        <f>IFERROR(__xludf.DUMMYFUNCTION("""COMPUTED_VALUE"""),"440df1db")</f>
        <v>440df1db</v>
      </c>
      <c r="E1926" s="211" t="str">
        <f>IFERROR(__xludf.DUMMYFUNCTION("""COMPUTED_VALUE"""),"PT. Mecca Abadi Sejahtera")</f>
        <v>PT. Mecca Abadi Sejahtera</v>
      </c>
      <c r="F1926" s="211" t="str">
        <f>IFERROR(__xludf.DUMMYFUNCTION("""COMPUTED_VALUE"""),"ef306e54")</f>
        <v>ef306e54</v>
      </c>
      <c r="G1926" s="211" t="str">
        <f>IFERROR(__xludf.DUMMYFUNCTION("""COMPUTED_VALUE"""),"Karbondioksida")</f>
        <v>Karbondioksida</v>
      </c>
      <c r="H1926" s="211" t="str">
        <f>IFERROR(__xludf.DUMMYFUNCTION("""COMPUTED_VALUE"""),"OUT")</f>
        <v>OUT</v>
      </c>
      <c r="I1926" s="211" t="str">
        <f>IFERROR(__xludf.DUMMYFUNCTION("""COMPUTED_VALUE"""),"NORMAL")</f>
        <v>NORMAL</v>
      </c>
      <c r="J1926" s="211">
        <f>IFERROR(__xludf.DUMMYFUNCTION("""COMPUTED_VALUE"""),4.0)</f>
        <v>4</v>
      </c>
      <c r="K1926" s="210" t="str">
        <f>IFERROR(__xludf.DUMMYFUNCTION("""COMPUTED_VALUE"""),"13008 13034 13028 13012")</f>
        <v>13008 13034 13028 13012</v>
      </c>
      <c r="L1926" s="211">
        <f>IFERROR(__xludf.DUMMYFUNCTION("""COMPUTED_VALUE"""),180000.0)</f>
        <v>180000</v>
      </c>
      <c r="M1926" s="211"/>
      <c r="N1926" s="211"/>
      <c r="O1926" s="211"/>
      <c r="Q1926" s="210" t="str">
        <f>IFERROR(__xludf.DUMMYFUNCTION("""COMPUTED_VALUE"""),"122551919")</f>
        <v>122551919</v>
      </c>
      <c r="R1926" s="210" t="str">
        <f>IFERROR(__xludf.DUMMYFUNCTION("""COMPUTED_VALUE"""),"122551919")</f>
        <v>122551919</v>
      </c>
      <c r="S1926" s="211" t="str">
        <f>IFERROR(__xludf.DUMMYFUNCTION("""COMPUTED_VALUE"""),"17a8e612")</f>
        <v>17a8e612</v>
      </c>
      <c r="T1926" s="211" t="str">
        <f>IFERROR(__xludf.DUMMYFUNCTION("""COMPUTED_VALUE"""),"Flashtech Machinery")</f>
        <v>Flashtech Machinery</v>
      </c>
      <c r="U1926" s="215">
        <f>IFERROR(__xludf.DUMMYFUNCTION("""COMPUTED_VALUE"""),46000.409317129626)</f>
        <v>46000.40932</v>
      </c>
      <c r="V1926" s="211" t="str">
        <f>IFERROR(__xludf.DUMMYFUNCTION("""COMPUTED_VALUE"""),"Pergudangan Point Center blok A no.4, Kemangsen")</f>
        <v>Pergudangan Point Center blok A no.4, Kemangsen</v>
      </c>
      <c r="W1926" s="211" t="str">
        <f>IFERROR(__xludf.DUMMYFUNCTION("""COMPUTED_VALUE"""),"OUT")</f>
        <v>OUT</v>
      </c>
      <c r="X1926" s="211"/>
      <c r="AL1926" s="211"/>
      <c r="AM1926" s="211"/>
      <c r="AN1926" s="211"/>
      <c r="AO1926" s="211"/>
      <c r="AP1926" s="215"/>
      <c r="AQ1926" s="218"/>
      <c r="AR1926" s="211"/>
    </row>
    <row r="1927">
      <c r="A1927" s="210" t="str">
        <f>IFERROR(__xludf.DUMMYFUNCTION("""COMPUTED_VALUE"""),"1250629")</f>
        <v>1250629</v>
      </c>
      <c r="B1927" s="210" t="str">
        <f>IFERROR(__xludf.DUMMYFUNCTION("""COMPUTED_VALUE"""),"1250629")</f>
        <v>1250629</v>
      </c>
      <c r="C1927" s="213">
        <f>IFERROR(__xludf.DUMMYFUNCTION("""COMPUTED_VALUE"""),45934.56309027778)</f>
        <v>45934.56309</v>
      </c>
      <c r="D1927" s="211" t="str">
        <f>IFERROR(__xludf.DUMMYFUNCTION("""COMPUTED_VALUE"""),"182fb0fe")</f>
        <v>182fb0fe</v>
      </c>
      <c r="E1927" s="211" t="str">
        <f>IFERROR(__xludf.DUMMYFUNCTION("""COMPUTED_VALUE"""),"PT Amtech")</f>
        <v>PT Amtech</v>
      </c>
      <c r="F1927" s="211" t="str">
        <f>IFERROR(__xludf.DUMMYFUNCTION("""COMPUTED_VALUE"""),"66af7c72")</f>
        <v>66af7c72</v>
      </c>
      <c r="G1927" s="211" t="str">
        <f>IFERROR(__xludf.DUMMYFUNCTION("""COMPUTED_VALUE"""),"Argon 6m3")</f>
        <v>Argon 6m3</v>
      </c>
      <c r="H1927" s="211" t="str">
        <f>IFERROR(__xludf.DUMMYFUNCTION("""COMPUTED_VALUE"""),"IN")</f>
        <v>IN</v>
      </c>
      <c r="I1927" s="211" t="str">
        <f>IFERROR(__xludf.DUMMYFUNCTION("""COMPUTED_VALUE"""),"EMPTY")</f>
        <v>EMPTY</v>
      </c>
      <c r="J1927" s="211">
        <f>IFERROR(__xludf.DUMMYFUNCTION("""COMPUTED_VALUE"""),5.0)</f>
        <v>5</v>
      </c>
      <c r="K1927" s="210" t="str">
        <f>IFERROR(__xludf.DUMMYFUNCTION("""COMPUTED_VALUE"""),"12024 12026 12015 12071 12010")</f>
        <v>12024 12026 12015 12071 12010</v>
      </c>
      <c r="L1927" s="211">
        <f>IFERROR(__xludf.DUMMYFUNCTION("""COMPUTED_VALUE"""),0.0)</f>
        <v>0</v>
      </c>
      <c r="M1927" s="211"/>
      <c r="N1927" s="211"/>
      <c r="O1927" s="211"/>
      <c r="Q1927" s="210" t="str">
        <f>IFERROR(__xludf.DUMMYFUNCTION("""COMPUTED_VALUE"""),"1225301927")</f>
        <v>1225301927</v>
      </c>
      <c r="R1927" s="210" t="str">
        <f>IFERROR(__xludf.DUMMYFUNCTION("""COMPUTED_VALUE"""),"1225301927")</f>
        <v>1225301927</v>
      </c>
      <c r="S1927" s="211" t="str">
        <f>IFERROR(__xludf.DUMMYFUNCTION("""COMPUTED_VALUE"""),"8f5ebaea")</f>
        <v>8f5ebaea</v>
      </c>
      <c r="T1927" s="211" t="str">
        <f>IFERROR(__xludf.DUMMYFUNCTION("""COMPUTED_VALUE"""),"PT Hua Zong Mesindo")</f>
        <v>PT Hua Zong Mesindo</v>
      </c>
      <c r="U1927" s="215">
        <f>IFERROR(__xludf.DUMMYFUNCTION("""COMPUTED_VALUE"""),46000.40974537037)</f>
        <v>46000.40975</v>
      </c>
      <c r="V1927" s="211" t="str">
        <f>IFERROR(__xludf.DUMMYFUNCTION("""COMPUTED_VALUE"""),"Jl. Bypass Krian, Sidotemo, Sidomulyo, Kec. Krian, Kabupaten Sidoarjo, Jawa Timur 61262")</f>
        <v>Jl. Bypass Krian, Sidotemo, Sidomulyo, Kec. Krian, Kabupaten Sidoarjo, Jawa Timur 61262</v>
      </c>
      <c r="W1927" s="211" t="str">
        <f>IFERROR(__xludf.DUMMYFUNCTION("""COMPUTED_VALUE"""),"OUT")</f>
        <v>OUT</v>
      </c>
      <c r="X1927" s="211"/>
      <c r="AL1927" s="211"/>
      <c r="AM1927" s="211"/>
      <c r="AN1927" s="211"/>
      <c r="AO1927" s="211"/>
      <c r="AP1927" s="215"/>
      <c r="AQ1927" s="218"/>
      <c r="AR1927" s="211"/>
    </row>
    <row r="1928">
      <c r="A1928" s="210" t="str">
        <f>IFERROR(__xludf.DUMMYFUNCTION("""COMPUTED_VALUE"""),"1250629")</f>
        <v>1250629</v>
      </c>
      <c r="B1928" s="210" t="str">
        <f>IFERROR(__xludf.DUMMYFUNCTION("""COMPUTED_VALUE"""),"1250629")</f>
        <v>1250629</v>
      </c>
      <c r="C1928" s="213">
        <f>IFERROR(__xludf.DUMMYFUNCTION("""COMPUTED_VALUE"""),45934.56309027778)</f>
        <v>45934.56309</v>
      </c>
      <c r="D1928" s="211" t="str">
        <f>IFERROR(__xludf.DUMMYFUNCTION("""COMPUTED_VALUE"""),"182fb0fe")</f>
        <v>182fb0fe</v>
      </c>
      <c r="E1928" s="211" t="str">
        <f>IFERROR(__xludf.DUMMYFUNCTION("""COMPUTED_VALUE"""),"PT Amtech")</f>
        <v>PT Amtech</v>
      </c>
      <c r="F1928" s="211" t="str">
        <f>IFERROR(__xludf.DUMMYFUNCTION("""COMPUTED_VALUE"""),"8bdbe149")</f>
        <v>8bdbe149</v>
      </c>
      <c r="G1928" s="211" t="str">
        <f>IFERROR(__xludf.DUMMYFUNCTION("""COMPUTED_VALUE"""),"Oksigen 6m3")</f>
        <v>Oksigen 6m3</v>
      </c>
      <c r="H1928" s="211" t="str">
        <f>IFERROR(__xludf.DUMMYFUNCTION("""COMPUTED_VALUE"""),"IN")</f>
        <v>IN</v>
      </c>
      <c r="I1928" s="211" t="str">
        <f>IFERROR(__xludf.DUMMYFUNCTION("""COMPUTED_VALUE"""),"EMPTY")</f>
        <v>EMPTY</v>
      </c>
      <c r="J1928" s="211">
        <f>IFERROR(__xludf.DUMMYFUNCTION("""COMPUTED_VALUE"""),2.0)</f>
        <v>2</v>
      </c>
      <c r="K1928" s="210" t="str">
        <f>IFERROR(__xludf.DUMMYFUNCTION("""COMPUTED_VALUE"""),"1126 1131")</f>
        <v>1126 1131</v>
      </c>
      <c r="L1928" s="211">
        <f>IFERROR(__xludf.DUMMYFUNCTION("""COMPUTED_VALUE"""),0.0)</f>
        <v>0</v>
      </c>
      <c r="M1928" s="211"/>
      <c r="N1928" s="211"/>
      <c r="O1928" s="211"/>
      <c r="Q1928" s="210" t="str">
        <f>IFERROR(__xludf.DUMMYFUNCTION("""COMPUTED_VALUE"""),"1225721928")</f>
        <v>1225721928</v>
      </c>
      <c r="R1928" s="210" t="str">
        <f>IFERROR(__xludf.DUMMYFUNCTION("""COMPUTED_VALUE"""),"1225721928")</f>
        <v>1225721928</v>
      </c>
      <c r="S1928" s="211" t="str">
        <f>IFERROR(__xludf.DUMMYFUNCTION("""COMPUTED_VALUE"""),"e86baf3b")</f>
        <v>e86baf3b</v>
      </c>
      <c r="T1928" s="211" t="str">
        <f>IFERROR(__xludf.DUMMYFUNCTION("""COMPUTED_VALUE"""),"PT GEMILANG CIPTA WAWASAN")</f>
        <v>PT GEMILANG CIPTA WAWASAN</v>
      </c>
      <c r="U1928" s="215">
        <f>IFERROR(__xludf.DUMMYFUNCTION("""COMPUTED_VALUE"""),46000.458391203705)</f>
        <v>46000.45839</v>
      </c>
      <c r="V1928" s="211" t="str">
        <f>IFERROR(__xludf.DUMMYFUNCTION("""COMPUTED_VALUE"""),"JL TEBET RAYA, 2A, TEBET BARAT, TEBET, KOTA ADM, JAKARTA SELATAN, DKI JAKARTA")</f>
        <v>JL TEBET RAYA, 2A, TEBET BARAT, TEBET, KOTA ADM, JAKARTA SELATAN, DKI JAKARTA</v>
      </c>
      <c r="W1928" s="211" t="str">
        <f>IFERROR(__xludf.DUMMYFUNCTION("""COMPUTED_VALUE"""),"OUT")</f>
        <v>OUT</v>
      </c>
      <c r="X1928" s="211"/>
      <c r="AL1928" s="211"/>
      <c r="AM1928" s="211"/>
      <c r="AN1928" s="211"/>
      <c r="AO1928" s="211"/>
      <c r="AP1928" s="215"/>
      <c r="AQ1928" s="218"/>
      <c r="AR1928" s="211"/>
    </row>
    <row r="1929">
      <c r="A1929" s="210" t="str">
        <f>IFERROR(__xludf.DUMMYFUNCTION("""COMPUTED_VALUE"""),"102521391")</f>
        <v>102521391</v>
      </c>
      <c r="B1929" s="210" t="str">
        <f>IFERROR(__xludf.DUMMYFUNCTION("""COMPUTED_VALUE"""),"102521391")</f>
        <v>102521391</v>
      </c>
      <c r="C1929" s="213">
        <f>IFERROR(__xludf.DUMMYFUNCTION("""COMPUTED_VALUE"""),45936.367118055554)</f>
        <v>45936.36712</v>
      </c>
      <c r="D1929" s="211" t="str">
        <f>IFERROR(__xludf.DUMMYFUNCTION("""COMPUTED_VALUE"""),"f98b1e81")</f>
        <v>f98b1e81</v>
      </c>
      <c r="E1929" s="211" t="str">
        <f>IFERROR(__xludf.DUMMYFUNCTION("""COMPUTED_VALUE"""),"CV. Greenlife Tirta Sentosa")</f>
        <v>CV. Greenlife Tirta Sentosa</v>
      </c>
      <c r="F1929" s="211" t="str">
        <f>IFERROR(__xludf.DUMMYFUNCTION("""COMPUTED_VALUE"""),"7d2764f1")</f>
        <v>7d2764f1</v>
      </c>
      <c r="G1929" s="211" t="str">
        <f>IFERROR(__xludf.DUMMYFUNCTION("""COMPUTED_VALUE"""),"Oksigen 7m3")</f>
        <v>Oksigen 7m3</v>
      </c>
      <c r="H1929" s="211" t="str">
        <f>IFERROR(__xludf.DUMMYFUNCTION("""COMPUTED_VALUE"""),"OUT")</f>
        <v>OUT</v>
      </c>
      <c r="I1929" s="211" t="str">
        <f>IFERROR(__xludf.DUMMYFUNCTION("""COMPUTED_VALUE"""),"NORMAL")</f>
        <v>NORMAL</v>
      </c>
      <c r="J1929" s="211">
        <f>IFERROR(__xludf.DUMMYFUNCTION("""COMPUTED_VALUE"""),1.0)</f>
        <v>1</v>
      </c>
      <c r="K1929" s="210" t="str">
        <f>IFERROR(__xludf.DUMMYFUNCTION("""COMPUTED_VALUE"""),"11168")</f>
        <v>11168</v>
      </c>
      <c r="L1929" s="211">
        <f>IFERROR(__xludf.DUMMYFUNCTION("""COMPUTED_VALUE"""),80000.0)</f>
        <v>80000</v>
      </c>
      <c r="M1929" s="211"/>
      <c r="N1929" s="211"/>
      <c r="O1929" s="211"/>
      <c r="Q1929" s="210" t="str">
        <f>IFERROR(__xludf.DUMMYFUNCTION("""COMPUTED_VALUE"""),"1225391929")</f>
        <v>1225391929</v>
      </c>
      <c r="R1929" s="210" t="str">
        <f>IFERROR(__xludf.DUMMYFUNCTION("""COMPUTED_VALUE"""),"1225391929")</f>
        <v>1225391929</v>
      </c>
      <c r="S1929" s="211" t="str">
        <f>IFERROR(__xludf.DUMMYFUNCTION("""COMPUTED_VALUE"""),"01158be1")</f>
        <v>01158be1</v>
      </c>
      <c r="T1929" s="211" t="str">
        <f>IFERROR(__xludf.DUMMYFUNCTION("""COMPUTED_VALUE"""),"GYF")</f>
        <v>GYF</v>
      </c>
      <c r="U1929" s="215">
        <f>IFERROR(__xludf.DUMMYFUNCTION("""COMPUTED_VALUE"""),46001.34027777778)</f>
        <v>46001.34028</v>
      </c>
      <c r="V1929" s="211" t="str">
        <f>IFERROR(__xludf.DUMMYFUNCTION("""COMPUTED_VALUE"""),"Kangkungan, Lengkong, Kec. Mojoanyar, Kabupaten Mojokerto, Jawa Timur")</f>
        <v>Kangkungan, Lengkong, Kec. Mojoanyar, Kabupaten Mojokerto, Jawa Timur</v>
      </c>
      <c r="W1929" s="211" t="str">
        <f>IFERROR(__xludf.DUMMYFUNCTION("""COMPUTED_VALUE"""),"OUT")</f>
        <v>OUT</v>
      </c>
      <c r="X1929" s="211"/>
      <c r="AL1929" s="211"/>
      <c r="AM1929" s="211"/>
      <c r="AN1929" s="211"/>
      <c r="AO1929" s="211"/>
      <c r="AP1929" s="215"/>
      <c r="AQ1929" s="218"/>
      <c r="AR1929" s="211"/>
    </row>
    <row r="1930">
      <c r="A1930" s="211"/>
      <c r="B1930" s="211"/>
      <c r="C1930" s="211"/>
      <c r="D1930" s="211"/>
      <c r="E1930" s="211"/>
      <c r="F1930" s="211"/>
      <c r="G1930" s="211"/>
      <c r="H1930" s="211"/>
      <c r="I1930" s="211"/>
      <c r="J1930" s="211"/>
      <c r="K1930" s="211"/>
      <c r="L1930" s="211"/>
      <c r="M1930" s="211"/>
      <c r="N1930" s="211"/>
      <c r="O1930" s="211"/>
      <c r="Q1930" s="210" t="str">
        <f>IFERROR(__xludf.DUMMYFUNCTION("""COMPUTED_VALUE"""),"122581930")</f>
        <v>122581930</v>
      </c>
      <c r="R1930" s="210" t="str">
        <f>IFERROR(__xludf.DUMMYFUNCTION("""COMPUTED_VALUE"""),"122581930")</f>
        <v>122581930</v>
      </c>
      <c r="S1930" s="211" t="str">
        <f>IFERROR(__xludf.DUMMYFUNCTION("""COMPUTED_VALUE"""),"440df1db")</f>
        <v>440df1db</v>
      </c>
      <c r="T1930" s="211" t="str">
        <f>IFERROR(__xludf.DUMMYFUNCTION("""COMPUTED_VALUE"""),"PT. Mecca Abadi Sejahtera")</f>
        <v>PT. Mecca Abadi Sejahtera</v>
      </c>
      <c r="U1930" s="215">
        <f>IFERROR(__xludf.DUMMYFUNCTION("""COMPUTED_VALUE"""),46000.53853009259)</f>
        <v>46000.53853</v>
      </c>
      <c r="V1930" s="211" t="str">
        <f>IFERROR(__xludf.DUMMYFUNCTION("""COMPUTED_VALUE"""),"Jl. Raya Sawocangkring, RT.006/RW.002, Sawo, Sawocangkring, Kec. Wonoayu, Kabupaten Sidoarjo, Jawa Timur 61261")</f>
        <v>Jl. Raya Sawocangkring, RT.006/RW.002, Sawo, Sawocangkring, Kec. Wonoayu, Kabupaten Sidoarjo, Jawa Timur 61261</v>
      </c>
      <c r="W1930" s="211" t="str">
        <f>IFERROR(__xludf.DUMMYFUNCTION("""COMPUTED_VALUE"""),"OUT")</f>
        <v>OUT</v>
      </c>
      <c r="X1930" s="211"/>
      <c r="AL1930" s="211"/>
      <c r="AM1930" s="211"/>
      <c r="AN1930" s="211"/>
      <c r="AO1930" s="211"/>
      <c r="AP1930" s="215"/>
      <c r="AQ1930" s="218"/>
      <c r="AR1930" s="211"/>
    </row>
    <row r="1931">
      <c r="A1931" s="210" t="str">
        <f>IFERROR(__xludf.DUMMYFUNCTION("""COMPUTED_VALUE"""),"1250647")</f>
        <v>1250647</v>
      </c>
      <c r="B1931" s="210" t="str">
        <f>IFERROR(__xludf.DUMMYFUNCTION("""COMPUTED_VALUE"""),"1250647")</f>
        <v>1250647</v>
      </c>
      <c r="C1931" s="213">
        <f>IFERROR(__xludf.DUMMYFUNCTION("""COMPUTED_VALUE"""),45935.84340277778)</f>
        <v>45935.8434</v>
      </c>
      <c r="D1931" s="211" t="str">
        <f>IFERROR(__xludf.DUMMYFUNCTION("""COMPUTED_VALUE"""),"f98b1e81")</f>
        <v>f98b1e81</v>
      </c>
      <c r="E1931" s="211" t="str">
        <f>IFERROR(__xludf.DUMMYFUNCTION("""COMPUTED_VALUE"""),"CV. Greenlife Tirta Sentosa")</f>
        <v>CV. Greenlife Tirta Sentosa</v>
      </c>
      <c r="F1931" s="211" t="str">
        <f>IFERROR(__xludf.DUMMYFUNCTION("""COMPUTED_VALUE"""),"7d2764f1")</f>
        <v>7d2764f1</v>
      </c>
      <c r="G1931" s="211" t="str">
        <f>IFERROR(__xludf.DUMMYFUNCTION("""COMPUTED_VALUE"""),"Oksigen 7m3")</f>
        <v>Oksigen 7m3</v>
      </c>
      <c r="H1931" s="211" t="str">
        <f>IFERROR(__xludf.DUMMYFUNCTION("""COMPUTED_VALUE"""),"IN")</f>
        <v>IN</v>
      </c>
      <c r="I1931" s="211" t="str">
        <f>IFERROR(__xludf.DUMMYFUNCTION("""COMPUTED_VALUE"""),"EMPTY")</f>
        <v>EMPTY</v>
      </c>
      <c r="J1931" s="211">
        <f>IFERROR(__xludf.DUMMYFUNCTION("""COMPUTED_VALUE"""),1.0)</f>
        <v>1</v>
      </c>
      <c r="K1931" s="210" t="str">
        <f>IFERROR(__xludf.DUMMYFUNCTION("""COMPUTED_VALUE"""),"11227")</f>
        <v>11227</v>
      </c>
      <c r="L1931" s="211">
        <f>IFERROR(__xludf.DUMMYFUNCTION("""COMPUTED_VALUE"""),0.0)</f>
        <v>0</v>
      </c>
      <c r="M1931" s="211"/>
      <c r="N1931" s="211"/>
      <c r="O1931" s="211"/>
      <c r="Q1931" s="210" t="str">
        <f>IFERROR(__xludf.DUMMYFUNCTION("""COMPUTED_VALUE"""),"122551931")</f>
        <v>122551931</v>
      </c>
      <c r="R1931" s="210" t="str">
        <f>IFERROR(__xludf.DUMMYFUNCTION("""COMPUTED_VALUE"""),"122551931")</f>
        <v>122551931</v>
      </c>
      <c r="S1931" s="211" t="str">
        <f>IFERROR(__xludf.DUMMYFUNCTION("""COMPUTED_VALUE"""),"bdb5baf3")</f>
        <v>bdb5baf3</v>
      </c>
      <c r="T1931" s="211" t="str">
        <f>IFERROR(__xludf.DUMMYFUNCTION("""COMPUTED_VALUE"""),"Bpk. Abdul")</f>
        <v>Bpk. Abdul</v>
      </c>
      <c r="U1931" s="215">
        <f>IFERROR(__xludf.DUMMYFUNCTION("""COMPUTED_VALUE"""),46000.54605324074)</f>
        <v>46000.54605</v>
      </c>
      <c r="V1931" s="211" t="str">
        <f>IFERROR(__xludf.DUMMYFUNCTION("""COMPUTED_VALUE"""),"Bypass Krian")</f>
        <v>Bypass Krian</v>
      </c>
      <c r="W1931" s="211" t="str">
        <f>IFERROR(__xludf.DUMMYFUNCTION("""COMPUTED_VALUE"""),"OUT")</f>
        <v>OUT</v>
      </c>
      <c r="X1931" s="211"/>
      <c r="AL1931" s="211"/>
      <c r="AM1931" s="211"/>
      <c r="AN1931" s="211"/>
      <c r="AO1931" s="211"/>
      <c r="AP1931" s="215"/>
      <c r="AQ1931" s="218"/>
      <c r="AR1931" s="211"/>
    </row>
    <row r="1932">
      <c r="A1932" s="210" t="str">
        <f>IFERROR(__xludf.DUMMYFUNCTION("""COMPUTED_VALUE"""),"1025551394")</f>
        <v>1025551394</v>
      </c>
      <c r="B1932" s="210" t="str">
        <f>IFERROR(__xludf.DUMMYFUNCTION("""COMPUTED_VALUE"""),"1025551394")</f>
        <v>1025551394</v>
      </c>
      <c r="C1932" s="213">
        <f>IFERROR(__xludf.DUMMYFUNCTION("""COMPUTED_VALUE"""),45936.45359953704)</f>
        <v>45936.4536</v>
      </c>
      <c r="D1932" s="211" t="str">
        <f>IFERROR(__xludf.DUMMYFUNCTION("""COMPUTED_VALUE"""),"e86baf3b")</f>
        <v>e86baf3b</v>
      </c>
      <c r="E1932" s="211" t="str">
        <f>IFERROR(__xludf.DUMMYFUNCTION("""COMPUTED_VALUE"""),"PT GEMILANG CIPTA WAWASAN")</f>
        <v>PT GEMILANG CIPTA WAWASAN</v>
      </c>
      <c r="F1932" s="211" t="str">
        <f>IFERROR(__xludf.DUMMYFUNCTION("""COMPUTED_VALUE"""),"66af7c72")</f>
        <v>66af7c72</v>
      </c>
      <c r="G1932" s="211" t="str">
        <f>IFERROR(__xludf.DUMMYFUNCTION("""COMPUTED_VALUE"""),"Argon 6m3")</f>
        <v>Argon 6m3</v>
      </c>
      <c r="H1932" s="211" t="str">
        <f>IFERROR(__xludf.DUMMYFUNCTION("""COMPUTED_VALUE"""),"OUT")</f>
        <v>OUT</v>
      </c>
      <c r="I1932" s="211" t="str">
        <f>IFERROR(__xludf.DUMMYFUNCTION("""COMPUTED_VALUE"""),"NORMAL")</f>
        <v>NORMAL</v>
      </c>
      <c r="J1932" s="211">
        <f>IFERROR(__xludf.DUMMYFUNCTION("""COMPUTED_VALUE"""),6.0)</f>
        <v>6</v>
      </c>
      <c r="K1932" s="210" t="str">
        <f>IFERROR(__xludf.DUMMYFUNCTION("""COMPUTED_VALUE"""),"12082 12062 12076 12067 12031 12068")</f>
        <v>12082 12062 12076 12067 12031 12068</v>
      </c>
      <c r="L1932" s="211">
        <f>IFERROR(__xludf.DUMMYFUNCTION("""COMPUTED_VALUE"""),185000.0)</f>
        <v>185000</v>
      </c>
      <c r="M1932" s="211"/>
      <c r="N1932" s="211"/>
      <c r="O1932" s="211"/>
      <c r="Q1932" s="210" t="str">
        <f>IFERROR(__xludf.DUMMYFUNCTION("""COMPUTED_VALUE"""),"1250907")</f>
        <v>1250907</v>
      </c>
      <c r="R1932" s="210" t="str">
        <f>IFERROR(__xludf.DUMMYFUNCTION("""COMPUTED_VALUE"""),"1250907")</f>
        <v>1250907</v>
      </c>
      <c r="S1932" s="211" t="str">
        <f>IFERROR(__xludf.DUMMYFUNCTION("""COMPUTED_VALUE"""),"b2b5f2c5")</f>
        <v>b2b5f2c5</v>
      </c>
      <c r="T1932" s="211" t="str">
        <f>IFERROR(__xludf.DUMMYFUNCTION("""COMPUTED_VALUE"""),"Bengkel Las Bpk. Ari")</f>
        <v>Bengkel Las Bpk. Ari</v>
      </c>
      <c r="U1932" s="215">
        <f>IFERROR(__xludf.DUMMYFUNCTION("""COMPUTED_VALUE"""),46000.56899305555)</f>
        <v>46000.56899</v>
      </c>
      <c r="V1932" s="211" t="str">
        <f>IFERROR(__xludf.DUMMYFUNCTION("""COMPUTED_VALUE"""),"Sumber Kembar, Wonodadi, Kec. Kutorejo, Kabupaten Mojokerto, Jawa Timur")</f>
        <v>Sumber Kembar, Wonodadi, Kec. Kutorejo, Kabupaten Mojokerto, Jawa Timur</v>
      </c>
      <c r="W1932" s="211" t="str">
        <f>IFERROR(__xludf.DUMMYFUNCTION("""COMPUTED_VALUE"""),"IN")</f>
        <v>IN</v>
      </c>
      <c r="X1932" s="211"/>
      <c r="AL1932" s="211"/>
      <c r="AM1932" s="211"/>
      <c r="AN1932" s="211"/>
      <c r="AO1932" s="211"/>
      <c r="AP1932" s="215"/>
      <c r="AQ1932" s="218"/>
      <c r="AR1932" s="211"/>
    </row>
    <row r="1933">
      <c r="A1933" s="210" t="str">
        <f>IFERROR(__xludf.DUMMYFUNCTION("""COMPUTED_VALUE"""),"1025151395")</f>
        <v>1025151395</v>
      </c>
      <c r="B1933" s="210" t="str">
        <f>IFERROR(__xludf.DUMMYFUNCTION("""COMPUTED_VALUE"""),"1025151395")</f>
        <v>1025151395</v>
      </c>
      <c r="C1933" s="213">
        <f>IFERROR(__xludf.DUMMYFUNCTION("""COMPUTED_VALUE"""),45936.45538194444)</f>
        <v>45936.45538</v>
      </c>
      <c r="D1933" s="211" t="str">
        <f>IFERROR(__xludf.DUMMYFUNCTION("""COMPUTED_VALUE"""),"3bcd7fe6")</f>
        <v>3bcd7fe6</v>
      </c>
      <c r="E1933" s="211" t="str">
        <f>IFERROR(__xludf.DUMMYFUNCTION("""COMPUTED_VALUE"""),"Bpk. Alvin (LB Group)")</f>
        <v>Bpk. Alvin (LB Group)</v>
      </c>
      <c r="F1933" s="211" t="str">
        <f>IFERROR(__xludf.DUMMYFUNCTION("""COMPUTED_VALUE"""),"f6aab7a9")</f>
        <v>f6aab7a9</v>
      </c>
      <c r="G1933" s="211" t="str">
        <f>IFERROR(__xludf.DUMMYFUNCTION("""COMPUTED_VALUE"""),"Oksigen 6m3 MR")</f>
        <v>Oksigen 6m3 MR</v>
      </c>
      <c r="H1933" s="211" t="str">
        <f>IFERROR(__xludf.DUMMYFUNCTION("""COMPUTED_VALUE"""),"OUT")</f>
        <v>OUT</v>
      </c>
      <c r="I1933" s="211" t="str">
        <f>IFERROR(__xludf.DUMMYFUNCTION("""COMPUTED_VALUE"""),"NORMAL")</f>
        <v>NORMAL</v>
      </c>
      <c r="J1933" s="211">
        <f>IFERROR(__xludf.DUMMYFUNCTION("""COMPUTED_VALUE"""),3.0)</f>
        <v>3</v>
      </c>
      <c r="K1933" s="211"/>
      <c r="L1933" s="211">
        <f>IFERROR(__xludf.DUMMYFUNCTION("""COMPUTED_VALUE"""),50000.0)</f>
        <v>50000</v>
      </c>
      <c r="M1933" s="211"/>
      <c r="N1933" s="211"/>
      <c r="O1933" s="211"/>
      <c r="Q1933" s="210" t="str">
        <f>IFERROR(__xludf.DUMMYFUNCTION("""COMPUTED_VALUE"""),"1250908")</f>
        <v>1250908</v>
      </c>
      <c r="R1933" s="210" t="str">
        <f>IFERROR(__xludf.DUMMYFUNCTION("""COMPUTED_VALUE"""),"1250908")</f>
        <v>1250908</v>
      </c>
      <c r="S1933" s="211" t="str">
        <f>IFERROR(__xludf.DUMMYFUNCTION("""COMPUTED_VALUE"""),"440df1db")</f>
        <v>440df1db</v>
      </c>
      <c r="T1933" s="211" t="str">
        <f>IFERROR(__xludf.DUMMYFUNCTION("""COMPUTED_VALUE"""),"PT. Mecca Abadi Sejahtera")</f>
        <v>PT. Mecca Abadi Sejahtera</v>
      </c>
      <c r="U1933" s="215">
        <f>IFERROR(__xludf.DUMMYFUNCTION("""COMPUTED_VALUE"""),46000.61530092593)</f>
        <v>46000.6153</v>
      </c>
      <c r="V1933" s="211" t="str">
        <f>IFERROR(__xludf.DUMMYFUNCTION("""COMPUTED_VALUE"""),"Jl. Raya Sawocangkring, RT.006/RW.002, Sawo, Sawocangkring, Kec. Wonoayu, Kabupaten Sidoarjo, Jawa Timur 61261")</f>
        <v>Jl. Raya Sawocangkring, RT.006/RW.002, Sawo, Sawocangkring, Kec. Wonoayu, Kabupaten Sidoarjo, Jawa Timur 61261</v>
      </c>
      <c r="W1933" s="211" t="str">
        <f>IFERROR(__xludf.DUMMYFUNCTION("""COMPUTED_VALUE"""),"IN")</f>
        <v>IN</v>
      </c>
      <c r="X1933" s="211"/>
      <c r="AL1933" s="211"/>
      <c r="AM1933" s="211"/>
      <c r="AN1933" s="211"/>
      <c r="AO1933" s="211"/>
      <c r="AP1933" s="215"/>
      <c r="AQ1933" s="218"/>
      <c r="AR1933" s="211"/>
    </row>
    <row r="1934">
      <c r="A1934" s="210" t="str">
        <f>IFERROR(__xludf.DUMMYFUNCTION("""COMPUTED_VALUE"""),"102531397")</f>
        <v>102531397</v>
      </c>
      <c r="B1934" s="210" t="str">
        <f>IFERROR(__xludf.DUMMYFUNCTION("""COMPUTED_VALUE"""),"102531397")</f>
        <v>102531397</v>
      </c>
      <c r="C1934" s="213">
        <f>IFERROR(__xludf.DUMMYFUNCTION("""COMPUTED_VALUE"""),45936.60836805555)</f>
        <v>45936.60837</v>
      </c>
      <c r="D1934" s="211" t="str">
        <f>IFERROR(__xludf.DUMMYFUNCTION("""COMPUTED_VALUE"""),"45d814b4")</f>
        <v>45d814b4</v>
      </c>
      <c r="E1934" s="211" t="str">
        <f>IFERROR(__xludf.DUMMYFUNCTION("""COMPUTED_VALUE"""),"Bpk. Joko (Ponokawan)")</f>
        <v>Bpk. Joko (Ponokawan)</v>
      </c>
      <c r="F1934" s="211" t="str">
        <f>IFERROR(__xludf.DUMMYFUNCTION("""COMPUTED_VALUE"""),"8bdbe149")</f>
        <v>8bdbe149</v>
      </c>
      <c r="G1934" s="211" t="str">
        <f>IFERROR(__xludf.DUMMYFUNCTION("""COMPUTED_VALUE"""),"Oksigen 6m3")</f>
        <v>Oksigen 6m3</v>
      </c>
      <c r="H1934" s="211" t="str">
        <f>IFERROR(__xludf.DUMMYFUNCTION("""COMPUTED_VALUE"""),"OUT")</f>
        <v>OUT</v>
      </c>
      <c r="I1934" s="211" t="str">
        <f>IFERROR(__xludf.DUMMYFUNCTION("""COMPUTED_VALUE"""),"NORMAL")</f>
        <v>NORMAL</v>
      </c>
      <c r="J1934" s="211">
        <f>IFERROR(__xludf.DUMMYFUNCTION("""COMPUTED_VALUE"""),1.0)</f>
        <v>1</v>
      </c>
      <c r="K1934" s="210" t="str">
        <f>IFERROR(__xludf.DUMMYFUNCTION("""COMPUTED_VALUE"""),"11184")</f>
        <v>11184</v>
      </c>
      <c r="L1934" s="211">
        <f>IFERROR(__xludf.DUMMYFUNCTION("""COMPUTED_VALUE"""),60000.0)</f>
        <v>60000</v>
      </c>
      <c r="M1934" s="211"/>
      <c r="N1934" s="211"/>
      <c r="O1934" s="211"/>
      <c r="Q1934" s="210" t="str">
        <f>IFERROR(__xludf.DUMMYFUNCTION("""COMPUTED_VALUE"""),"122531930")</f>
        <v>122531930</v>
      </c>
      <c r="R1934" s="210" t="str">
        <f>IFERROR(__xludf.DUMMYFUNCTION("""COMPUTED_VALUE"""),"122531930")</f>
        <v>122531930</v>
      </c>
      <c r="S1934" s="211" t="str">
        <f>IFERROR(__xludf.DUMMYFUNCTION("""COMPUTED_VALUE"""),"3b04351a")</f>
        <v>3b04351a</v>
      </c>
      <c r="T1934" s="211" t="str">
        <f>IFERROR(__xludf.DUMMYFUNCTION("""COMPUTED_VALUE"""),"CV Usaha Logam Jaya ( Bpk Putra )")</f>
        <v>CV Usaha Logam Jaya ( Bpk Putra )</v>
      </c>
      <c r="U1934" s="215">
        <f>IFERROR(__xludf.DUMMYFUNCTION("""COMPUTED_VALUE"""),46001.34027777778)</f>
        <v>46001.34028</v>
      </c>
      <c r="V1934" s="211" t="str">
        <f>IFERROR(__xludf.DUMMYFUNCTION("""COMPUTED_VALUE"""),"Jl. Raya Wringinanom, Sidomoro, Pasinan Lemahputih, Kec. Wringinanom, Kabupaten Gresik, Jawa Timur 61176")</f>
        <v>Jl. Raya Wringinanom, Sidomoro, Pasinan Lemahputih, Kec. Wringinanom, Kabupaten Gresik, Jawa Timur 61176</v>
      </c>
      <c r="W1934" s="211" t="str">
        <f>IFERROR(__xludf.DUMMYFUNCTION("""COMPUTED_VALUE"""),"OUT")</f>
        <v>OUT</v>
      </c>
      <c r="X1934" s="211"/>
      <c r="AL1934" s="211"/>
      <c r="AM1934" s="211"/>
      <c r="AN1934" s="211"/>
      <c r="AO1934" s="211"/>
      <c r="AP1934" s="215"/>
      <c r="AQ1934" s="218"/>
      <c r="AR1934" s="211"/>
    </row>
    <row r="1935">
      <c r="A1935" s="210" t="str">
        <f>IFERROR(__xludf.DUMMYFUNCTION("""COMPUTED_VALUE"""),"102531397")</f>
        <v>102531397</v>
      </c>
      <c r="B1935" s="210" t="str">
        <f>IFERROR(__xludf.DUMMYFUNCTION("""COMPUTED_VALUE"""),"102531397")</f>
        <v>102531397</v>
      </c>
      <c r="C1935" s="213">
        <f>IFERROR(__xludf.DUMMYFUNCTION("""COMPUTED_VALUE"""),45936.60836805555)</f>
        <v>45936.60837</v>
      </c>
      <c r="D1935" s="211" t="str">
        <f>IFERROR(__xludf.DUMMYFUNCTION("""COMPUTED_VALUE"""),"45d814b4")</f>
        <v>45d814b4</v>
      </c>
      <c r="E1935" s="211" t="str">
        <f>IFERROR(__xludf.DUMMYFUNCTION("""COMPUTED_VALUE"""),"Bpk. Joko (Ponokawan)")</f>
        <v>Bpk. Joko (Ponokawan)</v>
      </c>
      <c r="F1935" s="211" t="str">
        <f>IFERROR(__xludf.DUMMYFUNCTION("""COMPUTED_VALUE"""),"66af7c72")</f>
        <v>66af7c72</v>
      </c>
      <c r="G1935" s="211" t="str">
        <f>IFERROR(__xludf.DUMMYFUNCTION("""COMPUTED_VALUE"""),"Argon 6m3")</f>
        <v>Argon 6m3</v>
      </c>
      <c r="H1935" s="211" t="str">
        <f>IFERROR(__xludf.DUMMYFUNCTION("""COMPUTED_VALUE"""),"OUT")</f>
        <v>OUT</v>
      </c>
      <c r="I1935" s="211" t="str">
        <f>IFERROR(__xludf.DUMMYFUNCTION("""COMPUTED_VALUE"""),"NORMAL")</f>
        <v>NORMAL</v>
      </c>
      <c r="J1935" s="211">
        <f>IFERROR(__xludf.DUMMYFUNCTION("""COMPUTED_VALUE"""),1.0)</f>
        <v>1</v>
      </c>
      <c r="K1935" s="210" t="str">
        <f>IFERROR(__xludf.DUMMYFUNCTION("""COMPUTED_VALUE"""),"12022")</f>
        <v>12022</v>
      </c>
      <c r="L1935" s="211">
        <f>IFERROR(__xludf.DUMMYFUNCTION("""COMPUTED_VALUE"""),260000.0)</f>
        <v>260000</v>
      </c>
      <c r="M1935" s="211"/>
      <c r="N1935" s="211"/>
      <c r="O1935" s="211"/>
      <c r="Q1935" s="210" t="str">
        <f>IFERROR(__xludf.DUMMYFUNCTION("""COMPUTED_VALUE"""),"1250924")</f>
        <v>1250924</v>
      </c>
      <c r="R1935" s="210" t="str">
        <f>IFERROR(__xludf.DUMMYFUNCTION("""COMPUTED_VALUE"""),"1250924")</f>
        <v>1250924</v>
      </c>
      <c r="S1935" s="211" t="str">
        <f>IFERROR(__xludf.DUMMYFUNCTION("""COMPUTED_VALUE"""),"e86baf3b")</f>
        <v>e86baf3b</v>
      </c>
      <c r="T1935" s="211" t="str">
        <f>IFERROR(__xludf.DUMMYFUNCTION("""COMPUTED_VALUE"""),"PT GEMILANG CIPTA WAWASAN")</f>
        <v>PT GEMILANG CIPTA WAWASAN</v>
      </c>
      <c r="U1935" s="215">
        <f>IFERROR(__xludf.DUMMYFUNCTION("""COMPUTED_VALUE"""),46000.70586805556)</f>
        <v>46000.70587</v>
      </c>
      <c r="V1935" s="211" t="str">
        <f>IFERROR(__xludf.DUMMYFUNCTION("""COMPUTED_VALUE"""),"JL TEBET RAYA, 2A, TEBET BARAT, TEBET, KOTA ADM, JAKARTA SELATAN, DKI JAKARTA")</f>
        <v>JL TEBET RAYA, 2A, TEBET BARAT, TEBET, KOTA ADM, JAKARTA SELATAN, DKI JAKARTA</v>
      </c>
      <c r="W1935" s="211" t="str">
        <f>IFERROR(__xludf.DUMMYFUNCTION("""COMPUTED_VALUE"""),"IN")</f>
        <v>IN</v>
      </c>
      <c r="X1935" s="211"/>
      <c r="AL1935" s="211"/>
      <c r="AM1935" s="211"/>
      <c r="AN1935" s="211"/>
      <c r="AO1935" s="211"/>
      <c r="AP1935" s="215"/>
      <c r="AQ1935" s="218"/>
      <c r="AR1935" s="211"/>
    </row>
    <row r="1936">
      <c r="A1936" s="210" t="str">
        <f>IFERROR(__xludf.DUMMYFUNCTION("""COMPUTED_VALUE"""),"1250648")</f>
        <v>1250648</v>
      </c>
      <c r="B1936" s="210" t="str">
        <f>IFERROR(__xludf.DUMMYFUNCTION("""COMPUTED_VALUE"""),"1250648")</f>
        <v>1250648</v>
      </c>
      <c r="C1936" s="213">
        <f>IFERROR(__xludf.DUMMYFUNCTION("""COMPUTED_VALUE"""),45936.62237268518)</f>
        <v>45936.62237</v>
      </c>
      <c r="D1936" s="211" t="str">
        <f>IFERROR(__xludf.DUMMYFUNCTION("""COMPUTED_VALUE"""),"3bcd7fe6")</f>
        <v>3bcd7fe6</v>
      </c>
      <c r="E1936" s="211" t="str">
        <f>IFERROR(__xludf.DUMMYFUNCTION("""COMPUTED_VALUE"""),"Bpk. Alvin (LB Group)")</f>
        <v>Bpk. Alvin (LB Group)</v>
      </c>
      <c r="F1936" s="211" t="str">
        <f>IFERROR(__xludf.DUMMYFUNCTION("""COMPUTED_VALUE"""),"8bdbe149")</f>
        <v>8bdbe149</v>
      </c>
      <c r="G1936" s="211" t="str">
        <f>IFERROR(__xludf.DUMMYFUNCTION("""COMPUTED_VALUE"""),"Oksigen 6m3")</f>
        <v>Oksigen 6m3</v>
      </c>
      <c r="H1936" s="211" t="str">
        <f>IFERROR(__xludf.DUMMYFUNCTION("""COMPUTED_VALUE"""),"IN")</f>
        <v>IN</v>
      </c>
      <c r="I1936" s="211" t="str">
        <f>IFERROR(__xludf.DUMMYFUNCTION("""COMPUTED_VALUE"""),"EMPTY")</f>
        <v>EMPTY</v>
      </c>
      <c r="J1936" s="211">
        <f>IFERROR(__xludf.DUMMYFUNCTION("""COMPUTED_VALUE"""),3.0)</f>
        <v>3</v>
      </c>
      <c r="K1936" s="210" t="str">
        <f>IFERROR(__xludf.DUMMYFUNCTION("""COMPUTED_VALUE"""),"11228 11185 1116")</f>
        <v>11228 11185 1116</v>
      </c>
      <c r="L1936" s="211">
        <f>IFERROR(__xludf.DUMMYFUNCTION("""COMPUTED_VALUE"""),0.0)</f>
        <v>0</v>
      </c>
      <c r="M1936" s="211"/>
      <c r="N1936" s="211"/>
      <c r="O1936" s="211"/>
      <c r="Q1936" s="210" t="str">
        <f>IFERROR(__xludf.DUMMYFUNCTION("""COMPUTED_VALUE"""),"122511935")</f>
        <v>122511935</v>
      </c>
      <c r="R1936" s="210" t="str">
        <f>IFERROR(__xludf.DUMMYFUNCTION("""COMPUTED_VALUE"""),"122511935")</f>
        <v>122511935</v>
      </c>
      <c r="S1936" s="211" t="str">
        <f>IFERROR(__xludf.DUMMYFUNCTION("""COMPUTED_VALUE"""),"880b1d17")</f>
        <v>880b1d17</v>
      </c>
      <c r="T1936" s="211" t="str">
        <f>IFERROR(__xludf.DUMMYFUNCTION("""COMPUTED_VALUE"""),"Bpk. Suyadi")</f>
        <v>Bpk. Suyadi</v>
      </c>
      <c r="U1936" s="215">
        <f>IFERROR(__xludf.DUMMYFUNCTION("""COMPUTED_VALUE"""),46001.46277777778)</f>
        <v>46001.46278</v>
      </c>
      <c r="V1936" s="211" t="str">
        <f>IFERROR(__xludf.DUMMYFUNCTION("""COMPUTED_VALUE"""),"Ds. Gading RT. 12, RW. 04 Mindugading. Kec. Tarik Kab. Sidoarjo")</f>
        <v>Ds. Gading RT. 12, RW. 04 Mindugading. Kec. Tarik Kab. Sidoarjo</v>
      </c>
      <c r="W1936" s="211" t="str">
        <f>IFERROR(__xludf.DUMMYFUNCTION("""COMPUTED_VALUE"""),"OUT")</f>
        <v>OUT</v>
      </c>
      <c r="X1936" s="211"/>
      <c r="AL1936" s="211"/>
      <c r="AM1936" s="211"/>
      <c r="AN1936" s="211"/>
      <c r="AO1936" s="211"/>
      <c r="AP1936" s="215"/>
      <c r="AQ1936" s="218"/>
      <c r="AR1936" s="211"/>
    </row>
    <row r="1937">
      <c r="A1937" s="210" t="str">
        <f>IFERROR(__xludf.DUMMYFUNCTION("""COMPUTED_VALUE"""),"102521398")</f>
        <v>102521398</v>
      </c>
      <c r="B1937" s="210" t="str">
        <f>IFERROR(__xludf.DUMMYFUNCTION("""COMPUTED_VALUE"""),"102521398")</f>
        <v>102521398</v>
      </c>
      <c r="C1937" s="213">
        <f>IFERROR(__xludf.DUMMYFUNCTION("""COMPUTED_VALUE"""),45936.634560185186)</f>
        <v>45936.63456</v>
      </c>
      <c r="D1937" s="211" t="str">
        <f>IFERROR(__xludf.DUMMYFUNCTION("""COMPUTED_VALUE"""),"4558672e")</f>
        <v>4558672e</v>
      </c>
      <c r="E1937" s="211" t="str">
        <f>IFERROR(__xludf.DUMMYFUNCTION("""COMPUTED_VALUE"""),"Bpk. Sumargiono")</f>
        <v>Bpk. Sumargiono</v>
      </c>
      <c r="F1937" s="211" t="str">
        <f>IFERROR(__xludf.DUMMYFUNCTION("""COMPUTED_VALUE"""),"f6aab7a9")</f>
        <v>f6aab7a9</v>
      </c>
      <c r="G1937" s="211" t="str">
        <f>IFERROR(__xludf.DUMMYFUNCTION("""COMPUTED_VALUE"""),"Oksigen 6m3 MR")</f>
        <v>Oksigen 6m3 MR</v>
      </c>
      <c r="H1937" s="211" t="str">
        <f>IFERROR(__xludf.DUMMYFUNCTION("""COMPUTED_VALUE"""),"OUT")</f>
        <v>OUT</v>
      </c>
      <c r="I1937" s="211" t="str">
        <f>IFERROR(__xludf.DUMMYFUNCTION("""COMPUTED_VALUE"""),"NORMAL")</f>
        <v>NORMAL</v>
      </c>
      <c r="J1937" s="211">
        <f>IFERROR(__xludf.DUMMYFUNCTION("""COMPUTED_VALUE"""),1.0)</f>
        <v>1</v>
      </c>
      <c r="K1937" s="211"/>
      <c r="L1937" s="211">
        <f>IFERROR(__xludf.DUMMYFUNCTION("""COMPUTED_VALUE"""),70000.0)</f>
        <v>70000</v>
      </c>
      <c r="M1937" s="211"/>
      <c r="N1937" s="211"/>
      <c r="O1937" s="211"/>
      <c r="Q1937" s="210" t="str">
        <f>IFERROR(__xludf.DUMMYFUNCTION("""COMPUTED_VALUE"""),"1250909")</f>
        <v>1250909</v>
      </c>
      <c r="R1937" s="210" t="str">
        <f>IFERROR(__xludf.DUMMYFUNCTION("""COMPUTED_VALUE"""),"1250909")</f>
        <v>1250909</v>
      </c>
      <c r="S1937" s="211" t="str">
        <f>IFERROR(__xludf.DUMMYFUNCTION("""COMPUTED_VALUE"""),"01158be1")</f>
        <v>01158be1</v>
      </c>
      <c r="T1937" s="211" t="str">
        <f>IFERROR(__xludf.DUMMYFUNCTION("""COMPUTED_VALUE"""),"GYF")</f>
        <v>GYF</v>
      </c>
      <c r="U1937" s="215">
        <f>IFERROR(__xludf.DUMMYFUNCTION("""COMPUTED_VALUE"""),46001.50571759259)</f>
        <v>46001.50572</v>
      </c>
      <c r="V1937" s="211" t="str">
        <f>IFERROR(__xludf.DUMMYFUNCTION("""COMPUTED_VALUE"""),"Kangkungan, Lengkong, Kec. Mojoanyar, Kabupaten Mojokerto, Jawa Timur")</f>
        <v>Kangkungan, Lengkong, Kec. Mojoanyar, Kabupaten Mojokerto, Jawa Timur</v>
      </c>
      <c r="W1937" s="211" t="str">
        <f>IFERROR(__xludf.DUMMYFUNCTION("""COMPUTED_VALUE"""),"IN")</f>
        <v>IN</v>
      </c>
      <c r="X1937" s="211"/>
      <c r="AL1937" s="211"/>
      <c r="AM1937" s="211"/>
      <c r="AN1937" s="211"/>
      <c r="AO1937" s="211"/>
      <c r="AP1937" s="215"/>
      <c r="AQ1937" s="218"/>
      <c r="AR1937" s="211"/>
    </row>
    <row r="1938">
      <c r="A1938" s="210" t="str">
        <f>IFERROR(__xludf.DUMMYFUNCTION("""COMPUTED_VALUE"""),"1250649")</f>
        <v>1250649</v>
      </c>
      <c r="B1938" s="210" t="str">
        <f>IFERROR(__xludf.DUMMYFUNCTION("""COMPUTED_VALUE"""),"1250649")</f>
        <v>1250649</v>
      </c>
      <c r="C1938" s="213">
        <f>IFERROR(__xludf.DUMMYFUNCTION("""COMPUTED_VALUE"""),45936.660833333335)</f>
        <v>45936.66083</v>
      </c>
      <c r="D1938" s="211" t="str">
        <f>IFERROR(__xludf.DUMMYFUNCTION("""COMPUTED_VALUE"""),"45d814b4")</f>
        <v>45d814b4</v>
      </c>
      <c r="E1938" s="211" t="str">
        <f>IFERROR(__xludf.DUMMYFUNCTION("""COMPUTED_VALUE"""),"Bpk. Joko (Ponokawan)")</f>
        <v>Bpk. Joko (Ponokawan)</v>
      </c>
      <c r="F1938" s="211" t="str">
        <f>IFERROR(__xludf.DUMMYFUNCTION("""COMPUTED_VALUE"""),"8bdbe149")</f>
        <v>8bdbe149</v>
      </c>
      <c r="G1938" s="211" t="str">
        <f>IFERROR(__xludf.DUMMYFUNCTION("""COMPUTED_VALUE"""),"Oksigen 6m3")</f>
        <v>Oksigen 6m3</v>
      </c>
      <c r="H1938" s="211" t="str">
        <f>IFERROR(__xludf.DUMMYFUNCTION("""COMPUTED_VALUE"""),"IN")</f>
        <v>IN</v>
      </c>
      <c r="I1938" s="211" t="str">
        <f>IFERROR(__xludf.DUMMYFUNCTION("""COMPUTED_VALUE"""),"EMPTY")</f>
        <v>EMPTY</v>
      </c>
      <c r="J1938" s="211">
        <f>IFERROR(__xludf.DUMMYFUNCTION("""COMPUTED_VALUE"""),1.0)</f>
        <v>1</v>
      </c>
      <c r="K1938" s="210" t="str">
        <f>IFERROR(__xludf.DUMMYFUNCTION("""COMPUTED_VALUE"""),"11123")</f>
        <v>11123</v>
      </c>
      <c r="L1938" s="211">
        <f>IFERROR(__xludf.DUMMYFUNCTION("""COMPUTED_VALUE"""),0.0)</f>
        <v>0</v>
      </c>
      <c r="M1938" s="211"/>
      <c r="N1938" s="211"/>
      <c r="O1938" s="211"/>
      <c r="Q1938" s="210" t="str">
        <f>IFERROR(__xludf.DUMMYFUNCTION("""COMPUTED_VALUE"""),"1250925")</f>
        <v>1250925</v>
      </c>
      <c r="R1938" s="210" t="str">
        <f>IFERROR(__xludf.DUMMYFUNCTION("""COMPUTED_VALUE"""),"1250925")</f>
        <v>1250925</v>
      </c>
      <c r="S1938" s="211" t="str">
        <f>IFERROR(__xludf.DUMMYFUNCTION("""COMPUTED_VALUE"""),"3b04351a")</f>
        <v>3b04351a</v>
      </c>
      <c r="T1938" s="211" t="str">
        <f>IFERROR(__xludf.DUMMYFUNCTION("""COMPUTED_VALUE"""),"CV Usaha Logam Jaya")</f>
        <v>CV Usaha Logam Jaya</v>
      </c>
      <c r="U1938" s="215">
        <f>IFERROR(__xludf.DUMMYFUNCTION("""COMPUTED_VALUE"""),46001.620208333334)</f>
        <v>46001.62021</v>
      </c>
      <c r="V1938" s="211" t="str">
        <f>IFERROR(__xludf.DUMMYFUNCTION("""COMPUTED_VALUE"""),"Jl. Raya Wringinanom, Sidomoro, Pasinan Lemahputih, Kec. Wringinanom, Kabupaten Gresik, Jawa Timur 61176")</f>
        <v>Jl. Raya Wringinanom, Sidomoro, Pasinan Lemahputih, Kec. Wringinanom, Kabupaten Gresik, Jawa Timur 61176</v>
      </c>
      <c r="W1938" s="211" t="str">
        <f>IFERROR(__xludf.DUMMYFUNCTION("""COMPUTED_VALUE"""),"IN")</f>
        <v>IN</v>
      </c>
      <c r="X1938" s="211"/>
      <c r="AL1938" s="211"/>
      <c r="AM1938" s="211"/>
      <c r="AN1938" s="211"/>
      <c r="AO1938" s="211"/>
      <c r="AP1938" s="215"/>
      <c r="AQ1938" s="218"/>
      <c r="AR1938" s="211"/>
    </row>
    <row r="1939">
      <c r="A1939" s="210" t="str">
        <f>IFERROR(__xludf.DUMMYFUNCTION("""COMPUTED_VALUE"""),"1250649")</f>
        <v>1250649</v>
      </c>
      <c r="B1939" s="210" t="str">
        <f>IFERROR(__xludf.DUMMYFUNCTION("""COMPUTED_VALUE"""),"1250649")</f>
        <v>1250649</v>
      </c>
      <c r="C1939" s="213">
        <f>IFERROR(__xludf.DUMMYFUNCTION("""COMPUTED_VALUE"""),45936.660833333335)</f>
        <v>45936.66083</v>
      </c>
      <c r="D1939" s="211" t="str">
        <f>IFERROR(__xludf.DUMMYFUNCTION("""COMPUTED_VALUE"""),"45d814b4")</f>
        <v>45d814b4</v>
      </c>
      <c r="E1939" s="211" t="str">
        <f>IFERROR(__xludf.DUMMYFUNCTION("""COMPUTED_VALUE"""),"Bpk. Joko (Ponokawan)")</f>
        <v>Bpk. Joko (Ponokawan)</v>
      </c>
      <c r="F1939" s="211" t="str">
        <f>IFERROR(__xludf.DUMMYFUNCTION("""COMPUTED_VALUE"""),"66af7c72")</f>
        <v>66af7c72</v>
      </c>
      <c r="G1939" s="211" t="str">
        <f>IFERROR(__xludf.DUMMYFUNCTION("""COMPUTED_VALUE"""),"Argon 6m3")</f>
        <v>Argon 6m3</v>
      </c>
      <c r="H1939" s="211" t="str">
        <f>IFERROR(__xludf.DUMMYFUNCTION("""COMPUTED_VALUE"""),"IN")</f>
        <v>IN</v>
      </c>
      <c r="I1939" s="211" t="str">
        <f>IFERROR(__xludf.DUMMYFUNCTION("""COMPUTED_VALUE"""),"EMPTY")</f>
        <v>EMPTY</v>
      </c>
      <c r="J1939" s="211">
        <f>IFERROR(__xludf.DUMMYFUNCTION("""COMPUTED_VALUE"""),1.0)</f>
        <v>1</v>
      </c>
      <c r="K1939" s="210" t="str">
        <f>IFERROR(__xludf.DUMMYFUNCTION("""COMPUTED_VALUE"""),"12041")</f>
        <v>12041</v>
      </c>
      <c r="L1939" s="211">
        <f>IFERROR(__xludf.DUMMYFUNCTION("""COMPUTED_VALUE"""),0.0)</f>
        <v>0</v>
      </c>
      <c r="M1939" s="211"/>
      <c r="N1939" s="211"/>
      <c r="O1939" s="211"/>
      <c r="Q1939" s="210" t="str">
        <f>IFERROR(__xludf.DUMMYFUNCTION("""COMPUTED_VALUE"""),"122521937")</f>
        <v>122521937</v>
      </c>
      <c r="R1939" s="210" t="str">
        <f>IFERROR(__xludf.DUMMYFUNCTION("""COMPUTED_VALUE"""),"122521937")</f>
        <v>122521937</v>
      </c>
      <c r="S1939" s="211" t="str">
        <f>IFERROR(__xludf.DUMMYFUNCTION("""COMPUTED_VALUE"""),"9828dfc5")</f>
        <v>9828dfc5</v>
      </c>
      <c r="T1939" s="211" t="str">
        <f>IFERROR(__xludf.DUMMYFUNCTION("""COMPUTED_VALUE"""),"Bpk. David")</f>
        <v>Bpk. David</v>
      </c>
      <c r="U1939" s="215">
        <f>IFERROR(__xludf.DUMMYFUNCTION("""COMPUTED_VALUE"""),46001.62689814815)</f>
        <v>46001.6269</v>
      </c>
      <c r="V1939" s="211" t="str">
        <f>IFERROR(__xludf.DUMMYFUNCTION("""COMPUTED_VALUE"""),"GHF3+R34, Jl. Kartini, Ngingas, Ngimbangan, Kec. Mojosari, Kabupaten Mojokerto, Jawa Timur 61382")</f>
        <v>GHF3+R34, Jl. Kartini, Ngingas, Ngimbangan, Kec. Mojosari, Kabupaten Mojokerto, Jawa Timur 61382</v>
      </c>
      <c r="W1939" s="211" t="str">
        <f>IFERROR(__xludf.DUMMYFUNCTION("""COMPUTED_VALUE"""),"OUT")</f>
        <v>OUT</v>
      </c>
      <c r="X1939" s="211"/>
      <c r="AL1939" s="211"/>
      <c r="AM1939" s="211"/>
      <c r="AN1939" s="211"/>
      <c r="AO1939" s="211"/>
      <c r="AP1939" s="215"/>
      <c r="AQ1939" s="218"/>
      <c r="AR1939" s="211"/>
    </row>
    <row r="1940">
      <c r="A1940" s="210" t="str">
        <f>IFERROR(__xludf.DUMMYFUNCTION("""COMPUTED_VALUE"""),"1025141400")</f>
        <v>1025141400</v>
      </c>
      <c r="B1940" s="210" t="str">
        <f>IFERROR(__xludf.DUMMYFUNCTION("""COMPUTED_VALUE"""),"1025141400")</f>
        <v>1025141400</v>
      </c>
      <c r="C1940" s="213">
        <f>IFERROR(__xludf.DUMMYFUNCTION("""COMPUTED_VALUE"""),45937.38002314815)</f>
        <v>45937.38002</v>
      </c>
      <c r="D1940" s="211" t="str">
        <f>IFERROR(__xludf.DUMMYFUNCTION("""COMPUTED_VALUE"""),"e968afef")</f>
        <v>e968afef</v>
      </c>
      <c r="E1940" s="211" t="str">
        <f>IFERROR(__xludf.DUMMYFUNCTION("""COMPUTED_VALUE"""),"Bpk. Agus")</f>
        <v>Bpk. Agus</v>
      </c>
      <c r="F1940" s="211" t="str">
        <f>IFERROR(__xludf.DUMMYFUNCTION("""COMPUTED_VALUE"""),"8bdbe149")</f>
        <v>8bdbe149</v>
      </c>
      <c r="G1940" s="211" t="str">
        <f>IFERROR(__xludf.DUMMYFUNCTION("""COMPUTED_VALUE"""),"Oksigen 6m3")</f>
        <v>Oksigen 6m3</v>
      </c>
      <c r="H1940" s="211" t="str">
        <f>IFERROR(__xludf.DUMMYFUNCTION("""COMPUTED_VALUE"""),"OUT")</f>
        <v>OUT</v>
      </c>
      <c r="I1940" s="211" t="str">
        <f>IFERROR(__xludf.DUMMYFUNCTION("""COMPUTED_VALUE"""),"NORMAL")</f>
        <v>NORMAL</v>
      </c>
      <c r="J1940" s="211">
        <f>IFERROR(__xludf.DUMMYFUNCTION("""COMPUTED_VALUE"""),10.0)</f>
        <v>10</v>
      </c>
      <c r="K1940" s="210" t="str">
        <f>IFERROR(__xludf.DUMMYFUNCTION("""COMPUTED_VALUE"""),"11251 1157 11273 11248 11249 11183 11196 1105 1130 111203")</f>
        <v>11251 1157 11273 11248 11249 11183 11196 1105 1130 111203</v>
      </c>
      <c r="L1940" s="211">
        <f>IFERROR(__xludf.DUMMYFUNCTION("""COMPUTED_VALUE"""),60000.0)</f>
        <v>60000</v>
      </c>
      <c r="M1940" s="211"/>
      <c r="N1940" s="211"/>
      <c r="O1940" s="211"/>
      <c r="Q1940" s="210" t="str">
        <f>IFERROR(__xludf.DUMMYFUNCTION("""COMPUTED_VALUE"""),"1225511940")</f>
        <v>1225511940</v>
      </c>
      <c r="R1940" s="210" t="str">
        <f>IFERROR(__xludf.DUMMYFUNCTION("""COMPUTED_VALUE"""),"1225511940")</f>
        <v>1225511940</v>
      </c>
      <c r="S1940" s="211" t="str">
        <f>IFERROR(__xludf.DUMMYFUNCTION("""COMPUTED_VALUE"""),"b2b5f2c5")</f>
        <v>b2b5f2c5</v>
      </c>
      <c r="T1940" s="211" t="str">
        <f>IFERROR(__xludf.DUMMYFUNCTION("""COMPUTED_VALUE"""),"Bengkel Las Bpk. Ari")</f>
        <v>Bengkel Las Bpk. Ari</v>
      </c>
      <c r="U1940" s="215">
        <f>IFERROR(__xludf.DUMMYFUNCTION("""COMPUTED_VALUE"""),46001.627430555556)</f>
        <v>46001.62743</v>
      </c>
      <c r="V1940" s="211" t="str">
        <f>IFERROR(__xludf.DUMMYFUNCTION("""COMPUTED_VALUE"""),"Sumber Kembar, Wonodadi, Kec. Kutorejo, Kabupaten Mojokerto, Jawa Timur")</f>
        <v>Sumber Kembar, Wonodadi, Kec. Kutorejo, Kabupaten Mojokerto, Jawa Timur</v>
      </c>
      <c r="W1940" s="211" t="str">
        <f>IFERROR(__xludf.DUMMYFUNCTION("""COMPUTED_VALUE"""),"OUT")</f>
        <v>OUT</v>
      </c>
      <c r="X1940" s="211"/>
      <c r="AL1940" s="211"/>
      <c r="AM1940" s="211"/>
      <c r="AN1940" s="211"/>
      <c r="AO1940" s="211"/>
      <c r="AP1940" s="215"/>
      <c r="AQ1940" s="218"/>
      <c r="AR1940" s="211"/>
    </row>
    <row r="1941">
      <c r="A1941" s="210" t="str">
        <f>IFERROR(__xludf.DUMMYFUNCTION("""COMPUTED_VALUE"""),"1025141400")</f>
        <v>1025141400</v>
      </c>
      <c r="B1941" s="210" t="str">
        <f>IFERROR(__xludf.DUMMYFUNCTION("""COMPUTED_VALUE"""),"1025141400")</f>
        <v>1025141400</v>
      </c>
      <c r="C1941" s="213">
        <f>IFERROR(__xludf.DUMMYFUNCTION("""COMPUTED_VALUE"""),45937.38002314815)</f>
        <v>45937.38002</v>
      </c>
      <c r="D1941" s="211" t="str">
        <f>IFERROR(__xludf.DUMMYFUNCTION("""COMPUTED_VALUE"""),"e968afef")</f>
        <v>e968afef</v>
      </c>
      <c r="E1941" s="211" t="str">
        <f>IFERROR(__xludf.DUMMYFUNCTION("""COMPUTED_VALUE"""),"Bpk. Agus")</f>
        <v>Bpk. Agus</v>
      </c>
      <c r="F1941" s="211" t="str">
        <f>IFERROR(__xludf.DUMMYFUNCTION("""COMPUTED_VALUE"""),"f13ba52f")</f>
        <v>f13ba52f</v>
      </c>
      <c r="G1941" s="211" t="str">
        <f>IFERROR(__xludf.DUMMYFUNCTION("""COMPUTED_VALUE"""),"Ongkos Kirim (Non PPN)")</f>
        <v>Ongkos Kirim (Non PPN)</v>
      </c>
      <c r="H1941" s="211" t="str">
        <f>IFERROR(__xludf.DUMMYFUNCTION("""COMPUTED_VALUE"""),"OUT")</f>
        <v>OUT</v>
      </c>
      <c r="I1941" s="211" t="str">
        <f>IFERROR(__xludf.DUMMYFUNCTION("""COMPUTED_VALUE"""),"NORMAL")</f>
        <v>NORMAL</v>
      </c>
      <c r="J1941" s="211">
        <f>IFERROR(__xludf.DUMMYFUNCTION("""COMPUTED_VALUE"""),1.0)</f>
        <v>1</v>
      </c>
      <c r="K1941" s="211"/>
      <c r="L1941" s="211">
        <f>IFERROR(__xludf.DUMMYFUNCTION("""COMPUTED_VALUE"""),50000.0)</f>
        <v>50000</v>
      </c>
      <c r="M1941" s="211"/>
      <c r="N1941" s="211"/>
      <c r="O1941" s="211"/>
      <c r="Q1941" s="210" t="str">
        <f>IFERROR(__xludf.DUMMYFUNCTION("""COMPUTED_VALUE"""),"122561941")</f>
        <v>122561941</v>
      </c>
      <c r="R1941" s="210" t="str">
        <f>IFERROR(__xludf.DUMMYFUNCTION("""COMPUTED_VALUE"""),"122561941")</f>
        <v>122561941</v>
      </c>
      <c r="S1941" s="211" t="str">
        <f>IFERROR(__xludf.DUMMYFUNCTION("""COMPUTED_VALUE"""),"9e66ced9")</f>
        <v>9e66ced9</v>
      </c>
      <c r="T1941" s="211" t="str">
        <f>IFERROR(__xludf.DUMMYFUNCTION("""COMPUTED_VALUE"""),"Bapak Angga")</f>
        <v>Bapak Angga</v>
      </c>
      <c r="U1941" s="215">
        <f>IFERROR(__xludf.DUMMYFUNCTION("""COMPUTED_VALUE"""),46001.63265046296)</f>
        <v>46001.63265</v>
      </c>
      <c r="V1941" s="211" t="str">
        <f>IFERROR(__xludf.DUMMYFUNCTION("""COMPUTED_VALUE"""),"Jl. Bypass Krian No.2, Tundungan, Sidomojo, Kec. Krian, Kabupaten Sidoarjo, Jawa Timur 61262")</f>
        <v>Jl. Bypass Krian No.2, Tundungan, Sidomojo, Kec. Krian, Kabupaten Sidoarjo, Jawa Timur 61262</v>
      </c>
      <c r="W1941" s="211" t="str">
        <f>IFERROR(__xludf.DUMMYFUNCTION("""COMPUTED_VALUE"""),"OUT")</f>
        <v>OUT</v>
      </c>
      <c r="X1941" s="211"/>
      <c r="AL1941" s="211"/>
      <c r="AM1941" s="211"/>
      <c r="AN1941" s="211"/>
      <c r="AO1941" s="211"/>
      <c r="AP1941" s="215"/>
      <c r="AQ1941" s="218"/>
      <c r="AR1941" s="211"/>
    </row>
    <row r="1942">
      <c r="A1942" s="210" t="str">
        <f>IFERROR(__xludf.DUMMYFUNCTION("""COMPUTED_VALUE"""),"1025121402")</f>
        <v>1025121402</v>
      </c>
      <c r="B1942" s="210" t="str">
        <f>IFERROR(__xludf.DUMMYFUNCTION("""COMPUTED_VALUE"""),"1025121402")</f>
        <v>1025121402</v>
      </c>
      <c r="C1942" s="213">
        <f>IFERROR(__xludf.DUMMYFUNCTION("""COMPUTED_VALUE"""),45937.43226851852)</f>
        <v>45937.43227</v>
      </c>
      <c r="D1942" s="211" t="str">
        <f>IFERROR(__xludf.DUMMYFUNCTION("""COMPUTED_VALUE"""),"4ec68cf6")</f>
        <v>4ec68cf6</v>
      </c>
      <c r="E1942" s="211" t="str">
        <f>IFERROR(__xludf.DUMMYFUNCTION("""COMPUTED_VALUE"""),"CV Sido Mukti Karya")</f>
        <v>CV Sido Mukti Karya</v>
      </c>
      <c r="F1942" s="211" t="str">
        <f>IFERROR(__xludf.DUMMYFUNCTION("""COMPUTED_VALUE"""),"ef306e54")</f>
        <v>ef306e54</v>
      </c>
      <c r="G1942" s="211" t="str">
        <f>IFERROR(__xludf.DUMMYFUNCTION("""COMPUTED_VALUE"""),"Karbondioksida")</f>
        <v>Karbondioksida</v>
      </c>
      <c r="H1942" s="211" t="str">
        <f>IFERROR(__xludf.DUMMYFUNCTION("""COMPUTED_VALUE"""),"OUT")</f>
        <v>OUT</v>
      </c>
      <c r="I1942" s="211" t="str">
        <f>IFERROR(__xludf.DUMMYFUNCTION("""COMPUTED_VALUE"""),"NORMAL")</f>
        <v>NORMAL</v>
      </c>
      <c r="J1942" s="211">
        <f>IFERROR(__xludf.DUMMYFUNCTION("""COMPUTED_VALUE"""),2.0)</f>
        <v>2</v>
      </c>
      <c r="K1942" s="210" t="str">
        <f>IFERROR(__xludf.DUMMYFUNCTION("""COMPUTED_VALUE"""),"13003 13032")</f>
        <v>13003 13032</v>
      </c>
      <c r="L1942" s="211">
        <f>IFERROR(__xludf.DUMMYFUNCTION("""COMPUTED_VALUE"""),170000.0)</f>
        <v>170000</v>
      </c>
      <c r="M1942" s="211"/>
      <c r="N1942" s="211"/>
      <c r="O1942" s="211"/>
      <c r="Q1942" s="210" t="str">
        <f>IFERROR(__xludf.DUMMYFUNCTION("""COMPUTED_VALUE"""),"1225301942")</f>
        <v>1225301942</v>
      </c>
      <c r="R1942" s="210" t="str">
        <f>IFERROR(__xludf.DUMMYFUNCTION("""COMPUTED_VALUE"""),"1225301942")</f>
        <v>1225301942</v>
      </c>
      <c r="S1942" s="211" t="str">
        <f>IFERROR(__xludf.DUMMYFUNCTION("""COMPUTED_VALUE"""),"ec231cc9")</f>
        <v>ec231cc9</v>
      </c>
      <c r="T1942" s="211" t="str">
        <f>IFERROR(__xludf.DUMMYFUNCTION("""COMPUTED_VALUE"""),"Bpk. Kohir (Maintenance Velg)")</f>
        <v>Bpk. Kohir (Maintenance Velg)</v>
      </c>
      <c r="U1942" s="215">
        <f>IFERROR(__xludf.DUMMYFUNCTION("""COMPUTED_VALUE"""),46001.6346875)</f>
        <v>46001.63469</v>
      </c>
      <c r="V1942" s="211" t="str">
        <f>IFERROR(__xludf.DUMMYFUNCTION("""COMPUTED_VALUE"""),"Jl. Lkr. Bypass Krian Timur, Sidogolong, Watugolong, Kec. Krian, Kabupaten Sidoarjo, Jawa Timur 61262")</f>
        <v>Jl. Lkr. Bypass Krian Timur, Sidogolong, Watugolong, Kec. Krian, Kabupaten Sidoarjo, Jawa Timur 61262</v>
      </c>
      <c r="W1942" s="211" t="str">
        <f>IFERROR(__xludf.DUMMYFUNCTION("""COMPUTED_VALUE"""),"OUT")</f>
        <v>OUT</v>
      </c>
      <c r="X1942" s="211"/>
      <c r="AL1942" s="211"/>
      <c r="AM1942" s="211"/>
      <c r="AN1942" s="211"/>
      <c r="AO1942" s="211"/>
      <c r="AP1942" s="215"/>
      <c r="AQ1942" s="218"/>
      <c r="AR1942" s="211"/>
    </row>
    <row r="1943">
      <c r="A1943" s="210" t="str">
        <f>IFERROR(__xludf.DUMMYFUNCTION("""COMPUTED_VALUE"""),"1025121402")</f>
        <v>1025121402</v>
      </c>
      <c r="B1943" s="210" t="str">
        <f>IFERROR(__xludf.DUMMYFUNCTION("""COMPUTED_VALUE"""),"1025121402")</f>
        <v>1025121402</v>
      </c>
      <c r="C1943" s="213">
        <f>IFERROR(__xludf.DUMMYFUNCTION("""COMPUTED_VALUE"""),45937.43226851852)</f>
        <v>45937.43227</v>
      </c>
      <c r="D1943" s="211" t="str">
        <f>IFERROR(__xludf.DUMMYFUNCTION("""COMPUTED_VALUE"""),"4ec68cf6")</f>
        <v>4ec68cf6</v>
      </c>
      <c r="E1943" s="211" t="str">
        <f>IFERROR(__xludf.DUMMYFUNCTION("""COMPUTED_VALUE"""),"CV Sido Mukti Karya")</f>
        <v>CV Sido Mukti Karya</v>
      </c>
      <c r="F1943" s="211" t="str">
        <f>IFERROR(__xludf.DUMMYFUNCTION("""COMPUTED_VALUE"""),"7d2764f1")</f>
        <v>7d2764f1</v>
      </c>
      <c r="G1943" s="211" t="str">
        <f>IFERROR(__xludf.DUMMYFUNCTION("""COMPUTED_VALUE"""),"Oksigen 7m3")</f>
        <v>Oksigen 7m3</v>
      </c>
      <c r="H1943" s="211" t="str">
        <f>IFERROR(__xludf.DUMMYFUNCTION("""COMPUTED_VALUE"""),"OUT")</f>
        <v>OUT</v>
      </c>
      <c r="I1943" s="211" t="str">
        <f>IFERROR(__xludf.DUMMYFUNCTION("""COMPUTED_VALUE"""),"NORMAL")</f>
        <v>NORMAL</v>
      </c>
      <c r="J1943" s="211">
        <f>IFERROR(__xludf.DUMMYFUNCTION("""COMPUTED_VALUE"""),3.0)</f>
        <v>3</v>
      </c>
      <c r="K1943" s="210" t="str">
        <f>IFERROR(__xludf.DUMMYFUNCTION("""COMPUTED_VALUE"""),"11160 11158 11169")</f>
        <v>11160 11158 11169</v>
      </c>
      <c r="L1943" s="211">
        <f>IFERROR(__xludf.DUMMYFUNCTION("""COMPUTED_VALUE"""),60000.0)</f>
        <v>60000</v>
      </c>
      <c r="M1943" s="211"/>
      <c r="N1943" s="211"/>
      <c r="O1943" s="211"/>
      <c r="Q1943" s="210" t="str">
        <f>IFERROR(__xludf.DUMMYFUNCTION("""COMPUTED_VALUE"""),"122581943")</f>
        <v>122581943</v>
      </c>
      <c r="R1943" s="210" t="str">
        <f>IFERROR(__xludf.DUMMYFUNCTION("""COMPUTED_VALUE"""),"122581943")</f>
        <v>122581943</v>
      </c>
      <c r="S1943" s="211" t="str">
        <f>IFERROR(__xludf.DUMMYFUNCTION("""COMPUTED_VALUE"""),"a0f0ad2d")</f>
        <v>a0f0ad2d</v>
      </c>
      <c r="T1943" s="211" t="str">
        <f>IFERROR(__xludf.DUMMYFUNCTION("""COMPUTED_VALUE"""),"CV. Yulie Jaya")</f>
        <v>CV. Yulie Jaya</v>
      </c>
      <c r="U1943" s="215">
        <f>IFERROR(__xludf.DUMMYFUNCTION("""COMPUTED_VALUE"""),46001.647986111115)</f>
        <v>46001.64799</v>
      </c>
      <c r="V1943" s="211" t="str">
        <f>IFERROR(__xludf.DUMMYFUNCTION("""COMPUTED_VALUE"""),"JJH4+6RV, Badas, Barengkrajan, Kec. Krian, Kabupaten Sidoarjo, Jawa Timur 61262")</f>
        <v>JJH4+6RV, Badas, Barengkrajan, Kec. Krian, Kabupaten Sidoarjo, Jawa Timur 61262</v>
      </c>
      <c r="W1943" s="211" t="str">
        <f>IFERROR(__xludf.DUMMYFUNCTION("""COMPUTED_VALUE"""),"OUT")</f>
        <v>OUT</v>
      </c>
      <c r="X1943" s="211"/>
      <c r="AL1943" s="211"/>
      <c r="AM1943" s="211"/>
      <c r="AN1943" s="211"/>
      <c r="AO1943" s="211"/>
      <c r="AP1943" s="215"/>
      <c r="AQ1943" s="218"/>
      <c r="AR1943" s="211"/>
    </row>
    <row r="1944">
      <c r="A1944" s="210" t="str">
        <f>IFERROR(__xludf.DUMMYFUNCTION("""COMPUTED_VALUE"""),"1025321403")</f>
        <v>1025321403</v>
      </c>
      <c r="B1944" s="210" t="str">
        <f>IFERROR(__xludf.DUMMYFUNCTION("""COMPUTED_VALUE"""),"1025321403")</f>
        <v>1025321403</v>
      </c>
      <c r="C1944" s="213">
        <f>IFERROR(__xludf.DUMMYFUNCTION("""COMPUTED_VALUE"""),45937.56548611111)</f>
        <v>45937.56549</v>
      </c>
      <c r="D1944" s="211" t="str">
        <f>IFERROR(__xludf.DUMMYFUNCTION("""COMPUTED_VALUE"""),"01158be1")</f>
        <v>01158be1</v>
      </c>
      <c r="E1944" s="211" t="str">
        <f>IFERROR(__xludf.DUMMYFUNCTION("""COMPUTED_VALUE"""),"GYF")</f>
        <v>GYF</v>
      </c>
      <c r="F1944" s="211" t="str">
        <f>IFERROR(__xludf.DUMMYFUNCTION("""COMPUTED_VALUE"""),"8bdbe149")</f>
        <v>8bdbe149</v>
      </c>
      <c r="G1944" s="211" t="str">
        <f>IFERROR(__xludf.DUMMYFUNCTION("""COMPUTED_VALUE"""),"Oksigen 6m3")</f>
        <v>Oksigen 6m3</v>
      </c>
      <c r="H1944" s="211" t="str">
        <f>IFERROR(__xludf.DUMMYFUNCTION("""COMPUTED_VALUE"""),"OUT")</f>
        <v>OUT</v>
      </c>
      <c r="I1944" s="211" t="str">
        <f>IFERROR(__xludf.DUMMYFUNCTION("""COMPUTED_VALUE"""),"NORMAL")</f>
        <v>NORMAL</v>
      </c>
      <c r="J1944" s="211">
        <f>IFERROR(__xludf.DUMMYFUNCTION("""COMPUTED_VALUE"""),10.0)</f>
        <v>10</v>
      </c>
      <c r="K1944" s="210" t="str">
        <f>IFERROR(__xludf.DUMMYFUNCTION("""COMPUTED_VALUE"""),"1126 11260 1131 1124 11283 11100 11180 1197 1155 11105")</f>
        <v>1126 11260 1131 1124 11283 11100 11180 1197 1155 11105</v>
      </c>
      <c r="L1944" s="211">
        <f>IFERROR(__xludf.DUMMYFUNCTION("""COMPUTED_VALUE"""),45000.0)</f>
        <v>45000</v>
      </c>
      <c r="M1944" s="211"/>
      <c r="N1944" s="211"/>
      <c r="O1944" s="211"/>
      <c r="Q1944" s="210" t="str">
        <f>IFERROR(__xludf.DUMMYFUNCTION("""COMPUTED_VALUE"""),"1250931")</f>
        <v>1250931</v>
      </c>
      <c r="R1944" s="210" t="str">
        <f>IFERROR(__xludf.DUMMYFUNCTION("""COMPUTED_VALUE"""),"1250931")</f>
        <v>1250931</v>
      </c>
      <c r="S1944" s="211" t="str">
        <f>IFERROR(__xludf.DUMMYFUNCTION("""COMPUTED_VALUE"""),"b2b5f2c5")</f>
        <v>b2b5f2c5</v>
      </c>
      <c r="T1944" s="211" t="str">
        <f>IFERROR(__xludf.DUMMYFUNCTION("""COMPUTED_VALUE"""),"Bengkel Las Bpk. Ari")</f>
        <v>Bengkel Las Bpk. Ari</v>
      </c>
      <c r="U1944" s="215">
        <f>IFERROR(__xludf.DUMMYFUNCTION("""COMPUTED_VALUE"""),46002.36263888889)</f>
        <v>46002.36264</v>
      </c>
      <c r="V1944" s="211" t="str">
        <f>IFERROR(__xludf.DUMMYFUNCTION("""COMPUTED_VALUE"""),"Sumber Kembar, Wonodadi, Kec. Kutorejo, Kabupaten Mojokerto, Jawa Timur")</f>
        <v>Sumber Kembar, Wonodadi, Kec. Kutorejo, Kabupaten Mojokerto, Jawa Timur</v>
      </c>
      <c r="W1944" s="211" t="str">
        <f>IFERROR(__xludf.DUMMYFUNCTION("""COMPUTED_VALUE"""),"IN")</f>
        <v>IN</v>
      </c>
      <c r="X1944" s="211"/>
      <c r="AL1944" s="211"/>
      <c r="AM1944" s="211"/>
      <c r="AN1944" s="211"/>
      <c r="AO1944" s="211"/>
      <c r="AP1944" s="215"/>
      <c r="AQ1944" s="218"/>
      <c r="AR1944" s="211"/>
    </row>
    <row r="1945">
      <c r="A1945" s="210" t="str">
        <f>IFERROR(__xludf.DUMMYFUNCTION("""COMPUTED_VALUE"""),"1250623")</f>
        <v>1250623</v>
      </c>
      <c r="B1945" s="210" t="str">
        <f>IFERROR(__xludf.DUMMYFUNCTION("""COMPUTED_VALUE"""),"1250623")</f>
        <v>1250623</v>
      </c>
      <c r="C1945" s="213">
        <f>IFERROR(__xludf.DUMMYFUNCTION("""COMPUTED_VALUE"""),45937.68015046296)</f>
        <v>45937.68015</v>
      </c>
      <c r="D1945" s="211" t="str">
        <f>IFERROR(__xludf.DUMMYFUNCTION("""COMPUTED_VALUE"""),"e968afef")</f>
        <v>e968afef</v>
      </c>
      <c r="E1945" s="211" t="str">
        <f>IFERROR(__xludf.DUMMYFUNCTION("""COMPUTED_VALUE"""),"Bpk. Agus")</f>
        <v>Bpk. Agus</v>
      </c>
      <c r="F1945" s="211" t="str">
        <f>IFERROR(__xludf.DUMMYFUNCTION("""COMPUTED_VALUE"""),"be525f3b")</f>
        <v>be525f3b</v>
      </c>
      <c r="G1945" s="211" t="str">
        <f>IFERROR(__xludf.DUMMYFUNCTION("""COMPUTED_VALUE"""),"LPG 12kg")</f>
        <v>LPG 12kg</v>
      </c>
      <c r="H1945" s="211" t="str">
        <f>IFERROR(__xludf.DUMMYFUNCTION("""COMPUTED_VALUE"""),"IN")</f>
        <v>IN</v>
      </c>
      <c r="I1945" s="211" t="str">
        <f>IFERROR(__xludf.DUMMYFUNCTION("""COMPUTED_VALUE"""),"EMPTY")</f>
        <v>EMPTY</v>
      </c>
      <c r="J1945" s="211">
        <f>IFERROR(__xludf.DUMMYFUNCTION("""COMPUTED_VALUE"""),1.0)</f>
        <v>1</v>
      </c>
      <c r="K1945" s="211"/>
      <c r="L1945" s="211">
        <f>IFERROR(__xludf.DUMMYFUNCTION("""COMPUTED_VALUE"""),0.0)</f>
        <v>0</v>
      </c>
      <c r="M1945" s="211"/>
      <c r="N1945" s="211"/>
      <c r="O1945" s="211"/>
      <c r="Q1945" s="210" t="str">
        <f>IFERROR(__xludf.DUMMYFUNCTION("""COMPUTED_VALUE"""),"1250930")</f>
        <v>1250930</v>
      </c>
      <c r="R1945" s="210" t="str">
        <f>IFERROR(__xludf.DUMMYFUNCTION("""COMPUTED_VALUE"""),"1250930")</f>
        <v>1250930</v>
      </c>
      <c r="S1945" s="211" t="str">
        <f>IFERROR(__xludf.DUMMYFUNCTION("""COMPUTED_VALUE"""),"9828dfc5")</f>
        <v>9828dfc5</v>
      </c>
      <c r="T1945" s="211" t="str">
        <f>IFERROR(__xludf.DUMMYFUNCTION("""COMPUTED_VALUE"""),"Bpk. David")</f>
        <v>Bpk. David</v>
      </c>
      <c r="U1945" s="215">
        <f>IFERROR(__xludf.DUMMYFUNCTION("""COMPUTED_VALUE"""),46002.363275462965)</f>
        <v>46002.36328</v>
      </c>
      <c r="V1945" s="211" t="str">
        <f>IFERROR(__xludf.DUMMYFUNCTION("""COMPUTED_VALUE"""),"GHF3+R34, Jl. Kartini, Ngingas, Ngimbangan, Kec. Mojosari, Kabupaten Mojokerto, Jawa Timur 61382")</f>
        <v>GHF3+R34, Jl. Kartini, Ngingas, Ngimbangan, Kec. Mojosari, Kabupaten Mojokerto, Jawa Timur 61382</v>
      </c>
      <c r="W1945" s="211" t="str">
        <f>IFERROR(__xludf.DUMMYFUNCTION("""COMPUTED_VALUE"""),"IN")</f>
        <v>IN</v>
      </c>
      <c r="X1945" s="211"/>
      <c r="AL1945" s="211"/>
      <c r="AM1945" s="211"/>
      <c r="AN1945" s="211"/>
      <c r="AO1945" s="211"/>
      <c r="AP1945" s="215"/>
      <c r="AQ1945" s="218"/>
      <c r="AR1945" s="211"/>
    </row>
    <row r="1946">
      <c r="A1946" s="210" t="str">
        <f>IFERROR(__xludf.DUMMYFUNCTION("""COMPUTED_VALUE"""),"1250623")</f>
        <v>1250623</v>
      </c>
      <c r="B1946" s="210" t="str">
        <f>IFERROR(__xludf.DUMMYFUNCTION("""COMPUTED_VALUE"""),"1250623")</f>
        <v>1250623</v>
      </c>
      <c r="C1946" s="213">
        <f>IFERROR(__xludf.DUMMYFUNCTION("""COMPUTED_VALUE"""),45937.68015046296)</f>
        <v>45937.68015</v>
      </c>
      <c r="D1946" s="211" t="str">
        <f>IFERROR(__xludf.DUMMYFUNCTION("""COMPUTED_VALUE"""),"e968afef")</f>
        <v>e968afef</v>
      </c>
      <c r="E1946" s="211" t="str">
        <f>IFERROR(__xludf.DUMMYFUNCTION("""COMPUTED_VALUE"""),"Bpk. Agus")</f>
        <v>Bpk. Agus</v>
      </c>
      <c r="F1946" s="211" t="str">
        <f>IFERROR(__xludf.DUMMYFUNCTION("""COMPUTED_VALUE"""),"8bdbe149")</f>
        <v>8bdbe149</v>
      </c>
      <c r="G1946" s="211" t="str">
        <f>IFERROR(__xludf.DUMMYFUNCTION("""COMPUTED_VALUE"""),"Oksigen 6m3")</f>
        <v>Oksigen 6m3</v>
      </c>
      <c r="H1946" s="211" t="str">
        <f>IFERROR(__xludf.DUMMYFUNCTION("""COMPUTED_VALUE"""),"IN")</f>
        <v>IN</v>
      </c>
      <c r="I1946" s="211" t="str">
        <f>IFERROR(__xludf.DUMMYFUNCTION("""COMPUTED_VALUE"""),"EMPTY")</f>
        <v>EMPTY</v>
      </c>
      <c r="J1946" s="211">
        <f>IFERROR(__xludf.DUMMYFUNCTION("""COMPUTED_VALUE"""),6.0)</f>
        <v>6</v>
      </c>
      <c r="K1946" s="210" t="str">
        <f>IFERROR(__xludf.DUMMYFUNCTION("""COMPUTED_VALUE"""),"11231 1106 1111 11262 11179 1130")</f>
        <v>11231 1106 1111 11262 11179 1130</v>
      </c>
      <c r="L1946" s="211">
        <f>IFERROR(__xludf.DUMMYFUNCTION("""COMPUTED_VALUE"""),0.0)</f>
        <v>0</v>
      </c>
      <c r="M1946" s="211"/>
      <c r="N1946" s="211"/>
      <c r="O1946" s="211"/>
      <c r="Q1946" s="210" t="str">
        <f>IFERROR(__xludf.DUMMYFUNCTION("""COMPUTED_VALUE"""),"1225281944")</f>
        <v>1225281944</v>
      </c>
      <c r="R1946" s="210" t="str">
        <f>IFERROR(__xludf.DUMMYFUNCTION("""COMPUTED_VALUE"""),"1225281944")</f>
        <v>1225281944</v>
      </c>
      <c r="S1946" s="211" t="str">
        <f>IFERROR(__xludf.DUMMYFUNCTION("""COMPUTED_VALUE"""),"2d88931c")</f>
        <v>2d88931c</v>
      </c>
      <c r="T1946" s="211" t="str">
        <f>IFERROR(__xludf.DUMMYFUNCTION("""COMPUTED_VALUE"""),"PT Dunia Berkat Marga Mulya")</f>
        <v>PT Dunia Berkat Marga Mulya</v>
      </c>
      <c r="U1946" s="215">
        <f>IFERROR(__xludf.DUMMYFUNCTION("""COMPUTED_VALUE"""),46002.368576388886)</f>
        <v>46002.36858</v>
      </c>
      <c r="V1946" s="211" t="str">
        <f>IFERROR(__xludf.DUMMYFUNCTION("""COMPUTED_VALUE"""),"JL JABARAN, WATESARI, BALONGBENDO, SIDOARJO, JAWA TIMUR")</f>
        <v>JL JABARAN, WATESARI, BALONGBENDO, SIDOARJO, JAWA TIMUR</v>
      </c>
      <c r="W1946" s="211" t="str">
        <f>IFERROR(__xludf.DUMMYFUNCTION("""COMPUTED_VALUE"""),"OUT")</f>
        <v>OUT</v>
      </c>
      <c r="X1946" s="211"/>
      <c r="AL1946" s="211"/>
      <c r="AM1946" s="211"/>
      <c r="AN1946" s="211"/>
      <c r="AO1946" s="211"/>
      <c r="AP1946" s="215"/>
      <c r="AQ1946" s="218"/>
      <c r="AR1946" s="211"/>
    </row>
    <row r="1947">
      <c r="A1947" s="210" t="str">
        <f>IFERROR(__xludf.DUMMYFUNCTION("""COMPUTED_VALUE"""),"1250623")</f>
        <v>1250623</v>
      </c>
      <c r="B1947" s="210" t="str">
        <f>IFERROR(__xludf.DUMMYFUNCTION("""COMPUTED_VALUE"""),"1250623")</f>
        <v>1250623</v>
      </c>
      <c r="C1947" s="213">
        <f>IFERROR(__xludf.DUMMYFUNCTION("""COMPUTED_VALUE"""),45937.68015046296)</f>
        <v>45937.68015</v>
      </c>
      <c r="D1947" s="211" t="str">
        <f>IFERROR(__xludf.DUMMYFUNCTION("""COMPUTED_VALUE"""),"e968afef")</f>
        <v>e968afef</v>
      </c>
      <c r="E1947" s="211" t="str">
        <f>IFERROR(__xludf.DUMMYFUNCTION("""COMPUTED_VALUE"""),"Bpk. Agus")</f>
        <v>Bpk. Agus</v>
      </c>
      <c r="F1947" s="211" t="str">
        <f>IFERROR(__xludf.DUMMYFUNCTION("""COMPUTED_VALUE"""),"7d2764f1")</f>
        <v>7d2764f1</v>
      </c>
      <c r="G1947" s="211" t="str">
        <f>IFERROR(__xludf.DUMMYFUNCTION("""COMPUTED_VALUE"""),"Oksigen 7m3")</f>
        <v>Oksigen 7m3</v>
      </c>
      <c r="H1947" s="211" t="str">
        <f>IFERROR(__xludf.DUMMYFUNCTION("""COMPUTED_VALUE"""),"IN")</f>
        <v>IN</v>
      </c>
      <c r="I1947" s="211" t="str">
        <f>IFERROR(__xludf.DUMMYFUNCTION("""COMPUTED_VALUE"""),"EMPTY")</f>
        <v>EMPTY</v>
      </c>
      <c r="J1947" s="211">
        <f>IFERROR(__xludf.DUMMYFUNCTION("""COMPUTED_VALUE"""),4.0)</f>
        <v>4</v>
      </c>
      <c r="K1947" s="210" t="str">
        <f>IFERROR(__xludf.DUMMYFUNCTION("""COMPUTED_VALUE"""),"11149 11141 11195 11212")</f>
        <v>11149 11141 11195 11212</v>
      </c>
      <c r="L1947" s="211">
        <f>IFERROR(__xludf.DUMMYFUNCTION("""COMPUTED_VALUE"""),0.0)</f>
        <v>0</v>
      </c>
      <c r="M1947" s="211"/>
      <c r="N1947" s="211"/>
      <c r="O1947" s="211"/>
      <c r="Q1947" s="210" t="str">
        <f>IFERROR(__xludf.DUMMYFUNCTION("""COMPUTED_VALUE"""),"1225201947")</f>
        <v>1225201947</v>
      </c>
      <c r="R1947" s="210" t="str">
        <f>IFERROR(__xludf.DUMMYFUNCTION("""COMPUTED_VALUE"""),"1225201947")</f>
        <v>1225201947</v>
      </c>
      <c r="S1947" s="211" t="str">
        <f>IFERROR(__xludf.DUMMYFUNCTION("""COMPUTED_VALUE"""),"4ec68cf6")</f>
        <v>4ec68cf6</v>
      </c>
      <c r="T1947" s="211" t="str">
        <f>IFERROR(__xludf.DUMMYFUNCTION("""COMPUTED_VALUE"""),"CV Sido Mukti Karya")</f>
        <v>CV Sido Mukti Karya</v>
      </c>
      <c r="U1947" s="215">
        <f>IFERROR(__xludf.DUMMYFUNCTION("""COMPUTED_VALUE"""),46002.38863425926)</f>
        <v>46002.38863</v>
      </c>
      <c r="V1947" s="211" t="str">
        <f>IFERROR(__xludf.DUMMYFUNCTION("""COMPUTED_VALUE"""),"Pergudangan Center Point no A3, Kemangsen")</f>
        <v>Pergudangan Center Point no A3, Kemangsen</v>
      </c>
      <c r="W1947" s="211" t="str">
        <f>IFERROR(__xludf.DUMMYFUNCTION("""COMPUTED_VALUE"""),"OUT")</f>
        <v>OUT</v>
      </c>
      <c r="X1947" s="211"/>
      <c r="AL1947" s="211"/>
      <c r="AM1947" s="211"/>
      <c r="AN1947" s="211"/>
      <c r="AO1947" s="211"/>
      <c r="AP1947" s="215"/>
      <c r="AQ1947" s="218"/>
      <c r="AR1947" s="211"/>
    </row>
    <row r="1948">
      <c r="A1948" s="210" t="str">
        <f>IFERROR(__xludf.DUMMYFUNCTION("""COMPUTED_VALUE"""),"1025151404")</f>
        <v>1025151404</v>
      </c>
      <c r="B1948" s="210" t="str">
        <f>IFERROR(__xludf.DUMMYFUNCTION("""COMPUTED_VALUE"""),"1025151404")</f>
        <v>1025151404</v>
      </c>
      <c r="C1948" s="213">
        <f>IFERROR(__xludf.DUMMYFUNCTION("""COMPUTED_VALUE"""),45938.36178240741)</f>
        <v>45938.36178</v>
      </c>
      <c r="D1948" s="211" t="str">
        <f>IFERROR(__xludf.DUMMYFUNCTION("""COMPUTED_VALUE"""),"182fb0fe")</f>
        <v>182fb0fe</v>
      </c>
      <c r="E1948" s="211" t="str">
        <f>IFERROR(__xludf.DUMMYFUNCTION("""COMPUTED_VALUE"""),"PT Amtech")</f>
        <v>PT Amtech</v>
      </c>
      <c r="F1948" s="211" t="str">
        <f>IFERROR(__xludf.DUMMYFUNCTION("""COMPUTED_VALUE"""),"66af7c72")</f>
        <v>66af7c72</v>
      </c>
      <c r="G1948" s="211" t="str">
        <f>IFERROR(__xludf.DUMMYFUNCTION("""COMPUTED_VALUE"""),"Argon 6m3")</f>
        <v>Argon 6m3</v>
      </c>
      <c r="H1948" s="211" t="str">
        <f>IFERROR(__xludf.DUMMYFUNCTION("""COMPUTED_VALUE"""),"OUT")</f>
        <v>OUT</v>
      </c>
      <c r="I1948" s="211" t="str">
        <f>IFERROR(__xludf.DUMMYFUNCTION("""COMPUTED_VALUE"""),"NORMAL")</f>
        <v>NORMAL</v>
      </c>
      <c r="J1948" s="211">
        <f>IFERROR(__xludf.DUMMYFUNCTION("""COMPUTED_VALUE"""),6.0)</f>
        <v>6</v>
      </c>
      <c r="K1948" s="210" t="str">
        <f>IFERROR(__xludf.DUMMYFUNCTION("""COMPUTED_VALUE"""),"12024 12026 12015 12071 12010 12028")</f>
        <v>12024 12026 12015 12071 12010 12028</v>
      </c>
      <c r="L1948" s="211">
        <f>IFERROR(__xludf.DUMMYFUNCTION("""COMPUTED_VALUE"""),195000.0)</f>
        <v>195000</v>
      </c>
      <c r="M1948" s="211"/>
      <c r="N1948" s="211"/>
      <c r="O1948" s="211"/>
      <c r="Q1948" s="210" t="str">
        <f>IFERROR(__xludf.DUMMYFUNCTION("""COMPUTED_VALUE"""),"1250929")</f>
        <v>1250929</v>
      </c>
      <c r="R1948" s="210" t="str">
        <f>IFERROR(__xludf.DUMMYFUNCTION("""COMPUTED_VALUE"""),"1250929")</f>
        <v>1250929</v>
      </c>
      <c r="S1948" s="211" t="str">
        <f>IFERROR(__xludf.DUMMYFUNCTION("""COMPUTED_VALUE"""),"58b72e0c")</f>
        <v>58b72e0c</v>
      </c>
      <c r="T1948" s="211" t="str">
        <f>IFERROR(__xludf.DUMMYFUNCTION("""COMPUTED_VALUE"""),"UD. Ais Jaya")</f>
        <v>UD. Ais Jaya</v>
      </c>
      <c r="U1948" s="215">
        <f>IFERROR(__xludf.DUMMYFUNCTION("""COMPUTED_VALUE"""),46002.47635416667)</f>
        <v>46002.47635</v>
      </c>
      <c r="V1948" s="211" t="str">
        <f>IFERROR(__xludf.DUMMYFUNCTION("""COMPUTED_VALUE"""),"Jl. Bypass Krian, Kraton, Kec. Krian, Kabupaten Sidoarjo, Jawa Timur 61262")</f>
        <v>Jl. Bypass Krian, Kraton, Kec. Krian, Kabupaten Sidoarjo, Jawa Timur 61262</v>
      </c>
      <c r="W1948" s="211" t="str">
        <f>IFERROR(__xludf.DUMMYFUNCTION("""COMPUTED_VALUE"""),"IN")</f>
        <v>IN</v>
      </c>
      <c r="X1948" s="211"/>
      <c r="AL1948" s="211"/>
      <c r="AM1948" s="211"/>
      <c r="AN1948" s="211"/>
      <c r="AO1948" s="211"/>
      <c r="AP1948" s="215"/>
      <c r="AQ1948" s="218"/>
      <c r="AR1948" s="211"/>
    </row>
    <row r="1949">
      <c r="A1949" s="210" t="str">
        <f>IFERROR(__xludf.DUMMYFUNCTION("""COMPUTED_VALUE"""),"1250624")</f>
        <v>1250624</v>
      </c>
      <c r="B1949" s="210" t="str">
        <f>IFERROR(__xludf.DUMMYFUNCTION("""COMPUTED_VALUE"""),"1250624")</f>
        <v>1250624</v>
      </c>
      <c r="C1949" s="213">
        <f>IFERROR(__xludf.DUMMYFUNCTION("""COMPUTED_VALUE"""),45938.45518518519)</f>
        <v>45938.45519</v>
      </c>
      <c r="D1949" s="211" t="str">
        <f>IFERROR(__xludf.DUMMYFUNCTION("""COMPUTED_VALUE"""),"182fb0fe")</f>
        <v>182fb0fe</v>
      </c>
      <c r="E1949" s="211" t="str">
        <f>IFERROR(__xludf.DUMMYFUNCTION("""COMPUTED_VALUE"""),"PT Amtech")</f>
        <v>PT Amtech</v>
      </c>
      <c r="F1949" s="211" t="str">
        <f>IFERROR(__xludf.DUMMYFUNCTION("""COMPUTED_VALUE"""),"66af7c72")</f>
        <v>66af7c72</v>
      </c>
      <c r="G1949" s="211" t="str">
        <f>IFERROR(__xludf.DUMMYFUNCTION("""COMPUTED_VALUE"""),"Argon 6m3")</f>
        <v>Argon 6m3</v>
      </c>
      <c r="H1949" s="211" t="str">
        <f>IFERROR(__xludf.DUMMYFUNCTION("""COMPUTED_VALUE"""),"IN")</f>
        <v>IN</v>
      </c>
      <c r="I1949" s="211" t="str">
        <f>IFERROR(__xludf.DUMMYFUNCTION("""COMPUTED_VALUE"""),"EMPTY")</f>
        <v>EMPTY</v>
      </c>
      <c r="J1949" s="211">
        <f>IFERROR(__xludf.DUMMYFUNCTION("""COMPUTED_VALUE"""),3.0)</f>
        <v>3</v>
      </c>
      <c r="K1949" s="210" t="str">
        <f>IFERROR(__xludf.DUMMYFUNCTION("""COMPUTED_VALUE"""),"12025 12037 12073")</f>
        <v>12025 12037 12073</v>
      </c>
      <c r="L1949" s="211">
        <f>IFERROR(__xludf.DUMMYFUNCTION("""COMPUTED_VALUE"""),0.0)</f>
        <v>0</v>
      </c>
      <c r="M1949" s="211"/>
      <c r="N1949" s="211"/>
      <c r="O1949" s="211"/>
      <c r="Q1949" s="210" t="str">
        <f>IFERROR(__xludf.DUMMYFUNCTION("""COMPUTED_VALUE"""),"1250928")</f>
        <v>1250928</v>
      </c>
      <c r="R1949" s="210" t="str">
        <f>IFERROR(__xludf.DUMMYFUNCTION("""COMPUTED_VALUE"""),"1250928")</f>
        <v>1250928</v>
      </c>
      <c r="S1949" s="211" t="str">
        <f>IFERROR(__xludf.DUMMYFUNCTION("""COMPUTED_VALUE"""),"ec231cc9")</f>
        <v>ec231cc9</v>
      </c>
      <c r="T1949" s="211" t="str">
        <f>IFERROR(__xludf.DUMMYFUNCTION("""COMPUTED_VALUE"""),"Bpk. Kohir (Maintenance Velg)")</f>
        <v>Bpk. Kohir (Maintenance Velg)</v>
      </c>
      <c r="U1949" s="215">
        <f>IFERROR(__xludf.DUMMYFUNCTION("""COMPUTED_VALUE"""),46002.47692129629)</f>
        <v>46002.47692</v>
      </c>
      <c r="V1949" s="211" t="str">
        <f>IFERROR(__xludf.DUMMYFUNCTION("""COMPUTED_VALUE"""),"Jl. Lkr. Bypass Krian Timur, Sidogolong, Watugolong, Kec. Krian, Kabupaten Sidoarjo, Jawa Timur 61262")</f>
        <v>Jl. Lkr. Bypass Krian Timur, Sidogolong, Watugolong, Kec. Krian, Kabupaten Sidoarjo, Jawa Timur 61262</v>
      </c>
      <c r="W1949" s="211" t="str">
        <f>IFERROR(__xludf.DUMMYFUNCTION("""COMPUTED_VALUE"""),"IN")</f>
        <v>IN</v>
      </c>
      <c r="X1949" s="211"/>
      <c r="AL1949" s="211"/>
      <c r="AM1949" s="211"/>
      <c r="AN1949" s="211"/>
      <c r="AO1949" s="211"/>
      <c r="AP1949" s="215"/>
      <c r="AQ1949" s="218"/>
      <c r="AR1949" s="211"/>
    </row>
    <row r="1950">
      <c r="A1950" s="210" t="str">
        <f>IFERROR(__xludf.DUMMYFUNCTION("""COMPUTED_VALUE"""),"1250651")</f>
        <v>1250651</v>
      </c>
      <c r="B1950" s="210" t="str">
        <f>IFERROR(__xludf.DUMMYFUNCTION("""COMPUTED_VALUE"""),"1250651")</f>
        <v>1250651</v>
      </c>
      <c r="C1950" s="213">
        <f>IFERROR(__xludf.DUMMYFUNCTION("""COMPUTED_VALUE"""),45938.49931712963)</f>
        <v>45938.49932</v>
      </c>
      <c r="D1950" s="211" t="str">
        <f>IFERROR(__xludf.DUMMYFUNCTION("""COMPUTED_VALUE"""),"01158be1")</f>
        <v>01158be1</v>
      </c>
      <c r="E1950" s="211" t="str">
        <f>IFERROR(__xludf.DUMMYFUNCTION("""COMPUTED_VALUE"""),"GYF")</f>
        <v>GYF</v>
      </c>
      <c r="F1950" s="211" t="str">
        <f>IFERROR(__xludf.DUMMYFUNCTION("""COMPUTED_VALUE"""),"8bdbe149")</f>
        <v>8bdbe149</v>
      </c>
      <c r="G1950" s="211" t="str">
        <f>IFERROR(__xludf.DUMMYFUNCTION("""COMPUTED_VALUE"""),"Oksigen 6m3")</f>
        <v>Oksigen 6m3</v>
      </c>
      <c r="H1950" s="211" t="str">
        <f>IFERROR(__xludf.DUMMYFUNCTION("""COMPUTED_VALUE"""),"IN")</f>
        <v>IN</v>
      </c>
      <c r="I1950" s="211" t="str">
        <f>IFERROR(__xludf.DUMMYFUNCTION("""COMPUTED_VALUE"""),"EMPTY")</f>
        <v>EMPTY</v>
      </c>
      <c r="J1950" s="211">
        <f>IFERROR(__xludf.DUMMYFUNCTION("""COMPUTED_VALUE"""),22.0)</f>
        <v>22</v>
      </c>
      <c r="K1950" s="210" t="str">
        <f>IFERROR(__xludf.DUMMYFUNCTION("""COMPUTED_VALUE"""),"11109 1122 11199 11127 11176 11114 1112 11263 11115 11188 11282 11236 11267 1110 11277 11266 11235 11117 1107 11239 1164 1113")</f>
        <v>11109 1122 11199 11127 11176 11114 1112 11263 11115 11188 11282 11236 11267 1110 11277 11266 11235 11117 1107 11239 1164 1113</v>
      </c>
      <c r="L1950" s="211">
        <f>IFERROR(__xludf.DUMMYFUNCTION("""COMPUTED_VALUE"""),0.0)</f>
        <v>0</v>
      </c>
      <c r="M1950" s="211"/>
      <c r="N1950" s="211"/>
      <c r="O1950" s="211"/>
      <c r="Q1950" s="210" t="str">
        <f>IFERROR(__xludf.DUMMYFUNCTION("""COMPUTED_VALUE"""),"1250926.")</f>
        <v>1250926.</v>
      </c>
      <c r="R1950" s="210" t="str">
        <f>IFERROR(__xludf.DUMMYFUNCTION("""COMPUTED_VALUE"""),"1250926.")</f>
        <v>1250926.</v>
      </c>
      <c r="S1950" s="211" t="str">
        <f>IFERROR(__xludf.DUMMYFUNCTION("""COMPUTED_VALUE"""),"4ec68cf6")</f>
        <v>4ec68cf6</v>
      </c>
      <c r="T1950" s="211" t="str">
        <f>IFERROR(__xludf.DUMMYFUNCTION("""COMPUTED_VALUE"""),"CV Sido Mukti Karya")</f>
        <v>CV Sido Mukti Karya</v>
      </c>
      <c r="U1950" s="215">
        <f>IFERROR(__xludf.DUMMYFUNCTION("""COMPUTED_VALUE"""),46002.47813657407)</f>
        <v>46002.47814</v>
      </c>
      <c r="V1950" s="211" t="str">
        <f>IFERROR(__xludf.DUMMYFUNCTION("""COMPUTED_VALUE"""),"Pergudangan Center Point no A3, Kemangsen")</f>
        <v>Pergudangan Center Point no A3, Kemangsen</v>
      </c>
      <c r="W1950" s="211" t="str">
        <f>IFERROR(__xludf.DUMMYFUNCTION("""COMPUTED_VALUE"""),"IN")</f>
        <v>IN</v>
      </c>
      <c r="X1950" s="211"/>
      <c r="AL1950" s="211"/>
      <c r="AM1950" s="211"/>
      <c r="AN1950" s="211"/>
      <c r="AO1950" s="211"/>
      <c r="AP1950" s="215"/>
      <c r="AQ1950" s="218"/>
      <c r="AR1950" s="211"/>
    </row>
    <row r="1951">
      <c r="A1951" s="210" t="str">
        <f>IFERROR(__xludf.DUMMYFUNCTION("""COMPUTED_VALUE"""),"102531406")</f>
        <v>102531406</v>
      </c>
      <c r="B1951" s="210" t="str">
        <f>IFERROR(__xludf.DUMMYFUNCTION("""COMPUTED_VALUE"""),"102531406")</f>
        <v>102531406</v>
      </c>
      <c r="C1951" s="213">
        <f>IFERROR(__xludf.DUMMYFUNCTION("""COMPUTED_VALUE"""),45938.56119212963)</f>
        <v>45938.56119</v>
      </c>
      <c r="D1951" s="211" t="str">
        <f>IFERROR(__xludf.DUMMYFUNCTION("""COMPUTED_VALUE"""),"370c84d1")</f>
        <v>370c84d1</v>
      </c>
      <c r="E1951" s="211" t="str">
        <f>IFERROR(__xludf.DUMMYFUNCTION("""COMPUTED_VALUE"""),"PT. Citra Bintang Karya")</f>
        <v>PT. Citra Bintang Karya</v>
      </c>
      <c r="F1951" s="211" t="str">
        <f>IFERROR(__xludf.DUMMYFUNCTION("""COMPUTED_VALUE"""),"66af7c72")</f>
        <v>66af7c72</v>
      </c>
      <c r="G1951" s="211" t="str">
        <f>IFERROR(__xludf.DUMMYFUNCTION("""COMPUTED_VALUE"""),"Argon 6m3")</f>
        <v>Argon 6m3</v>
      </c>
      <c r="H1951" s="211" t="str">
        <f>IFERROR(__xludf.DUMMYFUNCTION("""COMPUTED_VALUE"""),"OUT")</f>
        <v>OUT</v>
      </c>
      <c r="I1951" s="211" t="str">
        <f>IFERROR(__xludf.DUMMYFUNCTION("""COMPUTED_VALUE"""),"NORMAL")</f>
        <v>NORMAL</v>
      </c>
      <c r="J1951" s="211">
        <f>IFERROR(__xludf.DUMMYFUNCTION("""COMPUTED_VALUE"""),1.0)</f>
        <v>1</v>
      </c>
      <c r="K1951" s="210" t="str">
        <f>IFERROR(__xludf.DUMMYFUNCTION("""COMPUTED_VALUE"""),"12049")</f>
        <v>12049</v>
      </c>
      <c r="L1951" s="211">
        <f>IFERROR(__xludf.DUMMYFUNCTION("""COMPUTED_VALUE"""),200000.0)</f>
        <v>200000</v>
      </c>
      <c r="M1951" s="211"/>
      <c r="N1951" s="211"/>
      <c r="O1951" s="211"/>
      <c r="Q1951" s="210" t="str">
        <f>IFERROR(__xludf.DUMMYFUNCTION("""COMPUTED_VALUE"""),"1250927")</f>
        <v>1250927</v>
      </c>
      <c r="R1951" s="210" t="str">
        <f>IFERROR(__xludf.DUMMYFUNCTION("""COMPUTED_VALUE"""),"1250927")</f>
        <v>1250927</v>
      </c>
      <c r="S1951" s="211" t="str">
        <f>IFERROR(__xludf.DUMMYFUNCTION("""COMPUTED_VALUE"""),"a0f0ad2d")</f>
        <v>a0f0ad2d</v>
      </c>
      <c r="T1951" s="211" t="str">
        <f>IFERROR(__xludf.DUMMYFUNCTION("""COMPUTED_VALUE"""),"CV. Yulie Jaya")</f>
        <v>CV. Yulie Jaya</v>
      </c>
      <c r="U1951" s="215">
        <f>IFERROR(__xludf.DUMMYFUNCTION("""COMPUTED_VALUE"""),46002.47896990741)</f>
        <v>46002.47897</v>
      </c>
      <c r="V1951" s="211" t="str">
        <f>IFERROR(__xludf.DUMMYFUNCTION("""COMPUTED_VALUE"""),"JJH4+6RV, Badas, Barengkrajan, Kec. Krian, Kabupaten Sidoarjo, Jawa Timur 61262")</f>
        <v>JJH4+6RV, Badas, Barengkrajan, Kec. Krian, Kabupaten Sidoarjo, Jawa Timur 61262</v>
      </c>
      <c r="W1951" s="211" t="str">
        <f>IFERROR(__xludf.DUMMYFUNCTION("""COMPUTED_VALUE"""),"IN")</f>
        <v>IN</v>
      </c>
      <c r="X1951" s="211"/>
      <c r="AL1951" s="211"/>
      <c r="AM1951" s="211"/>
      <c r="AN1951" s="211"/>
      <c r="AO1951" s="211"/>
      <c r="AP1951" s="215"/>
      <c r="AQ1951" s="218"/>
      <c r="AR1951" s="211"/>
    </row>
    <row r="1952">
      <c r="A1952" s="210" t="str">
        <f>IFERROR(__xludf.DUMMYFUNCTION("""COMPUTED_VALUE"""),"1025561409")</f>
        <v>1025561409</v>
      </c>
      <c r="B1952" s="210" t="str">
        <f>IFERROR(__xludf.DUMMYFUNCTION("""COMPUTED_VALUE"""),"1025561409")</f>
        <v>1025561409</v>
      </c>
      <c r="C1952" s="213">
        <f>IFERROR(__xludf.DUMMYFUNCTION("""COMPUTED_VALUE"""),45938.56868055555)</f>
        <v>45938.56868</v>
      </c>
      <c r="D1952" s="211" t="str">
        <f>IFERROR(__xludf.DUMMYFUNCTION("""COMPUTED_VALUE"""),"e86baf3b")</f>
        <v>e86baf3b</v>
      </c>
      <c r="E1952" s="211" t="str">
        <f>IFERROR(__xludf.DUMMYFUNCTION("""COMPUTED_VALUE"""),"PT GEMILANG CIPTA WAWASAN")</f>
        <v>PT GEMILANG CIPTA WAWASAN</v>
      </c>
      <c r="F1952" s="211" t="str">
        <f>IFERROR(__xludf.DUMMYFUNCTION("""COMPUTED_VALUE"""),"8bdbe149")</f>
        <v>8bdbe149</v>
      </c>
      <c r="G1952" s="211" t="str">
        <f>IFERROR(__xludf.DUMMYFUNCTION("""COMPUTED_VALUE"""),"Oksigen 6m3")</f>
        <v>Oksigen 6m3</v>
      </c>
      <c r="H1952" s="211" t="str">
        <f>IFERROR(__xludf.DUMMYFUNCTION("""COMPUTED_VALUE"""),"OUT")</f>
        <v>OUT</v>
      </c>
      <c r="I1952" s="211" t="str">
        <f>IFERROR(__xludf.DUMMYFUNCTION("""COMPUTED_VALUE"""),"NORMAL")</f>
        <v>NORMAL</v>
      </c>
      <c r="J1952" s="211">
        <f>IFERROR(__xludf.DUMMYFUNCTION("""COMPUTED_VALUE"""),9.0)</f>
        <v>9</v>
      </c>
      <c r="K1952" s="210" t="str">
        <f>IFERROR(__xludf.DUMMYFUNCTION("""COMPUTED_VALUE"""),"1111 11179 1106 11231 11262 1130 1185 11123 1116")</f>
        <v>1111 11179 1106 11231 11262 1130 1185 11123 1116</v>
      </c>
      <c r="L1952" s="211">
        <f>IFERROR(__xludf.DUMMYFUNCTION("""COMPUTED_VALUE"""),60000.0)</f>
        <v>60000</v>
      </c>
      <c r="M1952" s="211"/>
      <c r="N1952" s="211"/>
      <c r="O1952" s="211"/>
      <c r="Q1952" s="210" t="str">
        <f>IFERROR(__xludf.DUMMYFUNCTION("""COMPUTED_VALUE"""),"12050940")</f>
        <v>12050940</v>
      </c>
      <c r="R1952" s="210" t="str">
        <f>IFERROR(__xludf.DUMMYFUNCTION("""COMPUTED_VALUE"""),"12050940")</f>
        <v>12050940</v>
      </c>
      <c r="S1952" s="211" t="str">
        <f>IFERROR(__xludf.DUMMYFUNCTION("""COMPUTED_VALUE"""),"9e66ced9")</f>
        <v>9e66ced9</v>
      </c>
      <c r="T1952" s="211" t="str">
        <f>IFERROR(__xludf.DUMMYFUNCTION("""COMPUTED_VALUE"""),"Bapak Angga")</f>
        <v>Bapak Angga</v>
      </c>
      <c r="U1952" s="215">
        <f>IFERROR(__xludf.DUMMYFUNCTION("""COMPUTED_VALUE"""),46002.482303240744)</f>
        <v>46002.4823</v>
      </c>
      <c r="V1952" s="211" t="str">
        <f>IFERROR(__xludf.DUMMYFUNCTION("""COMPUTED_VALUE"""),"Jl. Bypass Krian No.2, Tundungan, Sidomojo, Kec. Krian, Kabupaten Sidoarjo, Jawa Timur 61262")</f>
        <v>Jl. Bypass Krian No.2, Tundungan, Sidomojo, Kec. Krian, Kabupaten Sidoarjo, Jawa Timur 61262</v>
      </c>
      <c r="W1952" s="211" t="str">
        <f>IFERROR(__xludf.DUMMYFUNCTION("""COMPUTED_VALUE"""),"IN")</f>
        <v>IN</v>
      </c>
      <c r="X1952" s="211"/>
      <c r="AL1952" s="211"/>
      <c r="AM1952" s="211"/>
      <c r="AN1952" s="211"/>
      <c r="AO1952" s="211"/>
      <c r="AP1952" s="215"/>
      <c r="AQ1952" s="218"/>
      <c r="AR1952" s="211"/>
    </row>
    <row r="1953">
      <c r="A1953" s="210" t="str">
        <f>IFERROR(__xludf.DUMMYFUNCTION("""COMPUTED_VALUE"""),"1025561409")</f>
        <v>1025561409</v>
      </c>
      <c r="B1953" s="210" t="str">
        <f>IFERROR(__xludf.DUMMYFUNCTION("""COMPUTED_VALUE"""),"1025561409")</f>
        <v>1025561409</v>
      </c>
      <c r="C1953" s="213">
        <f>IFERROR(__xludf.DUMMYFUNCTION("""COMPUTED_VALUE"""),45938.56868055555)</f>
        <v>45938.56868</v>
      </c>
      <c r="D1953" s="211" t="str">
        <f>IFERROR(__xludf.DUMMYFUNCTION("""COMPUTED_VALUE"""),"e86baf3b")</f>
        <v>e86baf3b</v>
      </c>
      <c r="E1953" s="211" t="str">
        <f>IFERROR(__xludf.DUMMYFUNCTION("""COMPUTED_VALUE"""),"PT GEMILANG CIPTA WAWASAN")</f>
        <v>PT GEMILANG CIPTA WAWASAN</v>
      </c>
      <c r="F1953" s="211" t="str">
        <f>IFERROR(__xludf.DUMMYFUNCTION("""COMPUTED_VALUE"""),"7d2764f1")</f>
        <v>7d2764f1</v>
      </c>
      <c r="G1953" s="211" t="str">
        <f>IFERROR(__xludf.DUMMYFUNCTION("""COMPUTED_VALUE"""),"Oksigen 7m3")</f>
        <v>Oksigen 7m3</v>
      </c>
      <c r="H1953" s="211" t="str">
        <f>IFERROR(__xludf.DUMMYFUNCTION("""COMPUTED_VALUE"""),"OUT")</f>
        <v>OUT</v>
      </c>
      <c r="I1953" s="211" t="str">
        <f>IFERROR(__xludf.DUMMYFUNCTION("""COMPUTED_VALUE"""),"NORMAL")</f>
        <v>NORMAL</v>
      </c>
      <c r="J1953" s="211">
        <f>IFERROR(__xludf.DUMMYFUNCTION("""COMPUTED_VALUE"""),1.0)</f>
        <v>1</v>
      </c>
      <c r="K1953" s="210" t="str">
        <f>IFERROR(__xludf.DUMMYFUNCTION("""COMPUTED_VALUE"""),"11141")</f>
        <v>11141</v>
      </c>
      <c r="L1953" s="211">
        <f>IFERROR(__xludf.DUMMYFUNCTION("""COMPUTED_VALUE"""),60000.0)</f>
        <v>60000</v>
      </c>
      <c r="M1953" s="211"/>
      <c r="N1953" s="211"/>
      <c r="O1953" s="211"/>
      <c r="Q1953" s="210" t="str">
        <f>IFERROR(__xludf.DUMMYFUNCTION("""COMPUTED_VALUE"""),"1250932")</f>
        <v>1250932</v>
      </c>
      <c r="R1953" s="210" t="str">
        <f>IFERROR(__xludf.DUMMYFUNCTION("""COMPUTED_VALUE"""),"1250932")</f>
        <v>1250932</v>
      </c>
      <c r="S1953" s="211" t="str">
        <f>IFERROR(__xludf.DUMMYFUNCTION("""COMPUTED_VALUE"""),"63fc688a")</f>
        <v>63fc688a</v>
      </c>
      <c r="T1953" s="211" t="str">
        <f>IFERROR(__xludf.DUMMYFUNCTION("""COMPUTED_VALUE"""),"CV Malik Nusantara")</f>
        <v>CV Malik Nusantara</v>
      </c>
      <c r="U1953" s="215">
        <f>IFERROR(__xludf.DUMMYFUNCTION("""COMPUTED_VALUE"""),46002.48363425926)</f>
        <v>46002.48363</v>
      </c>
      <c r="V1953" s="211" t="str">
        <f>IFERROR(__xludf.DUMMYFUNCTION("""COMPUTED_VALUE"""),"Jl. Raya Balongbendo No.12, Suwaluh Utara, Suwaluh, Kec. BalongBendo, Kabupaten Sidoarjo, Jawa Timur 61263")</f>
        <v>Jl. Raya Balongbendo No.12, Suwaluh Utara, Suwaluh, Kec. BalongBendo, Kabupaten Sidoarjo, Jawa Timur 61263</v>
      </c>
      <c r="W1953" s="211" t="str">
        <f>IFERROR(__xludf.DUMMYFUNCTION("""COMPUTED_VALUE"""),"IN")</f>
        <v>IN</v>
      </c>
      <c r="X1953" s="211"/>
      <c r="AL1953" s="211"/>
      <c r="AM1953" s="211"/>
      <c r="AN1953" s="211"/>
      <c r="AO1953" s="211"/>
      <c r="AP1953" s="215"/>
      <c r="AQ1953" s="218"/>
      <c r="AR1953" s="211"/>
    </row>
    <row r="1954">
      <c r="A1954" s="210" t="str">
        <f>IFERROR(__xludf.DUMMYFUNCTION("""COMPUTED_VALUE"""),"102531406")</f>
        <v>102531406</v>
      </c>
      <c r="B1954" s="210" t="str">
        <f>IFERROR(__xludf.DUMMYFUNCTION("""COMPUTED_VALUE"""),"102531406")</f>
        <v>102531406</v>
      </c>
      <c r="C1954" s="213">
        <f>IFERROR(__xludf.DUMMYFUNCTION("""COMPUTED_VALUE"""),45938.56119212963)</f>
        <v>45938.56119</v>
      </c>
      <c r="D1954" s="211" t="str">
        <f>IFERROR(__xludf.DUMMYFUNCTION("""COMPUTED_VALUE"""),"370c84d1")</f>
        <v>370c84d1</v>
      </c>
      <c r="E1954" s="211" t="str">
        <f>IFERROR(__xludf.DUMMYFUNCTION("""COMPUTED_VALUE"""),"PT. Citra Bintang Karya")</f>
        <v>PT. Citra Bintang Karya</v>
      </c>
      <c r="F1954" s="211" t="str">
        <f>IFERROR(__xludf.DUMMYFUNCTION("""COMPUTED_VALUE"""),"f218d855")</f>
        <v>f218d855</v>
      </c>
      <c r="G1954" s="211" t="str">
        <f>IFERROR(__xludf.DUMMYFUNCTION("""COMPUTED_VALUE"""),"YR-78 Arg Welding Regulator")</f>
        <v>YR-78 Arg Welding Regulator</v>
      </c>
      <c r="H1954" s="211" t="str">
        <f>IFERROR(__xludf.DUMMYFUNCTION("""COMPUTED_VALUE"""),"OUT")</f>
        <v>OUT</v>
      </c>
      <c r="I1954" s="211" t="str">
        <f>IFERROR(__xludf.DUMMYFUNCTION("""COMPUTED_VALUE"""),"NORMAL")</f>
        <v>NORMAL</v>
      </c>
      <c r="J1954" s="211">
        <f>IFERROR(__xludf.DUMMYFUNCTION("""COMPUTED_VALUE"""),1.0)</f>
        <v>1</v>
      </c>
      <c r="K1954" s="211"/>
      <c r="L1954" s="211">
        <f>IFERROR(__xludf.DUMMYFUNCTION("""COMPUTED_VALUE"""),350000.0)</f>
        <v>350000</v>
      </c>
      <c r="M1954" s="211"/>
      <c r="N1954" s="211"/>
      <c r="O1954" s="211"/>
      <c r="Q1954" s="210" t="str">
        <f>IFERROR(__xludf.DUMMYFUNCTION("""COMPUTED_VALUE"""),"122541948")</f>
        <v>122541948</v>
      </c>
      <c r="R1954" s="210" t="str">
        <f>IFERROR(__xludf.DUMMYFUNCTION("""COMPUTED_VALUE"""),"122541948")</f>
        <v>122541948</v>
      </c>
      <c r="S1954" s="211" t="str">
        <f>IFERROR(__xludf.DUMMYFUNCTION("""COMPUTED_VALUE"""),"3b04351a")</f>
        <v>3b04351a</v>
      </c>
      <c r="T1954" s="211" t="str">
        <f>IFERROR(__xludf.DUMMYFUNCTION("""COMPUTED_VALUE"""),"CV Usaha Logam Jaya ( Bpk Putra )")</f>
        <v>CV Usaha Logam Jaya ( Bpk Putra )</v>
      </c>
      <c r="U1954" s="215">
        <f>IFERROR(__xludf.DUMMYFUNCTION("""COMPUTED_VALUE"""),46002.67917824074)</f>
        <v>46002.67918</v>
      </c>
      <c r="V1954" s="211" t="str">
        <f>IFERROR(__xludf.DUMMYFUNCTION("""COMPUTED_VALUE"""),"Jl. Raya Wringinanom, Sidomoro, Pasinan Lemahputih, Kec. Wringinanom, Kabupaten Gresik, Jawa Timur 61176")</f>
        <v>Jl. Raya Wringinanom, Sidomoro, Pasinan Lemahputih, Kec. Wringinanom, Kabupaten Gresik, Jawa Timur 61176</v>
      </c>
      <c r="W1954" s="211" t="str">
        <f>IFERROR(__xludf.DUMMYFUNCTION("""COMPUTED_VALUE"""),"OUT")</f>
        <v>OUT</v>
      </c>
      <c r="X1954" s="211"/>
      <c r="AL1954" s="211"/>
      <c r="AM1954" s="211"/>
      <c r="AN1954" s="211"/>
      <c r="AO1954" s="211"/>
      <c r="AP1954" s="215"/>
      <c r="AQ1954" s="218"/>
      <c r="AR1954" s="211"/>
    </row>
    <row r="1955">
      <c r="A1955" s="210" t="str">
        <f>IFERROR(__xludf.DUMMYFUNCTION("""COMPUTED_VALUE"""),"1025221410")</f>
        <v>1025221410</v>
      </c>
      <c r="B1955" s="210" t="str">
        <f>IFERROR(__xludf.DUMMYFUNCTION("""COMPUTED_VALUE"""),"1025221410")</f>
        <v>1025221410</v>
      </c>
      <c r="C1955" s="213">
        <f>IFERROR(__xludf.DUMMYFUNCTION("""COMPUTED_VALUE"""),45938.57545138889)</f>
        <v>45938.57545</v>
      </c>
      <c r="D1955" s="211" t="str">
        <f>IFERROR(__xludf.DUMMYFUNCTION("""COMPUTED_VALUE"""),"8f5ebaea")</f>
        <v>8f5ebaea</v>
      </c>
      <c r="E1955" s="211" t="str">
        <f>IFERROR(__xludf.DUMMYFUNCTION("""COMPUTED_VALUE"""),"PT Hua Zong Mesindo")</f>
        <v>PT Hua Zong Mesindo</v>
      </c>
      <c r="F1955" s="211" t="str">
        <f>IFERROR(__xludf.DUMMYFUNCTION("""COMPUTED_VALUE"""),"ef306e54")</f>
        <v>ef306e54</v>
      </c>
      <c r="G1955" s="211" t="str">
        <f>IFERROR(__xludf.DUMMYFUNCTION("""COMPUTED_VALUE"""),"Karbondioksida")</f>
        <v>Karbondioksida</v>
      </c>
      <c r="H1955" s="211" t="str">
        <f>IFERROR(__xludf.DUMMYFUNCTION("""COMPUTED_VALUE"""),"OUT")</f>
        <v>OUT</v>
      </c>
      <c r="I1955" s="211" t="str">
        <f>IFERROR(__xludf.DUMMYFUNCTION("""COMPUTED_VALUE"""),"NORMAL")</f>
        <v>NORMAL</v>
      </c>
      <c r="J1955" s="211">
        <f>IFERROR(__xludf.DUMMYFUNCTION("""COMPUTED_VALUE"""),3.0)</f>
        <v>3</v>
      </c>
      <c r="K1955" s="210" t="str">
        <f>IFERROR(__xludf.DUMMYFUNCTION("""COMPUTED_VALUE"""),"13016 13024 13025")</f>
        <v>13016 13024 13025</v>
      </c>
      <c r="L1955" s="211">
        <f>IFERROR(__xludf.DUMMYFUNCTION("""COMPUTED_VALUE"""),160000.0)</f>
        <v>160000</v>
      </c>
      <c r="M1955" s="211"/>
      <c r="N1955" s="211"/>
      <c r="O1955" s="211"/>
      <c r="Q1955" s="210" t="str">
        <f>IFERROR(__xludf.DUMMYFUNCTION("""COMPUTED_VALUE"""),"1225311955")</f>
        <v>1225311955</v>
      </c>
      <c r="R1955" s="210" t="str">
        <f>IFERROR(__xludf.DUMMYFUNCTION("""COMPUTED_VALUE"""),"1225311955")</f>
        <v>1225311955</v>
      </c>
      <c r="S1955" s="211" t="str">
        <f>IFERROR(__xludf.DUMMYFUNCTION("""COMPUTED_VALUE"""),"ec231cc9")</f>
        <v>ec231cc9</v>
      </c>
      <c r="T1955" s="211" t="str">
        <f>IFERROR(__xludf.DUMMYFUNCTION("""COMPUTED_VALUE"""),"Bpk. Kohir (Maintenance Velg)")</f>
        <v>Bpk. Kohir (Maintenance Velg)</v>
      </c>
      <c r="U1955" s="215">
        <f>IFERROR(__xludf.DUMMYFUNCTION("""COMPUTED_VALUE"""),46002.689409722225)</f>
        <v>46002.68941</v>
      </c>
      <c r="V1955" s="211" t="str">
        <f>IFERROR(__xludf.DUMMYFUNCTION("""COMPUTED_VALUE"""),"Jl. Lkr. Bypass Krian Timur, Sidogolong, Watugolong, Kec. Krian, Kabupaten Sidoarjo, Jawa Timur 61262")</f>
        <v>Jl. Lkr. Bypass Krian Timur, Sidogolong, Watugolong, Kec. Krian, Kabupaten Sidoarjo, Jawa Timur 61262</v>
      </c>
      <c r="W1955" s="211" t="str">
        <f>IFERROR(__xludf.DUMMYFUNCTION("""COMPUTED_VALUE"""),"OUT")</f>
        <v>OUT</v>
      </c>
      <c r="X1955" s="211"/>
      <c r="AL1955" s="211"/>
      <c r="AM1955" s="211"/>
      <c r="AN1955" s="211"/>
      <c r="AO1955" s="211"/>
      <c r="AP1955" s="215"/>
      <c r="AQ1955" s="218"/>
      <c r="AR1955" s="211"/>
    </row>
    <row r="1956">
      <c r="A1956" s="210" t="str">
        <f>IFERROR(__xludf.DUMMYFUNCTION("""COMPUTED_VALUE"""),"1025221410")</f>
        <v>1025221410</v>
      </c>
      <c r="B1956" s="210" t="str">
        <f>IFERROR(__xludf.DUMMYFUNCTION("""COMPUTED_VALUE"""),"1025221410")</f>
        <v>1025221410</v>
      </c>
      <c r="C1956" s="213">
        <f>IFERROR(__xludf.DUMMYFUNCTION("""COMPUTED_VALUE"""),45938.57545138889)</f>
        <v>45938.57545</v>
      </c>
      <c r="D1956" s="211" t="str">
        <f>IFERROR(__xludf.DUMMYFUNCTION("""COMPUTED_VALUE"""),"8f5ebaea")</f>
        <v>8f5ebaea</v>
      </c>
      <c r="E1956" s="211" t="str">
        <f>IFERROR(__xludf.DUMMYFUNCTION("""COMPUTED_VALUE"""),"PT Hua Zong Mesindo")</f>
        <v>PT Hua Zong Mesindo</v>
      </c>
      <c r="F1956" s="211" t="str">
        <f>IFERROR(__xludf.DUMMYFUNCTION("""COMPUTED_VALUE"""),"7d2764f1")</f>
        <v>7d2764f1</v>
      </c>
      <c r="G1956" s="211" t="str">
        <f>IFERROR(__xludf.DUMMYFUNCTION("""COMPUTED_VALUE"""),"Oksigen 7m3")</f>
        <v>Oksigen 7m3</v>
      </c>
      <c r="H1956" s="211" t="str">
        <f>IFERROR(__xludf.DUMMYFUNCTION("""COMPUTED_VALUE"""),"OUT")</f>
        <v>OUT</v>
      </c>
      <c r="I1956" s="211" t="str">
        <f>IFERROR(__xludf.DUMMYFUNCTION("""COMPUTED_VALUE"""),"NORMAL")</f>
        <v>NORMAL</v>
      </c>
      <c r="J1956" s="211">
        <f>IFERROR(__xludf.DUMMYFUNCTION("""COMPUTED_VALUE"""),2.0)</f>
        <v>2</v>
      </c>
      <c r="K1956" s="210" t="str">
        <f>IFERROR(__xludf.DUMMYFUNCTION("""COMPUTED_VALUE"""),"11221 11215")</f>
        <v>11221 11215</v>
      </c>
      <c r="L1956" s="211">
        <f>IFERROR(__xludf.DUMMYFUNCTION("""COMPUTED_VALUE"""),65000.0)</f>
        <v>65000</v>
      </c>
      <c r="M1956" s="211"/>
      <c r="N1956" s="211"/>
      <c r="O1956" s="211"/>
      <c r="Q1956" s="210" t="str">
        <f>IFERROR(__xludf.DUMMYFUNCTION("""COMPUTED_VALUE"""),"1250941")</f>
        <v>1250941</v>
      </c>
      <c r="R1956" s="210" t="str">
        <f>IFERROR(__xludf.DUMMYFUNCTION("""COMPUTED_VALUE"""),"1250941")</f>
        <v>1250941</v>
      </c>
      <c r="S1956" s="211" t="str">
        <f>IFERROR(__xludf.DUMMYFUNCTION("""COMPUTED_VALUE"""),"ec231cc9")</f>
        <v>ec231cc9</v>
      </c>
      <c r="T1956" s="211" t="str">
        <f>IFERROR(__xludf.DUMMYFUNCTION("""COMPUTED_VALUE"""),"Bpk. Kohir (Maintenance Velg)")</f>
        <v>Bpk. Kohir (Maintenance Velg)</v>
      </c>
      <c r="U1956" s="215">
        <f>IFERROR(__xludf.DUMMYFUNCTION("""COMPUTED_VALUE"""),46003.3496875)</f>
        <v>46003.34969</v>
      </c>
      <c r="V1956" s="211" t="str">
        <f>IFERROR(__xludf.DUMMYFUNCTION("""COMPUTED_VALUE"""),"Jl. Lkr. Bypass Krian Timur, Sidogolong, Watugolong, Kec. Krian, Kabupaten Sidoarjo, Jawa Timur 61262")</f>
        <v>Jl. Lkr. Bypass Krian Timur, Sidogolong, Watugolong, Kec. Krian, Kabupaten Sidoarjo, Jawa Timur 61262</v>
      </c>
      <c r="W1956" s="211" t="str">
        <f>IFERROR(__xludf.DUMMYFUNCTION("""COMPUTED_VALUE"""),"IN")</f>
        <v>IN</v>
      </c>
      <c r="X1956" s="211"/>
      <c r="AL1956" s="211"/>
      <c r="AM1956" s="211"/>
      <c r="AN1956" s="211"/>
      <c r="AO1956" s="211"/>
      <c r="AP1956" s="215"/>
      <c r="AQ1956" s="218"/>
      <c r="AR1956" s="211"/>
    </row>
    <row r="1957">
      <c r="A1957" s="210" t="str">
        <f>IFERROR(__xludf.DUMMYFUNCTION("""COMPUTED_VALUE"""),"1025221410")</f>
        <v>1025221410</v>
      </c>
      <c r="B1957" s="210" t="str">
        <f>IFERROR(__xludf.DUMMYFUNCTION("""COMPUTED_VALUE"""),"1025221410")</f>
        <v>1025221410</v>
      </c>
      <c r="C1957" s="213">
        <f>IFERROR(__xludf.DUMMYFUNCTION("""COMPUTED_VALUE"""),45938.57545138889)</f>
        <v>45938.57545</v>
      </c>
      <c r="D1957" s="211" t="str">
        <f>IFERROR(__xludf.DUMMYFUNCTION("""COMPUTED_VALUE"""),"8f5ebaea")</f>
        <v>8f5ebaea</v>
      </c>
      <c r="E1957" s="211" t="str">
        <f>IFERROR(__xludf.DUMMYFUNCTION("""COMPUTED_VALUE"""),"PT Hua Zong Mesindo")</f>
        <v>PT Hua Zong Mesindo</v>
      </c>
      <c r="F1957" s="211" t="str">
        <f>IFERROR(__xludf.DUMMYFUNCTION("""COMPUTED_VALUE"""),"66af7c72")</f>
        <v>66af7c72</v>
      </c>
      <c r="G1957" s="211" t="str">
        <f>IFERROR(__xludf.DUMMYFUNCTION("""COMPUTED_VALUE"""),"Argon 6m3")</f>
        <v>Argon 6m3</v>
      </c>
      <c r="H1957" s="211" t="str">
        <f>IFERROR(__xludf.DUMMYFUNCTION("""COMPUTED_VALUE"""),"OUT")</f>
        <v>OUT</v>
      </c>
      <c r="I1957" s="211" t="str">
        <f>IFERROR(__xludf.DUMMYFUNCTION("""COMPUTED_VALUE"""),"NORMAL")</f>
        <v>NORMAL</v>
      </c>
      <c r="J1957" s="211">
        <f>IFERROR(__xludf.DUMMYFUNCTION("""COMPUTED_VALUE"""),2.0)</f>
        <v>2</v>
      </c>
      <c r="K1957" s="210" t="str">
        <f>IFERROR(__xludf.DUMMYFUNCTION("""COMPUTED_VALUE"""),"12005 12035")</f>
        <v>12005 12035</v>
      </c>
      <c r="L1957" s="211">
        <f>IFERROR(__xludf.DUMMYFUNCTION("""COMPUTED_VALUE"""),190000.0)</f>
        <v>190000</v>
      </c>
      <c r="M1957" s="211"/>
      <c r="N1957" s="211"/>
      <c r="O1957" s="211"/>
      <c r="Q1957" s="210" t="str">
        <f>IFERROR(__xludf.DUMMYFUNCTION("""COMPUTED_VALUE"""),"1250933")</f>
        <v>1250933</v>
      </c>
      <c r="R1957" s="210" t="str">
        <f>IFERROR(__xludf.DUMMYFUNCTION("""COMPUTED_VALUE"""),"1250933")</f>
        <v>1250933</v>
      </c>
      <c r="S1957" s="211" t="str">
        <f>IFERROR(__xludf.DUMMYFUNCTION("""COMPUTED_VALUE"""),"b218b89b")</f>
        <v>b218b89b</v>
      </c>
      <c r="T1957" s="211" t="str">
        <f>IFERROR(__xludf.DUMMYFUNCTION("""COMPUTED_VALUE"""),"PT Harapan Sentosa")</f>
        <v>PT Harapan Sentosa</v>
      </c>
      <c r="U1957" s="215">
        <f>IFERROR(__xludf.DUMMYFUNCTION("""COMPUTED_VALUE"""),46003.35018518518)</f>
        <v>46003.35019</v>
      </c>
      <c r="V1957" s="211" t="str">
        <f>IFERROR(__xludf.DUMMYFUNCTION("""COMPUTED_VALUE"""),"Seketi, Jl. Purboyo II Selatan, RT.02/RW.02, Seketi, Kec. BalongBendo, Kabupaten Sidoarjo, Jawa Timur 61263")</f>
        <v>Seketi, Jl. Purboyo II Selatan, RT.02/RW.02, Seketi, Kec. BalongBendo, Kabupaten Sidoarjo, Jawa Timur 61263</v>
      </c>
      <c r="W1957" s="211" t="str">
        <f>IFERROR(__xludf.DUMMYFUNCTION("""COMPUTED_VALUE"""),"IN")</f>
        <v>IN</v>
      </c>
      <c r="X1957" s="211"/>
      <c r="AL1957" s="211"/>
      <c r="AM1957" s="211"/>
      <c r="AN1957" s="211"/>
      <c r="AO1957" s="211"/>
      <c r="AP1957" s="215"/>
      <c r="AQ1957" s="218"/>
      <c r="AR1957" s="211"/>
    </row>
    <row r="1958">
      <c r="A1958" s="210" t="str">
        <f>IFERROR(__xludf.DUMMYFUNCTION("""COMPUTED_VALUE"""),"1250625")</f>
        <v>1250625</v>
      </c>
      <c r="B1958" s="210" t="str">
        <f>IFERROR(__xludf.DUMMYFUNCTION("""COMPUTED_VALUE"""),"1250625")</f>
        <v>1250625</v>
      </c>
      <c r="C1958" s="213">
        <f>IFERROR(__xludf.DUMMYFUNCTION("""COMPUTED_VALUE"""),45938.62908564815)</f>
        <v>45938.62909</v>
      </c>
      <c r="D1958" s="211" t="str">
        <f>IFERROR(__xludf.DUMMYFUNCTION("""COMPUTED_VALUE"""),"8f5ebaea")</f>
        <v>8f5ebaea</v>
      </c>
      <c r="E1958" s="211" t="str">
        <f>IFERROR(__xludf.DUMMYFUNCTION("""COMPUTED_VALUE"""),"PT Hua Zong Mesindo")</f>
        <v>PT Hua Zong Mesindo</v>
      </c>
      <c r="F1958" s="211" t="str">
        <f>IFERROR(__xludf.DUMMYFUNCTION("""COMPUTED_VALUE"""),"8bdbe149")</f>
        <v>8bdbe149</v>
      </c>
      <c r="G1958" s="211" t="str">
        <f>IFERROR(__xludf.DUMMYFUNCTION("""COMPUTED_VALUE"""),"Oksigen 6m3")</f>
        <v>Oksigen 6m3</v>
      </c>
      <c r="H1958" s="211" t="str">
        <f>IFERROR(__xludf.DUMMYFUNCTION("""COMPUTED_VALUE"""),"IN")</f>
        <v>IN</v>
      </c>
      <c r="I1958" s="211" t="str">
        <f>IFERROR(__xludf.DUMMYFUNCTION("""COMPUTED_VALUE"""),"EMPTY")</f>
        <v>EMPTY</v>
      </c>
      <c r="J1958" s="211">
        <f>IFERROR(__xludf.DUMMYFUNCTION("""COMPUTED_VALUE"""),1.0)</f>
        <v>1</v>
      </c>
      <c r="K1958" s="210" t="str">
        <f>IFERROR(__xludf.DUMMYFUNCTION("""COMPUTED_VALUE"""),"11272")</f>
        <v>11272</v>
      </c>
      <c r="L1958" s="211">
        <f>IFERROR(__xludf.DUMMYFUNCTION("""COMPUTED_VALUE"""),0.0)</f>
        <v>0</v>
      </c>
      <c r="M1958" s="211"/>
      <c r="N1958" s="211"/>
      <c r="O1958" s="211"/>
      <c r="Q1958" s="210" t="str">
        <f>IFERROR(__xludf.DUMMYFUNCTION("""COMPUTED_VALUE"""),"1225731956")</f>
        <v>1225731956</v>
      </c>
      <c r="R1958" s="210" t="str">
        <f>IFERROR(__xludf.DUMMYFUNCTION("""COMPUTED_VALUE"""),"1225731956")</f>
        <v>1225731956</v>
      </c>
      <c r="S1958" s="211" t="str">
        <f>IFERROR(__xludf.DUMMYFUNCTION("""COMPUTED_VALUE"""),"e86baf3b")</f>
        <v>e86baf3b</v>
      </c>
      <c r="T1958" s="211" t="str">
        <f>IFERROR(__xludf.DUMMYFUNCTION("""COMPUTED_VALUE"""),"PT GEMILANG CIPTA WAWASAN")</f>
        <v>PT GEMILANG CIPTA WAWASAN</v>
      </c>
      <c r="U1958" s="215">
        <f>IFERROR(__xludf.DUMMYFUNCTION("""COMPUTED_VALUE"""),46003.36601851852)</f>
        <v>46003.36602</v>
      </c>
      <c r="V1958" s="211" t="str">
        <f>IFERROR(__xludf.DUMMYFUNCTION("""COMPUTED_VALUE"""),"JL TEBET RAYA, 2A, TEBET BARAT, TEBET, KOTA ADM, JAKARTA SELATAN, DKI JAKARTA")</f>
        <v>JL TEBET RAYA, 2A, TEBET BARAT, TEBET, KOTA ADM, JAKARTA SELATAN, DKI JAKARTA</v>
      </c>
      <c r="W1958" s="211" t="str">
        <f>IFERROR(__xludf.DUMMYFUNCTION("""COMPUTED_VALUE"""),"OUT")</f>
        <v>OUT</v>
      </c>
      <c r="X1958" s="211"/>
      <c r="AL1958" s="211"/>
      <c r="AM1958" s="211"/>
      <c r="AN1958" s="211"/>
      <c r="AO1958" s="211"/>
      <c r="AP1958" s="215"/>
      <c r="AQ1958" s="218"/>
      <c r="AR1958" s="211"/>
    </row>
    <row r="1959">
      <c r="A1959" s="210" t="str">
        <f>IFERROR(__xludf.DUMMYFUNCTION("""COMPUTED_VALUE"""),"1250625")</f>
        <v>1250625</v>
      </c>
      <c r="B1959" s="210" t="str">
        <f>IFERROR(__xludf.DUMMYFUNCTION("""COMPUTED_VALUE"""),"1250625")</f>
        <v>1250625</v>
      </c>
      <c r="C1959" s="213">
        <f>IFERROR(__xludf.DUMMYFUNCTION("""COMPUTED_VALUE"""),45938.62908564815)</f>
        <v>45938.62909</v>
      </c>
      <c r="D1959" s="211" t="str">
        <f>IFERROR(__xludf.DUMMYFUNCTION("""COMPUTED_VALUE"""),"8f5ebaea")</f>
        <v>8f5ebaea</v>
      </c>
      <c r="E1959" s="211" t="str">
        <f>IFERROR(__xludf.DUMMYFUNCTION("""COMPUTED_VALUE"""),"PT Hua Zong Mesindo")</f>
        <v>PT Hua Zong Mesindo</v>
      </c>
      <c r="F1959" s="211" t="str">
        <f>IFERROR(__xludf.DUMMYFUNCTION("""COMPUTED_VALUE"""),"66af7c72")</f>
        <v>66af7c72</v>
      </c>
      <c r="G1959" s="211" t="str">
        <f>IFERROR(__xludf.DUMMYFUNCTION("""COMPUTED_VALUE"""),"Argon 6m3")</f>
        <v>Argon 6m3</v>
      </c>
      <c r="H1959" s="211" t="str">
        <f>IFERROR(__xludf.DUMMYFUNCTION("""COMPUTED_VALUE"""),"IN")</f>
        <v>IN</v>
      </c>
      <c r="I1959" s="211" t="str">
        <f>IFERROR(__xludf.DUMMYFUNCTION("""COMPUTED_VALUE"""),"EMPTY")</f>
        <v>EMPTY</v>
      </c>
      <c r="J1959" s="211">
        <f>IFERROR(__xludf.DUMMYFUNCTION("""COMPUTED_VALUE"""),2.0)</f>
        <v>2</v>
      </c>
      <c r="K1959" s="210" t="str">
        <f>IFERROR(__xludf.DUMMYFUNCTION("""COMPUTED_VALUE"""),"12072 12055")</f>
        <v>12072 12055</v>
      </c>
      <c r="L1959" s="211">
        <f>IFERROR(__xludf.DUMMYFUNCTION("""COMPUTED_VALUE"""),0.0)</f>
        <v>0</v>
      </c>
      <c r="M1959" s="211"/>
      <c r="N1959" s="211"/>
      <c r="O1959" s="211"/>
      <c r="Q1959" s="210" t="str">
        <f>IFERROR(__xludf.DUMMYFUNCTION("""COMPUTED_VALUE"""),"1225251959")</f>
        <v>1225251959</v>
      </c>
      <c r="R1959" s="210" t="str">
        <f>IFERROR(__xludf.DUMMYFUNCTION("""COMPUTED_VALUE"""),"1225251959")</f>
        <v>1225251959</v>
      </c>
      <c r="S1959" s="211" t="str">
        <f>IFERROR(__xludf.DUMMYFUNCTION("""COMPUTED_VALUE"""),"3bcd7fe6")</f>
        <v>3bcd7fe6</v>
      </c>
      <c r="T1959" s="211" t="str">
        <f>IFERROR(__xludf.DUMMYFUNCTION("""COMPUTED_VALUE"""),"Bpk. Alvin (LB Group)")</f>
        <v>Bpk. Alvin (LB Group)</v>
      </c>
      <c r="U1959" s="215">
        <f>IFERROR(__xludf.DUMMYFUNCTION("""COMPUTED_VALUE"""),46003.36959490741)</f>
        <v>46003.36959</v>
      </c>
      <c r="V1959" s="211" t="str">
        <f>IFERROR(__xludf.DUMMYFUNCTION("""COMPUTED_VALUE"""),"MFF9+XHC, Jalan, Tambakrejo, Temuireng, Kec. Dawar Blandong, Kabupaten Mojokerto, Jawa Timur 61354")</f>
        <v>MFF9+XHC, Jalan, Tambakrejo, Temuireng, Kec. Dawar Blandong, Kabupaten Mojokerto, Jawa Timur 61354</v>
      </c>
      <c r="W1959" s="211" t="str">
        <f>IFERROR(__xludf.DUMMYFUNCTION("""COMPUTED_VALUE"""),"OUT")</f>
        <v>OUT</v>
      </c>
      <c r="X1959" s="211"/>
      <c r="AL1959" s="211"/>
      <c r="AM1959" s="211"/>
      <c r="AN1959" s="211"/>
      <c r="AO1959" s="211"/>
      <c r="AP1959" s="215"/>
      <c r="AQ1959" s="218"/>
      <c r="AR1959" s="211"/>
    </row>
    <row r="1960">
      <c r="A1960" s="210" t="str">
        <f>IFERROR(__xludf.DUMMYFUNCTION("""COMPUTED_VALUE"""),"1250625")</f>
        <v>1250625</v>
      </c>
      <c r="B1960" s="210" t="str">
        <f>IFERROR(__xludf.DUMMYFUNCTION("""COMPUTED_VALUE"""),"1250625")</f>
        <v>1250625</v>
      </c>
      <c r="C1960" s="213">
        <f>IFERROR(__xludf.DUMMYFUNCTION("""COMPUTED_VALUE"""),45938.62908564815)</f>
        <v>45938.62909</v>
      </c>
      <c r="D1960" s="211" t="str">
        <f>IFERROR(__xludf.DUMMYFUNCTION("""COMPUTED_VALUE"""),"8f5ebaea")</f>
        <v>8f5ebaea</v>
      </c>
      <c r="E1960" s="211" t="str">
        <f>IFERROR(__xludf.DUMMYFUNCTION("""COMPUTED_VALUE"""),"PT Hua Zong Mesindo")</f>
        <v>PT Hua Zong Mesindo</v>
      </c>
      <c r="F1960" s="211" t="str">
        <f>IFERROR(__xludf.DUMMYFUNCTION("""COMPUTED_VALUE"""),"ef306e54")</f>
        <v>ef306e54</v>
      </c>
      <c r="G1960" s="211" t="str">
        <f>IFERROR(__xludf.DUMMYFUNCTION("""COMPUTED_VALUE"""),"Karbondioksida")</f>
        <v>Karbondioksida</v>
      </c>
      <c r="H1960" s="211" t="str">
        <f>IFERROR(__xludf.DUMMYFUNCTION("""COMPUTED_VALUE"""),"IN")</f>
        <v>IN</v>
      </c>
      <c r="I1960" s="211" t="str">
        <f>IFERROR(__xludf.DUMMYFUNCTION("""COMPUTED_VALUE"""),"EMPTY")</f>
        <v>EMPTY</v>
      </c>
      <c r="J1960" s="211">
        <f>IFERROR(__xludf.DUMMYFUNCTION("""COMPUTED_VALUE"""),2.0)</f>
        <v>2</v>
      </c>
      <c r="K1960" s="210" t="str">
        <f>IFERROR(__xludf.DUMMYFUNCTION("""COMPUTED_VALUE"""),"13018 13022")</f>
        <v>13018 13022</v>
      </c>
      <c r="L1960" s="211">
        <f>IFERROR(__xludf.DUMMYFUNCTION("""COMPUTED_VALUE"""),0.0)</f>
        <v>0</v>
      </c>
      <c r="M1960" s="211"/>
      <c r="N1960" s="211"/>
      <c r="O1960" s="211"/>
      <c r="Q1960" s="210" t="str">
        <f>IFERROR(__xludf.DUMMYFUNCTION("""COMPUTED_VALUE"""),"1250942")</f>
        <v>1250942</v>
      </c>
      <c r="R1960" s="210" t="str">
        <f>IFERROR(__xludf.DUMMYFUNCTION("""COMPUTED_VALUE"""),"1250942")</f>
        <v>1250942</v>
      </c>
      <c r="S1960" s="211" t="str">
        <f>IFERROR(__xludf.DUMMYFUNCTION("""COMPUTED_VALUE"""),"eec2e801")</f>
        <v>eec2e801</v>
      </c>
      <c r="T1960" s="211" t="str">
        <f>IFERROR(__xludf.DUMMYFUNCTION("""COMPUTED_VALUE"""),"Mitra Wood Sejahtera")</f>
        <v>Mitra Wood Sejahtera</v>
      </c>
      <c r="U1960" s="215">
        <f>IFERROR(__xludf.DUMMYFUNCTION("""COMPUTED_VALUE"""),46003.5030787037)</f>
        <v>46003.50308</v>
      </c>
      <c r="V1960" s="211" t="str">
        <f>IFERROR(__xludf.DUMMYFUNCTION("""COMPUTED_VALUE"""),"Jl.cungkling, Jl. Tanggungan, Nanom Kidul, Lebaniwaras, Kec. Wringinanom, Kabupaten Gresik, Jawa Timur 61176")</f>
        <v>Jl.cungkling, Jl. Tanggungan, Nanom Kidul, Lebaniwaras, Kec. Wringinanom, Kabupaten Gresik, Jawa Timur 61176</v>
      </c>
      <c r="W1960" s="211" t="str">
        <f>IFERROR(__xludf.DUMMYFUNCTION("""COMPUTED_VALUE"""),"IN")</f>
        <v>IN</v>
      </c>
      <c r="X1960" s="211"/>
      <c r="AL1960" s="211"/>
      <c r="AM1960" s="211"/>
      <c r="AN1960" s="211"/>
      <c r="AO1960" s="211"/>
      <c r="AP1960" s="215"/>
      <c r="AQ1960" s="218"/>
      <c r="AR1960" s="211"/>
    </row>
    <row r="1961">
      <c r="A1961" s="210" t="str">
        <f>IFERROR(__xludf.DUMMYFUNCTION("""COMPUTED_VALUE"""),"1250652")</f>
        <v>1250652</v>
      </c>
      <c r="B1961" s="210" t="str">
        <f>IFERROR(__xludf.DUMMYFUNCTION("""COMPUTED_VALUE"""),"1250652")</f>
        <v>1250652</v>
      </c>
      <c r="C1961" s="213">
        <f>IFERROR(__xludf.DUMMYFUNCTION("""COMPUTED_VALUE"""),45938.666666666664)</f>
        <v>45938.66667</v>
      </c>
      <c r="D1961" s="211" t="str">
        <f>IFERROR(__xludf.DUMMYFUNCTION("""COMPUTED_VALUE"""),"e86baf3b")</f>
        <v>e86baf3b</v>
      </c>
      <c r="E1961" s="211" t="str">
        <f>IFERROR(__xludf.DUMMYFUNCTION("""COMPUTED_VALUE"""),"PT GEMILANG CIPTA WAWASAN")</f>
        <v>PT GEMILANG CIPTA WAWASAN</v>
      </c>
      <c r="F1961" s="211" t="str">
        <f>IFERROR(__xludf.DUMMYFUNCTION("""COMPUTED_VALUE"""),"8bdbe149")</f>
        <v>8bdbe149</v>
      </c>
      <c r="G1961" s="211" t="str">
        <f>IFERROR(__xludf.DUMMYFUNCTION("""COMPUTED_VALUE"""),"Oksigen 6m3")</f>
        <v>Oksigen 6m3</v>
      </c>
      <c r="H1961" s="211" t="str">
        <f>IFERROR(__xludf.DUMMYFUNCTION("""COMPUTED_VALUE"""),"IN")</f>
        <v>IN</v>
      </c>
      <c r="I1961" s="211" t="str">
        <f>IFERROR(__xludf.DUMMYFUNCTION("""COMPUTED_VALUE"""),"EMPTY")</f>
        <v>EMPTY</v>
      </c>
      <c r="J1961" s="211">
        <f>IFERROR(__xludf.DUMMYFUNCTION("""COMPUTED_VALUE"""),3.0)</f>
        <v>3</v>
      </c>
      <c r="K1961" s="210" t="str">
        <f>IFERROR(__xludf.DUMMYFUNCTION("""COMPUTED_VALUE"""),"1189 11242 11196")</f>
        <v>1189 11242 11196</v>
      </c>
      <c r="L1961" s="211">
        <f>IFERROR(__xludf.DUMMYFUNCTION("""COMPUTED_VALUE"""),0.0)</f>
        <v>0</v>
      </c>
      <c r="M1961" s="211"/>
      <c r="N1961" s="211"/>
      <c r="O1961" s="211"/>
      <c r="Q1961" s="210" t="str">
        <f>IFERROR(__xludf.DUMMYFUNCTION("""COMPUTED_VALUE"""),"1225521960")</f>
        <v>1225521960</v>
      </c>
      <c r="R1961" s="210" t="str">
        <f>IFERROR(__xludf.DUMMYFUNCTION("""COMPUTED_VALUE"""),"1225521960")</f>
        <v>1225521960</v>
      </c>
      <c r="S1961" s="211" t="str">
        <f>IFERROR(__xludf.DUMMYFUNCTION("""COMPUTED_VALUE"""),"b2b5f2c5")</f>
        <v>b2b5f2c5</v>
      </c>
      <c r="T1961" s="211" t="str">
        <f>IFERROR(__xludf.DUMMYFUNCTION("""COMPUTED_VALUE"""),"Bengkel Las Bpk. Ari")</f>
        <v>Bengkel Las Bpk. Ari</v>
      </c>
      <c r="U1961" s="215">
        <f>IFERROR(__xludf.DUMMYFUNCTION("""COMPUTED_VALUE"""),46003.5471875)</f>
        <v>46003.54719</v>
      </c>
      <c r="V1961" s="211" t="str">
        <f>IFERROR(__xludf.DUMMYFUNCTION("""COMPUTED_VALUE"""),"Sumber Kembar, Wonodadi, Kec. Kutorejo, Kabupaten Mojokerto, Jawa Timur")</f>
        <v>Sumber Kembar, Wonodadi, Kec. Kutorejo, Kabupaten Mojokerto, Jawa Timur</v>
      </c>
      <c r="W1961" s="211" t="str">
        <f>IFERROR(__xludf.DUMMYFUNCTION("""COMPUTED_VALUE"""),"OUT")</f>
        <v>OUT</v>
      </c>
      <c r="X1961" s="211"/>
      <c r="AL1961" s="211"/>
      <c r="AM1961" s="211"/>
      <c r="AN1961" s="211"/>
      <c r="AO1961" s="211"/>
      <c r="AP1961" s="215"/>
      <c r="AQ1961" s="218"/>
      <c r="AR1961" s="211"/>
    </row>
    <row r="1962">
      <c r="A1962" s="210" t="str">
        <f>IFERROR(__xludf.DUMMYFUNCTION("""COMPUTED_VALUE"""),"1250652")</f>
        <v>1250652</v>
      </c>
      <c r="B1962" s="210" t="str">
        <f>IFERROR(__xludf.DUMMYFUNCTION("""COMPUTED_VALUE"""),"1250652")</f>
        <v>1250652</v>
      </c>
      <c r="C1962" s="213">
        <f>IFERROR(__xludf.DUMMYFUNCTION("""COMPUTED_VALUE"""),45938.666666666664)</f>
        <v>45938.66667</v>
      </c>
      <c r="D1962" s="211" t="str">
        <f>IFERROR(__xludf.DUMMYFUNCTION("""COMPUTED_VALUE"""),"e86baf3b")</f>
        <v>e86baf3b</v>
      </c>
      <c r="E1962" s="211" t="str">
        <f>IFERROR(__xludf.DUMMYFUNCTION("""COMPUTED_VALUE"""),"PT GEMILANG CIPTA WAWASAN")</f>
        <v>PT GEMILANG CIPTA WAWASAN</v>
      </c>
      <c r="F1962" s="211" t="str">
        <f>IFERROR(__xludf.DUMMYFUNCTION("""COMPUTED_VALUE"""),"66af7c72")</f>
        <v>66af7c72</v>
      </c>
      <c r="G1962" s="211" t="str">
        <f>IFERROR(__xludf.DUMMYFUNCTION("""COMPUTED_VALUE"""),"Argon 6m3")</f>
        <v>Argon 6m3</v>
      </c>
      <c r="H1962" s="211" t="str">
        <f>IFERROR(__xludf.DUMMYFUNCTION("""COMPUTED_VALUE"""),"IN")</f>
        <v>IN</v>
      </c>
      <c r="I1962" s="211" t="str">
        <f>IFERROR(__xludf.DUMMYFUNCTION("""COMPUTED_VALUE"""),"EMPTY")</f>
        <v>EMPTY</v>
      </c>
      <c r="J1962" s="211">
        <f>IFERROR(__xludf.DUMMYFUNCTION("""COMPUTED_VALUE"""),9.0)</f>
        <v>9</v>
      </c>
      <c r="K1962" s="210" t="str">
        <f>IFERROR(__xludf.DUMMYFUNCTION("""COMPUTED_VALUE"""),"12009 12038 12019 12081 12066 12057 12053 12083 12034")</f>
        <v>12009 12038 12019 12081 12066 12057 12053 12083 12034</v>
      </c>
      <c r="L1962" s="211">
        <f>IFERROR(__xludf.DUMMYFUNCTION("""COMPUTED_VALUE"""),0.0)</f>
        <v>0</v>
      </c>
      <c r="M1962" s="211"/>
      <c r="N1962" s="211"/>
      <c r="O1962" s="211"/>
      <c r="Q1962" s="210" t="str">
        <f>IFERROR(__xludf.DUMMYFUNCTION("""COMPUTED_VALUE"""),"1250934")</f>
        <v>1250934</v>
      </c>
      <c r="R1962" s="210" t="str">
        <f>IFERROR(__xludf.DUMMYFUNCTION("""COMPUTED_VALUE"""),"1250934")</f>
        <v>1250934</v>
      </c>
      <c r="S1962" s="211" t="str">
        <f>IFERROR(__xludf.DUMMYFUNCTION("""COMPUTED_VALUE"""),"3b04351a")</f>
        <v>3b04351a</v>
      </c>
      <c r="T1962" s="211" t="str">
        <f>IFERROR(__xludf.DUMMYFUNCTION("""COMPUTED_VALUE"""),"CV Usaha Logam Jaya ( Bpk Putra )")</f>
        <v>CV Usaha Logam Jaya ( Bpk Putra )</v>
      </c>
      <c r="U1962" s="215">
        <f>IFERROR(__xludf.DUMMYFUNCTION("""COMPUTED_VALUE"""),46003.55142361111)</f>
        <v>46003.55142</v>
      </c>
      <c r="V1962" s="211" t="str">
        <f>IFERROR(__xludf.DUMMYFUNCTION("""COMPUTED_VALUE"""),"Jl. Raya Wringinanom, Sidomoro, Pasinan Lemahputih, Kec. Wringinanom, Kabupaten Gresik, Jawa Timur 61176")</f>
        <v>Jl. Raya Wringinanom, Sidomoro, Pasinan Lemahputih, Kec. Wringinanom, Kabupaten Gresik, Jawa Timur 61176</v>
      </c>
      <c r="W1962" s="211" t="str">
        <f>IFERROR(__xludf.DUMMYFUNCTION("""COMPUTED_VALUE"""),"IN")</f>
        <v>IN</v>
      </c>
      <c r="X1962" s="211"/>
      <c r="AL1962" s="211"/>
      <c r="AM1962" s="211"/>
      <c r="AN1962" s="211"/>
      <c r="AO1962" s="211"/>
      <c r="AP1962" s="215"/>
      <c r="AQ1962" s="218"/>
      <c r="AR1962" s="211"/>
    </row>
    <row r="1963">
      <c r="A1963" s="210" t="str">
        <f>IFERROR(__xludf.DUMMYFUNCTION("""COMPUTED_VALUE"""),"102551411")</f>
        <v>102551411</v>
      </c>
      <c r="B1963" s="210" t="str">
        <f>IFERROR(__xludf.DUMMYFUNCTION("""COMPUTED_VALUE"""),"102551411")</f>
        <v>102551411</v>
      </c>
      <c r="C1963" s="213">
        <f>IFERROR(__xludf.DUMMYFUNCTION("""COMPUTED_VALUE"""),45939.3690162037)</f>
        <v>45939.36902</v>
      </c>
      <c r="D1963" s="211" t="str">
        <f>IFERROR(__xludf.DUMMYFUNCTION("""COMPUTED_VALUE"""),"eec2e801")</f>
        <v>eec2e801</v>
      </c>
      <c r="E1963" s="211" t="str">
        <f>IFERROR(__xludf.DUMMYFUNCTION("""COMPUTED_VALUE"""),"Mitra Wood Sejahtera")</f>
        <v>Mitra Wood Sejahtera</v>
      </c>
      <c r="F1963" s="211" t="str">
        <f>IFERROR(__xludf.DUMMYFUNCTION("""COMPUTED_VALUE"""),"8bdbe149")</f>
        <v>8bdbe149</v>
      </c>
      <c r="G1963" s="211" t="str">
        <f>IFERROR(__xludf.DUMMYFUNCTION("""COMPUTED_VALUE"""),"Oksigen 6m3")</f>
        <v>Oksigen 6m3</v>
      </c>
      <c r="H1963" s="211" t="str">
        <f>IFERROR(__xludf.DUMMYFUNCTION("""COMPUTED_VALUE"""),"OUT")</f>
        <v>OUT</v>
      </c>
      <c r="I1963" s="211" t="str">
        <f>IFERROR(__xludf.DUMMYFUNCTION("""COMPUTED_VALUE"""),"NORMAL")</f>
        <v>NORMAL</v>
      </c>
      <c r="J1963" s="211">
        <f>IFERROR(__xludf.DUMMYFUNCTION("""COMPUTED_VALUE"""),12.0)</f>
        <v>12</v>
      </c>
      <c r="K1963" s="210" t="str">
        <f>IFERROR(__xludf.DUMMYFUNCTION("""COMPUTED_VALUE"""),"11235 11127 11236 11277 1164 1107 11282 11115 11239 11117 11266 1122")</f>
        <v>11235 11127 11236 11277 1164 1107 11282 11115 11239 11117 11266 1122</v>
      </c>
      <c r="L1963" s="211">
        <f>IFERROR(__xludf.DUMMYFUNCTION("""COMPUTED_VALUE"""),55000.0)</f>
        <v>55000</v>
      </c>
      <c r="M1963" s="211"/>
      <c r="N1963" s="211"/>
      <c r="O1963" s="211"/>
      <c r="Q1963" s="210" t="str">
        <f>IFERROR(__xludf.DUMMYFUNCTION("""COMPUTED_VALUE"""),"122541947")</f>
        <v>122541947</v>
      </c>
      <c r="R1963" s="210" t="str">
        <f>IFERROR(__xludf.DUMMYFUNCTION("""COMPUTED_VALUE"""),"122541947")</f>
        <v>122541947</v>
      </c>
      <c r="S1963" s="211" t="str">
        <f>IFERROR(__xludf.DUMMYFUNCTION("""COMPUTED_VALUE"""),"3b04351a")</f>
        <v>3b04351a</v>
      </c>
      <c r="T1963" s="211" t="str">
        <f>IFERROR(__xludf.DUMMYFUNCTION("""COMPUTED_VALUE"""),"CV Usaha Logam Jaya ( Bpk Putra )")</f>
        <v>CV Usaha Logam Jaya ( Bpk Putra )</v>
      </c>
      <c r="U1963" s="215">
        <f>IFERROR(__xludf.DUMMYFUNCTION("""COMPUTED_VALUE"""),46003.66237268518)</f>
        <v>46003.66237</v>
      </c>
      <c r="V1963" s="211" t="str">
        <f>IFERROR(__xludf.DUMMYFUNCTION("""COMPUTED_VALUE"""),"Jl. Raya Wringinanom, Sidomoro, Pasinan Lemahputih, Kec. Wringinanom, Kabupaten Gresik, Jawa Timur 61176")</f>
        <v>Jl. Raya Wringinanom, Sidomoro, Pasinan Lemahputih, Kec. Wringinanom, Kabupaten Gresik, Jawa Timur 61176</v>
      </c>
      <c r="W1963" s="211" t="str">
        <f>IFERROR(__xludf.DUMMYFUNCTION("""COMPUTED_VALUE"""),"OUT")</f>
        <v>OUT</v>
      </c>
      <c r="X1963" s="211"/>
      <c r="AL1963" s="211"/>
      <c r="AM1963" s="211"/>
      <c r="AN1963" s="211"/>
      <c r="AO1963" s="211"/>
      <c r="AP1963" s="215"/>
      <c r="AQ1963" s="218"/>
      <c r="AR1963" s="211"/>
    </row>
    <row r="1964">
      <c r="A1964" s="211"/>
      <c r="B1964" s="211"/>
      <c r="C1964" s="211"/>
      <c r="D1964" s="211"/>
      <c r="E1964" s="211"/>
      <c r="F1964" s="211"/>
      <c r="G1964" s="211"/>
      <c r="H1964" s="211"/>
      <c r="I1964" s="211"/>
      <c r="J1964" s="211"/>
      <c r="K1964" s="211"/>
      <c r="L1964" s="211"/>
      <c r="M1964" s="211"/>
      <c r="N1964" s="211"/>
      <c r="O1964" s="211"/>
      <c r="Q1964" s="210" t="str">
        <f>IFERROR(__xludf.DUMMYFUNCTION("""COMPUTED_VALUE"""),"1225131948")</f>
        <v>1225131948</v>
      </c>
      <c r="R1964" s="210" t="str">
        <f>IFERROR(__xludf.DUMMYFUNCTION("""COMPUTED_VALUE"""),"1225131948")</f>
        <v>1225131948</v>
      </c>
      <c r="S1964" s="211" t="str">
        <f>IFERROR(__xludf.DUMMYFUNCTION("""COMPUTED_VALUE"""),"8ea74d81")</f>
        <v>8ea74d81</v>
      </c>
      <c r="T1964" s="211" t="str">
        <f>IFERROR(__xludf.DUMMYFUNCTION("""COMPUTED_VALUE"""),"Bengkel Adi Putra")</f>
        <v>Bengkel Adi Putra</v>
      </c>
      <c r="U1964" s="215">
        <f>IFERROR(__xludf.DUMMYFUNCTION("""COMPUTED_VALUE"""),46003.66371527778)</f>
        <v>46003.66372</v>
      </c>
      <c r="V1964" s="211" t="str">
        <f>IFERROR(__xludf.DUMMYFUNCTION("""COMPUTED_VALUE"""),"Bypass Balongbendo")</f>
        <v>Bypass Balongbendo</v>
      </c>
      <c r="W1964" s="211" t="str">
        <f>IFERROR(__xludf.DUMMYFUNCTION("""COMPUTED_VALUE"""),"OUT")</f>
        <v>OUT</v>
      </c>
      <c r="X1964" s="211"/>
      <c r="AL1964" s="211"/>
      <c r="AM1964" s="211"/>
      <c r="AN1964" s="211"/>
      <c r="AO1964" s="211"/>
      <c r="AP1964" s="215"/>
      <c r="AQ1964" s="218"/>
      <c r="AR1964" s="211"/>
    </row>
    <row r="1965">
      <c r="A1965" s="210" t="str">
        <f>IFERROR(__xludf.DUMMYFUNCTION("""COMPUTED_VALUE"""),"1250653")</f>
        <v>1250653</v>
      </c>
      <c r="B1965" s="210" t="str">
        <f>IFERROR(__xludf.DUMMYFUNCTION("""COMPUTED_VALUE"""),"1250653")</f>
        <v>1250653</v>
      </c>
      <c r="C1965" s="213">
        <f>IFERROR(__xludf.DUMMYFUNCTION("""COMPUTED_VALUE"""),45939.478483796294)</f>
        <v>45939.47848</v>
      </c>
      <c r="D1965" s="211" t="str">
        <f>IFERROR(__xludf.DUMMYFUNCTION("""COMPUTED_VALUE"""),"eec2e801")</f>
        <v>eec2e801</v>
      </c>
      <c r="E1965" s="211" t="str">
        <f>IFERROR(__xludf.DUMMYFUNCTION("""COMPUTED_VALUE"""),"Mitra Wood Sejahtera")</f>
        <v>Mitra Wood Sejahtera</v>
      </c>
      <c r="F1965" s="211" t="str">
        <f>IFERROR(__xludf.DUMMYFUNCTION("""COMPUTED_VALUE"""),"8bdbe149")</f>
        <v>8bdbe149</v>
      </c>
      <c r="G1965" s="211" t="str">
        <f>IFERROR(__xludf.DUMMYFUNCTION("""COMPUTED_VALUE"""),"Oksigen 6m3")</f>
        <v>Oksigen 6m3</v>
      </c>
      <c r="H1965" s="211" t="str">
        <f>IFERROR(__xludf.DUMMYFUNCTION("""COMPUTED_VALUE"""),"IN")</f>
        <v>IN</v>
      </c>
      <c r="I1965" s="211" t="str">
        <f>IFERROR(__xludf.DUMMYFUNCTION("""COMPUTED_VALUE"""),"EMPTY")</f>
        <v>EMPTY</v>
      </c>
      <c r="J1965" s="211">
        <f>IFERROR(__xludf.DUMMYFUNCTION("""COMPUTED_VALUE"""),3.0)</f>
        <v>3</v>
      </c>
      <c r="K1965" s="210" t="str">
        <f>IFERROR(__xludf.DUMMYFUNCTION("""COMPUTED_VALUE"""),"1198 1190 11104")</f>
        <v>1198 1190 11104</v>
      </c>
      <c r="L1965" s="211">
        <f>IFERROR(__xludf.DUMMYFUNCTION("""COMPUTED_VALUE"""),0.0)</f>
        <v>0</v>
      </c>
      <c r="M1965" s="211"/>
      <c r="N1965" s="211"/>
      <c r="O1965" s="211"/>
      <c r="Q1965" s="211"/>
      <c r="R1965" s="211"/>
      <c r="S1965" s="211"/>
      <c r="T1965" s="211"/>
      <c r="U1965" s="211"/>
      <c r="V1965" s="211"/>
      <c r="W1965" s="211"/>
      <c r="X1965" s="211"/>
      <c r="AL1965" s="211"/>
      <c r="AM1965" s="211"/>
      <c r="AN1965" s="211"/>
      <c r="AO1965" s="211"/>
      <c r="AP1965" s="215"/>
      <c r="AQ1965" s="218"/>
      <c r="AR1965" s="211"/>
    </row>
    <row r="1966">
      <c r="A1966" s="210" t="str">
        <f>IFERROR(__xludf.DUMMYFUNCTION("""COMPUTED_VALUE"""),"1250626")</f>
        <v>1250626</v>
      </c>
      <c r="B1966" s="210" t="str">
        <f>IFERROR(__xludf.DUMMYFUNCTION("""COMPUTED_VALUE"""),"1250626")</f>
        <v>1250626</v>
      </c>
      <c r="C1966" s="213">
        <f>IFERROR(__xludf.DUMMYFUNCTION("""COMPUTED_VALUE"""),45939.48125)</f>
        <v>45939.48125</v>
      </c>
      <c r="D1966" s="211" t="str">
        <f>IFERROR(__xludf.DUMMYFUNCTION("""COMPUTED_VALUE"""),"2d88931c")</f>
        <v>2d88931c</v>
      </c>
      <c r="E1966" s="211" t="str">
        <f>IFERROR(__xludf.DUMMYFUNCTION("""COMPUTED_VALUE"""),"PT Dunia Berkat Marga Mulya")</f>
        <v>PT Dunia Berkat Marga Mulya</v>
      </c>
      <c r="F1966" s="211" t="str">
        <f>IFERROR(__xludf.DUMMYFUNCTION("""COMPUTED_VALUE"""),"8bdbe149")</f>
        <v>8bdbe149</v>
      </c>
      <c r="G1966" s="211" t="str">
        <f>IFERROR(__xludf.DUMMYFUNCTION("""COMPUTED_VALUE"""),"Oksigen 6m3")</f>
        <v>Oksigen 6m3</v>
      </c>
      <c r="H1966" s="211" t="str">
        <f>IFERROR(__xludf.DUMMYFUNCTION("""COMPUTED_VALUE"""),"IN")</f>
        <v>IN</v>
      </c>
      <c r="I1966" s="211" t="str">
        <f>IFERROR(__xludf.DUMMYFUNCTION("""COMPUTED_VALUE"""),"EMPTY")</f>
        <v>EMPTY</v>
      </c>
      <c r="J1966" s="211">
        <f>IFERROR(__xludf.DUMMYFUNCTION("""COMPUTED_VALUE"""),4.0)</f>
        <v>4</v>
      </c>
      <c r="K1966" s="210" t="str">
        <f>IFERROR(__xludf.DUMMYFUNCTION("""COMPUTED_VALUE"""),"1101 11250 11284 1184")</f>
        <v>1101 11250 11284 1184</v>
      </c>
      <c r="L1966" s="211">
        <f>IFERROR(__xludf.DUMMYFUNCTION("""COMPUTED_VALUE"""),0.0)</f>
        <v>0</v>
      </c>
      <c r="M1966" s="211"/>
      <c r="N1966" s="211"/>
      <c r="O1966" s="211"/>
      <c r="Q1966" s="210" t="str">
        <f>IFERROR(__xludf.DUMMYFUNCTION("""COMPUTED_VALUE"""),"122531966")</f>
        <v>122531966</v>
      </c>
      <c r="R1966" s="210" t="str">
        <f>IFERROR(__xludf.DUMMYFUNCTION("""COMPUTED_VALUE"""),"122531966")</f>
        <v>122531966</v>
      </c>
      <c r="S1966" s="211" t="str">
        <f>IFERROR(__xludf.DUMMYFUNCTION("""COMPUTED_VALUE"""),"f49860e4")</f>
        <v>f49860e4</v>
      </c>
      <c r="T1966" s="211" t="str">
        <f>IFERROR(__xludf.DUMMYFUNCTION("""COMPUTED_VALUE"""),"Mas Nur ( Jetis )")</f>
        <v>Mas Nur ( Jetis )</v>
      </c>
      <c r="U1966" s="215">
        <f>IFERROR(__xludf.DUMMYFUNCTION("""COMPUTED_VALUE"""),46004.35697916667)</f>
        <v>46004.35698</v>
      </c>
      <c r="V1966" s="211" t="str">
        <f>IFERROR(__xludf.DUMMYFUNCTION("""COMPUTED_VALUE"""),"HFVF+CCG, JL.Raya Jetis, jetis, Kec. Jetis Kabupaten Mojokerto Jawa Timur 61352")</f>
        <v>HFVF+CCG, JL.Raya Jetis, jetis, Kec. Jetis Kabupaten Mojokerto Jawa Timur 61352</v>
      </c>
      <c r="W1966" s="211" t="str">
        <f>IFERROR(__xludf.DUMMYFUNCTION("""COMPUTED_VALUE"""),"OUT")</f>
        <v>OUT</v>
      </c>
      <c r="X1966" s="211"/>
      <c r="AL1966" s="211"/>
      <c r="AM1966" s="211"/>
      <c r="AN1966" s="211"/>
      <c r="AO1966" s="211"/>
      <c r="AP1966" s="215"/>
      <c r="AQ1966" s="218"/>
      <c r="AR1966" s="211"/>
    </row>
    <row r="1967">
      <c r="A1967" s="210" t="str">
        <f>IFERROR(__xludf.DUMMYFUNCTION("""COMPUTED_VALUE"""),"1250627")</f>
        <v>1250627</v>
      </c>
      <c r="B1967" s="210" t="str">
        <f>IFERROR(__xludf.DUMMYFUNCTION("""COMPUTED_VALUE"""),"1250627")</f>
        <v>1250627</v>
      </c>
      <c r="C1967" s="213">
        <f>IFERROR(__xludf.DUMMYFUNCTION("""COMPUTED_VALUE"""),45939.48175925926)</f>
        <v>45939.48176</v>
      </c>
      <c r="D1967" s="211" t="str">
        <f>IFERROR(__xludf.DUMMYFUNCTION("""COMPUTED_VALUE"""),"4ec68cf6")</f>
        <v>4ec68cf6</v>
      </c>
      <c r="E1967" s="211" t="str">
        <f>IFERROR(__xludf.DUMMYFUNCTION("""COMPUTED_VALUE"""),"CV Sido Mukti Karya")</f>
        <v>CV Sido Mukti Karya</v>
      </c>
      <c r="F1967" s="211" t="str">
        <f>IFERROR(__xludf.DUMMYFUNCTION("""COMPUTED_VALUE"""),"ef306e54")</f>
        <v>ef306e54</v>
      </c>
      <c r="G1967" s="211" t="str">
        <f>IFERROR(__xludf.DUMMYFUNCTION("""COMPUTED_VALUE"""),"Karbondioksida")</f>
        <v>Karbondioksida</v>
      </c>
      <c r="H1967" s="211" t="str">
        <f>IFERROR(__xludf.DUMMYFUNCTION("""COMPUTED_VALUE"""),"IN")</f>
        <v>IN</v>
      </c>
      <c r="I1967" s="211" t="str">
        <f>IFERROR(__xludf.DUMMYFUNCTION("""COMPUTED_VALUE"""),"EMPTY")</f>
        <v>EMPTY</v>
      </c>
      <c r="J1967" s="211">
        <f>IFERROR(__xludf.DUMMYFUNCTION("""COMPUTED_VALUE"""),1.0)</f>
        <v>1</v>
      </c>
      <c r="K1967" s="210" t="str">
        <f>IFERROR(__xludf.DUMMYFUNCTION("""COMPUTED_VALUE"""),"13003")</f>
        <v>13003</v>
      </c>
      <c r="L1967" s="211">
        <f>IFERROR(__xludf.DUMMYFUNCTION("""COMPUTED_VALUE"""),0.0)</f>
        <v>0</v>
      </c>
      <c r="M1967" s="211"/>
      <c r="N1967" s="211"/>
      <c r="O1967" s="211"/>
      <c r="Q1967" s="210" t="str">
        <f>IFERROR(__xludf.DUMMYFUNCTION("""COMPUTED_VALUE"""),"1250943")</f>
        <v>1250943</v>
      </c>
      <c r="R1967" s="210" t="str">
        <f>IFERROR(__xludf.DUMMYFUNCTION("""COMPUTED_VALUE"""),"1250943")</f>
        <v>1250943</v>
      </c>
      <c r="S1967" s="211" t="str">
        <f>IFERROR(__xludf.DUMMYFUNCTION("""COMPUTED_VALUE"""),"b2b5f2c5")</f>
        <v>b2b5f2c5</v>
      </c>
      <c r="T1967" s="211" t="str">
        <f>IFERROR(__xludf.DUMMYFUNCTION("""COMPUTED_VALUE"""),"Bengkel Las Bpk. Ari")</f>
        <v>Bengkel Las Bpk. Ari</v>
      </c>
      <c r="U1967" s="215">
        <f>IFERROR(__xludf.DUMMYFUNCTION("""COMPUTED_VALUE"""),46004.365266203706)</f>
        <v>46004.36527</v>
      </c>
      <c r="V1967" s="211" t="str">
        <f>IFERROR(__xludf.DUMMYFUNCTION("""COMPUTED_VALUE"""),"Sumber Kembar, Wonodadi, Kec. Kutorejo, Kabupaten Mojokerto, Jawa Timur")</f>
        <v>Sumber Kembar, Wonodadi, Kec. Kutorejo, Kabupaten Mojokerto, Jawa Timur</v>
      </c>
      <c r="W1967" s="211" t="str">
        <f>IFERROR(__xludf.DUMMYFUNCTION("""COMPUTED_VALUE"""),"IN")</f>
        <v>IN</v>
      </c>
      <c r="X1967" s="211"/>
      <c r="AL1967" s="211"/>
      <c r="AM1967" s="211"/>
      <c r="AN1967" s="211"/>
      <c r="AO1967" s="211"/>
      <c r="AP1967" s="215"/>
      <c r="AQ1967" s="218"/>
      <c r="AR1967" s="211"/>
    </row>
    <row r="1968">
      <c r="A1968" s="210" t="str">
        <f>IFERROR(__xludf.DUMMYFUNCTION("""COMPUTED_VALUE"""),"1250627")</f>
        <v>1250627</v>
      </c>
      <c r="B1968" s="210" t="str">
        <f>IFERROR(__xludf.DUMMYFUNCTION("""COMPUTED_VALUE"""),"1250627")</f>
        <v>1250627</v>
      </c>
      <c r="C1968" s="213">
        <f>IFERROR(__xludf.DUMMYFUNCTION("""COMPUTED_VALUE"""),45939.48175925926)</f>
        <v>45939.48176</v>
      </c>
      <c r="D1968" s="211" t="str">
        <f>IFERROR(__xludf.DUMMYFUNCTION("""COMPUTED_VALUE"""),"4ec68cf6")</f>
        <v>4ec68cf6</v>
      </c>
      <c r="E1968" s="211" t="str">
        <f>IFERROR(__xludf.DUMMYFUNCTION("""COMPUTED_VALUE"""),"CV Sido Mukti Karya")</f>
        <v>CV Sido Mukti Karya</v>
      </c>
      <c r="F1968" s="211" t="str">
        <f>IFERROR(__xludf.DUMMYFUNCTION("""COMPUTED_VALUE"""),"ef306e54")</f>
        <v>ef306e54</v>
      </c>
      <c r="G1968" s="211" t="str">
        <f>IFERROR(__xludf.DUMMYFUNCTION("""COMPUTED_VALUE"""),"Karbondioksida")</f>
        <v>Karbondioksida</v>
      </c>
      <c r="H1968" s="211" t="str">
        <f>IFERROR(__xludf.DUMMYFUNCTION("""COMPUTED_VALUE"""),"IN")</f>
        <v>IN</v>
      </c>
      <c r="I1968" s="211" t="str">
        <f>IFERROR(__xludf.DUMMYFUNCTION("""COMPUTED_VALUE"""),"CLAIM")</f>
        <v>CLAIM</v>
      </c>
      <c r="J1968" s="211">
        <f>IFERROR(__xludf.DUMMYFUNCTION("""COMPUTED_VALUE"""),1.0)</f>
        <v>1</v>
      </c>
      <c r="K1968" s="210" t="str">
        <f>IFERROR(__xludf.DUMMYFUNCTION("""COMPUTED_VALUE"""),"13032")</f>
        <v>13032</v>
      </c>
      <c r="L1968" s="211">
        <f>IFERROR(__xludf.DUMMYFUNCTION("""COMPUTED_VALUE"""),0.0)</f>
        <v>0</v>
      </c>
      <c r="M1968" s="211"/>
      <c r="N1968" s="211"/>
      <c r="O1968" s="211"/>
      <c r="Q1968" s="210" t="str">
        <f>IFERROR(__xludf.DUMMYFUNCTION("""COMPUTED_VALUE"""),"122521967")</f>
        <v>122521967</v>
      </c>
      <c r="R1968" s="210" t="str">
        <f>IFERROR(__xludf.DUMMYFUNCTION("""COMPUTED_VALUE"""),"122521967")</f>
        <v>122521967</v>
      </c>
      <c r="S1968" s="211" t="str">
        <f>IFERROR(__xludf.DUMMYFUNCTION("""COMPUTED_VALUE"""),"03ff52db")</f>
        <v>03ff52db</v>
      </c>
      <c r="T1968" s="211" t="str">
        <f>IFERROR(__xludf.DUMMYFUNCTION("""COMPUTED_VALUE"""),"Aneka Teknik Logam")</f>
        <v>Aneka Teknik Logam</v>
      </c>
      <c r="U1968" s="215">
        <f>IFERROR(__xludf.DUMMYFUNCTION("""COMPUTED_VALUE"""),46004.438472222224)</f>
        <v>46004.43847</v>
      </c>
      <c r="V1968" s="211" t="str">
        <f>IFERROR(__xludf.DUMMYFUNCTION("""COMPUTED_VALUE"""),"HH8G+MQC, Areng Areng, Tropodo, Kec. Krian, Kabupaten Sidoarjo, Jawa Timur 61262")</f>
        <v>HH8G+MQC, Areng Areng, Tropodo, Kec. Krian, Kabupaten Sidoarjo, Jawa Timur 61262</v>
      </c>
      <c r="W1968" s="211" t="str">
        <f>IFERROR(__xludf.DUMMYFUNCTION("""COMPUTED_VALUE"""),"OUT")</f>
        <v>OUT</v>
      </c>
      <c r="X1968" s="211"/>
      <c r="AL1968" s="211"/>
      <c r="AM1968" s="211"/>
      <c r="AN1968" s="211"/>
      <c r="AO1968" s="211"/>
      <c r="AP1968" s="215"/>
      <c r="AQ1968" s="218"/>
      <c r="AR1968" s="211"/>
    </row>
    <row r="1969">
      <c r="A1969" s="210" t="str">
        <f>IFERROR(__xludf.DUMMYFUNCTION("""COMPUTED_VALUE"""),"4102511347")</f>
        <v>4102511347</v>
      </c>
      <c r="B1969" s="210" t="str">
        <f>IFERROR(__xludf.DUMMYFUNCTION("""COMPUTED_VALUE"""),"4102511347")</f>
        <v>4102511347</v>
      </c>
      <c r="C1969" s="213">
        <f>IFERROR(__xludf.DUMMYFUNCTION("""COMPUTED_VALUE"""),45939.899618055555)</f>
        <v>45939.89962</v>
      </c>
      <c r="D1969" s="211" t="str">
        <f>IFERROR(__xludf.DUMMYFUNCTION("""COMPUTED_VALUE"""),"4ec68cf6")</f>
        <v>4ec68cf6</v>
      </c>
      <c r="E1969" s="211" t="str">
        <f>IFERROR(__xludf.DUMMYFUNCTION("""COMPUTED_VALUE"""),"CV Sido Mukti Karya")</f>
        <v>CV Sido Mukti Karya</v>
      </c>
      <c r="F1969" s="211" t="str">
        <f>IFERROR(__xludf.DUMMYFUNCTION("""COMPUTED_VALUE"""),"ef306e54")</f>
        <v>ef306e54</v>
      </c>
      <c r="G1969" s="211" t="str">
        <f>IFERROR(__xludf.DUMMYFUNCTION("""COMPUTED_VALUE"""),"Karbondioksida")</f>
        <v>Karbondioksida</v>
      </c>
      <c r="H1969" s="211" t="str">
        <f>IFERROR(__xludf.DUMMYFUNCTION("""COMPUTED_VALUE"""),"OTHER")</f>
        <v>OTHER</v>
      </c>
      <c r="I1969" s="211" t="str">
        <f>IFERROR(__xludf.DUMMYFUNCTION("""COMPUTED_VALUE"""),"RETUR CLAIM")</f>
        <v>RETUR CLAIM</v>
      </c>
      <c r="J1969" s="211">
        <f>IFERROR(__xludf.DUMMYFUNCTION("""COMPUTED_VALUE"""),1.0)</f>
        <v>1</v>
      </c>
      <c r="K1969" s="210" t="str">
        <f>IFERROR(__xludf.DUMMYFUNCTION("""COMPUTED_VALUE"""),"13035")</f>
        <v>13035</v>
      </c>
      <c r="L1969" s="211">
        <f>IFERROR(__xludf.DUMMYFUNCTION("""COMPUTED_VALUE"""),0.0)</f>
        <v>0</v>
      </c>
      <c r="M1969" s="211"/>
      <c r="N1969" s="211"/>
      <c r="O1969" s="211"/>
      <c r="Q1969" s="210" t="str">
        <f>IFERROR(__xludf.DUMMYFUNCTION("""COMPUTED_VALUE"""),"1225531969")</f>
        <v>1225531969</v>
      </c>
      <c r="R1969" s="210" t="str">
        <f>IFERROR(__xludf.DUMMYFUNCTION("""COMPUTED_VALUE"""),"1225531969")</f>
        <v>1225531969</v>
      </c>
      <c r="S1969" s="211" t="str">
        <f>IFERROR(__xludf.DUMMYFUNCTION("""COMPUTED_VALUE"""),"b2b5f2c5")</f>
        <v>b2b5f2c5</v>
      </c>
      <c r="T1969" s="211" t="str">
        <f>IFERROR(__xludf.DUMMYFUNCTION("""COMPUTED_VALUE"""),"Bengkel Las Bpk. Ari")</f>
        <v>Bengkel Las Bpk. Ari</v>
      </c>
      <c r="U1969" s="215">
        <f>IFERROR(__xludf.DUMMYFUNCTION("""COMPUTED_VALUE"""),46004.44587962963)</f>
        <v>46004.44588</v>
      </c>
      <c r="V1969" s="211" t="str">
        <f>IFERROR(__xludf.DUMMYFUNCTION("""COMPUTED_VALUE"""),"Sumber Kembar, Wonodadi, Kec. Kutorejo, Kabupaten Mojokerto, Jawa Timur")</f>
        <v>Sumber Kembar, Wonodadi, Kec. Kutorejo, Kabupaten Mojokerto, Jawa Timur</v>
      </c>
      <c r="W1969" s="211" t="str">
        <f>IFERROR(__xludf.DUMMYFUNCTION("""COMPUTED_VALUE"""),"OUT")</f>
        <v>OUT</v>
      </c>
      <c r="X1969" s="211"/>
      <c r="AL1969" s="211"/>
      <c r="AM1969" s="211"/>
      <c r="AN1969" s="211"/>
      <c r="AO1969" s="211"/>
      <c r="AP1969" s="215"/>
      <c r="AQ1969" s="218"/>
      <c r="AR1969" s="211"/>
    </row>
    <row r="1970">
      <c r="A1970" s="210" t="str">
        <f>IFERROR(__xludf.DUMMYFUNCTION("""COMPUTED_VALUE"""),"1250654")</f>
        <v>1250654</v>
      </c>
      <c r="B1970" s="210" t="str">
        <f>IFERROR(__xludf.DUMMYFUNCTION("""COMPUTED_VALUE"""),"1250654")</f>
        <v>1250654</v>
      </c>
      <c r="C1970" s="213">
        <f>IFERROR(__xludf.DUMMYFUNCTION("""COMPUTED_VALUE"""),45940.64686342593)</f>
        <v>45940.64686</v>
      </c>
      <c r="D1970" s="211" t="str">
        <f>IFERROR(__xludf.DUMMYFUNCTION("""COMPUTED_VALUE"""),"785e0e07")</f>
        <v>785e0e07</v>
      </c>
      <c r="E1970" s="211" t="str">
        <f>IFERROR(__xludf.DUMMYFUNCTION("""COMPUTED_VALUE"""),"Bpk. Sukirno (Bejo)")</f>
        <v>Bpk. Sukirno (Bejo)</v>
      </c>
      <c r="F1970" s="211" t="str">
        <f>IFERROR(__xludf.DUMMYFUNCTION("""COMPUTED_VALUE"""),"8bdbe149")</f>
        <v>8bdbe149</v>
      </c>
      <c r="G1970" s="211" t="str">
        <f>IFERROR(__xludf.DUMMYFUNCTION("""COMPUTED_VALUE"""),"Oksigen 6m3")</f>
        <v>Oksigen 6m3</v>
      </c>
      <c r="H1970" s="211" t="str">
        <f>IFERROR(__xludf.DUMMYFUNCTION("""COMPUTED_VALUE"""),"IN")</f>
        <v>IN</v>
      </c>
      <c r="I1970" s="211" t="str">
        <f>IFERROR(__xludf.DUMMYFUNCTION("""COMPUTED_VALUE"""),"EMPTY")</f>
        <v>EMPTY</v>
      </c>
      <c r="J1970" s="211">
        <f>IFERROR(__xludf.DUMMYFUNCTION("""COMPUTED_VALUE"""),2.0)</f>
        <v>2</v>
      </c>
      <c r="K1970" s="210" t="str">
        <f>IFERROR(__xludf.DUMMYFUNCTION("""COMPUTED_VALUE"""),"11186 11237")</f>
        <v>11186 11237</v>
      </c>
      <c r="L1970" s="211">
        <f>IFERROR(__xludf.DUMMYFUNCTION("""COMPUTED_VALUE"""),0.0)</f>
        <v>0</v>
      </c>
      <c r="M1970" s="211"/>
      <c r="N1970" s="211"/>
      <c r="O1970" s="211"/>
      <c r="Q1970" s="210" t="str">
        <f>IFERROR(__xludf.DUMMYFUNCTION("""COMPUTED_VALUE"""),"1250936")</f>
        <v>1250936</v>
      </c>
      <c r="R1970" s="210" t="str">
        <f>IFERROR(__xludf.DUMMYFUNCTION("""COMPUTED_VALUE"""),"1250936")</f>
        <v>1250936</v>
      </c>
      <c r="S1970" s="211" t="str">
        <f>IFERROR(__xludf.DUMMYFUNCTION("""COMPUTED_VALUE"""),"3b04351a")</f>
        <v>3b04351a</v>
      </c>
      <c r="T1970" s="211" t="str">
        <f>IFERROR(__xludf.DUMMYFUNCTION("""COMPUTED_VALUE"""),"CV Usaha Logam Jaya ( Bpk Putra )")</f>
        <v>CV Usaha Logam Jaya ( Bpk Putra )</v>
      </c>
      <c r="U1970" s="215">
        <f>IFERROR(__xludf.DUMMYFUNCTION("""COMPUTED_VALUE"""),46004.44967592593)</f>
        <v>46004.44968</v>
      </c>
      <c r="V1970" s="211" t="str">
        <f>IFERROR(__xludf.DUMMYFUNCTION("""COMPUTED_VALUE"""),"Jl. Raya Wringinanom, Sidomoro, Pasinan Lemahputih, Kec. Wringinanom, Kabupaten Gresik, Jawa Timur 61176")</f>
        <v>Jl. Raya Wringinanom, Sidomoro, Pasinan Lemahputih, Kec. Wringinanom, Kabupaten Gresik, Jawa Timur 61176</v>
      </c>
      <c r="W1970" s="211" t="str">
        <f>IFERROR(__xludf.DUMMYFUNCTION("""COMPUTED_VALUE"""),"IN")</f>
        <v>IN</v>
      </c>
      <c r="X1970" s="211"/>
      <c r="AL1970" s="211"/>
      <c r="AM1970" s="211"/>
      <c r="AN1970" s="211"/>
      <c r="AO1970" s="211"/>
      <c r="AP1970" s="215"/>
      <c r="AQ1970" s="218"/>
      <c r="AR1970" s="211"/>
    </row>
    <row r="1971">
      <c r="A1971" s="210" t="str">
        <f>IFERROR(__xludf.DUMMYFUNCTION("""COMPUTED_VALUE"""),"1250654")</f>
        <v>1250654</v>
      </c>
      <c r="B1971" s="210" t="str">
        <f>IFERROR(__xludf.DUMMYFUNCTION("""COMPUTED_VALUE"""),"1250654")</f>
        <v>1250654</v>
      </c>
      <c r="C1971" s="213">
        <f>IFERROR(__xludf.DUMMYFUNCTION("""COMPUTED_VALUE"""),45940.64686342593)</f>
        <v>45940.64686</v>
      </c>
      <c r="D1971" s="211" t="str">
        <f>IFERROR(__xludf.DUMMYFUNCTION("""COMPUTED_VALUE"""),"785e0e07")</f>
        <v>785e0e07</v>
      </c>
      <c r="E1971" s="211" t="str">
        <f>IFERROR(__xludf.DUMMYFUNCTION("""COMPUTED_VALUE"""),"Bpk. Sukirno (Bejo)")</f>
        <v>Bpk. Sukirno (Bejo)</v>
      </c>
      <c r="F1971" s="211" t="str">
        <f>IFERROR(__xludf.DUMMYFUNCTION("""COMPUTED_VALUE"""),"7d2764f1")</f>
        <v>7d2764f1</v>
      </c>
      <c r="G1971" s="211" t="str">
        <f>IFERROR(__xludf.DUMMYFUNCTION("""COMPUTED_VALUE"""),"Oksigen 7m3")</f>
        <v>Oksigen 7m3</v>
      </c>
      <c r="H1971" s="211" t="str">
        <f>IFERROR(__xludf.DUMMYFUNCTION("""COMPUTED_VALUE"""),"IN")</f>
        <v>IN</v>
      </c>
      <c r="I1971" s="211" t="str">
        <f>IFERROR(__xludf.DUMMYFUNCTION("""COMPUTED_VALUE"""),"EMPTY")</f>
        <v>EMPTY</v>
      </c>
      <c r="J1971" s="211">
        <f>IFERROR(__xludf.DUMMYFUNCTION("""COMPUTED_VALUE"""),4.0)</f>
        <v>4</v>
      </c>
      <c r="K1971" s="210" t="str">
        <f>IFERROR(__xludf.DUMMYFUNCTION("""COMPUTED_VALUE"""),"11155 11157 11135 76")</f>
        <v>11155 11157 11135 76</v>
      </c>
      <c r="L1971" s="211">
        <f>IFERROR(__xludf.DUMMYFUNCTION("""COMPUTED_VALUE"""),0.0)</f>
        <v>0</v>
      </c>
      <c r="M1971" s="211"/>
      <c r="N1971" s="211"/>
      <c r="O1971" s="211"/>
      <c r="Q1971" s="210" t="str">
        <f>IFERROR(__xludf.DUMMYFUNCTION("""COMPUTED_VALUE"""),"1250944")</f>
        <v>1250944</v>
      </c>
      <c r="R1971" s="210" t="str">
        <f>IFERROR(__xludf.DUMMYFUNCTION("""COMPUTED_VALUE"""),"1250944")</f>
        <v>1250944</v>
      </c>
      <c r="S1971" s="211" t="str">
        <f>IFERROR(__xludf.DUMMYFUNCTION("""COMPUTED_VALUE"""),"dcdf8b31")</f>
        <v>dcdf8b31</v>
      </c>
      <c r="T1971" s="211" t="str">
        <f>IFERROR(__xludf.DUMMYFUNCTION("""COMPUTED_VALUE"""),"Bpk. Samsul (Jetis)")</f>
        <v>Bpk. Samsul (Jetis)</v>
      </c>
      <c r="U1971" s="215">
        <f>IFERROR(__xludf.DUMMYFUNCTION("""COMPUTED_VALUE"""),46004.45903935185)</f>
        <v>46004.45904</v>
      </c>
      <c r="V1971" s="211" t="str">
        <f>IFERROR(__xludf.DUMMYFUNCTION("""COMPUTED_VALUE"""),"HFWF+9FG, Sido Wangi, Paringan, Kec. Jetis, Kabupaten Mojokerto, Jawa Timur")</f>
        <v>HFWF+9FG, Sido Wangi, Paringan, Kec. Jetis, Kabupaten Mojokerto, Jawa Timur</v>
      </c>
      <c r="W1971" s="211" t="str">
        <f>IFERROR(__xludf.DUMMYFUNCTION("""COMPUTED_VALUE"""),"IN")</f>
        <v>IN</v>
      </c>
      <c r="X1971" s="211"/>
      <c r="AL1971" s="211"/>
      <c r="AM1971" s="211"/>
      <c r="AN1971" s="211"/>
      <c r="AO1971" s="211"/>
      <c r="AP1971" s="215"/>
      <c r="AQ1971" s="218"/>
      <c r="AR1971" s="211"/>
    </row>
    <row r="1972">
      <c r="A1972" s="210" t="str">
        <f>IFERROR(__xludf.DUMMYFUNCTION("""COMPUTED_VALUE"""),"1025231414")</f>
        <v>1025231414</v>
      </c>
      <c r="B1972" s="210" t="str">
        <f>IFERROR(__xludf.DUMMYFUNCTION("""COMPUTED_VALUE"""),"1025231414")</f>
        <v>1025231414</v>
      </c>
      <c r="C1972" s="213">
        <f>IFERROR(__xludf.DUMMYFUNCTION("""COMPUTED_VALUE"""),45941.36009259259)</f>
        <v>45941.36009</v>
      </c>
      <c r="D1972" s="211" t="str">
        <f>IFERROR(__xludf.DUMMYFUNCTION("""COMPUTED_VALUE"""),"ec231cc9")</f>
        <v>ec231cc9</v>
      </c>
      <c r="E1972" s="211" t="str">
        <f>IFERROR(__xludf.DUMMYFUNCTION("""COMPUTED_VALUE"""),"Bpk. Kohir (Maintenance Velg)")</f>
        <v>Bpk. Kohir (Maintenance Velg)</v>
      </c>
      <c r="F1972" s="211" t="str">
        <f>IFERROR(__xludf.DUMMYFUNCTION("""COMPUTED_VALUE"""),"ef306e54")</f>
        <v>ef306e54</v>
      </c>
      <c r="G1972" s="211" t="str">
        <f>IFERROR(__xludf.DUMMYFUNCTION("""COMPUTED_VALUE"""),"Karbondioksida")</f>
        <v>Karbondioksida</v>
      </c>
      <c r="H1972" s="211" t="str">
        <f>IFERROR(__xludf.DUMMYFUNCTION("""COMPUTED_VALUE"""),"OUT")</f>
        <v>OUT</v>
      </c>
      <c r="I1972" s="211" t="str">
        <f>IFERROR(__xludf.DUMMYFUNCTION("""COMPUTED_VALUE"""),"NORMAL")</f>
        <v>NORMAL</v>
      </c>
      <c r="J1972" s="211">
        <f>IFERROR(__xludf.DUMMYFUNCTION("""COMPUTED_VALUE"""),2.0)</f>
        <v>2</v>
      </c>
      <c r="K1972" s="210" t="str">
        <f>IFERROR(__xludf.DUMMYFUNCTION("""COMPUTED_VALUE"""),"13018 13032")</f>
        <v>13018 13032</v>
      </c>
      <c r="L1972" s="211">
        <f>IFERROR(__xludf.DUMMYFUNCTION("""COMPUTED_VALUE"""),165000.0)</f>
        <v>165000</v>
      </c>
      <c r="M1972" s="211"/>
      <c r="N1972" s="211"/>
      <c r="O1972" s="211"/>
      <c r="Q1972" s="210" t="str">
        <f>IFERROR(__xludf.DUMMYFUNCTION("""COMPUTED_VALUE"""),"1250945")</f>
        <v>1250945</v>
      </c>
      <c r="R1972" s="210" t="str">
        <f>IFERROR(__xludf.DUMMYFUNCTION("""COMPUTED_VALUE"""),"1250945")</f>
        <v>1250945</v>
      </c>
      <c r="S1972" s="211" t="str">
        <f>IFERROR(__xludf.DUMMYFUNCTION("""COMPUTED_VALUE"""),"f49860e4")</f>
        <v>f49860e4</v>
      </c>
      <c r="T1972" s="211" t="str">
        <f>IFERROR(__xludf.DUMMYFUNCTION("""COMPUTED_VALUE"""),"Mas Nur ( Jetis )")</f>
        <v>Mas Nur ( Jetis )</v>
      </c>
      <c r="U1972" s="215">
        <f>IFERROR(__xludf.DUMMYFUNCTION("""COMPUTED_VALUE"""),46004.45929398148)</f>
        <v>46004.45929</v>
      </c>
      <c r="V1972" s="211" t="str">
        <f>IFERROR(__xludf.DUMMYFUNCTION("""COMPUTED_VALUE"""),"HFVF+CCG, JL.Raya Jetis, jetis, Kec. Jetis Kabupaten Mojokerto Jawa Timur 61352")</f>
        <v>HFVF+CCG, JL.Raya Jetis, jetis, Kec. Jetis Kabupaten Mojokerto Jawa Timur 61352</v>
      </c>
      <c r="W1972" s="211" t="str">
        <f>IFERROR(__xludf.DUMMYFUNCTION("""COMPUTED_VALUE"""),"IN")</f>
        <v>IN</v>
      </c>
      <c r="X1972" s="211"/>
      <c r="AL1972" s="211"/>
      <c r="AM1972" s="211"/>
      <c r="AN1972" s="211"/>
      <c r="AO1972" s="211"/>
      <c r="AP1972" s="215"/>
      <c r="AQ1972" s="218"/>
      <c r="AR1972" s="211"/>
    </row>
    <row r="1973">
      <c r="A1973" s="210" t="str">
        <f>IFERROR(__xludf.DUMMYFUNCTION("""COMPUTED_VALUE"""),"1025231414")</f>
        <v>1025231414</v>
      </c>
      <c r="B1973" s="210" t="str">
        <f>IFERROR(__xludf.DUMMYFUNCTION("""COMPUTED_VALUE"""),"1025231414")</f>
        <v>1025231414</v>
      </c>
      <c r="C1973" s="213">
        <f>IFERROR(__xludf.DUMMYFUNCTION("""COMPUTED_VALUE"""),45941.36009259259)</f>
        <v>45941.36009</v>
      </c>
      <c r="D1973" s="211" t="str">
        <f>IFERROR(__xludf.DUMMYFUNCTION("""COMPUTED_VALUE"""),"ec231cc9")</f>
        <v>ec231cc9</v>
      </c>
      <c r="E1973" s="211" t="str">
        <f>IFERROR(__xludf.DUMMYFUNCTION("""COMPUTED_VALUE"""),"Bpk. Kohir (Maintenance Velg)")</f>
        <v>Bpk. Kohir (Maintenance Velg)</v>
      </c>
      <c r="F1973" s="211" t="str">
        <f>IFERROR(__xludf.DUMMYFUNCTION("""COMPUTED_VALUE"""),"8bdbe149")</f>
        <v>8bdbe149</v>
      </c>
      <c r="G1973" s="211" t="str">
        <f>IFERROR(__xludf.DUMMYFUNCTION("""COMPUTED_VALUE"""),"Oksigen 6m3")</f>
        <v>Oksigen 6m3</v>
      </c>
      <c r="H1973" s="211" t="str">
        <f>IFERROR(__xludf.DUMMYFUNCTION("""COMPUTED_VALUE"""),"OUT")</f>
        <v>OUT</v>
      </c>
      <c r="I1973" s="211" t="str">
        <f>IFERROR(__xludf.DUMMYFUNCTION("""COMPUTED_VALUE"""),"NORMAL")</f>
        <v>NORMAL</v>
      </c>
      <c r="J1973" s="211">
        <f>IFERROR(__xludf.DUMMYFUNCTION("""COMPUTED_VALUE"""),5.0)</f>
        <v>5</v>
      </c>
      <c r="K1973" s="210" t="str">
        <f>IFERROR(__xludf.DUMMYFUNCTION("""COMPUTED_VALUE"""),"11109 1112 11199 11263 1119")</f>
        <v>11109 1112 11199 11263 1119</v>
      </c>
      <c r="L1973" s="211">
        <f>IFERROR(__xludf.DUMMYFUNCTION("""COMPUTED_VALUE"""),55000.0)</f>
        <v>55000</v>
      </c>
      <c r="M1973" s="211"/>
      <c r="N1973" s="211"/>
      <c r="O1973" s="211"/>
      <c r="Q1973" s="210" t="str">
        <f>IFERROR(__xludf.DUMMYFUNCTION("""COMPUTED_VALUE"""),"1250935")</f>
        <v>1250935</v>
      </c>
      <c r="R1973" s="210" t="str">
        <f>IFERROR(__xludf.DUMMYFUNCTION("""COMPUTED_VALUE"""),"1250935")</f>
        <v>1250935</v>
      </c>
      <c r="S1973" s="211" t="str">
        <f>IFERROR(__xludf.DUMMYFUNCTION("""COMPUTED_VALUE"""),"8ea74d81")</f>
        <v>8ea74d81</v>
      </c>
      <c r="T1973" s="211" t="str">
        <f>IFERROR(__xludf.DUMMYFUNCTION("""COMPUTED_VALUE"""),"Bengkel Adi Putra")</f>
        <v>Bengkel Adi Putra</v>
      </c>
      <c r="U1973" s="215">
        <f>IFERROR(__xludf.DUMMYFUNCTION("""COMPUTED_VALUE"""),46004.460393518515)</f>
        <v>46004.46039</v>
      </c>
      <c r="V1973" s="211" t="str">
        <f>IFERROR(__xludf.DUMMYFUNCTION("""COMPUTED_VALUE"""),"Bypass Balongbendo")</f>
        <v>Bypass Balongbendo</v>
      </c>
      <c r="W1973" s="211" t="str">
        <f>IFERROR(__xludf.DUMMYFUNCTION("""COMPUTED_VALUE"""),"IN")</f>
        <v>IN</v>
      </c>
      <c r="X1973" s="211"/>
      <c r="AL1973" s="211"/>
      <c r="AM1973" s="211"/>
      <c r="AN1973" s="211"/>
      <c r="AO1973" s="211"/>
      <c r="AP1973" s="215"/>
      <c r="AQ1973" s="218"/>
      <c r="AR1973" s="211"/>
    </row>
    <row r="1974">
      <c r="A1974" s="210" t="str">
        <f>IFERROR(__xludf.DUMMYFUNCTION("""COMPUTED_VALUE"""),"102571421")</f>
        <v>102571421</v>
      </c>
      <c r="B1974" s="210" t="str">
        <f>IFERROR(__xludf.DUMMYFUNCTION("""COMPUTED_VALUE"""),"102571421")</f>
        <v>102571421</v>
      </c>
      <c r="C1974" s="213">
        <f>IFERROR(__xludf.DUMMYFUNCTION("""COMPUTED_VALUE"""),45941.36954861111)</f>
        <v>45941.36955</v>
      </c>
      <c r="D1974" s="211" t="str">
        <f>IFERROR(__xludf.DUMMYFUNCTION("""COMPUTED_VALUE"""),"8ea74d81")</f>
        <v>8ea74d81</v>
      </c>
      <c r="E1974" s="211" t="str">
        <f>IFERROR(__xludf.DUMMYFUNCTION("""COMPUTED_VALUE"""),"Bengkel Adi Putra")</f>
        <v>Bengkel Adi Putra</v>
      </c>
      <c r="F1974" s="211" t="str">
        <f>IFERROR(__xludf.DUMMYFUNCTION("""COMPUTED_VALUE"""),"ef306e54")</f>
        <v>ef306e54</v>
      </c>
      <c r="G1974" s="211" t="str">
        <f>IFERROR(__xludf.DUMMYFUNCTION("""COMPUTED_VALUE"""),"Karbondioksida")</f>
        <v>Karbondioksida</v>
      </c>
      <c r="H1974" s="211" t="str">
        <f>IFERROR(__xludf.DUMMYFUNCTION("""COMPUTED_VALUE"""),"OUT")</f>
        <v>OUT</v>
      </c>
      <c r="I1974" s="211" t="str">
        <f>IFERROR(__xludf.DUMMYFUNCTION("""COMPUTED_VALUE"""),"NORMAL")</f>
        <v>NORMAL</v>
      </c>
      <c r="J1974" s="211">
        <f>IFERROR(__xludf.DUMMYFUNCTION("""COMPUTED_VALUE"""),1.0)</f>
        <v>1</v>
      </c>
      <c r="K1974" s="210" t="str">
        <f>IFERROR(__xludf.DUMMYFUNCTION("""COMPUTED_VALUE"""),"13022")</f>
        <v>13022</v>
      </c>
      <c r="L1974" s="211">
        <f>IFERROR(__xludf.DUMMYFUNCTION("""COMPUTED_VALUE"""),180000.0)</f>
        <v>180000</v>
      </c>
      <c r="M1974" s="211"/>
      <c r="N1974" s="211"/>
      <c r="O1974" s="211"/>
      <c r="Q1974" s="210" t="str">
        <f>IFERROR(__xludf.DUMMYFUNCTION("""COMPUTED_VALUE"""),"1225321970")</f>
        <v>1225321970</v>
      </c>
      <c r="R1974" s="210" t="str">
        <f>IFERROR(__xludf.DUMMYFUNCTION("""COMPUTED_VALUE"""),"1225321970")</f>
        <v>1225321970</v>
      </c>
      <c r="S1974" s="211" t="str">
        <f>IFERROR(__xludf.DUMMYFUNCTION("""COMPUTED_VALUE"""),"ec231cc9")</f>
        <v>ec231cc9</v>
      </c>
      <c r="T1974" s="211" t="str">
        <f>IFERROR(__xludf.DUMMYFUNCTION("""COMPUTED_VALUE"""),"Bpk. Kohir (Maintenance Velg)")</f>
        <v>Bpk. Kohir (Maintenance Velg)</v>
      </c>
      <c r="U1974" s="215">
        <f>IFERROR(__xludf.DUMMYFUNCTION("""COMPUTED_VALUE"""),46004.49928240741)</f>
        <v>46004.49928</v>
      </c>
      <c r="V1974" s="211" t="str">
        <f>IFERROR(__xludf.DUMMYFUNCTION("""COMPUTED_VALUE"""),"Jl. Lkr. Bypass Krian Timur, Sidogolong, Watugolong, Kec. Krian, Kabupaten Sidoarjo, Jawa Timur 61262")</f>
        <v>Jl. Lkr. Bypass Krian Timur, Sidogolong, Watugolong, Kec. Krian, Kabupaten Sidoarjo, Jawa Timur 61262</v>
      </c>
      <c r="W1974" s="211" t="str">
        <f>IFERROR(__xludf.DUMMYFUNCTION("""COMPUTED_VALUE"""),"OUT")</f>
        <v>OUT</v>
      </c>
      <c r="X1974" s="211"/>
      <c r="AL1974" s="211"/>
      <c r="AM1974" s="211"/>
      <c r="AN1974" s="211"/>
      <c r="AO1974" s="211"/>
      <c r="AP1974" s="215"/>
      <c r="AQ1974" s="218"/>
      <c r="AR1974" s="211"/>
    </row>
    <row r="1975">
      <c r="A1975" s="210" t="str">
        <f>IFERROR(__xludf.DUMMYFUNCTION("""COMPUTED_VALUE"""),"1025201422")</f>
        <v>1025201422</v>
      </c>
      <c r="B1975" s="210" t="str">
        <f>IFERROR(__xludf.DUMMYFUNCTION("""COMPUTED_VALUE"""),"1025201422")</f>
        <v>1025201422</v>
      </c>
      <c r="C1975" s="213">
        <f>IFERROR(__xludf.DUMMYFUNCTION("""COMPUTED_VALUE"""),45941.381215277775)</f>
        <v>45941.38122</v>
      </c>
      <c r="D1975" s="211" t="str">
        <f>IFERROR(__xludf.DUMMYFUNCTION("""COMPUTED_VALUE"""),"b2b5f2c5")</f>
        <v>b2b5f2c5</v>
      </c>
      <c r="E1975" s="211" t="str">
        <f>IFERROR(__xludf.DUMMYFUNCTION("""COMPUTED_VALUE"""),"Bengkel Las Bpk. Ari")</f>
        <v>Bengkel Las Bpk. Ari</v>
      </c>
      <c r="F1975" s="211" t="str">
        <f>IFERROR(__xludf.DUMMYFUNCTION("""COMPUTED_VALUE"""),"8bdbe149")</f>
        <v>8bdbe149</v>
      </c>
      <c r="G1975" s="211" t="str">
        <f>IFERROR(__xludf.DUMMYFUNCTION("""COMPUTED_VALUE"""),"Oksigen 6m3")</f>
        <v>Oksigen 6m3</v>
      </c>
      <c r="H1975" s="211" t="str">
        <f>IFERROR(__xludf.DUMMYFUNCTION("""COMPUTED_VALUE"""),"OUT")</f>
        <v>OUT</v>
      </c>
      <c r="I1975" s="211" t="str">
        <f>IFERROR(__xludf.DUMMYFUNCTION("""COMPUTED_VALUE"""),"NORMAL")</f>
        <v>NORMAL</v>
      </c>
      <c r="J1975" s="211">
        <f>IFERROR(__xludf.DUMMYFUNCTION("""COMPUTED_VALUE"""),6.0)</f>
        <v>6</v>
      </c>
      <c r="K1975" s="210" t="str">
        <f>IFERROR(__xludf.DUMMYFUNCTION("""COMPUTED_VALUE"""),"11196 11267 11188 1189 11242 11176")</f>
        <v>11196 11267 11188 1189 11242 11176</v>
      </c>
      <c r="L1975" s="211">
        <f>IFERROR(__xludf.DUMMYFUNCTION("""COMPUTED_VALUE"""),60000.0)</f>
        <v>60000</v>
      </c>
      <c r="M1975" s="211"/>
      <c r="N1975" s="211"/>
      <c r="O1975" s="211"/>
      <c r="Q1975" s="210" t="str">
        <f>IFERROR(__xludf.DUMMYFUNCTION("""COMPUTED_VALUE"""),"1250950")</f>
        <v>1250950</v>
      </c>
      <c r="R1975" s="210" t="str">
        <f>IFERROR(__xludf.DUMMYFUNCTION("""COMPUTED_VALUE"""),"1250950")</f>
        <v>1250950</v>
      </c>
      <c r="S1975" s="211" t="str">
        <f>IFERROR(__xludf.DUMMYFUNCTION("""COMPUTED_VALUE"""),"8f5ebaea")</f>
        <v>8f5ebaea</v>
      </c>
      <c r="T1975" s="211" t="str">
        <f>IFERROR(__xludf.DUMMYFUNCTION("""COMPUTED_VALUE"""),"PT Hua Zong Mesindo")</f>
        <v>PT Hua Zong Mesindo</v>
      </c>
      <c r="U1975" s="215">
        <f>IFERROR(__xludf.DUMMYFUNCTION("""COMPUTED_VALUE"""),46004.60162037037)</f>
        <v>46004.60162</v>
      </c>
      <c r="V1975" s="211" t="str">
        <f>IFERROR(__xludf.DUMMYFUNCTION("""COMPUTED_VALUE"""),"Jl. Bypass Krian, Sidotemo, Sidomulyo, Kec. Krian, Kabupaten Sidoarjo, Jawa Timur 61262")</f>
        <v>Jl. Bypass Krian, Sidotemo, Sidomulyo, Kec. Krian, Kabupaten Sidoarjo, Jawa Timur 61262</v>
      </c>
      <c r="W1975" s="211" t="str">
        <f>IFERROR(__xludf.DUMMYFUNCTION("""COMPUTED_VALUE"""),"IN")</f>
        <v>IN</v>
      </c>
      <c r="X1975" s="211"/>
      <c r="AL1975" s="211"/>
      <c r="AM1975" s="211"/>
      <c r="AN1975" s="211"/>
      <c r="AO1975" s="211"/>
      <c r="AP1975" s="215"/>
      <c r="AQ1975" s="218"/>
      <c r="AR1975" s="211"/>
    </row>
    <row r="1976">
      <c r="A1976" s="210" t="str">
        <f>IFERROR(__xludf.DUMMYFUNCTION("""COMPUTED_VALUE"""),"1025571423")</f>
        <v>1025571423</v>
      </c>
      <c r="B1976" s="210" t="str">
        <f>IFERROR(__xludf.DUMMYFUNCTION("""COMPUTED_VALUE"""),"1025571423")</f>
        <v>1025571423</v>
      </c>
      <c r="C1976" s="213">
        <f>IFERROR(__xludf.DUMMYFUNCTION("""COMPUTED_VALUE"""),45941.42616898148)</f>
        <v>45941.42617</v>
      </c>
      <c r="D1976" s="211" t="str">
        <f>IFERROR(__xludf.DUMMYFUNCTION("""COMPUTED_VALUE"""),"e86baf3b")</f>
        <v>e86baf3b</v>
      </c>
      <c r="E1976" s="211" t="str">
        <f>IFERROR(__xludf.DUMMYFUNCTION("""COMPUTED_VALUE"""),"PT GEMILANG CIPTA WAWASAN")</f>
        <v>PT GEMILANG CIPTA WAWASAN</v>
      </c>
      <c r="F1976" s="211" t="str">
        <f>IFERROR(__xludf.DUMMYFUNCTION("""COMPUTED_VALUE"""),"66af7c72")</f>
        <v>66af7c72</v>
      </c>
      <c r="G1976" s="211" t="str">
        <f>IFERROR(__xludf.DUMMYFUNCTION("""COMPUTED_VALUE"""),"Argon 6m3")</f>
        <v>Argon 6m3</v>
      </c>
      <c r="H1976" s="211" t="str">
        <f>IFERROR(__xludf.DUMMYFUNCTION("""COMPUTED_VALUE"""),"OUT")</f>
        <v>OUT</v>
      </c>
      <c r="I1976" s="211" t="str">
        <f>IFERROR(__xludf.DUMMYFUNCTION("""COMPUTED_VALUE"""),"NORMAL")</f>
        <v>NORMAL</v>
      </c>
      <c r="J1976" s="211">
        <f>IFERROR(__xludf.DUMMYFUNCTION("""COMPUTED_VALUE"""),10.0)</f>
        <v>10</v>
      </c>
      <c r="K1976" s="210" t="str">
        <f>IFERROR(__xludf.DUMMYFUNCTION("""COMPUTED_VALUE"""),"12083 12081 12057 12034 12019 12053 12038 12066 12073 12025")</f>
        <v>12083 12081 12057 12034 12019 12053 12038 12066 12073 12025</v>
      </c>
      <c r="L1976" s="211">
        <f>IFERROR(__xludf.DUMMYFUNCTION("""COMPUTED_VALUE"""),185000.0)</f>
        <v>185000</v>
      </c>
      <c r="M1976" s="211"/>
      <c r="N1976" s="211"/>
      <c r="O1976" s="211"/>
      <c r="Q1976" s="210" t="str">
        <f>IFERROR(__xludf.DUMMYFUNCTION("""COMPUTED_VALUE"""),"122521975")</f>
        <v>122521975</v>
      </c>
      <c r="R1976" s="210" t="str">
        <f>IFERROR(__xludf.DUMMYFUNCTION("""COMPUTED_VALUE"""),"122521975")</f>
        <v>122521975</v>
      </c>
      <c r="S1976" s="211" t="str">
        <f>IFERROR(__xludf.DUMMYFUNCTION("""COMPUTED_VALUE"""),"9b941888")</f>
        <v>9b941888</v>
      </c>
      <c r="T1976" s="211" t="str">
        <f>IFERROR(__xludf.DUMMYFUNCTION("""COMPUTED_VALUE"""),"Mas Devi ( Parengan )")</f>
        <v>Mas Devi ( Parengan )</v>
      </c>
      <c r="U1976" s="215">
        <f>IFERROR(__xludf.DUMMYFUNCTION("""COMPUTED_VALUE"""),46006.37175925926)</f>
        <v>46006.37176</v>
      </c>
      <c r="V1976" s="211" t="str">
        <f>IFERROR(__xludf.DUMMYFUNCTION("""COMPUTED_VALUE"""),"Kraton Krian Sidoarjo, ( sebelah tower listrik )")</f>
        <v>Kraton Krian Sidoarjo, ( sebelah tower listrik )</v>
      </c>
      <c r="W1976" s="211" t="str">
        <f>IFERROR(__xludf.DUMMYFUNCTION("""COMPUTED_VALUE"""),"OUT")</f>
        <v>OUT</v>
      </c>
      <c r="X1976" s="211"/>
      <c r="AL1976" s="211"/>
      <c r="AM1976" s="211"/>
      <c r="AN1976" s="211"/>
      <c r="AO1976" s="211"/>
      <c r="AP1976" s="215"/>
      <c r="AQ1976" s="218"/>
      <c r="AR1976" s="211"/>
    </row>
    <row r="1977">
      <c r="A1977" s="210" t="str">
        <f>IFERROR(__xludf.DUMMYFUNCTION("""COMPUTED_VALUE"""),"1025571423")</f>
        <v>1025571423</v>
      </c>
      <c r="B1977" s="210" t="str">
        <f>IFERROR(__xludf.DUMMYFUNCTION("""COMPUTED_VALUE"""),"1025571423")</f>
        <v>1025571423</v>
      </c>
      <c r="C1977" s="213">
        <f>IFERROR(__xludf.DUMMYFUNCTION("""COMPUTED_VALUE"""),45941.42616898148)</f>
        <v>45941.42617</v>
      </c>
      <c r="D1977" s="211" t="str">
        <f>IFERROR(__xludf.DUMMYFUNCTION("""COMPUTED_VALUE"""),"e86baf3b")</f>
        <v>e86baf3b</v>
      </c>
      <c r="E1977" s="211" t="str">
        <f>IFERROR(__xludf.DUMMYFUNCTION("""COMPUTED_VALUE"""),"PT GEMILANG CIPTA WAWASAN")</f>
        <v>PT GEMILANG CIPTA WAWASAN</v>
      </c>
      <c r="F1977" s="211" t="str">
        <f>IFERROR(__xludf.DUMMYFUNCTION("""COMPUTED_VALUE"""),"7d2764f1")</f>
        <v>7d2764f1</v>
      </c>
      <c r="G1977" s="211" t="str">
        <f>IFERROR(__xludf.DUMMYFUNCTION("""COMPUTED_VALUE"""),"Oksigen 7m3")</f>
        <v>Oksigen 7m3</v>
      </c>
      <c r="H1977" s="211" t="str">
        <f>IFERROR(__xludf.DUMMYFUNCTION("""COMPUTED_VALUE"""),"OUT")</f>
        <v>OUT</v>
      </c>
      <c r="I1977" s="211" t="str">
        <f>IFERROR(__xludf.DUMMYFUNCTION("""COMPUTED_VALUE"""),"NORMAL")</f>
        <v>NORMAL</v>
      </c>
      <c r="J1977" s="211">
        <f>IFERROR(__xludf.DUMMYFUNCTION("""COMPUTED_VALUE"""),10.0)</f>
        <v>10</v>
      </c>
      <c r="K1977" s="210" t="str">
        <f>IFERROR(__xludf.DUMMYFUNCTION("""COMPUTED_VALUE"""),"11153 11155 11150 11135 11166 11195 11145 11212 11149 11163")</f>
        <v>11153 11155 11150 11135 11166 11195 11145 11212 11149 11163</v>
      </c>
      <c r="L1977" s="211">
        <f>IFERROR(__xludf.DUMMYFUNCTION("""COMPUTED_VALUE"""),60000.0)</f>
        <v>60000</v>
      </c>
      <c r="M1977" s="211"/>
      <c r="N1977" s="211"/>
      <c r="O1977" s="211"/>
      <c r="Q1977" s="210" t="str">
        <f>IFERROR(__xludf.DUMMYFUNCTION("""COMPUTED_VALUE"""),"1225401977")</f>
        <v>1225401977</v>
      </c>
      <c r="R1977" s="210" t="str">
        <f>IFERROR(__xludf.DUMMYFUNCTION("""COMPUTED_VALUE"""),"1225401977")</f>
        <v>1225401977</v>
      </c>
      <c r="S1977" s="211" t="str">
        <f>IFERROR(__xludf.DUMMYFUNCTION("""COMPUTED_VALUE"""),"01158be1")</f>
        <v>01158be1</v>
      </c>
      <c r="T1977" s="211" t="str">
        <f>IFERROR(__xludf.DUMMYFUNCTION("""COMPUTED_VALUE"""),"GYF")</f>
        <v>GYF</v>
      </c>
      <c r="U1977" s="215">
        <f>IFERROR(__xludf.DUMMYFUNCTION("""COMPUTED_VALUE"""),46006.37328703704)</f>
        <v>46006.37329</v>
      </c>
      <c r="V1977" s="211" t="str">
        <f>IFERROR(__xludf.DUMMYFUNCTION("""COMPUTED_VALUE"""),"Kangkungan, Lengkong, Kec. Mojoanyar, Kabupaten Mojokerto, Jawa Timur")</f>
        <v>Kangkungan, Lengkong, Kec. Mojoanyar, Kabupaten Mojokerto, Jawa Timur</v>
      </c>
      <c r="W1977" s="211" t="str">
        <f>IFERROR(__xludf.DUMMYFUNCTION("""COMPUTED_VALUE"""),"OUT")</f>
        <v>OUT</v>
      </c>
      <c r="X1977" s="211"/>
      <c r="AL1977" s="211"/>
      <c r="AM1977" s="211"/>
      <c r="AN1977" s="211"/>
      <c r="AO1977" s="211"/>
      <c r="AP1977" s="215"/>
      <c r="AQ1977" s="218"/>
      <c r="AR1977" s="211"/>
    </row>
    <row r="1978">
      <c r="A1978" s="210" t="str">
        <f>IFERROR(__xludf.DUMMYFUNCTION("""COMPUTED_VALUE"""),"1250628")</f>
        <v>1250628</v>
      </c>
      <c r="B1978" s="210" t="str">
        <f>IFERROR(__xludf.DUMMYFUNCTION("""COMPUTED_VALUE"""),"1250628")</f>
        <v>1250628</v>
      </c>
      <c r="C1978" s="213">
        <f>IFERROR(__xludf.DUMMYFUNCTION("""COMPUTED_VALUE"""),45941.4369212963)</f>
        <v>45941.43692</v>
      </c>
      <c r="D1978" s="211" t="str">
        <f>IFERROR(__xludf.DUMMYFUNCTION("""COMPUTED_VALUE"""),"8ea74d81")</f>
        <v>8ea74d81</v>
      </c>
      <c r="E1978" s="211" t="str">
        <f>IFERROR(__xludf.DUMMYFUNCTION("""COMPUTED_VALUE"""),"Bengkel Adi Putra")</f>
        <v>Bengkel Adi Putra</v>
      </c>
      <c r="F1978" s="211" t="str">
        <f>IFERROR(__xludf.DUMMYFUNCTION("""COMPUTED_VALUE"""),"ef306e54")</f>
        <v>ef306e54</v>
      </c>
      <c r="G1978" s="211" t="str">
        <f>IFERROR(__xludf.DUMMYFUNCTION("""COMPUTED_VALUE"""),"Karbondioksida")</f>
        <v>Karbondioksida</v>
      </c>
      <c r="H1978" s="211" t="str">
        <f>IFERROR(__xludf.DUMMYFUNCTION("""COMPUTED_VALUE"""),"IN")</f>
        <v>IN</v>
      </c>
      <c r="I1978" s="211" t="str">
        <f>IFERROR(__xludf.DUMMYFUNCTION("""COMPUTED_VALUE"""),"EMPTY")</f>
        <v>EMPTY</v>
      </c>
      <c r="J1978" s="211">
        <f>IFERROR(__xludf.DUMMYFUNCTION("""COMPUTED_VALUE"""),1.0)</f>
        <v>1</v>
      </c>
      <c r="K1978" s="210" t="str">
        <f>IFERROR(__xludf.DUMMYFUNCTION("""COMPUTED_VALUE"""),"13011")</f>
        <v>13011</v>
      </c>
      <c r="L1978" s="211">
        <f>IFERROR(__xludf.DUMMYFUNCTION("""COMPUTED_VALUE"""),0.0)</f>
        <v>0</v>
      </c>
      <c r="M1978" s="211"/>
      <c r="N1978" s="211"/>
      <c r="O1978" s="211"/>
      <c r="Q1978" s="210" t="str">
        <f>IFERROR(__xludf.DUMMYFUNCTION("""COMPUTED_VALUE"""),"122551978")</f>
        <v>122551978</v>
      </c>
      <c r="R1978" s="210" t="str">
        <f>IFERROR(__xludf.DUMMYFUNCTION("""COMPUTED_VALUE"""),"122551978")</f>
        <v>122551978</v>
      </c>
      <c r="S1978" s="211" t="str">
        <f>IFERROR(__xludf.DUMMYFUNCTION("""COMPUTED_VALUE"""),"734c6d17")</f>
        <v>734c6d17</v>
      </c>
      <c r="T1978" s="211" t="str">
        <f>IFERROR(__xludf.DUMMYFUNCTION("""COMPUTED_VALUE"""),"Bapak Ainol Yaqin ( Bpk. Ibnu )")</f>
        <v>Bapak Ainol Yaqin ( Bpk. Ibnu )</v>
      </c>
      <c r="U1978" s="215">
        <f>IFERROR(__xludf.DUMMYFUNCTION("""COMPUTED_VALUE"""),46006.3780787037)</f>
        <v>46006.37808</v>
      </c>
      <c r="V1978" s="211" t="str">
        <f>IFERROR(__xludf.DUMMYFUNCTION("""COMPUTED_VALUE"""),"Tanggul Wetan, Tanggul, Kec. Wonoayu, Kabupaten Sidoarjo, Jawa Timur")</f>
        <v>Tanggul Wetan, Tanggul, Kec. Wonoayu, Kabupaten Sidoarjo, Jawa Timur</v>
      </c>
      <c r="W1978" s="211" t="str">
        <f>IFERROR(__xludf.DUMMYFUNCTION("""COMPUTED_VALUE"""),"OUT")</f>
        <v>OUT</v>
      </c>
      <c r="X1978" s="211"/>
      <c r="AL1978" s="211"/>
      <c r="AM1978" s="211"/>
      <c r="AN1978" s="211"/>
      <c r="AO1978" s="211"/>
      <c r="AP1978" s="215"/>
      <c r="AQ1978" s="218"/>
      <c r="AR1978" s="211"/>
    </row>
    <row r="1979">
      <c r="A1979" s="210" t="str">
        <f>IFERROR(__xludf.DUMMYFUNCTION("""COMPUTED_VALUE"""),"1250660")</f>
        <v>1250660</v>
      </c>
      <c r="B1979" s="210" t="str">
        <f>IFERROR(__xludf.DUMMYFUNCTION("""COMPUTED_VALUE"""),"1250660")</f>
        <v>1250660</v>
      </c>
      <c r="C1979" s="213">
        <f>IFERROR(__xludf.DUMMYFUNCTION("""COMPUTED_VALUE"""),45941.437569444446)</f>
        <v>45941.43757</v>
      </c>
      <c r="D1979" s="211" t="str">
        <f>IFERROR(__xludf.DUMMYFUNCTION("""COMPUTED_VALUE"""),"ec231cc9")</f>
        <v>ec231cc9</v>
      </c>
      <c r="E1979" s="211" t="str">
        <f>IFERROR(__xludf.DUMMYFUNCTION("""COMPUTED_VALUE"""),"Bpk. Kohir (Maintenance Velg)")</f>
        <v>Bpk. Kohir (Maintenance Velg)</v>
      </c>
      <c r="F1979" s="211" t="str">
        <f>IFERROR(__xludf.DUMMYFUNCTION("""COMPUTED_VALUE"""),"8bdbe149")</f>
        <v>8bdbe149</v>
      </c>
      <c r="G1979" s="211" t="str">
        <f>IFERROR(__xludf.DUMMYFUNCTION("""COMPUTED_VALUE"""),"Oksigen 6m3")</f>
        <v>Oksigen 6m3</v>
      </c>
      <c r="H1979" s="211" t="str">
        <f>IFERROR(__xludf.DUMMYFUNCTION("""COMPUTED_VALUE"""),"IN")</f>
        <v>IN</v>
      </c>
      <c r="I1979" s="211" t="str">
        <f>IFERROR(__xludf.DUMMYFUNCTION("""COMPUTED_VALUE"""),"EMPTY")</f>
        <v>EMPTY</v>
      </c>
      <c r="J1979" s="211">
        <f>IFERROR(__xludf.DUMMYFUNCTION("""COMPUTED_VALUE"""),4.0)</f>
        <v>4</v>
      </c>
      <c r="K1979" s="210" t="str">
        <f>IFERROR(__xludf.DUMMYFUNCTION("""COMPUTED_VALUE"""),"1109 11210 11121 11201")</f>
        <v>1109 11210 11121 11201</v>
      </c>
      <c r="L1979" s="211">
        <f>IFERROR(__xludf.DUMMYFUNCTION("""COMPUTED_VALUE"""),0.0)</f>
        <v>0</v>
      </c>
      <c r="M1979" s="211"/>
      <c r="N1979" s="211"/>
      <c r="O1979" s="211"/>
      <c r="Q1979" s="210" t="str">
        <f>IFERROR(__xludf.DUMMYFUNCTION("""COMPUTED_VALUE"""),"1250937")</f>
        <v>1250937</v>
      </c>
      <c r="R1979" s="210" t="str">
        <f>IFERROR(__xludf.DUMMYFUNCTION("""COMPUTED_VALUE"""),"1250937")</f>
        <v>1250937</v>
      </c>
      <c r="S1979" s="211" t="str">
        <f>IFERROR(__xludf.DUMMYFUNCTION("""COMPUTED_VALUE"""),"03ff52db")</f>
        <v>03ff52db</v>
      </c>
      <c r="T1979" s="211" t="str">
        <f>IFERROR(__xludf.DUMMYFUNCTION("""COMPUTED_VALUE"""),"Aneka Teknik Logam")</f>
        <v>Aneka Teknik Logam</v>
      </c>
      <c r="U1979" s="215">
        <f>IFERROR(__xludf.DUMMYFUNCTION("""COMPUTED_VALUE"""),46006.38159722222)</f>
        <v>46006.3816</v>
      </c>
      <c r="V1979" s="211" t="str">
        <f>IFERROR(__xludf.DUMMYFUNCTION("""COMPUTED_VALUE"""),"HH8G+MQC, Areng Areng, Tropodo, Kec. Krian, Kabupaten Sidoarjo, Jawa Timur 61262")</f>
        <v>HH8G+MQC, Areng Areng, Tropodo, Kec. Krian, Kabupaten Sidoarjo, Jawa Timur 61262</v>
      </c>
      <c r="W1979" s="211" t="str">
        <f>IFERROR(__xludf.DUMMYFUNCTION("""COMPUTED_VALUE"""),"IN")</f>
        <v>IN</v>
      </c>
      <c r="X1979" s="211"/>
      <c r="AL1979" s="211"/>
      <c r="AM1979" s="211"/>
      <c r="AN1979" s="211"/>
      <c r="AO1979" s="211"/>
      <c r="AP1979" s="215"/>
      <c r="AQ1979" s="218"/>
      <c r="AR1979" s="211"/>
    </row>
    <row r="1980">
      <c r="A1980" s="210" t="str">
        <f>IFERROR(__xludf.DUMMYFUNCTION("""COMPUTED_VALUE"""),"1025151424")</f>
        <v>1025151424</v>
      </c>
      <c r="B1980" s="210" t="str">
        <f>IFERROR(__xludf.DUMMYFUNCTION("""COMPUTED_VALUE"""),"1025151424")</f>
        <v>1025151424</v>
      </c>
      <c r="C1980" s="213">
        <f>IFERROR(__xludf.DUMMYFUNCTION("""COMPUTED_VALUE"""),45941.534004629626)</f>
        <v>45941.534</v>
      </c>
      <c r="D1980" s="211" t="str">
        <f>IFERROR(__xludf.DUMMYFUNCTION("""COMPUTED_VALUE"""),"e968afef")</f>
        <v>e968afef</v>
      </c>
      <c r="E1980" s="211" t="str">
        <f>IFERROR(__xludf.DUMMYFUNCTION("""COMPUTED_VALUE"""),"Bpk. Agus")</f>
        <v>Bpk. Agus</v>
      </c>
      <c r="F1980" s="211" t="str">
        <f>IFERROR(__xludf.DUMMYFUNCTION("""COMPUTED_VALUE"""),"8bdbe149")</f>
        <v>8bdbe149</v>
      </c>
      <c r="G1980" s="211" t="str">
        <f>IFERROR(__xludf.DUMMYFUNCTION("""COMPUTED_VALUE"""),"Oksigen 6m3")</f>
        <v>Oksigen 6m3</v>
      </c>
      <c r="H1980" s="211" t="str">
        <f>IFERROR(__xludf.DUMMYFUNCTION("""COMPUTED_VALUE"""),"OUT")</f>
        <v>OUT</v>
      </c>
      <c r="I1980" s="211" t="str">
        <f>IFERROR(__xludf.DUMMYFUNCTION("""COMPUTED_VALUE"""),"NORMAL")</f>
        <v>NORMAL</v>
      </c>
      <c r="J1980" s="211">
        <f>IFERROR(__xludf.DUMMYFUNCTION("""COMPUTED_VALUE"""),10.0)</f>
        <v>10</v>
      </c>
      <c r="K1980" s="210" t="str">
        <f>IFERROR(__xludf.DUMMYFUNCTION("""COMPUTED_VALUE"""),"1110 1190 11186 1198 11284 1101 1184 11250 11272 11237")</f>
        <v>1110 1190 11186 1198 11284 1101 1184 11250 11272 11237</v>
      </c>
      <c r="L1980" s="211">
        <f>IFERROR(__xludf.DUMMYFUNCTION("""COMPUTED_VALUE"""),60000.0)</f>
        <v>60000</v>
      </c>
      <c r="M1980" s="211"/>
      <c r="N1980" s="211"/>
      <c r="O1980" s="211"/>
      <c r="Q1980" s="210" t="str">
        <f>IFERROR(__xludf.DUMMYFUNCTION("""COMPUTED_VALUE"""),"1250938")</f>
        <v>1250938</v>
      </c>
      <c r="R1980" s="210" t="str">
        <f>IFERROR(__xludf.DUMMYFUNCTION("""COMPUTED_VALUE"""),"1250938")</f>
        <v>1250938</v>
      </c>
      <c r="S1980" s="211" t="str">
        <f>IFERROR(__xludf.DUMMYFUNCTION("""COMPUTED_VALUE"""),"b2b5f2c5")</f>
        <v>b2b5f2c5</v>
      </c>
      <c r="T1980" s="211" t="str">
        <f>IFERROR(__xludf.DUMMYFUNCTION("""COMPUTED_VALUE"""),"Bengkel Las Bpk. Ari")</f>
        <v>Bengkel Las Bpk. Ari</v>
      </c>
      <c r="U1980" s="215">
        <f>IFERROR(__xludf.DUMMYFUNCTION("""COMPUTED_VALUE"""),46006.38233796296)</f>
        <v>46006.38234</v>
      </c>
      <c r="V1980" s="211" t="str">
        <f>IFERROR(__xludf.DUMMYFUNCTION("""COMPUTED_VALUE"""),"Sumber Kembar, Wonodadi, Kec. Kutorejo, Kabupaten Mojokerto, Jawa Timur")</f>
        <v>Sumber Kembar, Wonodadi, Kec. Kutorejo, Kabupaten Mojokerto, Jawa Timur</v>
      </c>
      <c r="W1980" s="211" t="str">
        <f>IFERROR(__xludf.DUMMYFUNCTION("""COMPUTED_VALUE"""),"IN")</f>
        <v>IN</v>
      </c>
      <c r="X1980" s="211"/>
      <c r="AL1980" s="211"/>
      <c r="AM1980" s="211"/>
      <c r="AN1980" s="211"/>
      <c r="AO1980" s="211"/>
      <c r="AP1980" s="215"/>
      <c r="AQ1980" s="218"/>
      <c r="AR1980" s="211"/>
    </row>
    <row r="1981">
      <c r="A1981" s="210" t="str">
        <f>IFERROR(__xludf.DUMMYFUNCTION("""COMPUTED_VALUE"""),"1250667")</f>
        <v>1250667</v>
      </c>
      <c r="B1981" s="210" t="str">
        <f>IFERROR(__xludf.DUMMYFUNCTION("""COMPUTED_VALUE"""),"1250667")</f>
        <v>1250667</v>
      </c>
      <c r="C1981" s="213">
        <f>IFERROR(__xludf.DUMMYFUNCTION("""COMPUTED_VALUE"""),45940.9530787037)</f>
        <v>45940.95308</v>
      </c>
      <c r="D1981" s="211" t="str">
        <f>IFERROR(__xludf.DUMMYFUNCTION("""COMPUTED_VALUE"""),"b2b5f2c5")</f>
        <v>b2b5f2c5</v>
      </c>
      <c r="E1981" s="211" t="str">
        <f>IFERROR(__xludf.DUMMYFUNCTION("""COMPUTED_VALUE"""),"Bengkel Las Bpk. Ari")</f>
        <v>Bengkel Las Bpk. Ari</v>
      </c>
      <c r="F1981" s="211" t="str">
        <f>IFERROR(__xludf.DUMMYFUNCTION("""COMPUTED_VALUE"""),"8bdbe149")</f>
        <v>8bdbe149</v>
      </c>
      <c r="G1981" s="211" t="str">
        <f>IFERROR(__xludf.DUMMYFUNCTION("""COMPUTED_VALUE"""),"Oksigen 6m3")</f>
        <v>Oksigen 6m3</v>
      </c>
      <c r="H1981" s="211" t="str">
        <f>IFERROR(__xludf.DUMMYFUNCTION("""COMPUTED_VALUE"""),"IN")</f>
        <v>IN</v>
      </c>
      <c r="I1981" s="211" t="str">
        <f>IFERROR(__xludf.DUMMYFUNCTION("""COMPUTED_VALUE"""),"EMPTY")</f>
        <v>EMPTY</v>
      </c>
      <c r="J1981" s="211">
        <f>IFERROR(__xludf.DUMMYFUNCTION("""COMPUTED_VALUE"""),2.0)</f>
        <v>2</v>
      </c>
      <c r="K1981" s="210" t="str">
        <f>IFERROR(__xludf.DUMMYFUNCTION("""COMPUTED_VALUE"""),"11118 1187")</f>
        <v>11118 1187</v>
      </c>
      <c r="L1981" s="211">
        <f>IFERROR(__xludf.DUMMYFUNCTION("""COMPUTED_VALUE"""),0.0)</f>
        <v>0</v>
      </c>
      <c r="M1981" s="211"/>
      <c r="N1981" s="211"/>
      <c r="O1981" s="211"/>
      <c r="Q1981" s="210" t="str">
        <f>IFERROR(__xludf.DUMMYFUNCTION("""COMPUTED_VALUE"""),"1250946")</f>
        <v>1250946</v>
      </c>
      <c r="R1981" s="210" t="str">
        <f>IFERROR(__xludf.DUMMYFUNCTION("""COMPUTED_VALUE"""),"1250946")</f>
        <v>1250946</v>
      </c>
      <c r="S1981" s="211" t="str">
        <f>IFERROR(__xludf.DUMMYFUNCTION("""COMPUTED_VALUE"""),"734c6d17")</f>
        <v>734c6d17</v>
      </c>
      <c r="T1981" s="211" t="str">
        <f>IFERROR(__xludf.DUMMYFUNCTION("""COMPUTED_VALUE"""),"Bapak Ainol Yaqin ( Bpk. Ibnu )")</f>
        <v>Bapak Ainol Yaqin ( Bpk. Ibnu )</v>
      </c>
      <c r="U1981" s="215">
        <f>IFERROR(__xludf.DUMMYFUNCTION("""COMPUTED_VALUE"""),46006.4200462963)</f>
        <v>46006.42005</v>
      </c>
      <c r="V1981" s="211" t="str">
        <f>IFERROR(__xludf.DUMMYFUNCTION("""COMPUTED_VALUE"""),"Tanggul Wetan, Tanggul, Kec. Wonoayu, Kabupaten Sidoarjo, Jawa Timur")</f>
        <v>Tanggul Wetan, Tanggul, Kec. Wonoayu, Kabupaten Sidoarjo, Jawa Timur</v>
      </c>
      <c r="W1981" s="211" t="str">
        <f>IFERROR(__xludf.DUMMYFUNCTION("""COMPUTED_VALUE"""),"IN")</f>
        <v>IN</v>
      </c>
      <c r="X1981" s="211"/>
      <c r="AL1981" s="211"/>
      <c r="AM1981" s="211"/>
      <c r="AN1981" s="211"/>
      <c r="AO1981" s="211"/>
      <c r="AP1981" s="215"/>
      <c r="AQ1981" s="218"/>
      <c r="AR1981" s="211"/>
    </row>
    <row r="1982">
      <c r="A1982" s="210" t="str">
        <f>IFERROR(__xludf.DUMMYFUNCTION("""COMPUTED_VALUE"""),"1250655")</f>
        <v>1250655</v>
      </c>
      <c r="B1982" s="210" t="str">
        <f>IFERROR(__xludf.DUMMYFUNCTION("""COMPUTED_VALUE"""),"1250655")</f>
        <v>1250655</v>
      </c>
      <c r="C1982" s="213">
        <f>IFERROR(__xludf.DUMMYFUNCTION("""COMPUTED_VALUE"""),45941.56730324074)</f>
        <v>45941.5673</v>
      </c>
      <c r="D1982" s="211" t="str">
        <f>IFERROR(__xludf.DUMMYFUNCTION("""COMPUTED_VALUE"""),"e86baf3b")</f>
        <v>e86baf3b</v>
      </c>
      <c r="E1982" s="211" t="str">
        <f>IFERROR(__xludf.DUMMYFUNCTION("""COMPUTED_VALUE"""),"PT GEMILANG CIPTA WAWASAN")</f>
        <v>PT GEMILANG CIPTA WAWASAN</v>
      </c>
      <c r="F1982" s="211" t="str">
        <f>IFERROR(__xludf.DUMMYFUNCTION("""COMPUTED_VALUE"""),"8bdbe149")</f>
        <v>8bdbe149</v>
      </c>
      <c r="G1982" s="211" t="str">
        <f>IFERROR(__xludf.DUMMYFUNCTION("""COMPUTED_VALUE"""),"Oksigen 6m3")</f>
        <v>Oksigen 6m3</v>
      </c>
      <c r="H1982" s="211" t="str">
        <f>IFERROR(__xludf.DUMMYFUNCTION("""COMPUTED_VALUE"""),"IN")</f>
        <v>IN</v>
      </c>
      <c r="I1982" s="211" t="str">
        <f>IFERROR(__xludf.DUMMYFUNCTION("""COMPUTED_VALUE"""),"EMPTY")</f>
        <v>EMPTY</v>
      </c>
      <c r="J1982" s="211">
        <f>IFERROR(__xludf.DUMMYFUNCTION("""COMPUTED_VALUE"""),4.0)</f>
        <v>4</v>
      </c>
      <c r="K1982" s="210" t="str">
        <f>IFERROR(__xludf.DUMMYFUNCTION("""COMPUTED_VALUE"""),"1143 11124 11102 11120")</f>
        <v>1143 11124 11102 11120</v>
      </c>
      <c r="L1982" s="211">
        <f>IFERROR(__xludf.DUMMYFUNCTION("""COMPUTED_VALUE"""),0.0)</f>
        <v>0</v>
      </c>
      <c r="M1982" s="211"/>
      <c r="N1982" s="211"/>
      <c r="O1982" s="211"/>
      <c r="Q1982" s="210" t="str">
        <f>IFERROR(__xludf.DUMMYFUNCTION("""COMPUTED_VALUE"""),"122561979")</f>
        <v>122561979</v>
      </c>
      <c r="R1982" s="210" t="str">
        <f>IFERROR(__xludf.DUMMYFUNCTION("""COMPUTED_VALUE"""),"122561979")</f>
        <v>122561979</v>
      </c>
      <c r="S1982" s="211" t="str">
        <f>IFERROR(__xludf.DUMMYFUNCTION("""COMPUTED_VALUE"""),"f8a982a4")</f>
        <v>f8a982a4</v>
      </c>
      <c r="T1982" s="211" t="str">
        <f>IFERROR(__xludf.DUMMYFUNCTION("""COMPUTED_VALUE"""),"Bpk. Nasir")</f>
        <v>Bpk. Nasir</v>
      </c>
      <c r="U1982" s="215">
        <f>IFERROR(__xludf.DUMMYFUNCTION("""COMPUTED_VALUE"""),46006.51866898148)</f>
        <v>46006.51867</v>
      </c>
      <c r="V1982" s="211" t="str">
        <f>IFERROR(__xludf.DUMMYFUNCTION("""COMPUTED_VALUE"""),"JL Raya Pacet, Dsn. Janti Ds. Jatilangkung RT.01 RW. 04. Kabupaten. Mojokerto Pungging, Jawa Timur")</f>
        <v>JL Raya Pacet, Dsn. Janti Ds. Jatilangkung RT.01 RW. 04. Kabupaten. Mojokerto Pungging, Jawa Timur</v>
      </c>
      <c r="W1982" s="211" t="str">
        <f>IFERROR(__xludf.DUMMYFUNCTION("""COMPUTED_VALUE"""),"OUT")</f>
        <v>OUT</v>
      </c>
      <c r="X1982" s="211"/>
      <c r="AL1982" s="211"/>
      <c r="AM1982" s="211"/>
      <c r="AN1982" s="211"/>
      <c r="AO1982" s="211"/>
      <c r="AP1982" s="215"/>
      <c r="AQ1982" s="218"/>
      <c r="AR1982" s="211"/>
    </row>
    <row r="1983">
      <c r="A1983" s="210" t="str">
        <f>IFERROR(__xludf.DUMMYFUNCTION("""COMPUTED_VALUE"""),"1250655")</f>
        <v>1250655</v>
      </c>
      <c r="B1983" s="210" t="str">
        <f>IFERROR(__xludf.DUMMYFUNCTION("""COMPUTED_VALUE"""),"1250655")</f>
        <v>1250655</v>
      </c>
      <c r="C1983" s="213">
        <f>IFERROR(__xludf.DUMMYFUNCTION("""COMPUTED_VALUE"""),45941.56730324074)</f>
        <v>45941.5673</v>
      </c>
      <c r="D1983" s="211" t="str">
        <f>IFERROR(__xludf.DUMMYFUNCTION("""COMPUTED_VALUE"""),"e86baf3b")</f>
        <v>e86baf3b</v>
      </c>
      <c r="E1983" s="211" t="str">
        <f>IFERROR(__xludf.DUMMYFUNCTION("""COMPUTED_VALUE"""),"PT GEMILANG CIPTA WAWASAN")</f>
        <v>PT GEMILANG CIPTA WAWASAN</v>
      </c>
      <c r="F1983" s="211" t="str">
        <f>IFERROR(__xludf.DUMMYFUNCTION("""COMPUTED_VALUE"""),"66af7c72")</f>
        <v>66af7c72</v>
      </c>
      <c r="G1983" s="211" t="str">
        <f>IFERROR(__xludf.DUMMYFUNCTION("""COMPUTED_VALUE"""),"Argon 6m3")</f>
        <v>Argon 6m3</v>
      </c>
      <c r="H1983" s="211" t="str">
        <f>IFERROR(__xludf.DUMMYFUNCTION("""COMPUTED_VALUE"""),"IN")</f>
        <v>IN</v>
      </c>
      <c r="I1983" s="211" t="str">
        <f>IFERROR(__xludf.DUMMYFUNCTION("""COMPUTED_VALUE"""),"EMPTY")</f>
        <v>EMPTY</v>
      </c>
      <c r="J1983" s="211">
        <f>IFERROR(__xludf.DUMMYFUNCTION("""COMPUTED_VALUE"""),2.0)</f>
        <v>2</v>
      </c>
      <c r="K1983" s="210" t="str">
        <f>IFERROR(__xludf.DUMMYFUNCTION("""COMPUTED_VALUE"""),"12001 12006")</f>
        <v>12001 12006</v>
      </c>
      <c r="L1983" s="211">
        <f>IFERROR(__xludf.DUMMYFUNCTION("""COMPUTED_VALUE"""),0.0)</f>
        <v>0</v>
      </c>
      <c r="M1983" s="211"/>
      <c r="N1983" s="211"/>
      <c r="O1983" s="211"/>
      <c r="Q1983" s="210" t="str">
        <f>IFERROR(__xludf.DUMMYFUNCTION("""COMPUTED_VALUE"""),"122511983")</f>
        <v>122511983</v>
      </c>
      <c r="R1983" s="210" t="str">
        <f>IFERROR(__xludf.DUMMYFUNCTION("""COMPUTED_VALUE"""),"122511983")</f>
        <v>122511983</v>
      </c>
      <c r="S1983" s="211" t="str">
        <f>IFERROR(__xludf.DUMMYFUNCTION("""COMPUTED_VALUE"""),"d46989c9")</f>
        <v>d46989c9</v>
      </c>
      <c r="T1983" s="211" t="str">
        <f>IFERROR(__xludf.DUMMYFUNCTION("""COMPUTED_VALUE"""),"UD. Alin Jaya")</f>
        <v>UD. Alin Jaya</v>
      </c>
      <c r="U1983" s="215">
        <f>IFERROR(__xludf.DUMMYFUNCTION("""COMPUTED_VALUE"""),46006.521574074075)</f>
        <v>46006.52157</v>
      </c>
      <c r="V1983"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1983" s="211" t="str">
        <f>IFERROR(__xludf.DUMMYFUNCTION("""COMPUTED_VALUE"""),"OUT")</f>
        <v>OUT</v>
      </c>
      <c r="X1983" s="211"/>
      <c r="AL1983" s="211"/>
      <c r="AM1983" s="211"/>
      <c r="AN1983" s="211"/>
      <c r="AO1983" s="211"/>
      <c r="AP1983" s="215"/>
      <c r="AQ1983" s="218"/>
      <c r="AR1983" s="211"/>
    </row>
    <row r="1984">
      <c r="A1984" s="210" t="str">
        <f>IFERROR(__xludf.DUMMYFUNCTION("""COMPUTED_VALUE"""),"1250661")</f>
        <v>1250661</v>
      </c>
      <c r="B1984" s="210" t="str">
        <f>IFERROR(__xludf.DUMMYFUNCTION("""COMPUTED_VALUE"""),"1250661")</f>
        <v>1250661</v>
      </c>
      <c r="C1984" s="213">
        <f>IFERROR(__xludf.DUMMYFUNCTION("""COMPUTED_VALUE"""),45941.58078703703)</f>
        <v>45941.58079</v>
      </c>
      <c r="D1984" s="211" t="str">
        <f>IFERROR(__xludf.DUMMYFUNCTION("""COMPUTED_VALUE"""),"e968afef")</f>
        <v>e968afef</v>
      </c>
      <c r="E1984" s="211" t="str">
        <f>IFERROR(__xludf.DUMMYFUNCTION("""COMPUTED_VALUE"""),"Bpk. Agus")</f>
        <v>Bpk. Agus</v>
      </c>
      <c r="F1984" s="211" t="str">
        <f>IFERROR(__xludf.DUMMYFUNCTION("""COMPUTED_VALUE"""),"8bdbe149")</f>
        <v>8bdbe149</v>
      </c>
      <c r="G1984" s="211" t="str">
        <f>IFERROR(__xludf.DUMMYFUNCTION("""COMPUTED_VALUE"""),"Oksigen 6m3")</f>
        <v>Oksigen 6m3</v>
      </c>
      <c r="H1984" s="211" t="str">
        <f>IFERROR(__xludf.DUMMYFUNCTION("""COMPUTED_VALUE"""),"IN")</f>
        <v>IN</v>
      </c>
      <c r="I1984" s="211" t="str">
        <f>IFERROR(__xludf.DUMMYFUNCTION("""COMPUTED_VALUE"""),"EMPTY")</f>
        <v>EMPTY</v>
      </c>
      <c r="J1984" s="211">
        <f>IFERROR(__xludf.DUMMYFUNCTION("""COMPUTED_VALUE"""),10.0)</f>
        <v>10</v>
      </c>
      <c r="K1984" s="210" t="str">
        <f>IFERROR(__xludf.DUMMYFUNCTION("""COMPUTED_VALUE"""),"1135 1194 1147 1188 11116 11181 1146 1149 11111 11103")</f>
        <v>1135 1194 1147 1188 11116 11181 1146 1149 11111 11103</v>
      </c>
      <c r="L1984" s="211">
        <f>IFERROR(__xludf.DUMMYFUNCTION("""COMPUTED_VALUE"""),0.0)</f>
        <v>0</v>
      </c>
      <c r="M1984" s="211"/>
      <c r="N1984" s="211"/>
      <c r="O1984" s="211"/>
      <c r="Q1984" s="210" t="str">
        <f>IFERROR(__xludf.DUMMYFUNCTION("""COMPUTED_VALUE"""),"122511984")</f>
        <v>122511984</v>
      </c>
      <c r="R1984" s="210" t="str">
        <f>IFERROR(__xludf.DUMMYFUNCTION("""COMPUTED_VALUE"""),"122511984")</f>
        <v>122511984</v>
      </c>
      <c r="S1984" s="211" t="str">
        <f>IFERROR(__xludf.DUMMYFUNCTION("""COMPUTED_VALUE"""),"1a1efff9")</f>
        <v>1a1efff9</v>
      </c>
      <c r="T1984" s="211" t="str">
        <f>IFERROR(__xludf.DUMMYFUNCTION("""COMPUTED_VALUE"""),"Bpk. Gito Mjs")</f>
        <v>Bpk. Gito Mjs</v>
      </c>
      <c r="U1984" s="215">
        <f>IFERROR(__xludf.DUMMYFUNCTION("""COMPUTED_VALUE"""),46006.52193287037)</f>
        <v>46006.52193</v>
      </c>
      <c r="V1984" s="211" t="str">
        <f>IFERROR(__xludf.DUMMYFUNCTION("""COMPUTED_VALUE"""),"FGRX+QQP, Kemloko, Jotangan, Kec. Mojosari, Kabupaten Mojokerto, Jawa Timur 61382")</f>
        <v>FGRX+QQP, Kemloko, Jotangan, Kec. Mojosari, Kabupaten Mojokerto, Jawa Timur 61382</v>
      </c>
      <c r="W1984" s="211" t="str">
        <f>IFERROR(__xludf.DUMMYFUNCTION("""COMPUTED_VALUE"""),"OUT")</f>
        <v>OUT</v>
      </c>
      <c r="X1984" s="211"/>
      <c r="AL1984" s="211"/>
      <c r="AM1984" s="211"/>
      <c r="AN1984" s="211"/>
      <c r="AO1984" s="211"/>
      <c r="AP1984" s="215"/>
      <c r="AQ1984" s="218"/>
      <c r="AR1984" s="211"/>
    </row>
    <row r="1985">
      <c r="A1985" s="210" t="str">
        <f>IFERROR(__xludf.DUMMYFUNCTION("""COMPUTED_VALUE"""),"1025141427")</f>
        <v>1025141427</v>
      </c>
      <c r="B1985" s="210" t="str">
        <f>IFERROR(__xludf.DUMMYFUNCTION("""COMPUTED_VALUE"""),"1025141427")</f>
        <v>1025141427</v>
      </c>
      <c r="C1985" s="213">
        <f>IFERROR(__xludf.DUMMYFUNCTION("""COMPUTED_VALUE"""),45943.418078703704)</f>
        <v>45943.41808</v>
      </c>
      <c r="D1985" s="211" t="str">
        <f>IFERROR(__xludf.DUMMYFUNCTION("""COMPUTED_VALUE"""),"d78b2eaf")</f>
        <v>d78b2eaf</v>
      </c>
      <c r="E1985" s="211" t="str">
        <f>IFERROR(__xludf.DUMMYFUNCTION("""COMPUTED_VALUE"""),"PT Sinar Indogreen Kencana")</f>
        <v>PT Sinar Indogreen Kencana</v>
      </c>
      <c r="F1985" s="211" t="str">
        <f>IFERROR(__xludf.DUMMYFUNCTION("""COMPUTED_VALUE"""),"be525f3b")</f>
        <v>be525f3b</v>
      </c>
      <c r="G1985" s="211" t="str">
        <f>IFERROR(__xludf.DUMMYFUNCTION("""COMPUTED_VALUE"""),"LPG 12kg")</f>
        <v>LPG 12kg</v>
      </c>
      <c r="H1985" s="211" t="str">
        <f>IFERROR(__xludf.DUMMYFUNCTION("""COMPUTED_VALUE"""),"OUT")</f>
        <v>OUT</v>
      </c>
      <c r="I1985" s="211" t="str">
        <f>IFERROR(__xludf.DUMMYFUNCTION("""COMPUTED_VALUE"""),"NORMAL")</f>
        <v>NORMAL</v>
      </c>
      <c r="J1985" s="211">
        <f>IFERROR(__xludf.DUMMYFUNCTION("""COMPUTED_VALUE"""),1.0)</f>
        <v>1</v>
      </c>
      <c r="K1985" s="210" t="str">
        <f>IFERROR(__xludf.DUMMYFUNCTION("""COMPUTED_VALUE"""),"01")</f>
        <v>01</v>
      </c>
      <c r="L1985" s="211">
        <f>IFERROR(__xludf.DUMMYFUNCTION("""COMPUTED_VALUE"""),189189.19)</f>
        <v>189189.19</v>
      </c>
      <c r="M1985" s="211"/>
      <c r="N1985" s="211"/>
      <c r="O1985" s="211"/>
      <c r="Q1985" s="210" t="str">
        <f>IFERROR(__xludf.DUMMYFUNCTION("""COMPUTED_VALUE"""),"1250955")</f>
        <v>1250955</v>
      </c>
      <c r="R1985" s="210" t="str">
        <f>IFERROR(__xludf.DUMMYFUNCTION("""COMPUTED_VALUE"""),"1250955")</f>
        <v>1250955</v>
      </c>
      <c r="S1985" s="211" t="str">
        <f>IFERROR(__xludf.DUMMYFUNCTION("""COMPUTED_VALUE"""),"01158be1")</f>
        <v>01158be1</v>
      </c>
      <c r="T1985" s="211" t="str">
        <f>IFERROR(__xludf.DUMMYFUNCTION("""COMPUTED_VALUE"""),"GYF")</f>
        <v>GYF</v>
      </c>
      <c r="U1985" s="215">
        <f>IFERROR(__xludf.DUMMYFUNCTION("""COMPUTED_VALUE"""),46006.53212962963)</f>
        <v>46006.53213</v>
      </c>
      <c r="V1985" s="211" t="str">
        <f>IFERROR(__xludf.DUMMYFUNCTION("""COMPUTED_VALUE"""),"Kangkungan, Lengkong, Kec. Mojoanyar, Kabupaten Mojokerto, Jawa Timur")</f>
        <v>Kangkungan, Lengkong, Kec. Mojoanyar, Kabupaten Mojokerto, Jawa Timur</v>
      </c>
      <c r="W1985" s="211" t="str">
        <f>IFERROR(__xludf.DUMMYFUNCTION("""COMPUTED_VALUE"""),"IN")</f>
        <v>IN</v>
      </c>
      <c r="X1985" s="211"/>
      <c r="AL1985" s="211"/>
      <c r="AM1985" s="211"/>
      <c r="AN1985" s="211"/>
      <c r="AO1985" s="211"/>
      <c r="AP1985" s="215"/>
      <c r="AQ1985" s="218"/>
      <c r="AR1985" s="211"/>
    </row>
    <row r="1986">
      <c r="A1986" s="210" t="str">
        <f>IFERROR(__xludf.DUMMYFUNCTION("""COMPUTED_VALUE"""),"102531431")</f>
        <v>102531431</v>
      </c>
      <c r="B1986" s="210" t="str">
        <f>IFERROR(__xludf.DUMMYFUNCTION("""COMPUTED_VALUE"""),"102531431")</f>
        <v>102531431</v>
      </c>
      <c r="C1986" s="213">
        <f>IFERROR(__xludf.DUMMYFUNCTION("""COMPUTED_VALUE"""),45943.43068287037)</f>
        <v>45943.43068</v>
      </c>
      <c r="D1986" s="211" t="str">
        <f>IFERROR(__xludf.DUMMYFUNCTION("""COMPUTED_VALUE"""),"9e31e9f4")</f>
        <v>9e31e9f4</v>
      </c>
      <c r="E1986" s="211" t="str">
        <f>IFERROR(__xludf.DUMMYFUNCTION("""COMPUTED_VALUE"""),"Bpk. Eko Iswantoro")</f>
        <v>Bpk. Eko Iswantoro</v>
      </c>
      <c r="F1986" s="211" t="str">
        <f>IFERROR(__xludf.DUMMYFUNCTION("""COMPUTED_VALUE"""),"8bdbe149")</f>
        <v>8bdbe149</v>
      </c>
      <c r="G1986" s="211" t="str">
        <f>IFERROR(__xludf.DUMMYFUNCTION("""COMPUTED_VALUE"""),"Oksigen 6m3")</f>
        <v>Oksigen 6m3</v>
      </c>
      <c r="H1986" s="211" t="str">
        <f>IFERROR(__xludf.DUMMYFUNCTION("""COMPUTED_VALUE"""),"OUT")</f>
        <v>OUT</v>
      </c>
      <c r="I1986" s="211" t="str">
        <f>IFERROR(__xludf.DUMMYFUNCTION("""COMPUTED_VALUE"""),"NORMAL")</f>
        <v>NORMAL</v>
      </c>
      <c r="J1986" s="211">
        <f>IFERROR(__xludf.DUMMYFUNCTION("""COMPUTED_VALUE"""),2.0)</f>
        <v>2</v>
      </c>
      <c r="K1986" s="210" t="str">
        <f>IFERROR(__xludf.DUMMYFUNCTION("""COMPUTED_VALUE"""),"11121 11201")</f>
        <v>11121 11201</v>
      </c>
      <c r="L1986" s="211">
        <f>IFERROR(__xludf.DUMMYFUNCTION("""COMPUTED_VALUE"""),70000.0)</f>
        <v>70000</v>
      </c>
      <c r="M1986" s="211"/>
      <c r="N1986" s="211"/>
      <c r="O1986" s="211"/>
      <c r="Q1986" s="210" t="str">
        <f>IFERROR(__xludf.DUMMYFUNCTION("""COMPUTED_VALUE"""),"1250939")</f>
        <v>1250939</v>
      </c>
      <c r="R1986" s="210" t="str">
        <f>IFERROR(__xludf.DUMMYFUNCTION("""COMPUTED_VALUE"""),"1250939")</f>
        <v>1250939</v>
      </c>
      <c r="S1986" s="211" t="str">
        <f>IFERROR(__xludf.DUMMYFUNCTION("""COMPUTED_VALUE"""),"9b941888")</f>
        <v>9b941888</v>
      </c>
      <c r="T1986" s="211" t="str">
        <f>IFERROR(__xludf.DUMMYFUNCTION("""COMPUTED_VALUE"""),"Mas Devi ( Parengan )")</f>
        <v>Mas Devi ( Parengan )</v>
      </c>
      <c r="U1986" s="215">
        <f>IFERROR(__xludf.DUMMYFUNCTION("""COMPUTED_VALUE"""),46006.53486111111)</f>
        <v>46006.53486</v>
      </c>
      <c r="V1986" s="211" t="str">
        <f>IFERROR(__xludf.DUMMYFUNCTION("""COMPUTED_VALUE"""),"Kraton Krian Sidoarjo, ( sebelah tower listrik )")</f>
        <v>Kraton Krian Sidoarjo, ( sebelah tower listrik )</v>
      </c>
      <c r="W1986" s="211" t="str">
        <f>IFERROR(__xludf.DUMMYFUNCTION("""COMPUTED_VALUE"""),"IN")</f>
        <v>IN</v>
      </c>
      <c r="X1986" s="211"/>
      <c r="AL1986" s="211"/>
      <c r="AM1986" s="211"/>
      <c r="AN1986" s="211"/>
      <c r="AO1986" s="211"/>
      <c r="AP1986" s="215"/>
      <c r="AQ1986" s="218"/>
      <c r="AR1986" s="211"/>
    </row>
    <row r="1987">
      <c r="A1987" s="210" t="str">
        <f>IFERROR(__xludf.DUMMYFUNCTION("""COMPUTED_VALUE"""),"102531432")</f>
        <v>102531432</v>
      </c>
      <c r="B1987" s="210" t="str">
        <f>IFERROR(__xludf.DUMMYFUNCTION("""COMPUTED_VALUE"""),"102531432")</f>
        <v>102531432</v>
      </c>
      <c r="C1987" s="213">
        <f>IFERROR(__xludf.DUMMYFUNCTION("""COMPUTED_VALUE"""),45943.43388888889)</f>
        <v>45943.43389</v>
      </c>
      <c r="D1987" s="211" t="str">
        <f>IFERROR(__xludf.DUMMYFUNCTION("""COMPUTED_VALUE"""),"56828503")</f>
        <v>56828503</v>
      </c>
      <c r="E1987" s="211" t="str">
        <f>IFERROR(__xludf.DUMMYFUNCTION("""COMPUTED_VALUE"""),"Bpk. Widodo (Wringinanom)")</f>
        <v>Bpk. Widodo (Wringinanom)</v>
      </c>
      <c r="F1987" s="211" t="str">
        <f>IFERROR(__xludf.DUMMYFUNCTION("""COMPUTED_VALUE"""),"8bdbe149")</f>
        <v>8bdbe149</v>
      </c>
      <c r="G1987" s="211" t="str">
        <f>IFERROR(__xludf.DUMMYFUNCTION("""COMPUTED_VALUE"""),"Oksigen 6m3")</f>
        <v>Oksigen 6m3</v>
      </c>
      <c r="H1987" s="211" t="str">
        <f>IFERROR(__xludf.DUMMYFUNCTION("""COMPUTED_VALUE"""),"OUT")</f>
        <v>OUT</v>
      </c>
      <c r="I1987" s="211" t="str">
        <f>IFERROR(__xludf.DUMMYFUNCTION("""COMPUTED_VALUE"""),"NORMAL")</f>
        <v>NORMAL</v>
      </c>
      <c r="J1987" s="211">
        <f>IFERROR(__xludf.DUMMYFUNCTION("""COMPUTED_VALUE"""),10.0)</f>
        <v>10</v>
      </c>
      <c r="K1987" s="210" t="str">
        <f>IFERROR(__xludf.DUMMYFUNCTION("""COMPUTED_VALUE"""),"1109 1187 11124 11120 11102 1143 11118 11114 11210 1110")</f>
        <v>1109 1187 11124 11120 11102 1143 11118 11114 11210 1110</v>
      </c>
      <c r="L1987" s="211">
        <f>IFERROR(__xludf.DUMMYFUNCTION("""COMPUTED_VALUE"""),55000.0)</f>
        <v>55000</v>
      </c>
      <c r="M1987" s="211"/>
      <c r="N1987" s="211"/>
      <c r="O1987" s="211"/>
      <c r="Q1987" s="210" t="str">
        <f>IFERROR(__xludf.DUMMYFUNCTION("""COMPUTED_VALUE"""),"1250956")</f>
        <v>1250956</v>
      </c>
      <c r="R1987" s="210" t="str">
        <f>IFERROR(__xludf.DUMMYFUNCTION("""COMPUTED_VALUE"""),"1250956")</f>
        <v>1250956</v>
      </c>
      <c r="S1987" s="211" t="str">
        <f>IFERROR(__xludf.DUMMYFUNCTION("""COMPUTED_VALUE"""),"b2b5f2c5")</f>
        <v>b2b5f2c5</v>
      </c>
      <c r="T1987" s="211" t="str">
        <f>IFERROR(__xludf.DUMMYFUNCTION("""COMPUTED_VALUE"""),"Bengkel Las Bpk. Ari")</f>
        <v>Bengkel Las Bpk. Ari</v>
      </c>
      <c r="U1987" s="215">
        <f>IFERROR(__xludf.DUMMYFUNCTION("""COMPUTED_VALUE"""),46006.53570601852)</f>
        <v>46006.53571</v>
      </c>
      <c r="V1987" s="211" t="str">
        <f>IFERROR(__xludf.DUMMYFUNCTION("""COMPUTED_VALUE"""),"Sumber Kembar, Wonodadi, Kec. Kutorejo, Kabupaten Mojokerto, Jawa Timur")</f>
        <v>Sumber Kembar, Wonodadi, Kec. Kutorejo, Kabupaten Mojokerto, Jawa Timur</v>
      </c>
      <c r="W1987" s="211" t="str">
        <f>IFERROR(__xludf.DUMMYFUNCTION("""COMPUTED_VALUE"""),"IN")</f>
        <v>IN</v>
      </c>
      <c r="X1987" s="211"/>
      <c r="AL1987" s="211"/>
      <c r="AM1987" s="211"/>
      <c r="AN1987" s="211"/>
      <c r="AO1987" s="211"/>
      <c r="AP1987" s="215"/>
      <c r="AQ1987" s="218"/>
      <c r="AR1987" s="211"/>
    </row>
    <row r="1988">
      <c r="A1988" s="210" t="str">
        <f>IFERROR(__xludf.DUMMYFUNCTION("""COMPUTED_VALUE"""),"1025131433")</f>
        <v>1025131433</v>
      </c>
      <c r="B1988" s="210" t="str">
        <f>IFERROR(__xludf.DUMMYFUNCTION("""COMPUTED_VALUE"""),"1025131433")</f>
        <v>1025131433</v>
      </c>
      <c r="C1988" s="213">
        <f>IFERROR(__xludf.DUMMYFUNCTION("""COMPUTED_VALUE"""),45943.440671296295)</f>
        <v>45943.44067</v>
      </c>
      <c r="D1988" s="211" t="str">
        <f>IFERROR(__xludf.DUMMYFUNCTION("""COMPUTED_VALUE"""),"4ec68cf6")</f>
        <v>4ec68cf6</v>
      </c>
      <c r="E1988" s="211" t="str">
        <f>IFERROR(__xludf.DUMMYFUNCTION("""COMPUTED_VALUE"""),"CV Sido Mukti Karya")</f>
        <v>CV Sido Mukti Karya</v>
      </c>
      <c r="F1988" s="211" t="str">
        <f>IFERROR(__xludf.DUMMYFUNCTION("""COMPUTED_VALUE"""),"ef306e54")</f>
        <v>ef306e54</v>
      </c>
      <c r="G1988" s="211" t="str">
        <f>IFERROR(__xludf.DUMMYFUNCTION("""COMPUTED_VALUE"""),"Karbondioksida")</f>
        <v>Karbondioksida</v>
      </c>
      <c r="H1988" s="211" t="str">
        <f>IFERROR(__xludf.DUMMYFUNCTION("""COMPUTED_VALUE"""),"OUT")</f>
        <v>OUT</v>
      </c>
      <c r="I1988" s="211" t="str">
        <f>IFERROR(__xludf.DUMMYFUNCTION("""COMPUTED_VALUE"""),"NORMAL")</f>
        <v>NORMAL</v>
      </c>
      <c r="J1988" s="211">
        <f>IFERROR(__xludf.DUMMYFUNCTION("""COMPUTED_VALUE"""),1.0)</f>
        <v>1</v>
      </c>
      <c r="K1988" s="210" t="str">
        <f>IFERROR(__xludf.DUMMYFUNCTION("""COMPUTED_VALUE"""),"13003")</f>
        <v>13003</v>
      </c>
      <c r="L1988" s="211">
        <f>IFERROR(__xludf.DUMMYFUNCTION("""COMPUTED_VALUE"""),170000.0)</f>
        <v>170000</v>
      </c>
      <c r="M1988" s="211"/>
      <c r="N1988" s="211"/>
      <c r="O1988" s="211"/>
      <c r="Q1988" s="210" t="str">
        <f>IFERROR(__xludf.DUMMYFUNCTION("""COMPUTED_VALUE"""),"122551985")</f>
        <v>122551985</v>
      </c>
      <c r="R1988" s="210" t="str">
        <f>IFERROR(__xludf.DUMMYFUNCTION("""COMPUTED_VALUE"""),"122551985")</f>
        <v>122551985</v>
      </c>
      <c r="S1988" s="211" t="str">
        <f>IFERROR(__xludf.DUMMYFUNCTION("""COMPUTED_VALUE"""),"ed4307f6")</f>
        <v>ed4307f6</v>
      </c>
      <c r="T1988" s="211" t="str">
        <f>IFERROR(__xludf.DUMMYFUNCTION("""COMPUTED_VALUE"""),"Bpk. Andi (Jetis)")</f>
        <v>Bpk. Andi (Jetis)</v>
      </c>
      <c r="U1988" s="215">
        <f>IFERROR(__xludf.DUMMYFUNCTION("""COMPUTED_VALUE"""),46006.57986111111)</f>
        <v>46006.57986</v>
      </c>
      <c r="V1988" s="211" t="str">
        <f>IFERROR(__xludf.DUMMYFUNCTION("""COMPUTED_VALUE"""),"HFH9+P7 Pelabuhan Kidul, Jetis, Kec. Jetis, Kabupaten Mojokerto, Jawa Timur, Indonesia")</f>
        <v>HFH9+P7 Pelabuhan Kidul, Jetis, Kec. Jetis, Kabupaten Mojokerto, Jawa Timur, Indonesia</v>
      </c>
      <c r="W1988" s="211" t="str">
        <f>IFERROR(__xludf.DUMMYFUNCTION("""COMPUTED_VALUE"""),"OUT")</f>
        <v>OUT</v>
      </c>
      <c r="X1988" s="211"/>
      <c r="AL1988" s="211"/>
      <c r="AM1988" s="211"/>
      <c r="AN1988" s="211"/>
      <c r="AO1988" s="211"/>
      <c r="AP1988" s="215"/>
      <c r="AQ1988" s="218"/>
      <c r="AR1988" s="211"/>
    </row>
    <row r="1989">
      <c r="A1989" s="210" t="str">
        <f>IFERROR(__xludf.DUMMYFUNCTION("""COMPUTED_VALUE"""),"1025281434")</f>
        <v>1025281434</v>
      </c>
      <c r="B1989" s="210" t="str">
        <f>IFERROR(__xludf.DUMMYFUNCTION("""COMPUTED_VALUE"""),"1025281434")</f>
        <v>1025281434</v>
      </c>
      <c r="C1989" s="213">
        <f>IFERROR(__xludf.DUMMYFUNCTION("""COMPUTED_VALUE"""),45943.48337962963)</f>
        <v>45943.48338</v>
      </c>
      <c r="D1989" s="211" t="str">
        <f>IFERROR(__xludf.DUMMYFUNCTION("""COMPUTED_VALUE"""),"5f23ba17")</f>
        <v>5f23ba17</v>
      </c>
      <c r="E1989" s="211" t="str">
        <f>IFERROR(__xludf.DUMMYFUNCTION("""COMPUTED_VALUE"""),"Bpk. Joko (Gresik)")</f>
        <v>Bpk. Joko (Gresik)</v>
      </c>
      <c r="F1989" s="211" t="str">
        <f>IFERROR(__xludf.DUMMYFUNCTION("""COMPUTED_VALUE"""),"be525f3b")</f>
        <v>be525f3b</v>
      </c>
      <c r="G1989" s="211" t="str">
        <f>IFERROR(__xludf.DUMMYFUNCTION("""COMPUTED_VALUE"""),"LPG 12kg")</f>
        <v>LPG 12kg</v>
      </c>
      <c r="H1989" s="211" t="str">
        <f>IFERROR(__xludf.DUMMYFUNCTION("""COMPUTED_VALUE"""),"OUT")</f>
        <v>OUT</v>
      </c>
      <c r="I1989" s="211" t="str">
        <f>IFERROR(__xludf.DUMMYFUNCTION("""COMPUTED_VALUE"""),"NORMAL")</f>
        <v>NORMAL</v>
      </c>
      <c r="J1989" s="211">
        <f>IFERROR(__xludf.DUMMYFUNCTION("""COMPUTED_VALUE"""),5.0)</f>
        <v>5</v>
      </c>
      <c r="K1989" s="211"/>
      <c r="L1989" s="211">
        <f>IFERROR(__xludf.DUMMYFUNCTION("""COMPUTED_VALUE"""),200000.0)</f>
        <v>200000</v>
      </c>
      <c r="M1989" s="211"/>
      <c r="N1989" s="211"/>
      <c r="O1989" s="211"/>
      <c r="Q1989" s="210" t="str">
        <f>IFERROR(__xludf.DUMMYFUNCTION("""COMPUTED_VALUE"""),"4122511878")</f>
        <v>4122511878</v>
      </c>
      <c r="R1989" s="210" t="str">
        <f>IFERROR(__xludf.DUMMYFUNCTION("""COMPUTED_VALUE"""),"4122511878")</f>
        <v>4122511878</v>
      </c>
      <c r="S1989" s="211" t="str">
        <f>IFERROR(__xludf.DUMMYFUNCTION("""COMPUTED_VALUE"""),"ed4307f6")</f>
        <v>ed4307f6</v>
      </c>
      <c r="T1989" s="211" t="str">
        <f>IFERROR(__xludf.DUMMYFUNCTION("""COMPUTED_VALUE"""),"Bpk. Andi (Jetis)")</f>
        <v>Bpk. Andi (Jetis)</v>
      </c>
      <c r="U1989" s="215">
        <f>IFERROR(__xludf.DUMMYFUNCTION("""COMPUTED_VALUE"""),46006.580046296294)</f>
        <v>46006.58005</v>
      </c>
      <c r="V1989" s="211" t="str">
        <f>IFERROR(__xludf.DUMMYFUNCTION("""COMPUTED_VALUE"""),"HFH9+P7 Pelabuhan Kidul, Jetis, Kec. Jetis, Kabupaten Mojokerto, Jawa Timur, Indonesia")</f>
        <v>HFH9+P7 Pelabuhan Kidul, Jetis, Kec. Jetis, Kabupaten Mojokerto, Jawa Timur, Indonesia</v>
      </c>
      <c r="W1989" s="211" t="str">
        <f>IFERROR(__xludf.DUMMYFUNCTION("""COMPUTED_VALUE"""),"OTHER")</f>
        <v>OTHER</v>
      </c>
      <c r="X1989" s="211"/>
      <c r="AL1989" s="211"/>
      <c r="AM1989" s="211"/>
      <c r="AN1989" s="211"/>
      <c r="AO1989" s="211"/>
      <c r="AP1989" s="215"/>
      <c r="AQ1989" s="218"/>
      <c r="AR1989" s="211"/>
    </row>
    <row r="1990">
      <c r="A1990" s="210" t="str">
        <f>IFERROR(__xludf.DUMMYFUNCTION("""COMPUTED_VALUE"""),"1250656")</f>
        <v>1250656</v>
      </c>
      <c r="B1990" s="210" t="str">
        <f>IFERROR(__xludf.DUMMYFUNCTION("""COMPUTED_VALUE"""),"1250656")</f>
        <v>1250656</v>
      </c>
      <c r="C1990" s="213">
        <f>IFERROR(__xludf.DUMMYFUNCTION("""COMPUTED_VALUE"""),45943.51568287037)</f>
        <v>45943.51568</v>
      </c>
      <c r="D1990" s="211" t="str">
        <f>IFERROR(__xludf.DUMMYFUNCTION("""COMPUTED_VALUE"""),"4ec68cf6")</f>
        <v>4ec68cf6</v>
      </c>
      <c r="E1990" s="211" t="str">
        <f>IFERROR(__xludf.DUMMYFUNCTION("""COMPUTED_VALUE"""),"CV Sido Mukti Karya")</f>
        <v>CV Sido Mukti Karya</v>
      </c>
      <c r="F1990" s="211" t="str">
        <f>IFERROR(__xludf.DUMMYFUNCTION("""COMPUTED_VALUE"""),"ef306e54")</f>
        <v>ef306e54</v>
      </c>
      <c r="G1990" s="211" t="str">
        <f>IFERROR(__xludf.DUMMYFUNCTION("""COMPUTED_VALUE"""),"Karbondioksida")</f>
        <v>Karbondioksida</v>
      </c>
      <c r="H1990" s="211" t="str">
        <f>IFERROR(__xludf.DUMMYFUNCTION("""COMPUTED_VALUE"""),"IN")</f>
        <v>IN</v>
      </c>
      <c r="I1990" s="211" t="str">
        <f>IFERROR(__xludf.DUMMYFUNCTION("""COMPUTED_VALUE"""),"EMPTY")</f>
        <v>EMPTY</v>
      </c>
      <c r="J1990" s="211">
        <f>IFERROR(__xludf.DUMMYFUNCTION("""COMPUTED_VALUE"""),1.0)</f>
        <v>1</v>
      </c>
      <c r="K1990" s="210" t="str">
        <f>IFERROR(__xludf.DUMMYFUNCTION("""COMPUTED_VALUE"""),"13035")</f>
        <v>13035</v>
      </c>
      <c r="L1990" s="211">
        <f>IFERROR(__xludf.DUMMYFUNCTION("""COMPUTED_VALUE"""),0.0)</f>
        <v>0</v>
      </c>
      <c r="M1990" s="211"/>
      <c r="N1990" s="211"/>
      <c r="O1990" s="211"/>
      <c r="Q1990" s="210" t="str">
        <f>IFERROR(__xludf.DUMMYFUNCTION("""COMPUTED_VALUE"""),"1250947")</f>
        <v>1250947</v>
      </c>
      <c r="R1990" s="210" t="str">
        <f>IFERROR(__xludf.DUMMYFUNCTION("""COMPUTED_VALUE"""),"1250947")</f>
        <v>1250947</v>
      </c>
      <c r="S1990" s="211" t="str">
        <f>IFERROR(__xludf.DUMMYFUNCTION("""COMPUTED_VALUE"""),"ed4307f6")</f>
        <v>ed4307f6</v>
      </c>
      <c r="T1990" s="211" t="str">
        <f>IFERROR(__xludf.DUMMYFUNCTION("""COMPUTED_VALUE"""),"Bpk. Andi (Jetis)")</f>
        <v>Bpk. Andi (Jetis)</v>
      </c>
      <c r="U1990" s="215">
        <f>IFERROR(__xludf.DUMMYFUNCTION("""COMPUTED_VALUE"""),46006.610451388886)</f>
        <v>46006.61045</v>
      </c>
      <c r="V1990" s="211" t="str">
        <f>IFERROR(__xludf.DUMMYFUNCTION("""COMPUTED_VALUE"""),"HFH9+P7 Pelabuhan Kidul, Jetis, Kec. Jetis, Kabupaten Mojokerto, Jawa Timur, Indonesia")</f>
        <v>HFH9+P7 Pelabuhan Kidul, Jetis, Kec. Jetis, Kabupaten Mojokerto, Jawa Timur, Indonesia</v>
      </c>
      <c r="W1990" s="211" t="str">
        <f>IFERROR(__xludf.DUMMYFUNCTION("""COMPUTED_VALUE"""),"IN")</f>
        <v>IN</v>
      </c>
      <c r="X1990" s="211"/>
      <c r="AL1990" s="211"/>
      <c r="AM1990" s="211"/>
      <c r="AN1990" s="211"/>
      <c r="AO1990" s="211"/>
      <c r="AP1990" s="215"/>
      <c r="AQ1990" s="218"/>
      <c r="AR1990" s="211"/>
    </row>
    <row r="1991">
      <c r="A1991" s="210" t="str">
        <f>IFERROR(__xludf.DUMMYFUNCTION("""COMPUTED_VALUE"""),"1250658")</f>
        <v>1250658</v>
      </c>
      <c r="B1991" s="210" t="str">
        <f>IFERROR(__xludf.DUMMYFUNCTION("""COMPUTED_VALUE"""),"1250658")</f>
        <v>1250658</v>
      </c>
      <c r="C1991" s="213">
        <f>IFERROR(__xludf.DUMMYFUNCTION("""COMPUTED_VALUE"""),45943.51634259259)</f>
        <v>45943.51634</v>
      </c>
      <c r="D1991" s="211" t="str">
        <f>IFERROR(__xludf.DUMMYFUNCTION("""COMPUTED_VALUE"""),"ec231cc9")</f>
        <v>ec231cc9</v>
      </c>
      <c r="E1991" s="211" t="str">
        <f>IFERROR(__xludf.DUMMYFUNCTION("""COMPUTED_VALUE"""),"Bpk. Kohir (Maintenance Velg)")</f>
        <v>Bpk. Kohir (Maintenance Velg)</v>
      </c>
      <c r="F1991" s="211" t="str">
        <f>IFERROR(__xludf.DUMMYFUNCTION("""COMPUTED_VALUE"""),"ef306e54")</f>
        <v>ef306e54</v>
      </c>
      <c r="G1991" s="211" t="str">
        <f>IFERROR(__xludf.DUMMYFUNCTION("""COMPUTED_VALUE"""),"Karbondioksida")</f>
        <v>Karbondioksida</v>
      </c>
      <c r="H1991" s="211" t="str">
        <f>IFERROR(__xludf.DUMMYFUNCTION("""COMPUTED_VALUE"""),"IN")</f>
        <v>IN</v>
      </c>
      <c r="I1991" s="211" t="str">
        <f>IFERROR(__xludf.DUMMYFUNCTION("""COMPUTED_VALUE"""),"EMPTY")</f>
        <v>EMPTY</v>
      </c>
      <c r="J1991" s="211">
        <f>IFERROR(__xludf.DUMMYFUNCTION("""COMPUTED_VALUE"""),1.0)</f>
        <v>1</v>
      </c>
      <c r="K1991" s="210" t="str">
        <f>IFERROR(__xludf.DUMMYFUNCTION("""COMPUTED_VALUE"""),"13027")</f>
        <v>13027</v>
      </c>
      <c r="L1991" s="211">
        <f>IFERROR(__xludf.DUMMYFUNCTION("""COMPUTED_VALUE"""),0.0)</f>
        <v>0</v>
      </c>
      <c r="M1991" s="211"/>
      <c r="N1991" s="211"/>
      <c r="O1991" s="211"/>
      <c r="Q1991" s="210" t="str">
        <f>IFERROR(__xludf.DUMMYFUNCTION("""COMPUTED_VALUE"""),"1225541989")</f>
        <v>1225541989</v>
      </c>
      <c r="R1991" s="210" t="str">
        <f>IFERROR(__xludf.DUMMYFUNCTION("""COMPUTED_VALUE"""),"1225541989")</f>
        <v>1225541989</v>
      </c>
      <c r="S1991" s="211" t="str">
        <f>IFERROR(__xludf.DUMMYFUNCTION("""COMPUTED_VALUE"""),"b2b5f2c5")</f>
        <v>b2b5f2c5</v>
      </c>
      <c r="T1991" s="211" t="str">
        <f>IFERROR(__xludf.DUMMYFUNCTION("""COMPUTED_VALUE"""),"Bengkel Las Bpk. Ari")</f>
        <v>Bengkel Las Bpk. Ari</v>
      </c>
      <c r="U1991" s="215">
        <f>IFERROR(__xludf.DUMMYFUNCTION("""COMPUTED_VALUE"""),46006.69016203703)</f>
        <v>46006.69016</v>
      </c>
      <c r="V1991" s="211" t="str">
        <f>IFERROR(__xludf.DUMMYFUNCTION("""COMPUTED_VALUE"""),"Sumber Kembar, Wonodadi, Kec. Kutorejo, Kabupaten Mojokerto, Jawa Timur")</f>
        <v>Sumber Kembar, Wonodadi, Kec. Kutorejo, Kabupaten Mojokerto, Jawa Timur</v>
      </c>
      <c r="W1991" s="211" t="str">
        <f>IFERROR(__xludf.DUMMYFUNCTION("""COMPUTED_VALUE"""),"OUT")</f>
        <v>OUT</v>
      </c>
      <c r="X1991" s="211"/>
      <c r="AL1991" s="211"/>
      <c r="AM1991" s="211"/>
      <c r="AN1991" s="211"/>
      <c r="AO1991" s="211"/>
      <c r="AP1991" s="215"/>
      <c r="AQ1991" s="218"/>
      <c r="AR1991" s="211"/>
    </row>
    <row r="1992">
      <c r="A1992" s="210" t="str">
        <f>IFERROR(__xludf.DUMMYFUNCTION("""COMPUTED_VALUE"""),"1250657")</f>
        <v>1250657</v>
      </c>
      <c r="B1992" s="210" t="str">
        <f>IFERROR(__xludf.DUMMYFUNCTION("""COMPUTED_VALUE"""),"1250657")</f>
        <v>1250657</v>
      </c>
      <c r="C1992" s="213">
        <f>IFERROR(__xludf.DUMMYFUNCTION("""COMPUTED_VALUE"""),45943.5168287037)</f>
        <v>45943.51683</v>
      </c>
      <c r="D1992" s="211" t="str">
        <f>IFERROR(__xludf.DUMMYFUNCTION("""COMPUTED_VALUE"""),"d78b2eaf")</f>
        <v>d78b2eaf</v>
      </c>
      <c r="E1992" s="211" t="str">
        <f>IFERROR(__xludf.DUMMYFUNCTION("""COMPUTED_VALUE"""),"PT Sinar Indogreen Kencana")</f>
        <v>PT Sinar Indogreen Kencana</v>
      </c>
      <c r="F1992" s="211" t="str">
        <f>IFERROR(__xludf.DUMMYFUNCTION("""COMPUTED_VALUE"""),"be525f3b")</f>
        <v>be525f3b</v>
      </c>
      <c r="G1992" s="211" t="str">
        <f>IFERROR(__xludf.DUMMYFUNCTION("""COMPUTED_VALUE"""),"LPG 12kg")</f>
        <v>LPG 12kg</v>
      </c>
      <c r="H1992" s="211" t="str">
        <f>IFERROR(__xludf.DUMMYFUNCTION("""COMPUTED_VALUE"""),"IN")</f>
        <v>IN</v>
      </c>
      <c r="I1992" s="211" t="str">
        <f>IFERROR(__xludf.DUMMYFUNCTION("""COMPUTED_VALUE"""),"EMPTY")</f>
        <v>EMPTY</v>
      </c>
      <c r="J1992" s="211">
        <f>IFERROR(__xludf.DUMMYFUNCTION("""COMPUTED_VALUE"""),1.0)</f>
        <v>1</v>
      </c>
      <c r="K1992" s="211"/>
      <c r="L1992" s="211">
        <f>IFERROR(__xludf.DUMMYFUNCTION("""COMPUTED_VALUE"""),0.0)</f>
        <v>0</v>
      </c>
      <c r="M1992" s="211"/>
      <c r="N1992" s="211"/>
      <c r="O1992" s="211"/>
      <c r="Q1992" s="210" t="str">
        <f>IFERROR(__xludf.DUMMYFUNCTION("""COMPUTED_VALUE"""),"122591992")</f>
        <v>122591992</v>
      </c>
      <c r="R1992" s="210" t="str">
        <f>IFERROR(__xludf.DUMMYFUNCTION("""COMPUTED_VALUE"""),"122591992")</f>
        <v>122591992</v>
      </c>
      <c r="S1992" s="211" t="str">
        <f>IFERROR(__xludf.DUMMYFUNCTION("""COMPUTED_VALUE"""),"a0f0ad2d")</f>
        <v>a0f0ad2d</v>
      </c>
      <c r="T1992" s="211" t="str">
        <f>IFERROR(__xludf.DUMMYFUNCTION("""COMPUTED_VALUE"""),"CV. Yulie Jaya")</f>
        <v>CV. Yulie Jaya</v>
      </c>
      <c r="U1992" s="215">
        <f>IFERROR(__xludf.DUMMYFUNCTION("""COMPUTED_VALUE"""),46007.35030092593)</f>
        <v>46007.3503</v>
      </c>
      <c r="V1992" s="211" t="str">
        <f>IFERROR(__xludf.DUMMYFUNCTION("""COMPUTED_VALUE"""),"JJH4+6RV, Badas, Barengkrajan, Kec. Krian, Kabupaten Sidoarjo, Jawa Timur 61262")</f>
        <v>JJH4+6RV, Badas, Barengkrajan, Kec. Krian, Kabupaten Sidoarjo, Jawa Timur 61262</v>
      </c>
      <c r="W1992" s="211" t="str">
        <f>IFERROR(__xludf.DUMMYFUNCTION("""COMPUTED_VALUE"""),"OUT")</f>
        <v>OUT</v>
      </c>
      <c r="X1992" s="211"/>
      <c r="AL1992" s="211"/>
      <c r="AM1992" s="211"/>
      <c r="AN1992" s="211"/>
      <c r="AO1992" s="211"/>
      <c r="AP1992" s="215"/>
      <c r="AQ1992" s="218"/>
      <c r="AR1992" s="211"/>
    </row>
    <row r="1993">
      <c r="A1993" s="210" t="str">
        <f>IFERROR(__xludf.DUMMYFUNCTION("""COMPUTED_VALUE"""),"1250662")</f>
        <v>1250662</v>
      </c>
      <c r="B1993" s="210" t="str">
        <f>IFERROR(__xludf.DUMMYFUNCTION("""COMPUTED_VALUE"""),"1250662")</f>
        <v>1250662</v>
      </c>
      <c r="C1993" s="213">
        <f>IFERROR(__xludf.DUMMYFUNCTION("""COMPUTED_VALUE"""),45943.53596064815)</f>
        <v>45943.53596</v>
      </c>
      <c r="D1993" s="211" t="str">
        <f>IFERROR(__xludf.DUMMYFUNCTION("""COMPUTED_VALUE"""),"56828503")</f>
        <v>56828503</v>
      </c>
      <c r="E1993" s="211" t="str">
        <f>IFERROR(__xludf.DUMMYFUNCTION("""COMPUTED_VALUE"""),"Bpk. Widodo (Wringinanom)")</f>
        <v>Bpk. Widodo (Wringinanom)</v>
      </c>
      <c r="F1993" s="211" t="str">
        <f>IFERROR(__xludf.DUMMYFUNCTION("""COMPUTED_VALUE"""),"8bdbe149")</f>
        <v>8bdbe149</v>
      </c>
      <c r="G1993" s="211" t="str">
        <f>IFERROR(__xludf.DUMMYFUNCTION("""COMPUTED_VALUE"""),"Oksigen 6m3")</f>
        <v>Oksigen 6m3</v>
      </c>
      <c r="H1993" s="211" t="str">
        <f>IFERROR(__xludf.DUMMYFUNCTION("""COMPUTED_VALUE"""),"IN")</f>
        <v>IN</v>
      </c>
      <c r="I1993" s="211" t="str">
        <f>IFERROR(__xludf.DUMMYFUNCTION("""COMPUTED_VALUE"""),"EMPTY")</f>
        <v>EMPTY</v>
      </c>
      <c r="J1993" s="211">
        <f>IFERROR(__xludf.DUMMYFUNCTION("""COMPUTED_VALUE"""),5.0)</f>
        <v>5</v>
      </c>
      <c r="K1993" s="210" t="str">
        <f>IFERROR(__xludf.DUMMYFUNCTION("""COMPUTED_VALUE"""),"11191 1139 11279 11208 11177")</f>
        <v>11191 1139 11279 11208 11177</v>
      </c>
      <c r="L1993" s="211">
        <f>IFERROR(__xludf.DUMMYFUNCTION("""COMPUTED_VALUE"""),0.0)</f>
        <v>0</v>
      </c>
      <c r="M1993" s="211"/>
      <c r="N1993" s="211"/>
      <c r="O1993" s="211"/>
      <c r="Q1993" s="210" t="str">
        <f>IFERROR(__xludf.DUMMYFUNCTION("""COMPUTED_VALUE"""),"122521993")</f>
        <v>122521993</v>
      </c>
      <c r="R1993" s="210" t="str">
        <f>IFERROR(__xludf.DUMMYFUNCTION("""COMPUTED_VALUE"""),"122521993")</f>
        <v>122521993</v>
      </c>
      <c r="S1993" s="211" t="str">
        <f>IFERROR(__xludf.DUMMYFUNCTION("""COMPUTED_VALUE"""),"a1508027")</f>
        <v>a1508027</v>
      </c>
      <c r="T1993" s="211" t="str">
        <f>IFERROR(__xludf.DUMMYFUNCTION("""COMPUTED_VALUE"""),"Agus Budiono")</f>
        <v>Agus Budiono</v>
      </c>
      <c r="U1993" s="215">
        <f>IFERROR(__xludf.DUMMYFUNCTION("""COMPUTED_VALUE"""),46007.3566087963)</f>
        <v>46007.35661</v>
      </c>
      <c r="V1993" s="211" t="str">
        <f>IFERROR(__xludf.DUMMYFUNCTION("""COMPUTED_VALUE"""),"Kraton RT.13 RW. 03 Kraton Krian Sidoarjo")</f>
        <v>Kraton RT.13 RW. 03 Kraton Krian Sidoarjo</v>
      </c>
      <c r="W1993" s="211" t="str">
        <f>IFERROR(__xludf.DUMMYFUNCTION("""COMPUTED_VALUE"""),"OUT")</f>
        <v>OUT</v>
      </c>
      <c r="X1993" s="211"/>
      <c r="AL1993" s="211"/>
      <c r="AM1993" s="211"/>
      <c r="AN1993" s="211"/>
      <c r="AO1993" s="211"/>
      <c r="AP1993" s="215"/>
      <c r="AQ1993" s="218"/>
      <c r="AR1993" s="211"/>
    </row>
    <row r="1994">
      <c r="A1994" s="210" t="str">
        <f>IFERROR(__xludf.DUMMYFUNCTION("""COMPUTED_VALUE"""),"1250663")</f>
        <v>1250663</v>
      </c>
      <c r="B1994" s="210" t="str">
        <f>IFERROR(__xludf.DUMMYFUNCTION("""COMPUTED_VALUE"""),"1250663")</f>
        <v>1250663</v>
      </c>
      <c r="C1994" s="213">
        <f>IFERROR(__xludf.DUMMYFUNCTION("""COMPUTED_VALUE"""),45943.537094907406)</f>
        <v>45943.53709</v>
      </c>
      <c r="D1994" s="211" t="str">
        <f>IFERROR(__xludf.DUMMYFUNCTION("""COMPUTED_VALUE"""),"5f23ba17")</f>
        <v>5f23ba17</v>
      </c>
      <c r="E1994" s="211" t="str">
        <f>IFERROR(__xludf.DUMMYFUNCTION("""COMPUTED_VALUE"""),"Bpk. Joko (Gresik)")</f>
        <v>Bpk. Joko (Gresik)</v>
      </c>
      <c r="F1994" s="211" t="str">
        <f>IFERROR(__xludf.DUMMYFUNCTION("""COMPUTED_VALUE"""),"8bdbe149")</f>
        <v>8bdbe149</v>
      </c>
      <c r="G1994" s="211" t="str">
        <f>IFERROR(__xludf.DUMMYFUNCTION("""COMPUTED_VALUE"""),"Oksigen 6m3")</f>
        <v>Oksigen 6m3</v>
      </c>
      <c r="H1994" s="211" t="str">
        <f>IFERROR(__xludf.DUMMYFUNCTION("""COMPUTED_VALUE"""),"IN")</f>
        <v>IN</v>
      </c>
      <c r="I1994" s="211" t="str">
        <f>IFERROR(__xludf.DUMMYFUNCTION("""COMPUTED_VALUE"""),"EMPTY")</f>
        <v>EMPTY</v>
      </c>
      <c r="J1994" s="211">
        <f>IFERROR(__xludf.DUMMYFUNCTION("""COMPUTED_VALUE"""),2.0)</f>
        <v>2</v>
      </c>
      <c r="K1994" s="210" t="str">
        <f>IFERROR(__xludf.DUMMYFUNCTION("""COMPUTED_VALUE"""),"11288 11241")</f>
        <v>11288 11241</v>
      </c>
      <c r="L1994" s="211">
        <f>IFERROR(__xludf.DUMMYFUNCTION("""COMPUTED_VALUE"""),0.0)</f>
        <v>0</v>
      </c>
      <c r="M1994" s="211"/>
      <c r="N1994" s="211"/>
      <c r="O1994" s="211"/>
      <c r="Q1994" s="210" t="str">
        <f>IFERROR(__xludf.DUMMYFUNCTION("""COMPUTED_VALUE"""),"1250948")</f>
        <v>1250948</v>
      </c>
      <c r="R1994" s="210" t="str">
        <f>IFERROR(__xludf.DUMMYFUNCTION("""COMPUTED_VALUE"""),"1250948")</f>
        <v>1250948</v>
      </c>
      <c r="S1994" s="211" t="str">
        <f>IFERROR(__xludf.DUMMYFUNCTION("""COMPUTED_VALUE"""),"3b04351a")</f>
        <v>3b04351a</v>
      </c>
      <c r="T1994" s="211" t="str">
        <f>IFERROR(__xludf.DUMMYFUNCTION("""COMPUTED_VALUE"""),"CV Usaha Logam Jaya ( Bpk Putra )")</f>
        <v>CV Usaha Logam Jaya ( Bpk Putra )</v>
      </c>
      <c r="U1994" s="215">
        <f>IFERROR(__xludf.DUMMYFUNCTION("""COMPUTED_VALUE"""),46007.35724537037)</f>
        <v>46007.35725</v>
      </c>
      <c r="V1994" s="211" t="str">
        <f>IFERROR(__xludf.DUMMYFUNCTION("""COMPUTED_VALUE"""),"Jl. Raya Wringinanom, Sidomoro, Pasinan Lemahputih, Kec. Wringinanom, Kabupaten Gresik, Jawa Timur 61176")</f>
        <v>Jl. Raya Wringinanom, Sidomoro, Pasinan Lemahputih, Kec. Wringinanom, Kabupaten Gresik, Jawa Timur 61176</v>
      </c>
      <c r="W1994" s="211" t="str">
        <f>IFERROR(__xludf.DUMMYFUNCTION("""COMPUTED_VALUE"""),"IN")</f>
        <v>IN</v>
      </c>
      <c r="X1994" s="211"/>
      <c r="AL1994" s="211"/>
      <c r="AM1994" s="211"/>
      <c r="AN1994" s="211"/>
      <c r="AO1994" s="211"/>
      <c r="AP1994" s="215"/>
      <c r="AQ1994" s="218"/>
      <c r="AR1994" s="211"/>
    </row>
    <row r="1995">
      <c r="A1995" s="210" t="str">
        <f>IFERROR(__xludf.DUMMYFUNCTION("""COMPUTED_VALUE"""),"1250663")</f>
        <v>1250663</v>
      </c>
      <c r="B1995" s="210" t="str">
        <f>IFERROR(__xludf.DUMMYFUNCTION("""COMPUTED_VALUE"""),"1250663")</f>
        <v>1250663</v>
      </c>
      <c r="C1995" s="213">
        <f>IFERROR(__xludf.DUMMYFUNCTION("""COMPUTED_VALUE"""),45943.537094907406)</f>
        <v>45943.53709</v>
      </c>
      <c r="D1995" s="211" t="str">
        <f>IFERROR(__xludf.DUMMYFUNCTION("""COMPUTED_VALUE"""),"5f23ba17")</f>
        <v>5f23ba17</v>
      </c>
      <c r="E1995" s="211" t="str">
        <f>IFERROR(__xludf.DUMMYFUNCTION("""COMPUTED_VALUE"""),"Bpk. Joko (Gresik)")</f>
        <v>Bpk. Joko (Gresik)</v>
      </c>
      <c r="F1995" s="211" t="str">
        <f>IFERROR(__xludf.DUMMYFUNCTION("""COMPUTED_VALUE"""),"be525f3b")</f>
        <v>be525f3b</v>
      </c>
      <c r="G1995" s="211" t="str">
        <f>IFERROR(__xludf.DUMMYFUNCTION("""COMPUTED_VALUE"""),"LPG 12kg")</f>
        <v>LPG 12kg</v>
      </c>
      <c r="H1995" s="211" t="str">
        <f>IFERROR(__xludf.DUMMYFUNCTION("""COMPUTED_VALUE"""),"IN")</f>
        <v>IN</v>
      </c>
      <c r="I1995" s="211" t="str">
        <f>IFERROR(__xludf.DUMMYFUNCTION("""COMPUTED_VALUE"""),"EMPTY")</f>
        <v>EMPTY</v>
      </c>
      <c r="J1995" s="211">
        <f>IFERROR(__xludf.DUMMYFUNCTION("""COMPUTED_VALUE"""),4.0)</f>
        <v>4</v>
      </c>
      <c r="K1995" s="211"/>
      <c r="L1995" s="211">
        <f>IFERROR(__xludf.DUMMYFUNCTION("""COMPUTED_VALUE"""),0.0)</f>
        <v>0</v>
      </c>
      <c r="M1995" s="211"/>
      <c r="N1995" s="211"/>
      <c r="O1995" s="211"/>
      <c r="Q1995" s="210" t="str">
        <f>IFERROR(__xludf.DUMMYFUNCTION("""COMPUTED_VALUE"""),"1250957")</f>
        <v>1250957</v>
      </c>
      <c r="R1995" s="210" t="str">
        <f>IFERROR(__xludf.DUMMYFUNCTION("""COMPUTED_VALUE"""),"1250957")</f>
        <v>1250957</v>
      </c>
      <c r="S1995" s="211" t="str">
        <f>IFERROR(__xludf.DUMMYFUNCTION("""COMPUTED_VALUE"""),"e76bc39c")</f>
        <v>e76bc39c</v>
      </c>
      <c r="T1995" s="211" t="str">
        <f>IFERROR(__xludf.DUMMYFUNCTION("""COMPUTED_VALUE"""),"Bpk. Irul")</f>
        <v>Bpk. Irul</v>
      </c>
      <c r="U1995" s="215">
        <f>IFERROR(__xludf.DUMMYFUNCTION("""COMPUTED_VALUE"""),46007.36577546296)</f>
        <v>46007.36578</v>
      </c>
      <c r="V1995" s="211" t="str">
        <f>IFERROR(__xludf.DUMMYFUNCTION("""COMPUTED_VALUE"""),"Jl. Mayjen Bambang Yuwono, Ciro Kulon, Bakungtemenggungan, Kec. BalongBendo, Kabupaten Sidoarjo, Jawa Timur 61263")</f>
        <v>Jl. Mayjen Bambang Yuwono, Ciro Kulon, Bakungtemenggungan, Kec. BalongBendo, Kabupaten Sidoarjo, Jawa Timur 61263</v>
      </c>
      <c r="W1995" s="211" t="str">
        <f>IFERROR(__xludf.DUMMYFUNCTION("""COMPUTED_VALUE"""),"IN")</f>
        <v>IN</v>
      </c>
      <c r="X1995" s="211"/>
      <c r="AL1995" s="211"/>
      <c r="AM1995" s="211"/>
      <c r="AN1995" s="211"/>
      <c r="AO1995" s="211"/>
      <c r="AP1995" s="215"/>
      <c r="AQ1995" s="218"/>
      <c r="AR1995" s="211"/>
    </row>
    <row r="1996">
      <c r="A1996" s="210" t="str">
        <f>IFERROR(__xludf.DUMMYFUNCTION("""COMPUTED_VALUE"""),"1250663")</f>
        <v>1250663</v>
      </c>
      <c r="B1996" s="210" t="str">
        <f>IFERROR(__xludf.DUMMYFUNCTION("""COMPUTED_VALUE"""),"1250663")</f>
        <v>1250663</v>
      </c>
      <c r="C1996" s="213">
        <f>IFERROR(__xludf.DUMMYFUNCTION("""COMPUTED_VALUE"""),45943.537094907406)</f>
        <v>45943.53709</v>
      </c>
      <c r="D1996" s="211" t="str">
        <f>IFERROR(__xludf.DUMMYFUNCTION("""COMPUTED_VALUE"""),"5f23ba17")</f>
        <v>5f23ba17</v>
      </c>
      <c r="E1996" s="211" t="str">
        <f>IFERROR(__xludf.DUMMYFUNCTION("""COMPUTED_VALUE"""),"Bpk. Joko (Gresik)")</f>
        <v>Bpk. Joko (Gresik)</v>
      </c>
      <c r="F1996" s="211" t="str">
        <f>IFERROR(__xludf.DUMMYFUNCTION("""COMPUTED_VALUE"""),"439cf836")</f>
        <v>439cf836</v>
      </c>
      <c r="G1996" s="211" t="str">
        <f>IFERROR(__xludf.DUMMYFUNCTION("""COMPUTED_VALUE"""),"Karbondioksida MR")</f>
        <v>Karbondioksida MR</v>
      </c>
      <c r="H1996" s="211" t="str">
        <f>IFERROR(__xludf.DUMMYFUNCTION("""COMPUTED_VALUE"""),"IN")</f>
        <v>IN</v>
      </c>
      <c r="I1996" s="211" t="str">
        <f>IFERROR(__xludf.DUMMYFUNCTION("""COMPUTED_VALUE"""),"EMPTY")</f>
        <v>EMPTY</v>
      </c>
      <c r="J1996" s="211">
        <f>IFERROR(__xludf.DUMMYFUNCTION("""COMPUTED_VALUE"""),1.0)</f>
        <v>1</v>
      </c>
      <c r="K1996" s="210" t="str">
        <f>IFERROR(__xludf.DUMMYFUNCTION("""COMPUTED_VALUE"""),"01")</f>
        <v>01</v>
      </c>
      <c r="L1996" s="211">
        <f>IFERROR(__xludf.DUMMYFUNCTION("""COMPUTED_VALUE"""),0.0)</f>
        <v>0</v>
      </c>
      <c r="M1996" s="211"/>
      <c r="N1996" s="211"/>
      <c r="O1996" s="211"/>
      <c r="Q1996" s="210" t="str">
        <f>IFERROR(__xludf.DUMMYFUNCTION("""COMPUTED_VALUE"""),"1250949")</f>
        <v>1250949</v>
      </c>
      <c r="R1996" s="210" t="str">
        <f>IFERROR(__xludf.DUMMYFUNCTION("""COMPUTED_VALUE"""),"1250949")</f>
        <v>1250949</v>
      </c>
      <c r="S1996" s="211" t="str">
        <f>IFERROR(__xludf.DUMMYFUNCTION("""COMPUTED_VALUE"""),"a0f0ad2d")</f>
        <v>a0f0ad2d</v>
      </c>
      <c r="T1996" s="211" t="str">
        <f>IFERROR(__xludf.DUMMYFUNCTION("""COMPUTED_VALUE"""),"CV. Yulie Jaya")</f>
        <v>CV. Yulie Jaya</v>
      </c>
      <c r="U1996" s="215">
        <f>IFERROR(__xludf.DUMMYFUNCTION("""COMPUTED_VALUE"""),46007.42722222222)</f>
        <v>46007.42722</v>
      </c>
      <c r="V1996" s="211" t="str">
        <f>IFERROR(__xludf.DUMMYFUNCTION("""COMPUTED_VALUE"""),"JJH4+6RV, Badas, Barengkrajan, Kec. Krian, Kabupaten Sidoarjo, Jawa Timur 61262")</f>
        <v>JJH4+6RV, Badas, Barengkrajan, Kec. Krian, Kabupaten Sidoarjo, Jawa Timur 61262</v>
      </c>
      <c r="W1996" s="211" t="str">
        <f>IFERROR(__xludf.DUMMYFUNCTION("""COMPUTED_VALUE"""),"IN")</f>
        <v>IN</v>
      </c>
      <c r="X1996" s="211"/>
      <c r="AL1996" s="211"/>
      <c r="AM1996" s="211"/>
      <c r="AN1996" s="211"/>
      <c r="AO1996" s="211"/>
      <c r="AP1996" s="215"/>
      <c r="AQ1996" s="218"/>
      <c r="AR1996" s="211"/>
    </row>
    <row r="1997">
      <c r="A1997" s="210" t="str">
        <f>IFERROR(__xludf.DUMMYFUNCTION("""COMPUTED_VALUE"""),"1025141435")</f>
        <v>1025141435</v>
      </c>
      <c r="B1997" s="210" t="str">
        <f>IFERROR(__xludf.DUMMYFUNCTION("""COMPUTED_VALUE"""),"1025141435")</f>
        <v>1025141435</v>
      </c>
      <c r="C1997" s="213">
        <f>IFERROR(__xludf.DUMMYFUNCTION("""COMPUTED_VALUE"""),45943.612592592595)</f>
        <v>45943.61259</v>
      </c>
      <c r="D1997" s="211" t="str">
        <f>IFERROR(__xludf.DUMMYFUNCTION("""COMPUTED_VALUE"""),"4ec68cf6")</f>
        <v>4ec68cf6</v>
      </c>
      <c r="E1997" s="211" t="str">
        <f>IFERROR(__xludf.DUMMYFUNCTION("""COMPUTED_VALUE"""),"CV Sido Mukti Karya")</f>
        <v>CV Sido Mukti Karya</v>
      </c>
      <c r="F1997" s="211" t="str">
        <f>IFERROR(__xludf.DUMMYFUNCTION("""COMPUTED_VALUE"""),"ef306e54")</f>
        <v>ef306e54</v>
      </c>
      <c r="G1997" s="211" t="str">
        <f>IFERROR(__xludf.DUMMYFUNCTION("""COMPUTED_VALUE"""),"Karbondioksida")</f>
        <v>Karbondioksida</v>
      </c>
      <c r="H1997" s="211" t="str">
        <f>IFERROR(__xludf.DUMMYFUNCTION("""COMPUTED_VALUE"""),"OUT")</f>
        <v>OUT</v>
      </c>
      <c r="I1997" s="211" t="str">
        <f>IFERROR(__xludf.DUMMYFUNCTION("""COMPUTED_VALUE"""),"NORMAL")</f>
        <v>NORMAL</v>
      </c>
      <c r="J1997" s="211">
        <f>IFERROR(__xludf.DUMMYFUNCTION("""COMPUTED_VALUE"""),3.0)</f>
        <v>3</v>
      </c>
      <c r="K1997" s="210" t="str">
        <f>IFERROR(__xludf.DUMMYFUNCTION("""COMPUTED_VALUE"""),"13027 13035 13029")</f>
        <v>13027 13035 13029</v>
      </c>
      <c r="L1997" s="211">
        <f>IFERROR(__xludf.DUMMYFUNCTION("""COMPUTED_VALUE"""),170000.0)</f>
        <v>170000</v>
      </c>
      <c r="M1997" s="211"/>
      <c r="N1997" s="211"/>
      <c r="O1997" s="211"/>
      <c r="Q1997" s="210" t="str">
        <f>IFERROR(__xludf.DUMMYFUNCTION("""COMPUTED_VALUE"""),"1250961")</f>
        <v>1250961</v>
      </c>
      <c r="R1997" s="210" t="str">
        <f>IFERROR(__xludf.DUMMYFUNCTION("""COMPUTED_VALUE"""),"1250961")</f>
        <v>1250961</v>
      </c>
      <c r="S1997" s="211" t="str">
        <f>IFERROR(__xludf.DUMMYFUNCTION("""COMPUTED_VALUE"""),"b218b89b")</f>
        <v>b218b89b</v>
      </c>
      <c r="T1997" s="211" t="str">
        <f>IFERROR(__xludf.DUMMYFUNCTION("""COMPUTED_VALUE"""),"PT Harapan Sentosa")</f>
        <v>PT Harapan Sentosa</v>
      </c>
      <c r="U1997" s="215">
        <f>IFERROR(__xludf.DUMMYFUNCTION("""COMPUTED_VALUE"""),46007.62226851852)</f>
        <v>46007.62227</v>
      </c>
      <c r="V1997" s="211" t="str">
        <f>IFERROR(__xludf.DUMMYFUNCTION("""COMPUTED_VALUE"""),"Seketi, Jl. Purboyo II Selatan, RT.02/RW.02, Seketi, Kec. BalongBendo, Kabupaten Sidoarjo, Jawa Timur 61263")</f>
        <v>Seketi, Jl. Purboyo II Selatan, RT.02/RW.02, Seketi, Kec. BalongBendo, Kabupaten Sidoarjo, Jawa Timur 61263</v>
      </c>
      <c r="W1997" s="211" t="str">
        <f>IFERROR(__xludf.DUMMYFUNCTION("""COMPUTED_VALUE"""),"IN")</f>
        <v>IN</v>
      </c>
      <c r="X1997" s="211"/>
      <c r="AL1997" s="211"/>
      <c r="AM1997" s="211"/>
      <c r="AN1997" s="211"/>
      <c r="AO1997" s="211"/>
      <c r="AP1997" s="215"/>
      <c r="AQ1997" s="218"/>
      <c r="AR1997" s="211"/>
    </row>
    <row r="1998">
      <c r="A1998" s="210" t="str">
        <f>IFERROR(__xludf.DUMMYFUNCTION("""COMPUTED_VALUE"""),"1250663")</f>
        <v>1250663</v>
      </c>
      <c r="B1998" s="210" t="str">
        <f>IFERROR(__xludf.DUMMYFUNCTION("""COMPUTED_VALUE"""),"1250663")</f>
        <v>1250663</v>
      </c>
      <c r="C1998" s="213">
        <f>IFERROR(__xludf.DUMMYFUNCTION("""COMPUTED_VALUE"""),45943.537094907406)</f>
        <v>45943.53709</v>
      </c>
      <c r="D1998" s="211" t="str">
        <f>IFERROR(__xludf.DUMMYFUNCTION("""COMPUTED_VALUE"""),"5f23ba17")</f>
        <v>5f23ba17</v>
      </c>
      <c r="E1998" s="211" t="str">
        <f>IFERROR(__xludf.DUMMYFUNCTION("""COMPUTED_VALUE"""),"Bpk. Joko (Gresik)")</f>
        <v>Bpk. Joko (Gresik)</v>
      </c>
      <c r="F1998" s="211" t="str">
        <f>IFERROR(__xludf.DUMMYFUNCTION("""COMPUTED_VALUE"""),"f6aab7a9")</f>
        <v>f6aab7a9</v>
      </c>
      <c r="G1998" s="211" t="str">
        <f>IFERROR(__xludf.DUMMYFUNCTION("""COMPUTED_VALUE"""),"Oksigen 6m3 MR")</f>
        <v>Oksigen 6m3 MR</v>
      </c>
      <c r="H1998" s="211" t="str">
        <f>IFERROR(__xludf.DUMMYFUNCTION("""COMPUTED_VALUE"""),"IN")</f>
        <v>IN</v>
      </c>
      <c r="I1998" s="211" t="str">
        <f>IFERROR(__xludf.DUMMYFUNCTION("""COMPUTED_VALUE"""),"EMPTY")</f>
        <v>EMPTY</v>
      </c>
      <c r="J1998" s="211">
        <f>IFERROR(__xludf.DUMMYFUNCTION("""COMPUTED_VALUE"""),5.0)</f>
        <v>5</v>
      </c>
      <c r="K1998" s="211"/>
      <c r="L1998" s="211">
        <f>IFERROR(__xludf.DUMMYFUNCTION("""COMPUTED_VALUE"""),0.0)</f>
        <v>0</v>
      </c>
      <c r="M1998" s="211"/>
      <c r="N1998" s="211"/>
      <c r="O1998" s="211"/>
      <c r="Q1998" s="210" t="str">
        <f>IFERROR(__xludf.DUMMYFUNCTION("""COMPUTED_VALUE"""),"1250962")</f>
        <v>1250962</v>
      </c>
      <c r="R1998" s="210" t="str">
        <f>IFERROR(__xludf.DUMMYFUNCTION("""COMPUTED_VALUE"""),"1250962")</f>
        <v>1250962</v>
      </c>
      <c r="S1998" s="211" t="str">
        <f>IFERROR(__xludf.DUMMYFUNCTION("""COMPUTED_VALUE"""),"63fc688a")</f>
        <v>63fc688a</v>
      </c>
      <c r="T1998" s="211" t="str">
        <f>IFERROR(__xludf.DUMMYFUNCTION("""COMPUTED_VALUE"""),"CV Malik Nusantara")</f>
        <v>CV Malik Nusantara</v>
      </c>
      <c r="U1998" s="215">
        <f>IFERROR(__xludf.DUMMYFUNCTION("""COMPUTED_VALUE"""),46007.622662037036)</f>
        <v>46007.62266</v>
      </c>
      <c r="V1998" s="211" t="str">
        <f>IFERROR(__xludf.DUMMYFUNCTION("""COMPUTED_VALUE"""),"Jl. Raya Balongbendo No.12, Suwaluh Utara, Suwaluh, Kec. BalongBendo, Kabupaten Sidoarjo, Jawa Timur 61263")</f>
        <v>Jl. Raya Balongbendo No.12, Suwaluh Utara, Suwaluh, Kec. BalongBendo, Kabupaten Sidoarjo, Jawa Timur 61263</v>
      </c>
      <c r="W1998" s="211" t="str">
        <f>IFERROR(__xludf.DUMMYFUNCTION("""COMPUTED_VALUE"""),"IN")</f>
        <v>IN</v>
      </c>
      <c r="X1998" s="211"/>
      <c r="AL1998" s="211"/>
      <c r="AM1998" s="211"/>
      <c r="AN1998" s="211"/>
      <c r="AO1998" s="211"/>
      <c r="AP1998" s="215"/>
      <c r="AQ1998" s="218"/>
      <c r="AR1998" s="211"/>
    </row>
    <row r="1999">
      <c r="A1999" s="210" t="str">
        <f>IFERROR(__xludf.DUMMYFUNCTION("""COMPUTED_VALUE"""),"1250664")</f>
        <v>1250664</v>
      </c>
      <c r="B1999" s="210" t="str">
        <f>IFERROR(__xludf.DUMMYFUNCTION("""COMPUTED_VALUE"""),"1250664")</f>
        <v>1250664</v>
      </c>
      <c r="C1999" s="213">
        <f>IFERROR(__xludf.DUMMYFUNCTION("""COMPUTED_VALUE"""),45943.67273148148)</f>
        <v>45943.67273</v>
      </c>
      <c r="D1999" s="211" t="str">
        <f>IFERROR(__xludf.DUMMYFUNCTION("""COMPUTED_VALUE"""),"5f23ba17")</f>
        <v>5f23ba17</v>
      </c>
      <c r="E1999" s="211" t="str">
        <f>IFERROR(__xludf.DUMMYFUNCTION("""COMPUTED_VALUE"""),"Bpk. Joko (Gresik)")</f>
        <v>Bpk. Joko (Gresik)</v>
      </c>
      <c r="F1999" s="211" t="str">
        <f>IFERROR(__xludf.DUMMYFUNCTION("""COMPUTED_VALUE"""),"be525f3b")</f>
        <v>be525f3b</v>
      </c>
      <c r="G1999" s="211" t="str">
        <f>IFERROR(__xludf.DUMMYFUNCTION("""COMPUTED_VALUE"""),"LPG 12kg")</f>
        <v>LPG 12kg</v>
      </c>
      <c r="H1999" s="211" t="str">
        <f>IFERROR(__xludf.DUMMYFUNCTION("""COMPUTED_VALUE"""),"IN")</f>
        <v>IN</v>
      </c>
      <c r="I1999" s="211" t="str">
        <f>IFERROR(__xludf.DUMMYFUNCTION("""COMPUTED_VALUE"""),"EMPTY")</f>
        <v>EMPTY</v>
      </c>
      <c r="J1999" s="211">
        <f>IFERROR(__xludf.DUMMYFUNCTION("""COMPUTED_VALUE"""),1.0)</f>
        <v>1</v>
      </c>
      <c r="K1999" s="211"/>
      <c r="L1999" s="211">
        <f>IFERROR(__xludf.DUMMYFUNCTION("""COMPUTED_VALUE"""),0.0)</f>
        <v>0</v>
      </c>
      <c r="M1999" s="211"/>
      <c r="N1999" s="211"/>
      <c r="O1999" s="211"/>
      <c r="Q1999" s="210" t="str">
        <f>IFERROR(__xludf.DUMMYFUNCTION("""COMPUTED_VALUE"""),"1250960")</f>
        <v>1250960</v>
      </c>
      <c r="R1999" s="210" t="str">
        <f>IFERROR(__xludf.DUMMYFUNCTION("""COMPUTED_VALUE"""),"1250960")</f>
        <v>1250960</v>
      </c>
      <c r="S1999" s="211" t="str">
        <f>IFERROR(__xludf.DUMMYFUNCTION("""COMPUTED_VALUE"""),"2d88931c")</f>
        <v>2d88931c</v>
      </c>
      <c r="T1999" s="211" t="str">
        <f>IFERROR(__xludf.DUMMYFUNCTION("""COMPUTED_VALUE"""),"PT Dunia Berkat Marga Mulya")</f>
        <v>PT Dunia Berkat Marga Mulya</v>
      </c>
      <c r="U1999" s="215">
        <f>IFERROR(__xludf.DUMMYFUNCTION("""COMPUTED_VALUE"""),46007.62378472222)</f>
        <v>46007.62378</v>
      </c>
      <c r="V1999" s="211" t="str">
        <f>IFERROR(__xludf.DUMMYFUNCTION("""COMPUTED_VALUE"""),"JL JABARAN, WATESARI, BALONGBENDO, SIDOARJO, JAWA TIMUR")</f>
        <v>JL JABARAN, WATESARI, BALONGBENDO, SIDOARJO, JAWA TIMUR</v>
      </c>
      <c r="W1999" s="211" t="str">
        <f>IFERROR(__xludf.DUMMYFUNCTION("""COMPUTED_VALUE"""),"IN")</f>
        <v>IN</v>
      </c>
      <c r="X1999" s="211"/>
      <c r="AL1999" s="211"/>
      <c r="AM1999" s="211"/>
      <c r="AN1999" s="211"/>
      <c r="AO1999" s="211"/>
      <c r="AP1999" s="215"/>
      <c r="AQ1999" s="218"/>
      <c r="AR1999" s="211"/>
    </row>
    <row r="2000">
      <c r="A2000" s="210" t="str">
        <f>IFERROR(__xludf.DUMMYFUNCTION("""COMPUTED_VALUE"""),"102531427")</f>
        <v>102531427</v>
      </c>
      <c r="B2000" s="210" t="str">
        <f>IFERROR(__xludf.DUMMYFUNCTION("""COMPUTED_VALUE"""),"102531427")</f>
        <v>102531427</v>
      </c>
      <c r="C2000" s="213">
        <f>IFERROR(__xludf.DUMMYFUNCTION("""COMPUTED_VALUE"""),45944.344039351854)</f>
        <v>45944.34404</v>
      </c>
      <c r="D2000" s="211" t="str">
        <f>IFERROR(__xludf.DUMMYFUNCTION("""COMPUTED_VALUE"""),"f98b1e81")</f>
        <v>f98b1e81</v>
      </c>
      <c r="E2000" s="211" t="str">
        <f>IFERROR(__xludf.DUMMYFUNCTION("""COMPUTED_VALUE"""),"CV. Greenlife Tirta Sentosa")</f>
        <v>CV. Greenlife Tirta Sentosa</v>
      </c>
      <c r="F2000" s="211" t="str">
        <f>IFERROR(__xludf.DUMMYFUNCTION("""COMPUTED_VALUE"""),"7d2764f1")</f>
        <v>7d2764f1</v>
      </c>
      <c r="G2000" s="211" t="str">
        <f>IFERROR(__xludf.DUMMYFUNCTION("""COMPUTED_VALUE"""),"Oksigen 7m3")</f>
        <v>Oksigen 7m3</v>
      </c>
      <c r="H2000" s="211" t="str">
        <f>IFERROR(__xludf.DUMMYFUNCTION("""COMPUTED_VALUE"""),"OUT")</f>
        <v>OUT</v>
      </c>
      <c r="I2000" s="211" t="str">
        <f>IFERROR(__xludf.DUMMYFUNCTION("""COMPUTED_VALUE"""),"NORMAL")</f>
        <v>NORMAL</v>
      </c>
      <c r="J2000" s="211">
        <f>IFERROR(__xludf.DUMMYFUNCTION("""COMPUTED_VALUE"""),1.0)</f>
        <v>1</v>
      </c>
      <c r="K2000" s="210" t="str">
        <f>IFERROR(__xludf.DUMMYFUNCTION("""COMPUTED_VALUE"""),"11157")</f>
        <v>11157</v>
      </c>
      <c r="L2000" s="211">
        <f>IFERROR(__xludf.DUMMYFUNCTION("""COMPUTED_VALUE"""),80000.0)</f>
        <v>80000</v>
      </c>
      <c r="M2000" s="211"/>
      <c r="N2000" s="211"/>
      <c r="O2000" s="211"/>
      <c r="Q2000" s="210" t="str">
        <f>IFERROR(__xludf.DUMMYFUNCTION("""COMPUTED_VALUE"""),"122561994")</f>
        <v>122561994</v>
      </c>
      <c r="R2000" s="210" t="str">
        <f>IFERROR(__xludf.DUMMYFUNCTION("""COMPUTED_VALUE"""),"122561994")</f>
        <v>122561994</v>
      </c>
      <c r="S2000" s="211" t="str">
        <f>IFERROR(__xludf.DUMMYFUNCTION("""COMPUTED_VALUE"""),"3b04351a")</f>
        <v>3b04351a</v>
      </c>
      <c r="T2000" s="211" t="str">
        <f>IFERROR(__xludf.DUMMYFUNCTION("""COMPUTED_VALUE"""),"CV Usaha Logam Jaya ( Bpk Putra )")</f>
        <v>CV Usaha Logam Jaya ( Bpk Putra )</v>
      </c>
      <c r="U2000" s="215">
        <f>IFERROR(__xludf.DUMMYFUNCTION("""COMPUTED_VALUE"""),46007.62871527778)</f>
        <v>46007.62872</v>
      </c>
      <c r="V2000" s="211" t="str">
        <f>IFERROR(__xludf.DUMMYFUNCTION("""COMPUTED_VALUE"""),"Jl. Raya Wringinanom, Sidomoro, Pasinan Lemahputih, Kec. Wringinanom, Kabupaten Gresik, Jawa Timur 61176")</f>
        <v>Jl. Raya Wringinanom, Sidomoro, Pasinan Lemahputih, Kec. Wringinanom, Kabupaten Gresik, Jawa Timur 61176</v>
      </c>
      <c r="W2000" s="211" t="str">
        <f>IFERROR(__xludf.DUMMYFUNCTION("""COMPUTED_VALUE"""),"OUT")</f>
        <v>OUT</v>
      </c>
      <c r="X2000" s="211"/>
    </row>
    <row r="2001">
      <c r="A2001" s="210" t="str">
        <f>IFERROR(__xludf.DUMMYFUNCTION("""COMPUTED_VALUE"""),"1025381443")</f>
        <v>1025381443</v>
      </c>
      <c r="B2001" s="210" t="str">
        <f>IFERROR(__xludf.DUMMYFUNCTION("""COMPUTED_VALUE"""),"1025381443")</f>
        <v>1025381443</v>
      </c>
      <c r="C2001" s="213">
        <f>IFERROR(__xludf.DUMMYFUNCTION("""COMPUTED_VALUE"""),45944.35037037037)</f>
        <v>45944.35037</v>
      </c>
      <c r="D2001" s="211" t="str">
        <f>IFERROR(__xludf.DUMMYFUNCTION("""COMPUTED_VALUE"""),"785e0e07")</f>
        <v>785e0e07</v>
      </c>
      <c r="E2001" s="211" t="str">
        <f>IFERROR(__xludf.DUMMYFUNCTION("""COMPUTED_VALUE"""),"Bpk. Sukirno (Bejo)")</f>
        <v>Bpk. Sukirno (Bejo)</v>
      </c>
      <c r="F2001" s="211" t="str">
        <f>IFERROR(__xludf.DUMMYFUNCTION("""COMPUTED_VALUE"""),"8bdbe149")</f>
        <v>8bdbe149</v>
      </c>
      <c r="G2001" s="211" t="str">
        <f>IFERROR(__xludf.DUMMYFUNCTION("""COMPUTED_VALUE"""),"Oksigen 6m3")</f>
        <v>Oksigen 6m3</v>
      </c>
      <c r="H2001" s="211" t="str">
        <f>IFERROR(__xludf.DUMMYFUNCTION("""COMPUTED_VALUE"""),"OUT")</f>
        <v>OUT</v>
      </c>
      <c r="I2001" s="211" t="str">
        <f>IFERROR(__xludf.DUMMYFUNCTION("""COMPUTED_VALUE"""),"NORMAL")</f>
        <v>NORMAL</v>
      </c>
      <c r="J2001" s="211">
        <f>IFERROR(__xludf.DUMMYFUNCTION("""COMPUTED_VALUE"""),10.0)</f>
        <v>10</v>
      </c>
      <c r="K2001" s="210" t="str">
        <f>IFERROR(__xludf.DUMMYFUNCTION("""COMPUTED_VALUE"""),"1194 1147 1188 11116 11181 1146 1149 11111 11103 1135")</f>
        <v>1194 1147 1188 11116 11181 1146 1149 11111 11103 1135</v>
      </c>
      <c r="L2001" s="211">
        <f>IFERROR(__xludf.DUMMYFUNCTION("""COMPUTED_VALUE"""),60000.0)</f>
        <v>60000</v>
      </c>
      <c r="M2001" s="211"/>
      <c r="N2001" s="211"/>
      <c r="O2001" s="211"/>
      <c r="Q2001" s="210" t="str">
        <f>IFERROR(__xludf.DUMMYFUNCTION("""COMPUTED_VALUE"""),"1225552001")</f>
        <v>1225552001</v>
      </c>
      <c r="R2001" s="210" t="str">
        <f>IFERROR(__xludf.DUMMYFUNCTION("""COMPUTED_VALUE"""),"1225552001")</f>
        <v>1225552001</v>
      </c>
      <c r="S2001" s="211" t="str">
        <f>IFERROR(__xludf.DUMMYFUNCTION("""COMPUTED_VALUE"""),"b2b5f2c5")</f>
        <v>b2b5f2c5</v>
      </c>
      <c r="T2001" s="211" t="str">
        <f>IFERROR(__xludf.DUMMYFUNCTION("""COMPUTED_VALUE"""),"Bengkel Las Bpk. Ari")</f>
        <v>Bengkel Las Bpk. Ari</v>
      </c>
      <c r="U2001" s="215">
        <f>IFERROR(__xludf.DUMMYFUNCTION("""COMPUTED_VALUE"""),46007.64796296296)</f>
        <v>46007.64796</v>
      </c>
      <c r="V2001" s="211" t="str">
        <f>IFERROR(__xludf.DUMMYFUNCTION("""COMPUTED_VALUE"""),"Sumber Kembar, Wonodadi, Kec. Kutorejo, Kabupaten Mojokerto, Jawa Timur")</f>
        <v>Sumber Kembar, Wonodadi, Kec. Kutorejo, Kabupaten Mojokerto, Jawa Timur</v>
      </c>
      <c r="W2001" s="211" t="str">
        <f>IFERROR(__xludf.DUMMYFUNCTION("""COMPUTED_VALUE"""),"OUT")</f>
        <v>OUT</v>
      </c>
      <c r="X2001" s="211"/>
    </row>
    <row r="2002">
      <c r="A2002" s="210" t="str">
        <f>IFERROR(__xludf.DUMMYFUNCTION("""COMPUTED_VALUE"""),"1250659")</f>
        <v>1250659</v>
      </c>
      <c r="B2002" s="210" t="str">
        <f>IFERROR(__xludf.DUMMYFUNCTION("""COMPUTED_VALUE"""),"1250659")</f>
        <v>1250659</v>
      </c>
      <c r="C2002" s="213">
        <f>IFERROR(__xludf.DUMMYFUNCTION("""COMPUTED_VALUE"""),45944.35423611111)</f>
        <v>45944.35424</v>
      </c>
      <c r="D2002" s="211" t="str">
        <f>IFERROR(__xludf.DUMMYFUNCTION("""COMPUTED_VALUE"""),"b218b89b")</f>
        <v>b218b89b</v>
      </c>
      <c r="E2002" s="211" t="str">
        <f>IFERROR(__xludf.DUMMYFUNCTION("""COMPUTED_VALUE"""),"PT Harapan Sentosa")</f>
        <v>PT Harapan Sentosa</v>
      </c>
      <c r="F2002" s="211" t="str">
        <f>IFERROR(__xludf.DUMMYFUNCTION("""COMPUTED_VALUE"""),"7d2764f1")</f>
        <v>7d2764f1</v>
      </c>
      <c r="G2002" s="211" t="str">
        <f>IFERROR(__xludf.DUMMYFUNCTION("""COMPUTED_VALUE"""),"Oksigen 7m3")</f>
        <v>Oksigen 7m3</v>
      </c>
      <c r="H2002" s="211" t="str">
        <f>IFERROR(__xludf.DUMMYFUNCTION("""COMPUTED_VALUE"""),"IN")</f>
        <v>IN</v>
      </c>
      <c r="I2002" s="211" t="str">
        <f>IFERROR(__xludf.DUMMYFUNCTION("""COMPUTED_VALUE"""),"EMPTY")</f>
        <v>EMPTY</v>
      </c>
      <c r="J2002" s="211">
        <f>IFERROR(__xludf.DUMMYFUNCTION("""COMPUTED_VALUE"""),3.0)</f>
        <v>3</v>
      </c>
      <c r="K2002" s="210" t="str">
        <f>IFERROR(__xludf.DUMMYFUNCTION("""COMPUTED_VALUE"""),"11152 11140 11143")</f>
        <v>11152 11140 11143</v>
      </c>
      <c r="L2002" s="211">
        <f>IFERROR(__xludf.DUMMYFUNCTION("""COMPUTED_VALUE"""),0.0)</f>
        <v>0</v>
      </c>
      <c r="M2002" s="211"/>
      <c r="N2002" s="211"/>
      <c r="O2002" s="211"/>
      <c r="Q2002" s="210" t="str">
        <f>IFERROR(__xludf.DUMMYFUNCTION("""COMPUTED_VALUE"""),"122572002")</f>
        <v>122572002</v>
      </c>
      <c r="R2002" s="210" t="str">
        <f>IFERROR(__xludf.DUMMYFUNCTION("""COMPUTED_VALUE"""),"122572002")</f>
        <v>122572002</v>
      </c>
      <c r="S2002" s="211" t="str">
        <f>IFERROR(__xludf.DUMMYFUNCTION("""COMPUTED_VALUE"""),"63fc688a")</f>
        <v>63fc688a</v>
      </c>
      <c r="T2002" s="211" t="str">
        <f>IFERROR(__xludf.DUMMYFUNCTION("""COMPUTED_VALUE"""),"CV Malik Nusantara")</f>
        <v>CV Malik Nusantara</v>
      </c>
      <c r="U2002" s="215">
        <f>IFERROR(__xludf.DUMMYFUNCTION("""COMPUTED_VALUE"""),46007.64859953704)</f>
        <v>46007.6486</v>
      </c>
      <c r="V2002" s="211" t="str">
        <f>IFERROR(__xludf.DUMMYFUNCTION("""COMPUTED_VALUE"""),"Jl. Raya Balongbendo No.12, Suwaluh Utara, Suwaluh, Kec. BalongBendo, Kabupaten Sidoarjo, Jawa Timur 61263")</f>
        <v>Jl. Raya Balongbendo No.12, Suwaluh Utara, Suwaluh, Kec. BalongBendo, Kabupaten Sidoarjo, Jawa Timur 61263</v>
      </c>
      <c r="W2002" s="211" t="str">
        <f>IFERROR(__xludf.DUMMYFUNCTION("""COMPUTED_VALUE"""),"OUT")</f>
        <v>OUT</v>
      </c>
      <c r="X2002" s="211"/>
    </row>
    <row r="2003">
      <c r="A2003" s="210" t="str">
        <f>IFERROR(__xludf.DUMMYFUNCTION("""COMPUTED_VALUE"""),"1250659")</f>
        <v>1250659</v>
      </c>
      <c r="B2003" s="210" t="str">
        <f>IFERROR(__xludf.DUMMYFUNCTION("""COMPUTED_VALUE"""),"1250659")</f>
        <v>1250659</v>
      </c>
      <c r="C2003" s="213">
        <f>IFERROR(__xludf.DUMMYFUNCTION("""COMPUTED_VALUE"""),45944.35423611111)</f>
        <v>45944.35424</v>
      </c>
      <c r="D2003" s="211" t="str">
        <f>IFERROR(__xludf.DUMMYFUNCTION("""COMPUTED_VALUE"""),"b218b89b")</f>
        <v>b218b89b</v>
      </c>
      <c r="E2003" s="211" t="str">
        <f>IFERROR(__xludf.DUMMYFUNCTION("""COMPUTED_VALUE"""),"PT Harapan Sentosa")</f>
        <v>PT Harapan Sentosa</v>
      </c>
      <c r="F2003" s="211" t="str">
        <f>IFERROR(__xludf.DUMMYFUNCTION("""COMPUTED_VALUE"""),"ef306e54")</f>
        <v>ef306e54</v>
      </c>
      <c r="G2003" s="211" t="str">
        <f>IFERROR(__xludf.DUMMYFUNCTION("""COMPUTED_VALUE"""),"Karbondioksida")</f>
        <v>Karbondioksida</v>
      </c>
      <c r="H2003" s="211" t="str">
        <f>IFERROR(__xludf.DUMMYFUNCTION("""COMPUTED_VALUE"""),"IN")</f>
        <v>IN</v>
      </c>
      <c r="I2003" s="211" t="str">
        <f>IFERROR(__xludf.DUMMYFUNCTION("""COMPUTED_VALUE"""),"EMPTY")</f>
        <v>EMPTY</v>
      </c>
      <c r="J2003" s="211">
        <f>IFERROR(__xludf.DUMMYFUNCTION("""COMPUTED_VALUE"""),1.0)</f>
        <v>1</v>
      </c>
      <c r="K2003" s="210" t="str">
        <f>IFERROR(__xludf.DUMMYFUNCTION("""COMPUTED_VALUE"""),"13029")</f>
        <v>13029</v>
      </c>
      <c r="L2003" s="211">
        <f>IFERROR(__xludf.DUMMYFUNCTION("""COMPUTED_VALUE"""),0.0)</f>
        <v>0</v>
      </c>
      <c r="M2003" s="211"/>
      <c r="N2003" s="211"/>
      <c r="O2003" s="211"/>
      <c r="Q2003" s="210" t="str">
        <f>IFERROR(__xludf.DUMMYFUNCTION("""COMPUTED_VALUE"""),"1250958")</f>
        <v>1250958</v>
      </c>
      <c r="R2003" s="210" t="str">
        <f>IFERROR(__xludf.DUMMYFUNCTION("""COMPUTED_VALUE"""),"1250958")</f>
        <v>1250958</v>
      </c>
      <c r="S2003" s="211" t="str">
        <f>IFERROR(__xludf.DUMMYFUNCTION("""COMPUTED_VALUE"""),"5f23ba17")</f>
        <v>5f23ba17</v>
      </c>
      <c r="T2003" s="211" t="str">
        <f>IFERROR(__xludf.DUMMYFUNCTION("""COMPUTED_VALUE"""),"Bpk. Joko (Gresik)")</f>
        <v>Bpk. Joko (Gresik)</v>
      </c>
      <c r="U2003" s="215">
        <f>IFERROR(__xludf.DUMMYFUNCTION("""COMPUTED_VALUE"""),46007.66018518519)</f>
        <v>46007.66019</v>
      </c>
      <c r="V2003" s="211" t="str">
        <f>IFERROR(__xludf.DUMMYFUNCTION("""COMPUTED_VALUE"""),"Tanggungan, Lebaniwaras, Kec. Wringinanom, Kabupaten Gresik, Jawa Timur")</f>
        <v>Tanggungan, Lebaniwaras, Kec. Wringinanom, Kabupaten Gresik, Jawa Timur</v>
      </c>
      <c r="W2003" s="211" t="str">
        <f>IFERROR(__xludf.DUMMYFUNCTION("""COMPUTED_VALUE"""),"IN")</f>
        <v>IN</v>
      </c>
      <c r="X2003" s="211"/>
    </row>
    <row r="2004">
      <c r="A2004" s="210" t="str">
        <f>IFERROR(__xludf.DUMMYFUNCTION("""COMPUTED_VALUE"""),"1250670")</f>
        <v>1250670</v>
      </c>
      <c r="B2004" s="210" t="str">
        <f>IFERROR(__xludf.DUMMYFUNCTION("""COMPUTED_VALUE"""),"1250670")</f>
        <v>1250670</v>
      </c>
      <c r="C2004" s="213">
        <f>IFERROR(__xludf.DUMMYFUNCTION("""COMPUTED_VALUE"""),45944.35853009259)</f>
        <v>45944.35853</v>
      </c>
      <c r="D2004" s="211" t="str">
        <f>IFERROR(__xludf.DUMMYFUNCTION("""COMPUTED_VALUE"""),"ed4307f6")</f>
        <v>ed4307f6</v>
      </c>
      <c r="E2004" s="211" t="str">
        <f>IFERROR(__xludf.DUMMYFUNCTION("""COMPUTED_VALUE"""),"Bpk. Andi (Jetis)")</f>
        <v>Bpk. Andi (Jetis)</v>
      </c>
      <c r="F2004" s="211" t="str">
        <f>IFERROR(__xludf.DUMMYFUNCTION("""COMPUTED_VALUE"""),"f6aab7a9")</f>
        <v>f6aab7a9</v>
      </c>
      <c r="G2004" s="211" t="str">
        <f>IFERROR(__xludf.DUMMYFUNCTION("""COMPUTED_VALUE"""),"Oksigen 6m3 MR")</f>
        <v>Oksigen 6m3 MR</v>
      </c>
      <c r="H2004" s="211" t="str">
        <f>IFERROR(__xludf.DUMMYFUNCTION("""COMPUTED_VALUE"""),"IN")</f>
        <v>IN</v>
      </c>
      <c r="I2004" s="211" t="str">
        <f>IFERROR(__xludf.DUMMYFUNCTION("""COMPUTED_VALUE"""),"EMPTY")</f>
        <v>EMPTY</v>
      </c>
      <c r="J2004" s="211">
        <f>IFERROR(__xludf.DUMMYFUNCTION("""COMPUTED_VALUE"""),34.0)</f>
        <v>34</v>
      </c>
      <c r="K2004" s="211"/>
      <c r="L2004" s="211">
        <f>IFERROR(__xludf.DUMMYFUNCTION("""COMPUTED_VALUE"""),0.0)</f>
        <v>0</v>
      </c>
      <c r="M2004" s="211"/>
      <c r="N2004" s="211"/>
      <c r="O2004" s="211"/>
      <c r="Q2004" s="210" t="str">
        <f>IFERROR(__xludf.DUMMYFUNCTION("""COMPUTED_VALUE"""),"1250959")</f>
        <v>1250959</v>
      </c>
      <c r="R2004" s="210" t="str">
        <f>IFERROR(__xludf.DUMMYFUNCTION("""COMPUTED_VALUE"""),"1250959")</f>
        <v>1250959</v>
      </c>
      <c r="S2004" s="211" t="str">
        <f>IFERROR(__xludf.DUMMYFUNCTION("""COMPUTED_VALUE"""),"eec2e801")</f>
        <v>eec2e801</v>
      </c>
      <c r="T2004" s="211" t="str">
        <f>IFERROR(__xludf.DUMMYFUNCTION("""COMPUTED_VALUE"""),"Mitra Wood Sejahtera")</f>
        <v>Mitra Wood Sejahtera</v>
      </c>
      <c r="U2004" s="215">
        <f>IFERROR(__xludf.DUMMYFUNCTION("""COMPUTED_VALUE"""),46007.66123842593)</f>
        <v>46007.66124</v>
      </c>
      <c r="V2004" s="211" t="str">
        <f>IFERROR(__xludf.DUMMYFUNCTION("""COMPUTED_VALUE"""),"Jl.cungkling, Jl. Tanggungan, Nanom Kidul, Lebaniwaras, Kec. Wringinanom, Kabupaten Gresik, Jawa Timur 61176")</f>
        <v>Jl.cungkling, Jl. Tanggungan, Nanom Kidul, Lebaniwaras, Kec. Wringinanom, Kabupaten Gresik, Jawa Timur 61176</v>
      </c>
      <c r="W2004" s="211" t="str">
        <f>IFERROR(__xludf.DUMMYFUNCTION("""COMPUTED_VALUE"""),"IN")</f>
        <v>IN</v>
      </c>
      <c r="X2004" s="211"/>
    </row>
    <row r="2005">
      <c r="A2005" s="210" t="str">
        <f>IFERROR(__xludf.DUMMYFUNCTION("""COMPUTED_VALUE"""),"1025211441")</f>
        <v>1025211441</v>
      </c>
      <c r="B2005" s="210" t="str">
        <f>IFERROR(__xludf.DUMMYFUNCTION("""COMPUTED_VALUE"""),"1025211441")</f>
        <v>1025211441</v>
      </c>
      <c r="C2005" s="213">
        <f>IFERROR(__xludf.DUMMYFUNCTION("""COMPUTED_VALUE"""),45944.40820601852)</f>
        <v>45944.40821</v>
      </c>
      <c r="D2005" s="211" t="str">
        <f>IFERROR(__xludf.DUMMYFUNCTION("""COMPUTED_VALUE"""),"b2b5f2c5")</f>
        <v>b2b5f2c5</v>
      </c>
      <c r="E2005" s="211" t="str">
        <f>IFERROR(__xludf.DUMMYFUNCTION("""COMPUTED_VALUE"""),"Bengkel Las Bpk. Ari")</f>
        <v>Bengkel Las Bpk. Ari</v>
      </c>
      <c r="F2005" s="211" t="str">
        <f>IFERROR(__xludf.DUMMYFUNCTION("""COMPUTED_VALUE"""),"8bdbe149")</f>
        <v>8bdbe149</v>
      </c>
      <c r="G2005" s="211" t="str">
        <f>IFERROR(__xludf.DUMMYFUNCTION("""COMPUTED_VALUE"""),"Oksigen 6m3")</f>
        <v>Oksigen 6m3</v>
      </c>
      <c r="H2005" s="211" t="str">
        <f>IFERROR(__xludf.DUMMYFUNCTION("""COMPUTED_VALUE"""),"OUT")</f>
        <v>OUT</v>
      </c>
      <c r="I2005" s="211" t="str">
        <f>IFERROR(__xludf.DUMMYFUNCTION("""COMPUTED_VALUE"""),"NORMAL")</f>
        <v>NORMAL</v>
      </c>
      <c r="J2005" s="211">
        <f>IFERROR(__xludf.DUMMYFUNCTION("""COMPUTED_VALUE"""),6.0)</f>
        <v>6</v>
      </c>
      <c r="K2005" s="210" t="str">
        <f>IFERROR(__xludf.DUMMYFUNCTION("""COMPUTED_VALUE"""),"11208 11177 1139 11279 11288 1137")</f>
        <v>11208 11177 1139 11279 11288 1137</v>
      </c>
      <c r="L2005" s="211">
        <f>IFERROR(__xludf.DUMMYFUNCTION("""COMPUTED_VALUE"""),60000.0)</f>
        <v>60000</v>
      </c>
      <c r="M2005" s="211"/>
      <c r="N2005" s="211"/>
      <c r="O2005" s="211"/>
      <c r="Q2005" s="210" t="str">
        <f>IFERROR(__xludf.DUMMYFUNCTION("""COMPUTED_VALUE"""),"1250951")</f>
        <v>1250951</v>
      </c>
      <c r="R2005" s="210" t="str">
        <f>IFERROR(__xludf.DUMMYFUNCTION("""COMPUTED_VALUE"""),"1250951")</f>
        <v>1250951</v>
      </c>
      <c r="S2005" s="211" t="str">
        <f>IFERROR(__xludf.DUMMYFUNCTION("""COMPUTED_VALUE"""),"b2b5f2c5")</f>
        <v>b2b5f2c5</v>
      </c>
      <c r="T2005" s="211" t="str">
        <f>IFERROR(__xludf.DUMMYFUNCTION("""COMPUTED_VALUE"""),"Bengkel Las Bpk. Ari")</f>
        <v>Bengkel Las Bpk. Ari</v>
      </c>
      <c r="U2005" s="215">
        <f>IFERROR(__xludf.DUMMYFUNCTION("""COMPUTED_VALUE"""),46008.356886574074)</f>
        <v>46008.35689</v>
      </c>
      <c r="V2005" s="211" t="str">
        <f>IFERROR(__xludf.DUMMYFUNCTION("""COMPUTED_VALUE"""),"Sumber Kembar, Wonodadi, Kec. Kutorejo, Kabupaten Mojokerto, Jawa Timur")</f>
        <v>Sumber Kembar, Wonodadi, Kec. Kutorejo, Kabupaten Mojokerto, Jawa Timur</v>
      </c>
      <c r="W2005" s="211" t="str">
        <f>IFERROR(__xludf.DUMMYFUNCTION("""COMPUTED_VALUE"""),"IN")</f>
        <v>IN</v>
      </c>
      <c r="X2005" s="211"/>
    </row>
    <row r="2006">
      <c r="A2006" s="210" t="str">
        <f>IFERROR(__xludf.DUMMYFUNCTION("""COMPUTED_VALUE"""),"102521447")</f>
        <v>102521447</v>
      </c>
      <c r="B2006" s="210" t="str">
        <f>IFERROR(__xludf.DUMMYFUNCTION("""COMPUTED_VALUE"""),"102521447")</f>
        <v>102521447</v>
      </c>
      <c r="C2006" s="213">
        <f>IFERROR(__xludf.DUMMYFUNCTION("""COMPUTED_VALUE"""),45944.43466435185)</f>
        <v>45944.43466</v>
      </c>
      <c r="D2006" s="211" t="str">
        <f>IFERROR(__xludf.DUMMYFUNCTION("""COMPUTED_VALUE"""),"ed4307f6")</f>
        <v>ed4307f6</v>
      </c>
      <c r="E2006" s="211" t="str">
        <f>IFERROR(__xludf.DUMMYFUNCTION("""COMPUTED_VALUE"""),"Bpk. Andi (Jetis)")</f>
        <v>Bpk. Andi (Jetis)</v>
      </c>
      <c r="F2006" s="211" t="str">
        <f>IFERROR(__xludf.DUMMYFUNCTION("""COMPUTED_VALUE"""),"f6aab7a9")</f>
        <v>f6aab7a9</v>
      </c>
      <c r="G2006" s="211" t="str">
        <f>IFERROR(__xludf.DUMMYFUNCTION("""COMPUTED_VALUE"""),"Oksigen 6m3 MR")</f>
        <v>Oksigen 6m3 MR</v>
      </c>
      <c r="H2006" s="211" t="str">
        <f>IFERROR(__xludf.DUMMYFUNCTION("""COMPUTED_VALUE"""),"OUT")</f>
        <v>OUT</v>
      </c>
      <c r="I2006" s="211" t="str">
        <f>IFERROR(__xludf.DUMMYFUNCTION("""COMPUTED_VALUE"""),"NORMAL")</f>
        <v>NORMAL</v>
      </c>
      <c r="J2006" s="211">
        <f>IFERROR(__xludf.DUMMYFUNCTION("""COMPUTED_VALUE"""),34.0)</f>
        <v>34</v>
      </c>
      <c r="K2006" s="211"/>
      <c r="L2006" s="211">
        <f>IFERROR(__xludf.DUMMYFUNCTION("""COMPUTED_VALUE"""),50000.0)</f>
        <v>50000</v>
      </c>
      <c r="M2006" s="211"/>
      <c r="N2006" s="211"/>
      <c r="O2006" s="211"/>
      <c r="Q2006" s="210" t="str">
        <f>IFERROR(__xludf.DUMMYFUNCTION("""COMPUTED_VALUE"""),"1225332003")</f>
        <v>1225332003</v>
      </c>
      <c r="R2006" s="210" t="str">
        <f>IFERROR(__xludf.DUMMYFUNCTION("""COMPUTED_VALUE"""),"1225332003")</f>
        <v>1225332003</v>
      </c>
      <c r="S2006" s="211" t="str">
        <f>IFERROR(__xludf.DUMMYFUNCTION("""COMPUTED_VALUE"""),"ce83e171")</f>
        <v>ce83e171</v>
      </c>
      <c r="T2006" s="211" t="str">
        <f>IFERROR(__xludf.DUMMYFUNCTION("""COMPUTED_VALUE"""),"Bpk. Sulaiman")</f>
        <v>Bpk. Sulaiman</v>
      </c>
      <c r="U2006" s="215">
        <f>IFERROR(__xludf.DUMMYFUNCTION("""COMPUTED_VALUE"""),46008.35888888889)</f>
        <v>46008.35889</v>
      </c>
      <c r="V2006" s="211" t="str">
        <f>IFERROR(__xludf.DUMMYFUNCTION("""COMPUTED_VALUE"""),"Jl. Raya Kramat Temenggung No.43, Kramat, Kramat Temenggung, Kec. Tarik, Kabupaten Sidoarjo, Jawa Timur 61265")</f>
        <v>Jl. Raya Kramat Temenggung No.43, Kramat, Kramat Temenggung, Kec. Tarik, Kabupaten Sidoarjo, Jawa Timur 61265</v>
      </c>
      <c r="W2006" s="211" t="str">
        <f>IFERROR(__xludf.DUMMYFUNCTION("""COMPUTED_VALUE"""),"OUT")</f>
        <v>OUT</v>
      </c>
      <c r="X2006" s="211"/>
    </row>
    <row r="2007">
      <c r="A2007" s="210" t="str">
        <f>IFERROR(__xludf.DUMMYFUNCTION("""COMPUTED_VALUE"""),"1250665")</f>
        <v>1250665</v>
      </c>
      <c r="B2007" s="210" t="str">
        <f>IFERROR(__xludf.DUMMYFUNCTION("""COMPUTED_VALUE"""),"1250665")</f>
        <v>1250665</v>
      </c>
      <c r="C2007" s="213">
        <f>IFERROR(__xludf.DUMMYFUNCTION("""COMPUTED_VALUE"""),45944.5865162037)</f>
        <v>45944.58652</v>
      </c>
      <c r="D2007" s="211" t="str">
        <f>IFERROR(__xludf.DUMMYFUNCTION("""COMPUTED_VALUE"""),"b2b5f2c5")</f>
        <v>b2b5f2c5</v>
      </c>
      <c r="E2007" s="211" t="str">
        <f>IFERROR(__xludf.DUMMYFUNCTION("""COMPUTED_VALUE"""),"Bengkel Las Bpk. Ari")</f>
        <v>Bengkel Las Bpk. Ari</v>
      </c>
      <c r="F2007" s="211" t="str">
        <f>IFERROR(__xludf.DUMMYFUNCTION("""COMPUTED_VALUE"""),"8bdbe149")</f>
        <v>8bdbe149</v>
      </c>
      <c r="G2007" s="211" t="str">
        <f>IFERROR(__xludf.DUMMYFUNCTION("""COMPUTED_VALUE"""),"Oksigen 6m3")</f>
        <v>Oksigen 6m3</v>
      </c>
      <c r="H2007" s="211" t="str">
        <f>IFERROR(__xludf.DUMMYFUNCTION("""COMPUTED_VALUE"""),"IN")</f>
        <v>IN</v>
      </c>
      <c r="I2007" s="211" t="str">
        <f>IFERROR(__xludf.DUMMYFUNCTION("""COMPUTED_VALUE"""),"EMPTY")</f>
        <v>EMPTY</v>
      </c>
      <c r="J2007" s="211">
        <f>IFERROR(__xludf.DUMMYFUNCTION("""COMPUTED_VALUE"""),5.0)</f>
        <v>5</v>
      </c>
      <c r="K2007" s="210" t="str">
        <f>IFERROR(__xludf.DUMMYFUNCTION("""COMPUTED_VALUE"""),"1189 11125 11176 11267 11242")</f>
        <v>1189 11125 11176 11267 11242</v>
      </c>
      <c r="L2007" s="211">
        <f>IFERROR(__xludf.DUMMYFUNCTION("""COMPUTED_VALUE"""),0.0)</f>
        <v>0</v>
      </c>
      <c r="M2007" s="211"/>
      <c r="N2007" s="211"/>
      <c r="O2007" s="211"/>
      <c r="Q2007" s="210" t="str">
        <f>IFERROR(__xludf.DUMMYFUNCTION("""COMPUTED_VALUE"""),"1225382007")</f>
        <v>1225382007</v>
      </c>
      <c r="R2007" s="210" t="str">
        <f>IFERROR(__xludf.DUMMYFUNCTION("""COMPUTED_VALUE"""),"1225382007")</f>
        <v>1225382007</v>
      </c>
      <c r="S2007" s="211" t="str">
        <f>IFERROR(__xludf.DUMMYFUNCTION("""COMPUTED_VALUE"""),"5f23ba17")</f>
        <v>5f23ba17</v>
      </c>
      <c r="T2007" s="211" t="str">
        <f>IFERROR(__xludf.DUMMYFUNCTION("""COMPUTED_VALUE"""),"Bpk. Joko (Gresik)")</f>
        <v>Bpk. Joko (Gresik)</v>
      </c>
      <c r="U2007" s="215">
        <f>IFERROR(__xludf.DUMMYFUNCTION("""COMPUTED_VALUE"""),46008.375555555554)</f>
        <v>46008.37556</v>
      </c>
      <c r="V2007" s="211" t="str">
        <f>IFERROR(__xludf.DUMMYFUNCTION("""COMPUTED_VALUE"""),"Tanggungan, Lebaniwaras, Kec. Wringinanom, Kabupaten Gresik, Jawa Timur")</f>
        <v>Tanggungan, Lebaniwaras, Kec. Wringinanom, Kabupaten Gresik, Jawa Timur</v>
      </c>
      <c r="W2007" s="211" t="str">
        <f>IFERROR(__xludf.DUMMYFUNCTION("""COMPUTED_VALUE"""),"OUT")</f>
        <v>OUT</v>
      </c>
      <c r="X2007" s="211"/>
    </row>
    <row r="2008">
      <c r="A2008" s="210" t="str">
        <f>IFERROR(__xludf.DUMMYFUNCTION("""COMPUTED_VALUE"""),"1250671")</f>
        <v>1250671</v>
      </c>
      <c r="B2008" s="210" t="str">
        <f>IFERROR(__xludf.DUMMYFUNCTION("""COMPUTED_VALUE"""),"1250671")</f>
        <v>1250671</v>
      </c>
      <c r="C2008" s="213">
        <f>IFERROR(__xludf.DUMMYFUNCTION("""COMPUTED_VALUE"""),45944.59799768519)</f>
        <v>45944.598</v>
      </c>
      <c r="D2008" s="211" t="str">
        <f>IFERROR(__xludf.DUMMYFUNCTION("""COMPUTED_VALUE"""),"f98b1e81")</f>
        <v>f98b1e81</v>
      </c>
      <c r="E2008" s="211" t="str">
        <f>IFERROR(__xludf.DUMMYFUNCTION("""COMPUTED_VALUE"""),"CV. Greenlife Tirta Sentosa")</f>
        <v>CV. Greenlife Tirta Sentosa</v>
      </c>
      <c r="F2008" s="211" t="str">
        <f>IFERROR(__xludf.DUMMYFUNCTION("""COMPUTED_VALUE"""),"7d2764f1")</f>
        <v>7d2764f1</v>
      </c>
      <c r="G2008" s="211" t="str">
        <f>IFERROR(__xludf.DUMMYFUNCTION("""COMPUTED_VALUE"""),"Oksigen 7m3")</f>
        <v>Oksigen 7m3</v>
      </c>
      <c r="H2008" s="211" t="str">
        <f>IFERROR(__xludf.DUMMYFUNCTION("""COMPUTED_VALUE"""),"IN")</f>
        <v>IN</v>
      </c>
      <c r="I2008" s="211" t="str">
        <f>IFERROR(__xludf.DUMMYFUNCTION("""COMPUTED_VALUE"""),"EMPTY")</f>
        <v>EMPTY</v>
      </c>
      <c r="J2008" s="211">
        <f>IFERROR(__xludf.DUMMYFUNCTION("""COMPUTED_VALUE"""),1.0)</f>
        <v>1</v>
      </c>
      <c r="K2008" s="210" t="str">
        <f>IFERROR(__xludf.DUMMYFUNCTION("""COMPUTED_VALUE"""),"11168")</f>
        <v>11168</v>
      </c>
      <c r="L2008" s="211">
        <f>IFERROR(__xludf.DUMMYFUNCTION("""COMPUTED_VALUE"""),0.0)</f>
        <v>0</v>
      </c>
      <c r="M2008" s="211"/>
      <c r="N2008" s="211"/>
      <c r="O2008" s="211"/>
      <c r="Q2008" s="210" t="str">
        <f>IFERROR(__xludf.DUMMYFUNCTION("""COMPUTED_VALUE"""),"1225392008")</f>
        <v>1225392008</v>
      </c>
      <c r="R2008" s="210" t="str">
        <f>IFERROR(__xludf.DUMMYFUNCTION("""COMPUTED_VALUE"""),"1225392008")</f>
        <v>1225392008</v>
      </c>
      <c r="S2008" s="211" t="str">
        <f>IFERROR(__xludf.DUMMYFUNCTION("""COMPUTED_VALUE"""),"785e0e07")</f>
        <v>785e0e07</v>
      </c>
      <c r="T2008" s="211" t="str">
        <f>IFERROR(__xludf.DUMMYFUNCTION("""COMPUTED_VALUE"""),"Bpk. Sukirno (Bejo)")</f>
        <v>Bpk. Sukirno (Bejo)</v>
      </c>
      <c r="U2008" s="215">
        <f>IFERROR(__xludf.DUMMYFUNCTION("""COMPUTED_VALUE"""),46008.416817129626)</f>
        <v>46008.41682</v>
      </c>
      <c r="V2008" s="211" t="str">
        <f>IFERROR(__xludf.DUMMYFUNCTION("""COMPUTED_VALUE"""),"Krajan I, Wringinanom, Kec. Wringinanom, Kabupaten Gresik, Jawa Timur 61176")</f>
        <v>Krajan I, Wringinanom, Kec. Wringinanom, Kabupaten Gresik, Jawa Timur 61176</v>
      </c>
      <c r="W2008" s="211" t="str">
        <f>IFERROR(__xludf.DUMMYFUNCTION("""COMPUTED_VALUE"""),"OUT")</f>
        <v>OUT</v>
      </c>
      <c r="X2008" s="211"/>
    </row>
    <row r="2009">
      <c r="A2009" s="210" t="str">
        <f>IFERROR(__xludf.DUMMYFUNCTION("""COMPUTED_VALUE"""),"1025291448")</f>
        <v>1025291448</v>
      </c>
      <c r="B2009" s="210" t="str">
        <f>IFERROR(__xludf.DUMMYFUNCTION("""COMPUTED_VALUE"""),"1025291448")</f>
        <v>1025291448</v>
      </c>
      <c r="C2009" s="213">
        <f>IFERROR(__xludf.DUMMYFUNCTION("""COMPUTED_VALUE"""),45945.34211805555)</f>
        <v>45945.34212</v>
      </c>
      <c r="D2009" s="211" t="str">
        <f>IFERROR(__xludf.DUMMYFUNCTION("""COMPUTED_VALUE"""),"5f23ba17")</f>
        <v>5f23ba17</v>
      </c>
      <c r="E2009" s="211" t="str">
        <f>IFERROR(__xludf.DUMMYFUNCTION("""COMPUTED_VALUE"""),"Bpk. Joko (Gresik)")</f>
        <v>Bpk. Joko (Gresik)</v>
      </c>
      <c r="F2009" s="211" t="str">
        <f>IFERROR(__xludf.DUMMYFUNCTION("""COMPUTED_VALUE"""),"439cf836")</f>
        <v>439cf836</v>
      </c>
      <c r="G2009" s="211" t="str">
        <f>IFERROR(__xludf.DUMMYFUNCTION("""COMPUTED_VALUE"""),"Karbondioksida MR")</f>
        <v>Karbondioksida MR</v>
      </c>
      <c r="H2009" s="211" t="str">
        <f>IFERROR(__xludf.DUMMYFUNCTION("""COMPUTED_VALUE"""),"OUT")</f>
        <v>OUT</v>
      </c>
      <c r="I2009" s="211" t="str">
        <f>IFERROR(__xludf.DUMMYFUNCTION("""COMPUTED_VALUE"""),"NORMAL")</f>
        <v>NORMAL</v>
      </c>
      <c r="J2009" s="211">
        <f>IFERROR(__xludf.DUMMYFUNCTION("""COMPUTED_VALUE"""),1.0)</f>
        <v>1</v>
      </c>
      <c r="K2009" s="211"/>
      <c r="L2009" s="211">
        <f>IFERROR(__xludf.DUMMYFUNCTION("""COMPUTED_VALUE"""),160000.0)</f>
        <v>160000</v>
      </c>
      <c r="M2009" s="211"/>
      <c r="N2009" s="211"/>
      <c r="O2009" s="211"/>
      <c r="Q2009" s="210" t="str">
        <f>IFERROR(__xludf.DUMMYFUNCTION("""COMPUTED_VALUE"""),"1250952")</f>
        <v>1250952</v>
      </c>
      <c r="R2009" s="210" t="str">
        <f>IFERROR(__xludf.DUMMYFUNCTION("""COMPUTED_VALUE"""),"1250952")</f>
        <v>1250952</v>
      </c>
      <c r="S2009" s="211" t="str">
        <f>IFERROR(__xludf.DUMMYFUNCTION("""COMPUTED_VALUE"""),"ce83e171")</f>
        <v>ce83e171</v>
      </c>
      <c r="T2009" s="211" t="str">
        <f>IFERROR(__xludf.DUMMYFUNCTION("""COMPUTED_VALUE"""),"Bpk. Sulaiman")</f>
        <v>Bpk. Sulaiman</v>
      </c>
      <c r="U2009" s="215">
        <f>IFERROR(__xludf.DUMMYFUNCTION("""COMPUTED_VALUE"""),46008.42153935185)</f>
        <v>46008.42154</v>
      </c>
      <c r="V2009" s="211" t="str">
        <f>IFERROR(__xludf.DUMMYFUNCTION("""COMPUTED_VALUE"""),"Jl. Raya Kramat Temenggung No.43, Kramat, Kramat Temenggung, Kec. Tarik, Kabupaten Sidoarjo, Jawa Timur 61265")</f>
        <v>Jl. Raya Kramat Temenggung No.43, Kramat, Kramat Temenggung, Kec. Tarik, Kabupaten Sidoarjo, Jawa Timur 61265</v>
      </c>
      <c r="W2009" s="211" t="str">
        <f>IFERROR(__xludf.DUMMYFUNCTION("""COMPUTED_VALUE"""),"IN")</f>
        <v>IN</v>
      </c>
      <c r="X2009" s="211"/>
    </row>
    <row r="2010">
      <c r="A2010" s="210" t="str">
        <f>IFERROR(__xludf.DUMMYFUNCTION("""COMPUTED_VALUE"""),"1025291448")</f>
        <v>1025291448</v>
      </c>
      <c r="B2010" s="210" t="str">
        <f>IFERROR(__xludf.DUMMYFUNCTION("""COMPUTED_VALUE"""),"1025291448")</f>
        <v>1025291448</v>
      </c>
      <c r="C2010" s="213">
        <f>IFERROR(__xludf.DUMMYFUNCTION("""COMPUTED_VALUE"""),45945.34211805555)</f>
        <v>45945.34212</v>
      </c>
      <c r="D2010" s="211" t="str">
        <f>IFERROR(__xludf.DUMMYFUNCTION("""COMPUTED_VALUE"""),"5f23ba17")</f>
        <v>5f23ba17</v>
      </c>
      <c r="E2010" s="211" t="str">
        <f>IFERROR(__xludf.DUMMYFUNCTION("""COMPUTED_VALUE"""),"Bpk. Joko (Gresik)")</f>
        <v>Bpk. Joko (Gresik)</v>
      </c>
      <c r="F2010" s="211" t="str">
        <f>IFERROR(__xludf.DUMMYFUNCTION("""COMPUTED_VALUE"""),"f6aab7a9")</f>
        <v>f6aab7a9</v>
      </c>
      <c r="G2010" s="211" t="str">
        <f>IFERROR(__xludf.DUMMYFUNCTION("""COMPUTED_VALUE"""),"Oksigen 6m3 MR")</f>
        <v>Oksigen 6m3 MR</v>
      </c>
      <c r="H2010" s="211" t="str">
        <f>IFERROR(__xludf.DUMMYFUNCTION("""COMPUTED_VALUE"""),"OUT")</f>
        <v>OUT</v>
      </c>
      <c r="I2010" s="211" t="str">
        <f>IFERROR(__xludf.DUMMYFUNCTION("""COMPUTED_VALUE"""),"NORMAL")</f>
        <v>NORMAL</v>
      </c>
      <c r="J2010" s="211">
        <f>IFERROR(__xludf.DUMMYFUNCTION("""COMPUTED_VALUE"""),5.0)</f>
        <v>5</v>
      </c>
      <c r="K2010" s="211"/>
      <c r="L2010" s="211">
        <f>IFERROR(__xludf.DUMMYFUNCTION("""COMPUTED_VALUE"""),55000.0)</f>
        <v>55000</v>
      </c>
      <c r="M2010" s="211"/>
      <c r="N2010" s="211"/>
      <c r="O2010" s="211"/>
      <c r="Q2010" s="210" t="str">
        <f>IFERROR(__xludf.DUMMYFUNCTION("""COMPUTED_VALUE"""),"1225102003")</f>
        <v>1225102003</v>
      </c>
      <c r="R2010" s="210" t="str">
        <f>IFERROR(__xludf.DUMMYFUNCTION("""COMPUTED_VALUE"""),"1225102003")</f>
        <v>1225102003</v>
      </c>
      <c r="S2010" s="211" t="str">
        <f>IFERROR(__xludf.DUMMYFUNCTION("""COMPUTED_VALUE"""),"eec2e801")</f>
        <v>eec2e801</v>
      </c>
      <c r="T2010" s="211" t="str">
        <f>IFERROR(__xludf.DUMMYFUNCTION("""COMPUTED_VALUE"""),"Mitra Wood Sejahtera")</f>
        <v>Mitra Wood Sejahtera</v>
      </c>
      <c r="U2010" s="215">
        <f>IFERROR(__xludf.DUMMYFUNCTION("""COMPUTED_VALUE"""),46009.34777777778)</f>
        <v>46009.34778</v>
      </c>
      <c r="V2010" s="211" t="str">
        <f>IFERROR(__xludf.DUMMYFUNCTION("""COMPUTED_VALUE"""),"Jl.cungkling, Jl. Tanggungan, Nanom Kidul, Lebaniwaras, Kec. Wringinanom, Kabupaten Gresik, Jawa Timur 61176")</f>
        <v>Jl.cungkling, Jl. Tanggungan, Nanom Kidul, Lebaniwaras, Kec. Wringinanom, Kabupaten Gresik, Jawa Timur 61176</v>
      </c>
      <c r="W2010" s="211" t="str">
        <f>IFERROR(__xludf.DUMMYFUNCTION("""COMPUTED_VALUE"""),"OUT")</f>
        <v>OUT</v>
      </c>
      <c r="X2010" s="211"/>
    </row>
    <row r="2011">
      <c r="A2011" s="210" t="str">
        <f>IFERROR(__xludf.DUMMYFUNCTION("""COMPUTED_VALUE"""),"1025161451")</f>
        <v>1025161451</v>
      </c>
      <c r="B2011" s="210" t="str">
        <f>IFERROR(__xludf.DUMMYFUNCTION("""COMPUTED_VALUE"""),"1025161451")</f>
        <v>1025161451</v>
      </c>
      <c r="C2011" s="213">
        <f>IFERROR(__xludf.DUMMYFUNCTION("""COMPUTED_VALUE"""),45945.35493055556)</f>
        <v>45945.35493</v>
      </c>
      <c r="D2011" s="211" t="str">
        <f>IFERROR(__xludf.DUMMYFUNCTION("""COMPUTED_VALUE"""),"182fb0fe")</f>
        <v>182fb0fe</v>
      </c>
      <c r="E2011" s="211" t="str">
        <f>IFERROR(__xludf.DUMMYFUNCTION("""COMPUTED_VALUE"""),"PT Amtech")</f>
        <v>PT Amtech</v>
      </c>
      <c r="F2011" s="211" t="str">
        <f>IFERROR(__xludf.DUMMYFUNCTION("""COMPUTED_VALUE"""),"8bdbe149")</f>
        <v>8bdbe149</v>
      </c>
      <c r="G2011" s="211" t="str">
        <f>IFERROR(__xludf.DUMMYFUNCTION("""COMPUTED_VALUE"""),"Oksigen 6m3")</f>
        <v>Oksigen 6m3</v>
      </c>
      <c r="H2011" s="211" t="str">
        <f>IFERROR(__xludf.DUMMYFUNCTION("""COMPUTED_VALUE"""),"OUT")</f>
        <v>OUT</v>
      </c>
      <c r="I2011" s="211" t="str">
        <f>IFERROR(__xludf.DUMMYFUNCTION("""COMPUTED_VALUE"""),"NORMAL")</f>
        <v>NORMAL</v>
      </c>
      <c r="J2011" s="211">
        <f>IFERROR(__xludf.DUMMYFUNCTION("""COMPUTED_VALUE"""),2.0)</f>
        <v>2</v>
      </c>
      <c r="K2011" s="210" t="str">
        <f>IFERROR(__xludf.DUMMYFUNCTION("""COMPUTED_VALUE"""),"11191 11241")</f>
        <v>11191 11241</v>
      </c>
      <c r="L2011" s="211">
        <f>IFERROR(__xludf.DUMMYFUNCTION("""COMPUTED_VALUE"""),60000.0)</f>
        <v>60000</v>
      </c>
      <c r="M2011" s="211"/>
      <c r="N2011" s="211"/>
      <c r="O2011" s="211"/>
      <c r="Q2011" s="210" t="str">
        <f>IFERROR(__xludf.DUMMYFUNCTION("""COMPUTED_VALUE"""),"1225242006")</f>
        <v>1225242006</v>
      </c>
      <c r="R2011" s="210" t="str">
        <f>IFERROR(__xludf.DUMMYFUNCTION("""COMPUTED_VALUE"""),"1225242006")</f>
        <v>1225242006</v>
      </c>
      <c r="S2011" s="211" t="str">
        <f>IFERROR(__xludf.DUMMYFUNCTION("""COMPUTED_VALUE"""),"7b9d8eba")</f>
        <v>7b9d8eba</v>
      </c>
      <c r="T2011" s="211" t="str">
        <f>IFERROR(__xludf.DUMMYFUNCTION("""COMPUTED_VALUE"""),"PT PELANGI INDOKARYA")</f>
        <v>PT PELANGI INDOKARYA</v>
      </c>
      <c r="U2011" s="215">
        <f>IFERROR(__xludf.DUMMYFUNCTION("""COMPUTED_VALUE"""),46008.61765046296)</f>
        <v>46008.61765</v>
      </c>
      <c r="V201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011" s="211" t="str">
        <f>IFERROR(__xludf.DUMMYFUNCTION("""COMPUTED_VALUE"""),"OUT")</f>
        <v>OUT</v>
      </c>
      <c r="X2011" s="211"/>
    </row>
    <row r="2012">
      <c r="A2012" s="211"/>
      <c r="B2012" s="211"/>
      <c r="C2012" s="211"/>
      <c r="D2012" s="211"/>
      <c r="E2012" s="211"/>
      <c r="F2012" s="211"/>
      <c r="G2012" s="211"/>
      <c r="H2012" s="211"/>
      <c r="I2012" s="211"/>
      <c r="J2012" s="211"/>
      <c r="K2012" s="211"/>
      <c r="L2012" s="211"/>
      <c r="M2012" s="211"/>
      <c r="N2012" s="211"/>
      <c r="O2012" s="211"/>
      <c r="Q2012" s="210" t="str">
        <f>IFERROR(__xludf.DUMMYFUNCTION("""COMPUTED_VALUE"""),"1250953")</f>
        <v>1250953</v>
      </c>
      <c r="R2012" s="210" t="str">
        <f>IFERROR(__xludf.DUMMYFUNCTION("""COMPUTED_VALUE"""),"1250953")</f>
        <v>1250953</v>
      </c>
      <c r="S2012" s="211" t="str">
        <f>IFERROR(__xludf.DUMMYFUNCTION("""COMPUTED_VALUE"""),"785e0e07")</f>
        <v>785e0e07</v>
      </c>
      <c r="T2012" s="211" t="str">
        <f>IFERROR(__xludf.DUMMYFUNCTION("""COMPUTED_VALUE"""),"Bpk. Sukirno (Bejo)")</f>
        <v>Bpk. Sukirno (Bejo)</v>
      </c>
      <c r="U2012" s="215">
        <f>IFERROR(__xludf.DUMMYFUNCTION("""COMPUTED_VALUE"""),46008.62008101852)</f>
        <v>46008.62008</v>
      </c>
      <c r="V2012" s="211" t="str">
        <f>IFERROR(__xludf.DUMMYFUNCTION("""COMPUTED_VALUE"""),"Krajan I, Wringinanom, Kec. Wringinanom, Kabupaten Gresik, Jawa Timur 61176")</f>
        <v>Krajan I, Wringinanom, Kec. Wringinanom, Kabupaten Gresik, Jawa Timur 61176</v>
      </c>
      <c r="W2012" s="211" t="str">
        <f>IFERROR(__xludf.DUMMYFUNCTION("""COMPUTED_VALUE"""),"IN")</f>
        <v>IN</v>
      </c>
      <c r="X2012" s="211"/>
    </row>
    <row r="2013">
      <c r="A2013" s="211"/>
      <c r="B2013" s="211"/>
      <c r="C2013" s="211"/>
      <c r="D2013" s="211"/>
      <c r="E2013" s="211"/>
      <c r="F2013" s="211"/>
      <c r="G2013" s="211"/>
      <c r="H2013" s="211"/>
      <c r="I2013" s="211"/>
      <c r="J2013" s="211"/>
      <c r="K2013" s="211"/>
      <c r="L2013" s="211"/>
      <c r="M2013" s="211"/>
      <c r="N2013" s="211"/>
      <c r="O2013" s="211"/>
      <c r="Q2013" s="210" t="str">
        <f>IFERROR(__xludf.DUMMYFUNCTION("""COMPUTED_VALUE"""),"1250963")</f>
        <v>1250963</v>
      </c>
      <c r="R2013" s="210" t="str">
        <f>IFERROR(__xludf.DUMMYFUNCTION("""COMPUTED_VALUE"""),"1250963")</f>
        <v>1250963</v>
      </c>
      <c r="S2013" s="211" t="str">
        <f>IFERROR(__xludf.DUMMYFUNCTION("""COMPUTED_VALUE"""),"3b04351a")</f>
        <v>3b04351a</v>
      </c>
      <c r="T2013" s="211" t="str">
        <f>IFERROR(__xludf.DUMMYFUNCTION("""COMPUTED_VALUE"""),"CV Usaha Logam Jaya")</f>
        <v>CV Usaha Logam Jaya</v>
      </c>
      <c r="U2013" s="215">
        <f>IFERROR(__xludf.DUMMYFUNCTION("""COMPUTED_VALUE"""),46008.459710648145)</f>
        <v>46008.45971</v>
      </c>
      <c r="V2013" s="211" t="str">
        <f>IFERROR(__xludf.DUMMYFUNCTION("""COMPUTED_VALUE"""),"Jl. Jetis Karya, Wonorejo, Jetis, Kec. Jetis, Kabupaten Mojokerto, Jawa Timur 61352")</f>
        <v>Jl. Jetis Karya, Wonorejo, Jetis, Kec. Jetis, Kabupaten Mojokerto, Jawa Timur 61352</v>
      </c>
      <c r="W2013" s="211" t="str">
        <f>IFERROR(__xludf.DUMMYFUNCTION("""COMPUTED_VALUE"""),"IN")</f>
        <v>IN</v>
      </c>
      <c r="X2013" s="211"/>
    </row>
    <row r="2014">
      <c r="A2014" s="219" t="str">
        <f>IFERROR(__xludf.DUMMYFUNCTION("""COMPUTED_VALUE"""),"102541444")</f>
        <v>102541444</v>
      </c>
      <c r="B2014" s="219" t="str">
        <f>IFERROR(__xludf.DUMMYFUNCTION("""COMPUTED_VALUE"""),"102541444")</f>
        <v>102541444</v>
      </c>
      <c r="C2014" s="220">
        <f>IFERROR(__xludf.DUMMYFUNCTION("""COMPUTED_VALUE"""),45945.48181712963)</f>
        <v>45945.48182</v>
      </c>
      <c r="D2014" s="221" t="str">
        <f>IFERROR(__xludf.DUMMYFUNCTION("""COMPUTED_VALUE"""),"9e31e9f4")</f>
        <v>9e31e9f4</v>
      </c>
      <c r="E2014" s="221" t="str">
        <f>IFERROR(__xludf.DUMMYFUNCTION("""COMPUTED_VALUE"""),"Bpk. Eko Iswantoro")</f>
        <v>Bpk. Eko Iswantoro</v>
      </c>
      <c r="F2014" s="221" t="str">
        <f>IFERROR(__xludf.DUMMYFUNCTION("""COMPUTED_VALUE"""),"7d2764f1")</f>
        <v>7d2764f1</v>
      </c>
      <c r="G2014" s="221" t="str">
        <f>IFERROR(__xludf.DUMMYFUNCTION("""COMPUTED_VALUE"""),"Oksigen 7m3")</f>
        <v>Oksigen 7m3</v>
      </c>
      <c r="H2014" s="221" t="str">
        <f>IFERROR(__xludf.DUMMYFUNCTION("""COMPUTED_VALUE"""),"OUT")</f>
        <v>OUT</v>
      </c>
      <c r="I2014" s="221" t="str">
        <f>IFERROR(__xludf.DUMMYFUNCTION("""COMPUTED_VALUE"""),"NORMAL")</f>
        <v>NORMAL</v>
      </c>
      <c r="J2014" s="221">
        <f>IFERROR(__xludf.DUMMYFUNCTION("""COMPUTED_VALUE"""),3.0)</f>
        <v>3</v>
      </c>
      <c r="K2014" s="219" t="str">
        <f>IFERROR(__xludf.DUMMYFUNCTION("""COMPUTED_VALUE"""),"11217 11227 11228")</f>
        <v>11217 11227 11228</v>
      </c>
      <c r="L2014" s="221">
        <f>IFERROR(__xludf.DUMMYFUNCTION("""COMPUTED_VALUE"""),70000.0)</f>
        <v>70000</v>
      </c>
      <c r="M2014" s="221"/>
      <c r="N2014" s="211"/>
      <c r="O2014" s="211"/>
      <c r="Q2014" s="210" t="str">
        <f>IFERROR(__xludf.DUMMYFUNCTION("""COMPUTED_VALUE"""),"122532012")</f>
        <v>122532012</v>
      </c>
      <c r="R2014" s="210" t="str">
        <f>IFERROR(__xludf.DUMMYFUNCTION("""COMPUTED_VALUE"""),"122532012")</f>
        <v>122532012</v>
      </c>
      <c r="S2014" s="211" t="str">
        <f>IFERROR(__xludf.DUMMYFUNCTION("""COMPUTED_VALUE"""),"9b941888")</f>
        <v>9b941888</v>
      </c>
      <c r="T2014" s="211" t="str">
        <f>IFERROR(__xludf.DUMMYFUNCTION("""COMPUTED_VALUE"""),"Mas Devi ( Parengan )")</f>
        <v>Mas Devi ( Parengan )</v>
      </c>
      <c r="U2014" s="215">
        <f>IFERROR(__xludf.DUMMYFUNCTION("""COMPUTED_VALUE"""),46008.68491898148)</f>
        <v>46008.68492</v>
      </c>
      <c r="V2014" s="211" t="str">
        <f>IFERROR(__xludf.DUMMYFUNCTION("""COMPUTED_VALUE"""),"Kraton Krian Sidoarjo, ( sebelah tower listrik )")</f>
        <v>Kraton Krian Sidoarjo, ( sebelah tower listrik )</v>
      </c>
      <c r="W2014" s="211" t="str">
        <f>IFERROR(__xludf.DUMMYFUNCTION("""COMPUTED_VALUE"""),"OUT")</f>
        <v>OUT</v>
      </c>
      <c r="X2014" s="211"/>
    </row>
    <row r="2015">
      <c r="A2015" s="219" t="str">
        <f>IFERROR(__xludf.DUMMYFUNCTION("""COMPUTED_VALUE"""),"1250673")</f>
        <v>1250673</v>
      </c>
      <c r="B2015" s="219" t="str">
        <f>IFERROR(__xludf.DUMMYFUNCTION("""COMPUTED_VALUE"""),"1250673")</f>
        <v>1250673</v>
      </c>
      <c r="C2015" s="220">
        <f>IFERROR(__xludf.DUMMYFUNCTION("""COMPUTED_VALUE"""),45945.52868055556)</f>
        <v>45945.52868</v>
      </c>
      <c r="D2015" s="221" t="str">
        <f>IFERROR(__xludf.DUMMYFUNCTION("""COMPUTED_VALUE"""),"9e31e9f4")</f>
        <v>9e31e9f4</v>
      </c>
      <c r="E2015" s="221" t="str">
        <f>IFERROR(__xludf.DUMMYFUNCTION("""COMPUTED_VALUE"""),"Bpk. Eko Iswantoro")</f>
        <v>Bpk. Eko Iswantoro</v>
      </c>
      <c r="F2015" s="221" t="str">
        <f>IFERROR(__xludf.DUMMYFUNCTION("""COMPUTED_VALUE"""),"8bdbe149")</f>
        <v>8bdbe149</v>
      </c>
      <c r="G2015" s="221" t="str">
        <f>IFERROR(__xludf.DUMMYFUNCTION("""COMPUTED_VALUE"""),"Oksigen 6m3")</f>
        <v>Oksigen 6m3</v>
      </c>
      <c r="H2015" s="221" t="str">
        <f>IFERROR(__xludf.DUMMYFUNCTION("""COMPUTED_VALUE"""),"IN")</f>
        <v>IN</v>
      </c>
      <c r="I2015" s="221" t="str">
        <f>IFERROR(__xludf.DUMMYFUNCTION("""COMPUTED_VALUE"""),"EMPTY")</f>
        <v>EMPTY</v>
      </c>
      <c r="J2015" s="221">
        <f>IFERROR(__xludf.DUMMYFUNCTION("""COMPUTED_VALUE"""),1.0)</f>
        <v>1</v>
      </c>
      <c r="K2015" s="219" t="str">
        <f>IFERROR(__xludf.DUMMYFUNCTION("""COMPUTED_VALUE"""),"11201")</f>
        <v>11201</v>
      </c>
      <c r="L2015" s="221">
        <f>IFERROR(__xludf.DUMMYFUNCTION("""COMPUTED_VALUE"""),0.0)</f>
        <v>0</v>
      </c>
      <c r="M2015" s="221"/>
      <c r="N2015" s="211"/>
      <c r="O2015" s="211"/>
      <c r="Q2015" s="210" t="str">
        <f>IFERROR(__xludf.DUMMYFUNCTION("""COMPUTED_VALUE"""),"1225342015")</f>
        <v>1225342015</v>
      </c>
      <c r="R2015" s="210" t="str">
        <f>IFERROR(__xludf.DUMMYFUNCTION("""COMPUTED_VALUE"""),"1225342015")</f>
        <v>1225342015</v>
      </c>
      <c r="S2015" s="211" t="str">
        <f>IFERROR(__xludf.DUMMYFUNCTION("""COMPUTED_VALUE"""),"ce83e171")</f>
        <v>ce83e171</v>
      </c>
      <c r="T2015" s="211" t="str">
        <f>IFERROR(__xludf.DUMMYFUNCTION("""COMPUTED_VALUE"""),"Bpk. Sulaiman")</f>
        <v>Bpk. Sulaiman</v>
      </c>
      <c r="U2015" s="215">
        <f>IFERROR(__xludf.DUMMYFUNCTION("""COMPUTED_VALUE"""),46009.34375)</f>
        <v>46009.34375</v>
      </c>
      <c r="V2015" s="211" t="str">
        <f>IFERROR(__xludf.DUMMYFUNCTION("""COMPUTED_VALUE"""),"Jl. Raya Kramat Temenggung No.43, Kramat, Kramat Temenggung, Kec. Tarik, Kabupaten Sidoarjo, Jawa Timur 61265")</f>
        <v>Jl. Raya Kramat Temenggung No.43, Kramat, Kramat Temenggung, Kec. Tarik, Kabupaten Sidoarjo, Jawa Timur 61265</v>
      </c>
      <c r="W2015" s="211" t="str">
        <f>IFERROR(__xludf.DUMMYFUNCTION("""COMPUTED_VALUE"""),"OUT")</f>
        <v>OUT</v>
      </c>
      <c r="X2015" s="211"/>
    </row>
    <row r="2016">
      <c r="A2016" s="219" t="str">
        <f>IFERROR(__xludf.DUMMYFUNCTION("""COMPUTED_VALUE"""),"1250672")</f>
        <v>1250672</v>
      </c>
      <c r="B2016" s="219" t="str">
        <f>IFERROR(__xludf.DUMMYFUNCTION("""COMPUTED_VALUE"""),"1250672")</f>
        <v>1250672</v>
      </c>
      <c r="C2016" s="220">
        <f>IFERROR(__xludf.DUMMYFUNCTION("""COMPUTED_VALUE"""),45945.530439814815)</f>
        <v>45945.53044</v>
      </c>
      <c r="D2016" s="221" t="str">
        <f>IFERROR(__xludf.DUMMYFUNCTION("""COMPUTED_VALUE"""),"e86baf3b")</f>
        <v>e86baf3b</v>
      </c>
      <c r="E2016" s="221" t="str">
        <f>IFERROR(__xludf.DUMMYFUNCTION("""COMPUTED_VALUE"""),"PT GEMILANG CIPTA WAWASAN")</f>
        <v>PT GEMILANG CIPTA WAWASAN</v>
      </c>
      <c r="F2016" s="221" t="str">
        <f>IFERROR(__xludf.DUMMYFUNCTION("""COMPUTED_VALUE"""),"8bdbe149")</f>
        <v>8bdbe149</v>
      </c>
      <c r="G2016" s="221" t="str">
        <f>IFERROR(__xludf.DUMMYFUNCTION("""COMPUTED_VALUE"""),"Oksigen 6m3")</f>
        <v>Oksigen 6m3</v>
      </c>
      <c r="H2016" s="221" t="str">
        <f>IFERROR(__xludf.DUMMYFUNCTION("""COMPUTED_VALUE"""),"IN")</f>
        <v>IN</v>
      </c>
      <c r="I2016" s="221" t="str">
        <f>IFERROR(__xludf.DUMMYFUNCTION("""COMPUTED_VALUE"""),"EMPTY")</f>
        <v>EMPTY</v>
      </c>
      <c r="J2016" s="221">
        <f>IFERROR(__xludf.DUMMYFUNCTION("""COMPUTED_VALUE"""),2.0)</f>
        <v>2</v>
      </c>
      <c r="K2016" s="219" t="str">
        <f>IFERROR(__xludf.DUMMYFUNCTION("""COMPUTED_VALUE"""),"11256 11245")</f>
        <v>11256 11245</v>
      </c>
      <c r="L2016" s="221">
        <f>IFERROR(__xludf.DUMMYFUNCTION("""COMPUTED_VALUE"""),0.0)</f>
        <v>0</v>
      </c>
      <c r="M2016" s="221"/>
      <c r="N2016" s="211"/>
      <c r="O2016" s="211"/>
      <c r="Q2016" s="210" t="str">
        <f>IFERROR(__xludf.DUMMYFUNCTION("""COMPUTED_VALUE"""),"1225392016")</f>
        <v>1225392016</v>
      </c>
      <c r="R2016" s="210" t="str">
        <f>IFERROR(__xludf.DUMMYFUNCTION("""COMPUTED_VALUE"""),"1225392016")</f>
        <v>1225392016</v>
      </c>
      <c r="S2016" s="211" t="str">
        <f>IFERROR(__xludf.DUMMYFUNCTION("""COMPUTED_VALUE"""),"5f23ba17")</f>
        <v>5f23ba17</v>
      </c>
      <c r="T2016" s="211" t="str">
        <f>IFERROR(__xludf.DUMMYFUNCTION("""COMPUTED_VALUE"""),"Bpk. Joko (Gresik)")</f>
        <v>Bpk. Joko (Gresik)</v>
      </c>
      <c r="U2016" s="215">
        <f>IFERROR(__xludf.DUMMYFUNCTION("""COMPUTED_VALUE"""),46009.35177083333)</f>
        <v>46009.35177</v>
      </c>
      <c r="V2016" s="211" t="str">
        <f>IFERROR(__xludf.DUMMYFUNCTION("""COMPUTED_VALUE"""),"Tanggungan, Lebaniwaras, Kec. Wringinanom, Kabupaten Gresik, Jawa Timur")</f>
        <v>Tanggungan, Lebaniwaras, Kec. Wringinanom, Kabupaten Gresik, Jawa Timur</v>
      </c>
      <c r="W2016" s="211" t="str">
        <f>IFERROR(__xludf.DUMMYFUNCTION("""COMPUTED_VALUE"""),"OUT")</f>
        <v>OUT</v>
      </c>
      <c r="X2016" s="211"/>
    </row>
    <row r="2017">
      <c r="A2017" s="219" t="str">
        <f>IFERROR(__xludf.DUMMYFUNCTION("""COMPUTED_VALUE"""),"1250672")</f>
        <v>1250672</v>
      </c>
      <c r="B2017" s="219" t="str">
        <f>IFERROR(__xludf.DUMMYFUNCTION("""COMPUTED_VALUE"""),"1250672")</f>
        <v>1250672</v>
      </c>
      <c r="C2017" s="220">
        <f>IFERROR(__xludf.DUMMYFUNCTION("""COMPUTED_VALUE"""),45945.530439814815)</f>
        <v>45945.53044</v>
      </c>
      <c r="D2017" s="221" t="str">
        <f>IFERROR(__xludf.DUMMYFUNCTION("""COMPUTED_VALUE"""),"e86baf3b")</f>
        <v>e86baf3b</v>
      </c>
      <c r="E2017" s="221" t="str">
        <f>IFERROR(__xludf.DUMMYFUNCTION("""COMPUTED_VALUE"""),"PT GEMILANG CIPTA WAWASAN")</f>
        <v>PT GEMILANG CIPTA WAWASAN</v>
      </c>
      <c r="F2017" s="221" t="str">
        <f>IFERROR(__xludf.DUMMYFUNCTION("""COMPUTED_VALUE"""),"66af7c72")</f>
        <v>66af7c72</v>
      </c>
      <c r="G2017" s="221" t="str">
        <f>IFERROR(__xludf.DUMMYFUNCTION("""COMPUTED_VALUE"""),"Argon 6m3")</f>
        <v>Argon 6m3</v>
      </c>
      <c r="H2017" s="221" t="str">
        <f>IFERROR(__xludf.DUMMYFUNCTION("""COMPUTED_VALUE"""),"IN")</f>
        <v>IN</v>
      </c>
      <c r="I2017" s="221" t="str">
        <f>IFERROR(__xludf.DUMMYFUNCTION("""COMPUTED_VALUE"""),"EMPTY")</f>
        <v>EMPTY</v>
      </c>
      <c r="J2017" s="221">
        <f>IFERROR(__xludf.DUMMYFUNCTION("""COMPUTED_VALUE"""),8.0)</f>
        <v>8</v>
      </c>
      <c r="K2017" s="219" t="str">
        <f>IFERROR(__xludf.DUMMYFUNCTION("""COMPUTED_VALUE"""),"12077 12021 12039 12067 12047 12061 12080 12017")</f>
        <v>12077 12021 12039 12067 12047 12061 12080 12017</v>
      </c>
      <c r="L2017" s="221">
        <f>IFERROR(__xludf.DUMMYFUNCTION("""COMPUTED_VALUE"""),0.0)</f>
        <v>0</v>
      </c>
      <c r="M2017" s="221"/>
      <c r="N2017" s="211"/>
      <c r="O2017" s="211"/>
      <c r="Q2017" s="210" t="str">
        <f>IFERROR(__xludf.DUMMYFUNCTION("""COMPUTED_VALUE"""),"122572017")</f>
        <v>122572017</v>
      </c>
      <c r="R2017" s="210" t="str">
        <f>IFERROR(__xludf.DUMMYFUNCTION("""COMPUTED_VALUE"""),"122572017")</f>
        <v>122572017</v>
      </c>
      <c r="S2017" s="211" t="str">
        <f>IFERROR(__xludf.DUMMYFUNCTION("""COMPUTED_VALUE"""),"3b04351a")</f>
        <v>3b04351a</v>
      </c>
      <c r="T2017" s="211" t="str">
        <f>IFERROR(__xludf.DUMMYFUNCTION("""COMPUTED_VALUE"""),"CV Usaha Logam Jaya ( Bpk Putra )")</f>
        <v>CV Usaha Logam Jaya ( Bpk Putra )</v>
      </c>
      <c r="U2017" s="215">
        <f>IFERROR(__xludf.DUMMYFUNCTION("""COMPUTED_VALUE"""),46009.360439814816)</f>
        <v>46009.36044</v>
      </c>
      <c r="V2017" s="211" t="str">
        <f>IFERROR(__xludf.DUMMYFUNCTION("""COMPUTED_VALUE"""),"Jl. Raya Wringinanom, Sidomoro, Pasinan Lemahputih, Kec. Wringinanom, Kabupaten Gresik, Jawa Timur 61176")</f>
        <v>Jl. Raya Wringinanom, Sidomoro, Pasinan Lemahputih, Kec. Wringinanom, Kabupaten Gresik, Jawa Timur 61176</v>
      </c>
      <c r="W2017" s="211" t="str">
        <f>IFERROR(__xludf.DUMMYFUNCTION("""COMPUTED_VALUE"""),"OUT")</f>
        <v>OUT</v>
      </c>
      <c r="X2017" s="211"/>
    </row>
    <row r="2018">
      <c r="A2018" s="219" t="str">
        <f>IFERROR(__xludf.DUMMYFUNCTION("""COMPUTED_VALUE"""),"1025101454")</f>
        <v>1025101454</v>
      </c>
      <c r="B2018" s="219" t="str">
        <f>IFERROR(__xludf.DUMMYFUNCTION("""COMPUTED_VALUE"""),"1025101454")</f>
        <v>1025101454</v>
      </c>
      <c r="C2018" s="220">
        <f>IFERROR(__xludf.DUMMYFUNCTION("""COMPUTED_VALUE"""),45945.54178240741)</f>
        <v>45945.54178</v>
      </c>
      <c r="D2018" s="221" t="str">
        <f>IFERROR(__xludf.DUMMYFUNCTION("""COMPUTED_VALUE"""),"ed2cc96a")</f>
        <v>ed2cc96a</v>
      </c>
      <c r="E2018" s="221" t="str">
        <f>IFERROR(__xludf.DUMMYFUNCTION("""COMPUTED_VALUE"""),"Bengkel Dian Jaya")</f>
        <v>Bengkel Dian Jaya</v>
      </c>
      <c r="F2018" s="221" t="str">
        <f>IFERROR(__xludf.DUMMYFUNCTION("""COMPUTED_VALUE"""),"8bdbe149")</f>
        <v>8bdbe149</v>
      </c>
      <c r="G2018" s="221" t="str">
        <f>IFERROR(__xludf.DUMMYFUNCTION("""COMPUTED_VALUE"""),"Oksigen 6m3")</f>
        <v>Oksigen 6m3</v>
      </c>
      <c r="H2018" s="221" t="str">
        <f>IFERROR(__xludf.DUMMYFUNCTION("""COMPUTED_VALUE"""),"OUT")</f>
        <v>OUT</v>
      </c>
      <c r="I2018" s="221" t="str">
        <f>IFERROR(__xludf.DUMMYFUNCTION("""COMPUTED_VALUE"""),"NORMAL")</f>
        <v>NORMAL</v>
      </c>
      <c r="J2018" s="221">
        <f>IFERROR(__xludf.DUMMYFUNCTION("""COMPUTED_VALUE"""),5.0)</f>
        <v>5</v>
      </c>
      <c r="K2018" s="219" t="str">
        <f>IFERROR(__xludf.DUMMYFUNCTION("""COMPUTED_VALUE"""),"11242 11176 11267 1189 11125")</f>
        <v>11242 11176 11267 1189 11125</v>
      </c>
      <c r="L2018" s="221">
        <f>IFERROR(__xludf.DUMMYFUNCTION("""COMPUTED_VALUE"""),50000.0)</f>
        <v>50000</v>
      </c>
      <c r="M2018" s="221"/>
      <c r="N2018" s="211"/>
      <c r="O2018" s="211"/>
      <c r="Q2018" s="210" t="str">
        <f>IFERROR(__xludf.DUMMYFUNCTION("""COMPUTED_VALUE"""),"1250964")</f>
        <v>1250964</v>
      </c>
      <c r="R2018" s="210" t="str">
        <f>IFERROR(__xludf.DUMMYFUNCTION("""COMPUTED_VALUE"""),"1250964")</f>
        <v>1250964</v>
      </c>
      <c r="S2018" s="211" t="str">
        <f>IFERROR(__xludf.DUMMYFUNCTION("""COMPUTED_VALUE"""),"7b9d8eba")</f>
        <v>7b9d8eba</v>
      </c>
      <c r="T2018" s="211" t="str">
        <f>IFERROR(__xludf.DUMMYFUNCTION("""COMPUTED_VALUE"""),"PT PELANGI INDOKARYA")</f>
        <v>PT PELANGI INDOKARYA</v>
      </c>
      <c r="U2018" s="215">
        <f>IFERROR(__xludf.DUMMYFUNCTION("""COMPUTED_VALUE"""),46009.371099537035)</f>
        <v>46009.3711</v>
      </c>
      <c r="V201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018" s="211" t="str">
        <f>IFERROR(__xludf.DUMMYFUNCTION("""COMPUTED_VALUE"""),"IN")</f>
        <v>IN</v>
      </c>
      <c r="X2018" s="211"/>
    </row>
    <row r="2019">
      <c r="A2019" s="219" t="str">
        <f>IFERROR(__xludf.DUMMYFUNCTION("""COMPUTED_VALUE"""),"1250666")</f>
        <v>1250666</v>
      </c>
      <c r="B2019" s="219" t="str">
        <f>IFERROR(__xludf.DUMMYFUNCTION("""COMPUTED_VALUE"""),"1250666")</f>
        <v>1250666</v>
      </c>
      <c r="C2019" s="220">
        <f>IFERROR(__xludf.DUMMYFUNCTION("""COMPUTED_VALUE"""),45945.65557870371)</f>
        <v>45945.65558</v>
      </c>
      <c r="D2019" s="221" t="str">
        <f>IFERROR(__xludf.DUMMYFUNCTION("""COMPUTED_VALUE"""),"ed2cc96a")</f>
        <v>ed2cc96a</v>
      </c>
      <c r="E2019" s="221" t="str">
        <f>IFERROR(__xludf.DUMMYFUNCTION("""COMPUTED_VALUE"""),"Bengkel Dian Jaya")</f>
        <v>Bengkel Dian Jaya</v>
      </c>
      <c r="F2019" s="221" t="str">
        <f>IFERROR(__xludf.DUMMYFUNCTION("""COMPUTED_VALUE"""),"8bdbe149")</f>
        <v>8bdbe149</v>
      </c>
      <c r="G2019" s="221" t="str">
        <f>IFERROR(__xludf.DUMMYFUNCTION("""COMPUTED_VALUE"""),"Oksigen 6m3")</f>
        <v>Oksigen 6m3</v>
      </c>
      <c r="H2019" s="221" t="str">
        <f>IFERROR(__xludf.DUMMYFUNCTION("""COMPUTED_VALUE"""),"IN")</f>
        <v>IN</v>
      </c>
      <c r="I2019" s="221" t="str">
        <f>IFERROR(__xludf.DUMMYFUNCTION("""COMPUTED_VALUE"""),"EMPTY")</f>
        <v>EMPTY</v>
      </c>
      <c r="J2019" s="221">
        <f>IFERROR(__xludf.DUMMYFUNCTION("""COMPUTED_VALUE"""),6.0)</f>
        <v>6</v>
      </c>
      <c r="K2019" s="219" t="str">
        <f>IFERROR(__xludf.DUMMYFUNCTION("""COMPUTED_VALUE"""),"1142 1132 1183 1138 1150 1193")</f>
        <v>1142 1132 1183 1138 1150 1193</v>
      </c>
      <c r="L2019" s="221">
        <f>IFERROR(__xludf.DUMMYFUNCTION("""COMPUTED_VALUE"""),0.0)</f>
        <v>0</v>
      </c>
      <c r="M2019" s="221"/>
      <c r="N2019" s="211"/>
      <c r="O2019" s="211"/>
      <c r="Q2019" s="210" t="str">
        <f>IFERROR(__xludf.DUMMYFUNCTION("""COMPUTED_VALUE"""),"1250965")</f>
        <v>1250965</v>
      </c>
      <c r="R2019" s="210" t="str">
        <f>IFERROR(__xludf.DUMMYFUNCTION("""COMPUTED_VALUE"""),"1250965")</f>
        <v>1250965</v>
      </c>
      <c r="S2019" s="211" t="str">
        <f>IFERROR(__xludf.DUMMYFUNCTION("""COMPUTED_VALUE"""),"9b941888")</f>
        <v>9b941888</v>
      </c>
      <c r="T2019" s="211" t="str">
        <f>IFERROR(__xludf.DUMMYFUNCTION("""COMPUTED_VALUE"""),"Mas Devi ( Parengan )")</f>
        <v>Mas Devi ( Parengan )</v>
      </c>
      <c r="U2019" s="215">
        <f>IFERROR(__xludf.DUMMYFUNCTION("""COMPUTED_VALUE"""),46009.37175925926)</f>
        <v>46009.37176</v>
      </c>
      <c r="V2019" s="211" t="str">
        <f>IFERROR(__xludf.DUMMYFUNCTION("""COMPUTED_VALUE"""),"Kraton Krian Sidoarjo, ( sebelah tower listrik )")</f>
        <v>Kraton Krian Sidoarjo, ( sebelah tower listrik )</v>
      </c>
      <c r="W2019" s="211" t="str">
        <f>IFERROR(__xludf.DUMMYFUNCTION("""COMPUTED_VALUE"""),"IN")</f>
        <v>IN</v>
      </c>
      <c r="X2019" s="211"/>
    </row>
    <row r="2020">
      <c r="A2020" s="219" t="str">
        <f>IFERROR(__xludf.DUMMYFUNCTION("""COMPUTED_VALUE"""),"1025231454")</f>
        <v>1025231454</v>
      </c>
      <c r="B2020" s="219" t="str">
        <f>IFERROR(__xludf.DUMMYFUNCTION("""COMPUTED_VALUE"""),"1025231454")</f>
        <v>1025231454</v>
      </c>
      <c r="C2020" s="220">
        <f>IFERROR(__xludf.DUMMYFUNCTION("""COMPUTED_VALUE"""),45946.45172453704)</f>
        <v>45946.45172</v>
      </c>
      <c r="D2020" s="221" t="str">
        <f>IFERROR(__xludf.DUMMYFUNCTION("""COMPUTED_VALUE"""),"8f5ebaea")</f>
        <v>8f5ebaea</v>
      </c>
      <c r="E2020" s="221" t="str">
        <f>IFERROR(__xludf.DUMMYFUNCTION("""COMPUTED_VALUE"""),"PT Hua Zong Mesindo")</f>
        <v>PT Hua Zong Mesindo</v>
      </c>
      <c r="F2020" s="221" t="str">
        <f>IFERROR(__xludf.DUMMYFUNCTION("""COMPUTED_VALUE"""),"ef306e54")</f>
        <v>ef306e54</v>
      </c>
      <c r="G2020" s="221" t="str">
        <f>IFERROR(__xludf.DUMMYFUNCTION("""COMPUTED_VALUE"""),"Karbondioksida")</f>
        <v>Karbondioksida</v>
      </c>
      <c r="H2020" s="221" t="str">
        <f>IFERROR(__xludf.DUMMYFUNCTION("""COMPUTED_VALUE"""),"OUT")</f>
        <v>OUT</v>
      </c>
      <c r="I2020" s="221" t="str">
        <f>IFERROR(__xludf.DUMMYFUNCTION("""COMPUTED_VALUE"""),"NORMAL")</f>
        <v>NORMAL</v>
      </c>
      <c r="J2020" s="221">
        <f>IFERROR(__xludf.DUMMYFUNCTION("""COMPUTED_VALUE"""),2.0)</f>
        <v>2</v>
      </c>
      <c r="K2020" s="219" t="str">
        <f>IFERROR(__xludf.DUMMYFUNCTION("""COMPUTED_VALUE"""),"13001 13025")</f>
        <v>13001 13025</v>
      </c>
      <c r="L2020" s="221">
        <f>IFERROR(__xludf.DUMMYFUNCTION("""COMPUTED_VALUE"""),160000.0)</f>
        <v>160000</v>
      </c>
      <c r="M2020" s="221"/>
      <c r="N2020" s="211"/>
      <c r="O2020" s="211"/>
      <c r="Q2020" s="210" t="str">
        <f>IFERROR(__xludf.DUMMYFUNCTION("""COMPUTED_VALUE"""),"1250966")</f>
        <v>1250966</v>
      </c>
      <c r="R2020" s="210" t="str">
        <f>IFERROR(__xludf.DUMMYFUNCTION("""COMPUTED_VALUE"""),"1250966")</f>
        <v>1250966</v>
      </c>
      <c r="S2020" s="211" t="str">
        <f>IFERROR(__xludf.DUMMYFUNCTION("""COMPUTED_VALUE"""),"3b04351a")</f>
        <v>3b04351a</v>
      </c>
      <c r="T2020" s="211" t="str">
        <f>IFERROR(__xludf.DUMMYFUNCTION("""COMPUTED_VALUE"""),"CV Usaha Logam Jaya ( Bpk Putra )")</f>
        <v>CV Usaha Logam Jaya ( Bpk Putra )</v>
      </c>
      <c r="U2020" s="215">
        <f>IFERROR(__xludf.DUMMYFUNCTION("""COMPUTED_VALUE"""),46009.47892361111)</f>
        <v>46009.47892</v>
      </c>
      <c r="V2020" s="211" t="str">
        <f>IFERROR(__xludf.DUMMYFUNCTION("""COMPUTED_VALUE"""),"Jl. Raya Wringinanom, Sidomoro, Pasinan Lemahputih, Kec. Wringinanom, Kabupaten Gresik, Jawa Timur 61176")</f>
        <v>Jl. Raya Wringinanom, Sidomoro, Pasinan Lemahputih, Kec. Wringinanom, Kabupaten Gresik, Jawa Timur 61176</v>
      </c>
      <c r="W2020" s="211" t="str">
        <f>IFERROR(__xludf.DUMMYFUNCTION("""COMPUTED_VALUE"""),"IN")</f>
        <v>IN</v>
      </c>
      <c r="X2020" s="211"/>
    </row>
    <row r="2021">
      <c r="A2021" s="219" t="str">
        <f>IFERROR(__xludf.DUMMYFUNCTION("""COMPUTED_VALUE"""),"1025231454")</f>
        <v>1025231454</v>
      </c>
      <c r="B2021" s="219" t="str">
        <f>IFERROR(__xludf.DUMMYFUNCTION("""COMPUTED_VALUE"""),"1025231454")</f>
        <v>1025231454</v>
      </c>
      <c r="C2021" s="220">
        <f>IFERROR(__xludf.DUMMYFUNCTION("""COMPUTED_VALUE"""),45946.45172453704)</f>
        <v>45946.45172</v>
      </c>
      <c r="D2021" s="221" t="str">
        <f>IFERROR(__xludf.DUMMYFUNCTION("""COMPUTED_VALUE"""),"8f5ebaea")</f>
        <v>8f5ebaea</v>
      </c>
      <c r="E2021" s="221" t="str">
        <f>IFERROR(__xludf.DUMMYFUNCTION("""COMPUTED_VALUE"""),"PT Hua Zong Mesindo")</f>
        <v>PT Hua Zong Mesindo</v>
      </c>
      <c r="F2021" s="221" t="str">
        <f>IFERROR(__xludf.DUMMYFUNCTION("""COMPUTED_VALUE"""),"8bdbe149")</f>
        <v>8bdbe149</v>
      </c>
      <c r="G2021" s="221" t="str">
        <f>IFERROR(__xludf.DUMMYFUNCTION("""COMPUTED_VALUE"""),"Oksigen 6m3")</f>
        <v>Oksigen 6m3</v>
      </c>
      <c r="H2021" s="221" t="str">
        <f>IFERROR(__xludf.DUMMYFUNCTION("""COMPUTED_VALUE"""),"OUT")</f>
        <v>OUT</v>
      </c>
      <c r="I2021" s="221" t="str">
        <f>IFERROR(__xludf.DUMMYFUNCTION("""COMPUTED_VALUE"""),"NORMAL")</f>
        <v>NORMAL</v>
      </c>
      <c r="J2021" s="221">
        <f>IFERROR(__xludf.DUMMYFUNCTION("""COMPUTED_VALUE"""),3.0)</f>
        <v>3</v>
      </c>
      <c r="K2021" s="219" t="str">
        <f>IFERROR(__xludf.DUMMYFUNCTION("""COMPUTED_VALUE"""),"11256 11245 1132")</f>
        <v>11256 11245 1132</v>
      </c>
      <c r="L2021" s="221">
        <f>IFERROR(__xludf.DUMMYFUNCTION("""COMPUTED_VALUE"""),60000.0)</f>
        <v>60000</v>
      </c>
      <c r="M2021" s="221"/>
      <c r="N2021" s="211"/>
      <c r="O2021" s="211"/>
      <c r="Q2021" s="210" t="str">
        <f>IFERROR(__xludf.DUMMYFUNCTION("""COMPUTED_VALUE"""),"122572018")</f>
        <v>122572018</v>
      </c>
      <c r="R2021" s="210" t="str">
        <f>IFERROR(__xludf.DUMMYFUNCTION("""COMPUTED_VALUE"""),"122572018")</f>
        <v>122572018</v>
      </c>
      <c r="S2021" s="211" t="str">
        <f>IFERROR(__xludf.DUMMYFUNCTION("""COMPUTED_VALUE"""),"ba97d58d")</f>
        <v>ba97d58d</v>
      </c>
      <c r="T2021" s="211" t="str">
        <f>IFERROR(__xludf.DUMMYFUNCTION("""COMPUTED_VALUE"""),"Bengkel Citra Mojosari")</f>
        <v>Bengkel Citra Mojosari</v>
      </c>
      <c r="U2021" s="215">
        <f>IFERROR(__xludf.DUMMYFUNCTION("""COMPUTED_VALUE"""),46009.48459490741)</f>
        <v>46009.48459</v>
      </c>
      <c r="V2021" s="211" t="str">
        <f>IFERROR(__xludf.DUMMYFUNCTION("""COMPUTED_VALUE"""),"Jl. Raden Wijaya, Kemloko, Jotangan, Kec. Mojosari, Kabupaten Mojokerto, Jawa Timur 61382")</f>
        <v>Jl. Raden Wijaya, Kemloko, Jotangan, Kec. Mojosari, Kabupaten Mojokerto, Jawa Timur 61382</v>
      </c>
      <c r="W2021" s="211" t="str">
        <f>IFERROR(__xludf.DUMMYFUNCTION("""COMPUTED_VALUE"""),"OUT")</f>
        <v>OUT</v>
      </c>
      <c r="X2021" s="211"/>
    </row>
    <row r="2022">
      <c r="A2022" s="219" t="str">
        <f>IFERROR(__xludf.DUMMYFUNCTION("""COMPUTED_VALUE"""),"1025221459")</f>
        <v>1025221459</v>
      </c>
      <c r="B2022" s="219" t="str">
        <f>IFERROR(__xludf.DUMMYFUNCTION("""COMPUTED_VALUE"""),"1025221459")</f>
        <v>1025221459</v>
      </c>
      <c r="C2022" s="220">
        <f>IFERROR(__xludf.DUMMYFUNCTION("""COMPUTED_VALUE"""),45946.452939814815)</f>
        <v>45946.45294</v>
      </c>
      <c r="D2022" s="221" t="str">
        <f>IFERROR(__xludf.DUMMYFUNCTION("""COMPUTED_VALUE"""),"b2b5f2c5")</f>
        <v>b2b5f2c5</v>
      </c>
      <c r="E2022" s="221" t="str">
        <f>IFERROR(__xludf.DUMMYFUNCTION("""COMPUTED_VALUE"""),"Bengkel Las Bpk. Ari")</f>
        <v>Bengkel Las Bpk. Ari</v>
      </c>
      <c r="F2022" s="221" t="str">
        <f>IFERROR(__xludf.DUMMYFUNCTION("""COMPUTED_VALUE"""),"ef306e54")</f>
        <v>ef306e54</v>
      </c>
      <c r="G2022" s="221" t="str">
        <f>IFERROR(__xludf.DUMMYFUNCTION("""COMPUTED_VALUE"""),"Karbondioksida")</f>
        <v>Karbondioksida</v>
      </c>
      <c r="H2022" s="221" t="str">
        <f>IFERROR(__xludf.DUMMYFUNCTION("""COMPUTED_VALUE"""),"OUT")</f>
        <v>OUT</v>
      </c>
      <c r="I2022" s="221" t="str">
        <f>IFERROR(__xludf.DUMMYFUNCTION("""COMPUTED_VALUE"""),"NORMAL")</f>
        <v>NORMAL</v>
      </c>
      <c r="J2022" s="221">
        <f>IFERROR(__xludf.DUMMYFUNCTION("""COMPUTED_VALUE"""),3.0)</f>
        <v>3</v>
      </c>
      <c r="K2022" s="219" t="str">
        <f>IFERROR(__xludf.DUMMYFUNCTION("""COMPUTED_VALUE"""),"13007 13030 13002")</f>
        <v>13007 13030 13002</v>
      </c>
      <c r="L2022" s="221">
        <f>IFERROR(__xludf.DUMMYFUNCTION("""COMPUTED_VALUE"""),170000.0)</f>
        <v>170000</v>
      </c>
      <c r="M2022" s="221"/>
      <c r="N2022" s="211"/>
      <c r="O2022" s="211"/>
      <c r="Q2022" s="210" t="str">
        <f>IFERROR(__xludf.DUMMYFUNCTION("""COMPUTED_VALUE"""),"1250970")</f>
        <v>1250970</v>
      </c>
      <c r="R2022" s="210" t="str">
        <f>IFERROR(__xludf.DUMMYFUNCTION("""COMPUTED_VALUE"""),"1250970")</f>
        <v>1250970</v>
      </c>
      <c r="S2022" s="211" t="str">
        <f>IFERROR(__xludf.DUMMYFUNCTION("""COMPUTED_VALUE"""),"ce83e171")</f>
        <v>ce83e171</v>
      </c>
      <c r="T2022" s="211" t="str">
        <f>IFERROR(__xludf.DUMMYFUNCTION("""COMPUTED_VALUE"""),"Bpk. Sulaiman")</f>
        <v>Bpk. Sulaiman</v>
      </c>
      <c r="U2022" s="215">
        <f>IFERROR(__xludf.DUMMYFUNCTION("""COMPUTED_VALUE"""),46009.49364583333)</f>
        <v>46009.49365</v>
      </c>
      <c r="V2022" s="211" t="str">
        <f>IFERROR(__xludf.DUMMYFUNCTION("""COMPUTED_VALUE"""),"Jl. Raya Kramat Temenggung No.43, Kramat, Kramat Temenggung, Kec. Tarik, Kabupaten Sidoarjo, Jawa Timur 61265")</f>
        <v>Jl. Raya Kramat Temenggung No.43, Kramat, Kramat Temenggung, Kec. Tarik, Kabupaten Sidoarjo, Jawa Timur 61265</v>
      </c>
      <c r="W2022" s="211" t="str">
        <f>IFERROR(__xludf.DUMMYFUNCTION("""COMPUTED_VALUE"""),"IN")</f>
        <v>IN</v>
      </c>
      <c r="X2022" s="211"/>
    </row>
    <row r="2023">
      <c r="A2023" s="219" t="str">
        <f>IFERROR(__xludf.DUMMYFUNCTION("""COMPUTED_VALUE"""),"1025221459")</f>
        <v>1025221459</v>
      </c>
      <c r="B2023" s="219" t="str">
        <f>IFERROR(__xludf.DUMMYFUNCTION("""COMPUTED_VALUE"""),"1025221459")</f>
        <v>1025221459</v>
      </c>
      <c r="C2023" s="220">
        <f>IFERROR(__xludf.DUMMYFUNCTION("""COMPUTED_VALUE"""),45946.452939814815)</f>
        <v>45946.45294</v>
      </c>
      <c r="D2023" s="221" t="str">
        <f>IFERROR(__xludf.DUMMYFUNCTION("""COMPUTED_VALUE"""),"b2b5f2c5")</f>
        <v>b2b5f2c5</v>
      </c>
      <c r="E2023" s="221" t="str">
        <f>IFERROR(__xludf.DUMMYFUNCTION("""COMPUTED_VALUE"""),"Bengkel Las Bpk. Ari")</f>
        <v>Bengkel Las Bpk. Ari</v>
      </c>
      <c r="F2023" s="221" t="str">
        <f>IFERROR(__xludf.DUMMYFUNCTION("""COMPUTED_VALUE"""),"7d2764f1")</f>
        <v>7d2764f1</v>
      </c>
      <c r="G2023" s="221" t="str">
        <f>IFERROR(__xludf.DUMMYFUNCTION("""COMPUTED_VALUE"""),"Oksigen 7m3")</f>
        <v>Oksigen 7m3</v>
      </c>
      <c r="H2023" s="221" t="str">
        <f>IFERROR(__xludf.DUMMYFUNCTION("""COMPUTED_VALUE"""),"OUT")</f>
        <v>OUT</v>
      </c>
      <c r="I2023" s="221" t="str">
        <f>IFERROR(__xludf.DUMMYFUNCTION("""COMPUTED_VALUE"""),"NORMAL")</f>
        <v>NORMAL</v>
      </c>
      <c r="J2023" s="221">
        <f>IFERROR(__xludf.DUMMYFUNCTION("""COMPUTED_VALUE"""),6.0)</f>
        <v>6</v>
      </c>
      <c r="K2023" s="219" t="str">
        <f>IFERROR(__xludf.DUMMYFUNCTION("""COMPUTED_VALUE"""),"11214 11152 11140 11143 11168 76")</f>
        <v>11214 11152 11140 11143 11168 76</v>
      </c>
      <c r="L2023" s="221">
        <f>IFERROR(__xludf.DUMMYFUNCTION("""COMPUTED_VALUE"""),60000.0)</f>
        <v>60000</v>
      </c>
      <c r="M2023" s="221"/>
      <c r="N2023" s="211"/>
      <c r="O2023" s="211"/>
      <c r="Q2023" s="210" t="str">
        <f>IFERROR(__xludf.DUMMYFUNCTION("""COMPUTED_VALUE"""),"1250954")</f>
        <v>1250954</v>
      </c>
      <c r="R2023" s="210" t="str">
        <f>IFERROR(__xludf.DUMMYFUNCTION("""COMPUTED_VALUE"""),"1250954")</f>
        <v>1250954</v>
      </c>
      <c r="S2023" s="211" t="str">
        <f>IFERROR(__xludf.DUMMYFUNCTION("""COMPUTED_VALUE"""),"e76bc39c")</f>
        <v>e76bc39c</v>
      </c>
      <c r="T2023" s="211" t="str">
        <f>IFERROR(__xludf.DUMMYFUNCTION("""COMPUTED_VALUE"""),"Bpk. Irul")</f>
        <v>Bpk. Irul</v>
      </c>
      <c r="U2023" s="215">
        <f>IFERROR(__xludf.DUMMYFUNCTION("""COMPUTED_VALUE"""),46009.494363425925)</f>
        <v>46009.49436</v>
      </c>
      <c r="V2023" s="211" t="str">
        <f>IFERROR(__xludf.DUMMYFUNCTION("""COMPUTED_VALUE"""),"Jl. Mayjen Bambang Yuwono, Ciro Kulon, Bakungtemenggungan, Kec. BalongBendo, Kabupaten Sidoarjo, Jawa Timur 61263")</f>
        <v>Jl. Mayjen Bambang Yuwono, Ciro Kulon, Bakungtemenggungan, Kec. BalongBendo, Kabupaten Sidoarjo, Jawa Timur 61263</v>
      </c>
      <c r="W2023" s="211" t="str">
        <f>IFERROR(__xludf.DUMMYFUNCTION("""COMPUTED_VALUE"""),"IN")</f>
        <v>IN</v>
      </c>
      <c r="X2023" s="211"/>
    </row>
    <row r="2024">
      <c r="A2024" s="219" t="str">
        <f>IFERROR(__xludf.DUMMYFUNCTION("""COMPUTED_VALUE"""),"1250676")</f>
        <v>1250676</v>
      </c>
      <c r="B2024" s="219" t="str">
        <f>IFERROR(__xludf.DUMMYFUNCTION("""COMPUTED_VALUE"""),"1250676")</f>
        <v>1250676</v>
      </c>
      <c r="C2024" s="220">
        <f>IFERROR(__xludf.DUMMYFUNCTION("""COMPUTED_VALUE"""),45946.47357638889)</f>
        <v>45946.47358</v>
      </c>
      <c r="D2024" s="221" t="str">
        <f>IFERROR(__xludf.DUMMYFUNCTION("""COMPUTED_VALUE"""),"ec231cc9")</f>
        <v>ec231cc9</v>
      </c>
      <c r="E2024" s="221" t="str">
        <f>IFERROR(__xludf.DUMMYFUNCTION("""COMPUTED_VALUE"""),"Bpk. Kohir (Maintenance Velg)")</f>
        <v>Bpk. Kohir (Maintenance Velg)</v>
      </c>
      <c r="F2024" s="221" t="str">
        <f>IFERROR(__xludf.DUMMYFUNCTION("""COMPUTED_VALUE"""),"8bdbe149")</f>
        <v>8bdbe149</v>
      </c>
      <c r="G2024" s="221" t="str">
        <f>IFERROR(__xludf.DUMMYFUNCTION("""COMPUTED_VALUE"""),"Oksigen 6m3")</f>
        <v>Oksigen 6m3</v>
      </c>
      <c r="H2024" s="221" t="str">
        <f>IFERROR(__xludf.DUMMYFUNCTION("""COMPUTED_VALUE"""),"IN")</f>
        <v>IN</v>
      </c>
      <c r="I2024" s="221" t="str">
        <f>IFERROR(__xludf.DUMMYFUNCTION("""COMPUTED_VALUE"""),"EMPTY")</f>
        <v>EMPTY</v>
      </c>
      <c r="J2024" s="221">
        <f>IFERROR(__xludf.DUMMYFUNCTION("""COMPUTED_VALUE"""),4.0)</f>
        <v>4</v>
      </c>
      <c r="K2024" s="219" t="str">
        <f>IFERROR(__xludf.DUMMYFUNCTION("""COMPUTED_VALUE"""),"1112 11101 11109 11199")</f>
        <v>1112 11101 11109 11199</v>
      </c>
      <c r="L2024" s="221">
        <f>IFERROR(__xludf.DUMMYFUNCTION("""COMPUTED_VALUE"""),0.0)</f>
        <v>0</v>
      </c>
      <c r="M2024" s="221"/>
      <c r="N2024" s="211"/>
      <c r="O2024" s="211"/>
      <c r="Q2024" s="210" t="str">
        <f>IFERROR(__xludf.DUMMYFUNCTION("""COMPUTED_VALUE"""),"1225562016")</f>
        <v>1225562016</v>
      </c>
      <c r="R2024" s="210" t="str">
        <f>IFERROR(__xludf.DUMMYFUNCTION("""COMPUTED_VALUE"""),"1225562016")</f>
        <v>1225562016</v>
      </c>
      <c r="S2024" s="211" t="str">
        <f>IFERROR(__xludf.DUMMYFUNCTION("""COMPUTED_VALUE"""),"b2b5f2c5")</f>
        <v>b2b5f2c5</v>
      </c>
      <c r="T2024" s="211" t="str">
        <f>IFERROR(__xludf.DUMMYFUNCTION("""COMPUTED_VALUE"""),"Bengkel Las Bpk. Ari")</f>
        <v>Bengkel Las Bpk. Ari</v>
      </c>
      <c r="U2024" s="215">
        <f>IFERROR(__xludf.DUMMYFUNCTION("""COMPUTED_VALUE"""),46009.59060185185)</f>
        <v>46009.5906</v>
      </c>
      <c r="V2024" s="211" t="str">
        <f>IFERROR(__xludf.DUMMYFUNCTION("""COMPUTED_VALUE"""),"Sumber Kembar, Wonodadi, Kec. Kutorejo, Kabupaten Mojokerto, Jawa Timur")</f>
        <v>Sumber Kembar, Wonodadi, Kec. Kutorejo, Kabupaten Mojokerto, Jawa Timur</v>
      </c>
      <c r="W2024" s="211" t="str">
        <f>IFERROR(__xludf.DUMMYFUNCTION("""COMPUTED_VALUE"""),"OUT")</f>
        <v>OUT</v>
      </c>
      <c r="X2024" s="211"/>
    </row>
    <row r="2025">
      <c r="A2025" s="221"/>
      <c r="B2025" s="221"/>
      <c r="C2025" s="221"/>
      <c r="D2025" s="221"/>
      <c r="E2025" s="221"/>
      <c r="F2025" s="221" t="str">
        <f>IFERROR(__xludf.DUMMYFUNCTION("""COMPUTED_VALUE"""),"ef306e54")</f>
        <v>ef306e54</v>
      </c>
      <c r="G2025" s="221" t="str">
        <f>IFERROR(__xludf.DUMMYFUNCTION("""COMPUTED_VALUE"""),"Karbondioksida")</f>
        <v>Karbondioksida</v>
      </c>
      <c r="H2025" s="221"/>
      <c r="I2025" s="221" t="str">
        <f>IFERROR(__xludf.DUMMYFUNCTION("""COMPUTED_VALUE"""),"EMPTY")</f>
        <v>EMPTY</v>
      </c>
      <c r="J2025" s="221">
        <f>IFERROR(__xludf.DUMMYFUNCTION("""COMPUTED_VALUE"""),2.0)</f>
        <v>2</v>
      </c>
      <c r="K2025" s="219" t="str">
        <f>IFERROR(__xludf.DUMMYFUNCTION("""COMPUTED_VALUE"""),"13001 13007")</f>
        <v>13001 13007</v>
      </c>
      <c r="L2025" s="221">
        <f>IFERROR(__xludf.DUMMYFUNCTION("""COMPUTED_VALUE"""),0.0)</f>
        <v>0</v>
      </c>
      <c r="M2025" s="221"/>
      <c r="N2025" s="211"/>
      <c r="O2025" s="211"/>
      <c r="Q2025" s="210" t="str">
        <f>IFERROR(__xludf.DUMMYFUNCTION("""COMPUTED_VALUE"""),"122532017")</f>
        <v>122532017</v>
      </c>
      <c r="R2025" s="210" t="str">
        <f>IFERROR(__xludf.DUMMYFUNCTION("""COMPUTED_VALUE"""),"122532017")</f>
        <v>122532017</v>
      </c>
      <c r="S2025" s="211" t="str">
        <f>IFERROR(__xludf.DUMMYFUNCTION("""COMPUTED_VALUE"""),"03ff52db")</f>
        <v>03ff52db</v>
      </c>
      <c r="T2025" s="211" t="str">
        <f>IFERROR(__xludf.DUMMYFUNCTION("""COMPUTED_VALUE"""),"Aneka Teknik Logam")</f>
        <v>Aneka Teknik Logam</v>
      </c>
      <c r="U2025" s="215">
        <f>IFERROR(__xludf.DUMMYFUNCTION("""COMPUTED_VALUE"""),46009.591875)</f>
        <v>46009.59188</v>
      </c>
      <c r="V2025" s="211" t="str">
        <f>IFERROR(__xludf.DUMMYFUNCTION("""COMPUTED_VALUE"""),"HH8G+MQC, Areng Areng, Tropodo, Kec. Krian, Kabupaten Sidoarjo, Jawa Timur 61262")</f>
        <v>HH8G+MQC, Areng Areng, Tropodo, Kec. Krian, Kabupaten Sidoarjo, Jawa Timur 61262</v>
      </c>
      <c r="W2025" s="211" t="str">
        <f>IFERROR(__xludf.DUMMYFUNCTION("""COMPUTED_VALUE"""),"OUT")</f>
        <v>OUT</v>
      </c>
      <c r="X2025" s="211"/>
    </row>
    <row r="2026">
      <c r="A2026" s="219" t="str">
        <f>IFERROR(__xludf.DUMMYFUNCTION("""COMPUTED_VALUE"""),"1250674")</f>
        <v>1250674</v>
      </c>
      <c r="B2026" s="219" t="str">
        <f>IFERROR(__xludf.DUMMYFUNCTION("""COMPUTED_VALUE"""),"1250674")</f>
        <v>1250674</v>
      </c>
      <c r="C2026" s="220">
        <f>IFERROR(__xludf.DUMMYFUNCTION("""COMPUTED_VALUE"""),45946.34722222222)</f>
        <v>45946.34722</v>
      </c>
      <c r="D2026" s="221" t="str">
        <f>IFERROR(__xludf.DUMMYFUNCTION("""COMPUTED_VALUE"""),"196b24da")</f>
        <v>196b24da</v>
      </c>
      <c r="E2026" s="221" t="str">
        <f>IFERROR(__xludf.DUMMYFUNCTION("""COMPUTED_VALUE"""),"PT Samudra Cipta Enjineering")</f>
        <v>PT Samudra Cipta Enjineering</v>
      </c>
      <c r="F2026" s="221" t="str">
        <f>IFERROR(__xludf.DUMMYFUNCTION("""COMPUTED_VALUE"""),"ef306e54")</f>
        <v>ef306e54</v>
      </c>
      <c r="G2026" s="221" t="str">
        <f>IFERROR(__xludf.DUMMYFUNCTION("""COMPUTED_VALUE"""),"Karbondioksida")</f>
        <v>Karbondioksida</v>
      </c>
      <c r="H2026" s="221" t="str">
        <f>IFERROR(__xludf.DUMMYFUNCTION("""COMPUTED_VALUE"""),"IN")</f>
        <v>IN</v>
      </c>
      <c r="I2026" s="221" t="str">
        <f>IFERROR(__xludf.DUMMYFUNCTION("""COMPUTED_VALUE"""),"EMPTY")</f>
        <v>EMPTY</v>
      </c>
      <c r="J2026" s="221">
        <f>IFERROR(__xludf.DUMMYFUNCTION("""COMPUTED_VALUE"""),2.0)</f>
        <v>2</v>
      </c>
      <c r="K2026" s="219" t="str">
        <f>IFERROR(__xludf.DUMMYFUNCTION("""COMPUTED_VALUE"""),"13001 13007")</f>
        <v>13001 13007</v>
      </c>
      <c r="L2026" s="221">
        <f>IFERROR(__xludf.DUMMYFUNCTION("""COMPUTED_VALUE"""),0.0)</f>
        <v>0</v>
      </c>
      <c r="M2026" s="221"/>
      <c r="N2026" s="211"/>
      <c r="O2026" s="211"/>
      <c r="Q2026" s="210" t="str">
        <f>IFERROR(__xludf.DUMMYFUNCTION("""COMPUTED_VALUE"""),"1250967")</f>
        <v>1250967</v>
      </c>
      <c r="R2026" s="210" t="str">
        <f>IFERROR(__xludf.DUMMYFUNCTION("""COMPUTED_VALUE"""),"1250967")</f>
        <v>1250967</v>
      </c>
      <c r="S2026" s="211" t="str">
        <f>IFERROR(__xludf.DUMMYFUNCTION("""COMPUTED_VALUE"""),"ba97d58d")</f>
        <v>ba97d58d</v>
      </c>
      <c r="T2026" s="211" t="str">
        <f>IFERROR(__xludf.DUMMYFUNCTION("""COMPUTED_VALUE"""),"Bengkel Citra Mojosari")</f>
        <v>Bengkel Citra Mojosari</v>
      </c>
      <c r="U2026" s="215">
        <f>IFERROR(__xludf.DUMMYFUNCTION("""COMPUTED_VALUE"""),46009.599583333336)</f>
        <v>46009.59958</v>
      </c>
      <c r="V2026" s="211" t="str">
        <f>IFERROR(__xludf.DUMMYFUNCTION("""COMPUTED_VALUE"""),"Jl. Raden Wijaya, Kemloko, Jotangan, Kec. Mojosari, Kabupaten Mojokerto, Jawa Timur 61382")</f>
        <v>Jl. Raden Wijaya, Kemloko, Jotangan, Kec. Mojosari, Kabupaten Mojokerto, Jawa Timur 61382</v>
      </c>
      <c r="W2026" s="211" t="str">
        <f>IFERROR(__xludf.DUMMYFUNCTION("""COMPUTED_VALUE"""),"IN")</f>
        <v>IN</v>
      </c>
      <c r="X2026" s="211"/>
    </row>
    <row r="2027">
      <c r="A2027" s="219" t="str">
        <f>IFERROR(__xludf.DUMMYFUNCTION("""COMPUTED_VALUE"""),"1250675")</f>
        <v>1250675</v>
      </c>
      <c r="B2027" s="219" t="str">
        <f>IFERROR(__xludf.DUMMYFUNCTION("""COMPUTED_VALUE"""),"1250675")</f>
        <v>1250675</v>
      </c>
      <c r="C2027" s="220">
        <f>IFERROR(__xludf.DUMMYFUNCTION("""COMPUTED_VALUE"""),45946.47681712963)</f>
        <v>45946.47682</v>
      </c>
      <c r="D2027" s="221" t="str">
        <f>IFERROR(__xludf.DUMMYFUNCTION("""COMPUTED_VALUE"""),"8f5ebaea")</f>
        <v>8f5ebaea</v>
      </c>
      <c r="E2027" s="221" t="str">
        <f>IFERROR(__xludf.DUMMYFUNCTION("""COMPUTED_VALUE"""),"PT Hua Zong Mesindo")</f>
        <v>PT Hua Zong Mesindo</v>
      </c>
      <c r="F2027" s="221" t="str">
        <f>IFERROR(__xludf.DUMMYFUNCTION("""COMPUTED_VALUE"""),"8bdbe149")</f>
        <v>8bdbe149</v>
      </c>
      <c r="G2027" s="221" t="str">
        <f>IFERROR(__xludf.DUMMYFUNCTION("""COMPUTED_VALUE"""),"Oksigen 6m3")</f>
        <v>Oksigen 6m3</v>
      </c>
      <c r="H2027" s="221" t="str">
        <f>IFERROR(__xludf.DUMMYFUNCTION("""COMPUTED_VALUE"""),"IN")</f>
        <v>IN</v>
      </c>
      <c r="I2027" s="221" t="str">
        <f>IFERROR(__xludf.DUMMYFUNCTION("""COMPUTED_VALUE"""),"EMPTY")</f>
        <v>EMPTY</v>
      </c>
      <c r="J2027" s="221">
        <f>IFERROR(__xludf.DUMMYFUNCTION("""COMPUTED_VALUE"""),1.0)</f>
        <v>1</v>
      </c>
      <c r="K2027" s="219" t="str">
        <f>IFERROR(__xludf.DUMMYFUNCTION("""COMPUTED_VALUE"""),"11228")</f>
        <v>11228</v>
      </c>
      <c r="L2027" s="221">
        <f>IFERROR(__xludf.DUMMYFUNCTION("""COMPUTED_VALUE"""),0.0)</f>
        <v>0</v>
      </c>
      <c r="M2027" s="221"/>
      <c r="N2027" s="211"/>
      <c r="O2027" s="211"/>
      <c r="Q2027" s="210" t="str">
        <f>IFERROR(__xludf.DUMMYFUNCTION("""COMPUTED_VALUE"""),"1250968")</f>
        <v>1250968</v>
      </c>
      <c r="R2027" s="210" t="str">
        <f>IFERROR(__xludf.DUMMYFUNCTION("""COMPUTED_VALUE"""),"1250968")</f>
        <v>1250968</v>
      </c>
      <c r="S2027" s="211" t="str">
        <f>IFERROR(__xludf.DUMMYFUNCTION("""COMPUTED_VALUE"""),"b2b5f2c5")</f>
        <v>b2b5f2c5</v>
      </c>
      <c r="T2027" s="211" t="str">
        <f>IFERROR(__xludf.DUMMYFUNCTION("""COMPUTED_VALUE"""),"Bengkel Las Bpk. Ari")</f>
        <v>Bengkel Las Bpk. Ari</v>
      </c>
      <c r="U2027" s="215">
        <f>IFERROR(__xludf.DUMMYFUNCTION("""COMPUTED_VALUE"""),46009.602372685185)</f>
        <v>46009.60237</v>
      </c>
      <c r="V2027" s="211" t="str">
        <f>IFERROR(__xludf.DUMMYFUNCTION("""COMPUTED_VALUE"""),"Sumber Kembar, Wonodadi, Kec. Kutorejo, Kabupaten Mojokerto, Jawa Timur")</f>
        <v>Sumber Kembar, Wonodadi, Kec. Kutorejo, Kabupaten Mojokerto, Jawa Timur</v>
      </c>
      <c r="W2027" s="211" t="str">
        <f>IFERROR(__xludf.DUMMYFUNCTION("""COMPUTED_VALUE"""),"IN")</f>
        <v>IN</v>
      </c>
      <c r="X2027" s="211"/>
    </row>
    <row r="2028">
      <c r="A2028" s="219" t="str">
        <f>IFERROR(__xludf.DUMMYFUNCTION("""COMPUTED_VALUE"""),"1250675")</f>
        <v>1250675</v>
      </c>
      <c r="B2028" s="219" t="str">
        <f>IFERROR(__xludf.DUMMYFUNCTION("""COMPUTED_VALUE"""),"1250675")</f>
        <v>1250675</v>
      </c>
      <c r="C2028" s="220">
        <f>IFERROR(__xludf.DUMMYFUNCTION("""COMPUTED_VALUE"""),45946.47681712963)</f>
        <v>45946.47682</v>
      </c>
      <c r="D2028" s="221" t="str">
        <f>IFERROR(__xludf.DUMMYFUNCTION("""COMPUTED_VALUE"""),"8f5ebaea")</f>
        <v>8f5ebaea</v>
      </c>
      <c r="E2028" s="221" t="str">
        <f>IFERROR(__xludf.DUMMYFUNCTION("""COMPUTED_VALUE"""),"PT Hua Zong Mesindo")</f>
        <v>PT Hua Zong Mesindo</v>
      </c>
      <c r="F2028" s="221" t="str">
        <f>IFERROR(__xludf.DUMMYFUNCTION("""COMPUTED_VALUE"""),"ef306e54")</f>
        <v>ef306e54</v>
      </c>
      <c r="G2028" s="221" t="str">
        <f>IFERROR(__xludf.DUMMYFUNCTION("""COMPUTED_VALUE"""),"Karbondioksida")</f>
        <v>Karbondioksida</v>
      </c>
      <c r="H2028" s="221" t="str">
        <f>IFERROR(__xludf.DUMMYFUNCTION("""COMPUTED_VALUE"""),"IN")</f>
        <v>IN</v>
      </c>
      <c r="I2028" s="221" t="str">
        <f>IFERROR(__xludf.DUMMYFUNCTION("""COMPUTED_VALUE"""),"EMPTY")</f>
        <v>EMPTY</v>
      </c>
      <c r="J2028" s="221">
        <f>IFERROR(__xludf.DUMMYFUNCTION("""COMPUTED_VALUE"""),3.0)</f>
        <v>3</v>
      </c>
      <c r="K2028" s="219" t="str">
        <f>IFERROR(__xludf.DUMMYFUNCTION("""COMPUTED_VALUE"""),"13025 13030 13002")</f>
        <v>13025 13030 13002</v>
      </c>
      <c r="L2028" s="221">
        <f>IFERROR(__xludf.DUMMYFUNCTION("""COMPUTED_VALUE"""),0.0)</f>
        <v>0</v>
      </c>
      <c r="M2028" s="221"/>
      <c r="N2028" s="211"/>
      <c r="O2028" s="211"/>
      <c r="Q2028" s="210" t="str">
        <f>IFERROR(__xludf.DUMMYFUNCTION("""COMPUTED_VALUE"""),"1225332026")</f>
        <v>1225332026</v>
      </c>
      <c r="R2028" s="210" t="str">
        <f>IFERROR(__xludf.DUMMYFUNCTION("""COMPUTED_VALUE"""),"1225332026")</f>
        <v>1225332026</v>
      </c>
      <c r="S2028" s="211" t="str">
        <f>IFERROR(__xludf.DUMMYFUNCTION("""COMPUTED_VALUE"""),"ec231cc9")</f>
        <v>ec231cc9</v>
      </c>
      <c r="T2028" s="211" t="str">
        <f>IFERROR(__xludf.DUMMYFUNCTION("""COMPUTED_VALUE"""),"Bpk. Kohir (Maintenance Velg)")</f>
        <v>Bpk. Kohir (Maintenance Velg)</v>
      </c>
      <c r="U2028" s="215">
        <f>IFERROR(__xludf.DUMMYFUNCTION("""COMPUTED_VALUE"""),46010.334027777775)</f>
        <v>46010.33403</v>
      </c>
      <c r="V2028" s="211" t="str">
        <f>IFERROR(__xludf.DUMMYFUNCTION("""COMPUTED_VALUE"""),"Jl. Lkr. Bypass Krian Timur, Sidogolong, Watugolong, Kec. Krian, Kabupaten Sidoarjo, Jawa Timur 61262")</f>
        <v>Jl. Lkr. Bypass Krian Timur, Sidogolong, Watugolong, Kec. Krian, Kabupaten Sidoarjo, Jawa Timur 61262</v>
      </c>
      <c r="W2028" s="211" t="str">
        <f>IFERROR(__xludf.DUMMYFUNCTION("""COMPUTED_VALUE"""),"OUT")</f>
        <v>OUT</v>
      </c>
      <c r="X2028" s="211"/>
    </row>
    <row r="2029">
      <c r="A2029" s="219" t="str">
        <f>IFERROR(__xludf.DUMMYFUNCTION("""COMPUTED_VALUE"""),"1250675")</f>
        <v>1250675</v>
      </c>
      <c r="B2029" s="219" t="str">
        <f>IFERROR(__xludf.DUMMYFUNCTION("""COMPUTED_VALUE"""),"1250675")</f>
        <v>1250675</v>
      </c>
      <c r="C2029" s="220">
        <f>IFERROR(__xludf.DUMMYFUNCTION("""COMPUTED_VALUE"""),45946.47681712963)</f>
        <v>45946.47682</v>
      </c>
      <c r="D2029" s="221" t="str">
        <f>IFERROR(__xludf.DUMMYFUNCTION("""COMPUTED_VALUE"""),"8f5ebaea")</f>
        <v>8f5ebaea</v>
      </c>
      <c r="E2029" s="221" t="str">
        <f>IFERROR(__xludf.DUMMYFUNCTION("""COMPUTED_VALUE"""),"PT Hua Zong Mesindo")</f>
        <v>PT Hua Zong Mesindo</v>
      </c>
      <c r="F2029" s="221" t="str">
        <f>IFERROR(__xludf.DUMMYFUNCTION("""COMPUTED_VALUE"""),"66af7c72")</f>
        <v>66af7c72</v>
      </c>
      <c r="G2029" s="221" t="str">
        <f>IFERROR(__xludf.DUMMYFUNCTION("""COMPUTED_VALUE"""),"Argon 6m3")</f>
        <v>Argon 6m3</v>
      </c>
      <c r="H2029" s="221" t="str">
        <f>IFERROR(__xludf.DUMMYFUNCTION("""COMPUTED_VALUE"""),"IN")</f>
        <v>IN</v>
      </c>
      <c r="I2029" s="221" t="str">
        <f>IFERROR(__xludf.DUMMYFUNCTION("""COMPUTED_VALUE"""),"EMPTY")</f>
        <v>EMPTY</v>
      </c>
      <c r="J2029" s="221">
        <f>IFERROR(__xludf.DUMMYFUNCTION("""COMPUTED_VALUE"""),1.0)</f>
        <v>1</v>
      </c>
      <c r="K2029" s="219" t="str">
        <f>IFERROR(__xludf.DUMMYFUNCTION("""COMPUTED_VALUE"""),"12045")</f>
        <v>12045</v>
      </c>
      <c r="L2029" s="221">
        <f>IFERROR(__xludf.DUMMYFUNCTION("""COMPUTED_VALUE"""),0.0)</f>
        <v>0</v>
      </c>
      <c r="M2029" s="221"/>
      <c r="N2029" s="211"/>
      <c r="O2029" s="211"/>
      <c r="Q2029" s="210" t="str">
        <f>IFERROR(__xludf.DUMMYFUNCTION("""COMPUTED_VALUE"""),"250971")</f>
        <v>250971</v>
      </c>
      <c r="R2029" s="210" t="str">
        <f>IFERROR(__xludf.DUMMYFUNCTION("""COMPUTED_VALUE"""),"250971")</f>
        <v>250971</v>
      </c>
      <c r="S2029" s="211" t="str">
        <f>IFERROR(__xludf.DUMMYFUNCTION("""COMPUTED_VALUE"""),"8f5ebaea")</f>
        <v>8f5ebaea</v>
      </c>
      <c r="T2029" s="211" t="str">
        <f>IFERROR(__xludf.DUMMYFUNCTION("""COMPUTED_VALUE"""),"PT Hua Zong Mesindo")</f>
        <v>PT Hua Zong Mesindo</v>
      </c>
      <c r="U2029" s="215">
        <f>IFERROR(__xludf.DUMMYFUNCTION("""COMPUTED_VALUE"""),46010.3491087963)</f>
        <v>46010.34911</v>
      </c>
      <c r="V2029" s="211" t="str">
        <f>IFERROR(__xludf.DUMMYFUNCTION("""COMPUTED_VALUE"""),"Jl. Bypass Krian, Sidotemo, Sidomulyo, Kec. Krian, Kabupaten Sidoarjo, Jawa Timur 61262")</f>
        <v>Jl. Bypass Krian, Sidotemo, Sidomulyo, Kec. Krian, Kabupaten Sidoarjo, Jawa Timur 61262</v>
      </c>
      <c r="W2029" s="211" t="str">
        <f>IFERROR(__xludf.DUMMYFUNCTION("""COMPUTED_VALUE"""),"IN")</f>
        <v>IN</v>
      </c>
      <c r="X2029" s="211"/>
    </row>
    <row r="2030">
      <c r="A2030" s="219" t="str">
        <f>IFERROR(__xludf.DUMMYFUNCTION("""COMPUTED_VALUE"""),"1250668")</f>
        <v>1250668</v>
      </c>
      <c r="B2030" s="219" t="str">
        <f>IFERROR(__xludf.DUMMYFUNCTION("""COMPUTED_VALUE"""),"1250668")</f>
        <v>1250668</v>
      </c>
      <c r="C2030" s="220">
        <f>IFERROR(__xludf.DUMMYFUNCTION("""COMPUTED_VALUE"""),45946.61587962963)</f>
        <v>45946.61588</v>
      </c>
      <c r="D2030" s="221" t="str">
        <f>IFERROR(__xludf.DUMMYFUNCTION("""COMPUTED_VALUE"""),"b2b5f2c5")</f>
        <v>b2b5f2c5</v>
      </c>
      <c r="E2030" s="221" t="str">
        <f>IFERROR(__xludf.DUMMYFUNCTION("""COMPUTED_VALUE"""),"Bengkel Las Bpk. Ari")</f>
        <v>Bengkel Las Bpk. Ari</v>
      </c>
      <c r="F2030" s="221" t="str">
        <f>IFERROR(__xludf.DUMMYFUNCTION("""COMPUTED_VALUE"""),"ef306e54")</f>
        <v>ef306e54</v>
      </c>
      <c r="G2030" s="221" t="str">
        <f>IFERROR(__xludf.DUMMYFUNCTION("""COMPUTED_VALUE"""),"Karbondioksida")</f>
        <v>Karbondioksida</v>
      </c>
      <c r="H2030" s="221" t="str">
        <f>IFERROR(__xludf.DUMMYFUNCTION("""COMPUTED_VALUE"""),"IN")</f>
        <v>IN</v>
      </c>
      <c r="I2030" s="221" t="str">
        <f>IFERROR(__xludf.DUMMYFUNCTION("""COMPUTED_VALUE"""),"EMPTY")</f>
        <v>EMPTY</v>
      </c>
      <c r="J2030" s="221">
        <f>IFERROR(__xludf.DUMMYFUNCTION("""COMPUTED_VALUE"""),2.0)</f>
        <v>2</v>
      </c>
      <c r="K2030" s="219" t="str">
        <f>IFERROR(__xludf.DUMMYFUNCTION("""COMPUTED_VALUE"""),"13010 13020")</f>
        <v>13010 13020</v>
      </c>
      <c r="L2030" s="221">
        <f>IFERROR(__xludf.DUMMYFUNCTION("""COMPUTED_VALUE"""),0.0)</f>
        <v>0</v>
      </c>
      <c r="M2030" s="221"/>
      <c r="N2030" s="211"/>
      <c r="O2030" s="211"/>
      <c r="Q2030" s="210" t="str">
        <f>IFERROR(__xludf.DUMMYFUNCTION("""COMPUTED_VALUE"""),"1250972")</f>
        <v>1250972</v>
      </c>
      <c r="R2030" s="210" t="str">
        <f>IFERROR(__xludf.DUMMYFUNCTION("""COMPUTED_VALUE"""),"1250972")</f>
        <v>1250972</v>
      </c>
      <c r="S2030" s="211" t="str">
        <f>IFERROR(__xludf.DUMMYFUNCTION("""COMPUTED_VALUE"""),"03ff52db")</f>
        <v>03ff52db</v>
      </c>
      <c r="T2030" s="211" t="str">
        <f>IFERROR(__xludf.DUMMYFUNCTION("""COMPUTED_VALUE"""),"Aneka Teknik Logam")</f>
        <v>Aneka Teknik Logam</v>
      </c>
      <c r="U2030" s="215">
        <f>IFERROR(__xludf.DUMMYFUNCTION("""COMPUTED_VALUE"""),46010.35034722222)</f>
        <v>46010.35035</v>
      </c>
      <c r="V2030" s="211" t="str">
        <f>IFERROR(__xludf.DUMMYFUNCTION("""COMPUTED_VALUE"""),"HH8G+MQC, Areng Areng, Tropodo, Kec. Krian, Kabupaten Sidoarjo, Jawa Timur 61262")</f>
        <v>HH8G+MQC, Areng Areng, Tropodo, Kec. Krian, Kabupaten Sidoarjo, Jawa Timur 61262</v>
      </c>
      <c r="W2030" s="211" t="str">
        <f>IFERROR(__xludf.DUMMYFUNCTION("""COMPUTED_VALUE"""),"IN")</f>
        <v>IN</v>
      </c>
      <c r="X2030" s="211"/>
    </row>
    <row r="2031">
      <c r="A2031" s="219" t="str">
        <f>IFERROR(__xludf.DUMMYFUNCTION("""COMPUTED_VALUE"""),"1250668")</f>
        <v>1250668</v>
      </c>
      <c r="B2031" s="219" t="str">
        <f>IFERROR(__xludf.DUMMYFUNCTION("""COMPUTED_VALUE"""),"1250668")</f>
        <v>1250668</v>
      </c>
      <c r="C2031" s="220">
        <f>IFERROR(__xludf.DUMMYFUNCTION("""COMPUTED_VALUE"""),45946.61587962963)</f>
        <v>45946.61588</v>
      </c>
      <c r="D2031" s="221" t="str">
        <f>IFERROR(__xludf.DUMMYFUNCTION("""COMPUTED_VALUE"""),"b2b5f2c5")</f>
        <v>b2b5f2c5</v>
      </c>
      <c r="E2031" s="221" t="str">
        <f>IFERROR(__xludf.DUMMYFUNCTION("""COMPUTED_VALUE"""),"Bengkel Las Bpk. Ari")</f>
        <v>Bengkel Las Bpk. Ari</v>
      </c>
      <c r="F2031" s="221" t="str">
        <f>IFERROR(__xludf.DUMMYFUNCTION("""COMPUTED_VALUE"""),"8bdbe149")</f>
        <v>8bdbe149</v>
      </c>
      <c r="G2031" s="221" t="str">
        <f>IFERROR(__xludf.DUMMYFUNCTION("""COMPUTED_VALUE"""),"Oksigen 6m3")</f>
        <v>Oksigen 6m3</v>
      </c>
      <c r="H2031" s="221" t="str">
        <f>IFERROR(__xludf.DUMMYFUNCTION("""COMPUTED_VALUE"""),"IN")</f>
        <v>IN</v>
      </c>
      <c r="I2031" s="221" t="str">
        <f>IFERROR(__xludf.DUMMYFUNCTION("""COMPUTED_VALUE"""),"EMPTY")</f>
        <v>EMPTY</v>
      </c>
      <c r="J2031" s="221">
        <f>IFERROR(__xludf.DUMMYFUNCTION("""COMPUTED_VALUE"""),6.0)</f>
        <v>6</v>
      </c>
      <c r="K2031" s="219" t="str">
        <f>IFERROR(__xludf.DUMMYFUNCTION("""COMPUTED_VALUE"""),"1137 1186 11291 11188 11288 11196")</f>
        <v>1137 1186 11291 11188 11288 11196</v>
      </c>
      <c r="L2031" s="221">
        <f>IFERROR(__xludf.DUMMYFUNCTION("""COMPUTED_VALUE"""),0.0)</f>
        <v>0</v>
      </c>
      <c r="M2031" s="221"/>
      <c r="N2031" s="211"/>
      <c r="O2031" s="211"/>
      <c r="Q2031" s="210" t="str">
        <f>IFERROR(__xludf.DUMMYFUNCTION("""COMPUTED_VALUE"""),"122542029")</f>
        <v>122542029</v>
      </c>
      <c r="R2031" s="210" t="str">
        <f>IFERROR(__xludf.DUMMYFUNCTION("""COMPUTED_VALUE"""),"122542029")</f>
        <v>122542029</v>
      </c>
      <c r="S2031" s="211" t="str">
        <f>IFERROR(__xludf.DUMMYFUNCTION("""COMPUTED_VALUE"""),"9b941888")</f>
        <v>9b941888</v>
      </c>
      <c r="T2031" s="211" t="str">
        <f>IFERROR(__xludf.DUMMYFUNCTION("""COMPUTED_VALUE"""),"Mas Devi ( Parengan )")</f>
        <v>Mas Devi ( Parengan )</v>
      </c>
      <c r="U2031" s="215">
        <f>IFERROR(__xludf.DUMMYFUNCTION("""COMPUTED_VALUE"""),46010.35325231482)</f>
        <v>46010.35325</v>
      </c>
      <c r="V2031" s="211" t="str">
        <f>IFERROR(__xludf.DUMMYFUNCTION("""COMPUTED_VALUE"""),"Kraton Krian Sidoarjo, ( sebelah tower listrik )")</f>
        <v>Kraton Krian Sidoarjo, ( sebelah tower listrik )</v>
      </c>
      <c r="W2031" s="211" t="str">
        <f>IFERROR(__xludf.DUMMYFUNCTION("""COMPUTED_VALUE"""),"OUT")</f>
        <v>OUT</v>
      </c>
      <c r="X2031" s="211"/>
    </row>
    <row r="2032">
      <c r="A2032" s="219" t="str">
        <f>IFERROR(__xludf.DUMMYFUNCTION("""COMPUTED_VALUE"""),"1250677")</f>
        <v>1250677</v>
      </c>
      <c r="B2032" s="219" t="str">
        <f>IFERROR(__xludf.DUMMYFUNCTION("""COMPUTED_VALUE"""),"1250677")</f>
        <v>1250677</v>
      </c>
      <c r="C2032" s="220">
        <f>IFERROR(__xludf.DUMMYFUNCTION("""COMPUTED_VALUE"""),45946.58607638889)</f>
        <v>45946.58608</v>
      </c>
      <c r="D2032" s="221" t="str">
        <f>IFERROR(__xludf.DUMMYFUNCTION("""COMPUTED_VALUE"""),"8f5ebaea")</f>
        <v>8f5ebaea</v>
      </c>
      <c r="E2032" s="221" t="str">
        <f>IFERROR(__xludf.DUMMYFUNCTION("""COMPUTED_VALUE"""),"PT Hua Zong Mesindo")</f>
        <v>PT Hua Zong Mesindo</v>
      </c>
      <c r="F2032" s="221" t="str">
        <f>IFERROR(__xludf.DUMMYFUNCTION("""COMPUTED_VALUE"""),"ef306e54")</f>
        <v>ef306e54</v>
      </c>
      <c r="G2032" s="221" t="str">
        <f>IFERROR(__xludf.DUMMYFUNCTION("""COMPUTED_VALUE"""),"Karbondioksida")</f>
        <v>Karbondioksida</v>
      </c>
      <c r="H2032" s="221" t="str">
        <f>IFERROR(__xludf.DUMMYFUNCTION("""COMPUTED_VALUE"""),"IN")</f>
        <v>IN</v>
      </c>
      <c r="I2032" s="221" t="str">
        <f>IFERROR(__xludf.DUMMYFUNCTION("""COMPUTED_VALUE"""),"EMPTY")</f>
        <v>EMPTY</v>
      </c>
      <c r="J2032" s="221">
        <f>IFERROR(__xludf.DUMMYFUNCTION("""COMPUTED_VALUE"""),1.0)</f>
        <v>1</v>
      </c>
      <c r="K2032" s="219" t="str">
        <f>IFERROR(__xludf.DUMMYFUNCTION("""COMPUTED_VALUE"""),"13016")</f>
        <v>13016</v>
      </c>
      <c r="L2032" s="221">
        <f>IFERROR(__xludf.DUMMYFUNCTION("""COMPUTED_VALUE"""),0.0)</f>
        <v>0</v>
      </c>
      <c r="M2032" s="221"/>
      <c r="N2032" s="211"/>
      <c r="O2032" s="211"/>
      <c r="Q2032" s="210" t="str">
        <f>IFERROR(__xludf.DUMMYFUNCTION("""COMPUTED_VALUE"""),"1250973")</f>
        <v>1250973</v>
      </c>
      <c r="R2032" s="210" t="str">
        <f>IFERROR(__xludf.DUMMYFUNCTION("""COMPUTED_VALUE"""),"1250973")</f>
        <v>1250973</v>
      </c>
      <c r="S2032" s="211" t="str">
        <f>IFERROR(__xludf.DUMMYFUNCTION("""COMPUTED_VALUE"""),"ec231cc9")</f>
        <v>ec231cc9</v>
      </c>
      <c r="T2032" s="211" t="str">
        <f>IFERROR(__xludf.DUMMYFUNCTION("""COMPUTED_VALUE"""),"Bpk. Kohir (Maintenance Velg)")</f>
        <v>Bpk. Kohir (Maintenance Velg)</v>
      </c>
      <c r="U2032" s="215">
        <f>IFERROR(__xludf.DUMMYFUNCTION("""COMPUTED_VALUE"""),46010.3596412037)</f>
        <v>46010.35964</v>
      </c>
      <c r="V2032" s="211" t="str">
        <f>IFERROR(__xludf.DUMMYFUNCTION("""COMPUTED_VALUE"""),"Jl. Lkr. Bypass Krian Timur, Sidogolong, Watugolong, Kec. Krian, Kabupaten Sidoarjo, Jawa Timur 61262")</f>
        <v>Jl. Lkr. Bypass Krian Timur, Sidogolong, Watugolong, Kec. Krian, Kabupaten Sidoarjo, Jawa Timur 61262</v>
      </c>
      <c r="W2032" s="211" t="str">
        <f>IFERROR(__xludf.DUMMYFUNCTION("""COMPUTED_VALUE"""),"IN")</f>
        <v>IN</v>
      </c>
      <c r="X2032" s="211"/>
    </row>
    <row r="2033">
      <c r="A2033" s="219" t="str">
        <f>IFERROR(__xludf.DUMMYFUNCTION("""COMPUTED_VALUE"""),"1250678")</f>
        <v>1250678</v>
      </c>
      <c r="B2033" s="219" t="str">
        <f>IFERROR(__xludf.DUMMYFUNCTION("""COMPUTED_VALUE"""),"1250678")</f>
        <v>1250678</v>
      </c>
      <c r="C2033" s="220">
        <f>IFERROR(__xludf.DUMMYFUNCTION("""COMPUTED_VALUE"""),45946.64258101852)</f>
        <v>45946.64258</v>
      </c>
      <c r="D2033" s="221" t="str">
        <f>IFERROR(__xludf.DUMMYFUNCTION("""COMPUTED_VALUE"""),"06d600f6")</f>
        <v>06d600f6</v>
      </c>
      <c r="E2033" s="221" t="str">
        <f>IFERROR(__xludf.DUMMYFUNCTION("""COMPUTED_VALUE"""),"Ibu Ida")</f>
        <v>Ibu Ida</v>
      </c>
      <c r="F2033" s="221" t="str">
        <f>IFERROR(__xludf.DUMMYFUNCTION("""COMPUTED_VALUE"""),"f6aab7a9")</f>
        <v>f6aab7a9</v>
      </c>
      <c r="G2033" s="221" t="str">
        <f>IFERROR(__xludf.DUMMYFUNCTION("""COMPUTED_VALUE"""),"Oksigen 6m3 MR")</f>
        <v>Oksigen 6m3 MR</v>
      </c>
      <c r="H2033" s="221" t="str">
        <f>IFERROR(__xludf.DUMMYFUNCTION("""COMPUTED_VALUE"""),"IN")</f>
        <v>IN</v>
      </c>
      <c r="I2033" s="221" t="str">
        <f>IFERROR(__xludf.DUMMYFUNCTION("""COMPUTED_VALUE"""),"EMPTY")</f>
        <v>EMPTY</v>
      </c>
      <c r="J2033" s="221">
        <f>IFERROR(__xludf.DUMMYFUNCTION("""COMPUTED_VALUE"""),6.0)</f>
        <v>6</v>
      </c>
      <c r="K2033" s="221"/>
      <c r="L2033" s="221">
        <f>IFERROR(__xludf.DUMMYFUNCTION("""COMPUTED_VALUE"""),0.0)</f>
        <v>0</v>
      </c>
      <c r="M2033" s="221"/>
      <c r="N2033" s="211"/>
      <c r="O2033" s="211"/>
      <c r="Q2033" s="210" t="str">
        <f>IFERROR(__xludf.DUMMYFUNCTION("""COMPUTED_VALUE"""),"1250969")</f>
        <v>1250969</v>
      </c>
      <c r="R2033" s="210" t="str">
        <f>IFERROR(__xludf.DUMMYFUNCTION("""COMPUTED_VALUE"""),"1250969")</f>
        <v>1250969</v>
      </c>
      <c r="S2033" s="211" t="str">
        <f>IFERROR(__xludf.DUMMYFUNCTION("""COMPUTED_VALUE"""),"9b941888")</f>
        <v>9b941888</v>
      </c>
      <c r="T2033" s="211" t="str">
        <f>IFERROR(__xludf.DUMMYFUNCTION("""COMPUTED_VALUE"""),"Mas Devi ( Parengan )")</f>
        <v>Mas Devi ( Parengan )</v>
      </c>
      <c r="U2033" s="215">
        <f>IFERROR(__xludf.DUMMYFUNCTION("""COMPUTED_VALUE"""),46010.371770833335)</f>
        <v>46010.37177</v>
      </c>
      <c r="V2033" s="211" t="str">
        <f>IFERROR(__xludf.DUMMYFUNCTION("""COMPUTED_VALUE"""),"Kraton Krian Sidoarjo, ( sebelah tower listrik )")</f>
        <v>Kraton Krian Sidoarjo, ( sebelah tower listrik )</v>
      </c>
      <c r="W2033" s="211" t="str">
        <f>IFERROR(__xludf.DUMMYFUNCTION("""COMPUTED_VALUE"""),"IN")</f>
        <v>IN</v>
      </c>
      <c r="X2033" s="211"/>
    </row>
    <row r="2034">
      <c r="A2034" s="219" t="str">
        <f>IFERROR(__xludf.DUMMYFUNCTION("""COMPUTED_VALUE"""),"4102511419")</f>
        <v>4102511419</v>
      </c>
      <c r="B2034" s="219" t="str">
        <f>IFERROR(__xludf.DUMMYFUNCTION("""COMPUTED_VALUE"""),"4102511419")</f>
        <v>4102511419</v>
      </c>
      <c r="C2034" s="220">
        <f>IFERROR(__xludf.DUMMYFUNCTION("""COMPUTED_VALUE"""),45947.34284722222)</f>
        <v>45947.34285</v>
      </c>
      <c r="D2034" s="221" t="str">
        <f>IFERROR(__xludf.DUMMYFUNCTION("""COMPUTED_VALUE"""),"b2b5f2c5")</f>
        <v>b2b5f2c5</v>
      </c>
      <c r="E2034" s="221" t="str">
        <f>IFERROR(__xludf.DUMMYFUNCTION("""COMPUTED_VALUE"""),"Bengkel Las Bpk. Ari")</f>
        <v>Bengkel Las Bpk. Ari</v>
      </c>
      <c r="F2034" s="221" t="str">
        <f>IFERROR(__xludf.DUMMYFUNCTION("""COMPUTED_VALUE"""),"ef306e54")</f>
        <v>ef306e54</v>
      </c>
      <c r="G2034" s="221" t="str">
        <f>IFERROR(__xludf.DUMMYFUNCTION("""COMPUTED_VALUE"""),"Karbondioksida")</f>
        <v>Karbondioksida</v>
      </c>
      <c r="H2034" s="221" t="str">
        <f>IFERROR(__xludf.DUMMYFUNCTION("""COMPUTED_VALUE"""),"OTHER")</f>
        <v>OTHER</v>
      </c>
      <c r="I2034" s="221" t="str">
        <f>IFERROR(__xludf.DUMMYFUNCTION("""COMPUTED_VALUE"""),"RETUR CLAIM")</f>
        <v>RETUR CLAIM</v>
      </c>
      <c r="J2034" s="221">
        <f>IFERROR(__xludf.DUMMYFUNCTION("""COMPUTED_VALUE"""),1.0)</f>
        <v>1</v>
      </c>
      <c r="K2034" s="219" t="str">
        <f>IFERROR(__xludf.DUMMYFUNCTION("""COMPUTED_VALUE"""),"13010")</f>
        <v>13010</v>
      </c>
      <c r="L2034" s="221">
        <f>IFERROR(__xludf.DUMMYFUNCTION("""COMPUTED_VALUE"""),0.0)</f>
        <v>0</v>
      </c>
      <c r="M2034" s="221"/>
      <c r="N2034" s="211"/>
      <c r="O2034" s="211"/>
      <c r="Q2034" s="210" t="str">
        <f>IFERROR(__xludf.DUMMYFUNCTION("""COMPUTED_VALUE"""),"122582032")</f>
        <v>122582032</v>
      </c>
      <c r="R2034" s="210" t="str">
        <f>IFERROR(__xludf.DUMMYFUNCTION("""COMPUTED_VALUE"""),"122582032")</f>
        <v>122582032</v>
      </c>
      <c r="S2034" s="211" t="str">
        <f>IFERROR(__xludf.DUMMYFUNCTION("""COMPUTED_VALUE"""),"63fc688a")</f>
        <v>63fc688a</v>
      </c>
      <c r="T2034" s="211" t="str">
        <f>IFERROR(__xludf.DUMMYFUNCTION("""COMPUTED_VALUE"""),"CV Malik Nusantara")</f>
        <v>CV Malik Nusantara</v>
      </c>
      <c r="U2034" s="215">
        <f>IFERROR(__xludf.DUMMYFUNCTION("""COMPUTED_VALUE"""),46010.39685185185)</f>
        <v>46010.39685</v>
      </c>
      <c r="V2034" s="211" t="str">
        <f>IFERROR(__xludf.DUMMYFUNCTION("""COMPUTED_VALUE"""),"Jl. Raya Balongbendo No.12, Suwaluh Utara, Suwaluh, Kec. BalongBendo, Kabupaten Sidoarjo, Jawa Timur 61263")</f>
        <v>Jl. Raya Balongbendo No.12, Suwaluh Utara, Suwaluh, Kec. BalongBendo, Kabupaten Sidoarjo, Jawa Timur 61263</v>
      </c>
      <c r="W2034" s="211" t="str">
        <f>IFERROR(__xludf.DUMMYFUNCTION("""COMPUTED_VALUE"""),"OUT")</f>
        <v>OUT</v>
      </c>
      <c r="X2034" s="211"/>
    </row>
    <row r="2035">
      <c r="A2035" s="219" t="str">
        <f>IFERROR(__xludf.DUMMYFUNCTION("""COMPUTED_VALUE"""),"1025241460")</f>
        <v>1025241460</v>
      </c>
      <c r="B2035" s="219" t="str">
        <f>IFERROR(__xludf.DUMMYFUNCTION("""COMPUTED_VALUE"""),"1025241460")</f>
        <v>1025241460</v>
      </c>
      <c r="C2035" s="220">
        <f>IFERROR(__xludf.DUMMYFUNCTION("""COMPUTED_VALUE"""),45947.34385416667)</f>
        <v>45947.34385</v>
      </c>
      <c r="D2035" s="221" t="str">
        <f>IFERROR(__xludf.DUMMYFUNCTION("""COMPUTED_VALUE"""),"8f5ebaea")</f>
        <v>8f5ebaea</v>
      </c>
      <c r="E2035" s="221" t="str">
        <f>IFERROR(__xludf.DUMMYFUNCTION("""COMPUTED_VALUE"""),"PT Hua Zong Mesindo")</f>
        <v>PT Hua Zong Mesindo</v>
      </c>
      <c r="F2035" s="221" t="str">
        <f>IFERROR(__xludf.DUMMYFUNCTION("""COMPUTED_VALUE"""),"ef306e54")</f>
        <v>ef306e54</v>
      </c>
      <c r="G2035" s="221" t="str">
        <f>IFERROR(__xludf.DUMMYFUNCTION("""COMPUTED_VALUE"""),"Karbondioksida")</f>
        <v>Karbondioksida</v>
      </c>
      <c r="H2035" s="221" t="str">
        <f>IFERROR(__xludf.DUMMYFUNCTION("""COMPUTED_VALUE"""),"OUT")</f>
        <v>OUT</v>
      </c>
      <c r="I2035" s="221" t="str">
        <f>IFERROR(__xludf.DUMMYFUNCTION("""COMPUTED_VALUE"""),"NORMAL")</f>
        <v>NORMAL</v>
      </c>
      <c r="J2035" s="221">
        <f>IFERROR(__xludf.DUMMYFUNCTION("""COMPUTED_VALUE"""),2.0)</f>
        <v>2</v>
      </c>
      <c r="K2035" s="219" t="str">
        <f>IFERROR(__xludf.DUMMYFUNCTION("""COMPUTED_VALUE"""),"13011 13025")</f>
        <v>13011 13025</v>
      </c>
      <c r="L2035" s="221">
        <f>IFERROR(__xludf.DUMMYFUNCTION("""COMPUTED_VALUE"""),160000.0)</f>
        <v>160000</v>
      </c>
      <c r="M2035" s="221"/>
      <c r="N2035" s="211"/>
      <c r="O2035" s="211"/>
      <c r="Q2035" s="210" t="str">
        <f>IFERROR(__xludf.DUMMYFUNCTION("""COMPUTED_VALUE"""),"1225212035")</f>
        <v>1225212035</v>
      </c>
      <c r="R2035" s="210" t="str">
        <f>IFERROR(__xludf.DUMMYFUNCTION("""COMPUTED_VALUE"""),"1225212035")</f>
        <v>1225212035</v>
      </c>
      <c r="S2035" s="211" t="str">
        <f>IFERROR(__xludf.DUMMYFUNCTION("""COMPUTED_VALUE"""),"4ec68cf6")</f>
        <v>4ec68cf6</v>
      </c>
      <c r="T2035" s="211" t="str">
        <f>IFERROR(__xludf.DUMMYFUNCTION("""COMPUTED_VALUE"""),"CV Sido Mukti Karya")</f>
        <v>CV Sido Mukti Karya</v>
      </c>
      <c r="U2035" s="215">
        <f>IFERROR(__xludf.DUMMYFUNCTION("""COMPUTED_VALUE"""),46010.42025462963)</f>
        <v>46010.42025</v>
      </c>
      <c r="V2035" s="211" t="str">
        <f>IFERROR(__xludf.DUMMYFUNCTION("""COMPUTED_VALUE"""),"Pergudangan Center Point no A3, Kemangsen")</f>
        <v>Pergudangan Center Point no A3, Kemangsen</v>
      </c>
      <c r="W2035" s="211" t="str">
        <f>IFERROR(__xludf.DUMMYFUNCTION("""COMPUTED_VALUE"""),"OUT")</f>
        <v>OUT</v>
      </c>
      <c r="X2035" s="211"/>
    </row>
    <row r="2036">
      <c r="A2036" s="219" t="str">
        <f>IFERROR(__xludf.DUMMYFUNCTION("""COMPUTED_VALUE"""),"102551468")</f>
        <v>102551468</v>
      </c>
      <c r="B2036" s="219" t="str">
        <f>IFERROR(__xludf.DUMMYFUNCTION("""COMPUTED_VALUE"""),"102551468")</f>
        <v>102551468</v>
      </c>
      <c r="C2036" s="220">
        <f>IFERROR(__xludf.DUMMYFUNCTION("""COMPUTED_VALUE"""),45947.34658564815)</f>
        <v>45947.34659</v>
      </c>
      <c r="D2036" s="221" t="str">
        <f>IFERROR(__xludf.DUMMYFUNCTION("""COMPUTED_VALUE"""),"06d600f6")</f>
        <v>06d600f6</v>
      </c>
      <c r="E2036" s="221" t="str">
        <f>IFERROR(__xludf.DUMMYFUNCTION("""COMPUTED_VALUE"""),"Ibu Ida")</f>
        <v>Ibu Ida</v>
      </c>
      <c r="F2036" s="221" t="str">
        <f>IFERROR(__xludf.DUMMYFUNCTION("""COMPUTED_VALUE"""),"f6aab7a9")</f>
        <v>f6aab7a9</v>
      </c>
      <c r="G2036" s="221" t="str">
        <f>IFERROR(__xludf.DUMMYFUNCTION("""COMPUTED_VALUE"""),"Oksigen 6m3 MR")</f>
        <v>Oksigen 6m3 MR</v>
      </c>
      <c r="H2036" s="221" t="str">
        <f>IFERROR(__xludf.DUMMYFUNCTION("""COMPUTED_VALUE"""),"OUT")</f>
        <v>OUT</v>
      </c>
      <c r="I2036" s="221" t="str">
        <f>IFERROR(__xludf.DUMMYFUNCTION("""COMPUTED_VALUE"""),"NORMAL")</f>
        <v>NORMAL</v>
      </c>
      <c r="J2036" s="221">
        <f>IFERROR(__xludf.DUMMYFUNCTION("""COMPUTED_VALUE"""),6.0)</f>
        <v>6</v>
      </c>
      <c r="K2036" s="221"/>
      <c r="L2036" s="221">
        <f>IFERROR(__xludf.DUMMYFUNCTION("""COMPUTED_VALUE"""),50000.0)</f>
        <v>50000</v>
      </c>
      <c r="M2036" s="221"/>
      <c r="N2036" s="211"/>
      <c r="O2036" s="211"/>
      <c r="Q2036" s="210" t="str">
        <f>IFERROR(__xludf.DUMMYFUNCTION("""COMPUTED_VALUE"""),"122572036")</f>
        <v>122572036</v>
      </c>
      <c r="R2036" s="210" t="str">
        <f>IFERROR(__xludf.DUMMYFUNCTION("""COMPUTED_VALUE"""),"122572036")</f>
        <v>122572036</v>
      </c>
      <c r="S2036" s="211" t="str">
        <f>IFERROR(__xludf.DUMMYFUNCTION("""COMPUTED_VALUE"""),"f98b1e81")</f>
        <v>f98b1e81</v>
      </c>
      <c r="T2036" s="211" t="str">
        <f>IFERROR(__xludf.DUMMYFUNCTION("""COMPUTED_VALUE"""),"CV. Greenlife Tirta Sentosa")</f>
        <v>CV. Greenlife Tirta Sentosa</v>
      </c>
      <c r="U2036" s="215">
        <f>IFERROR(__xludf.DUMMYFUNCTION("""COMPUTED_VALUE"""),46010.43004629629)</f>
        <v>46010.43005</v>
      </c>
      <c r="V2036" s="211" t="str">
        <f>IFERROR(__xludf.DUMMYFUNCTION("""COMPUTED_VALUE"""),"Jl. Parengan NO.354 Semawut, Balongbendo, Kec. Krian Sidoarjo, Jawa Timur 61263")</f>
        <v>Jl. Parengan NO.354 Semawut, Balongbendo, Kec. Krian Sidoarjo, Jawa Timur 61263</v>
      </c>
      <c r="W2036" s="211" t="str">
        <f>IFERROR(__xludf.DUMMYFUNCTION("""COMPUTED_VALUE"""),"OUT")</f>
        <v>OUT</v>
      </c>
      <c r="X2036" s="211"/>
    </row>
    <row r="2037">
      <c r="A2037" s="219" t="str">
        <f>IFERROR(__xludf.DUMMYFUNCTION("""COMPUTED_VALUE"""),"1025151469")</f>
        <v>1025151469</v>
      </c>
      <c r="B2037" s="219" t="str">
        <f>IFERROR(__xludf.DUMMYFUNCTION("""COMPUTED_VALUE"""),"1025151469")</f>
        <v>1025151469</v>
      </c>
      <c r="C2037" s="220">
        <f>IFERROR(__xludf.DUMMYFUNCTION("""COMPUTED_VALUE"""),45947.415914351855)</f>
        <v>45947.41591</v>
      </c>
      <c r="D2037" s="221" t="str">
        <f>IFERROR(__xludf.DUMMYFUNCTION("""COMPUTED_VALUE"""),"b218b89b")</f>
        <v>b218b89b</v>
      </c>
      <c r="E2037" s="221" t="str">
        <f>IFERROR(__xludf.DUMMYFUNCTION("""COMPUTED_VALUE"""),"PT Harapan Sentosa")</f>
        <v>PT Harapan Sentosa</v>
      </c>
      <c r="F2037" s="221" t="str">
        <f>IFERROR(__xludf.DUMMYFUNCTION("""COMPUTED_VALUE"""),"8bdbe149")</f>
        <v>8bdbe149</v>
      </c>
      <c r="G2037" s="221" t="str">
        <f>IFERROR(__xludf.DUMMYFUNCTION("""COMPUTED_VALUE"""),"Oksigen 6m3")</f>
        <v>Oksigen 6m3</v>
      </c>
      <c r="H2037" s="221" t="str">
        <f>IFERROR(__xludf.DUMMYFUNCTION("""COMPUTED_VALUE"""),"OUT")</f>
        <v>OUT</v>
      </c>
      <c r="I2037" s="221" t="str">
        <f>IFERROR(__xludf.DUMMYFUNCTION("""COMPUTED_VALUE"""),"NORMAL")</f>
        <v>NORMAL</v>
      </c>
      <c r="J2037" s="221">
        <f>IFERROR(__xludf.DUMMYFUNCTION("""COMPUTED_VALUE"""),10.0)</f>
        <v>10</v>
      </c>
      <c r="K2037" s="219" t="str">
        <f>IFERROR(__xludf.DUMMYFUNCTION("""COMPUTED_VALUE"""),"1150 1183 1138 1142 11201 11109 11101 1112 11228 1139")</f>
        <v>1150 1183 1138 1142 11201 11109 11101 1112 11228 1139</v>
      </c>
      <c r="L2037" s="221">
        <f>IFERROR(__xludf.DUMMYFUNCTION("""COMPUTED_VALUE"""),60000.0)</f>
        <v>60000</v>
      </c>
      <c r="M2037" s="221"/>
      <c r="N2037" s="211"/>
      <c r="O2037" s="211"/>
      <c r="Q2037" s="210" t="str">
        <f>IFERROR(__xludf.DUMMYFUNCTION("""COMPUTED_VALUE"""),"1250974")</f>
        <v>1250974</v>
      </c>
      <c r="R2037" s="210" t="str">
        <f>IFERROR(__xludf.DUMMYFUNCTION("""COMPUTED_VALUE"""),"1250974")</f>
        <v>1250974</v>
      </c>
      <c r="S2037" s="211" t="str">
        <f>IFERROR(__xludf.DUMMYFUNCTION("""COMPUTED_VALUE"""),"63fc688a")</f>
        <v>63fc688a</v>
      </c>
      <c r="T2037" s="211" t="str">
        <f>IFERROR(__xludf.DUMMYFUNCTION("""COMPUTED_VALUE"""),"CV Malik Nusantara")</f>
        <v>CV Malik Nusantara</v>
      </c>
      <c r="U2037" s="215">
        <f>IFERROR(__xludf.DUMMYFUNCTION("""COMPUTED_VALUE"""),46010.44795138889)</f>
        <v>46010.44795</v>
      </c>
      <c r="V2037" s="211" t="str">
        <f>IFERROR(__xludf.DUMMYFUNCTION("""COMPUTED_VALUE"""),"Jl. Raya Balongbendo No.12, Suwaluh Utara, Suwaluh, Kec. BalongBendo, Kabupaten Sidoarjo, Jawa Timur 61263")</f>
        <v>Jl. Raya Balongbendo No.12, Suwaluh Utara, Suwaluh, Kec. BalongBendo, Kabupaten Sidoarjo, Jawa Timur 61263</v>
      </c>
      <c r="W2037" s="211" t="str">
        <f>IFERROR(__xludf.DUMMYFUNCTION("""COMPUTED_VALUE"""),"IN")</f>
        <v>IN</v>
      </c>
      <c r="X2037" s="211"/>
    </row>
    <row r="2038">
      <c r="A2038" s="219" t="str">
        <f>IFERROR(__xludf.DUMMYFUNCTION("""COMPUTED_VALUE"""),"1025581470")</f>
        <v>1025581470</v>
      </c>
      <c r="B2038" s="219" t="str">
        <f>IFERROR(__xludf.DUMMYFUNCTION("""COMPUTED_VALUE"""),"1025581470")</f>
        <v>1025581470</v>
      </c>
      <c r="C2038" s="220">
        <f>IFERROR(__xludf.DUMMYFUNCTION("""COMPUTED_VALUE"""),45947.41853009259)</f>
        <v>45947.41853</v>
      </c>
      <c r="D2038" s="221" t="str">
        <f>IFERROR(__xludf.DUMMYFUNCTION("""COMPUTED_VALUE"""),"e86baf3b")</f>
        <v>e86baf3b</v>
      </c>
      <c r="E2038" s="221" t="str">
        <f>IFERROR(__xludf.DUMMYFUNCTION("""COMPUTED_VALUE"""),"PT GEMILANG CIPTA WAWASAN")</f>
        <v>PT GEMILANG CIPTA WAWASAN</v>
      </c>
      <c r="F2038" s="221" t="str">
        <f>IFERROR(__xludf.DUMMYFUNCTION("""COMPUTED_VALUE"""),"66af7c72")</f>
        <v>66af7c72</v>
      </c>
      <c r="G2038" s="221" t="str">
        <f>IFERROR(__xludf.DUMMYFUNCTION("""COMPUTED_VALUE"""),"Argon 6m3")</f>
        <v>Argon 6m3</v>
      </c>
      <c r="H2038" s="221" t="str">
        <f>IFERROR(__xludf.DUMMYFUNCTION("""COMPUTED_VALUE"""),"OUT")</f>
        <v>OUT</v>
      </c>
      <c r="I2038" s="221" t="str">
        <f>IFERROR(__xludf.DUMMYFUNCTION("""COMPUTED_VALUE"""),"NORMAL")</f>
        <v>NORMAL</v>
      </c>
      <c r="J2038" s="221">
        <f>IFERROR(__xludf.DUMMYFUNCTION("""COMPUTED_VALUE"""),8.0)</f>
        <v>8</v>
      </c>
      <c r="K2038" s="219" t="str">
        <f>IFERROR(__xludf.DUMMYFUNCTION("""COMPUTED_VALUE"""),"12077 12021 12047 12039 12045 12067 12080 12017")</f>
        <v>12077 12021 12047 12039 12045 12067 12080 12017</v>
      </c>
      <c r="L2038" s="221">
        <f>IFERROR(__xludf.DUMMYFUNCTION("""COMPUTED_VALUE"""),185000.0)</f>
        <v>185000</v>
      </c>
      <c r="M2038" s="221"/>
      <c r="N2038" s="211"/>
      <c r="O2038" s="211"/>
      <c r="Q2038" s="210" t="str">
        <f>IFERROR(__xludf.DUMMYFUNCTION("""COMPUTED_VALUE"""),"1250986")</f>
        <v>1250986</v>
      </c>
      <c r="R2038" s="210" t="str">
        <f>IFERROR(__xludf.DUMMYFUNCTION("""COMPUTED_VALUE"""),"1250986")</f>
        <v>1250986</v>
      </c>
      <c r="S2038" s="211" t="str">
        <f>IFERROR(__xludf.DUMMYFUNCTION("""COMPUTED_VALUE"""),"4ec68cf6")</f>
        <v>4ec68cf6</v>
      </c>
      <c r="T2038" s="211" t="str">
        <f>IFERROR(__xludf.DUMMYFUNCTION("""COMPUTED_VALUE"""),"CV Sido Mukti Karya")</f>
        <v>CV Sido Mukti Karya</v>
      </c>
      <c r="U2038" s="215">
        <f>IFERROR(__xludf.DUMMYFUNCTION("""COMPUTED_VALUE"""),46010.448541666665)</f>
        <v>46010.44854</v>
      </c>
      <c r="V2038" s="211" t="str">
        <f>IFERROR(__xludf.DUMMYFUNCTION("""COMPUTED_VALUE"""),"Pergudangan Center Point no A3, Kemangsen")</f>
        <v>Pergudangan Center Point no A3, Kemangsen</v>
      </c>
      <c r="W2038" s="211" t="str">
        <f>IFERROR(__xludf.DUMMYFUNCTION("""COMPUTED_VALUE"""),"IN")</f>
        <v>IN</v>
      </c>
      <c r="X2038" s="211"/>
    </row>
    <row r="2039">
      <c r="A2039" s="219" t="str">
        <f>IFERROR(__xludf.DUMMYFUNCTION("""COMPUTED_VALUE"""),"1025171471")</f>
        <v>1025171471</v>
      </c>
      <c r="B2039" s="219" t="str">
        <f>IFERROR(__xludf.DUMMYFUNCTION("""COMPUTED_VALUE"""),"1025171471")</f>
        <v>1025171471</v>
      </c>
      <c r="C2039" s="220">
        <f>IFERROR(__xludf.DUMMYFUNCTION("""COMPUTED_VALUE"""),45947.41998842593)</f>
        <v>45947.41999</v>
      </c>
      <c r="D2039" s="221" t="str">
        <f>IFERROR(__xludf.DUMMYFUNCTION("""COMPUTED_VALUE"""),"182fb0fe")</f>
        <v>182fb0fe</v>
      </c>
      <c r="E2039" s="221" t="str">
        <f>IFERROR(__xludf.DUMMYFUNCTION("""COMPUTED_VALUE"""),"PT Amtech")</f>
        <v>PT Amtech</v>
      </c>
      <c r="F2039" s="221" t="str">
        <f>IFERROR(__xludf.DUMMYFUNCTION("""COMPUTED_VALUE"""),"66af7c72")</f>
        <v>66af7c72</v>
      </c>
      <c r="G2039" s="221" t="str">
        <f>IFERROR(__xludf.DUMMYFUNCTION("""COMPUTED_VALUE"""),"Argon 6m3")</f>
        <v>Argon 6m3</v>
      </c>
      <c r="H2039" s="221" t="str">
        <f>IFERROR(__xludf.DUMMYFUNCTION("""COMPUTED_VALUE"""),"OUT")</f>
        <v>OUT</v>
      </c>
      <c r="I2039" s="221" t="str">
        <f>IFERROR(__xludf.DUMMYFUNCTION("""COMPUTED_VALUE"""),"NORMAL")</f>
        <v>NORMAL</v>
      </c>
      <c r="J2039" s="221">
        <f>IFERROR(__xludf.DUMMYFUNCTION("""COMPUTED_VALUE"""),5.0)</f>
        <v>5</v>
      </c>
      <c r="K2039" s="219" t="str">
        <f>IFERROR(__xludf.DUMMYFUNCTION("""COMPUTED_VALUE"""),"12072 12055 12001 12006 12009")</f>
        <v>12072 12055 12001 12006 12009</v>
      </c>
      <c r="L2039" s="221">
        <f>IFERROR(__xludf.DUMMYFUNCTION("""COMPUTED_VALUE"""),195000.0)</f>
        <v>195000</v>
      </c>
      <c r="M2039" s="221"/>
      <c r="N2039" s="211"/>
      <c r="O2039" s="211"/>
      <c r="Q2039" s="210" t="str">
        <f>IFERROR(__xludf.DUMMYFUNCTION("""COMPUTED_VALUE"""),"120975")</f>
        <v>120975</v>
      </c>
      <c r="R2039" s="210" t="str">
        <f>IFERROR(__xludf.DUMMYFUNCTION("""COMPUTED_VALUE"""),"120975")</f>
        <v>120975</v>
      </c>
      <c r="S2039" s="211" t="str">
        <f>IFERROR(__xludf.DUMMYFUNCTION("""COMPUTED_VALUE"""),"f98b1e81")</f>
        <v>f98b1e81</v>
      </c>
      <c r="T2039" s="211" t="str">
        <f>IFERROR(__xludf.DUMMYFUNCTION("""COMPUTED_VALUE"""),"CV. Greenlife Tirta Sentosa")</f>
        <v>CV. Greenlife Tirta Sentosa</v>
      </c>
      <c r="U2039" s="215">
        <f>IFERROR(__xludf.DUMMYFUNCTION("""COMPUTED_VALUE"""),46010.46107638889)</f>
        <v>46010.46108</v>
      </c>
      <c r="V2039" s="211" t="str">
        <f>IFERROR(__xludf.DUMMYFUNCTION("""COMPUTED_VALUE"""),"Jl. Parengan NO.354 Semawut, Balongbendo, Kec. Krian Sidoarjo, Jawa Timur 61263")</f>
        <v>Jl. Parengan NO.354 Semawut, Balongbendo, Kec. Krian Sidoarjo, Jawa Timur 61263</v>
      </c>
      <c r="W2039" s="211" t="str">
        <f>IFERROR(__xludf.DUMMYFUNCTION("""COMPUTED_VALUE"""),"IN")</f>
        <v>IN</v>
      </c>
      <c r="X2039" s="211"/>
    </row>
    <row r="2040">
      <c r="A2040" s="219" t="str">
        <f>IFERROR(__xludf.DUMMYFUNCTION("""COMPUTED_VALUE"""),"1025171471")</f>
        <v>1025171471</v>
      </c>
      <c r="B2040" s="219" t="str">
        <f>IFERROR(__xludf.DUMMYFUNCTION("""COMPUTED_VALUE"""),"1025171471")</f>
        <v>1025171471</v>
      </c>
      <c r="C2040" s="220">
        <f>IFERROR(__xludf.DUMMYFUNCTION("""COMPUTED_VALUE"""),45947.41998842593)</f>
        <v>45947.41999</v>
      </c>
      <c r="D2040" s="221" t="str">
        <f>IFERROR(__xludf.DUMMYFUNCTION("""COMPUTED_VALUE"""),"182fb0fe")</f>
        <v>182fb0fe</v>
      </c>
      <c r="E2040" s="221" t="str">
        <f>IFERROR(__xludf.DUMMYFUNCTION("""COMPUTED_VALUE"""),"PT Amtech")</f>
        <v>PT Amtech</v>
      </c>
      <c r="F2040" s="221" t="str">
        <f>IFERROR(__xludf.DUMMYFUNCTION("""COMPUTED_VALUE"""),"f13ba52f")</f>
        <v>f13ba52f</v>
      </c>
      <c r="G2040" s="221" t="str">
        <f>IFERROR(__xludf.DUMMYFUNCTION("""COMPUTED_VALUE"""),"Ongkos Kirim (Non PPN)")</f>
        <v>Ongkos Kirim (Non PPN)</v>
      </c>
      <c r="H2040" s="221" t="str">
        <f>IFERROR(__xludf.DUMMYFUNCTION("""COMPUTED_VALUE"""),"OUT")</f>
        <v>OUT</v>
      </c>
      <c r="I2040" s="221" t="str">
        <f>IFERROR(__xludf.DUMMYFUNCTION("""COMPUTED_VALUE"""),"NORMAL")</f>
        <v>NORMAL</v>
      </c>
      <c r="J2040" s="221">
        <f>IFERROR(__xludf.DUMMYFUNCTION("""COMPUTED_VALUE"""),1.0)</f>
        <v>1</v>
      </c>
      <c r="K2040" s="221"/>
      <c r="L2040" s="221">
        <f>IFERROR(__xludf.DUMMYFUNCTION("""COMPUTED_VALUE"""),100000.0)</f>
        <v>100000</v>
      </c>
      <c r="M2040" s="221"/>
      <c r="N2040" s="211"/>
      <c r="O2040" s="211"/>
      <c r="Q2040" s="210" t="str">
        <f>IFERROR(__xludf.DUMMYFUNCTION("""COMPUTED_VALUE"""),"1225412037")</f>
        <v>1225412037</v>
      </c>
      <c r="R2040" s="210" t="str">
        <f>IFERROR(__xludf.DUMMYFUNCTION("""COMPUTED_VALUE"""),"1225412037")</f>
        <v>1225412037</v>
      </c>
      <c r="S2040" s="211" t="str">
        <f>IFERROR(__xludf.DUMMYFUNCTION("""COMPUTED_VALUE"""),"01158be1")</f>
        <v>01158be1</v>
      </c>
      <c r="T2040" s="211" t="str">
        <f>IFERROR(__xludf.DUMMYFUNCTION("""COMPUTED_VALUE"""),"GYF")</f>
        <v>GYF</v>
      </c>
      <c r="U2040" s="215">
        <f>IFERROR(__xludf.DUMMYFUNCTION("""COMPUTED_VALUE"""),46010.475798611114)</f>
        <v>46010.4758</v>
      </c>
      <c r="V2040" s="211" t="str">
        <f>IFERROR(__xludf.DUMMYFUNCTION("""COMPUTED_VALUE"""),"Kangkungan, Lengkong, Kec. Mojoanyar, Kabupaten Mojokerto, Jawa Timur")</f>
        <v>Kangkungan, Lengkong, Kec. Mojoanyar, Kabupaten Mojokerto, Jawa Timur</v>
      </c>
      <c r="W2040" s="211" t="str">
        <f>IFERROR(__xludf.DUMMYFUNCTION("""COMPUTED_VALUE"""),"OUT")</f>
        <v>OUT</v>
      </c>
      <c r="X2040" s="211"/>
    </row>
    <row r="2041">
      <c r="A2041" s="219" t="str">
        <f>IFERROR(__xludf.DUMMYFUNCTION("""COMPUTED_VALUE"""),"1250679")</f>
        <v>1250679</v>
      </c>
      <c r="B2041" s="219" t="str">
        <f>IFERROR(__xludf.DUMMYFUNCTION("""COMPUTED_VALUE"""),"1250679")</f>
        <v>1250679</v>
      </c>
      <c r="C2041" s="220">
        <f>IFERROR(__xludf.DUMMYFUNCTION("""COMPUTED_VALUE"""),45947.55255787037)</f>
        <v>45947.55256</v>
      </c>
      <c r="D2041" s="221" t="str">
        <f>IFERROR(__xludf.DUMMYFUNCTION("""COMPUTED_VALUE"""),"b218b89b")</f>
        <v>b218b89b</v>
      </c>
      <c r="E2041" s="221" t="str">
        <f>IFERROR(__xludf.DUMMYFUNCTION("""COMPUTED_VALUE"""),"PT Harapan Sentosa")</f>
        <v>PT Harapan Sentosa</v>
      </c>
      <c r="F2041" s="221" t="str">
        <f>IFERROR(__xludf.DUMMYFUNCTION("""COMPUTED_VALUE"""),"7d2764f1")</f>
        <v>7d2764f1</v>
      </c>
      <c r="G2041" s="221" t="str">
        <f>IFERROR(__xludf.DUMMYFUNCTION("""COMPUTED_VALUE"""),"Oksigen 7m3")</f>
        <v>Oksigen 7m3</v>
      </c>
      <c r="H2041" s="221" t="str">
        <f>IFERROR(__xludf.DUMMYFUNCTION("""COMPUTED_VALUE"""),"IN")</f>
        <v>IN</v>
      </c>
      <c r="I2041" s="221" t="str">
        <f>IFERROR(__xludf.DUMMYFUNCTION("""COMPUTED_VALUE"""),"EMPTY")</f>
        <v>EMPTY</v>
      </c>
      <c r="J2041" s="221">
        <f>IFERROR(__xludf.DUMMYFUNCTION("""COMPUTED_VALUE"""),6.0)</f>
        <v>6</v>
      </c>
      <c r="K2041" s="219" t="str">
        <f>IFERROR(__xludf.DUMMYFUNCTION("""COMPUTED_VALUE"""),"11219 11223 11213 11226 1161 11151")</f>
        <v>11219 11223 11213 11226 1161 11151</v>
      </c>
      <c r="L2041" s="221">
        <f>IFERROR(__xludf.DUMMYFUNCTION("""COMPUTED_VALUE"""),0.0)</f>
        <v>0</v>
      </c>
      <c r="M2041" s="221"/>
      <c r="N2041" s="211"/>
      <c r="O2041" s="211"/>
      <c r="Q2041" s="210" t="str">
        <f>IFERROR(__xludf.DUMMYFUNCTION("""COMPUTED_VALUE"""),"122542041")</f>
        <v>122542041</v>
      </c>
      <c r="R2041" s="210" t="str">
        <f>IFERROR(__xludf.DUMMYFUNCTION("""COMPUTED_VALUE"""),"122542041")</f>
        <v>122542041</v>
      </c>
      <c r="S2041" s="211" t="str">
        <f>IFERROR(__xludf.DUMMYFUNCTION("""COMPUTED_VALUE"""),"03ff52db")</f>
        <v>03ff52db</v>
      </c>
      <c r="T2041" s="211" t="str">
        <f>IFERROR(__xludf.DUMMYFUNCTION("""COMPUTED_VALUE"""),"Aneka Teknik Logam")</f>
        <v>Aneka Teknik Logam</v>
      </c>
      <c r="U2041" s="215">
        <f>IFERROR(__xludf.DUMMYFUNCTION("""COMPUTED_VALUE"""),46010.5390162037)</f>
        <v>46010.53902</v>
      </c>
      <c r="V2041" s="211" t="str">
        <f>IFERROR(__xludf.DUMMYFUNCTION("""COMPUTED_VALUE"""),"HH8G+MQC, Areng Areng, Tropodo, Kec. Krian, Kabupaten Sidoarjo, Jawa Timur 61262")</f>
        <v>HH8G+MQC, Areng Areng, Tropodo, Kec. Krian, Kabupaten Sidoarjo, Jawa Timur 61262</v>
      </c>
      <c r="W2041" s="211" t="str">
        <f>IFERROR(__xludf.DUMMYFUNCTION("""COMPUTED_VALUE"""),"OUT")</f>
        <v>OUT</v>
      </c>
      <c r="X2041" s="211"/>
    </row>
    <row r="2042">
      <c r="A2042" s="219" t="str">
        <f>IFERROR(__xludf.DUMMYFUNCTION("""COMPUTED_VALUE"""),"1250669")</f>
        <v>1250669</v>
      </c>
      <c r="B2042" s="219" t="str">
        <f>IFERROR(__xludf.DUMMYFUNCTION("""COMPUTED_VALUE"""),"1250669")</f>
        <v>1250669</v>
      </c>
      <c r="C2042" s="220">
        <f>IFERROR(__xludf.DUMMYFUNCTION("""COMPUTED_VALUE"""),45947.64142361111)</f>
        <v>45947.64142</v>
      </c>
      <c r="D2042" s="221" t="str">
        <f>IFERROR(__xludf.DUMMYFUNCTION("""COMPUTED_VALUE"""),"182fb0fe")</f>
        <v>182fb0fe</v>
      </c>
      <c r="E2042" s="221" t="str">
        <f>IFERROR(__xludf.DUMMYFUNCTION("""COMPUTED_VALUE"""),"PT Amtech")</f>
        <v>PT Amtech</v>
      </c>
      <c r="F2042" s="221" t="str">
        <f>IFERROR(__xludf.DUMMYFUNCTION("""COMPUTED_VALUE"""),"8bdbe149")</f>
        <v>8bdbe149</v>
      </c>
      <c r="G2042" s="221" t="str">
        <f>IFERROR(__xludf.DUMMYFUNCTION("""COMPUTED_VALUE"""),"Oksigen 6m3")</f>
        <v>Oksigen 6m3</v>
      </c>
      <c r="H2042" s="221" t="str">
        <f>IFERROR(__xludf.DUMMYFUNCTION("""COMPUTED_VALUE"""),"IN")</f>
        <v>IN</v>
      </c>
      <c r="I2042" s="221" t="str">
        <f>IFERROR(__xludf.DUMMYFUNCTION("""COMPUTED_VALUE"""),"EMPTY")</f>
        <v>EMPTY</v>
      </c>
      <c r="J2042" s="221">
        <f>IFERROR(__xludf.DUMMYFUNCTION("""COMPUTED_VALUE"""),1.0)</f>
        <v>1</v>
      </c>
      <c r="K2042" s="219" t="str">
        <f>IFERROR(__xludf.DUMMYFUNCTION("""COMPUTED_VALUE"""),"1182")</f>
        <v>1182</v>
      </c>
      <c r="L2042" s="221">
        <f>IFERROR(__xludf.DUMMYFUNCTION("""COMPUTED_VALUE"""),0.0)</f>
        <v>0</v>
      </c>
      <c r="M2042" s="221"/>
      <c r="N2042" s="211"/>
      <c r="O2042" s="211"/>
      <c r="Q2042" s="210" t="str">
        <f>IFERROR(__xludf.DUMMYFUNCTION("""COMPUTED_VALUE"""),"1225572042")</f>
        <v>1225572042</v>
      </c>
      <c r="R2042" s="210" t="str">
        <f>IFERROR(__xludf.DUMMYFUNCTION("""COMPUTED_VALUE"""),"1225572042")</f>
        <v>1225572042</v>
      </c>
      <c r="S2042" s="211" t="str">
        <f>IFERROR(__xludf.DUMMYFUNCTION("""COMPUTED_VALUE"""),"b2b5f2c5")</f>
        <v>b2b5f2c5</v>
      </c>
      <c r="T2042" s="211" t="str">
        <f>IFERROR(__xludf.DUMMYFUNCTION("""COMPUTED_VALUE"""),"Bengkel Las Bpk. Ari")</f>
        <v>Bengkel Las Bpk. Ari</v>
      </c>
      <c r="U2042" s="215">
        <f>IFERROR(__xludf.DUMMYFUNCTION("""COMPUTED_VALUE"""),46010.55498842592)</f>
        <v>46010.55499</v>
      </c>
      <c r="V2042" s="211" t="str">
        <f>IFERROR(__xludf.DUMMYFUNCTION("""COMPUTED_VALUE"""),"Sumber Kembar, Wonodadi, Kec. Kutorejo, Kabupaten Mojokerto, Jawa Timur")</f>
        <v>Sumber Kembar, Wonodadi, Kec. Kutorejo, Kabupaten Mojokerto, Jawa Timur</v>
      </c>
      <c r="W2042" s="211" t="str">
        <f>IFERROR(__xludf.DUMMYFUNCTION("""COMPUTED_VALUE"""),"OUT")</f>
        <v>OUT</v>
      </c>
      <c r="X2042" s="211"/>
    </row>
    <row r="2043">
      <c r="A2043" s="219" t="str">
        <f>IFERROR(__xludf.DUMMYFUNCTION("""COMPUTED_VALUE"""),"1250669")</f>
        <v>1250669</v>
      </c>
      <c r="B2043" s="219" t="str">
        <f>IFERROR(__xludf.DUMMYFUNCTION("""COMPUTED_VALUE"""),"1250669")</f>
        <v>1250669</v>
      </c>
      <c r="C2043" s="220">
        <f>IFERROR(__xludf.DUMMYFUNCTION("""COMPUTED_VALUE"""),45947.64142361111)</f>
        <v>45947.64142</v>
      </c>
      <c r="D2043" s="221" t="str">
        <f>IFERROR(__xludf.DUMMYFUNCTION("""COMPUTED_VALUE"""),"182fb0fe")</f>
        <v>182fb0fe</v>
      </c>
      <c r="E2043" s="221" t="str">
        <f>IFERROR(__xludf.DUMMYFUNCTION("""COMPUTED_VALUE"""),"PT Amtech")</f>
        <v>PT Amtech</v>
      </c>
      <c r="F2043" s="221" t="str">
        <f>IFERROR(__xludf.DUMMYFUNCTION("""COMPUTED_VALUE"""),"66af7c72")</f>
        <v>66af7c72</v>
      </c>
      <c r="G2043" s="221" t="str">
        <f>IFERROR(__xludf.DUMMYFUNCTION("""COMPUTED_VALUE"""),"Argon 6m3")</f>
        <v>Argon 6m3</v>
      </c>
      <c r="H2043" s="221" t="str">
        <f>IFERROR(__xludf.DUMMYFUNCTION("""COMPUTED_VALUE"""),"IN")</f>
        <v>IN</v>
      </c>
      <c r="I2043" s="221" t="str">
        <f>IFERROR(__xludf.DUMMYFUNCTION("""COMPUTED_VALUE"""),"EMPTY")</f>
        <v>EMPTY</v>
      </c>
      <c r="J2043" s="221">
        <f>IFERROR(__xludf.DUMMYFUNCTION("""COMPUTED_VALUE"""),8.0)</f>
        <v>8</v>
      </c>
      <c r="K2043" s="219" t="str">
        <f>IFERROR(__xludf.DUMMYFUNCTION("""COMPUTED_VALUE"""),"12024 12026 12015 12029 12036 12063 12010 12070")</f>
        <v>12024 12026 12015 12029 12036 12063 12010 12070</v>
      </c>
      <c r="L2043" s="221">
        <f>IFERROR(__xludf.DUMMYFUNCTION("""COMPUTED_VALUE"""),0.0)</f>
        <v>0</v>
      </c>
      <c r="M2043" s="221"/>
      <c r="N2043" s="211"/>
      <c r="O2043" s="211"/>
      <c r="Q2043" s="210" t="str">
        <f>IFERROR(__xludf.DUMMYFUNCTION("""COMPUTED_VALUE"""),"1250987")</f>
        <v>1250987</v>
      </c>
      <c r="R2043" s="210" t="str">
        <f>IFERROR(__xludf.DUMMYFUNCTION("""COMPUTED_VALUE"""),"1250987")</f>
        <v>1250987</v>
      </c>
      <c r="S2043" s="211" t="str">
        <f>IFERROR(__xludf.DUMMYFUNCTION("""COMPUTED_VALUE"""),"01158be1")</f>
        <v>01158be1</v>
      </c>
      <c r="T2043" s="211" t="str">
        <f>IFERROR(__xludf.DUMMYFUNCTION("""COMPUTED_VALUE"""),"GYF")</f>
        <v>GYF</v>
      </c>
      <c r="U2043" s="215">
        <f>IFERROR(__xludf.DUMMYFUNCTION("""COMPUTED_VALUE"""),46010.65149305556)</f>
        <v>46010.65149</v>
      </c>
      <c r="V2043" s="211" t="str">
        <f>IFERROR(__xludf.DUMMYFUNCTION("""COMPUTED_VALUE"""),"Kangkungan, Lengkong, Kec. Mojoanyar, Kabupaten Mojokerto, Jawa Timur")</f>
        <v>Kangkungan, Lengkong, Kec. Mojoanyar, Kabupaten Mojokerto, Jawa Timur</v>
      </c>
      <c r="W2043" s="211" t="str">
        <f>IFERROR(__xludf.DUMMYFUNCTION("""COMPUTED_VALUE"""),"IN")</f>
        <v>IN</v>
      </c>
      <c r="X2043" s="211"/>
    </row>
    <row r="2044">
      <c r="A2044" s="219" t="str">
        <f>IFERROR(__xludf.DUMMYFUNCTION("""COMPUTED_VALUE"""),"1250690")</f>
        <v>1250690</v>
      </c>
      <c r="B2044" s="219" t="str">
        <f>IFERROR(__xludf.DUMMYFUNCTION("""COMPUTED_VALUE"""),"1250690")</f>
        <v>1250690</v>
      </c>
      <c r="C2044" s="220">
        <f>IFERROR(__xludf.DUMMYFUNCTION("""COMPUTED_VALUE"""),45948.45806712963)</f>
        <v>45948.45807</v>
      </c>
      <c r="D2044" s="221" t="str">
        <f>IFERROR(__xludf.DUMMYFUNCTION("""COMPUTED_VALUE"""),"440df1db")</f>
        <v>440df1db</v>
      </c>
      <c r="E2044" s="221" t="str">
        <f>IFERROR(__xludf.DUMMYFUNCTION("""COMPUTED_VALUE"""),"PT. Mecca Abadi Sejahtera")</f>
        <v>PT. Mecca Abadi Sejahtera</v>
      </c>
      <c r="F2044" s="221" t="str">
        <f>IFERROR(__xludf.DUMMYFUNCTION("""COMPUTED_VALUE"""),"ef306e54")</f>
        <v>ef306e54</v>
      </c>
      <c r="G2044" s="221" t="str">
        <f>IFERROR(__xludf.DUMMYFUNCTION("""COMPUTED_VALUE"""),"Karbondioksida")</f>
        <v>Karbondioksida</v>
      </c>
      <c r="H2044" s="221" t="str">
        <f>IFERROR(__xludf.DUMMYFUNCTION("""COMPUTED_VALUE"""),"IN")</f>
        <v>IN</v>
      </c>
      <c r="I2044" s="221" t="str">
        <f>IFERROR(__xludf.DUMMYFUNCTION("""COMPUTED_VALUE"""),"EMPTY")</f>
        <v>EMPTY</v>
      </c>
      <c r="J2044" s="221">
        <f>IFERROR(__xludf.DUMMYFUNCTION("""COMPUTED_VALUE"""),3.0)</f>
        <v>3</v>
      </c>
      <c r="K2044" s="219" t="str">
        <f>IFERROR(__xludf.DUMMYFUNCTION("""COMPUTED_VALUE"""),"13012 13028 13034")</f>
        <v>13012 13028 13034</v>
      </c>
      <c r="L2044" s="221">
        <f>IFERROR(__xludf.DUMMYFUNCTION("""COMPUTED_VALUE"""),0.0)</f>
        <v>0</v>
      </c>
      <c r="M2044" s="221"/>
      <c r="N2044" s="211"/>
      <c r="O2044" s="211"/>
      <c r="Q2044" s="210" t="str">
        <f>IFERROR(__xludf.DUMMYFUNCTION("""COMPUTED_VALUE"""),"1250976")</f>
        <v>1250976</v>
      </c>
      <c r="R2044" s="210" t="str">
        <f>IFERROR(__xludf.DUMMYFUNCTION("""COMPUTED_VALUE"""),"1250976")</f>
        <v>1250976</v>
      </c>
      <c r="S2044" s="211" t="str">
        <f>IFERROR(__xludf.DUMMYFUNCTION("""COMPUTED_VALUE"""),"b2b5f2c5")</f>
        <v>b2b5f2c5</v>
      </c>
      <c r="T2044" s="211" t="str">
        <f>IFERROR(__xludf.DUMMYFUNCTION("""COMPUTED_VALUE"""),"Bengkel Las Bpk. Ari")</f>
        <v>Bengkel Las Bpk. Ari</v>
      </c>
      <c r="U2044" s="215">
        <f>IFERROR(__xludf.DUMMYFUNCTION("""COMPUTED_VALUE"""),46011.38644675926)</f>
        <v>46011.38645</v>
      </c>
      <c r="V2044" s="211" t="str">
        <f>IFERROR(__xludf.DUMMYFUNCTION("""COMPUTED_VALUE"""),"Sumber Kembar, Wonodadi, Kec. Kutorejo, Kabupaten Mojokerto, Jawa Timur")</f>
        <v>Sumber Kembar, Wonodadi, Kec. Kutorejo, Kabupaten Mojokerto, Jawa Timur</v>
      </c>
      <c r="W2044" s="211" t="str">
        <f>IFERROR(__xludf.DUMMYFUNCTION("""COMPUTED_VALUE"""),"IN")</f>
        <v>IN</v>
      </c>
      <c r="X2044" s="211"/>
    </row>
    <row r="2045">
      <c r="A2045" s="219" t="str">
        <f>IFERROR(__xludf.DUMMYFUNCTION("""COMPUTED_VALUE"""),"1025231472")</f>
        <v>1025231472</v>
      </c>
      <c r="B2045" s="219" t="str">
        <f>IFERROR(__xludf.DUMMYFUNCTION("""COMPUTED_VALUE"""),"1025231472")</f>
        <v>1025231472</v>
      </c>
      <c r="C2045" s="220">
        <f>IFERROR(__xludf.DUMMYFUNCTION("""COMPUTED_VALUE"""),45948.45922453704)</f>
        <v>45948.45922</v>
      </c>
      <c r="D2045" s="221" t="str">
        <f>IFERROR(__xludf.DUMMYFUNCTION("""COMPUTED_VALUE"""),"b2b5f2c5")</f>
        <v>b2b5f2c5</v>
      </c>
      <c r="E2045" s="221" t="str">
        <f>IFERROR(__xludf.DUMMYFUNCTION("""COMPUTED_VALUE"""),"Bengkel Las Bpk. Ari")</f>
        <v>Bengkel Las Bpk. Ari</v>
      </c>
      <c r="F2045" s="221" t="str">
        <f>IFERROR(__xludf.DUMMYFUNCTION("""COMPUTED_VALUE"""),"ef306e54")</f>
        <v>ef306e54</v>
      </c>
      <c r="G2045" s="221" t="str">
        <f>IFERROR(__xludf.DUMMYFUNCTION("""COMPUTED_VALUE"""),"Karbondioksida")</f>
        <v>Karbondioksida</v>
      </c>
      <c r="H2045" s="221" t="str">
        <f>IFERROR(__xludf.DUMMYFUNCTION("""COMPUTED_VALUE"""),"OUT")</f>
        <v>OUT</v>
      </c>
      <c r="I2045" s="221" t="str">
        <f>IFERROR(__xludf.DUMMYFUNCTION("""COMPUTED_VALUE"""),"NORMAL")</f>
        <v>NORMAL</v>
      </c>
      <c r="J2045" s="221">
        <f>IFERROR(__xludf.DUMMYFUNCTION("""COMPUTED_VALUE"""),3.0)</f>
        <v>3</v>
      </c>
      <c r="K2045" s="219" t="str">
        <f>IFERROR(__xludf.DUMMYFUNCTION("""COMPUTED_VALUE"""),"13012 13016 13034")</f>
        <v>13012 13016 13034</v>
      </c>
      <c r="L2045" s="221">
        <f>IFERROR(__xludf.DUMMYFUNCTION("""COMPUTED_VALUE"""),170000.0)</f>
        <v>170000</v>
      </c>
      <c r="M2045" s="221"/>
      <c r="N2045" s="211"/>
      <c r="O2045" s="211"/>
      <c r="Q2045" s="210" t="str">
        <f>IFERROR(__xludf.DUMMYFUNCTION("""COMPUTED_VALUE"""),"1250988")</f>
        <v>1250988</v>
      </c>
      <c r="R2045" s="210" t="str">
        <f>IFERROR(__xludf.DUMMYFUNCTION("""COMPUTED_VALUE"""),"1250988")</f>
        <v>1250988</v>
      </c>
      <c r="S2045" s="211" t="str">
        <f>IFERROR(__xludf.DUMMYFUNCTION("""COMPUTED_VALUE"""),"a0f0ad2d")</f>
        <v>a0f0ad2d</v>
      </c>
      <c r="T2045" s="211" t="str">
        <f>IFERROR(__xludf.DUMMYFUNCTION("""COMPUTED_VALUE"""),"CV. Yulie Jaya")</f>
        <v>CV. Yulie Jaya</v>
      </c>
      <c r="U2045" s="215">
        <f>IFERROR(__xludf.DUMMYFUNCTION("""COMPUTED_VALUE"""),46011.503217592595)</f>
        <v>46011.50322</v>
      </c>
      <c r="V2045" s="211" t="str">
        <f>IFERROR(__xludf.DUMMYFUNCTION("""COMPUTED_VALUE"""),"JJH4+6RV, Badas, Barengkrajan, Kec. Krian, Kabupaten Sidoarjo, Jawa Timur 61262")</f>
        <v>JJH4+6RV, Badas, Barengkrajan, Kec. Krian, Kabupaten Sidoarjo, Jawa Timur 61262</v>
      </c>
      <c r="W2045" s="211" t="str">
        <f>IFERROR(__xludf.DUMMYFUNCTION("""COMPUTED_VALUE"""),"IN")</f>
        <v>IN</v>
      </c>
      <c r="X2045" s="211"/>
    </row>
    <row r="2046">
      <c r="A2046" s="219" t="str">
        <f>IFERROR(__xludf.DUMMYFUNCTION("""COMPUTED_VALUE"""),"102511476")</f>
        <v>102511476</v>
      </c>
      <c r="B2046" s="219" t="str">
        <f>IFERROR(__xludf.DUMMYFUNCTION("""COMPUTED_VALUE"""),"102511476")</f>
        <v>102511476</v>
      </c>
      <c r="C2046" s="220">
        <f>IFERROR(__xludf.DUMMYFUNCTION("""COMPUTED_VALUE"""),45948.46082175926)</f>
        <v>45948.46082</v>
      </c>
      <c r="D2046" s="221" t="str">
        <f>IFERROR(__xludf.DUMMYFUNCTION("""COMPUTED_VALUE"""),"ca4876e2")</f>
        <v>ca4876e2</v>
      </c>
      <c r="E2046" s="221" t="str">
        <f>IFERROR(__xludf.DUMMYFUNCTION("""COMPUTED_VALUE"""),"Bengkel Mustika Mojosari")</f>
        <v>Bengkel Mustika Mojosari</v>
      </c>
      <c r="F2046" s="221" t="str">
        <f>IFERROR(__xludf.DUMMYFUNCTION("""COMPUTED_VALUE"""),"7d2764f1")</f>
        <v>7d2764f1</v>
      </c>
      <c r="G2046" s="221" t="str">
        <f>IFERROR(__xludf.DUMMYFUNCTION("""COMPUTED_VALUE"""),"Oksigen 7m3")</f>
        <v>Oksigen 7m3</v>
      </c>
      <c r="H2046" s="221" t="str">
        <f>IFERROR(__xludf.DUMMYFUNCTION("""COMPUTED_VALUE"""),"OUT")</f>
        <v>OUT</v>
      </c>
      <c r="I2046" s="221" t="str">
        <f>IFERROR(__xludf.DUMMYFUNCTION("""COMPUTED_VALUE"""),"NORMAL")</f>
        <v>NORMAL</v>
      </c>
      <c r="J2046" s="221">
        <f>IFERROR(__xludf.DUMMYFUNCTION("""COMPUTED_VALUE"""),2.0)</f>
        <v>2</v>
      </c>
      <c r="K2046" s="219" t="str">
        <f>IFERROR(__xludf.DUMMYFUNCTION("""COMPUTED_VALUE"""),"11151 11226")</f>
        <v>11151 11226</v>
      </c>
      <c r="L2046" s="221">
        <f>IFERROR(__xludf.DUMMYFUNCTION("""COMPUTED_VALUE"""),65000.0)</f>
        <v>65000</v>
      </c>
      <c r="M2046" s="221"/>
      <c r="N2046" s="211"/>
      <c r="O2046" s="211"/>
      <c r="Q2046" s="210" t="str">
        <f>IFERROR(__xludf.DUMMYFUNCTION("""COMPUTED_VALUE"""),"1250989")</f>
        <v>1250989</v>
      </c>
      <c r="R2046" s="210" t="str">
        <f>IFERROR(__xludf.DUMMYFUNCTION("""COMPUTED_VALUE"""),"1250989")</f>
        <v>1250989</v>
      </c>
      <c r="S2046" s="211" t="str">
        <f>IFERROR(__xludf.DUMMYFUNCTION("""COMPUTED_VALUE"""),"9e66ced9")</f>
        <v>9e66ced9</v>
      </c>
      <c r="T2046" s="211" t="str">
        <f>IFERROR(__xludf.DUMMYFUNCTION("""COMPUTED_VALUE"""),"Bapak Angga")</f>
        <v>Bapak Angga</v>
      </c>
      <c r="U2046" s="215">
        <f>IFERROR(__xludf.DUMMYFUNCTION("""COMPUTED_VALUE"""),46011.50630787037)</f>
        <v>46011.50631</v>
      </c>
      <c r="V2046" s="211" t="str">
        <f>IFERROR(__xludf.DUMMYFUNCTION("""COMPUTED_VALUE"""),"Jl. Bypass Krian No.2, Tundungan, Sidomojo, Kec. Krian, Kabupaten Sidoarjo, Jawa Timur 61262")</f>
        <v>Jl. Bypass Krian No.2, Tundungan, Sidomojo, Kec. Krian, Kabupaten Sidoarjo, Jawa Timur 61262</v>
      </c>
      <c r="W2046" s="211" t="str">
        <f>IFERROR(__xludf.DUMMYFUNCTION("""COMPUTED_VALUE"""),"IN")</f>
        <v>IN</v>
      </c>
      <c r="X2046" s="211"/>
    </row>
    <row r="2047">
      <c r="A2047" s="219" t="str">
        <f>IFERROR(__xludf.DUMMYFUNCTION("""COMPUTED_VALUE"""),"1025331477")</f>
        <v>1025331477</v>
      </c>
      <c r="B2047" s="219" t="str">
        <f>IFERROR(__xludf.DUMMYFUNCTION("""COMPUTED_VALUE"""),"1025331477")</f>
        <v>1025331477</v>
      </c>
      <c r="C2047" s="220">
        <f>IFERROR(__xludf.DUMMYFUNCTION("""COMPUTED_VALUE"""),45948.46366898148)</f>
        <v>45948.46367</v>
      </c>
      <c r="D2047" s="221" t="str">
        <f>IFERROR(__xludf.DUMMYFUNCTION("""COMPUTED_VALUE"""),"01158be1")</f>
        <v>01158be1</v>
      </c>
      <c r="E2047" s="221" t="str">
        <f>IFERROR(__xludf.DUMMYFUNCTION("""COMPUTED_VALUE"""),"GYF")</f>
        <v>GYF</v>
      </c>
      <c r="F2047" s="221" t="str">
        <f>IFERROR(__xludf.DUMMYFUNCTION("""COMPUTED_VALUE"""),"8bdbe149")</f>
        <v>8bdbe149</v>
      </c>
      <c r="G2047" s="221" t="str">
        <f>IFERROR(__xludf.DUMMYFUNCTION("""COMPUTED_VALUE"""),"Oksigen 6m3")</f>
        <v>Oksigen 6m3</v>
      </c>
      <c r="H2047" s="221" t="str">
        <f>IFERROR(__xludf.DUMMYFUNCTION("""COMPUTED_VALUE"""),"OUT")</f>
        <v>OUT</v>
      </c>
      <c r="I2047" s="221" t="str">
        <f>IFERROR(__xludf.DUMMYFUNCTION("""COMPUTED_VALUE"""),"NORMAL")</f>
        <v>NORMAL</v>
      </c>
      <c r="J2047" s="221">
        <f>IFERROR(__xludf.DUMMYFUNCTION("""COMPUTED_VALUE"""),10.0)</f>
        <v>10</v>
      </c>
      <c r="K2047" s="219" t="str">
        <f>IFERROR(__xludf.DUMMYFUNCTION("""COMPUTED_VALUE"""),"1182 11199 11288 11291 1186 11188 11196 1137 1166 11200")</f>
        <v>1182 11199 11288 11291 1186 11188 11196 1137 1166 11200</v>
      </c>
      <c r="L2047" s="221">
        <f>IFERROR(__xludf.DUMMYFUNCTION("""COMPUTED_VALUE"""),45000.0)</f>
        <v>45000</v>
      </c>
      <c r="M2047" s="221"/>
      <c r="N2047" s="211"/>
      <c r="O2047" s="211"/>
      <c r="Q2047" s="210" t="str">
        <f>IFERROR(__xludf.DUMMYFUNCTION("""COMPUTED_VALUE"""),"1225102043")</f>
        <v>1225102043</v>
      </c>
      <c r="R2047" s="210" t="str">
        <f>IFERROR(__xludf.DUMMYFUNCTION("""COMPUTED_VALUE"""),"1225102043")</f>
        <v>1225102043</v>
      </c>
      <c r="S2047" s="211" t="str">
        <f>IFERROR(__xludf.DUMMYFUNCTION("""COMPUTED_VALUE"""),"a0f0ad2d")</f>
        <v>a0f0ad2d</v>
      </c>
      <c r="T2047" s="211" t="str">
        <f>IFERROR(__xludf.DUMMYFUNCTION("""COMPUTED_VALUE"""),"CV. Yulie Jaya")</f>
        <v>CV. Yulie Jaya</v>
      </c>
      <c r="U2047" s="215">
        <f>IFERROR(__xludf.DUMMYFUNCTION("""COMPUTED_VALUE"""),46012.443460648145)</f>
        <v>46012.44346</v>
      </c>
      <c r="V2047" s="211" t="str">
        <f>IFERROR(__xludf.DUMMYFUNCTION("""COMPUTED_VALUE"""),"JJH4+6RV, Badas, Barengkrajan, Kec. Krian, Kabupaten Sidoarjo, Jawa Timur 61262")</f>
        <v>JJH4+6RV, Badas, Barengkrajan, Kec. Krian, Kabupaten Sidoarjo, Jawa Timur 61262</v>
      </c>
      <c r="W2047" s="211" t="str">
        <f>IFERROR(__xludf.DUMMYFUNCTION("""COMPUTED_VALUE"""),"OUT")</f>
        <v>OUT</v>
      </c>
      <c r="X2047" s="211"/>
    </row>
    <row r="2048">
      <c r="A2048" s="219" t="str">
        <f>IFERROR(__xludf.DUMMYFUNCTION("""COMPUTED_VALUE"""),"102521478")</f>
        <v>102521478</v>
      </c>
      <c r="B2048" s="219" t="str">
        <f>IFERROR(__xludf.DUMMYFUNCTION("""COMPUTED_VALUE"""),"102521478")</f>
        <v>102521478</v>
      </c>
      <c r="C2048" s="220">
        <f>IFERROR(__xludf.DUMMYFUNCTION("""COMPUTED_VALUE"""),45948.52778935185)</f>
        <v>45948.52779</v>
      </c>
      <c r="D2048" s="221" t="str">
        <f>IFERROR(__xludf.DUMMYFUNCTION("""COMPUTED_VALUE"""),"3a48ba8b")</f>
        <v>3a48ba8b</v>
      </c>
      <c r="E2048" s="221" t="str">
        <f>IFERROR(__xludf.DUMMYFUNCTION("""COMPUTED_VALUE"""),"Bpk. Kacung")</f>
        <v>Bpk. Kacung</v>
      </c>
      <c r="F2048" s="221" t="str">
        <f>IFERROR(__xludf.DUMMYFUNCTION("""COMPUTED_VALUE"""),"be525f3b")</f>
        <v>be525f3b</v>
      </c>
      <c r="G2048" s="221" t="str">
        <f>IFERROR(__xludf.DUMMYFUNCTION("""COMPUTED_VALUE"""),"LPG 12kg")</f>
        <v>LPG 12kg</v>
      </c>
      <c r="H2048" s="221" t="str">
        <f>IFERROR(__xludf.DUMMYFUNCTION("""COMPUTED_VALUE"""),"OUT")</f>
        <v>OUT</v>
      </c>
      <c r="I2048" s="221" t="str">
        <f>IFERROR(__xludf.DUMMYFUNCTION("""COMPUTED_VALUE"""),"NORMAL")</f>
        <v>NORMAL</v>
      </c>
      <c r="J2048" s="221">
        <f>IFERROR(__xludf.DUMMYFUNCTION("""COMPUTED_VALUE"""),2.0)</f>
        <v>2</v>
      </c>
      <c r="K2048" s="221"/>
      <c r="L2048" s="221">
        <f>IFERROR(__xludf.DUMMYFUNCTION("""COMPUTED_VALUE"""),215000.0)</f>
        <v>215000</v>
      </c>
      <c r="M2048" s="221"/>
      <c r="N2048" s="211"/>
      <c r="O2048" s="211"/>
      <c r="Q2048" s="210" t="str">
        <f>IFERROR(__xludf.DUMMYFUNCTION("""COMPUTED_VALUE"""),"122552048")</f>
        <v>122552048</v>
      </c>
      <c r="R2048" s="210" t="str">
        <f>IFERROR(__xludf.DUMMYFUNCTION("""COMPUTED_VALUE"""),"122552048")</f>
        <v>122552048</v>
      </c>
      <c r="S2048" s="211" t="str">
        <f>IFERROR(__xludf.DUMMYFUNCTION("""COMPUTED_VALUE"""),"9b941888")</f>
        <v>9b941888</v>
      </c>
      <c r="T2048" s="211" t="str">
        <f>IFERROR(__xludf.DUMMYFUNCTION("""COMPUTED_VALUE"""),"Mas Devi ( Parengan )")</f>
        <v>Mas Devi ( Parengan )</v>
      </c>
      <c r="U2048" s="215">
        <f>IFERROR(__xludf.DUMMYFUNCTION("""COMPUTED_VALUE"""),46013.353784722225)</f>
        <v>46013.35378</v>
      </c>
      <c r="V2048" s="211" t="str">
        <f>IFERROR(__xludf.DUMMYFUNCTION("""COMPUTED_VALUE"""),"Kraton Krian Sidoarjo, ( sebelah tower listrik )")</f>
        <v>Kraton Krian Sidoarjo, ( sebelah tower listrik )</v>
      </c>
      <c r="W2048" s="211" t="str">
        <f>IFERROR(__xludf.DUMMYFUNCTION("""COMPUTED_VALUE"""),"OUT")</f>
        <v>OUT</v>
      </c>
      <c r="X2048" s="211"/>
    </row>
    <row r="2049">
      <c r="A2049" s="219" t="str">
        <f>IFERROR(__xludf.DUMMYFUNCTION("""COMPUTED_VALUE"""),"1250692")</f>
        <v>1250692</v>
      </c>
      <c r="B2049" s="219" t="str">
        <f>IFERROR(__xludf.DUMMYFUNCTION("""COMPUTED_VALUE"""),"1250692")</f>
        <v>1250692</v>
      </c>
      <c r="C2049" s="220">
        <f>IFERROR(__xludf.DUMMYFUNCTION("""COMPUTED_VALUE"""),45948.5753125)</f>
        <v>45948.57531</v>
      </c>
      <c r="D2049" s="221" t="str">
        <f>IFERROR(__xludf.DUMMYFUNCTION("""COMPUTED_VALUE"""),"3a48ba8b")</f>
        <v>3a48ba8b</v>
      </c>
      <c r="E2049" s="221" t="str">
        <f>IFERROR(__xludf.DUMMYFUNCTION("""COMPUTED_VALUE"""),"Bpk. Kacung")</f>
        <v>Bpk. Kacung</v>
      </c>
      <c r="F2049" s="221" t="str">
        <f>IFERROR(__xludf.DUMMYFUNCTION("""COMPUTED_VALUE"""),"be525f3b")</f>
        <v>be525f3b</v>
      </c>
      <c r="G2049" s="221" t="str">
        <f>IFERROR(__xludf.DUMMYFUNCTION("""COMPUTED_VALUE"""),"LPG 12kg")</f>
        <v>LPG 12kg</v>
      </c>
      <c r="H2049" s="221" t="str">
        <f>IFERROR(__xludf.DUMMYFUNCTION("""COMPUTED_VALUE"""),"IN")</f>
        <v>IN</v>
      </c>
      <c r="I2049" s="221" t="str">
        <f>IFERROR(__xludf.DUMMYFUNCTION("""COMPUTED_VALUE"""),"EMPTY")</f>
        <v>EMPTY</v>
      </c>
      <c r="J2049" s="221">
        <f>IFERROR(__xludf.DUMMYFUNCTION("""COMPUTED_VALUE"""),2.0)</f>
        <v>2</v>
      </c>
      <c r="K2049" s="221"/>
      <c r="L2049" s="221">
        <f>IFERROR(__xludf.DUMMYFUNCTION("""COMPUTED_VALUE"""),0.0)</f>
        <v>0</v>
      </c>
      <c r="M2049" s="221"/>
      <c r="N2049" s="211"/>
      <c r="O2049" s="211"/>
      <c r="Q2049" s="210" t="str">
        <f>IFERROR(__xludf.DUMMYFUNCTION("""COMPUTED_VALUE"""),"1225312049")</f>
        <v>1225312049</v>
      </c>
      <c r="R2049" s="210" t="str">
        <f>IFERROR(__xludf.DUMMYFUNCTION("""COMPUTED_VALUE"""),"1225312049")</f>
        <v>1225312049</v>
      </c>
      <c r="S2049" s="211" t="str">
        <f>IFERROR(__xludf.DUMMYFUNCTION("""COMPUTED_VALUE"""),"8f5ebaea")</f>
        <v>8f5ebaea</v>
      </c>
      <c r="T2049" s="211" t="str">
        <f>IFERROR(__xludf.DUMMYFUNCTION("""COMPUTED_VALUE"""),"PT Hua Zong Mesindo")</f>
        <v>PT Hua Zong Mesindo</v>
      </c>
      <c r="U2049" s="215">
        <f>IFERROR(__xludf.DUMMYFUNCTION("""COMPUTED_VALUE"""),46013.358819444446)</f>
        <v>46013.35882</v>
      </c>
      <c r="V2049" s="211" t="str">
        <f>IFERROR(__xludf.DUMMYFUNCTION("""COMPUTED_VALUE"""),"Jl. Bypass Krian, Sidotemo, Sidomulyo, Kec. Krian, Kabupaten Sidoarjo, Jawa Timur 61262")</f>
        <v>Jl. Bypass Krian, Sidotemo, Sidomulyo, Kec. Krian, Kabupaten Sidoarjo, Jawa Timur 61262</v>
      </c>
      <c r="W2049" s="211" t="str">
        <f>IFERROR(__xludf.DUMMYFUNCTION("""COMPUTED_VALUE"""),"OUT")</f>
        <v>OUT</v>
      </c>
      <c r="X2049" s="211"/>
    </row>
    <row r="2050">
      <c r="A2050" s="219" t="str">
        <f>IFERROR(__xludf.DUMMYFUNCTION("""COMPUTED_VALUE"""),"1025591479")</f>
        <v>1025591479</v>
      </c>
      <c r="B2050" s="219" t="str">
        <f>IFERROR(__xludf.DUMMYFUNCTION("""COMPUTED_VALUE"""),"1025591479")</f>
        <v>1025591479</v>
      </c>
      <c r="C2050" s="220">
        <f>IFERROR(__xludf.DUMMYFUNCTION("""COMPUTED_VALUE"""),45948.5762962963)</f>
        <v>45948.5763</v>
      </c>
      <c r="D2050" s="221" t="str">
        <f>IFERROR(__xludf.DUMMYFUNCTION("""COMPUTED_VALUE"""),"e86baf3b")</f>
        <v>e86baf3b</v>
      </c>
      <c r="E2050" s="221" t="str">
        <f>IFERROR(__xludf.DUMMYFUNCTION("""COMPUTED_VALUE"""),"PT GEMILANG CIPTA WAWASAN")</f>
        <v>PT GEMILANG CIPTA WAWASAN</v>
      </c>
      <c r="F2050" s="221" t="str">
        <f>IFERROR(__xludf.DUMMYFUNCTION("""COMPUTED_VALUE"""),"66af7c72")</f>
        <v>66af7c72</v>
      </c>
      <c r="G2050" s="221" t="str">
        <f>IFERROR(__xludf.DUMMYFUNCTION("""COMPUTED_VALUE"""),"Argon 6m3")</f>
        <v>Argon 6m3</v>
      </c>
      <c r="H2050" s="221" t="str">
        <f>IFERROR(__xludf.DUMMYFUNCTION("""COMPUTED_VALUE"""),"OUT")</f>
        <v>OUT</v>
      </c>
      <c r="I2050" s="221" t="str">
        <f>IFERROR(__xludf.DUMMYFUNCTION("""COMPUTED_VALUE"""),"NORMAL")</f>
        <v>NORMAL</v>
      </c>
      <c r="J2050" s="221">
        <f>IFERROR(__xludf.DUMMYFUNCTION("""COMPUTED_VALUE"""),2.0)</f>
        <v>2</v>
      </c>
      <c r="K2050" s="219" t="str">
        <f>IFERROR(__xludf.DUMMYFUNCTION("""COMPUTED_VALUE"""),"12037 12041")</f>
        <v>12037 12041</v>
      </c>
      <c r="L2050" s="221">
        <f>IFERROR(__xludf.DUMMYFUNCTION("""COMPUTED_VALUE"""),185000.0)</f>
        <v>185000</v>
      </c>
      <c r="M2050" s="221"/>
      <c r="N2050" s="211"/>
      <c r="O2050" s="211"/>
      <c r="Q2050" s="210" t="str">
        <f>IFERROR(__xludf.DUMMYFUNCTION("""COMPUTED_VALUE"""),"122562050")</f>
        <v>122562050</v>
      </c>
      <c r="R2050" s="210" t="str">
        <f>IFERROR(__xludf.DUMMYFUNCTION("""COMPUTED_VALUE"""),"122562050")</f>
        <v>122562050</v>
      </c>
      <c r="S2050" s="211" t="str">
        <f>IFERROR(__xludf.DUMMYFUNCTION("""COMPUTED_VALUE"""),"b0735da4")</f>
        <v>b0735da4</v>
      </c>
      <c r="T2050" s="211" t="str">
        <f>IFERROR(__xludf.DUMMYFUNCTION("""COMPUTED_VALUE"""),"Bpk. Amer Ciro")</f>
        <v>Bpk. Amer Ciro</v>
      </c>
      <c r="U2050" s="215">
        <f>IFERROR(__xludf.DUMMYFUNCTION("""COMPUTED_VALUE"""),46013.35986111111)</f>
        <v>46013.35986</v>
      </c>
      <c r="V2050" s="211" t="str">
        <f>IFERROR(__xludf.DUMMYFUNCTION("""COMPUTED_VALUE"""),"HFJR+FV8 Bakungtemenggungan, Kabupaten Sidoarjo, Jawa Timur")</f>
        <v>HFJR+FV8 Bakungtemenggungan, Kabupaten Sidoarjo, Jawa Timur</v>
      </c>
      <c r="W2050" s="211" t="str">
        <f>IFERROR(__xludf.DUMMYFUNCTION("""COMPUTED_VALUE"""),"OUT")</f>
        <v>OUT</v>
      </c>
      <c r="X2050" s="211"/>
    </row>
    <row r="2051">
      <c r="A2051" s="219" t="str">
        <f>IFERROR(__xludf.DUMMYFUNCTION("""COMPUTED_VALUE"""),"1250691")</f>
        <v>1250691</v>
      </c>
      <c r="B2051" s="219" t="str">
        <f>IFERROR(__xludf.DUMMYFUNCTION("""COMPUTED_VALUE"""),"1250691")</f>
        <v>1250691</v>
      </c>
      <c r="C2051" s="220">
        <f>IFERROR(__xludf.DUMMYFUNCTION("""COMPUTED_VALUE"""),45948.57711805555)</f>
        <v>45948.57712</v>
      </c>
      <c r="D2051" s="221" t="str">
        <f>IFERROR(__xludf.DUMMYFUNCTION("""COMPUTED_VALUE"""),"b2b5f2c5")</f>
        <v>b2b5f2c5</v>
      </c>
      <c r="E2051" s="221" t="str">
        <f>IFERROR(__xludf.DUMMYFUNCTION("""COMPUTED_VALUE"""),"Bengkel Las Bpk. Ari")</f>
        <v>Bengkel Las Bpk. Ari</v>
      </c>
      <c r="F2051" s="221" t="str">
        <f>IFERROR(__xludf.DUMMYFUNCTION("""COMPUTED_VALUE"""),"8bdbe149")</f>
        <v>8bdbe149</v>
      </c>
      <c r="G2051" s="221" t="str">
        <f>IFERROR(__xludf.DUMMYFUNCTION("""COMPUTED_VALUE"""),"Oksigen 6m3")</f>
        <v>Oksigen 6m3</v>
      </c>
      <c r="H2051" s="221" t="str">
        <f>IFERROR(__xludf.DUMMYFUNCTION("""COMPUTED_VALUE"""),"IN")</f>
        <v>IN</v>
      </c>
      <c r="I2051" s="221" t="str">
        <f>IFERROR(__xludf.DUMMYFUNCTION("""COMPUTED_VALUE"""),"EMPTY")</f>
        <v>EMPTY</v>
      </c>
      <c r="J2051" s="221">
        <f>IFERROR(__xludf.DUMMYFUNCTION("""COMPUTED_VALUE"""),2.0)</f>
        <v>2</v>
      </c>
      <c r="K2051" s="219" t="str">
        <f>IFERROR(__xludf.DUMMYFUNCTION("""COMPUTED_VALUE"""),"11177 1139")</f>
        <v>11177 1139</v>
      </c>
      <c r="L2051" s="221">
        <f>IFERROR(__xludf.DUMMYFUNCTION("""COMPUTED_VALUE"""),0.0)</f>
        <v>0</v>
      </c>
      <c r="M2051" s="221"/>
      <c r="N2051" s="211"/>
      <c r="O2051" s="211"/>
      <c r="Q2051" s="210" t="str">
        <f>IFERROR(__xludf.DUMMYFUNCTION("""COMPUTED_VALUE"""),"122522051")</f>
        <v>122522051</v>
      </c>
      <c r="R2051" s="210" t="str">
        <f>IFERROR(__xludf.DUMMYFUNCTION("""COMPUTED_VALUE"""),"122522051")</f>
        <v>122522051</v>
      </c>
      <c r="S2051" s="211" t="str">
        <f>IFERROR(__xludf.DUMMYFUNCTION("""COMPUTED_VALUE"""),"1a1efff9")</f>
        <v>1a1efff9</v>
      </c>
      <c r="T2051" s="211" t="str">
        <f>IFERROR(__xludf.DUMMYFUNCTION("""COMPUTED_VALUE"""),"Bpk. Gito Mjs")</f>
        <v>Bpk. Gito Mjs</v>
      </c>
      <c r="U2051" s="215">
        <f>IFERROR(__xludf.DUMMYFUNCTION("""COMPUTED_VALUE"""),46013.36678240741)</f>
        <v>46013.36678</v>
      </c>
      <c r="V2051" s="211" t="str">
        <f>IFERROR(__xludf.DUMMYFUNCTION("""COMPUTED_VALUE"""),"FGRX+QQP, Kemloko, Jotangan, Kec. Mojosari, Kabupaten Mojokerto, Jawa Timur 61382")</f>
        <v>FGRX+QQP, Kemloko, Jotangan, Kec. Mojosari, Kabupaten Mojokerto, Jawa Timur 61382</v>
      </c>
      <c r="W2051" s="211" t="str">
        <f>IFERROR(__xludf.DUMMYFUNCTION("""COMPUTED_VALUE"""),"OUT")</f>
        <v>OUT</v>
      </c>
      <c r="X2051" s="211"/>
    </row>
    <row r="2052">
      <c r="A2052" s="219" t="str">
        <f>IFERROR(__xludf.DUMMYFUNCTION("""COMPUTED_VALUE"""),"1250691")</f>
        <v>1250691</v>
      </c>
      <c r="B2052" s="219" t="str">
        <f>IFERROR(__xludf.DUMMYFUNCTION("""COMPUTED_VALUE"""),"1250691")</f>
        <v>1250691</v>
      </c>
      <c r="C2052" s="220">
        <f>IFERROR(__xludf.DUMMYFUNCTION("""COMPUTED_VALUE"""),45948.57711805555)</f>
        <v>45948.57712</v>
      </c>
      <c r="D2052" s="221" t="str">
        <f>IFERROR(__xludf.DUMMYFUNCTION("""COMPUTED_VALUE"""),"b2b5f2c5")</f>
        <v>b2b5f2c5</v>
      </c>
      <c r="E2052" s="221" t="str">
        <f>IFERROR(__xludf.DUMMYFUNCTION("""COMPUTED_VALUE"""),"Bengkel Las Bpk. Ari")</f>
        <v>Bengkel Las Bpk. Ari</v>
      </c>
      <c r="F2052" s="221" t="str">
        <f>IFERROR(__xludf.DUMMYFUNCTION("""COMPUTED_VALUE"""),"ef306e54")</f>
        <v>ef306e54</v>
      </c>
      <c r="G2052" s="221" t="str">
        <f>IFERROR(__xludf.DUMMYFUNCTION("""COMPUTED_VALUE"""),"Karbondioksida")</f>
        <v>Karbondioksida</v>
      </c>
      <c r="H2052" s="221" t="str">
        <f>IFERROR(__xludf.DUMMYFUNCTION("""COMPUTED_VALUE"""),"IN")</f>
        <v>IN</v>
      </c>
      <c r="I2052" s="221" t="str">
        <f>IFERROR(__xludf.DUMMYFUNCTION("""COMPUTED_VALUE"""),"EMPTY")</f>
        <v>EMPTY</v>
      </c>
      <c r="J2052" s="221">
        <f>IFERROR(__xludf.DUMMYFUNCTION("""COMPUTED_VALUE"""),1.0)</f>
        <v>1</v>
      </c>
      <c r="K2052" s="219" t="str">
        <f>IFERROR(__xludf.DUMMYFUNCTION("""COMPUTED_VALUE"""),"13007")</f>
        <v>13007</v>
      </c>
      <c r="L2052" s="221">
        <f>IFERROR(__xludf.DUMMYFUNCTION("""COMPUTED_VALUE"""),0.0)</f>
        <v>0</v>
      </c>
      <c r="M2052" s="221"/>
      <c r="N2052" s="211"/>
      <c r="O2052" s="211"/>
      <c r="Q2052" s="210" t="str">
        <f>IFERROR(__xludf.DUMMYFUNCTION("""COMPUTED_VALUE"""),"122572052")</f>
        <v>122572052</v>
      </c>
      <c r="R2052" s="210" t="str">
        <f>IFERROR(__xludf.DUMMYFUNCTION("""COMPUTED_VALUE"""),"122572052")</f>
        <v>122572052</v>
      </c>
      <c r="S2052" s="211" t="str">
        <f>IFERROR(__xludf.DUMMYFUNCTION("""COMPUTED_VALUE"""),"9828dfc5")</f>
        <v>9828dfc5</v>
      </c>
      <c r="T2052" s="211" t="str">
        <f>IFERROR(__xludf.DUMMYFUNCTION("""COMPUTED_VALUE"""),"Bpk. David")</f>
        <v>Bpk. David</v>
      </c>
      <c r="U2052" s="215">
        <f>IFERROR(__xludf.DUMMYFUNCTION("""COMPUTED_VALUE"""),46013.436631944445)</f>
        <v>46013.43663</v>
      </c>
      <c r="V2052" s="211" t="str">
        <f>IFERROR(__xludf.DUMMYFUNCTION("""COMPUTED_VALUE"""),"GHF3+R34, Jl. Kartini, Ngingas, Ngimbangan, Kec. Mojosari, Kabupaten Mojokerto, Jawa Timur 61382")</f>
        <v>GHF3+R34, Jl. Kartini, Ngingas, Ngimbangan, Kec. Mojosari, Kabupaten Mojokerto, Jawa Timur 61382</v>
      </c>
      <c r="W2052" s="211" t="str">
        <f>IFERROR(__xludf.DUMMYFUNCTION("""COMPUTED_VALUE"""),"OUT")</f>
        <v>OUT</v>
      </c>
      <c r="X2052" s="211"/>
    </row>
    <row r="2053">
      <c r="A2053" s="219" t="str">
        <f>IFERROR(__xludf.DUMMYFUNCTION("""COMPUTED_VALUE"""),"1250680")</f>
        <v>1250680</v>
      </c>
      <c r="B2053" s="219" t="str">
        <f>IFERROR(__xludf.DUMMYFUNCTION("""COMPUTED_VALUE"""),"1250680")</f>
        <v>1250680</v>
      </c>
      <c r="C2053" s="220">
        <f>IFERROR(__xludf.DUMMYFUNCTION("""COMPUTED_VALUE"""),45948.61890046296)</f>
        <v>45948.6189</v>
      </c>
      <c r="D2053" s="221" t="str">
        <f>IFERROR(__xludf.DUMMYFUNCTION("""COMPUTED_VALUE"""),"01158be1")</f>
        <v>01158be1</v>
      </c>
      <c r="E2053" s="221" t="str">
        <f>IFERROR(__xludf.DUMMYFUNCTION("""COMPUTED_VALUE"""),"GYF")</f>
        <v>GYF</v>
      </c>
      <c r="F2053" s="221" t="str">
        <f>IFERROR(__xludf.DUMMYFUNCTION("""COMPUTED_VALUE"""),"8bdbe149")</f>
        <v>8bdbe149</v>
      </c>
      <c r="G2053" s="221" t="str">
        <f>IFERROR(__xludf.DUMMYFUNCTION("""COMPUTED_VALUE"""),"Oksigen 6m3")</f>
        <v>Oksigen 6m3</v>
      </c>
      <c r="H2053" s="221" t="str">
        <f>IFERROR(__xludf.DUMMYFUNCTION("""COMPUTED_VALUE"""),"IN")</f>
        <v>IN</v>
      </c>
      <c r="I2053" s="221" t="str">
        <f>IFERROR(__xludf.DUMMYFUNCTION("""COMPUTED_VALUE"""),"EMPTY")</f>
        <v>EMPTY</v>
      </c>
      <c r="J2053" s="221">
        <f>IFERROR(__xludf.DUMMYFUNCTION("""COMPUTED_VALUE"""),12.0)</f>
        <v>12</v>
      </c>
      <c r="K2053" s="219" t="str">
        <f>IFERROR(__xludf.DUMMYFUNCTION("""COMPUTED_VALUE"""),"11193 1133 11268 1126 11260 11106 1155 11113 11165 1197 1131 1157")</f>
        <v>11193 1133 11268 1126 11260 11106 1155 11113 11165 1197 1131 1157</v>
      </c>
      <c r="L2053" s="221">
        <f>IFERROR(__xludf.DUMMYFUNCTION("""COMPUTED_VALUE"""),0.0)</f>
        <v>0</v>
      </c>
      <c r="M2053" s="221"/>
      <c r="N2053" s="211"/>
      <c r="O2053" s="211"/>
      <c r="Q2053" s="210" t="str">
        <f>IFERROR(__xludf.DUMMYFUNCTION("""COMPUTED_VALUE"""),"1225582053")</f>
        <v>1225582053</v>
      </c>
      <c r="R2053" s="210" t="str">
        <f>IFERROR(__xludf.DUMMYFUNCTION("""COMPUTED_VALUE"""),"1225582053")</f>
        <v>1225582053</v>
      </c>
      <c r="S2053" s="211" t="str">
        <f>IFERROR(__xludf.DUMMYFUNCTION("""COMPUTED_VALUE"""),"b2b5f2c5")</f>
        <v>b2b5f2c5</v>
      </c>
      <c r="T2053" s="211" t="str">
        <f>IFERROR(__xludf.DUMMYFUNCTION("""COMPUTED_VALUE"""),"Bengkel Las Bpk. Ari")</f>
        <v>Bengkel Las Bpk. Ari</v>
      </c>
      <c r="U2053" s="215">
        <f>IFERROR(__xludf.DUMMYFUNCTION("""COMPUTED_VALUE"""),46013.438576388886)</f>
        <v>46013.43858</v>
      </c>
      <c r="V2053" s="211" t="str">
        <f>IFERROR(__xludf.DUMMYFUNCTION("""COMPUTED_VALUE"""),"Sumber Kembar, Wonodadi, Kec. Kutorejo, Kabupaten Mojokerto, Jawa Timur")</f>
        <v>Sumber Kembar, Wonodadi, Kec. Kutorejo, Kabupaten Mojokerto, Jawa Timur</v>
      </c>
      <c r="W2053" s="211" t="str">
        <f>IFERROR(__xludf.DUMMYFUNCTION("""COMPUTED_VALUE"""),"OUT")</f>
        <v>OUT</v>
      </c>
      <c r="X2053" s="211"/>
    </row>
    <row r="2054">
      <c r="A2054" s="219" t="str">
        <f>IFERROR(__xludf.DUMMYFUNCTION("""COMPUTED_VALUE"""),"102571481")</f>
        <v>102571481</v>
      </c>
      <c r="B2054" s="219" t="str">
        <f>IFERROR(__xludf.DUMMYFUNCTION("""COMPUTED_VALUE"""),"102571481")</f>
        <v>102571481</v>
      </c>
      <c r="C2054" s="220">
        <f>IFERROR(__xludf.DUMMYFUNCTION("""COMPUTED_VALUE"""),45950.350324074076)</f>
        <v>45950.35032</v>
      </c>
      <c r="D2054" s="221" t="str">
        <f>IFERROR(__xludf.DUMMYFUNCTION("""COMPUTED_VALUE"""),"dcdf8b31")</f>
        <v>dcdf8b31</v>
      </c>
      <c r="E2054" s="221" t="str">
        <f>IFERROR(__xludf.DUMMYFUNCTION("""COMPUTED_VALUE"""),"Bpk. Samsul (Jetis)")</f>
        <v>Bpk. Samsul (Jetis)</v>
      </c>
      <c r="F2054" s="221" t="str">
        <f>IFERROR(__xludf.DUMMYFUNCTION("""COMPUTED_VALUE"""),"7d2764f1")</f>
        <v>7d2764f1</v>
      </c>
      <c r="G2054" s="221" t="str">
        <f>IFERROR(__xludf.DUMMYFUNCTION("""COMPUTED_VALUE"""),"Oksigen 7m3")</f>
        <v>Oksigen 7m3</v>
      </c>
      <c r="H2054" s="221" t="str">
        <f>IFERROR(__xludf.DUMMYFUNCTION("""COMPUTED_VALUE"""),"OUT")</f>
        <v>OUT</v>
      </c>
      <c r="I2054" s="221" t="str">
        <f>IFERROR(__xludf.DUMMYFUNCTION("""COMPUTED_VALUE"""),"NORMAL")</f>
        <v>NORMAL</v>
      </c>
      <c r="J2054" s="221">
        <f>IFERROR(__xludf.DUMMYFUNCTION("""COMPUTED_VALUE"""),3.0)</f>
        <v>3</v>
      </c>
      <c r="K2054" s="219" t="str">
        <f>IFERROR(__xludf.DUMMYFUNCTION("""COMPUTED_VALUE"""),"11219 1161 11223")</f>
        <v>11219 1161 11223</v>
      </c>
      <c r="L2054" s="221">
        <f>IFERROR(__xludf.DUMMYFUNCTION("""COMPUTED_VALUE"""),75000.0)</f>
        <v>75000</v>
      </c>
      <c r="M2054" s="221"/>
      <c r="N2054" s="211"/>
      <c r="O2054" s="211"/>
      <c r="Q2054" s="210" t="str">
        <f>IFERROR(__xludf.DUMMYFUNCTION("""COMPUTED_VALUE"""),"1250979")</f>
        <v>1250979</v>
      </c>
      <c r="R2054" s="210" t="str">
        <f>IFERROR(__xludf.DUMMYFUNCTION("""COMPUTED_VALUE"""),"1250979")</f>
        <v>1250979</v>
      </c>
      <c r="S2054" s="211" t="str">
        <f>IFERROR(__xludf.DUMMYFUNCTION("""COMPUTED_VALUE"""),"b0735da4")</f>
        <v>b0735da4</v>
      </c>
      <c r="T2054" s="211" t="str">
        <f>IFERROR(__xludf.DUMMYFUNCTION("""COMPUTED_VALUE"""),"Bpk. Amer Ciro")</f>
        <v>Bpk. Amer Ciro</v>
      </c>
      <c r="U2054" s="215">
        <f>IFERROR(__xludf.DUMMYFUNCTION("""COMPUTED_VALUE"""),46013.448541666665)</f>
        <v>46013.44854</v>
      </c>
      <c r="V2054" s="211" t="str">
        <f>IFERROR(__xludf.DUMMYFUNCTION("""COMPUTED_VALUE"""),"HFJR+FV8 Bakungtemenggungan, Kabupaten Sidoarjo, Jawa Timur")</f>
        <v>HFJR+FV8 Bakungtemenggungan, Kabupaten Sidoarjo, Jawa Timur</v>
      </c>
      <c r="W2054" s="211" t="str">
        <f>IFERROR(__xludf.DUMMYFUNCTION("""COMPUTED_VALUE"""),"IN")</f>
        <v>IN</v>
      </c>
      <c r="X2054" s="211"/>
    </row>
    <row r="2055">
      <c r="A2055" s="219" t="str">
        <f>IFERROR(__xludf.DUMMYFUNCTION("""COMPUTED_VALUE"""),"1250681")</f>
        <v>1250681</v>
      </c>
      <c r="B2055" s="219" t="str">
        <f>IFERROR(__xludf.DUMMYFUNCTION("""COMPUTED_VALUE"""),"1250681")</f>
        <v>1250681</v>
      </c>
      <c r="C2055" s="220">
        <f>IFERROR(__xludf.DUMMYFUNCTION("""COMPUTED_VALUE"""),45950.609131944446)</f>
        <v>45950.60913</v>
      </c>
      <c r="D2055" s="221" t="str">
        <f>IFERROR(__xludf.DUMMYFUNCTION("""COMPUTED_VALUE"""),"e968afef")</f>
        <v>e968afef</v>
      </c>
      <c r="E2055" s="221" t="str">
        <f>IFERROR(__xludf.DUMMYFUNCTION("""COMPUTED_VALUE"""),"Bpk. Agus")</f>
        <v>Bpk. Agus</v>
      </c>
      <c r="F2055" s="221" t="str">
        <f>IFERROR(__xludf.DUMMYFUNCTION("""COMPUTED_VALUE"""),"8bdbe149")</f>
        <v>8bdbe149</v>
      </c>
      <c r="G2055" s="221" t="str">
        <f>IFERROR(__xludf.DUMMYFUNCTION("""COMPUTED_VALUE"""),"Oksigen 6m3")</f>
        <v>Oksigen 6m3</v>
      </c>
      <c r="H2055" s="221" t="str">
        <f>IFERROR(__xludf.DUMMYFUNCTION("""COMPUTED_VALUE"""),"IN")</f>
        <v>IN</v>
      </c>
      <c r="I2055" s="221" t="str">
        <f>IFERROR(__xludf.DUMMYFUNCTION("""COMPUTED_VALUE"""),"EMPTY")</f>
        <v>EMPTY</v>
      </c>
      <c r="J2055" s="221">
        <f>IFERROR(__xludf.DUMMYFUNCTION("""COMPUTED_VALUE"""),9.0)</f>
        <v>9</v>
      </c>
      <c r="K2055" s="219" t="str">
        <f>IFERROR(__xludf.DUMMYFUNCTION("""COMPUTED_VALUE"""),"11250 11237 11104 1101 11186 1198 11284 1190 1129")</f>
        <v>11250 11237 11104 1101 11186 1198 11284 1190 1129</v>
      </c>
      <c r="L2055" s="221">
        <f>IFERROR(__xludf.DUMMYFUNCTION("""COMPUTED_VALUE"""),0.0)</f>
        <v>0</v>
      </c>
      <c r="M2055" s="221"/>
      <c r="N2055" s="211"/>
      <c r="O2055" s="211"/>
      <c r="Q2055" s="210" t="str">
        <f>IFERROR(__xludf.DUMMYFUNCTION("""COMPUTED_VALUE"""),"1250980")</f>
        <v>1250980</v>
      </c>
      <c r="R2055" s="210" t="str">
        <f>IFERROR(__xludf.DUMMYFUNCTION("""COMPUTED_VALUE"""),"1250980")</f>
        <v>1250980</v>
      </c>
      <c r="S2055" s="211" t="str">
        <f>IFERROR(__xludf.DUMMYFUNCTION("""COMPUTED_VALUE"""),"63fc688a")</f>
        <v>63fc688a</v>
      </c>
      <c r="T2055" s="211" t="str">
        <f>IFERROR(__xludf.DUMMYFUNCTION("""COMPUTED_VALUE"""),"CV Malik Nusantara")</f>
        <v>CV Malik Nusantara</v>
      </c>
      <c r="U2055" s="215">
        <f>IFERROR(__xludf.DUMMYFUNCTION("""COMPUTED_VALUE"""),46013.449108796296)</f>
        <v>46013.44911</v>
      </c>
      <c r="V2055" s="211" t="str">
        <f>IFERROR(__xludf.DUMMYFUNCTION("""COMPUTED_VALUE"""),"Jl. Raya Balongbendo No.12, Suwaluh Utara, Suwaluh, Kec. BalongBendo, Kabupaten Sidoarjo, Jawa Timur 61263")</f>
        <v>Jl. Raya Balongbendo No.12, Suwaluh Utara, Suwaluh, Kec. BalongBendo, Kabupaten Sidoarjo, Jawa Timur 61263</v>
      </c>
      <c r="W2055" s="211" t="str">
        <f>IFERROR(__xludf.DUMMYFUNCTION("""COMPUTED_VALUE"""),"IN")</f>
        <v>IN</v>
      </c>
      <c r="X2055" s="211"/>
    </row>
    <row r="2056">
      <c r="A2056" s="219" t="str">
        <f>IFERROR(__xludf.DUMMYFUNCTION("""COMPUTED_VALUE"""),"1250681")</f>
        <v>1250681</v>
      </c>
      <c r="B2056" s="219" t="str">
        <f>IFERROR(__xludf.DUMMYFUNCTION("""COMPUTED_VALUE"""),"1250681")</f>
        <v>1250681</v>
      </c>
      <c r="C2056" s="220">
        <f>IFERROR(__xludf.DUMMYFUNCTION("""COMPUTED_VALUE"""),45950.609131944446)</f>
        <v>45950.60913</v>
      </c>
      <c r="D2056" s="221" t="str">
        <f>IFERROR(__xludf.DUMMYFUNCTION("""COMPUTED_VALUE"""),"e968afef")</f>
        <v>e968afef</v>
      </c>
      <c r="E2056" s="221" t="str">
        <f>IFERROR(__xludf.DUMMYFUNCTION("""COMPUTED_VALUE"""),"Bpk. Agus")</f>
        <v>Bpk. Agus</v>
      </c>
      <c r="F2056" s="221" t="str">
        <f>IFERROR(__xludf.DUMMYFUNCTION("""COMPUTED_VALUE"""),"8bdbe149")</f>
        <v>8bdbe149</v>
      </c>
      <c r="G2056" s="221" t="str">
        <f>IFERROR(__xludf.DUMMYFUNCTION("""COMPUTED_VALUE"""),"Oksigen 6m3")</f>
        <v>Oksigen 6m3</v>
      </c>
      <c r="H2056" s="221" t="str">
        <f>IFERROR(__xludf.DUMMYFUNCTION("""COMPUTED_VALUE"""),"IN")</f>
        <v>IN</v>
      </c>
      <c r="I2056" s="221" t="str">
        <f>IFERROR(__xludf.DUMMYFUNCTION("""COMPUTED_VALUE"""),"CLAIM")</f>
        <v>CLAIM</v>
      </c>
      <c r="J2056" s="221">
        <f>IFERROR(__xludf.DUMMYFUNCTION("""COMPUTED_VALUE"""),2.0)</f>
        <v>2</v>
      </c>
      <c r="K2056" s="219" t="str">
        <f>IFERROR(__xludf.DUMMYFUNCTION("""COMPUTED_VALUE"""),"11272 1184")</f>
        <v>11272 1184</v>
      </c>
      <c r="L2056" s="221">
        <f>IFERROR(__xludf.DUMMYFUNCTION("""COMPUTED_VALUE"""),0.0)</f>
        <v>0</v>
      </c>
      <c r="M2056" s="221"/>
      <c r="N2056" s="211" t="str">
        <f>IFERROR(__xludf.DUMMYFUNCTION("""COMPUTED_VALUE"""),"Masih ada isi")</f>
        <v>Masih ada isi</v>
      </c>
      <c r="O2056" s="211"/>
      <c r="Q2056" s="210" t="str">
        <f>IFERROR(__xludf.DUMMYFUNCTION("""COMPUTED_VALUE"""),"1250978")</f>
        <v>1250978</v>
      </c>
      <c r="R2056" s="210" t="str">
        <f>IFERROR(__xludf.DUMMYFUNCTION("""COMPUTED_VALUE"""),"1250978")</f>
        <v>1250978</v>
      </c>
      <c r="S2056" s="211" t="str">
        <f>IFERROR(__xludf.DUMMYFUNCTION("""COMPUTED_VALUE"""),"9b941888")</f>
        <v>9b941888</v>
      </c>
      <c r="T2056" s="211" t="str">
        <f>IFERROR(__xludf.DUMMYFUNCTION("""COMPUTED_VALUE"""),"Mas Devi ( Parengan )")</f>
        <v>Mas Devi ( Parengan )</v>
      </c>
      <c r="U2056" s="215">
        <f>IFERROR(__xludf.DUMMYFUNCTION("""COMPUTED_VALUE"""),46013.44993055556)</f>
        <v>46013.44993</v>
      </c>
      <c r="V2056" s="211" t="str">
        <f>IFERROR(__xludf.DUMMYFUNCTION("""COMPUTED_VALUE"""),"Kraton Krian Sidoarjo, ( sebelah tower listrik )")</f>
        <v>Kraton Krian Sidoarjo, ( sebelah tower listrik )</v>
      </c>
      <c r="W2056" s="211" t="str">
        <f>IFERROR(__xludf.DUMMYFUNCTION("""COMPUTED_VALUE"""),"IN")</f>
        <v>IN</v>
      </c>
      <c r="X2056" s="211"/>
    </row>
    <row r="2057">
      <c r="A2057" s="219" t="str">
        <f>IFERROR(__xludf.DUMMYFUNCTION("""COMPUTED_VALUE"""),"1025241484")</f>
        <v>1025241484</v>
      </c>
      <c r="B2057" s="219" t="str">
        <f>IFERROR(__xludf.DUMMYFUNCTION("""COMPUTED_VALUE"""),"1025241484")</f>
        <v>1025241484</v>
      </c>
      <c r="C2057" s="220">
        <f>IFERROR(__xludf.DUMMYFUNCTION("""COMPUTED_VALUE"""),45950.61042824074)</f>
        <v>45950.61043</v>
      </c>
      <c r="D2057" s="221" t="str">
        <f>IFERROR(__xludf.DUMMYFUNCTION("""COMPUTED_VALUE"""),"b2b5f2c5")</f>
        <v>b2b5f2c5</v>
      </c>
      <c r="E2057" s="221" t="str">
        <f>IFERROR(__xludf.DUMMYFUNCTION("""COMPUTED_VALUE"""),"Bengkel Las Bpk. Ari")</f>
        <v>Bengkel Las Bpk. Ari</v>
      </c>
      <c r="F2057" s="221" t="str">
        <f>IFERROR(__xludf.DUMMYFUNCTION("""COMPUTED_VALUE"""),"ef306e54")</f>
        <v>ef306e54</v>
      </c>
      <c r="G2057" s="221" t="str">
        <f>IFERROR(__xludf.DUMMYFUNCTION("""COMPUTED_VALUE"""),"Karbondioksida")</f>
        <v>Karbondioksida</v>
      </c>
      <c r="H2057" s="221" t="str">
        <f>IFERROR(__xludf.DUMMYFUNCTION("""COMPUTED_VALUE"""),"OUT")</f>
        <v>OUT</v>
      </c>
      <c r="I2057" s="221" t="str">
        <f>IFERROR(__xludf.DUMMYFUNCTION("""COMPUTED_VALUE"""),"NORMAL")</f>
        <v>NORMAL</v>
      </c>
      <c r="J2057" s="221">
        <f>IFERROR(__xludf.DUMMYFUNCTION("""COMPUTED_VALUE"""),4.0)</f>
        <v>4</v>
      </c>
      <c r="K2057" s="219" t="str">
        <f>IFERROR(__xludf.DUMMYFUNCTION("""COMPUTED_VALUE"""),"11165 1133 11106 1126")</f>
        <v>11165 1133 11106 1126</v>
      </c>
      <c r="L2057" s="221">
        <f>IFERROR(__xludf.DUMMYFUNCTION("""COMPUTED_VALUE"""),170000.0)</f>
        <v>170000</v>
      </c>
      <c r="M2057" s="221"/>
      <c r="N2057" s="211"/>
      <c r="O2057" s="211"/>
      <c r="Q2057" s="210" t="str">
        <f>IFERROR(__xludf.DUMMYFUNCTION("""COMPUTED_VALUE"""),"122572054")</f>
        <v>122572054</v>
      </c>
      <c r="R2057" s="210" t="str">
        <f>IFERROR(__xludf.DUMMYFUNCTION("""COMPUTED_VALUE"""),"122572054")</f>
        <v>122572054</v>
      </c>
      <c r="S2057" s="211" t="str">
        <f>IFERROR(__xludf.DUMMYFUNCTION("""COMPUTED_VALUE"""),"f8a982a4")</f>
        <v>f8a982a4</v>
      </c>
      <c r="T2057" s="211" t="str">
        <f>IFERROR(__xludf.DUMMYFUNCTION("""COMPUTED_VALUE"""),"Bpk. Nasir")</f>
        <v>Bpk. Nasir</v>
      </c>
      <c r="U2057" s="215">
        <f>IFERROR(__xludf.DUMMYFUNCTION("""COMPUTED_VALUE"""),46013.45407407408)</f>
        <v>46013.45407</v>
      </c>
      <c r="V2057" s="211" t="str">
        <f>IFERROR(__xludf.DUMMYFUNCTION("""COMPUTED_VALUE"""),"JL Raya Pacet, Dsn. Janti Ds. Jatilangkung RT.01 RW. 04. Kabupaten. Mojokerto Pungging, Jawa Timur")</f>
        <v>JL Raya Pacet, Dsn. Janti Ds. Jatilangkung RT.01 RW. 04. Kabupaten. Mojokerto Pungging, Jawa Timur</v>
      </c>
      <c r="W2057" s="211" t="str">
        <f>IFERROR(__xludf.DUMMYFUNCTION("""COMPUTED_VALUE"""),"OUT")</f>
        <v>OUT</v>
      </c>
      <c r="X2057" s="211"/>
    </row>
    <row r="2058">
      <c r="A2058" s="219" t="str">
        <f>IFERROR(__xludf.DUMMYFUNCTION("""COMPUTED_VALUE"""),"1025241484")</f>
        <v>1025241484</v>
      </c>
      <c r="B2058" s="219" t="str">
        <f>IFERROR(__xludf.DUMMYFUNCTION("""COMPUTED_VALUE"""),"1025241484")</f>
        <v>1025241484</v>
      </c>
      <c r="C2058" s="220">
        <f>IFERROR(__xludf.DUMMYFUNCTION("""COMPUTED_VALUE"""),45950.61042824074)</f>
        <v>45950.61043</v>
      </c>
      <c r="D2058" s="221" t="str">
        <f>IFERROR(__xludf.DUMMYFUNCTION("""COMPUTED_VALUE"""),"b2b5f2c5")</f>
        <v>b2b5f2c5</v>
      </c>
      <c r="E2058" s="221" t="str">
        <f>IFERROR(__xludf.DUMMYFUNCTION("""COMPUTED_VALUE"""),"Bengkel Las Bpk. Ari")</f>
        <v>Bengkel Las Bpk. Ari</v>
      </c>
      <c r="F2058" s="221" t="str">
        <f>IFERROR(__xludf.DUMMYFUNCTION("""COMPUTED_VALUE"""),"8bdbe149")</f>
        <v>8bdbe149</v>
      </c>
      <c r="G2058" s="221" t="str">
        <f>IFERROR(__xludf.DUMMYFUNCTION("""COMPUTED_VALUE"""),"Oksigen 6m3")</f>
        <v>Oksigen 6m3</v>
      </c>
      <c r="H2058" s="221" t="str">
        <f>IFERROR(__xludf.DUMMYFUNCTION("""COMPUTED_VALUE"""),"OUT")</f>
        <v>OUT</v>
      </c>
      <c r="I2058" s="221" t="str">
        <f>IFERROR(__xludf.DUMMYFUNCTION("""COMPUTED_VALUE"""),"NORMAL")</f>
        <v>NORMAL</v>
      </c>
      <c r="J2058" s="221">
        <f>IFERROR(__xludf.DUMMYFUNCTION("""COMPUTED_VALUE"""),6.0)</f>
        <v>6</v>
      </c>
      <c r="K2058" s="219" t="str">
        <f>IFERROR(__xludf.DUMMYFUNCTION("""COMPUTED_VALUE"""),"11260 11272 1184 1197 1155 1131")</f>
        <v>11260 11272 1184 1197 1155 1131</v>
      </c>
      <c r="L2058" s="221">
        <f>IFERROR(__xludf.DUMMYFUNCTION("""COMPUTED_VALUE"""),60000.0)</f>
        <v>60000</v>
      </c>
      <c r="M2058" s="221"/>
      <c r="N2058" s="211"/>
      <c r="O2058" s="211"/>
      <c r="Q2058" s="210" t="str">
        <f>IFERROR(__xludf.DUMMYFUNCTION("""COMPUTED_VALUE"""),"122562058")</f>
        <v>122562058</v>
      </c>
      <c r="R2058" s="210" t="str">
        <f>IFERROR(__xludf.DUMMYFUNCTION("""COMPUTED_VALUE"""),"122562058")</f>
        <v>122562058</v>
      </c>
      <c r="S2058" s="211" t="str">
        <f>IFERROR(__xludf.DUMMYFUNCTION("""COMPUTED_VALUE"""),"17a8e612")</f>
        <v>17a8e612</v>
      </c>
      <c r="T2058" s="211" t="str">
        <f>IFERROR(__xludf.DUMMYFUNCTION("""COMPUTED_VALUE"""),"Flashtech Machinery")</f>
        <v>Flashtech Machinery</v>
      </c>
      <c r="U2058" s="215">
        <f>IFERROR(__xludf.DUMMYFUNCTION("""COMPUTED_VALUE"""),46013.50665509259)</f>
        <v>46013.50666</v>
      </c>
      <c r="V2058" s="211" t="str">
        <f>IFERROR(__xludf.DUMMYFUNCTION("""COMPUTED_VALUE"""),"Pergudangan Point Center blok A no.4, Kemangsen")</f>
        <v>Pergudangan Point Center blok A no.4, Kemangsen</v>
      </c>
      <c r="W2058" s="211" t="str">
        <f>IFERROR(__xludf.DUMMYFUNCTION("""COMPUTED_VALUE"""),"OUT")</f>
        <v>OUT</v>
      </c>
      <c r="X2058" s="211"/>
    </row>
    <row r="2059">
      <c r="A2059" s="219" t="str">
        <f>IFERROR(__xludf.DUMMYFUNCTION("""COMPUTED_VALUE"""),"1025251486")</f>
        <v>1025251486</v>
      </c>
      <c r="B2059" s="219" t="str">
        <f>IFERROR(__xludf.DUMMYFUNCTION("""COMPUTED_VALUE"""),"1025251486")</f>
        <v>1025251486</v>
      </c>
      <c r="C2059" s="220">
        <f>IFERROR(__xludf.DUMMYFUNCTION("""COMPUTED_VALUE"""),45950.613229166665)</f>
        <v>45950.61323</v>
      </c>
      <c r="D2059" s="221" t="str">
        <f>IFERROR(__xludf.DUMMYFUNCTION("""COMPUTED_VALUE"""),"2d88931c")</f>
        <v>2d88931c</v>
      </c>
      <c r="E2059" s="221" t="str">
        <f>IFERROR(__xludf.DUMMYFUNCTION("""COMPUTED_VALUE"""),"PT Dunia Berkat Marga Mulya")</f>
        <v>PT Dunia Berkat Marga Mulya</v>
      </c>
      <c r="F2059" s="221" t="str">
        <f>IFERROR(__xludf.DUMMYFUNCTION("""COMPUTED_VALUE"""),"8bdbe149")</f>
        <v>8bdbe149</v>
      </c>
      <c r="G2059" s="221" t="str">
        <f>IFERROR(__xludf.DUMMYFUNCTION("""COMPUTED_VALUE"""),"Oksigen 6m3")</f>
        <v>Oksigen 6m3</v>
      </c>
      <c r="H2059" s="221" t="str">
        <f>IFERROR(__xludf.DUMMYFUNCTION("""COMPUTED_VALUE"""),"OUT")</f>
        <v>OUT</v>
      </c>
      <c r="I2059" s="221" t="str">
        <f>IFERROR(__xludf.DUMMYFUNCTION("""COMPUTED_VALUE"""),"NORMAL")</f>
        <v>NORMAL</v>
      </c>
      <c r="J2059" s="221">
        <f>IFERROR(__xludf.DUMMYFUNCTION("""COMPUTED_VALUE"""),5.0)</f>
        <v>5</v>
      </c>
      <c r="K2059" s="219" t="str">
        <f>IFERROR(__xludf.DUMMYFUNCTION("""COMPUTED_VALUE"""),"1198 11193 11284 11113 11237")</f>
        <v>1198 11193 11284 11113 11237</v>
      </c>
      <c r="L2059" s="221">
        <f>IFERROR(__xludf.DUMMYFUNCTION("""COMPUTED_VALUE"""),60000.0)</f>
        <v>60000</v>
      </c>
      <c r="M2059" s="221"/>
      <c r="N2059" s="211"/>
      <c r="O2059" s="211"/>
      <c r="Q2059" s="210" t="str">
        <f>IFERROR(__xludf.DUMMYFUNCTION("""COMPUTED_VALUE"""),"1250981")</f>
        <v>1250981</v>
      </c>
      <c r="R2059" s="210" t="str">
        <f>IFERROR(__xludf.DUMMYFUNCTION("""COMPUTED_VALUE"""),"1250981")</f>
        <v>1250981</v>
      </c>
      <c r="S2059" s="211" t="str">
        <f>IFERROR(__xludf.DUMMYFUNCTION("""COMPUTED_VALUE"""),"9e31e9f4")</f>
        <v>9e31e9f4</v>
      </c>
      <c r="T2059" s="211" t="str">
        <f>IFERROR(__xludf.DUMMYFUNCTION("""COMPUTED_VALUE"""),"Bpk. Eko Iswantoro")</f>
        <v>Bpk. Eko Iswantoro</v>
      </c>
      <c r="U2059" s="215">
        <f>IFERROR(__xludf.DUMMYFUNCTION("""COMPUTED_VALUE"""),46013.521053240744)</f>
        <v>46013.52105</v>
      </c>
      <c r="V2059" s="211" t="str">
        <f>IFERROR(__xludf.DUMMYFUNCTION("""COMPUTED_VALUE"""),"HHWW+8J Kemasan, Kec. Krian, Kabupaten Sidoarjo, Jawa Timur, Indonesia")</f>
        <v>HHWW+8J Kemasan, Kec. Krian, Kabupaten Sidoarjo, Jawa Timur, Indonesia</v>
      </c>
      <c r="W2059" s="211" t="str">
        <f>IFERROR(__xludf.DUMMYFUNCTION("""COMPUTED_VALUE"""),"IN")</f>
        <v>IN</v>
      </c>
      <c r="X2059" s="211"/>
    </row>
    <row r="2060">
      <c r="A2060" s="219" t="str">
        <f>IFERROR(__xludf.DUMMYFUNCTION("""COMPUTED_VALUE"""),"1025151487")</f>
        <v>1025151487</v>
      </c>
      <c r="B2060" s="219" t="str">
        <f>IFERROR(__xludf.DUMMYFUNCTION("""COMPUTED_VALUE"""),"1025151487")</f>
        <v>1025151487</v>
      </c>
      <c r="C2060" s="220">
        <f>IFERROR(__xludf.DUMMYFUNCTION("""COMPUTED_VALUE"""),45950.61371527778)</f>
        <v>45950.61372</v>
      </c>
      <c r="D2060" s="221" t="str">
        <f>IFERROR(__xludf.DUMMYFUNCTION("""COMPUTED_VALUE"""),"4ec68cf6")</f>
        <v>4ec68cf6</v>
      </c>
      <c r="E2060" s="221" t="str">
        <f>IFERROR(__xludf.DUMMYFUNCTION("""COMPUTED_VALUE"""),"CV Sido Mukti Karya")</f>
        <v>CV Sido Mukti Karya</v>
      </c>
      <c r="F2060" s="221" t="str">
        <f>IFERROR(__xludf.DUMMYFUNCTION("""COMPUTED_VALUE"""),"8bdbe149")</f>
        <v>8bdbe149</v>
      </c>
      <c r="G2060" s="221" t="str">
        <f>IFERROR(__xludf.DUMMYFUNCTION("""COMPUTED_VALUE"""),"Oksigen 6m3")</f>
        <v>Oksigen 6m3</v>
      </c>
      <c r="H2060" s="221" t="str">
        <f>IFERROR(__xludf.DUMMYFUNCTION("""COMPUTED_VALUE"""),"OUT")</f>
        <v>OUT</v>
      </c>
      <c r="I2060" s="221" t="str">
        <f>IFERROR(__xludf.DUMMYFUNCTION("""COMPUTED_VALUE"""),"NORMAL")</f>
        <v>NORMAL</v>
      </c>
      <c r="J2060" s="221">
        <f>IFERROR(__xludf.DUMMYFUNCTION("""COMPUTED_VALUE"""),6.0)</f>
        <v>6</v>
      </c>
      <c r="K2060" s="219" t="str">
        <f>IFERROR(__xludf.DUMMYFUNCTION("""COMPUTED_VALUE"""),"1157 11186 1101 1190 11250 11164")</f>
        <v>1157 11186 1101 1190 11250 11164</v>
      </c>
      <c r="L2060" s="221">
        <f>IFERROR(__xludf.DUMMYFUNCTION("""COMPUTED_VALUE"""),60000.0)</f>
        <v>60000</v>
      </c>
      <c r="M2060" s="221"/>
      <c r="N2060" s="211"/>
      <c r="O2060" s="211"/>
      <c r="Q2060" s="210" t="str">
        <f>IFERROR(__xludf.DUMMYFUNCTION("""COMPUTED_VALUE"""),"122512059")</f>
        <v>122512059</v>
      </c>
      <c r="R2060" s="210" t="str">
        <f>IFERROR(__xludf.DUMMYFUNCTION("""COMPUTED_VALUE"""),"122512059")</f>
        <v>122512059</v>
      </c>
      <c r="S2060" s="211" t="str">
        <f>IFERROR(__xludf.DUMMYFUNCTION("""COMPUTED_VALUE"""),"1f9fafcc")</f>
        <v>1f9fafcc</v>
      </c>
      <c r="T2060" s="211" t="str">
        <f>IFERROR(__xludf.DUMMYFUNCTION("""COMPUTED_VALUE"""),"Bpk. Roby (MJA)")</f>
        <v>Bpk. Roby (MJA)</v>
      </c>
      <c r="U2060" s="215">
        <f>IFERROR(__xludf.DUMMYFUNCTION("""COMPUTED_VALUE"""),46013.663298611114)</f>
        <v>46013.6633</v>
      </c>
      <c r="V2060" s="211" t="str">
        <f>IFERROR(__xludf.DUMMYFUNCTION("""COMPUTED_VALUE"""),"Jl. Raya Jl. Bypass Krian, Kraton, Sidomulyo, Kec. Krian, Kabupaten Sidoarjo, Jawa Timur 61262")</f>
        <v>Jl. Raya Jl. Bypass Krian, Kraton, Sidomulyo, Kec. Krian, Kabupaten Sidoarjo, Jawa Timur 61262</v>
      </c>
      <c r="W2060" s="211" t="str">
        <f>IFERROR(__xludf.DUMMYFUNCTION("""COMPUTED_VALUE"""),"OUT")</f>
        <v>OUT</v>
      </c>
      <c r="X2060" s="211"/>
    </row>
    <row r="2061">
      <c r="A2061" s="219" t="str">
        <f>IFERROR(__xludf.DUMMYFUNCTION("""COMPUTED_VALUE"""),"1025151487")</f>
        <v>1025151487</v>
      </c>
      <c r="B2061" s="219" t="str">
        <f>IFERROR(__xludf.DUMMYFUNCTION("""COMPUTED_VALUE"""),"1025151487")</f>
        <v>1025151487</v>
      </c>
      <c r="C2061" s="220">
        <f>IFERROR(__xludf.DUMMYFUNCTION("""COMPUTED_VALUE"""),45950.61371527778)</f>
        <v>45950.61372</v>
      </c>
      <c r="D2061" s="221" t="str">
        <f>IFERROR(__xludf.DUMMYFUNCTION("""COMPUTED_VALUE"""),"4ec68cf6")</f>
        <v>4ec68cf6</v>
      </c>
      <c r="E2061" s="221" t="str">
        <f>IFERROR(__xludf.DUMMYFUNCTION("""COMPUTED_VALUE"""),"CV Sido Mukti Karya")</f>
        <v>CV Sido Mukti Karya</v>
      </c>
      <c r="F2061" s="221" t="str">
        <f>IFERROR(__xludf.DUMMYFUNCTION("""COMPUTED_VALUE"""),"ef306e54")</f>
        <v>ef306e54</v>
      </c>
      <c r="G2061" s="221" t="str">
        <f>IFERROR(__xludf.DUMMYFUNCTION("""COMPUTED_VALUE"""),"Karbondioksida")</f>
        <v>Karbondioksida</v>
      </c>
      <c r="H2061" s="221" t="str">
        <f>IFERROR(__xludf.DUMMYFUNCTION("""COMPUTED_VALUE"""),"OUT")</f>
        <v>OUT</v>
      </c>
      <c r="I2061" s="221" t="str">
        <f>IFERROR(__xludf.DUMMYFUNCTION("""COMPUTED_VALUE"""),"NORMAL")</f>
        <v>NORMAL</v>
      </c>
      <c r="J2061" s="221">
        <f>IFERROR(__xludf.DUMMYFUNCTION("""COMPUTED_VALUE"""),2.0)</f>
        <v>2</v>
      </c>
      <c r="K2061" s="219" t="str">
        <f>IFERROR(__xludf.DUMMYFUNCTION("""COMPUTED_VALUE"""),"13007 13028")</f>
        <v>13007 13028</v>
      </c>
      <c r="L2061" s="221">
        <f>IFERROR(__xludf.DUMMYFUNCTION("""COMPUTED_VALUE"""),170000.0)</f>
        <v>170000</v>
      </c>
      <c r="M2061" s="221"/>
      <c r="N2061" s="211"/>
      <c r="O2061" s="211"/>
      <c r="Q2061" s="210" t="str">
        <f>IFERROR(__xludf.DUMMYFUNCTION("""COMPUTED_VALUE"""),"1250983")</f>
        <v>1250983</v>
      </c>
      <c r="R2061" s="210" t="str">
        <f>IFERROR(__xludf.DUMMYFUNCTION("""COMPUTED_VALUE"""),"1250983")</f>
        <v>1250983</v>
      </c>
      <c r="S2061" s="211" t="str">
        <f>IFERROR(__xludf.DUMMYFUNCTION("""COMPUTED_VALUE"""),"17a8e612")</f>
        <v>17a8e612</v>
      </c>
      <c r="T2061" s="211" t="str">
        <f>IFERROR(__xludf.DUMMYFUNCTION("""COMPUTED_VALUE"""),"Flashtech Machinery")</f>
        <v>Flashtech Machinery</v>
      </c>
      <c r="U2061" s="215">
        <f>IFERROR(__xludf.DUMMYFUNCTION("""COMPUTED_VALUE"""),46013.67648148148)</f>
        <v>46013.67648</v>
      </c>
      <c r="V2061" s="211" t="str">
        <f>IFERROR(__xludf.DUMMYFUNCTION("""COMPUTED_VALUE"""),"Pergudangan Point Center blok A no.4, Kemangsen")</f>
        <v>Pergudangan Point Center blok A no.4, Kemangsen</v>
      </c>
      <c r="W2061" s="211" t="str">
        <f>IFERROR(__xludf.DUMMYFUNCTION("""COMPUTED_VALUE"""),"IN")</f>
        <v>IN</v>
      </c>
      <c r="X2061" s="211"/>
    </row>
    <row r="2062">
      <c r="A2062" s="219" t="str">
        <f>IFERROR(__xludf.DUMMYFUNCTION("""COMPUTED_VALUE"""),"1250681")</f>
        <v>1250681</v>
      </c>
      <c r="B2062" s="219" t="str">
        <f>IFERROR(__xludf.DUMMYFUNCTION("""COMPUTED_VALUE"""),"1250681")</f>
        <v>1250681</v>
      </c>
      <c r="C2062" s="220">
        <f>IFERROR(__xludf.DUMMYFUNCTION("""COMPUTED_VALUE"""),45950.609131944446)</f>
        <v>45950.60913</v>
      </c>
      <c r="D2062" s="221" t="str">
        <f>IFERROR(__xludf.DUMMYFUNCTION("""COMPUTED_VALUE"""),"e968afef")</f>
        <v>e968afef</v>
      </c>
      <c r="E2062" s="221" t="str">
        <f>IFERROR(__xludf.DUMMYFUNCTION("""COMPUTED_VALUE"""),"Bpk. Agus")</f>
        <v>Bpk. Agus</v>
      </c>
      <c r="F2062" s="221" t="str">
        <f>IFERROR(__xludf.DUMMYFUNCTION("""COMPUTED_VALUE"""),"be525f3b")</f>
        <v>be525f3b</v>
      </c>
      <c r="G2062" s="221" t="str">
        <f>IFERROR(__xludf.DUMMYFUNCTION("""COMPUTED_VALUE"""),"LPG 12kg")</f>
        <v>LPG 12kg</v>
      </c>
      <c r="H2062" s="221" t="str">
        <f>IFERROR(__xludf.DUMMYFUNCTION("""COMPUTED_VALUE"""),"IN")</f>
        <v>IN</v>
      </c>
      <c r="I2062" s="221" t="str">
        <f>IFERROR(__xludf.DUMMYFUNCTION("""COMPUTED_VALUE"""),"EMPTY")</f>
        <v>EMPTY</v>
      </c>
      <c r="J2062" s="221">
        <f>IFERROR(__xludf.DUMMYFUNCTION("""COMPUTED_VALUE"""),2.0)</f>
        <v>2</v>
      </c>
      <c r="K2062" s="221"/>
      <c r="L2062" s="221">
        <f>IFERROR(__xludf.DUMMYFUNCTION("""COMPUTED_VALUE"""),0.0)</f>
        <v>0</v>
      </c>
      <c r="M2062" s="221"/>
      <c r="N2062" s="211"/>
      <c r="O2062" s="211"/>
      <c r="Q2062" s="210" t="str">
        <f>IFERROR(__xludf.DUMMYFUNCTION("""COMPUTED_VALUE"""),"1250993")</f>
        <v>1250993</v>
      </c>
      <c r="R2062" s="210" t="str">
        <f>IFERROR(__xludf.DUMMYFUNCTION("""COMPUTED_VALUE"""),"1250993")</f>
        <v>1250993</v>
      </c>
      <c r="S2062" s="211" t="str">
        <f>IFERROR(__xludf.DUMMYFUNCTION("""COMPUTED_VALUE"""),"b2b5f2c5")</f>
        <v>b2b5f2c5</v>
      </c>
      <c r="T2062" s="211" t="str">
        <f>IFERROR(__xludf.DUMMYFUNCTION("""COMPUTED_VALUE"""),"Bengkel Las Bpk. Ari")</f>
        <v>Bengkel Las Bpk. Ari</v>
      </c>
      <c r="U2062" s="215">
        <f>IFERROR(__xludf.DUMMYFUNCTION("""COMPUTED_VALUE"""),46013.71655092593)</f>
        <v>46013.71655</v>
      </c>
      <c r="V2062" s="211" t="str">
        <f>IFERROR(__xludf.DUMMYFUNCTION("""COMPUTED_VALUE"""),"Sumber Kembar, Wonodadi, Kec. Kutorejo, Kabupaten Mojokerto, Jawa Timur")</f>
        <v>Sumber Kembar, Wonodadi, Kec. Kutorejo, Kabupaten Mojokerto, Jawa Timur</v>
      </c>
      <c r="W2062" s="211" t="str">
        <f>IFERROR(__xludf.DUMMYFUNCTION("""COMPUTED_VALUE"""),"IN")</f>
        <v>IN</v>
      </c>
      <c r="X2062" s="211"/>
    </row>
    <row r="2063">
      <c r="A2063" s="219" t="str">
        <f>IFERROR(__xludf.DUMMYFUNCTION("""COMPUTED_VALUE"""),"102571488")</f>
        <v>102571488</v>
      </c>
      <c r="B2063" s="219" t="str">
        <f>IFERROR(__xludf.DUMMYFUNCTION("""COMPUTED_VALUE"""),"102571488")</f>
        <v>102571488</v>
      </c>
      <c r="C2063" s="220">
        <f>IFERROR(__xludf.DUMMYFUNCTION("""COMPUTED_VALUE"""),45950.617627314816)</f>
        <v>45950.61763</v>
      </c>
      <c r="D2063" s="221" t="str">
        <f>IFERROR(__xludf.DUMMYFUNCTION("""COMPUTED_VALUE"""),"196b24da")</f>
        <v>196b24da</v>
      </c>
      <c r="E2063" s="221" t="str">
        <f>IFERROR(__xludf.DUMMYFUNCTION("""COMPUTED_VALUE"""),"PT Samudra Cipta Enjineering")</f>
        <v>PT Samudra Cipta Enjineering</v>
      </c>
      <c r="F2063" s="221" t="str">
        <f>IFERROR(__xludf.DUMMYFUNCTION("""COMPUTED_VALUE"""),"ef306e54")</f>
        <v>ef306e54</v>
      </c>
      <c r="G2063" s="221" t="str">
        <f>IFERROR(__xludf.DUMMYFUNCTION("""COMPUTED_VALUE"""),"Karbondioksida")</f>
        <v>Karbondioksida</v>
      </c>
      <c r="H2063" s="221" t="str">
        <f>IFERROR(__xludf.DUMMYFUNCTION("""COMPUTED_VALUE"""),"OUT")</f>
        <v>OUT</v>
      </c>
      <c r="I2063" s="221" t="str">
        <f>IFERROR(__xludf.DUMMYFUNCTION("""COMPUTED_VALUE"""),"NORMAL")</f>
        <v>NORMAL</v>
      </c>
      <c r="J2063" s="221">
        <f>IFERROR(__xludf.DUMMYFUNCTION("""COMPUTED_VALUE"""),2.0)</f>
        <v>2</v>
      </c>
      <c r="K2063" s="219" t="str">
        <f>IFERROR(__xludf.DUMMYFUNCTION("""COMPUTED_VALUE"""),"11129 11268")</f>
        <v>11129 11268</v>
      </c>
      <c r="L2063" s="221">
        <f>IFERROR(__xludf.DUMMYFUNCTION("""COMPUTED_VALUE"""),160000.0)</f>
        <v>160000</v>
      </c>
      <c r="M2063" s="221"/>
      <c r="N2063" s="211"/>
      <c r="O2063" s="211"/>
      <c r="Q2063" s="210" t="str">
        <f>IFERROR(__xludf.DUMMYFUNCTION("""COMPUTED_VALUE"""),"1250991")</f>
        <v>1250991</v>
      </c>
      <c r="R2063" s="210" t="str">
        <f>IFERROR(__xludf.DUMMYFUNCTION("""COMPUTED_VALUE"""),"1250991")</f>
        <v>1250991</v>
      </c>
      <c r="S2063" s="211" t="str">
        <f>IFERROR(__xludf.DUMMYFUNCTION("""COMPUTED_VALUE"""),"9828dfc5")</f>
        <v>9828dfc5</v>
      </c>
      <c r="T2063" s="211" t="str">
        <f>IFERROR(__xludf.DUMMYFUNCTION("""COMPUTED_VALUE"""),"Bpk. David")</f>
        <v>Bpk. David</v>
      </c>
      <c r="U2063" s="215">
        <f>IFERROR(__xludf.DUMMYFUNCTION("""COMPUTED_VALUE"""),46013.7193287037)</f>
        <v>46013.71933</v>
      </c>
      <c r="V2063" s="211" t="str">
        <f>IFERROR(__xludf.DUMMYFUNCTION("""COMPUTED_VALUE"""),"GHF3+R34, Jl. Kartini, Ngingas, Ngimbangan, Kec. Mojosari, Kabupaten Mojokerto, Jawa Timur 61382")</f>
        <v>GHF3+R34, Jl. Kartini, Ngingas, Ngimbangan, Kec. Mojosari, Kabupaten Mojokerto, Jawa Timur 61382</v>
      </c>
      <c r="W2063" s="211" t="str">
        <f>IFERROR(__xludf.DUMMYFUNCTION("""COMPUTED_VALUE"""),"IN")</f>
        <v>IN</v>
      </c>
      <c r="X2063" s="211"/>
    </row>
    <row r="2064">
      <c r="A2064" s="219" t="str">
        <f>IFERROR(__xludf.DUMMYFUNCTION("""COMPUTED_VALUE"""),"1250697")</f>
        <v>1250697</v>
      </c>
      <c r="B2064" s="219" t="str">
        <f>IFERROR(__xludf.DUMMYFUNCTION("""COMPUTED_VALUE"""),"1250697")</f>
        <v>1250697</v>
      </c>
      <c r="C2064" s="220">
        <f>IFERROR(__xludf.DUMMYFUNCTION("""COMPUTED_VALUE"""),45950.625706018516)</f>
        <v>45950.62571</v>
      </c>
      <c r="D2064" s="221" t="str">
        <f>IFERROR(__xludf.DUMMYFUNCTION("""COMPUTED_VALUE"""),"e86baf3b")</f>
        <v>e86baf3b</v>
      </c>
      <c r="E2064" s="221" t="str">
        <f>IFERROR(__xludf.DUMMYFUNCTION("""COMPUTED_VALUE"""),"PT GEMILANG CIPTA WAWASAN")</f>
        <v>PT GEMILANG CIPTA WAWASAN</v>
      </c>
      <c r="F2064" s="221" t="str">
        <f>IFERROR(__xludf.DUMMYFUNCTION("""COMPUTED_VALUE"""),"8bdbe149")</f>
        <v>8bdbe149</v>
      </c>
      <c r="G2064" s="221" t="str">
        <f>IFERROR(__xludf.DUMMYFUNCTION("""COMPUTED_VALUE"""),"Oksigen 6m3")</f>
        <v>Oksigen 6m3</v>
      </c>
      <c r="H2064" s="221" t="str">
        <f>IFERROR(__xludf.DUMMYFUNCTION("""COMPUTED_VALUE"""),"IN")</f>
        <v>IN</v>
      </c>
      <c r="I2064" s="221" t="str">
        <f>IFERROR(__xludf.DUMMYFUNCTION("""COMPUTED_VALUE"""),"EMPTY")</f>
        <v>EMPTY</v>
      </c>
      <c r="J2064" s="221">
        <f>IFERROR(__xludf.DUMMYFUNCTION("""COMPUTED_VALUE"""),8.0)</f>
        <v>8</v>
      </c>
      <c r="K2064" s="219" t="str">
        <f>IFERROR(__xludf.DUMMYFUNCTION("""COMPUTED_VALUE"""),"1129 1195 11207 11289 11287 11265 1111 11216")</f>
        <v>1129 1195 11207 11289 11287 11265 1111 11216</v>
      </c>
      <c r="L2064" s="221">
        <f>IFERROR(__xludf.DUMMYFUNCTION("""COMPUTED_VALUE"""),0.0)</f>
        <v>0</v>
      </c>
      <c r="M2064" s="221"/>
      <c r="N2064" s="211"/>
      <c r="O2064" s="211"/>
      <c r="Q2064" s="210" t="str">
        <f>IFERROR(__xludf.DUMMYFUNCTION("""COMPUTED_VALUE"""),"1250992")</f>
        <v>1250992</v>
      </c>
      <c r="R2064" s="210" t="str">
        <f>IFERROR(__xludf.DUMMYFUNCTION("""COMPUTED_VALUE"""),"1250992")</f>
        <v>1250992</v>
      </c>
      <c r="S2064" s="211" t="str">
        <f>IFERROR(__xludf.DUMMYFUNCTION("""COMPUTED_VALUE"""),"1a1efff9")</f>
        <v>1a1efff9</v>
      </c>
      <c r="T2064" s="211" t="str">
        <f>IFERROR(__xludf.DUMMYFUNCTION("""COMPUTED_VALUE"""),"Bpk. Gito Mjs")</f>
        <v>Bpk. Gito Mjs</v>
      </c>
      <c r="U2064" s="215">
        <f>IFERROR(__xludf.DUMMYFUNCTION("""COMPUTED_VALUE"""),46013.720358796294)</f>
        <v>46013.72036</v>
      </c>
      <c r="V2064" s="211" t="str">
        <f>IFERROR(__xludf.DUMMYFUNCTION("""COMPUTED_VALUE"""),"FGRX+QQP, Kemloko, Jotangan, Kec. Mojosari, Kabupaten Mojokerto, Jawa Timur 61382")</f>
        <v>FGRX+QQP, Kemloko, Jotangan, Kec. Mojosari, Kabupaten Mojokerto, Jawa Timur 61382</v>
      </c>
      <c r="W2064" s="211" t="str">
        <f>IFERROR(__xludf.DUMMYFUNCTION("""COMPUTED_VALUE"""),"IN")</f>
        <v>IN</v>
      </c>
      <c r="X2064" s="211"/>
    </row>
    <row r="2065">
      <c r="A2065" s="219" t="str">
        <f>IFERROR(__xludf.DUMMYFUNCTION("""COMPUTED_VALUE"""),"1250697")</f>
        <v>1250697</v>
      </c>
      <c r="B2065" s="219" t="str">
        <f>IFERROR(__xludf.DUMMYFUNCTION("""COMPUTED_VALUE"""),"1250697")</f>
        <v>1250697</v>
      </c>
      <c r="C2065" s="220">
        <f>IFERROR(__xludf.DUMMYFUNCTION("""COMPUTED_VALUE"""),45950.625706018516)</f>
        <v>45950.62571</v>
      </c>
      <c r="D2065" s="221" t="str">
        <f>IFERROR(__xludf.DUMMYFUNCTION("""COMPUTED_VALUE"""),"e86baf3b")</f>
        <v>e86baf3b</v>
      </c>
      <c r="E2065" s="221" t="str">
        <f>IFERROR(__xludf.DUMMYFUNCTION("""COMPUTED_VALUE"""),"PT GEMILANG CIPTA WAWASAN")</f>
        <v>PT GEMILANG CIPTA WAWASAN</v>
      </c>
      <c r="F2065" s="221" t="str">
        <f>IFERROR(__xludf.DUMMYFUNCTION("""COMPUTED_VALUE"""),"66af7c72")</f>
        <v>66af7c72</v>
      </c>
      <c r="G2065" s="221" t="str">
        <f>IFERROR(__xludf.DUMMYFUNCTION("""COMPUTED_VALUE"""),"Argon 6m3")</f>
        <v>Argon 6m3</v>
      </c>
      <c r="H2065" s="221" t="str">
        <f>IFERROR(__xludf.DUMMYFUNCTION("""COMPUTED_VALUE"""),"IN")</f>
        <v>IN</v>
      </c>
      <c r="I2065" s="221" t="str">
        <f>IFERROR(__xludf.DUMMYFUNCTION("""COMPUTED_VALUE"""),"EMPTY")</f>
        <v>EMPTY</v>
      </c>
      <c r="J2065" s="221">
        <f>IFERROR(__xludf.DUMMYFUNCTION("""COMPUTED_VALUE"""),14.0)</f>
        <v>14</v>
      </c>
      <c r="K2065" s="219" t="str">
        <f>IFERROR(__xludf.DUMMYFUNCTION("""COMPUTED_VALUE"""),"12038 12062 12053 12064 12048 12057 12079 12076 12081 12082 12073 12042 12052 12019")</f>
        <v>12038 12062 12053 12064 12048 12057 12079 12076 12081 12082 12073 12042 12052 12019</v>
      </c>
      <c r="L2065" s="221">
        <f>IFERROR(__xludf.DUMMYFUNCTION("""COMPUTED_VALUE"""),0.0)</f>
        <v>0</v>
      </c>
      <c r="M2065" s="221"/>
      <c r="N2065" s="211"/>
      <c r="O2065" s="211"/>
      <c r="Q2065" s="210" t="str">
        <f>IFERROR(__xludf.DUMMYFUNCTION("""COMPUTED_VALUE"""),"122582061")</f>
        <v>122582061</v>
      </c>
      <c r="R2065" s="210" t="str">
        <f>IFERROR(__xludf.DUMMYFUNCTION("""COMPUTED_VALUE"""),"122582061")</f>
        <v>122582061</v>
      </c>
      <c r="S2065" s="211" t="str">
        <f>IFERROR(__xludf.DUMMYFUNCTION("""COMPUTED_VALUE"""),"3b04351a")</f>
        <v>3b04351a</v>
      </c>
      <c r="T2065" s="211" t="str">
        <f>IFERROR(__xludf.DUMMYFUNCTION("""COMPUTED_VALUE"""),"CV Usaha Logam Jaya ( Bpk Putra )")</f>
        <v>CV Usaha Logam Jaya ( Bpk Putra )</v>
      </c>
      <c r="U2065" s="215">
        <f>IFERROR(__xludf.DUMMYFUNCTION("""COMPUTED_VALUE"""),46014.34872685185)</f>
        <v>46014.34873</v>
      </c>
      <c r="V2065" s="211" t="str">
        <f>IFERROR(__xludf.DUMMYFUNCTION("""COMPUTED_VALUE"""),"Jl. Raya Wringinanom, Sidomoro, Pasinan Lemahputih, Kec. Wringinanom, Kabupaten Gresik, Jawa Timur 61176")</f>
        <v>Jl. Raya Wringinanom, Sidomoro, Pasinan Lemahputih, Kec. Wringinanom, Kabupaten Gresik, Jawa Timur 61176</v>
      </c>
      <c r="W2065" s="211" t="str">
        <f>IFERROR(__xludf.DUMMYFUNCTION("""COMPUTED_VALUE"""),"OUT")</f>
        <v>OUT</v>
      </c>
      <c r="X2065" s="211"/>
    </row>
    <row r="2066">
      <c r="A2066" s="219" t="str">
        <f>IFERROR(__xludf.DUMMYFUNCTION("""COMPUTED_VALUE"""),"1250694")</f>
        <v>1250694</v>
      </c>
      <c r="B2066" s="219" t="str">
        <f>IFERROR(__xludf.DUMMYFUNCTION("""COMPUTED_VALUE"""),"1250694")</f>
        <v>1250694</v>
      </c>
      <c r="C2066" s="220">
        <f>IFERROR(__xludf.DUMMYFUNCTION("""COMPUTED_VALUE"""),45950.636516203704)</f>
        <v>45950.63652</v>
      </c>
      <c r="D2066" s="221" t="str">
        <f>IFERROR(__xludf.DUMMYFUNCTION("""COMPUTED_VALUE"""),"785e0e07")</f>
        <v>785e0e07</v>
      </c>
      <c r="E2066" s="221" t="str">
        <f>IFERROR(__xludf.DUMMYFUNCTION("""COMPUTED_VALUE"""),"Bpk. Sukirno (Bejo)")</f>
        <v>Bpk. Sukirno (Bejo)</v>
      </c>
      <c r="F2066" s="221" t="str">
        <f>IFERROR(__xludf.DUMMYFUNCTION("""COMPUTED_VALUE"""),"8bdbe149")</f>
        <v>8bdbe149</v>
      </c>
      <c r="G2066" s="221" t="str">
        <f>IFERROR(__xludf.DUMMYFUNCTION("""COMPUTED_VALUE"""),"Oksigen 6m3")</f>
        <v>Oksigen 6m3</v>
      </c>
      <c r="H2066" s="221" t="str">
        <f>IFERROR(__xludf.DUMMYFUNCTION("""COMPUTED_VALUE"""),"IN")</f>
        <v>IN</v>
      </c>
      <c r="I2066" s="221" t="str">
        <f>IFERROR(__xludf.DUMMYFUNCTION("""COMPUTED_VALUE"""),"EMPTY")</f>
        <v>EMPTY</v>
      </c>
      <c r="J2066" s="221">
        <f>IFERROR(__xludf.DUMMYFUNCTION("""COMPUTED_VALUE"""),4.0)</f>
        <v>4</v>
      </c>
      <c r="K2066" s="219" t="str">
        <f>IFERROR(__xludf.DUMMYFUNCTION("""COMPUTED_VALUE"""),"1146 1147 11116 11174")</f>
        <v>1146 1147 11116 11174</v>
      </c>
      <c r="L2066" s="221">
        <f>IFERROR(__xludf.DUMMYFUNCTION("""COMPUTED_VALUE"""),0.0)</f>
        <v>0</v>
      </c>
      <c r="M2066" s="221"/>
      <c r="N2066" s="211"/>
      <c r="O2066" s="211"/>
      <c r="Q2066" s="210" t="str">
        <f>IFERROR(__xludf.DUMMYFUNCTION("""COMPUTED_VALUE"""),"122592066")</f>
        <v>122592066</v>
      </c>
      <c r="R2066" s="210" t="str">
        <f>IFERROR(__xludf.DUMMYFUNCTION("""COMPUTED_VALUE"""),"122592066")</f>
        <v>122592066</v>
      </c>
      <c r="S2066" s="211" t="str">
        <f>IFERROR(__xludf.DUMMYFUNCTION("""COMPUTED_VALUE"""),"63fc688a")</f>
        <v>63fc688a</v>
      </c>
      <c r="T2066" s="211" t="str">
        <f>IFERROR(__xludf.DUMMYFUNCTION("""COMPUTED_VALUE"""),"CV Malik Nusantara")</f>
        <v>CV Malik Nusantara</v>
      </c>
      <c r="U2066" s="215">
        <f>IFERROR(__xludf.DUMMYFUNCTION("""COMPUTED_VALUE"""),46014.36880787037)</f>
        <v>46014.36881</v>
      </c>
      <c r="V2066" s="211" t="str">
        <f>IFERROR(__xludf.DUMMYFUNCTION("""COMPUTED_VALUE"""),"Jl. Raya Balongbendo No.12, Suwaluh Utara, Suwaluh, Kec. BalongBendo, Kabupaten Sidoarjo, Jawa Timur 61263")</f>
        <v>Jl. Raya Balongbendo No.12, Suwaluh Utara, Suwaluh, Kec. BalongBendo, Kabupaten Sidoarjo, Jawa Timur 61263</v>
      </c>
      <c r="W2066" s="211" t="str">
        <f>IFERROR(__xludf.DUMMYFUNCTION("""COMPUTED_VALUE"""),"OUT")</f>
        <v>OUT</v>
      </c>
      <c r="X2066" s="211"/>
    </row>
    <row r="2067">
      <c r="A2067" s="219" t="str">
        <f>IFERROR(__xludf.DUMMYFUNCTION("""COMPUTED_VALUE"""),"1250695")</f>
        <v>1250695</v>
      </c>
      <c r="B2067" s="219" t="str">
        <f>IFERROR(__xludf.DUMMYFUNCTION("""COMPUTED_VALUE"""),"1250695")</f>
        <v>1250695</v>
      </c>
      <c r="C2067" s="220">
        <f>IFERROR(__xludf.DUMMYFUNCTION("""COMPUTED_VALUE"""),45950.638240740744)</f>
        <v>45950.63824</v>
      </c>
      <c r="D2067" s="221" t="str">
        <f>IFERROR(__xludf.DUMMYFUNCTION("""COMPUTED_VALUE"""),"dcdf8b31")</f>
        <v>dcdf8b31</v>
      </c>
      <c r="E2067" s="221" t="str">
        <f>IFERROR(__xludf.DUMMYFUNCTION("""COMPUTED_VALUE"""),"Bpk. Samsul (Jetis)")</f>
        <v>Bpk. Samsul (Jetis)</v>
      </c>
      <c r="F2067" s="221" t="str">
        <f>IFERROR(__xludf.DUMMYFUNCTION("""COMPUTED_VALUE"""),"7d2764f1")</f>
        <v>7d2764f1</v>
      </c>
      <c r="G2067" s="221" t="str">
        <f>IFERROR(__xludf.DUMMYFUNCTION("""COMPUTED_VALUE"""),"Oksigen 7m3")</f>
        <v>Oksigen 7m3</v>
      </c>
      <c r="H2067" s="221" t="str">
        <f>IFERROR(__xludf.DUMMYFUNCTION("""COMPUTED_VALUE"""),"IN")</f>
        <v>IN</v>
      </c>
      <c r="I2067" s="221" t="str">
        <f>IFERROR(__xludf.DUMMYFUNCTION("""COMPUTED_VALUE"""),"EMPTY")</f>
        <v>EMPTY</v>
      </c>
      <c r="J2067" s="221">
        <f>IFERROR(__xludf.DUMMYFUNCTION("""COMPUTED_VALUE"""),2.0)</f>
        <v>2</v>
      </c>
      <c r="K2067" s="219" t="str">
        <f>IFERROR(__xludf.DUMMYFUNCTION("""COMPUTED_VALUE"""),"11278 11178")</f>
        <v>11278 11178</v>
      </c>
      <c r="L2067" s="221">
        <f>IFERROR(__xludf.DUMMYFUNCTION("""COMPUTED_VALUE"""),0.0)</f>
        <v>0</v>
      </c>
      <c r="M2067" s="221"/>
      <c r="N2067" s="211"/>
      <c r="O2067" s="211"/>
      <c r="Q2067" s="210" t="str">
        <f>IFERROR(__xludf.DUMMYFUNCTION("""COMPUTED_VALUE"""),"122572067")</f>
        <v>122572067</v>
      </c>
      <c r="R2067" s="210" t="str">
        <f>IFERROR(__xludf.DUMMYFUNCTION("""COMPUTED_VALUE"""),"122572067")</f>
        <v>122572067</v>
      </c>
      <c r="S2067" s="211" t="str">
        <f>IFERROR(__xludf.DUMMYFUNCTION("""COMPUTED_VALUE"""),"17a8e612")</f>
        <v>17a8e612</v>
      </c>
      <c r="T2067" s="211" t="str">
        <f>IFERROR(__xludf.DUMMYFUNCTION("""COMPUTED_VALUE"""),"Flashtech Machinery")</f>
        <v>Flashtech Machinery</v>
      </c>
      <c r="U2067" s="215">
        <f>IFERROR(__xludf.DUMMYFUNCTION("""COMPUTED_VALUE"""),46014.44019675926)</f>
        <v>46014.4402</v>
      </c>
      <c r="V2067" s="211" t="str">
        <f>IFERROR(__xludf.DUMMYFUNCTION("""COMPUTED_VALUE"""),"Pergudangan Point Center blok A no.4, Kemangsen")</f>
        <v>Pergudangan Point Center blok A no.4, Kemangsen</v>
      </c>
      <c r="W2067" s="211" t="str">
        <f>IFERROR(__xludf.DUMMYFUNCTION("""COMPUTED_VALUE"""),"OUT")</f>
        <v>OUT</v>
      </c>
      <c r="X2067" s="211"/>
    </row>
    <row r="2068">
      <c r="A2068" s="219" t="str">
        <f>IFERROR(__xludf.DUMMYFUNCTION("""COMPUTED_VALUE"""),"1250695")</f>
        <v>1250695</v>
      </c>
      <c r="B2068" s="219" t="str">
        <f>IFERROR(__xludf.DUMMYFUNCTION("""COMPUTED_VALUE"""),"1250695")</f>
        <v>1250695</v>
      </c>
      <c r="C2068" s="220">
        <f>IFERROR(__xludf.DUMMYFUNCTION("""COMPUTED_VALUE"""),45950.638240740744)</f>
        <v>45950.63824</v>
      </c>
      <c r="D2068" s="221" t="str">
        <f>IFERROR(__xludf.DUMMYFUNCTION("""COMPUTED_VALUE"""),"dcdf8b31")</f>
        <v>dcdf8b31</v>
      </c>
      <c r="E2068" s="221" t="str">
        <f>IFERROR(__xludf.DUMMYFUNCTION("""COMPUTED_VALUE"""),"Bpk. Samsul (Jetis)")</f>
        <v>Bpk. Samsul (Jetis)</v>
      </c>
      <c r="F2068" s="221" t="str">
        <f>IFERROR(__xludf.DUMMYFUNCTION("""COMPUTED_VALUE"""),"8bdbe149")</f>
        <v>8bdbe149</v>
      </c>
      <c r="G2068" s="221" t="str">
        <f>IFERROR(__xludf.DUMMYFUNCTION("""COMPUTED_VALUE"""),"Oksigen 6m3")</f>
        <v>Oksigen 6m3</v>
      </c>
      <c r="H2068" s="221" t="str">
        <f>IFERROR(__xludf.DUMMYFUNCTION("""COMPUTED_VALUE"""),"IN")</f>
        <v>IN</v>
      </c>
      <c r="I2068" s="221" t="str">
        <f>IFERROR(__xludf.DUMMYFUNCTION("""COMPUTED_VALUE"""),"EMPTY")</f>
        <v>EMPTY</v>
      </c>
      <c r="J2068" s="221">
        <f>IFERROR(__xludf.DUMMYFUNCTION("""COMPUTED_VALUE"""),1.0)</f>
        <v>1</v>
      </c>
      <c r="K2068" s="219" t="str">
        <f>IFERROR(__xludf.DUMMYFUNCTION("""COMPUTED_VALUE"""),"11278")</f>
        <v>11278</v>
      </c>
      <c r="L2068" s="221">
        <f>IFERROR(__xludf.DUMMYFUNCTION("""COMPUTED_VALUE"""),0.0)</f>
        <v>0</v>
      </c>
      <c r="M2068" s="221"/>
      <c r="N2068" s="211"/>
      <c r="O2068" s="211"/>
      <c r="Q2068" s="210" t="str">
        <f>IFERROR(__xludf.DUMMYFUNCTION("""COMPUTED_VALUE"""),"1251006")</f>
        <v>1251006</v>
      </c>
      <c r="R2068" s="210" t="str">
        <f>IFERROR(__xludf.DUMMYFUNCTION("""COMPUTED_VALUE"""),"1251006")</f>
        <v>1251006</v>
      </c>
      <c r="S2068" s="211" t="str">
        <f>IFERROR(__xludf.DUMMYFUNCTION("""COMPUTED_VALUE"""),"a0f0ad2d")</f>
        <v>a0f0ad2d</v>
      </c>
      <c r="T2068" s="211" t="str">
        <f>IFERROR(__xludf.DUMMYFUNCTION("""COMPUTED_VALUE"""),"CV. Yulie Jaya")</f>
        <v>CV. Yulie Jaya</v>
      </c>
      <c r="U2068" s="215">
        <f>IFERROR(__xludf.DUMMYFUNCTION("""COMPUTED_VALUE"""),46014.50011574074)</f>
        <v>46014.50012</v>
      </c>
      <c r="V2068" s="211" t="str">
        <f>IFERROR(__xludf.DUMMYFUNCTION("""COMPUTED_VALUE"""),"JJH4+6RV, Badas, Barengkrajan, Kec. Krian, Kabupaten Sidoarjo, Jawa Timur 61262")</f>
        <v>JJH4+6RV, Badas, Barengkrajan, Kec. Krian, Kabupaten Sidoarjo, Jawa Timur 61262</v>
      </c>
      <c r="W2068" s="211" t="str">
        <f>IFERROR(__xludf.DUMMYFUNCTION("""COMPUTED_VALUE"""),"IN")</f>
        <v>IN</v>
      </c>
      <c r="X2068" s="211"/>
    </row>
    <row r="2069">
      <c r="A2069" s="219" t="str">
        <f>IFERROR(__xludf.DUMMYFUNCTION("""COMPUTED_VALUE"""),"1250696")</f>
        <v>1250696</v>
      </c>
      <c r="B2069" s="219" t="str">
        <f>IFERROR(__xludf.DUMMYFUNCTION("""COMPUTED_VALUE"""),"1250696")</f>
        <v>1250696</v>
      </c>
      <c r="C2069" s="220">
        <f>IFERROR(__xludf.DUMMYFUNCTION("""COMPUTED_VALUE"""),45950.639236111114)</f>
        <v>45950.63924</v>
      </c>
      <c r="D2069" s="221" t="str">
        <f>IFERROR(__xludf.DUMMYFUNCTION("""COMPUTED_VALUE"""),"3bcd7fe6")</f>
        <v>3bcd7fe6</v>
      </c>
      <c r="E2069" s="221" t="str">
        <f>IFERROR(__xludf.DUMMYFUNCTION("""COMPUTED_VALUE"""),"Bpk. Alvin (LB Group)")</f>
        <v>Bpk. Alvin (LB Group)</v>
      </c>
      <c r="F2069" s="221" t="str">
        <f>IFERROR(__xludf.DUMMYFUNCTION("""COMPUTED_VALUE"""),"8bdbe149")</f>
        <v>8bdbe149</v>
      </c>
      <c r="G2069" s="221" t="str">
        <f>IFERROR(__xludf.DUMMYFUNCTION("""COMPUTED_VALUE"""),"Oksigen 6m3")</f>
        <v>Oksigen 6m3</v>
      </c>
      <c r="H2069" s="221" t="str">
        <f>IFERROR(__xludf.DUMMYFUNCTION("""COMPUTED_VALUE"""),"IN")</f>
        <v>IN</v>
      </c>
      <c r="I2069" s="221" t="str">
        <f>IFERROR(__xludf.DUMMYFUNCTION("""COMPUTED_VALUE"""),"EMPTY")</f>
        <v>EMPTY</v>
      </c>
      <c r="J2069" s="221">
        <f>IFERROR(__xludf.DUMMYFUNCTION("""COMPUTED_VALUE"""),2.0)</f>
        <v>2</v>
      </c>
      <c r="K2069" s="219" t="str">
        <f>IFERROR(__xludf.DUMMYFUNCTION("""COMPUTED_VALUE"""),"11229 1121")</f>
        <v>11229 1121</v>
      </c>
      <c r="L2069" s="221">
        <f>IFERROR(__xludf.DUMMYFUNCTION("""COMPUTED_VALUE"""),0.0)</f>
        <v>0</v>
      </c>
      <c r="M2069" s="221"/>
      <c r="N2069" s="211"/>
      <c r="O2069" s="211"/>
      <c r="Q2069" s="210" t="str">
        <f>IFERROR(__xludf.DUMMYFUNCTION("""COMPUTED_VALUE"""),"1250994")</f>
        <v>1250994</v>
      </c>
      <c r="R2069" s="210" t="str">
        <f>IFERROR(__xludf.DUMMYFUNCTION("""COMPUTED_VALUE"""),"1250994")</f>
        <v>1250994</v>
      </c>
      <c r="S2069" s="211" t="str">
        <f>IFERROR(__xludf.DUMMYFUNCTION("""COMPUTED_VALUE"""),"63fc688a")</f>
        <v>63fc688a</v>
      </c>
      <c r="T2069" s="211" t="str">
        <f>IFERROR(__xludf.DUMMYFUNCTION("""COMPUTED_VALUE"""),"CV Malik Nusantara")</f>
        <v>CV Malik Nusantara</v>
      </c>
      <c r="U2069" s="215">
        <f>IFERROR(__xludf.DUMMYFUNCTION("""COMPUTED_VALUE"""),46014.50067129629)</f>
        <v>46014.50067</v>
      </c>
      <c r="V2069" s="211" t="str">
        <f>IFERROR(__xludf.DUMMYFUNCTION("""COMPUTED_VALUE"""),"Jl. Raya Balongbendo No.12, Suwaluh Utara, Suwaluh, Kec. BalongBendo, Kabupaten Sidoarjo, Jawa Timur 61263")</f>
        <v>Jl. Raya Balongbendo No.12, Suwaluh Utara, Suwaluh, Kec. BalongBendo, Kabupaten Sidoarjo, Jawa Timur 61263</v>
      </c>
      <c r="W2069" s="211" t="str">
        <f>IFERROR(__xludf.DUMMYFUNCTION("""COMPUTED_VALUE"""),"IN")</f>
        <v>IN</v>
      </c>
      <c r="X2069" s="211"/>
    </row>
    <row r="2070">
      <c r="A2070" s="219" t="str">
        <f>IFERROR(__xludf.DUMMYFUNCTION("""COMPUTED_VALUE"""),"1250696")</f>
        <v>1250696</v>
      </c>
      <c r="B2070" s="219" t="str">
        <f>IFERROR(__xludf.DUMMYFUNCTION("""COMPUTED_VALUE"""),"1250696")</f>
        <v>1250696</v>
      </c>
      <c r="C2070" s="220">
        <f>IFERROR(__xludf.DUMMYFUNCTION("""COMPUTED_VALUE"""),45950.639236111114)</f>
        <v>45950.63924</v>
      </c>
      <c r="D2070" s="221" t="str">
        <f>IFERROR(__xludf.DUMMYFUNCTION("""COMPUTED_VALUE"""),"3bcd7fe6")</f>
        <v>3bcd7fe6</v>
      </c>
      <c r="E2070" s="221" t="str">
        <f>IFERROR(__xludf.DUMMYFUNCTION("""COMPUTED_VALUE"""),"Bpk. Alvin (LB Group)")</f>
        <v>Bpk. Alvin (LB Group)</v>
      </c>
      <c r="F2070" s="221" t="str">
        <f>IFERROR(__xludf.DUMMYFUNCTION("""COMPUTED_VALUE"""),"f6aab7a9")</f>
        <v>f6aab7a9</v>
      </c>
      <c r="G2070" s="221" t="str">
        <f>IFERROR(__xludf.DUMMYFUNCTION("""COMPUTED_VALUE"""),"Oksigen 6m3 MR")</f>
        <v>Oksigen 6m3 MR</v>
      </c>
      <c r="H2070" s="221" t="str">
        <f>IFERROR(__xludf.DUMMYFUNCTION("""COMPUTED_VALUE"""),"IN")</f>
        <v>IN</v>
      </c>
      <c r="I2070" s="221" t="str">
        <f>IFERROR(__xludf.DUMMYFUNCTION("""COMPUTED_VALUE"""),"CLAIM")</f>
        <v>CLAIM</v>
      </c>
      <c r="J2070" s="221">
        <f>IFERROR(__xludf.DUMMYFUNCTION("""COMPUTED_VALUE"""),2.0)</f>
        <v>2</v>
      </c>
      <c r="K2070" s="221"/>
      <c r="L2070" s="221">
        <f>IFERROR(__xludf.DUMMYFUNCTION("""COMPUTED_VALUE"""),0.0)</f>
        <v>0</v>
      </c>
      <c r="M2070" s="221"/>
      <c r="N2070" s="211"/>
      <c r="O2070" s="211"/>
      <c r="Q2070" s="210" t="str">
        <f>IFERROR(__xludf.DUMMYFUNCTION("""COMPUTED_VALUE"""),"1250995")</f>
        <v>1250995</v>
      </c>
      <c r="R2070" s="210" t="str">
        <f>IFERROR(__xludf.DUMMYFUNCTION("""COMPUTED_VALUE"""),"1250995")</f>
        <v>1250995</v>
      </c>
      <c r="S2070" s="211" t="str">
        <f>IFERROR(__xludf.DUMMYFUNCTION("""COMPUTED_VALUE"""),"2d88931c")</f>
        <v>2d88931c</v>
      </c>
      <c r="T2070" s="211" t="str">
        <f>IFERROR(__xludf.DUMMYFUNCTION("""COMPUTED_VALUE"""),"PT Dunia Berkat Marga Mulya")</f>
        <v>PT Dunia Berkat Marga Mulya</v>
      </c>
      <c r="U2070" s="215">
        <f>IFERROR(__xludf.DUMMYFUNCTION("""COMPUTED_VALUE"""),46014.50133101852)</f>
        <v>46014.50133</v>
      </c>
      <c r="V2070" s="211" t="str">
        <f>IFERROR(__xludf.DUMMYFUNCTION("""COMPUTED_VALUE"""),"JL JABARAN, WATESARI, BALONGBENDO, SIDOARJO, JAWA TIMUR")</f>
        <v>JL JABARAN, WATESARI, BALONGBENDO, SIDOARJO, JAWA TIMUR</v>
      </c>
      <c r="W2070" s="211" t="str">
        <f>IFERROR(__xludf.DUMMYFUNCTION("""COMPUTED_VALUE"""),"IN")</f>
        <v>IN</v>
      </c>
      <c r="X2070" s="211"/>
    </row>
    <row r="2071">
      <c r="A2071" s="219" t="str">
        <f>IFERROR(__xludf.DUMMYFUNCTION("""COMPUTED_VALUE"""),"1250698")</f>
        <v>1250698</v>
      </c>
      <c r="B2071" s="219" t="str">
        <f>IFERROR(__xludf.DUMMYFUNCTION("""COMPUTED_VALUE"""),"1250698")</f>
        <v>1250698</v>
      </c>
      <c r="C2071" s="220">
        <f>IFERROR(__xludf.DUMMYFUNCTION("""COMPUTED_VALUE"""),45950.663148148145)</f>
        <v>45950.66315</v>
      </c>
      <c r="D2071" s="221" t="str">
        <f>IFERROR(__xludf.DUMMYFUNCTION("""COMPUTED_VALUE"""),"4ec68cf6")</f>
        <v>4ec68cf6</v>
      </c>
      <c r="E2071" s="221" t="str">
        <f>IFERROR(__xludf.DUMMYFUNCTION("""COMPUTED_VALUE"""),"CV Sido Mukti Karya")</f>
        <v>CV Sido Mukti Karya</v>
      </c>
      <c r="F2071" s="221" t="str">
        <f>IFERROR(__xludf.DUMMYFUNCTION("""COMPUTED_VALUE"""),"ef306e54")</f>
        <v>ef306e54</v>
      </c>
      <c r="G2071" s="221" t="str">
        <f>IFERROR(__xludf.DUMMYFUNCTION("""COMPUTED_VALUE"""),"Karbondioksida")</f>
        <v>Karbondioksida</v>
      </c>
      <c r="H2071" s="221" t="str">
        <f>IFERROR(__xludf.DUMMYFUNCTION("""COMPUTED_VALUE"""),"IN")</f>
        <v>IN</v>
      </c>
      <c r="I2071" s="221" t="str">
        <f>IFERROR(__xludf.DUMMYFUNCTION("""COMPUTED_VALUE"""),"EMPTY")</f>
        <v>EMPTY</v>
      </c>
      <c r="J2071" s="221">
        <f>IFERROR(__xludf.DUMMYFUNCTION("""COMPUTED_VALUE"""),3.0)</f>
        <v>3</v>
      </c>
      <c r="K2071" s="219" t="str">
        <f>IFERROR(__xludf.DUMMYFUNCTION("""COMPUTED_VALUE"""),"13003 13027 13035")</f>
        <v>13003 13027 13035</v>
      </c>
      <c r="L2071" s="221">
        <f>IFERROR(__xludf.DUMMYFUNCTION("""COMPUTED_VALUE"""),0.0)</f>
        <v>0</v>
      </c>
      <c r="M2071" s="221"/>
      <c r="N2071" s="211"/>
      <c r="O2071" s="211"/>
      <c r="Q2071" s="210" t="str">
        <f>IFERROR(__xludf.DUMMYFUNCTION("""COMPUTED_VALUE"""),"1250984")</f>
        <v>1250984</v>
      </c>
      <c r="R2071" s="210" t="str">
        <f>IFERROR(__xludf.DUMMYFUNCTION("""COMPUTED_VALUE"""),"1250984")</f>
        <v>1250984</v>
      </c>
      <c r="S2071" s="211" t="str">
        <f>IFERROR(__xludf.DUMMYFUNCTION("""COMPUTED_VALUE"""),"3b04351a")</f>
        <v>3b04351a</v>
      </c>
      <c r="T2071" s="211" t="str">
        <f>IFERROR(__xludf.DUMMYFUNCTION("""COMPUTED_VALUE"""),"CV Usaha Logam Jaya ( Bpk Putra )")</f>
        <v>CV Usaha Logam Jaya ( Bpk Putra )</v>
      </c>
      <c r="U2071" s="215">
        <f>IFERROR(__xludf.DUMMYFUNCTION("""COMPUTED_VALUE"""),46014.523668981485)</f>
        <v>46014.52367</v>
      </c>
      <c r="V2071" s="211" t="str">
        <f>IFERROR(__xludf.DUMMYFUNCTION("""COMPUTED_VALUE"""),"Jl. Raya Wringinanom, Sidomoro, Pasinan Lemahputih, Kec. Wringinanom, Kabupaten Gresik, Jawa Timur 61176")</f>
        <v>Jl. Raya Wringinanom, Sidomoro, Pasinan Lemahputih, Kec. Wringinanom, Kabupaten Gresik, Jawa Timur 61176</v>
      </c>
      <c r="W2071" s="211" t="str">
        <f>IFERROR(__xludf.DUMMYFUNCTION("""COMPUTED_VALUE"""),"IN")</f>
        <v>IN</v>
      </c>
      <c r="X2071" s="211"/>
    </row>
    <row r="2072">
      <c r="A2072" s="219" t="str">
        <f>IFERROR(__xludf.DUMMYFUNCTION("""COMPUTED_VALUE"""),"1250698")</f>
        <v>1250698</v>
      </c>
      <c r="B2072" s="219" t="str">
        <f>IFERROR(__xludf.DUMMYFUNCTION("""COMPUTED_VALUE"""),"1250698")</f>
        <v>1250698</v>
      </c>
      <c r="C2072" s="220">
        <f>IFERROR(__xludf.DUMMYFUNCTION("""COMPUTED_VALUE"""),45950.663148148145)</f>
        <v>45950.66315</v>
      </c>
      <c r="D2072" s="221" t="str">
        <f>IFERROR(__xludf.DUMMYFUNCTION("""COMPUTED_VALUE"""),"4ec68cf6")</f>
        <v>4ec68cf6</v>
      </c>
      <c r="E2072" s="221" t="str">
        <f>IFERROR(__xludf.DUMMYFUNCTION("""COMPUTED_VALUE"""),"CV Sido Mukti Karya")</f>
        <v>CV Sido Mukti Karya</v>
      </c>
      <c r="F2072" s="221" t="str">
        <f>IFERROR(__xludf.DUMMYFUNCTION("""COMPUTED_VALUE"""),"7d2764f1")</f>
        <v>7d2764f1</v>
      </c>
      <c r="G2072" s="221" t="str">
        <f>IFERROR(__xludf.DUMMYFUNCTION("""COMPUTED_VALUE"""),"Oksigen 7m3")</f>
        <v>Oksigen 7m3</v>
      </c>
      <c r="H2072" s="221" t="str">
        <f>IFERROR(__xludf.DUMMYFUNCTION("""COMPUTED_VALUE"""),"IN")</f>
        <v>IN</v>
      </c>
      <c r="I2072" s="221" t="str">
        <f>IFERROR(__xludf.DUMMYFUNCTION("""COMPUTED_VALUE"""),"EMPTY")</f>
        <v>EMPTY</v>
      </c>
      <c r="J2072" s="221">
        <f>IFERROR(__xludf.DUMMYFUNCTION("""COMPUTED_VALUE"""),3.0)</f>
        <v>3</v>
      </c>
      <c r="K2072" s="219" t="str">
        <f>IFERROR(__xludf.DUMMYFUNCTION("""COMPUTED_VALUE"""),"11160 11158 11169")</f>
        <v>11160 11158 11169</v>
      </c>
      <c r="L2072" s="221">
        <f>IFERROR(__xludf.DUMMYFUNCTION("""COMPUTED_VALUE"""),0.0)</f>
        <v>0</v>
      </c>
      <c r="M2072" s="221"/>
      <c r="N2072" s="211"/>
      <c r="O2072" s="211"/>
      <c r="Q2072" s="210" t="str">
        <f>IFERROR(__xludf.DUMMYFUNCTION("""COMPUTED_VALUE"""),"1225592068")</f>
        <v>1225592068</v>
      </c>
      <c r="R2072" s="210" t="str">
        <f>IFERROR(__xludf.DUMMYFUNCTION("""COMPUTED_VALUE"""),"1225592068")</f>
        <v>1225592068</v>
      </c>
      <c r="S2072" s="211" t="str">
        <f>IFERROR(__xludf.DUMMYFUNCTION("""COMPUTED_VALUE"""),"b2b5f2c5")</f>
        <v>b2b5f2c5</v>
      </c>
      <c r="T2072" s="211" t="str">
        <f>IFERROR(__xludf.DUMMYFUNCTION("""COMPUTED_VALUE"""),"Bengkel Las Bpk. Ari")</f>
        <v>Bengkel Las Bpk. Ari</v>
      </c>
      <c r="U2072" s="215">
        <f>IFERROR(__xludf.DUMMYFUNCTION("""COMPUTED_VALUE"""),46014.56628472222)</f>
        <v>46014.56628</v>
      </c>
      <c r="V2072" s="211" t="str">
        <f>IFERROR(__xludf.DUMMYFUNCTION("""COMPUTED_VALUE"""),"Sumber Kembar, Wonodadi, Kec. Kutorejo, Kabupaten Mojokerto, Jawa Timur")</f>
        <v>Sumber Kembar, Wonodadi, Kec. Kutorejo, Kabupaten Mojokerto, Jawa Timur</v>
      </c>
      <c r="W2072" s="211" t="str">
        <f>IFERROR(__xludf.DUMMYFUNCTION("""COMPUTED_VALUE"""),"OUT")</f>
        <v>OUT</v>
      </c>
      <c r="X2072" s="211"/>
    </row>
    <row r="2073">
      <c r="A2073" s="219" t="str">
        <f>IFERROR(__xludf.DUMMYFUNCTION("""COMPUTED_VALUE"""),"1250682")</f>
        <v>1250682</v>
      </c>
      <c r="B2073" s="219" t="str">
        <f>IFERROR(__xludf.DUMMYFUNCTION("""COMPUTED_VALUE"""),"1250682")</f>
        <v>1250682</v>
      </c>
      <c r="C2073" s="220">
        <f>IFERROR(__xludf.DUMMYFUNCTION("""COMPUTED_VALUE"""),45950.69126157407)</f>
        <v>45950.69126</v>
      </c>
      <c r="D2073" s="221" t="str">
        <f>IFERROR(__xludf.DUMMYFUNCTION("""COMPUTED_VALUE"""),"b2b5f2c5")</f>
        <v>b2b5f2c5</v>
      </c>
      <c r="E2073" s="221" t="str">
        <f>IFERROR(__xludf.DUMMYFUNCTION("""COMPUTED_VALUE"""),"Bengkel Las Bpk. Ari")</f>
        <v>Bengkel Las Bpk. Ari</v>
      </c>
      <c r="F2073" s="221" t="str">
        <f>IFERROR(__xludf.DUMMYFUNCTION("""COMPUTED_VALUE"""),"8bdbe149")</f>
        <v>8bdbe149</v>
      </c>
      <c r="G2073" s="221" t="str">
        <f>IFERROR(__xludf.DUMMYFUNCTION("""COMPUTED_VALUE"""),"Oksigen 6m3")</f>
        <v>Oksigen 6m3</v>
      </c>
      <c r="H2073" s="221" t="str">
        <f>IFERROR(__xludf.DUMMYFUNCTION("""COMPUTED_VALUE"""),"IN")</f>
        <v>IN</v>
      </c>
      <c r="I2073" s="221" t="str">
        <f>IFERROR(__xludf.DUMMYFUNCTION("""COMPUTED_VALUE"""),"EMPTY")</f>
        <v>EMPTY</v>
      </c>
      <c r="J2073" s="221">
        <f>IFERROR(__xludf.DUMMYFUNCTION("""COMPUTED_VALUE"""),3.0)</f>
        <v>3</v>
      </c>
      <c r="K2073" s="219" t="str">
        <f>IFERROR(__xludf.DUMMYFUNCTION("""COMPUTED_VALUE"""),"11208 11279 11214")</f>
        <v>11208 11279 11214</v>
      </c>
      <c r="L2073" s="221">
        <f>IFERROR(__xludf.DUMMYFUNCTION("""COMPUTED_VALUE"""),0.0)</f>
        <v>0</v>
      </c>
      <c r="M2073" s="221"/>
      <c r="N2073" s="211"/>
      <c r="O2073" s="211"/>
      <c r="Q2073" s="210" t="str">
        <f>IFERROR(__xludf.DUMMYFUNCTION("""COMPUTED_VALUE"""),"250985")</f>
        <v>250985</v>
      </c>
      <c r="R2073" s="210" t="str">
        <f>IFERROR(__xludf.DUMMYFUNCTION("""COMPUTED_VALUE"""),"250985")</f>
        <v>250985</v>
      </c>
      <c r="S2073" s="211" t="str">
        <f>IFERROR(__xludf.DUMMYFUNCTION("""COMPUTED_VALUE"""),"b2b5f2c5")</f>
        <v>b2b5f2c5</v>
      </c>
      <c r="T2073" s="211" t="str">
        <f>IFERROR(__xludf.DUMMYFUNCTION("""COMPUTED_VALUE"""),"Bengkel Las Bpk. Ari")</f>
        <v>Bengkel Las Bpk. Ari</v>
      </c>
      <c r="U2073" s="215">
        <f>IFERROR(__xludf.DUMMYFUNCTION("""COMPUTED_VALUE"""),46015.35417824074)</f>
        <v>46015.35418</v>
      </c>
      <c r="V2073" s="211" t="str">
        <f>IFERROR(__xludf.DUMMYFUNCTION("""COMPUTED_VALUE"""),"Sumber Kembar, Wonodadi, Kec. Kutorejo, Kabupaten Mojokerto, Jawa Timur")</f>
        <v>Sumber Kembar, Wonodadi, Kec. Kutorejo, Kabupaten Mojokerto, Jawa Timur</v>
      </c>
      <c r="W2073" s="211" t="str">
        <f>IFERROR(__xludf.DUMMYFUNCTION("""COMPUTED_VALUE"""),"IN")</f>
        <v>IN</v>
      </c>
      <c r="X2073" s="211"/>
    </row>
    <row r="2074">
      <c r="A2074" s="219" t="str">
        <f>IFERROR(__xludf.DUMMYFUNCTION("""COMPUTED_VALUE"""),"1250682")</f>
        <v>1250682</v>
      </c>
      <c r="B2074" s="219" t="str">
        <f>IFERROR(__xludf.DUMMYFUNCTION("""COMPUTED_VALUE"""),"1250682")</f>
        <v>1250682</v>
      </c>
      <c r="C2074" s="220">
        <f>IFERROR(__xludf.DUMMYFUNCTION("""COMPUTED_VALUE"""),45950.69126157407)</f>
        <v>45950.69126</v>
      </c>
      <c r="D2074" s="221" t="str">
        <f>IFERROR(__xludf.DUMMYFUNCTION("""COMPUTED_VALUE"""),"b2b5f2c5")</f>
        <v>b2b5f2c5</v>
      </c>
      <c r="E2074" s="221" t="str">
        <f>IFERROR(__xludf.DUMMYFUNCTION("""COMPUTED_VALUE"""),"Bengkel Las Bpk. Ari")</f>
        <v>Bengkel Las Bpk. Ari</v>
      </c>
      <c r="F2074" s="221" t="str">
        <f>IFERROR(__xludf.DUMMYFUNCTION("""COMPUTED_VALUE"""),"ef306e54")</f>
        <v>ef306e54</v>
      </c>
      <c r="G2074" s="221" t="str">
        <f>IFERROR(__xludf.DUMMYFUNCTION("""COMPUTED_VALUE"""),"Karbondioksida")</f>
        <v>Karbondioksida</v>
      </c>
      <c r="H2074" s="221" t="str">
        <f>IFERROR(__xludf.DUMMYFUNCTION("""COMPUTED_VALUE"""),"IN")</f>
        <v>IN</v>
      </c>
      <c r="I2074" s="221" t="str">
        <f>IFERROR(__xludf.DUMMYFUNCTION("""COMPUTED_VALUE"""),"EMPTY")</f>
        <v>EMPTY</v>
      </c>
      <c r="J2074" s="221">
        <f>IFERROR(__xludf.DUMMYFUNCTION("""COMPUTED_VALUE"""),2.0)</f>
        <v>2</v>
      </c>
      <c r="K2074" s="219" t="str">
        <f>IFERROR(__xludf.DUMMYFUNCTION("""COMPUTED_VALUE"""),"13010 13002")</f>
        <v>13010 13002</v>
      </c>
      <c r="L2074" s="221">
        <f>IFERROR(__xludf.DUMMYFUNCTION("""COMPUTED_VALUE"""),0.0)</f>
        <v>0</v>
      </c>
      <c r="M2074" s="221"/>
      <c r="N2074" s="211"/>
      <c r="O2074" s="211"/>
      <c r="Q2074" s="210" t="str">
        <f>IFERROR(__xludf.DUMMYFUNCTION("""COMPUTED_VALUE"""),"1225742073")</f>
        <v>1225742073</v>
      </c>
      <c r="R2074" s="210" t="str">
        <f>IFERROR(__xludf.DUMMYFUNCTION("""COMPUTED_VALUE"""),"1225742073")</f>
        <v>1225742073</v>
      </c>
      <c r="S2074" s="211" t="str">
        <f>IFERROR(__xludf.DUMMYFUNCTION("""COMPUTED_VALUE"""),"e86baf3b")</f>
        <v>e86baf3b</v>
      </c>
      <c r="T2074" s="211" t="str">
        <f>IFERROR(__xludf.DUMMYFUNCTION("""COMPUTED_VALUE"""),"PT GEMILANG CIPTA WAWASAN")</f>
        <v>PT GEMILANG CIPTA WAWASAN</v>
      </c>
      <c r="U2074" s="215">
        <f>IFERROR(__xludf.DUMMYFUNCTION("""COMPUTED_VALUE"""),46015.36939814815)</f>
        <v>46015.3694</v>
      </c>
      <c r="V2074" s="211" t="str">
        <f>IFERROR(__xludf.DUMMYFUNCTION("""COMPUTED_VALUE"""),"JL TEBET RAYA, 2A, TEBET BARAT, TEBET, KOTA ADM, JAKARTA SELATAN, DKI JAKARTA")</f>
        <v>JL TEBET RAYA, 2A, TEBET BARAT, TEBET, KOTA ADM, JAKARTA SELATAN, DKI JAKARTA</v>
      </c>
      <c r="W2074" s="211" t="str">
        <f>IFERROR(__xludf.DUMMYFUNCTION("""COMPUTED_VALUE"""),"OUT")</f>
        <v>OUT</v>
      </c>
      <c r="X2074" s="211"/>
    </row>
    <row r="2075">
      <c r="A2075" s="219" t="str">
        <f>IFERROR(__xludf.DUMMYFUNCTION("""COMPUTED_VALUE"""),"1025161489")</f>
        <v>1025161489</v>
      </c>
      <c r="B2075" s="219" t="str">
        <f>IFERROR(__xludf.DUMMYFUNCTION("""COMPUTED_VALUE"""),"1025161489")</f>
        <v>1025161489</v>
      </c>
      <c r="C2075" s="220">
        <f>IFERROR(__xludf.DUMMYFUNCTION("""COMPUTED_VALUE"""),45951.426354166666)</f>
        <v>45951.42635</v>
      </c>
      <c r="D2075" s="221" t="str">
        <f>IFERROR(__xludf.DUMMYFUNCTION("""COMPUTED_VALUE"""),"3bcd7fe6")</f>
        <v>3bcd7fe6</v>
      </c>
      <c r="E2075" s="221" t="str">
        <f>IFERROR(__xludf.DUMMYFUNCTION("""COMPUTED_VALUE"""),"Bpk. Alvin (LB Group)")</f>
        <v>Bpk. Alvin (LB Group)</v>
      </c>
      <c r="F2075" s="221" t="str">
        <f>IFERROR(__xludf.DUMMYFUNCTION("""COMPUTED_VALUE"""),"7d2764f1")</f>
        <v>7d2764f1</v>
      </c>
      <c r="G2075" s="221" t="str">
        <f>IFERROR(__xludf.DUMMYFUNCTION("""COMPUTED_VALUE"""),"Oksigen 7m3")</f>
        <v>Oksigen 7m3</v>
      </c>
      <c r="H2075" s="221" t="str">
        <f>IFERROR(__xludf.DUMMYFUNCTION("""COMPUTED_VALUE"""),"OUT")</f>
        <v>OUT</v>
      </c>
      <c r="I2075" s="221" t="str">
        <f>IFERROR(__xludf.DUMMYFUNCTION("""COMPUTED_VALUE"""),"NORMAL")</f>
        <v>NORMAL</v>
      </c>
      <c r="J2075" s="221">
        <f>IFERROR(__xludf.DUMMYFUNCTION("""COMPUTED_VALUE"""),5.0)</f>
        <v>5</v>
      </c>
      <c r="K2075" s="219" t="str">
        <f>IFERROR(__xludf.DUMMYFUNCTION("""COMPUTED_VALUE"""),"11213 11229 11178 11216 11218")</f>
        <v>11213 11229 11178 11216 11218</v>
      </c>
      <c r="L2075" s="221">
        <f>IFERROR(__xludf.DUMMYFUNCTION("""COMPUTED_VALUE"""),55000.0)</f>
        <v>55000</v>
      </c>
      <c r="M2075" s="221"/>
      <c r="N2075" s="211"/>
      <c r="O2075" s="211"/>
      <c r="Q2075" s="210" t="str">
        <f>IFERROR(__xludf.DUMMYFUNCTION("""COMPUTED_VALUE"""),"1225602075")</f>
        <v>1225602075</v>
      </c>
      <c r="R2075" s="210" t="str">
        <f>IFERROR(__xludf.DUMMYFUNCTION("""COMPUTED_VALUE"""),"1225602075")</f>
        <v>1225602075</v>
      </c>
      <c r="S2075" s="211" t="str">
        <f>IFERROR(__xludf.DUMMYFUNCTION("""COMPUTED_VALUE"""),"b2b5f2c5")</f>
        <v>b2b5f2c5</v>
      </c>
      <c r="T2075" s="211" t="str">
        <f>IFERROR(__xludf.DUMMYFUNCTION("""COMPUTED_VALUE"""),"Bengkel Las Bpk. Ari")</f>
        <v>Bengkel Las Bpk. Ari</v>
      </c>
      <c r="U2075" s="215">
        <f>IFERROR(__xludf.DUMMYFUNCTION("""COMPUTED_VALUE"""),46015.39083333333)</f>
        <v>46015.39083</v>
      </c>
      <c r="V2075" s="211" t="str">
        <f>IFERROR(__xludf.DUMMYFUNCTION("""COMPUTED_VALUE"""),"Sumber Kembar, Wonodadi, Kec. Kutorejo, Kabupaten Mojokerto, Jawa Timur")</f>
        <v>Sumber Kembar, Wonodadi, Kec. Kutorejo, Kabupaten Mojokerto, Jawa Timur</v>
      </c>
      <c r="W2075" s="211" t="str">
        <f>IFERROR(__xludf.DUMMYFUNCTION("""COMPUTED_VALUE"""),"OUT")</f>
        <v>OUT</v>
      </c>
      <c r="X2075" s="211"/>
    </row>
    <row r="2076">
      <c r="A2076" s="219" t="str">
        <f>IFERROR(__xludf.DUMMYFUNCTION("""COMPUTED_VALUE"""),"4102531467")</f>
        <v>4102531467</v>
      </c>
      <c r="B2076" s="219" t="str">
        <f>IFERROR(__xludf.DUMMYFUNCTION("""COMPUTED_VALUE"""),"4102531467")</f>
        <v>4102531467</v>
      </c>
      <c r="C2076" s="220">
        <f>IFERROR(__xludf.DUMMYFUNCTION("""COMPUTED_VALUE"""),45951.43142361111)</f>
        <v>45951.43142</v>
      </c>
      <c r="D2076" s="221" t="str">
        <f>IFERROR(__xludf.DUMMYFUNCTION("""COMPUTED_VALUE"""),"3bcd7fe6")</f>
        <v>3bcd7fe6</v>
      </c>
      <c r="E2076" s="221" t="str">
        <f>IFERROR(__xludf.DUMMYFUNCTION("""COMPUTED_VALUE"""),"Bpk. Alvin (LB Group)")</f>
        <v>Bpk. Alvin (LB Group)</v>
      </c>
      <c r="F2076" s="221" t="str">
        <f>IFERROR(__xludf.DUMMYFUNCTION("""COMPUTED_VALUE"""),"f6aab7a9")</f>
        <v>f6aab7a9</v>
      </c>
      <c r="G2076" s="221" t="str">
        <f>IFERROR(__xludf.DUMMYFUNCTION("""COMPUTED_VALUE"""),"Oksigen 6m3 MR")</f>
        <v>Oksigen 6m3 MR</v>
      </c>
      <c r="H2076" s="221" t="str">
        <f>IFERROR(__xludf.DUMMYFUNCTION("""COMPUTED_VALUE"""),"OTHER")</f>
        <v>OTHER</v>
      </c>
      <c r="I2076" s="221" t="str">
        <f>IFERROR(__xludf.DUMMYFUNCTION("""COMPUTED_VALUE"""),"RETUR CLAIM")</f>
        <v>RETUR CLAIM</v>
      </c>
      <c r="J2076" s="221">
        <f>IFERROR(__xludf.DUMMYFUNCTION("""COMPUTED_VALUE"""),2.0)</f>
        <v>2</v>
      </c>
      <c r="K2076" s="219" t="str">
        <f>IFERROR(__xludf.DUMMYFUNCTION("""COMPUTED_VALUE"""),"01 02")</f>
        <v>01 02</v>
      </c>
      <c r="L2076" s="221">
        <f>IFERROR(__xludf.DUMMYFUNCTION("""COMPUTED_VALUE"""),50000.0)</f>
        <v>50000</v>
      </c>
      <c r="M2076" s="221"/>
      <c r="N2076" s="211"/>
      <c r="O2076" s="211"/>
      <c r="Q2076" s="210" t="str">
        <f>IFERROR(__xludf.DUMMYFUNCTION("""COMPUTED_VALUE"""),"122552076")</f>
        <v>122552076</v>
      </c>
      <c r="R2076" s="210" t="str">
        <f>IFERROR(__xludf.DUMMYFUNCTION("""COMPUTED_VALUE"""),"122552076")</f>
        <v>122552076</v>
      </c>
      <c r="S2076" s="211" t="str">
        <f>IFERROR(__xludf.DUMMYFUNCTION("""COMPUTED_VALUE"""),"03ff52db")</f>
        <v>03ff52db</v>
      </c>
      <c r="T2076" s="211" t="str">
        <f>IFERROR(__xludf.DUMMYFUNCTION("""COMPUTED_VALUE"""),"Aneka Teknik Logam")</f>
        <v>Aneka Teknik Logam</v>
      </c>
      <c r="U2076" s="215">
        <f>IFERROR(__xludf.DUMMYFUNCTION("""COMPUTED_VALUE"""),46015.42946759259)</f>
        <v>46015.42947</v>
      </c>
      <c r="V2076" s="211" t="str">
        <f>IFERROR(__xludf.DUMMYFUNCTION("""COMPUTED_VALUE"""),"HH8G+MQC, Areng Areng, Tropodo, Kec. Krian, Kabupaten Sidoarjo, Jawa Timur 61262")</f>
        <v>HH8G+MQC, Areng Areng, Tropodo, Kec. Krian, Kabupaten Sidoarjo, Jawa Timur 61262</v>
      </c>
      <c r="W2076" s="211" t="str">
        <f>IFERROR(__xludf.DUMMYFUNCTION("""COMPUTED_VALUE"""),"OUT")</f>
        <v>OUT</v>
      </c>
      <c r="X2076" s="211"/>
    </row>
    <row r="2077">
      <c r="A2077" s="219" t="str">
        <f>IFERROR(__xludf.DUMMYFUNCTION("""COMPUTED_VALUE"""),"1025601496")</f>
        <v>1025601496</v>
      </c>
      <c r="B2077" s="219" t="str">
        <f>IFERROR(__xludf.DUMMYFUNCTION("""COMPUTED_VALUE"""),"1025601496")</f>
        <v>1025601496</v>
      </c>
      <c r="C2077" s="220">
        <f>IFERROR(__xludf.DUMMYFUNCTION("""COMPUTED_VALUE"""),45951.433912037035)</f>
        <v>45951.43391</v>
      </c>
      <c r="D2077" s="221" t="str">
        <f>IFERROR(__xludf.DUMMYFUNCTION("""COMPUTED_VALUE"""),"e86baf3b")</f>
        <v>e86baf3b</v>
      </c>
      <c r="E2077" s="221" t="str">
        <f>IFERROR(__xludf.DUMMYFUNCTION("""COMPUTED_VALUE"""),"PT GEMILANG CIPTA WAWASAN")</f>
        <v>PT GEMILANG CIPTA WAWASAN</v>
      </c>
      <c r="F2077" s="221" t="str">
        <f>IFERROR(__xludf.DUMMYFUNCTION("""COMPUTED_VALUE"""),"66af7c72")</f>
        <v>66af7c72</v>
      </c>
      <c r="G2077" s="221" t="str">
        <f>IFERROR(__xludf.DUMMYFUNCTION("""COMPUTED_VALUE"""),"Argon 6m3")</f>
        <v>Argon 6m3</v>
      </c>
      <c r="H2077" s="221" t="str">
        <f>IFERROR(__xludf.DUMMYFUNCTION("""COMPUTED_VALUE"""),"OUT")</f>
        <v>OUT</v>
      </c>
      <c r="I2077" s="221" t="str">
        <f>IFERROR(__xludf.DUMMYFUNCTION("""COMPUTED_VALUE"""),"NORMAL")</f>
        <v>NORMAL</v>
      </c>
      <c r="J2077" s="221">
        <f>IFERROR(__xludf.DUMMYFUNCTION("""COMPUTED_VALUE"""),9.0)</f>
        <v>9</v>
      </c>
      <c r="K2077" s="219" t="str">
        <f>IFERROR(__xludf.DUMMYFUNCTION("""COMPUTED_VALUE"""),"12015 12070 12063 12026 12010 12024 12061 12029 12036")</f>
        <v>12015 12070 12063 12026 12010 12024 12061 12029 12036</v>
      </c>
      <c r="L2077" s="221">
        <f>IFERROR(__xludf.DUMMYFUNCTION("""COMPUTED_VALUE"""),185000.0)</f>
        <v>185000</v>
      </c>
      <c r="M2077" s="221"/>
      <c r="N2077" s="211"/>
      <c r="O2077" s="211"/>
      <c r="Q2077" s="210" t="str">
        <f>IFERROR(__xludf.DUMMYFUNCTION("""COMPUTED_VALUE"""),"1225402077")</f>
        <v>1225402077</v>
      </c>
      <c r="R2077" s="210" t="str">
        <f>IFERROR(__xludf.DUMMYFUNCTION("""COMPUTED_VALUE"""),"1225402077")</f>
        <v>1225402077</v>
      </c>
      <c r="S2077" s="211" t="str">
        <f>IFERROR(__xludf.DUMMYFUNCTION("""COMPUTED_VALUE"""),"785e0e07")</f>
        <v>785e0e07</v>
      </c>
      <c r="T2077" s="211" t="str">
        <f>IFERROR(__xludf.DUMMYFUNCTION("""COMPUTED_VALUE"""),"Bpk. Sukirno (Bejo)")</f>
        <v>Bpk. Sukirno (Bejo)</v>
      </c>
      <c r="U2077" s="215">
        <f>IFERROR(__xludf.DUMMYFUNCTION("""COMPUTED_VALUE"""),46015.43262731482)</f>
        <v>46015.43263</v>
      </c>
      <c r="V2077" s="211" t="str">
        <f>IFERROR(__xludf.DUMMYFUNCTION("""COMPUTED_VALUE"""),"Krajan I, Wringinanom, Kec. Wringinanom, Kabupaten Gresik, Jawa Timur 61176")</f>
        <v>Krajan I, Wringinanom, Kec. Wringinanom, Kabupaten Gresik, Jawa Timur 61176</v>
      </c>
      <c r="W2077" s="211" t="str">
        <f>IFERROR(__xludf.DUMMYFUNCTION("""COMPUTED_VALUE"""),"OUT")</f>
        <v>OUT</v>
      </c>
      <c r="X2077" s="211"/>
    </row>
    <row r="2078">
      <c r="A2078" s="219" t="str">
        <f>IFERROR(__xludf.DUMMYFUNCTION("""COMPUTED_VALUE"""),"1025341498")</f>
        <v>1025341498</v>
      </c>
      <c r="B2078" s="219" t="str">
        <f>IFERROR(__xludf.DUMMYFUNCTION("""COMPUTED_VALUE"""),"1025341498")</f>
        <v>1025341498</v>
      </c>
      <c r="C2078" s="220">
        <f>IFERROR(__xludf.DUMMYFUNCTION("""COMPUTED_VALUE"""),45951.44097222222)</f>
        <v>45951.44097</v>
      </c>
      <c r="D2078" s="221" t="str">
        <f>IFERROR(__xludf.DUMMYFUNCTION("""COMPUTED_VALUE"""),"01158be1")</f>
        <v>01158be1</v>
      </c>
      <c r="E2078" s="221" t="str">
        <f>IFERROR(__xludf.DUMMYFUNCTION("""COMPUTED_VALUE"""),"GYF")</f>
        <v>GYF</v>
      </c>
      <c r="F2078" s="221" t="str">
        <f>IFERROR(__xludf.DUMMYFUNCTION("""COMPUTED_VALUE"""),"8bdbe149")</f>
        <v>8bdbe149</v>
      </c>
      <c r="G2078" s="221" t="str">
        <f>IFERROR(__xludf.DUMMYFUNCTION("""COMPUTED_VALUE"""),"Oksigen 6m3")</f>
        <v>Oksigen 6m3</v>
      </c>
      <c r="H2078" s="221" t="str">
        <f>IFERROR(__xludf.DUMMYFUNCTION("""COMPUTED_VALUE"""),"OUT")</f>
        <v>OUT</v>
      </c>
      <c r="I2078" s="221" t="str">
        <f>IFERROR(__xludf.DUMMYFUNCTION("""COMPUTED_VALUE"""),"NORMAL")</f>
        <v>NORMAL</v>
      </c>
      <c r="J2078" s="221">
        <f>IFERROR(__xludf.DUMMYFUNCTION("""COMPUTED_VALUE"""),10.0)</f>
        <v>10</v>
      </c>
      <c r="K2078" s="219" t="str">
        <f>IFERROR(__xludf.DUMMYFUNCTION("""COMPUTED_VALUE"""),"1195 11289 11177 11278 1147 1139 11207 11265 1111 11287")</f>
        <v>1195 11289 11177 11278 1147 1139 11207 11265 1111 11287</v>
      </c>
      <c r="L2078" s="221">
        <f>IFERROR(__xludf.DUMMYFUNCTION("""COMPUTED_VALUE"""),45000.0)</f>
        <v>45000</v>
      </c>
      <c r="M2078" s="221"/>
      <c r="N2078" s="211"/>
      <c r="O2078" s="211"/>
      <c r="Q2078" s="210" t="str">
        <f>IFERROR(__xludf.DUMMYFUNCTION("""COMPUTED_VALUE"""),"1251016")</f>
        <v>1251016</v>
      </c>
      <c r="R2078" s="210" t="str">
        <f>IFERROR(__xludf.DUMMYFUNCTION("""COMPUTED_VALUE"""),"1251016")</f>
        <v>1251016</v>
      </c>
      <c r="S2078" s="211" t="str">
        <f>IFERROR(__xludf.DUMMYFUNCTION("""COMPUTED_VALUE"""),"880b1d17")</f>
        <v>880b1d17</v>
      </c>
      <c r="T2078" s="211" t="str">
        <f>IFERROR(__xludf.DUMMYFUNCTION("""COMPUTED_VALUE"""),"Bpk. Suyadi")</f>
        <v>Bpk. Suyadi</v>
      </c>
      <c r="U2078" s="215">
        <f>IFERROR(__xludf.DUMMYFUNCTION("""COMPUTED_VALUE"""),46015.444236111114)</f>
        <v>46015.44424</v>
      </c>
      <c r="V2078" s="211" t="str">
        <f>IFERROR(__xludf.DUMMYFUNCTION("""COMPUTED_VALUE"""),"Ds. Gading RT. 12, RW. 04 Mindugading. Kec. Tarik Kab. Sidoarjo")</f>
        <v>Ds. Gading RT. 12, RW. 04 Mindugading. Kec. Tarik Kab. Sidoarjo</v>
      </c>
      <c r="W2078" s="211" t="str">
        <f>IFERROR(__xludf.DUMMYFUNCTION("""COMPUTED_VALUE"""),"IN")</f>
        <v>IN</v>
      </c>
      <c r="X2078" s="211"/>
    </row>
    <row r="2079">
      <c r="A2079" s="219" t="str">
        <f>IFERROR(__xludf.DUMMYFUNCTION("""COMPUTED_VALUE"""),"1250699")</f>
        <v>1250699</v>
      </c>
      <c r="B2079" s="219" t="str">
        <f>IFERROR(__xludf.DUMMYFUNCTION("""COMPUTED_VALUE"""),"1250699")</f>
        <v>1250699</v>
      </c>
      <c r="C2079" s="220">
        <f>IFERROR(__xludf.DUMMYFUNCTION("""COMPUTED_VALUE"""),45951.52545138889)</f>
        <v>45951.52545</v>
      </c>
      <c r="D2079" s="221" t="str">
        <f>IFERROR(__xludf.DUMMYFUNCTION("""COMPUTED_VALUE"""),"ce83e171")</f>
        <v>ce83e171</v>
      </c>
      <c r="E2079" s="221" t="str">
        <f>IFERROR(__xludf.DUMMYFUNCTION("""COMPUTED_VALUE"""),"Bpk. Sulaiman")</f>
        <v>Bpk. Sulaiman</v>
      </c>
      <c r="F2079" s="221" t="str">
        <f>IFERROR(__xludf.DUMMYFUNCTION("""COMPUTED_VALUE"""),"7d2764f1")</f>
        <v>7d2764f1</v>
      </c>
      <c r="G2079" s="221" t="str">
        <f>IFERROR(__xludf.DUMMYFUNCTION("""COMPUTED_VALUE"""),"Oksigen 7m3")</f>
        <v>Oksigen 7m3</v>
      </c>
      <c r="H2079" s="221" t="str">
        <f>IFERROR(__xludf.DUMMYFUNCTION("""COMPUTED_VALUE"""),"IN")</f>
        <v>IN</v>
      </c>
      <c r="I2079" s="221" t="str">
        <f>IFERROR(__xludf.DUMMYFUNCTION("""COMPUTED_VALUE"""),"EMPTY")</f>
        <v>EMPTY</v>
      </c>
      <c r="J2079" s="221">
        <f>IFERROR(__xludf.DUMMYFUNCTION("""COMPUTED_VALUE"""),3.0)</f>
        <v>3</v>
      </c>
      <c r="K2079" s="219" t="str">
        <f>IFERROR(__xludf.DUMMYFUNCTION("""COMPUTED_VALUE"""),"11172 11222 11144")</f>
        <v>11172 11222 11144</v>
      </c>
      <c r="L2079" s="221">
        <f>IFERROR(__xludf.DUMMYFUNCTION("""COMPUTED_VALUE"""),0.0)</f>
        <v>0</v>
      </c>
      <c r="M2079" s="221"/>
      <c r="N2079" s="211"/>
      <c r="O2079" s="211"/>
      <c r="Q2079" s="210" t="str">
        <f>IFERROR(__xludf.DUMMYFUNCTION("""COMPUTED_VALUE"""),"1250996")</f>
        <v>1250996</v>
      </c>
      <c r="R2079" s="210" t="str">
        <f>IFERROR(__xludf.DUMMYFUNCTION("""COMPUTED_VALUE"""),"1250996")</f>
        <v>1250996</v>
      </c>
      <c r="S2079" s="211" t="str">
        <f>IFERROR(__xludf.DUMMYFUNCTION("""COMPUTED_VALUE"""),"e86baf3b")</f>
        <v>e86baf3b</v>
      </c>
      <c r="T2079" s="211" t="str">
        <f>IFERROR(__xludf.DUMMYFUNCTION("""COMPUTED_VALUE"""),"PT GEMILANG CIPTA WAWASAN")</f>
        <v>PT GEMILANG CIPTA WAWASAN</v>
      </c>
      <c r="U2079" s="215">
        <f>IFERROR(__xludf.DUMMYFUNCTION("""COMPUTED_VALUE"""),46015.46444444444)</f>
        <v>46015.46444</v>
      </c>
      <c r="V2079" s="211" t="str">
        <f>IFERROR(__xludf.DUMMYFUNCTION("""COMPUTED_VALUE"""),"JL TEBET RAYA, 2A, TEBET BARAT, TEBET, KOTA ADM, JAKARTA SELATAN, DKI JAKARTA")</f>
        <v>JL TEBET RAYA, 2A, TEBET BARAT, TEBET, KOTA ADM, JAKARTA SELATAN, DKI JAKARTA</v>
      </c>
      <c r="W2079" s="211" t="str">
        <f>IFERROR(__xludf.DUMMYFUNCTION("""COMPUTED_VALUE"""),"IN")</f>
        <v>IN</v>
      </c>
      <c r="X2079" s="211"/>
    </row>
    <row r="2080">
      <c r="A2080" s="219" t="str">
        <f>IFERROR(__xludf.DUMMYFUNCTION("""COMPUTED_VALUE"""),"1250700")</f>
        <v>1250700</v>
      </c>
      <c r="B2080" s="219" t="str">
        <f>IFERROR(__xludf.DUMMYFUNCTION("""COMPUTED_VALUE"""),"1250700")</f>
        <v>1250700</v>
      </c>
      <c r="C2080" s="220">
        <f>IFERROR(__xludf.DUMMYFUNCTION("""COMPUTED_VALUE"""),45951.525925925926)</f>
        <v>45951.52593</v>
      </c>
      <c r="D2080" s="221" t="str">
        <f>IFERROR(__xludf.DUMMYFUNCTION("""COMPUTED_VALUE"""),"b0735da4")</f>
        <v>b0735da4</v>
      </c>
      <c r="E2080" s="221" t="str">
        <f>IFERROR(__xludf.DUMMYFUNCTION("""COMPUTED_VALUE"""),"Bpk. Amer Ciro")</f>
        <v>Bpk. Amer Ciro</v>
      </c>
      <c r="F2080" s="221" t="str">
        <f>IFERROR(__xludf.DUMMYFUNCTION("""COMPUTED_VALUE"""),"7d2764f1")</f>
        <v>7d2764f1</v>
      </c>
      <c r="G2080" s="221" t="str">
        <f>IFERROR(__xludf.DUMMYFUNCTION("""COMPUTED_VALUE"""),"Oksigen 7m3")</f>
        <v>Oksigen 7m3</v>
      </c>
      <c r="H2080" s="221" t="str">
        <f>IFERROR(__xludf.DUMMYFUNCTION("""COMPUTED_VALUE"""),"IN")</f>
        <v>IN</v>
      </c>
      <c r="I2080" s="221" t="str">
        <f>IFERROR(__xludf.DUMMYFUNCTION("""COMPUTED_VALUE"""),"EMPTY")</f>
        <v>EMPTY</v>
      </c>
      <c r="J2080" s="221">
        <f>IFERROR(__xludf.DUMMYFUNCTION("""COMPUTED_VALUE"""),2.0)</f>
        <v>2</v>
      </c>
      <c r="K2080" s="219" t="str">
        <f>IFERROR(__xludf.DUMMYFUNCTION("""COMPUTED_VALUE"""),"11146 11164")</f>
        <v>11146 11164</v>
      </c>
      <c r="L2080" s="221">
        <f>IFERROR(__xludf.DUMMYFUNCTION("""COMPUTED_VALUE"""),0.0)</f>
        <v>0</v>
      </c>
      <c r="M2080" s="221"/>
      <c r="N2080" s="211"/>
      <c r="O2080" s="211"/>
      <c r="Q2080" s="210" t="str">
        <f>IFERROR(__xludf.DUMMYFUNCTION("""COMPUTED_VALUE"""),"1250997")</f>
        <v>1250997</v>
      </c>
      <c r="R2080" s="210" t="str">
        <f>IFERROR(__xludf.DUMMYFUNCTION("""COMPUTED_VALUE"""),"1250997")</f>
        <v>1250997</v>
      </c>
      <c r="S2080" s="211" t="str">
        <f>IFERROR(__xludf.DUMMYFUNCTION("""COMPUTED_VALUE"""),"01158be1")</f>
        <v>01158be1</v>
      </c>
      <c r="T2080" s="211" t="str">
        <f>IFERROR(__xludf.DUMMYFUNCTION("""COMPUTED_VALUE"""),"GYF")</f>
        <v>GYF</v>
      </c>
      <c r="U2080" s="215">
        <f>IFERROR(__xludf.DUMMYFUNCTION("""COMPUTED_VALUE"""),46015.46538194444)</f>
        <v>46015.46538</v>
      </c>
      <c r="V2080" s="211" t="str">
        <f>IFERROR(__xludf.DUMMYFUNCTION("""COMPUTED_VALUE"""),"Kangkungan, Lengkong, Kec. Mojoanyar, Kabupaten Mojokerto, Jawa Timur")</f>
        <v>Kangkungan, Lengkong, Kec. Mojoanyar, Kabupaten Mojokerto, Jawa Timur</v>
      </c>
      <c r="W2080" s="211" t="str">
        <f>IFERROR(__xludf.DUMMYFUNCTION("""COMPUTED_VALUE"""),"IN")</f>
        <v>IN</v>
      </c>
      <c r="X2080" s="211"/>
    </row>
    <row r="2081">
      <c r="A2081" s="219" t="str">
        <f>IFERROR(__xludf.DUMMYFUNCTION("""COMPUTED_VALUE"""),"1025241499")</f>
        <v>1025241499</v>
      </c>
      <c r="B2081" s="219" t="str">
        <f>IFERROR(__xludf.DUMMYFUNCTION("""COMPUTED_VALUE"""),"1025241499")</f>
        <v>1025241499</v>
      </c>
      <c r="C2081" s="220">
        <f>IFERROR(__xludf.DUMMYFUNCTION("""COMPUTED_VALUE"""),45951.53780092593)</f>
        <v>45951.5378</v>
      </c>
      <c r="D2081" s="221" t="str">
        <f>IFERROR(__xludf.DUMMYFUNCTION("""COMPUTED_VALUE"""),"ec231cc9")</f>
        <v>ec231cc9</v>
      </c>
      <c r="E2081" s="221" t="str">
        <f>IFERROR(__xludf.DUMMYFUNCTION("""COMPUTED_VALUE"""),"Bpk. Kohir (Maintenance Velg)")</f>
        <v>Bpk. Kohir (Maintenance Velg)</v>
      </c>
      <c r="F2081" s="221" t="str">
        <f>IFERROR(__xludf.DUMMYFUNCTION("""COMPUTED_VALUE"""),"8bdbe149")</f>
        <v>8bdbe149</v>
      </c>
      <c r="G2081" s="221" t="str">
        <f>IFERROR(__xludf.DUMMYFUNCTION("""COMPUTED_VALUE"""),"Oksigen 6m3")</f>
        <v>Oksigen 6m3</v>
      </c>
      <c r="H2081" s="221" t="str">
        <f>IFERROR(__xludf.DUMMYFUNCTION("""COMPUTED_VALUE"""),"OUT")</f>
        <v>OUT</v>
      </c>
      <c r="I2081" s="221" t="str">
        <f>IFERROR(__xludf.DUMMYFUNCTION("""COMPUTED_VALUE"""),"NORMAL")</f>
        <v>NORMAL</v>
      </c>
      <c r="J2081" s="221">
        <f>IFERROR(__xludf.DUMMYFUNCTION("""COMPUTED_VALUE"""),5.0)</f>
        <v>5</v>
      </c>
      <c r="K2081" s="219" t="str">
        <f>IFERROR(__xludf.DUMMYFUNCTION("""COMPUTED_VALUE"""),"11279 1146 1121 1129 11116")</f>
        <v>11279 1146 1121 1129 11116</v>
      </c>
      <c r="L2081" s="221">
        <f>IFERROR(__xludf.DUMMYFUNCTION("""COMPUTED_VALUE"""),55000.0)</f>
        <v>55000</v>
      </c>
      <c r="M2081" s="221"/>
      <c r="N2081" s="211"/>
      <c r="O2081" s="211"/>
      <c r="Q2081" s="211"/>
      <c r="R2081" s="211"/>
      <c r="S2081" s="211"/>
      <c r="T2081" s="211"/>
      <c r="U2081" s="211"/>
      <c r="V2081" s="211"/>
      <c r="W2081" s="211"/>
      <c r="X2081" s="211"/>
    </row>
    <row r="2082">
      <c r="A2082" s="219" t="str">
        <f>IFERROR(__xludf.DUMMYFUNCTION("""COMPUTED_VALUE"""),"1250701")</f>
        <v>1250701</v>
      </c>
      <c r="B2082" s="219" t="str">
        <f>IFERROR(__xludf.DUMMYFUNCTION("""COMPUTED_VALUE"""),"1250701")</f>
        <v>1250701</v>
      </c>
      <c r="C2082" s="220">
        <f>IFERROR(__xludf.DUMMYFUNCTION("""COMPUTED_VALUE"""),45951.65675925926)</f>
        <v>45951.65676</v>
      </c>
      <c r="D2082" s="221" t="str">
        <f>IFERROR(__xludf.DUMMYFUNCTION("""COMPUTED_VALUE"""),"8f5ebaea")</f>
        <v>8f5ebaea</v>
      </c>
      <c r="E2082" s="221" t="str">
        <f>IFERROR(__xludf.DUMMYFUNCTION("""COMPUTED_VALUE"""),"PT Hua Zong Mesindo")</f>
        <v>PT Hua Zong Mesindo</v>
      </c>
      <c r="F2082" s="221" t="str">
        <f>IFERROR(__xludf.DUMMYFUNCTION("""COMPUTED_VALUE"""),"7d2764f1")</f>
        <v>7d2764f1</v>
      </c>
      <c r="G2082" s="221" t="str">
        <f>IFERROR(__xludf.DUMMYFUNCTION("""COMPUTED_VALUE"""),"Oksigen 7m3")</f>
        <v>Oksigen 7m3</v>
      </c>
      <c r="H2082" s="221" t="str">
        <f>IFERROR(__xludf.DUMMYFUNCTION("""COMPUTED_VALUE"""),"IN")</f>
        <v>IN</v>
      </c>
      <c r="I2082" s="221" t="str">
        <f>IFERROR(__xludf.DUMMYFUNCTION("""COMPUTED_VALUE"""),"EMPTY")</f>
        <v>EMPTY</v>
      </c>
      <c r="J2082" s="221">
        <f>IFERROR(__xludf.DUMMYFUNCTION("""COMPUTED_VALUE"""),1.0)</f>
        <v>1</v>
      </c>
      <c r="K2082" s="219" t="str">
        <f>IFERROR(__xludf.DUMMYFUNCTION("""COMPUTED_VALUE"""),"11221")</f>
        <v>11221</v>
      </c>
      <c r="L2082" s="221">
        <f>IFERROR(__xludf.DUMMYFUNCTION("""COMPUTED_VALUE"""),0.0)</f>
        <v>0</v>
      </c>
      <c r="M2082" s="221"/>
      <c r="N2082" s="211"/>
      <c r="O2082" s="211"/>
      <c r="Q2082" s="210" t="str">
        <f>IFERROR(__xludf.DUMMYFUNCTION("""COMPUTED_VALUE"""),"1251007")</f>
        <v>1251007</v>
      </c>
      <c r="R2082" s="210" t="str">
        <f>IFERROR(__xludf.DUMMYFUNCTION("""COMPUTED_VALUE"""),"1251007")</f>
        <v>1251007</v>
      </c>
      <c r="S2082" s="211" t="str">
        <f>IFERROR(__xludf.DUMMYFUNCTION("""COMPUTED_VALUE"""),"b2b5f2c5")</f>
        <v>b2b5f2c5</v>
      </c>
      <c r="T2082" s="211" t="str">
        <f>IFERROR(__xludf.DUMMYFUNCTION("""COMPUTED_VALUE"""),"Bengkel Las Bpk. Ari")</f>
        <v>Bengkel Las Bpk. Ari</v>
      </c>
      <c r="U2082" s="215">
        <f>IFERROR(__xludf.DUMMYFUNCTION("""COMPUTED_VALUE"""),46015.596284722225)</f>
        <v>46015.59628</v>
      </c>
      <c r="V2082" s="211" t="str">
        <f>IFERROR(__xludf.DUMMYFUNCTION("""COMPUTED_VALUE"""),"Sumber Kembar, Wonodadi, Kec. Kutorejo, Kabupaten Mojokerto, Jawa Timur")</f>
        <v>Sumber Kembar, Wonodadi, Kec. Kutorejo, Kabupaten Mojokerto, Jawa Timur</v>
      </c>
      <c r="W2082" s="211" t="str">
        <f>IFERROR(__xludf.DUMMYFUNCTION("""COMPUTED_VALUE"""),"IN")</f>
        <v>IN</v>
      </c>
      <c r="X2082" s="211"/>
    </row>
    <row r="2083">
      <c r="A2083" s="219" t="str">
        <f>IFERROR(__xludf.DUMMYFUNCTION("""COMPUTED_VALUE"""),"1250701")</f>
        <v>1250701</v>
      </c>
      <c r="B2083" s="219" t="str">
        <f>IFERROR(__xludf.DUMMYFUNCTION("""COMPUTED_VALUE"""),"1250701")</f>
        <v>1250701</v>
      </c>
      <c r="C2083" s="220">
        <f>IFERROR(__xludf.DUMMYFUNCTION("""COMPUTED_VALUE"""),45951.65675925926)</f>
        <v>45951.65676</v>
      </c>
      <c r="D2083" s="221" t="str">
        <f>IFERROR(__xludf.DUMMYFUNCTION("""COMPUTED_VALUE"""),"8f5ebaea")</f>
        <v>8f5ebaea</v>
      </c>
      <c r="E2083" s="221" t="str">
        <f>IFERROR(__xludf.DUMMYFUNCTION("""COMPUTED_VALUE"""),"PT Hua Zong Mesindo")</f>
        <v>PT Hua Zong Mesindo</v>
      </c>
      <c r="F2083" s="221" t="str">
        <f>IFERROR(__xludf.DUMMYFUNCTION("""COMPUTED_VALUE"""),"ef306e54")</f>
        <v>ef306e54</v>
      </c>
      <c r="G2083" s="221" t="str">
        <f>IFERROR(__xludf.DUMMYFUNCTION("""COMPUTED_VALUE"""),"Karbondioksida")</f>
        <v>Karbondioksida</v>
      </c>
      <c r="H2083" s="221" t="str">
        <f>IFERROR(__xludf.DUMMYFUNCTION("""COMPUTED_VALUE"""),"IN")</f>
        <v>IN</v>
      </c>
      <c r="I2083" s="221" t="str">
        <f>IFERROR(__xludf.DUMMYFUNCTION("""COMPUTED_VALUE"""),"EMPTY")</f>
        <v>EMPTY</v>
      </c>
      <c r="J2083" s="221">
        <f>IFERROR(__xludf.DUMMYFUNCTION("""COMPUTED_VALUE"""),1.0)</f>
        <v>1</v>
      </c>
      <c r="K2083" s="219" t="str">
        <f>IFERROR(__xludf.DUMMYFUNCTION("""COMPUTED_VALUE"""),"13024")</f>
        <v>13024</v>
      </c>
      <c r="L2083" s="221">
        <f>IFERROR(__xludf.DUMMYFUNCTION("""COMPUTED_VALUE"""),0.0)</f>
        <v>0</v>
      </c>
      <c r="M2083" s="221"/>
      <c r="N2083" s="211"/>
      <c r="O2083" s="211"/>
      <c r="Q2083" s="210" t="str">
        <f>IFERROR(__xludf.DUMMYFUNCTION("""COMPUTED_VALUE"""),"1250998")</f>
        <v>1250998</v>
      </c>
      <c r="R2083" s="210" t="str">
        <f>IFERROR(__xludf.DUMMYFUNCTION("""COMPUTED_VALUE"""),"1250998")</f>
        <v>1250998</v>
      </c>
      <c r="S2083" s="211" t="str">
        <f>IFERROR(__xludf.DUMMYFUNCTION("""COMPUTED_VALUE"""),"03ff52db")</f>
        <v>03ff52db</v>
      </c>
      <c r="T2083" s="211" t="str">
        <f>IFERROR(__xludf.DUMMYFUNCTION("""COMPUTED_VALUE"""),"Aneka Teknik Logam")</f>
        <v>Aneka Teknik Logam</v>
      </c>
      <c r="U2083" s="215">
        <f>IFERROR(__xludf.DUMMYFUNCTION("""COMPUTED_VALUE"""),46015.614074074074)</f>
        <v>46015.61407</v>
      </c>
      <c r="V2083" s="211" t="str">
        <f>IFERROR(__xludf.DUMMYFUNCTION("""COMPUTED_VALUE"""),"HH8G+MQC, Areng Areng, Tropodo, Kec. Krian, Kabupaten Sidoarjo, Jawa Timur 61262")</f>
        <v>HH8G+MQC, Areng Areng, Tropodo, Kec. Krian, Kabupaten Sidoarjo, Jawa Timur 61262</v>
      </c>
      <c r="W2083" s="211" t="str">
        <f>IFERROR(__xludf.DUMMYFUNCTION("""COMPUTED_VALUE"""),"IN")</f>
        <v>IN</v>
      </c>
      <c r="X2083" s="211"/>
    </row>
    <row r="2084">
      <c r="A2084" s="219" t="str">
        <f>IFERROR(__xludf.DUMMYFUNCTION("""COMPUTED_VALUE"""),"1250701")</f>
        <v>1250701</v>
      </c>
      <c r="B2084" s="219" t="str">
        <f>IFERROR(__xludf.DUMMYFUNCTION("""COMPUTED_VALUE"""),"1250701")</f>
        <v>1250701</v>
      </c>
      <c r="C2084" s="220">
        <f>IFERROR(__xludf.DUMMYFUNCTION("""COMPUTED_VALUE"""),45951.65675925926)</f>
        <v>45951.65676</v>
      </c>
      <c r="D2084" s="221" t="str">
        <f>IFERROR(__xludf.DUMMYFUNCTION("""COMPUTED_VALUE"""),"8f5ebaea")</f>
        <v>8f5ebaea</v>
      </c>
      <c r="E2084" s="221" t="str">
        <f>IFERROR(__xludf.DUMMYFUNCTION("""COMPUTED_VALUE"""),"PT Hua Zong Mesindo")</f>
        <v>PT Hua Zong Mesindo</v>
      </c>
      <c r="F2084" s="221" t="str">
        <f>IFERROR(__xludf.DUMMYFUNCTION("""COMPUTED_VALUE"""),"66af7c72")</f>
        <v>66af7c72</v>
      </c>
      <c r="G2084" s="221" t="str">
        <f>IFERROR(__xludf.DUMMYFUNCTION("""COMPUTED_VALUE"""),"Argon 6m3")</f>
        <v>Argon 6m3</v>
      </c>
      <c r="H2084" s="221" t="str">
        <f>IFERROR(__xludf.DUMMYFUNCTION("""COMPUTED_VALUE"""),"IN")</f>
        <v>IN</v>
      </c>
      <c r="I2084" s="221" t="str">
        <f>IFERROR(__xludf.DUMMYFUNCTION("""COMPUTED_VALUE"""),"EMPTY")</f>
        <v>EMPTY</v>
      </c>
      <c r="J2084" s="221">
        <f>IFERROR(__xludf.DUMMYFUNCTION("""COMPUTED_VALUE"""),1.0)</f>
        <v>1</v>
      </c>
      <c r="K2084" s="219" t="str">
        <f>IFERROR(__xludf.DUMMYFUNCTION("""COMPUTED_VALUE"""),"12023")</f>
        <v>12023</v>
      </c>
      <c r="L2084" s="221">
        <f>IFERROR(__xludf.DUMMYFUNCTION("""COMPUTED_VALUE"""),0.0)</f>
        <v>0</v>
      </c>
      <c r="M2084" s="221"/>
      <c r="N2084" s="211"/>
      <c r="O2084" s="211"/>
      <c r="Q2084" s="210" t="str">
        <f>IFERROR(__xludf.DUMMYFUNCTION("""COMPUTED_VALUE"""),"1250999")</f>
        <v>1250999</v>
      </c>
      <c r="R2084" s="210" t="str">
        <f>IFERROR(__xludf.DUMMYFUNCTION("""COMPUTED_VALUE"""),"1250999")</f>
        <v>1250999</v>
      </c>
      <c r="S2084" s="211" t="str">
        <f>IFERROR(__xludf.DUMMYFUNCTION("""COMPUTED_VALUE"""),"785e0e07")</f>
        <v>785e0e07</v>
      </c>
      <c r="T2084" s="211" t="str">
        <f>IFERROR(__xludf.DUMMYFUNCTION("""COMPUTED_VALUE"""),"Bpk. Sukirno (Bejo)")</f>
        <v>Bpk. Sukirno (Bejo)</v>
      </c>
      <c r="U2084" s="215">
        <f>IFERROR(__xludf.DUMMYFUNCTION("""COMPUTED_VALUE"""),46015.614652777775)</f>
        <v>46015.61465</v>
      </c>
      <c r="V2084" s="211" t="str">
        <f>IFERROR(__xludf.DUMMYFUNCTION("""COMPUTED_VALUE"""),"Krajan I, Wringinanom, Kec. Wringinanom, Kabupaten Gresik, Jawa Timur 61176")</f>
        <v>Krajan I, Wringinanom, Kec. Wringinanom, Kabupaten Gresik, Jawa Timur 61176</v>
      </c>
      <c r="W2084" s="211" t="str">
        <f>IFERROR(__xludf.DUMMYFUNCTION("""COMPUTED_VALUE"""),"IN")</f>
        <v>IN</v>
      </c>
      <c r="X2084" s="211"/>
    </row>
    <row r="2085">
      <c r="A2085" s="219" t="str">
        <f>IFERROR(__xludf.DUMMYFUNCTION("""COMPUTED_VALUE"""),"1250702")</f>
        <v>1250702</v>
      </c>
      <c r="B2085" s="219" t="str">
        <f>IFERROR(__xludf.DUMMYFUNCTION("""COMPUTED_VALUE"""),"1250702")</f>
        <v>1250702</v>
      </c>
      <c r="C2085" s="220">
        <f>IFERROR(__xludf.DUMMYFUNCTION("""COMPUTED_VALUE"""),45951.658900462964)</f>
        <v>45951.6589</v>
      </c>
      <c r="D2085" s="221" t="str">
        <f>IFERROR(__xludf.DUMMYFUNCTION("""COMPUTED_VALUE"""),"7b9d8eba")</f>
        <v>7b9d8eba</v>
      </c>
      <c r="E2085" s="221" t="str">
        <f>IFERROR(__xludf.DUMMYFUNCTION("""COMPUTED_VALUE"""),"PT PELANGI INDOKARYA")</f>
        <v>PT PELANGI INDOKARYA</v>
      </c>
      <c r="F2085" s="221" t="str">
        <f>IFERROR(__xludf.DUMMYFUNCTION("""COMPUTED_VALUE"""),"8bdbe149")</f>
        <v>8bdbe149</v>
      </c>
      <c r="G2085" s="221" t="str">
        <f>IFERROR(__xludf.DUMMYFUNCTION("""COMPUTED_VALUE"""),"Oksigen 6m3")</f>
        <v>Oksigen 6m3</v>
      </c>
      <c r="H2085" s="221" t="str">
        <f>IFERROR(__xludf.DUMMYFUNCTION("""COMPUTED_VALUE"""),"IN")</f>
        <v>IN</v>
      </c>
      <c r="I2085" s="221" t="str">
        <f>IFERROR(__xludf.DUMMYFUNCTION("""COMPUTED_VALUE"""),"EMPTY")</f>
        <v>EMPTY</v>
      </c>
      <c r="J2085" s="221">
        <f>IFERROR(__xludf.DUMMYFUNCTION("""COMPUTED_VALUE"""),1.0)</f>
        <v>1</v>
      </c>
      <c r="K2085" s="219" t="str">
        <f>IFERROR(__xludf.DUMMYFUNCTION("""COMPUTED_VALUE"""),"11209")</f>
        <v>11209</v>
      </c>
      <c r="L2085" s="221">
        <f>IFERROR(__xludf.DUMMYFUNCTION("""COMPUTED_VALUE"""),0.0)</f>
        <v>0</v>
      </c>
      <c r="M2085" s="221"/>
      <c r="N2085" s="211"/>
      <c r="O2085" s="211"/>
      <c r="Q2085" s="210" t="str">
        <f>IFERROR(__xludf.DUMMYFUNCTION("""COMPUTED_VALUE"""),"1225122082")</f>
        <v>1225122082</v>
      </c>
      <c r="R2085" s="210" t="str">
        <f>IFERROR(__xludf.DUMMYFUNCTION("""COMPUTED_VALUE"""),"1225122082")</f>
        <v>1225122082</v>
      </c>
      <c r="S2085" s="211" t="str">
        <f>IFERROR(__xludf.DUMMYFUNCTION("""COMPUTED_VALUE"""),"a0f0ad2d")</f>
        <v>a0f0ad2d</v>
      </c>
      <c r="T2085" s="211" t="str">
        <f>IFERROR(__xludf.DUMMYFUNCTION("""COMPUTED_VALUE"""),"CV. Yulie Jaya")</f>
        <v>CV. Yulie Jaya</v>
      </c>
      <c r="U2085" s="215">
        <f>IFERROR(__xludf.DUMMYFUNCTION("""COMPUTED_VALUE"""),46017.35700231481)</f>
        <v>46017.357</v>
      </c>
      <c r="V2085" s="211" t="str">
        <f>IFERROR(__xludf.DUMMYFUNCTION("""COMPUTED_VALUE"""),"JJH4+6RV, Badas, Barengkrajan, Kec. Krian, Kabupaten Sidoarjo, Jawa Timur 61262")</f>
        <v>JJH4+6RV, Badas, Barengkrajan, Kec. Krian, Kabupaten Sidoarjo, Jawa Timur 61262</v>
      </c>
      <c r="W2085" s="211" t="str">
        <f>IFERROR(__xludf.DUMMYFUNCTION("""COMPUTED_VALUE"""),"OUT")</f>
        <v>OUT</v>
      </c>
      <c r="X2085" s="211"/>
    </row>
    <row r="2086">
      <c r="A2086" s="219" t="str">
        <f>IFERROR(__xludf.DUMMYFUNCTION("""COMPUTED_VALUE"""),"1250703")</f>
        <v>1250703</v>
      </c>
      <c r="B2086" s="219" t="str">
        <f>IFERROR(__xludf.DUMMYFUNCTION("""COMPUTED_VALUE"""),"1250703")</f>
        <v>1250703</v>
      </c>
      <c r="C2086" s="220">
        <f>IFERROR(__xludf.DUMMYFUNCTION("""COMPUTED_VALUE"""),45951.65961805556)</f>
        <v>45951.65962</v>
      </c>
      <c r="D2086" s="221" t="str">
        <f>IFERROR(__xludf.DUMMYFUNCTION("""COMPUTED_VALUE"""),"2d88931c")</f>
        <v>2d88931c</v>
      </c>
      <c r="E2086" s="221" t="str">
        <f>IFERROR(__xludf.DUMMYFUNCTION("""COMPUTED_VALUE"""),"PT Dunia Berkat Marga Mulya")</f>
        <v>PT Dunia Berkat Marga Mulya</v>
      </c>
      <c r="F2086" s="221" t="str">
        <f>IFERROR(__xludf.DUMMYFUNCTION("""COMPUTED_VALUE"""),"8bdbe149")</f>
        <v>8bdbe149</v>
      </c>
      <c r="G2086" s="221" t="str">
        <f>IFERROR(__xludf.DUMMYFUNCTION("""COMPUTED_VALUE"""),"Oksigen 6m3")</f>
        <v>Oksigen 6m3</v>
      </c>
      <c r="H2086" s="221" t="str">
        <f>IFERROR(__xludf.DUMMYFUNCTION("""COMPUTED_VALUE"""),"IN")</f>
        <v>IN</v>
      </c>
      <c r="I2086" s="221" t="str">
        <f>IFERROR(__xludf.DUMMYFUNCTION("""COMPUTED_VALUE"""),"EMPTY")</f>
        <v>EMPTY</v>
      </c>
      <c r="J2086" s="221">
        <f>IFERROR(__xludf.DUMMYFUNCTION("""COMPUTED_VALUE"""),1.0)</f>
        <v>1</v>
      </c>
      <c r="K2086" s="219" t="str">
        <f>IFERROR(__xludf.DUMMYFUNCTION("""COMPUTED_VALUE"""),"11275")</f>
        <v>11275</v>
      </c>
      <c r="L2086" s="221">
        <f>IFERROR(__xludf.DUMMYFUNCTION("""COMPUTED_VALUE"""),0.0)</f>
        <v>0</v>
      </c>
      <c r="M2086" s="221"/>
      <c r="N2086" s="211"/>
      <c r="O2086" s="211"/>
      <c r="Q2086" s="210" t="str">
        <f>IFERROR(__xludf.DUMMYFUNCTION("""COMPUTED_VALUE"""),"122592086")</f>
        <v>122592086</v>
      </c>
      <c r="R2086" s="210" t="str">
        <f>IFERROR(__xludf.DUMMYFUNCTION("""COMPUTED_VALUE"""),"122592086")</f>
        <v>122592086</v>
      </c>
      <c r="S2086" s="211" t="str">
        <f>IFERROR(__xludf.DUMMYFUNCTION("""COMPUTED_VALUE"""),"440df1db")</f>
        <v>440df1db</v>
      </c>
      <c r="T2086" s="211" t="str">
        <f>IFERROR(__xludf.DUMMYFUNCTION("""COMPUTED_VALUE"""),"PT. Mecca Abadi Sejahtera")</f>
        <v>PT. Mecca Abadi Sejahtera</v>
      </c>
      <c r="U2086" s="215">
        <f>IFERROR(__xludf.DUMMYFUNCTION("""COMPUTED_VALUE"""),46017.399664351855)</f>
        <v>46017.39966</v>
      </c>
      <c r="V2086" s="211" t="str">
        <f>IFERROR(__xludf.DUMMYFUNCTION("""COMPUTED_VALUE"""),"Jl. Raya Sawocangkring, RT.006/RW.002, Sawo, Sawocangkring, Kec. Wonoayu, Kabupaten Sidoarjo, Jawa Timur 61261")</f>
        <v>Jl. Raya Sawocangkring, RT.006/RW.002, Sawo, Sawocangkring, Kec. Wonoayu, Kabupaten Sidoarjo, Jawa Timur 61261</v>
      </c>
      <c r="W2086" s="211" t="str">
        <f>IFERROR(__xludf.DUMMYFUNCTION("""COMPUTED_VALUE"""),"OUT")</f>
        <v>OUT</v>
      </c>
      <c r="X2086" s="211"/>
    </row>
    <row r="2087">
      <c r="A2087" s="219" t="str">
        <f>IFERROR(__xludf.DUMMYFUNCTION("""COMPUTED_VALUE"""),"1250683")</f>
        <v>1250683</v>
      </c>
      <c r="B2087" s="219" t="str">
        <f>IFERROR(__xludf.DUMMYFUNCTION("""COMPUTED_VALUE"""),"1250683")</f>
        <v>1250683</v>
      </c>
      <c r="C2087" s="220">
        <f>IFERROR(__xludf.DUMMYFUNCTION("""COMPUTED_VALUE"""),45951.66751157407)</f>
        <v>45951.66751</v>
      </c>
      <c r="D2087" s="221" t="str">
        <f>IFERROR(__xludf.DUMMYFUNCTION("""COMPUTED_VALUE"""),"01158be1")</f>
        <v>01158be1</v>
      </c>
      <c r="E2087" s="221" t="str">
        <f>IFERROR(__xludf.DUMMYFUNCTION("""COMPUTED_VALUE"""),"GYF")</f>
        <v>GYF</v>
      </c>
      <c r="F2087" s="221" t="str">
        <f>IFERROR(__xludf.DUMMYFUNCTION("""COMPUTED_VALUE"""),"8bdbe149")</f>
        <v>8bdbe149</v>
      </c>
      <c r="G2087" s="221" t="str">
        <f>IFERROR(__xludf.DUMMYFUNCTION("""COMPUTED_VALUE"""),"Oksigen 6m3")</f>
        <v>Oksigen 6m3</v>
      </c>
      <c r="H2087" s="221" t="str">
        <f>IFERROR(__xludf.DUMMYFUNCTION("""COMPUTED_VALUE"""),"IN")</f>
        <v>IN</v>
      </c>
      <c r="I2087" s="221" t="str">
        <f>IFERROR(__xludf.DUMMYFUNCTION("""COMPUTED_VALUE"""),"EMPTY")</f>
        <v>EMPTY</v>
      </c>
      <c r="J2087" s="221">
        <f>IFERROR(__xludf.DUMMYFUNCTION("""COMPUTED_VALUE"""),7.0)</f>
        <v>7</v>
      </c>
      <c r="K2087" s="219" t="str">
        <f>IFERROR(__xludf.DUMMYFUNCTION("""COMPUTED_VALUE"""),"11291 1148 11255 1124 11271 11175 1117")</f>
        <v>11291 1148 11255 1124 11271 11175 1117</v>
      </c>
      <c r="L2087" s="221">
        <f>IFERROR(__xludf.DUMMYFUNCTION("""COMPUTED_VALUE"""),0.0)</f>
        <v>0</v>
      </c>
      <c r="M2087" s="221"/>
      <c r="N2087" s="211"/>
      <c r="O2087" s="211"/>
      <c r="Q2087" s="210" t="str">
        <f>IFERROR(__xludf.DUMMYFUNCTION("""COMPUTED_VALUE"""),"1251009")</f>
        <v>1251009</v>
      </c>
      <c r="R2087" s="210" t="str">
        <f>IFERROR(__xludf.DUMMYFUNCTION("""COMPUTED_VALUE"""),"1251009")</f>
        <v>1251009</v>
      </c>
      <c r="S2087" s="211" t="str">
        <f>IFERROR(__xludf.DUMMYFUNCTION("""COMPUTED_VALUE"""),"a0f0ad2d")</f>
        <v>a0f0ad2d</v>
      </c>
      <c r="T2087" s="211" t="str">
        <f>IFERROR(__xludf.DUMMYFUNCTION("""COMPUTED_VALUE"""),"CV. Yulie Jaya")</f>
        <v>CV. Yulie Jaya</v>
      </c>
      <c r="U2087" s="215">
        <f>IFERROR(__xludf.DUMMYFUNCTION("""COMPUTED_VALUE"""),46017.41395833333)</f>
        <v>46017.41396</v>
      </c>
      <c r="V2087" s="211" t="str">
        <f>IFERROR(__xludf.DUMMYFUNCTION("""COMPUTED_VALUE"""),"JJH4+6RV, Badas, Barengkrajan, Kec. Krian, Kabupaten Sidoarjo, Jawa Timur 61262")</f>
        <v>JJH4+6RV, Badas, Barengkrajan, Kec. Krian, Kabupaten Sidoarjo, Jawa Timur 61262</v>
      </c>
      <c r="W2087" s="211" t="str">
        <f>IFERROR(__xludf.DUMMYFUNCTION("""COMPUTED_VALUE"""),"IN")</f>
        <v>IN</v>
      </c>
      <c r="X2087" s="211"/>
    </row>
    <row r="2088">
      <c r="A2088" s="219" t="str">
        <f>IFERROR(__xludf.DUMMYFUNCTION("""COMPUTED_VALUE"""),"1025251502")</f>
        <v>1025251502</v>
      </c>
      <c r="B2088" s="219" t="str">
        <f>IFERROR(__xludf.DUMMYFUNCTION("""COMPUTED_VALUE"""),"1025251502")</f>
        <v>1025251502</v>
      </c>
      <c r="C2088" s="220">
        <f>IFERROR(__xludf.DUMMYFUNCTION("""COMPUTED_VALUE"""),45952.34341435185)</f>
        <v>45952.34341</v>
      </c>
      <c r="D2088" s="221" t="str">
        <f>IFERROR(__xludf.DUMMYFUNCTION("""COMPUTED_VALUE"""),"b2b5f2c5")</f>
        <v>b2b5f2c5</v>
      </c>
      <c r="E2088" s="221" t="str">
        <f>IFERROR(__xludf.DUMMYFUNCTION("""COMPUTED_VALUE"""),"Bengkel Las Bpk. Ari")</f>
        <v>Bengkel Las Bpk. Ari</v>
      </c>
      <c r="F2088" s="221" t="str">
        <f>IFERROR(__xludf.DUMMYFUNCTION("""COMPUTED_VALUE"""),"ef306e54")</f>
        <v>ef306e54</v>
      </c>
      <c r="G2088" s="221" t="str">
        <f>IFERROR(__xludf.DUMMYFUNCTION("""COMPUTED_VALUE"""),"Karbondioksida")</f>
        <v>Karbondioksida</v>
      </c>
      <c r="H2088" s="221" t="str">
        <f>IFERROR(__xludf.DUMMYFUNCTION("""COMPUTED_VALUE"""),"OUT")</f>
        <v>OUT</v>
      </c>
      <c r="I2088" s="221" t="str">
        <f>IFERROR(__xludf.DUMMYFUNCTION("""COMPUTED_VALUE"""),"NORMAL")</f>
        <v>NORMAL</v>
      </c>
      <c r="J2088" s="221">
        <f>IFERROR(__xludf.DUMMYFUNCTION("""COMPUTED_VALUE"""),1.0)</f>
        <v>1</v>
      </c>
      <c r="K2088" s="219" t="str">
        <f>IFERROR(__xludf.DUMMYFUNCTION("""COMPUTED_VALUE"""),"13002")</f>
        <v>13002</v>
      </c>
      <c r="L2088" s="221">
        <f>IFERROR(__xludf.DUMMYFUNCTION("""COMPUTED_VALUE"""),170000.0)</f>
        <v>170000</v>
      </c>
      <c r="M2088" s="221"/>
      <c r="N2088" s="211"/>
      <c r="O2088" s="211"/>
      <c r="Q2088" s="210" t="str">
        <f>IFERROR(__xludf.DUMMYFUNCTION("""COMPUTED_VALUE"""),"1225102087")</f>
        <v>1225102087</v>
      </c>
      <c r="R2088" s="210" t="str">
        <f>IFERROR(__xludf.DUMMYFUNCTION("""COMPUTED_VALUE"""),"1225102087")</f>
        <v>1225102087</v>
      </c>
      <c r="S2088" s="211" t="str">
        <f>IFERROR(__xludf.DUMMYFUNCTION("""COMPUTED_VALUE"""),"63fc688a")</f>
        <v>63fc688a</v>
      </c>
      <c r="T2088" s="211" t="str">
        <f>IFERROR(__xludf.DUMMYFUNCTION("""COMPUTED_VALUE"""),"CV Malik Nusantara")</f>
        <v>CV Malik Nusantara</v>
      </c>
      <c r="U2088" s="215">
        <f>IFERROR(__xludf.DUMMYFUNCTION("""COMPUTED_VALUE"""),46017.44954861111)</f>
        <v>46017.44955</v>
      </c>
      <c r="V2088" s="211" t="str">
        <f>IFERROR(__xludf.DUMMYFUNCTION("""COMPUTED_VALUE"""),"Jl. Raya Balongbendo No.12, Suwaluh Utara, Suwaluh, Kec. BalongBendo, Kabupaten Sidoarjo, Jawa Timur 61263")</f>
        <v>Jl. Raya Balongbendo No.12, Suwaluh Utara, Suwaluh, Kec. BalongBendo, Kabupaten Sidoarjo, Jawa Timur 61263</v>
      </c>
      <c r="W2088" s="211" t="str">
        <f>IFERROR(__xludf.DUMMYFUNCTION("""COMPUTED_VALUE"""),"OUT")</f>
        <v>OUT</v>
      </c>
      <c r="X2088" s="211"/>
    </row>
    <row r="2089">
      <c r="A2089" s="219" t="str">
        <f>IFERROR(__xludf.DUMMYFUNCTION("""COMPUTED_VALUE"""),"1025251502")</f>
        <v>1025251502</v>
      </c>
      <c r="B2089" s="219" t="str">
        <f>IFERROR(__xludf.DUMMYFUNCTION("""COMPUTED_VALUE"""),"1025251502")</f>
        <v>1025251502</v>
      </c>
      <c r="C2089" s="220">
        <f>IFERROR(__xludf.DUMMYFUNCTION("""COMPUTED_VALUE"""),45952.34341435185)</f>
        <v>45952.34341</v>
      </c>
      <c r="D2089" s="221" t="str">
        <f>IFERROR(__xludf.DUMMYFUNCTION("""COMPUTED_VALUE"""),"b2b5f2c5")</f>
        <v>b2b5f2c5</v>
      </c>
      <c r="E2089" s="221" t="str">
        <f>IFERROR(__xludf.DUMMYFUNCTION("""COMPUTED_VALUE"""),"Bengkel Las Bpk. Ari")</f>
        <v>Bengkel Las Bpk. Ari</v>
      </c>
      <c r="F2089" s="221" t="str">
        <f>IFERROR(__xludf.DUMMYFUNCTION("""COMPUTED_VALUE"""),"7d2764f1")</f>
        <v>7d2764f1</v>
      </c>
      <c r="G2089" s="221" t="str">
        <f>IFERROR(__xludf.DUMMYFUNCTION("""COMPUTED_VALUE"""),"Oksigen 7m3")</f>
        <v>Oksigen 7m3</v>
      </c>
      <c r="H2089" s="221" t="str">
        <f>IFERROR(__xludf.DUMMYFUNCTION("""COMPUTED_VALUE"""),"OUT")</f>
        <v>OUT</v>
      </c>
      <c r="I2089" s="221" t="str">
        <f>IFERROR(__xludf.DUMMYFUNCTION("""COMPUTED_VALUE"""),"NORMAL")</f>
        <v>NORMAL</v>
      </c>
      <c r="J2089" s="221">
        <f>IFERROR(__xludf.DUMMYFUNCTION("""COMPUTED_VALUE"""),7.0)</f>
        <v>7</v>
      </c>
      <c r="K2089" s="219" t="str">
        <f>IFERROR(__xludf.DUMMYFUNCTION("""COMPUTED_VALUE"""),"11169 11160 11158 11172 11144 11164 11146")</f>
        <v>11169 11160 11158 11172 11144 11164 11146</v>
      </c>
      <c r="L2089" s="221">
        <f>IFERROR(__xludf.DUMMYFUNCTION("""COMPUTED_VALUE"""),60000.0)</f>
        <v>60000</v>
      </c>
      <c r="M2089" s="221"/>
      <c r="N2089" s="211"/>
      <c r="O2089" s="211"/>
      <c r="Q2089" s="210" t="str">
        <f>IFERROR(__xludf.DUMMYFUNCTION("""COMPUTED_VALUE"""),"122582089")</f>
        <v>122582089</v>
      </c>
      <c r="R2089" s="210" t="str">
        <f>IFERROR(__xludf.DUMMYFUNCTION("""COMPUTED_VALUE"""),"122582089")</f>
        <v>122582089</v>
      </c>
      <c r="S2089" s="211" t="str">
        <f>IFERROR(__xludf.DUMMYFUNCTION("""COMPUTED_VALUE"""),"ba97d58d")</f>
        <v>ba97d58d</v>
      </c>
      <c r="T2089" s="211" t="str">
        <f>IFERROR(__xludf.DUMMYFUNCTION("""COMPUTED_VALUE"""),"Bengkel Citra Mojosari")</f>
        <v>Bengkel Citra Mojosari</v>
      </c>
      <c r="U2089" s="215">
        <f>IFERROR(__xludf.DUMMYFUNCTION("""COMPUTED_VALUE"""),46017.48609953704)</f>
        <v>46017.4861</v>
      </c>
      <c r="V2089" s="211" t="str">
        <f>IFERROR(__xludf.DUMMYFUNCTION("""COMPUTED_VALUE"""),"Jl. Raden Wijaya, Kemloko, Jotangan, Kec. Mojosari, Kabupaten Mojokerto, Jawa Timur 61382")</f>
        <v>Jl. Raden Wijaya, Kemloko, Jotangan, Kec. Mojosari, Kabupaten Mojokerto, Jawa Timur 61382</v>
      </c>
      <c r="W2089" s="211" t="str">
        <f>IFERROR(__xludf.DUMMYFUNCTION("""COMPUTED_VALUE"""),"OUT")</f>
        <v>OUT</v>
      </c>
      <c r="X2089" s="211"/>
    </row>
    <row r="2090">
      <c r="A2090" s="219" t="str">
        <f>IFERROR(__xludf.DUMMYFUNCTION("""COMPUTED_VALUE"""),"4102521497")</f>
        <v>4102521497</v>
      </c>
      <c r="B2090" s="219" t="str">
        <f>IFERROR(__xludf.DUMMYFUNCTION("""COMPUTED_VALUE"""),"4102521497")</f>
        <v>4102521497</v>
      </c>
      <c r="C2090" s="220">
        <f>IFERROR(__xludf.DUMMYFUNCTION("""COMPUTED_VALUE"""),45952.34517361111)</f>
        <v>45952.34517</v>
      </c>
      <c r="D2090" s="221" t="str">
        <f>IFERROR(__xludf.DUMMYFUNCTION("""COMPUTED_VALUE"""),"b2b5f2c5")</f>
        <v>b2b5f2c5</v>
      </c>
      <c r="E2090" s="221" t="str">
        <f>IFERROR(__xludf.DUMMYFUNCTION("""COMPUTED_VALUE"""),"Bengkel Las Bpk. Ari")</f>
        <v>Bengkel Las Bpk. Ari</v>
      </c>
      <c r="F2090" s="221" t="str">
        <f>IFERROR(__xludf.DUMMYFUNCTION("""COMPUTED_VALUE"""),"ef306e54")</f>
        <v>ef306e54</v>
      </c>
      <c r="G2090" s="221" t="str">
        <f>IFERROR(__xludf.DUMMYFUNCTION("""COMPUTED_VALUE"""),"Karbondioksida")</f>
        <v>Karbondioksida</v>
      </c>
      <c r="H2090" s="221" t="str">
        <f>IFERROR(__xludf.DUMMYFUNCTION("""COMPUTED_VALUE"""),"OTHER")</f>
        <v>OTHER</v>
      </c>
      <c r="I2090" s="221" t="str">
        <f>IFERROR(__xludf.DUMMYFUNCTION("""COMPUTED_VALUE"""),"RETUR CLAIM")</f>
        <v>RETUR CLAIM</v>
      </c>
      <c r="J2090" s="221">
        <f>IFERROR(__xludf.DUMMYFUNCTION("""COMPUTED_VALUE"""),1.0)</f>
        <v>1</v>
      </c>
      <c r="K2090" s="219" t="str">
        <f>IFERROR(__xludf.DUMMYFUNCTION("""COMPUTED_VALUE"""),"13035")</f>
        <v>13035</v>
      </c>
      <c r="L2090" s="221">
        <f>IFERROR(__xludf.DUMMYFUNCTION("""COMPUTED_VALUE"""),0.0)</f>
        <v>0</v>
      </c>
      <c r="M2090" s="221"/>
      <c r="N2090" s="211"/>
      <c r="O2090" s="211"/>
      <c r="Q2090" s="210" t="str">
        <f>IFERROR(__xludf.DUMMYFUNCTION("""COMPUTED_VALUE"""),"122542090")</f>
        <v>122542090</v>
      </c>
      <c r="R2090" s="210" t="str">
        <f>IFERROR(__xludf.DUMMYFUNCTION("""COMPUTED_VALUE"""),"122542090")</f>
        <v>122542090</v>
      </c>
      <c r="S2090" s="211" t="str">
        <f>IFERROR(__xludf.DUMMYFUNCTION("""COMPUTED_VALUE"""),"f49860e4")</f>
        <v>f49860e4</v>
      </c>
      <c r="T2090" s="211" t="str">
        <f>IFERROR(__xludf.DUMMYFUNCTION("""COMPUTED_VALUE"""),"Mas Nur ( Jetis )")</f>
        <v>Mas Nur ( Jetis )</v>
      </c>
      <c r="U2090" s="215">
        <f>IFERROR(__xludf.DUMMYFUNCTION("""COMPUTED_VALUE"""),46017.48708333333)</f>
        <v>46017.48708</v>
      </c>
      <c r="V2090" s="211" t="str">
        <f>IFERROR(__xludf.DUMMYFUNCTION("""COMPUTED_VALUE"""),"HFVF+CCG, JL.Raya Jetis, jetis, Kec. Jetis Kabupaten Mojokerto Jawa Timur 61352")</f>
        <v>HFVF+CCG, JL.Raya Jetis, jetis, Kec. Jetis Kabupaten Mojokerto Jawa Timur 61352</v>
      </c>
      <c r="W2090" s="211" t="str">
        <f>IFERROR(__xludf.DUMMYFUNCTION("""COMPUTED_VALUE"""),"OUT")</f>
        <v>OUT</v>
      </c>
      <c r="X2090" s="211"/>
    </row>
    <row r="2091">
      <c r="A2091" s="219" t="str">
        <f>IFERROR(__xludf.DUMMYFUNCTION("""COMPUTED_VALUE"""),"1250704")</f>
        <v>1250704</v>
      </c>
      <c r="B2091" s="219" t="str">
        <f>IFERROR(__xludf.DUMMYFUNCTION("""COMPUTED_VALUE"""),"1250704")</f>
        <v>1250704</v>
      </c>
      <c r="C2091" s="220">
        <f>IFERROR(__xludf.DUMMYFUNCTION("""COMPUTED_VALUE"""),45952.449525462966)</f>
        <v>45952.44953</v>
      </c>
      <c r="D2091" s="221" t="str">
        <f>IFERROR(__xludf.DUMMYFUNCTION("""COMPUTED_VALUE"""),"b2b5f2c5")</f>
        <v>b2b5f2c5</v>
      </c>
      <c r="E2091" s="221" t="str">
        <f>IFERROR(__xludf.DUMMYFUNCTION("""COMPUTED_VALUE"""),"Bengkel Las Bpk. Ari")</f>
        <v>Bengkel Las Bpk. Ari</v>
      </c>
      <c r="F2091" s="221" t="str">
        <f>IFERROR(__xludf.DUMMYFUNCTION("""COMPUTED_VALUE"""),"ef306e54")</f>
        <v>ef306e54</v>
      </c>
      <c r="G2091" s="221" t="str">
        <f>IFERROR(__xludf.DUMMYFUNCTION("""COMPUTED_VALUE"""),"Karbondioksida")</f>
        <v>Karbondioksida</v>
      </c>
      <c r="H2091" s="221" t="str">
        <f>IFERROR(__xludf.DUMMYFUNCTION("""COMPUTED_VALUE"""),"IN")</f>
        <v>IN</v>
      </c>
      <c r="I2091" s="221" t="str">
        <f>IFERROR(__xludf.DUMMYFUNCTION("""COMPUTED_VALUE"""),"EMPTY")</f>
        <v>EMPTY</v>
      </c>
      <c r="J2091" s="221">
        <f>IFERROR(__xludf.DUMMYFUNCTION("""COMPUTED_VALUE"""),2.0)</f>
        <v>2</v>
      </c>
      <c r="K2091" s="219" t="str">
        <f>IFERROR(__xludf.DUMMYFUNCTION("""COMPUTED_VALUE"""),"13012 13016")</f>
        <v>13012 13016</v>
      </c>
      <c r="L2091" s="221">
        <f>IFERROR(__xludf.DUMMYFUNCTION("""COMPUTED_VALUE"""),0.0)</f>
        <v>0</v>
      </c>
      <c r="M2091" s="221"/>
      <c r="N2091" s="211"/>
      <c r="O2091" s="211"/>
      <c r="Q2091" s="210" t="str">
        <f>IFERROR(__xludf.DUMMYFUNCTION("""COMPUTED_VALUE"""),"1251008")</f>
        <v>1251008</v>
      </c>
      <c r="R2091" s="210" t="str">
        <f>IFERROR(__xludf.DUMMYFUNCTION("""COMPUTED_VALUE"""),"1251008")</f>
        <v>1251008</v>
      </c>
      <c r="S2091" s="211" t="str">
        <f>IFERROR(__xludf.DUMMYFUNCTION("""COMPUTED_VALUE"""),"63fc688a")</f>
        <v>63fc688a</v>
      </c>
      <c r="T2091" s="211" t="str">
        <f>IFERROR(__xludf.DUMMYFUNCTION("""COMPUTED_VALUE"""),"CV Malik Nusantara")</f>
        <v>CV Malik Nusantara</v>
      </c>
      <c r="U2091" s="215">
        <f>IFERROR(__xludf.DUMMYFUNCTION("""COMPUTED_VALUE"""),46017.4909375)</f>
        <v>46017.49094</v>
      </c>
      <c r="V2091" s="211" t="str">
        <f>IFERROR(__xludf.DUMMYFUNCTION("""COMPUTED_VALUE"""),"Jl. Raya Balongbendo No.12, Suwaluh Utara, Suwaluh, Kec. BalongBendo, Kabupaten Sidoarjo, Jawa Timur 61263")</f>
        <v>Jl. Raya Balongbendo No.12, Suwaluh Utara, Suwaluh, Kec. BalongBendo, Kabupaten Sidoarjo, Jawa Timur 61263</v>
      </c>
      <c r="W2091" s="211" t="str">
        <f>IFERROR(__xludf.DUMMYFUNCTION("""COMPUTED_VALUE"""),"IN")</f>
        <v>IN</v>
      </c>
      <c r="X2091" s="211"/>
    </row>
    <row r="2092">
      <c r="A2092" s="219" t="str">
        <f>IFERROR(__xludf.DUMMYFUNCTION("""COMPUTED_VALUE"""),"1250704")</f>
        <v>1250704</v>
      </c>
      <c r="B2092" s="219" t="str">
        <f>IFERROR(__xludf.DUMMYFUNCTION("""COMPUTED_VALUE"""),"1250704")</f>
        <v>1250704</v>
      </c>
      <c r="C2092" s="220">
        <f>IFERROR(__xludf.DUMMYFUNCTION("""COMPUTED_VALUE"""),45952.449525462966)</f>
        <v>45952.44953</v>
      </c>
      <c r="D2092" s="221" t="str">
        <f>IFERROR(__xludf.DUMMYFUNCTION("""COMPUTED_VALUE"""),"b2b5f2c5")</f>
        <v>b2b5f2c5</v>
      </c>
      <c r="E2092" s="221" t="str">
        <f>IFERROR(__xludf.DUMMYFUNCTION("""COMPUTED_VALUE"""),"Bengkel Las Bpk. Ari")</f>
        <v>Bengkel Las Bpk. Ari</v>
      </c>
      <c r="F2092" s="221" t="str">
        <f>IFERROR(__xludf.DUMMYFUNCTION("""COMPUTED_VALUE"""),"7d2764f1")</f>
        <v>7d2764f1</v>
      </c>
      <c r="G2092" s="221" t="str">
        <f>IFERROR(__xludf.DUMMYFUNCTION("""COMPUTED_VALUE"""),"Oksigen 7m3")</f>
        <v>Oksigen 7m3</v>
      </c>
      <c r="H2092" s="221" t="str">
        <f>IFERROR(__xludf.DUMMYFUNCTION("""COMPUTED_VALUE"""),"IN")</f>
        <v>IN</v>
      </c>
      <c r="I2092" s="221" t="str">
        <f>IFERROR(__xludf.DUMMYFUNCTION("""COMPUTED_VALUE"""),"EMPTY")</f>
        <v>EMPTY</v>
      </c>
      <c r="J2092" s="221">
        <f>IFERROR(__xludf.DUMMYFUNCTION("""COMPUTED_VALUE"""),4.0)</f>
        <v>4</v>
      </c>
      <c r="K2092" s="219" t="str">
        <f>IFERROR(__xludf.DUMMYFUNCTION("""COMPUTED_VALUE"""),"11143 11152 11140 11168")</f>
        <v>11143 11152 11140 11168</v>
      </c>
      <c r="L2092" s="221">
        <f>IFERROR(__xludf.DUMMYFUNCTION("""COMPUTED_VALUE"""),0.0)</f>
        <v>0</v>
      </c>
      <c r="M2092" s="221"/>
      <c r="N2092" s="211"/>
      <c r="O2092" s="211"/>
      <c r="Q2092" s="210" t="str">
        <f>IFERROR(__xludf.DUMMYFUNCTION("""COMPUTED_VALUE"""),"1251001")</f>
        <v>1251001</v>
      </c>
      <c r="R2092" s="210" t="str">
        <f>IFERROR(__xludf.DUMMYFUNCTION("""COMPUTED_VALUE"""),"1251001")</f>
        <v>1251001</v>
      </c>
      <c r="S2092" s="211" t="str">
        <f>IFERROR(__xludf.DUMMYFUNCTION("""COMPUTED_VALUE"""),"ec231cc9")</f>
        <v>ec231cc9</v>
      </c>
      <c r="T2092" s="211" t="str">
        <f>IFERROR(__xludf.DUMMYFUNCTION("""COMPUTED_VALUE"""),"Bpk. Kohir (Maintenance Velg)")</f>
        <v>Bpk. Kohir (Maintenance Velg)</v>
      </c>
      <c r="U2092" s="215">
        <f>IFERROR(__xludf.DUMMYFUNCTION("""COMPUTED_VALUE"""),46017.51697916666)</f>
        <v>46017.51698</v>
      </c>
      <c r="V2092" s="211" t="str">
        <f>IFERROR(__xludf.DUMMYFUNCTION("""COMPUTED_VALUE"""),"Jl. Lkr. Bypass Krian Timur, Sidogolong, Watugolong, Kec. Krian, Kabupaten Sidoarjo, Jawa Timur 61262")</f>
        <v>Jl. Lkr. Bypass Krian Timur, Sidogolong, Watugolong, Kec. Krian, Kabupaten Sidoarjo, Jawa Timur 61262</v>
      </c>
      <c r="W2092" s="211" t="str">
        <f>IFERROR(__xludf.DUMMYFUNCTION("""COMPUTED_VALUE"""),"IN")</f>
        <v>IN</v>
      </c>
      <c r="X2092" s="211"/>
    </row>
    <row r="2093">
      <c r="A2093" s="219" t="str">
        <f>IFERROR(__xludf.DUMMYFUNCTION("""COMPUTED_VALUE"""),"1250704")</f>
        <v>1250704</v>
      </c>
      <c r="B2093" s="219" t="str">
        <f>IFERROR(__xludf.DUMMYFUNCTION("""COMPUTED_VALUE"""),"1250704")</f>
        <v>1250704</v>
      </c>
      <c r="C2093" s="220">
        <f>IFERROR(__xludf.DUMMYFUNCTION("""COMPUTED_VALUE"""),45952.449525462966)</f>
        <v>45952.44953</v>
      </c>
      <c r="D2093" s="221" t="str">
        <f>IFERROR(__xludf.DUMMYFUNCTION("""COMPUTED_VALUE"""),"b2b5f2c5")</f>
        <v>b2b5f2c5</v>
      </c>
      <c r="E2093" s="221" t="str">
        <f>IFERROR(__xludf.DUMMYFUNCTION("""COMPUTED_VALUE"""),"Bengkel Las Bpk. Ari")</f>
        <v>Bengkel Las Bpk. Ari</v>
      </c>
      <c r="F2093" s="221" t="str">
        <f>IFERROR(__xludf.DUMMYFUNCTION("""COMPUTED_VALUE"""),"8bdbe149")</f>
        <v>8bdbe149</v>
      </c>
      <c r="G2093" s="221" t="str">
        <f>IFERROR(__xludf.DUMMYFUNCTION("""COMPUTED_VALUE"""),"Oksigen 6m3")</f>
        <v>Oksigen 6m3</v>
      </c>
      <c r="H2093" s="221" t="str">
        <f>IFERROR(__xludf.DUMMYFUNCTION("""COMPUTED_VALUE"""),"IN")</f>
        <v>IN</v>
      </c>
      <c r="I2093" s="221" t="str">
        <f>IFERROR(__xludf.DUMMYFUNCTION("""COMPUTED_VALUE"""),"EMPTY")</f>
        <v>EMPTY</v>
      </c>
      <c r="J2093" s="221">
        <f>IFERROR(__xludf.DUMMYFUNCTION("""COMPUTED_VALUE"""),1.0)</f>
        <v>1</v>
      </c>
      <c r="K2093" s="219" t="str">
        <f>IFERROR(__xludf.DUMMYFUNCTION("""COMPUTED_VALUE"""),"1155")</f>
        <v>1155</v>
      </c>
      <c r="L2093" s="221">
        <f>IFERROR(__xludf.DUMMYFUNCTION("""COMPUTED_VALUE"""),0.0)</f>
        <v>0</v>
      </c>
      <c r="M2093" s="221"/>
      <c r="N2093" s="211"/>
      <c r="O2093" s="211"/>
      <c r="Q2093" s="210" t="str">
        <f>IFERROR(__xludf.DUMMYFUNCTION("""COMPUTED_VALUE"""),"1251000")</f>
        <v>1251000</v>
      </c>
      <c r="R2093" s="210" t="str">
        <f>IFERROR(__xludf.DUMMYFUNCTION("""COMPUTED_VALUE"""),"1251000")</f>
        <v>1251000</v>
      </c>
      <c r="S2093" s="211" t="str">
        <f>IFERROR(__xludf.DUMMYFUNCTION("""COMPUTED_VALUE"""),"440df1db")</f>
        <v>440df1db</v>
      </c>
      <c r="T2093" s="211" t="str">
        <f>IFERROR(__xludf.DUMMYFUNCTION("""COMPUTED_VALUE"""),"PT. Mecca Abadi Sejahtera")</f>
        <v>PT. Mecca Abadi Sejahtera</v>
      </c>
      <c r="U2093" s="215">
        <f>IFERROR(__xludf.DUMMYFUNCTION("""COMPUTED_VALUE"""),46017.51810185185)</f>
        <v>46017.5181</v>
      </c>
      <c r="V2093" s="211" t="str">
        <f>IFERROR(__xludf.DUMMYFUNCTION("""COMPUTED_VALUE"""),"Jl. Raya Sawocangkring, RT.006/RW.002, Sawo, Sawocangkring, Kec. Wonoayu, Kabupaten Sidoarjo, Jawa Timur 61261")</f>
        <v>Jl. Raya Sawocangkring, RT.006/RW.002, Sawo, Sawocangkring, Kec. Wonoayu, Kabupaten Sidoarjo, Jawa Timur 61261</v>
      </c>
      <c r="W2093" s="211" t="str">
        <f>IFERROR(__xludf.DUMMYFUNCTION("""COMPUTED_VALUE"""),"IN")</f>
        <v>IN</v>
      </c>
      <c r="X2093" s="211"/>
    </row>
    <row r="2094">
      <c r="A2094" s="219" t="str">
        <f>IFERROR(__xludf.DUMMYFUNCTION("""COMPUTED_VALUE"""),"1250704")</f>
        <v>1250704</v>
      </c>
      <c r="B2094" s="219" t="str">
        <f>IFERROR(__xludf.DUMMYFUNCTION("""COMPUTED_VALUE"""),"1250704")</f>
        <v>1250704</v>
      </c>
      <c r="C2094" s="220">
        <f>IFERROR(__xludf.DUMMYFUNCTION("""COMPUTED_VALUE"""),45952.449525462966)</f>
        <v>45952.44953</v>
      </c>
      <c r="D2094" s="221" t="str">
        <f>IFERROR(__xludf.DUMMYFUNCTION("""COMPUTED_VALUE"""),"b2b5f2c5")</f>
        <v>b2b5f2c5</v>
      </c>
      <c r="E2094" s="221" t="str">
        <f>IFERROR(__xludf.DUMMYFUNCTION("""COMPUTED_VALUE"""),"Bengkel Las Bpk. Ari")</f>
        <v>Bengkel Las Bpk. Ari</v>
      </c>
      <c r="F2094" s="221" t="str">
        <f>IFERROR(__xludf.DUMMYFUNCTION("""COMPUTED_VALUE"""),"ef306e54")</f>
        <v>ef306e54</v>
      </c>
      <c r="G2094" s="221" t="str">
        <f>IFERROR(__xludf.DUMMYFUNCTION("""COMPUTED_VALUE"""),"Karbondioksida")</f>
        <v>Karbondioksida</v>
      </c>
      <c r="H2094" s="221" t="str">
        <f>IFERROR(__xludf.DUMMYFUNCTION("""COMPUTED_VALUE"""),"IN")</f>
        <v>IN</v>
      </c>
      <c r="I2094" s="221" t="str">
        <f>IFERROR(__xludf.DUMMYFUNCTION("""COMPUTED_VALUE"""),"CLAIM")</f>
        <v>CLAIM</v>
      </c>
      <c r="J2094" s="221">
        <f>IFERROR(__xludf.DUMMYFUNCTION("""COMPUTED_VALUE"""),1.0)</f>
        <v>1</v>
      </c>
      <c r="K2094" s="219" t="str">
        <f>IFERROR(__xludf.DUMMYFUNCTION("""COMPUTED_VALUE"""),"13034")</f>
        <v>13034</v>
      </c>
      <c r="L2094" s="221">
        <f>IFERROR(__xludf.DUMMYFUNCTION("""COMPUTED_VALUE"""),0.0)</f>
        <v>0</v>
      </c>
      <c r="M2094" s="221"/>
      <c r="N2094" s="211"/>
      <c r="O2094" s="211"/>
      <c r="Q2094" s="210" t="str">
        <f>IFERROR(__xludf.DUMMYFUNCTION("""COMPUTED_VALUE"""),"1225612091")</f>
        <v>1225612091</v>
      </c>
      <c r="R2094" s="210" t="str">
        <f>IFERROR(__xludf.DUMMYFUNCTION("""COMPUTED_VALUE"""),"1225612091")</f>
        <v>1225612091</v>
      </c>
      <c r="S2094" s="211" t="str">
        <f>IFERROR(__xludf.DUMMYFUNCTION("""COMPUTED_VALUE"""),"b2b5f2c5")</f>
        <v>b2b5f2c5</v>
      </c>
      <c r="T2094" s="211" t="str">
        <f>IFERROR(__xludf.DUMMYFUNCTION("""COMPUTED_VALUE"""),"Bengkel Las Bpk. Ari")</f>
        <v>Bengkel Las Bpk. Ari</v>
      </c>
      <c r="U2094" s="215">
        <f>IFERROR(__xludf.DUMMYFUNCTION("""COMPUTED_VALUE"""),46017.52071759259)</f>
        <v>46017.52072</v>
      </c>
      <c r="V2094" s="211" t="str">
        <f>IFERROR(__xludf.DUMMYFUNCTION("""COMPUTED_VALUE"""),"Sumber Kembar, Wonodadi, Kec. Kutorejo, Kabupaten Mojokerto, Jawa Timur")</f>
        <v>Sumber Kembar, Wonodadi, Kec. Kutorejo, Kabupaten Mojokerto, Jawa Timur</v>
      </c>
      <c r="W2094" s="211" t="str">
        <f>IFERROR(__xludf.DUMMYFUNCTION("""COMPUTED_VALUE"""),"OUT")</f>
        <v>OUT</v>
      </c>
      <c r="X2094" s="211"/>
    </row>
    <row r="2095">
      <c r="A2095" s="219" t="str">
        <f>IFERROR(__xludf.DUMMYFUNCTION("""COMPUTED_VALUE"""),"102521507")</f>
        <v>102521507</v>
      </c>
      <c r="B2095" s="219" t="str">
        <f>IFERROR(__xludf.DUMMYFUNCTION("""COMPUTED_VALUE"""),"102521507")</f>
        <v>102521507</v>
      </c>
      <c r="C2095" s="220">
        <f>IFERROR(__xludf.DUMMYFUNCTION("""COMPUTED_VALUE"""),45952.4516087963)</f>
        <v>45952.45161</v>
      </c>
      <c r="D2095" s="221" t="str">
        <f>IFERROR(__xludf.DUMMYFUNCTION("""COMPUTED_VALUE"""),"440df1db")</f>
        <v>440df1db</v>
      </c>
      <c r="E2095" s="221" t="str">
        <f>IFERROR(__xludf.DUMMYFUNCTION("""COMPUTED_VALUE"""),"PT. Mecca Abadi Sejahtera")</f>
        <v>PT. Mecca Abadi Sejahtera</v>
      </c>
      <c r="F2095" s="221" t="str">
        <f>IFERROR(__xludf.DUMMYFUNCTION("""COMPUTED_VALUE"""),"ef306e54")</f>
        <v>ef306e54</v>
      </c>
      <c r="G2095" s="221" t="str">
        <f>IFERROR(__xludf.DUMMYFUNCTION("""COMPUTED_VALUE"""),"Karbondioksida")</f>
        <v>Karbondioksida</v>
      </c>
      <c r="H2095" s="221" t="str">
        <f>IFERROR(__xludf.DUMMYFUNCTION("""COMPUTED_VALUE"""),"OUT")</f>
        <v>OUT</v>
      </c>
      <c r="I2095" s="221" t="str">
        <f>IFERROR(__xludf.DUMMYFUNCTION("""COMPUTED_VALUE"""),"NORMAL")</f>
        <v>NORMAL</v>
      </c>
      <c r="J2095" s="221">
        <f>IFERROR(__xludf.DUMMYFUNCTION("""COMPUTED_VALUE"""),3.0)</f>
        <v>3</v>
      </c>
      <c r="K2095" s="219" t="str">
        <f>IFERROR(__xludf.DUMMYFUNCTION("""COMPUTED_VALUE"""),"13003 13010 13027")</f>
        <v>13003 13010 13027</v>
      </c>
      <c r="L2095" s="221">
        <f>IFERROR(__xludf.DUMMYFUNCTION("""COMPUTED_VALUE"""),180000.0)</f>
        <v>180000</v>
      </c>
      <c r="M2095" s="221"/>
      <c r="N2095" s="211"/>
      <c r="O2095" s="211"/>
      <c r="Q2095" s="210" t="str">
        <f>IFERROR(__xludf.DUMMYFUNCTION("""COMPUTED_VALUE"""),"1225342095")</f>
        <v>1225342095</v>
      </c>
      <c r="R2095" s="210" t="str">
        <f>IFERROR(__xludf.DUMMYFUNCTION("""COMPUTED_VALUE"""),"1225342095")</f>
        <v>1225342095</v>
      </c>
      <c r="S2095" s="211" t="str">
        <f>IFERROR(__xludf.DUMMYFUNCTION("""COMPUTED_VALUE"""),"ec231cc9")</f>
        <v>ec231cc9</v>
      </c>
      <c r="T2095" s="211" t="str">
        <f>IFERROR(__xludf.DUMMYFUNCTION("""COMPUTED_VALUE"""),"Bpk. Kohir (Maintenance Velg)")</f>
        <v>Bpk. Kohir (Maintenance Velg)</v>
      </c>
      <c r="U2095" s="215">
        <f>IFERROR(__xludf.DUMMYFUNCTION("""COMPUTED_VALUE"""),46017.521157407406)</f>
        <v>46017.52116</v>
      </c>
      <c r="V2095" s="211" t="str">
        <f>IFERROR(__xludf.DUMMYFUNCTION("""COMPUTED_VALUE"""),"Jl. Lkr. Bypass Krian Timur, Sidogolong, Watugolong, Kec. Krian, Kabupaten Sidoarjo, Jawa Timur 61262")</f>
        <v>Jl. Lkr. Bypass Krian Timur, Sidogolong, Watugolong, Kec. Krian, Kabupaten Sidoarjo, Jawa Timur 61262</v>
      </c>
      <c r="W2095" s="211" t="str">
        <f>IFERROR(__xludf.DUMMYFUNCTION("""COMPUTED_VALUE"""),"OUT")</f>
        <v>OUT</v>
      </c>
      <c r="X2095" s="211"/>
    </row>
    <row r="2096">
      <c r="A2096" s="219" t="str">
        <f>IFERROR(__xludf.DUMMYFUNCTION("""COMPUTED_VALUE"""),"1025251510")</f>
        <v>1025251510</v>
      </c>
      <c r="B2096" s="219" t="str">
        <f>IFERROR(__xludf.DUMMYFUNCTION("""COMPUTED_VALUE"""),"1025251510")</f>
        <v>1025251510</v>
      </c>
      <c r="C2096" s="220">
        <f>IFERROR(__xludf.DUMMYFUNCTION("""COMPUTED_VALUE"""),45952.45814814815)</f>
        <v>45952.45815</v>
      </c>
      <c r="D2096" s="221" t="str">
        <f>IFERROR(__xludf.DUMMYFUNCTION("""COMPUTED_VALUE"""),"8f5ebaea")</f>
        <v>8f5ebaea</v>
      </c>
      <c r="E2096" s="221" t="str">
        <f>IFERROR(__xludf.DUMMYFUNCTION("""COMPUTED_VALUE"""),"PT Hua Zong Mesindo")</f>
        <v>PT Hua Zong Mesindo</v>
      </c>
      <c r="F2096" s="221" t="str">
        <f>IFERROR(__xludf.DUMMYFUNCTION("""COMPUTED_VALUE"""),"ef306e54")</f>
        <v>ef306e54</v>
      </c>
      <c r="G2096" s="221" t="str">
        <f>IFERROR(__xludf.DUMMYFUNCTION("""COMPUTED_VALUE"""),"Karbondioksida")</f>
        <v>Karbondioksida</v>
      </c>
      <c r="H2096" s="221" t="str">
        <f>IFERROR(__xludf.DUMMYFUNCTION("""COMPUTED_VALUE"""),"OUT")</f>
        <v>OUT</v>
      </c>
      <c r="I2096" s="221" t="str">
        <f>IFERROR(__xludf.DUMMYFUNCTION("""COMPUTED_VALUE"""),"NORMAL")</f>
        <v>NORMAL</v>
      </c>
      <c r="J2096" s="221">
        <f>IFERROR(__xludf.DUMMYFUNCTION("""COMPUTED_VALUE"""),2.0)</f>
        <v>2</v>
      </c>
      <c r="K2096" s="219" t="str">
        <f>IFERROR(__xludf.DUMMYFUNCTION("""COMPUTED_VALUE"""),"13016 13024")</f>
        <v>13016 13024</v>
      </c>
      <c r="L2096" s="221">
        <f>IFERROR(__xludf.DUMMYFUNCTION("""COMPUTED_VALUE"""),160000.0)</f>
        <v>160000</v>
      </c>
      <c r="M2096" s="221"/>
      <c r="N2096" s="211"/>
      <c r="O2096" s="211"/>
      <c r="Q2096" s="210" t="str">
        <f>IFERROR(__xludf.DUMMYFUNCTION("""COMPUTED_VALUE"""),"1251010")</f>
        <v>1251010</v>
      </c>
      <c r="R2096" s="210" t="str">
        <f>IFERROR(__xludf.DUMMYFUNCTION("""COMPUTED_VALUE"""),"1251010")</f>
        <v>1251010</v>
      </c>
      <c r="S2096" s="211" t="str">
        <f>IFERROR(__xludf.DUMMYFUNCTION("""COMPUTED_VALUE"""),"ba97d58d")</f>
        <v>ba97d58d</v>
      </c>
      <c r="T2096" s="211" t="str">
        <f>IFERROR(__xludf.DUMMYFUNCTION("""COMPUTED_VALUE"""),"Bengkel Citra Mojosari")</f>
        <v>Bengkel Citra Mojosari</v>
      </c>
      <c r="U2096" s="215">
        <f>IFERROR(__xludf.DUMMYFUNCTION("""COMPUTED_VALUE"""),46017.64958333333)</f>
        <v>46017.64958</v>
      </c>
      <c r="V2096" s="211" t="str">
        <f>IFERROR(__xludf.DUMMYFUNCTION("""COMPUTED_VALUE"""),"Jl. Raden Wijaya, Kemloko, Jotangan, Kec. Mojosari, Kabupaten Mojokerto, Jawa Timur 61382")</f>
        <v>Jl. Raden Wijaya, Kemloko, Jotangan, Kec. Mojosari, Kabupaten Mojokerto, Jawa Timur 61382</v>
      </c>
      <c r="W2096" s="211" t="str">
        <f>IFERROR(__xludf.DUMMYFUNCTION("""COMPUTED_VALUE"""),"IN")</f>
        <v>IN</v>
      </c>
      <c r="X2096" s="211"/>
    </row>
    <row r="2097">
      <c r="A2097" s="219" t="str">
        <f>IFERROR(__xludf.DUMMYFUNCTION("""COMPUTED_VALUE"""),"1025251510")</f>
        <v>1025251510</v>
      </c>
      <c r="B2097" s="219" t="str">
        <f>IFERROR(__xludf.DUMMYFUNCTION("""COMPUTED_VALUE"""),"1025251510")</f>
        <v>1025251510</v>
      </c>
      <c r="C2097" s="220">
        <f>IFERROR(__xludf.DUMMYFUNCTION("""COMPUTED_VALUE"""),45952.45814814815)</f>
        <v>45952.45815</v>
      </c>
      <c r="D2097" s="221" t="str">
        <f>IFERROR(__xludf.DUMMYFUNCTION("""COMPUTED_VALUE"""),"8f5ebaea")</f>
        <v>8f5ebaea</v>
      </c>
      <c r="E2097" s="221" t="str">
        <f>IFERROR(__xludf.DUMMYFUNCTION("""COMPUTED_VALUE"""),"PT Hua Zong Mesindo")</f>
        <v>PT Hua Zong Mesindo</v>
      </c>
      <c r="F2097" s="221" t="str">
        <f>IFERROR(__xludf.DUMMYFUNCTION("""COMPUTED_VALUE"""),"66af7c72")</f>
        <v>66af7c72</v>
      </c>
      <c r="G2097" s="221" t="str">
        <f>IFERROR(__xludf.DUMMYFUNCTION("""COMPUTED_VALUE"""),"Argon 6m3")</f>
        <v>Argon 6m3</v>
      </c>
      <c r="H2097" s="221" t="str">
        <f>IFERROR(__xludf.DUMMYFUNCTION("""COMPUTED_VALUE"""),"OUT")</f>
        <v>OUT</v>
      </c>
      <c r="I2097" s="221" t="str">
        <f>IFERROR(__xludf.DUMMYFUNCTION("""COMPUTED_VALUE"""),"NORMAL")</f>
        <v>NORMAL</v>
      </c>
      <c r="J2097" s="221">
        <f>IFERROR(__xludf.DUMMYFUNCTION("""COMPUTED_VALUE"""),2.0)</f>
        <v>2</v>
      </c>
      <c r="K2097" s="219" t="str">
        <f>IFERROR(__xludf.DUMMYFUNCTION("""COMPUTED_VALUE"""),"12057 12079")</f>
        <v>12057 12079</v>
      </c>
      <c r="L2097" s="221">
        <f>IFERROR(__xludf.DUMMYFUNCTION("""COMPUTED_VALUE"""),190000.0)</f>
        <v>190000</v>
      </c>
      <c r="M2097" s="221"/>
      <c r="N2097" s="211"/>
      <c r="O2097" s="211"/>
      <c r="Q2097" s="210" t="str">
        <f>IFERROR(__xludf.DUMMYFUNCTION("""COMPUTED_VALUE"""),"1251011")</f>
        <v>1251011</v>
      </c>
      <c r="R2097" s="210" t="str">
        <f>IFERROR(__xludf.DUMMYFUNCTION("""COMPUTED_VALUE"""),"1251011")</f>
        <v>1251011</v>
      </c>
      <c r="S2097" s="211" t="str">
        <f>IFERROR(__xludf.DUMMYFUNCTION("""COMPUTED_VALUE"""),"b2b5f2c5")</f>
        <v>b2b5f2c5</v>
      </c>
      <c r="T2097" s="211" t="str">
        <f>IFERROR(__xludf.DUMMYFUNCTION("""COMPUTED_VALUE"""),"Bengkel Las Bpk. Ari")</f>
        <v>Bengkel Las Bpk. Ari</v>
      </c>
      <c r="U2097" s="215">
        <f>IFERROR(__xludf.DUMMYFUNCTION("""COMPUTED_VALUE"""),46017.650358796294)</f>
        <v>46017.65036</v>
      </c>
      <c r="V2097" s="211" t="str">
        <f>IFERROR(__xludf.DUMMYFUNCTION("""COMPUTED_VALUE"""),"Sumber Kembar, Wonodadi, Kec. Kutorejo, Kabupaten Mojokerto, Jawa Timur")</f>
        <v>Sumber Kembar, Wonodadi, Kec. Kutorejo, Kabupaten Mojokerto, Jawa Timur</v>
      </c>
      <c r="W2097" s="211" t="str">
        <f>IFERROR(__xludf.DUMMYFUNCTION("""COMPUTED_VALUE"""),"IN")</f>
        <v>IN</v>
      </c>
      <c r="X2097" s="211"/>
    </row>
    <row r="2098">
      <c r="A2098" s="219" t="str">
        <f>IFERROR(__xludf.DUMMYFUNCTION("""COMPUTED_VALUE"""),"1025611511")</f>
        <v>1025611511</v>
      </c>
      <c r="B2098" s="219" t="str">
        <f>IFERROR(__xludf.DUMMYFUNCTION("""COMPUTED_VALUE"""),"1025611511")</f>
        <v>1025611511</v>
      </c>
      <c r="C2098" s="220">
        <f>IFERROR(__xludf.DUMMYFUNCTION("""COMPUTED_VALUE"""),45952.460023148145)</f>
        <v>45952.46002</v>
      </c>
      <c r="D2098" s="221" t="str">
        <f>IFERROR(__xludf.DUMMYFUNCTION("""COMPUTED_VALUE"""),"e86baf3b")</f>
        <v>e86baf3b</v>
      </c>
      <c r="E2098" s="221" t="str">
        <f>IFERROR(__xludf.DUMMYFUNCTION("""COMPUTED_VALUE"""),"PT GEMILANG CIPTA WAWASAN")</f>
        <v>PT GEMILANG CIPTA WAWASAN</v>
      </c>
      <c r="F2098" s="221" t="str">
        <f>IFERROR(__xludf.DUMMYFUNCTION("""COMPUTED_VALUE"""),"66af7c72")</f>
        <v>66af7c72</v>
      </c>
      <c r="G2098" s="221" t="str">
        <f>IFERROR(__xludf.DUMMYFUNCTION("""COMPUTED_VALUE"""),"Argon 6m3")</f>
        <v>Argon 6m3</v>
      </c>
      <c r="H2098" s="221" t="str">
        <f>IFERROR(__xludf.DUMMYFUNCTION("""COMPUTED_VALUE"""),"OUT")</f>
        <v>OUT</v>
      </c>
      <c r="I2098" s="221" t="str">
        <f>IFERROR(__xludf.DUMMYFUNCTION("""COMPUTED_VALUE"""),"NORMAL")</f>
        <v>NORMAL</v>
      </c>
      <c r="J2098" s="221">
        <f>IFERROR(__xludf.DUMMYFUNCTION("""COMPUTED_VALUE"""),8.0)</f>
        <v>8</v>
      </c>
      <c r="K2098" s="219" t="str">
        <f>IFERROR(__xludf.DUMMYFUNCTION("""COMPUTED_VALUE"""),"12042 12048 12053 12038 12062 12064 12076 12013")</f>
        <v>12042 12048 12053 12038 12062 12064 12076 12013</v>
      </c>
      <c r="L2098" s="221">
        <f>IFERROR(__xludf.DUMMYFUNCTION("""COMPUTED_VALUE"""),185000.0)</f>
        <v>185000</v>
      </c>
      <c r="M2098" s="221"/>
      <c r="N2098" s="211"/>
      <c r="O2098" s="211"/>
      <c r="Q2098" s="210" t="str">
        <f>IFERROR(__xludf.DUMMYFUNCTION("""COMPUTED_VALUE"""),"122592096")</f>
        <v>122592096</v>
      </c>
      <c r="R2098" s="210" t="str">
        <f>IFERROR(__xludf.DUMMYFUNCTION("""COMPUTED_VALUE"""),"122592096")</f>
        <v>122592096</v>
      </c>
      <c r="S2098" s="211" t="str">
        <f>IFERROR(__xludf.DUMMYFUNCTION("""COMPUTED_VALUE"""),"3b04351a")</f>
        <v>3b04351a</v>
      </c>
      <c r="T2098" s="211" t="str">
        <f>IFERROR(__xludf.DUMMYFUNCTION("""COMPUTED_VALUE"""),"CV Usaha Logam Jaya ( Bpk Putra )")</f>
        <v>CV Usaha Logam Jaya ( Bpk Putra )</v>
      </c>
      <c r="U2098" s="215">
        <f>IFERROR(__xludf.DUMMYFUNCTION("""COMPUTED_VALUE"""),46018.34326388889)</f>
        <v>46018.34326</v>
      </c>
      <c r="V2098" s="211" t="str">
        <f>IFERROR(__xludf.DUMMYFUNCTION("""COMPUTED_VALUE"""),"Jl. Raya Wringinanom, Sidomoro, Pasinan Lemahputih, Kec. Wringinanom, Kabupaten Gresik, Jawa Timur 61176")</f>
        <v>Jl. Raya Wringinanom, Sidomoro, Pasinan Lemahputih, Kec. Wringinanom, Kabupaten Gresik, Jawa Timur 61176</v>
      </c>
      <c r="W2098" s="211" t="str">
        <f>IFERROR(__xludf.DUMMYFUNCTION("""COMPUTED_VALUE"""),"OUT")</f>
        <v>OUT</v>
      </c>
      <c r="X2098" s="211"/>
    </row>
    <row r="2099">
      <c r="A2099" s="219" t="str">
        <f>IFERROR(__xludf.DUMMYFUNCTION("""COMPUTED_VALUE"""),"1250684")</f>
        <v>1250684</v>
      </c>
      <c r="B2099" s="219" t="str">
        <f>IFERROR(__xludf.DUMMYFUNCTION("""COMPUTED_VALUE"""),"1250684")</f>
        <v>1250684</v>
      </c>
      <c r="C2099" s="220">
        <f>IFERROR(__xludf.DUMMYFUNCTION("""COMPUTED_VALUE"""),45952.46258101852)</f>
        <v>45952.46258</v>
      </c>
      <c r="D2099" s="221" t="str">
        <f>IFERROR(__xludf.DUMMYFUNCTION("""COMPUTED_VALUE"""),"b218b89b")</f>
        <v>b218b89b</v>
      </c>
      <c r="E2099" s="221" t="str">
        <f>IFERROR(__xludf.DUMMYFUNCTION("""COMPUTED_VALUE"""),"PT Harapan Sentosa")</f>
        <v>PT Harapan Sentosa</v>
      </c>
      <c r="F2099" s="221" t="str">
        <f>IFERROR(__xludf.DUMMYFUNCTION("""COMPUTED_VALUE"""),"7d2764f1")</f>
        <v>7d2764f1</v>
      </c>
      <c r="G2099" s="221" t="str">
        <f>IFERROR(__xludf.DUMMYFUNCTION("""COMPUTED_VALUE"""),"Oksigen 7m3")</f>
        <v>Oksigen 7m3</v>
      </c>
      <c r="H2099" s="221" t="str">
        <f>IFERROR(__xludf.DUMMYFUNCTION("""COMPUTED_VALUE"""),"IN")</f>
        <v>IN</v>
      </c>
      <c r="I2099" s="221" t="str">
        <f>IFERROR(__xludf.DUMMYFUNCTION("""COMPUTED_VALUE"""),"EMPTY")</f>
        <v>EMPTY</v>
      </c>
      <c r="J2099" s="221">
        <f>IFERROR(__xludf.DUMMYFUNCTION("""COMPUTED_VALUE"""),2.0)</f>
        <v>2</v>
      </c>
      <c r="K2099" s="219" t="str">
        <f>IFERROR(__xludf.DUMMYFUNCTION("""COMPUTED_VALUE"""),"11228 11171")</f>
        <v>11228 11171</v>
      </c>
      <c r="L2099" s="221">
        <f>IFERROR(__xludf.DUMMYFUNCTION("""COMPUTED_VALUE"""),0.0)</f>
        <v>0</v>
      </c>
      <c r="M2099" s="221"/>
      <c r="N2099" s="211"/>
      <c r="O2099" s="211"/>
      <c r="Q2099" s="210" t="str">
        <f>IFERROR(__xludf.DUMMYFUNCTION("""COMPUTED_VALUE"""),"1225622099")</f>
        <v>1225622099</v>
      </c>
      <c r="R2099" s="210" t="str">
        <f>IFERROR(__xludf.DUMMYFUNCTION("""COMPUTED_VALUE"""),"1225622099")</f>
        <v>1225622099</v>
      </c>
      <c r="S2099" s="211" t="str">
        <f>IFERROR(__xludf.DUMMYFUNCTION("""COMPUTED_VALUE"""),"b2b5f2c5")</f>
        <v>b2b5f2c5</v>
      </c>
      <c r="T2099" s="211" t="str">
        <f>IFERROR(__xludf.DUMMYFUNCTION("""COMPUTED_VALUE"""),"Bengkel Las Bpk. Ari")</f>
        <v>Bengkel Las Bpk. Ari</v>
      </c>
      <c r="U2099" s="215">
        <f>IFERROR(__xludf.DUMMYFUNCTION("""COMPUTED_VALUE"""),46018.42357638889)</f>
        <v>46018.42358</v>
      </c>
      <c r="V2099" s="211" t="str">
        <f>IFERROR(__xludf.DUMMYFUNCTION("""COMPUTED_VALUE"""),"Sumber Kembar, Wonodadi, Kec. Kutorejo, Kabupaten Mojokerto, Jawa Timur")</f>
        <v>Sumber Kembar, Wonodadi, Kec. Kutorejo, Kabupaten Mojokerto, Jawa Timur</v>
      </c>
      <c r="W2099" s="211" t="str">
        <f>IFERROR(__xludf.DUMMYFUNCTION("""COMPUTED_VALUE"""),"OUT")</f>
        <v>OUT</v>
      </c>
      <c r="X2099" s="211"/>
    </row>
    <row r="2100">
      <c r="A2100" s="219" t="str">
        <f>IFERROR(__xludf.DUMMYFUNCTION("""COMPUTED_VALUE"""),"1250684")</f>
        <v>1250684</v>
      </c>
      <c r="B2100" s="219" t="str">
        <f>IFERROR(__xludf.DUMMYFUNCTION("""COMPUTED_VALUE"""),"1250684")</f>
        <v>1250684</v>
      </c>
      <c r="C2100" s="220">
        <f>IFERROR(__xludf.DUMMYFUNCTION("""COMPUTED_VALUE"""),45952.46258101852)</f>
        <v>45952.46258</v>
      </c>
      <c r="D2100" s="221" t="str">
        <f>IFERROR(__xludf.DUMMYFUNCTION("""COMPUTED_VALUE"""),"b218b89b")</f>
        <v>b218b89b</v>
      </c>
      <c r="E2100" s="221" t="str">
        <f>IFERROR(__xludf.DUMMYFUNCTION("""COMPUTED_VALUE"""),"PT Harapan Sentosa")</f>
        <v>PT Harapan Sentosa</v>
      </c>
      <c r="F2100" s="221" t="str">
        <f>IFERROR(__xludf.DUMMYFUNCTION("""COMPUTED_VALUE"""),"8bdbe149")</f>
        <v>8bdbe149</v>
      </c>
      <c r="G2100" s="221" t="str">
        <f>IFERROR(__xludf.DUMMYFUNCTION("""COMPUTED_VALUE"""),"Oksigen 6m3")</f>
        <v>Oksigen 6m3</v>
      </c>
      <c r="H2100" s="221" t="str">
        <f>IFERROR(__xludf.DUMMYFUNCTION("""COMPUTED_VALUE"""),"IN")</f>
        <v>IN</v>
      </c>
      <c r="I2100" s="221" t="str">
        <f>IFERROR(__xludf.DUMMYFUNCTION("""COMPUTED_VALUE"""),"EMPTY")</f>
        <v>EMPTY</v>
      </c>
      <c r="J2100" s="221">
        <f>IFERROR(__xludf.DUMMYFUNCTION("""COMPUTED_VALUE"""),1.0)</f>
        <v>1</v>
      </c>
      <c r="K2100" s="219" t="str">
        <f>IFERROR(__xludf.DUMMYFUNCTION("""COMPUTED_VALUE"""),"1112")</f>
        <v>1112</v>
      </c>
      <c r="L2100" s="221">
        <f>IFERROR(__xludf.DUMMYFUNCTION("""COMPUTED_VALUE"""),0.0)</f>
        <v>0</v>
      </c>
      <c r="M2100" s="221"/>
      <c r="N2100" s="211"/>
      <c r="O2100" s="211"/>
      <c r="Q2100" s="210" t="str">
        <f>IFERROR(__xludf.DUMMYFUNCTION("""COMPUTED_VALUE"""),"1225422100")</f>
        <v>1225422100</v>
      </c>
      <c r="R2100" s="210" t="str">
        <f>IFERROR(__xludf.DUMMYFUNCTION("""COMPUTED_VALUE"""),"1225422100")</f>
        <v>1225422100</v>
      </c>
      <c r="S2100" s="211" t="str">
        <f>IFERROR(__xludf.DUMMYFUNCTION("""COMPUTED_VALUE"""),"01158be1")</f>
        <v>01158be1</v>
      </c>
      <c r="T2100" s="211" t="str">
        <f>IFERROR(__xludf.DUMMYFUNCTION("""COMPUTED_VALUE"""),"GYF")</f>
        <v>GYF</v>
      </c>
      <c r="U2100" s="215">
        <f>IFERROR(__xludf.DUMMYFUNCTION("""COMPUTED_VALUE"""),46018.523368055554)</f>
        <v>46018.52337</v>
      </c>
      <c r="V2100" s="211" t="str">
        <f>IFERROR(__xludf.DUMMYFUNCTION("""COMPUTED_VALUE"""),"Kangkungan, Lengkong, Kec. Mojoanyar, Kabupaten Mojokerto, Jawa Timur")</f>
        <v>Kangkungan, Lengkong, Kec. Mojoanyar, Kabupaten Mojokerto, Jawa Timur</v>
      </c>
      <c r="W2100" s="211" t="str">
        <f>IFERROR(__xludf.DUMMYFUNCTION("""COMPUTED_VALUE"""),"OUT")</f>
        <v>OUT</v>
      </c>
      <c r="X2100" s="211"/>
    </row>
    <row r="2101">
      <c r="A2101" s="219" t="str">
        <f>IFERROR(__xludf.DUMMYFUNCTION("""COMPUTED_VALUE"""),"102511512")</f>
        <v>102511512</v>
      </c>
      <c r="B2101" s="219" t="str">
        <f>IFERROR(__xludf.DUMMYFUNCTION("""COMPUTED_VALUE"""),"102511512")</f>
        <v>102511512</v>
      </c>
      <c r="C2101" s="220">
        <f>IFERROR(__xludf.DUMMYFUNCTION("""COMPUTED_VALUE"""),45952.518900462965)</f>
        <v>45952.5189</v>
      </c>
      <c r="D2101" s="221" t="str">
        <f>IFERROR(__xludf.DUMMYFUNCTION("""COMPUTED_VALUE"""),"9e5d8274")</f>
        <v>9e5d8274</v>
      </c>
      <c r="E2101" s="221" t="str">
        <f>IFERROR(__xludf.DUMMYFUNCTION("""COMPUTED_VALUE"""),"Pak Ery ( Lik Trosobo )")</f>
        <v>Pak Ery ( Lik Trosobo )</v>
      </c>
      <c r="F2101" s="221" t="str">
        <f>IFERROR(__xludf.DUMMYFUNCTION("""COMPUTED_VALUE"""),"7d2764f1")</f>
        <v>7d2764f1</v>
      </c>
      <c r="G2101" s="221" t="str">
        <f>IFERROR(__xludf.DUMMYFUNCTION("""COMPUTED_VALUE"""),"Oksigen 7m3")</f>
        <v>Oksigen 7m3</v>
      </c>
      <c r="H2101" s="221" t="str">
        <f>IFERROR(__xludf.DUMMYFUNCTION("""COMPUTED_VALUE"""),"OUT")</f>
        <v>OUT</v>
      </c>
      <c r="I2101" s="221" t="str">
        <f>IFERROR(__xludf.DUMMYFUNCTION("""COMPUTED_VALUE"""),"NORMAL")</f>
        <v>NORMAL</v>
      </c>
      <c r="J2101" s="221">
        <f>IFERROR(__xludf.DUMMYFUNCTION("""COMPUTED_VALUE"""),2.0)</f>
        <v>2</v>
      </c>
      <c r="K2101" s="219" t="str">
        <f>IFERROR(__xludf.DUMMYFUNCTION("""COMPUTED_VALUE"""),"11214 11222")</f>
        <v>11214 11222</v>
      </c>
      <c r="L2101" s="221">
        <f>IFERROR(__xludf.DUMMYFUNCTION("""COMPUTED_VALUE"""),65000.0)</f>
        <v>65000</v>
      </c>
      <c r="M2101" s="221"/>
      <c r="N2101" s="211"/>
      <c r="O2101" s="211"/>
      <c r="Q2101" s="210" t="str">
        <f>IFERROR(__xludf.DUMMYFUNCTION("""COMPUTED_VALUE"""),"1251015")</f>
        <v>1251015</v>
      </c>
      <c r="R2101" s="210" t="str">
        <f>IFERROR(__xludf.DUMMYFUNCTION("""COMPUTED_VALUE"""),"1251015")</f>
        <v>1251015</v>
      </c>
      <c r="S2101" s="211" t="str">
        <f>IFERROR(__xludf.DUMMYFUNCTION("""COMPUTED_VALUE"""),"785e0e07")</f>
        <v>785e0e07</v>
      </c>
      <c r="T2101" s="211" t="str">
        <f>IFERROR(__xludf.DUMMYFUNCTION("""COMPUTED_VALUE"""),"Bpk. Sukirno (Bejo)")</f>
        <v>Bpk. Sukirno (Bejo)</v>
      </c>
      <c r="U2101" s="215">
        <f>IFERROR(__xludf.DUMMYFUNCTION("""COMPUTED_VALUE"""),46018.52887731481)</f>
        <v>46018.52888</v>
      </c>
      <c r="V2101" s="211" t="str">
        <f>IFERROR(__xludf.DUMMYFUNCTION("""COMPUTED_VALUE"""),"Krajan I, Wringinanom, Kec. Wringinanom, Kabupaten Gresik, Jawa Timur 61176")</f>
        <v>Krajan I, Wringinanom, Kec. Wringinanom, Kabupaten Gresik, Jawa Timur 61176</v>
      </c>
      <c r="W2101" s="211" t="str">
        <f>IFERROR(__xludf.DUMMYFUNCTION("""COMPUTED_VALUE"""),"IN")</f>
        <v>IN</v>
      </c>
      <c r="X2101" s="211"/>
    </row>
    <row r="2102">
      <c r="A2102" s="219" t="str">
        <f>IFERROR(__xludf.DUMMYFUNCTION("""COMPUTED_VALUE"""),"102511512")</f>
        <v>102511512</v>
      </c>
      <c r="B2102" s="219" t="str">
        <f>IFERROR(__xludf.DUMMYFUNCTION("""COMPUTED_VALUE"""),"102511512")</f>
        <v>102511512</v>
      </c>
      <c r="C2102" s="220">
        <f>IFERROR(__xludf.DUMMYFUNCTION("""COMPUTED_VALUE"""),45952.518900462965)</f>
        <v>45952.5189</v>
      </c>
      <c r="D2102" s="221" t="str">
        <f>IFERROR(__xludf.DUMMYFUNCTION("""COMPUTED_VALUE"""),"9e5d8274")</f>
        <v>9e5d8274</v>
      </c>
      <c r="E2102" s="221" t="str">
        <f>IFERROR(__xludf.DUMMYFUNCTION("""COMPUTED_VALUE"""),"Pak Ery ( Lik Trosobo )")</f>
        <v>Pak Ery ( Lik Trosobo )</v>
      </c>
      <c r="F2102" s="221" t="str">
        <f>IFERROR(__xludf.DUMMYFUNCTION("""COMPUTED_VALUE"""),"be525f3b")</f>
        <v>be525f3b</v>
      </c>
      <c r="G2102" s="221" t="str">
        <f>IFERROR(__xludf.DUMMYFUNCTION("""COMPUTED_VALUE"""),"LPG 12kg")</f>
        <v>LPG 12kg</v>
      </c>
      <c r="H2102" s="221" t="str">
        <f>IFERROR(__xludf.DUMMYFUNCTION("""COMPUTED_VALUE"""),"OUT")</f>
        <v>OUT</v>
      </c>
      <c r="I2102" s="221" t="str">
        <f>IFERROR(__xludf.DUMMYFUNCTION("""COMPUTED_VALUE"""),"NORMAL")</f>
        <v>NORMAL</v>
      </c>
      <c r="J2102" s="221">
        <f>IFERROR(__xludf.DUMMYFUNCTION("""COMPUTED_VALUE"""),1.0)</f>
        <v>1</v>
      </c>
      <c r="K2102" s="219" t="str">
        <f>IFERROR(__xludf.DUMMYFUNCTION("""COMPUTED_VALUE"""),"01")</f>
        <v>01</v>
      </c>
      <c r="L2102" s="221">
        <f>IFERROR(__xludf.DUMMYFUNCTION("""COMPUTED_VALUE"""),215000.0)</f>
        <v>215000</v>
      </c>
      <c r="M2102" s="221"/>
      <c r="N2102" s="211"/>
      <c r="O2102" s="211"/>
      <c r="Q2102" s="210" t="str">
        <f>IFERROR(__xludf.DUMMYFUNCTION("""COMPUTED_VALUE"""),"1251013")</f>
        <v>1251013</v>
      </c>
      <c r="R2102" s="210" t="str">
        <f>IFERROR(__xludf.DUMMYFUNCTION("""COMPUTED_VALUE"""),"1251013")</f>
        <v>1251013</v>
      </c>
      <c r="S2102" s="211" t="str">
        <f>IFERROR(__xludf.DUMMYFUNCTION("""COMPUTED_VALUE"""),"eec2e801")</f>
        <v>eec2e801</v>
      </c>
      <c r="T2102" s="211" t="str">
        <f>IFERROR(__xludf.DUMMYFUNCTION("""COMPUTED_VALUE"""),"Mitra Wood Sejahtera")</f>
        <v>Mitra Wood Sejahtera</v>
      </c>
      <c r="U2102" s="215">
        <f>IFERROR(__xludf.DUMMYFUNCTION("""COMPUTED_VALUE"""),46018.530497685184)</f>
        <v>46018.5305</v>
      </c>
      <c r="V2102" s="211" t="str">
        <f>IFERROR(__xludf.DUMMYFUNCTION("""COMPUTED_VALUE"""),"Jl.cungkling, Jl. Tanggungan, Nanom Kidul, Lebaniwaras, Kec. Wringinanom, Kabupaten Gresik, Jawa Timur 61176")</f>
        <v>Jl.cungkling, Jl. Tanggungan, Nanom Kidul, Lebaniwaras, Kec. Wringinanom, Kabupaten Gresik, Jawa Timur 61176</v>
      </c>
      <c r="W2102" s="211" t="str">
        <f>IFERROR(__xludf.DUMMYFUNCTION("""COMPUTED_VALUE"""),"IN")</f>
        <v>IN</v>
      </c>
      <c r="X2102" s="211"/>
    </row>
    <row r="2103">
      <c r="A2103" s="219" t="str">
        <f>IFERROR(__xludf.DUMMYFUNCTION("""COMPUTED_VALUE"""),"1250705")</f>
        <v>1250705</v>
      </c>
      <c r="B2103" s="219" t="str">
        <f>IFERROR(__xludf.DUMMYFUNCTION("""COMPUTED_VALUE"""),"1250705")</f>
        <v>1250705</v>
      </c>
      <c r="C2103" s="220">
        <f>IFERROR(__xludf.DUMMYFUNCTION("""COMPUTED_VALUE"""),45952.57927083333)</f>
        <v>45952.57927</v>
      </c>
      <c r="D2103" s="221" t="str">
        <f>IFERROR(__xludf.DUMMYFUNCTION("""COMPUTED_VALUE"""),"440df1db")</f>
        <v>440df1db</v>
      </c>
      <c r="E2103" s="221" t="str">
        <f>IFERROR(__xludf.DUMMYFUNCTION("""COMPUTED_VALUE"""),"PT. Mecca Abadi Sejahtera")</f>
        <v>PT. Mecca Abadi Sejahtera</v>
      </c>
      <c r="F2103" s="221" t="str">
        <f>IFERROR(__xludf.DUMMYFUNCTION("""COMPUTED_VALUE"""),"ef306e54")</f>
        <v>ef306e54</v>
      </c>
      <c r="G2103" s="221" t="str">
        <f>IFERROR(__xludf.DUMMYFUNCTION("""COMPUTED_VALUE"""),"Karbondioksida")</f>
        <v>Karbondioksida</v>
      </c>
      <c r="H2103" s="221" t="str">
        <f>IFERROR(__xludf.DUMMYFUNCTION("""COMPUTED_VALUE"""),"IN")</f>
        <v>IN</v>
      </c>
      <c r="I2103" s="221" t="str">
        <f>IFERROR(__xludf.DUMMYFUNCTION("""COMPUTED_VALUE"""),"EMPTY")</f>
        <v>EMPTY</v>
      </c>
      <c r="J2103" s="221">
        <f>IFERROR(__xludf.DUMMYFUNCTION("""COMPUTED_VALUE"""),1.0)</f>
        <v>1</v>
      </c>
      <c r="K2103" s="219" t="str">
        <f>IFERROR(__xludf.DUMMYFUNCTION("""COMPUTED_VALUE"""),"13008")</f>
        <v>13008</v>
      </c>
      <c r="L2103" s="221">
        <f>IFERROR(__xludf.DUMMYFUNCTION("""COMPUTED_VALUE"""),0.0)</f>
        <v>0</v>
      </c>
      <c r="M2103" s="221"/>
      <c r="N2103" s="211"/>
      <c r="O2103" s="211"/>
      <c r="Q2103" s="210" t="str">
        <f>IFERROR(__xludf.DUMMYFUNCTION("""COMPUTED_VALUE"""),"122562101")</f>
        <v>122562101</v>
      </c>
      <c r="R2103" s="210" t="str">
        <f>IFERROR(__xludf.DUMMYFUNCTION("""COMPUTED_VALUE"""),"122562101")</f>
        <v>122562101</v>
      </c>
      <c r="S2103" s="211" t="str">
        <f>IFERROR(__xludf.DUMMYFUNCTION("""COMPUTED_VALUE"""),"9b941888")</f>
        <v>9b941888</v>
      </c>
      <c r="T2103" s="211" t="str">
        <f>IFERROR(__xludf.DUMMYFUNCTION("""COMPUTED_VALUE"""),"Mas Devi ( Parengan )")</f>
        <v>Mas Devi ( Parengan )</v>
      </c>
      <c r="U2103" s="215">
        <f>IFERROR(__xludf.DUMMYFUNCTION("""COMPUTED_VALUE"""),46018.53119212963)</f>
        <v>46018.53119</v>
      </c>
      <c r="V2103" s="211" t="str">
        <f>IFERROR(__xludf.DUMMYFUNCTION("""COMPUTED_VALUE"""),"Kraton Krian Sidoarjo, ( sebelah tower listrik )")</f>
        <v>Kraton Krian Sidoarjo, ( sebelah tower listrik )</v>
      </c>
      <c r="W2103" s="211" t="str">
        <f>IFERROR(__xludf.DUMMYFUNCTION("""COMPUTED_VALUE"""),"OUT")</f>
        <v>OUT</v>
      </c>
      <c r="X2103" s="211"/>
    </row>
    <row r="2104">
      <c r="A2104" s="219" t="str">
        <f>IFERROR(__xludf.DUMMYFUNCTION("""COMPUTED_VALUE"""),"1250706")</f>
        <v>1250706</v>
      </c>
      <c r="B2104" s="219" t="str">
        <f>IFERROR(__xludf.DUMMYFUNCTION("""COMPUTED_VALUE"""),"1250706")</f>
        <v>1250706</v>
      </c>
      <c r="C2104" s="220">
        <f>IFERROR(__xludf.DUMMYFUNCTION("""COMPUTED_VALUE"""),45952.58011574074)</f>
        <v>45952.58012</v>
      </c>
      <c r="D2104" s="221" t="str">
        <f>IFERROR(__xludf.DUMMYFUNCTION("""COMPUTED_VALUE"""),"9e5d8274")</f>
        <v>9e5d8274</v>
      </c>
      <c r="E2104" s="221" t="str">
        <f>IFERROR(__xludf.DUMMYFUNCTION("""COMPUTED_VALUE"""),"Bpk. Erry ( Lik Trosobo )")</f>
        <v>Bpk. Erry ( Lik Trosobo )</v>
      </c>
      <c r="F2104" s="221" t="str">
        <f>IFERROR(__xludf.DUMMYFUNCTION("""COMPUTED_VALUE"""),"be525f3b")</f>
        <v>be525f3b</v>
      </c>
      <c r="G2104" s="221" t="str">
        <f>IFERROR(__xludf.DUMMYFUNCTION("""COMPUTED_VALUE"""),"LPG 12kg")</f>
        <v>LPG 12kg</v>
      </c>
      <c r="H2104" s="221" t="str">
        <f>IFERROR(__xludf.DUMMYFUNCTION("""COMPUTED_VALUE"""),"IN")</f>
        <v>IN</v>
      </c>
      <c r="I2104" s="221" t="str">
        <f>IFERROR(__xludf.DUMMYFUNCTION("""COMPUTED_VALUE"""),"EMPTY")</f>
        <v>EMPTY</v>
      </c>
      <c r="J2104" s="221">
        <f>IFERROR(__xludf.DUMMYFUNCTION("""COMPUTED_VALUE"""),1.0)</f>
        <v>1</v>
      </c>
      <c r="K2104" s="221"/>
      <c r="L2104" s="221">
        <f>IFERROR(__xludf.DUMMYFUNCTION("""COMPUTED_VALUE"""),0.0)</f>
        <v>0</v>
      </c>
      <c r="M2104" s="221"/>
      <c r="N2104" s="211"/>
      <c r="O2104" s="211"/>
      <c r="Q2104" s="210" t="str">
        <f>IFERROR(__xludf.DUMMYFUNCTION("""COMPUTED_VALUE"""),"1251014")</f>
        <v>1251014</v>
      </c>
      <c r="R2104" s="210" t="str">
        <f>IFERROR(__xludf.DUMMYFUNCTION("""COMPUTED_VALUE"""),"1251014")</f>
        <v>1251014</v>
      </c>
      <c r="S2104" s="211" t="str">
        <f>IFERROR(__xludf.DUMMYFUNCTION("""COMPUTED_VALUE"""),"56828503")</f>
        <v>56828503</v>
      </c>
      <c r="T2104" s="211" t="str">
        <f>IFERROR(__xludf.DUMMYFUNCTION("""COMPUTED_VALUE"""),"Bpk. Widodo (Wringinanom)")</f>
        <v>Bpk. Widodo (Wringinanom)</v>
      </c>
      <c r="U2104" s="215">
        <f>IFERROR(__xludf.DUMMYFUNCTION("""COMPUTED_VALUE"""),46018.53159722222)</f>
        <v>46018.5316</v>
      </c>
      <c r="V2104" s="211" t="str">
        <f>IFERROR(__xludf.DUMMYFUNCTION("""COMPUTED_VALUE"""),"JG4H+3J Area Sawah/Kebun, Lebaniwaras, Kec. Wringinanom, Kabupaten Gresik, Jawa Timur, Indonesia")</f>
        <v>JG4H+3J Area Sawah/Kebun, Lebaniwaras, Kec. Wringinanom, Kabupaten Gresik, Jawa Timur, Indonesia</v>
      </c>
      <c r="W2104" s="211" t="str">
        <f>IFERROR(__xludf.DUMMYFUNCTION("""COMPUTED_VALUE"""),"IN")</f>
        <v>IN</v>
      </c>
      <c r="X2104" s="211"/>
    </row>
    <row r="2105">
      <c r="A2105" s="219" t="str">
        <f>IFERROR(__xludf.DUMMYFUNCTION("""COMPUTED_VALUE"""),"102521514")</f>
        <v>102521514</v>
      </c>
      <c r="B2105" s="219" t="str">
        <f>IFERROR(__xludf.DUMMYFUNCTION("""COMPUTED_VALUE"""),"102521514")</f>
        <v>102521514</v>
      </c>
      <c r="C2105" s="220">
        <f>IFERROR(__xludf.DUMMYFUNCTION("""COMPUTED_VALUE"""),45953.36607638889)</f>
        <v>45953.36608</v>
      </c>
      <c r="D2105" s="221" t="str">
        <f>IFERROR(__xludf.DUMMYFUNCTION("""COMPUTED_VALUE"""),"f49860e4")</f>
        <v>f49860e4</v>
      </c>
      <c r="E2105" s="221" t="str">
        <f>IFERROR(__xludf.DUMMYFUNCTION("""COMPUTED_VALUE"""),"Mas Nur ( Jetis )")</f>
        <v>Mas Nur ( Jetis )</v>
      </c>
      <c r="F2105" s="221" t="str">
        <f>IFERROR(__xludf.DUMMYFUNCTION("""COMPUTED_VALUE"""),"8bdbe149")</f>
        <v>8bdbe149</v>
      </c>
      <c r="G2105" s="221" t="str">
        <f>IFERROR(__xludf.DUMMYFUNCTION("""COMPUTED_VALUE"""),"Oksigen 6m3")</f>
        <v>Oksigen 6m3</v>
      </c>
      <c r="H2105" s="221" t="str">
        <f>IFERROR(__xludf.DUMMYFUNCTION("""COMPUTED_VALUE"""),"OUT")</f>
        <v>OUT</v>
      </c>
      <c r="I2105" s="221" t="str">
        <f>IFERROR(__xludf.DUMMYFUNCTION("""COMPUTED_VALUE"""),"NORMAL")</f>
        <v>NORMAL</v>
      </c>
      <c r="J2105" s="221">
        <f>IFERROR(__xludf.DUMMYFUNCTION("""COMPUTED_VALUE"""),4.0)</f>
        <v>4</v>
      </c>
      <c r="K2105" s="219" t="str">
        <f>IFERROR(__xludf.DUMMYFUNCTION("""COMPUTED_VALUE"""),"11271 1124 1117 1148")</f>
        <v>11271 1124 1117 1148</v>
      </c>
      <c r="L2105" s="221">
        <f>IFERROR(__xludf.DUMMYFUNCTION("""COMPUTED_VALUE"""),60000.0)</f>
        <v>60000</v>
      </c>
      <c r="M2105" s="221"/>
      <c r="N2105" s="211"/>
      <c r="O2105" s="211"/>
      <c r="Q2105" s="210" t="str">
        <f>IFERROR(__xludf.DUMMYFUNCTION("""COMPUTED_VALUE"""),"1251012")</f>
        <v>1251012</v>
      </c>
      <c r="R2105" s="210" t="str">
        <f>IFERROR(__xludf.DUMMYFUNCTION("""COMPUTED_VALUE"""),"1251012")</f>
        <v>1251012</v>
      </c>
      <c r="S2105" s="211" t="str">
        <f>IFERROR(__xludf.DUMMYFUNCTION("""COMPUTED_VALUE"""),"3b04351a")</f>
        <v>3b04351a</v>
      </c>
      <c r="T2105" s="211" t="str">
        <f>IFERROR(__xludf.DUMMYFUNCTION("""COMPUTED_VALUE"""),"CV Usaha Logam Jaya ( Bpk Putra )")</f>
        <v>CV Usaha Logam Jaya ( Bpk Putra )</v>
      </c>
      <c r="U2105" s="215">
        <f>IFERROR(__xludf.DUMMYFUNCTION("""COMPUTED_VALUE"""),46018.531909722224)</f>
        <v>46018.53191</v>
      </c>
      <c r="V2105" s="211" t="str">
        <f>IFERROR(__xludf.DUMMYFUNCTION("""COMPUTED_VALUE"""),"Jl. Raya Wringinanom, Sidomoro, Pasinan Lemahputih, Kec. Wringinanom, Kabupaten Gresik, Jawa Timur 61176")</f>
        <v>Jl. Raya Wringinanom, Sidomoro, Pasinan Lemahputih, Kec. Wringinanom, Kabupaten Gresik, Jawa Timur 61176</v>
      </c>
      <c r="W2105" s="211" t="str">
        <f>IFERROR(__xludf.DUMMYFUNCTION("""COMPUTED_VALUE"""),"IN")</f>
        <v>IN</v>
      </c>
      <c r="X2105" s="211"/>
    </row>
    <row r="2106">
      <c r="A2106" s="219" t="str">
        <f>IFERROR(__xludf.DUMMYFUNCTION("""COMPUTED_VALUE"""),"1025261517")</f>
        <v>1025261517</v>
      </c>
      <c r="B2106" s="219" t="str">
        <f>IFERROR(__xludf.DUMMYFUNCTION("""COMPUTED_VALUE"""),"1025261517")</f>
        <v>1025261517</v>
      </c>
      <c r="C2106" s="220">
        <f>IFERROR(__xludf.DUMMYFUNCTION("""COMPUTED_VALUE"""),45953.44002314815)</f>
        <v>45953.44002</v>
      </c>
      <c r="D2106" s="221" t="str">
        <f>IFERROR(__xludf.DUMMYFUNCTION("""COMPUTED_VALUE"""),"b2b5f2c5")</f>
        <v>b2b5f2c5</v>
      </c>
      <c r="E2106" s="221" t="str">
        <f>IFERROR(__xludf.DUMMYFUNCTION("""COMPUTED_VALUE"""),"Bengkel Las Bpk. Ari")</f>
        <v>Bengkel Las Bpk. Ari</v>
      </c>
      <c r="F2106" s="221" t="str">
        <f>IFERROR(__xludf.DUMMYFUNCTION("""COMPUTED_VALUE"""),"8bdbe149")</f>
        <v>8bdbe149</v>
      </c>
      <c r="G2106" s="221" t="str">
        <f>IFERROR(__xludf.DUMMYFUNCTION("""COMPUTED_VALUE"""),"Oksigen 6m3")</f>
        <v>Oksigen 6m3</v>
      </c>
      <c r="H2106" s="221" t="str">
        <f>IFERROR(__xludf.DUMMYFUNCTION("""COMPUTED_VALUE"""),"OUT")</f>
        <v>OUT</v>
      </c>
      <c r="I2106" s="221" t="str">
        <f>IFERROR(__xludf.DUMMYFUNCTION("""COMPUTED_VALUE"""),"NORMAL")</f>
        <v>NORMAL</v>
      </c>
      <c r="J2106" s="221">
        <f>IFERROR(__xludf.DUMMYFUNCTION("""COMPUTED_VALUE"""),6.0)</f>
        <v>6</v>
      </c>
      <c r="K2106" s="219" t="str">
        <f>IFERROR(__xludf.DUMMYFUNCTION("""COMPUTED_VALUE"""),"1155 11175 11255 11209 11228 11275")</f>
        <v>1155 11175 11255 11209 11228 11275</v>
      </c>
      <c r="L2106" s="221">
        <f>IFERROR(__xludf.DUMMYFUNCTION("""COMPUTED_VALUE"""),60000.0)</f>
        <v>60000</v>
      </c>
      <c r="M2106" s="221"/>
      <c r="N2106" s="211"/>
      <c r="O2106" s="211"/>
      <c r="Q2106" s="210" t="str">
        <f>IFERROR(__xludf.DUMMYFUNCTION("""COMPUTED_VALUE"""),"1251002")</f>
        <v>1251002</v>
      </c>
      <c r="R2106" s="210" t="str">
        <f>IFERROR(__xludf.DUMMYFUNCTION("""COMPUTED_VALUE"""),"1251002")</f>
        <v>1251002</v>
      </c>
      <c r="S2106" s="211" t="str">
        <f>IFERROR(__xludf.DUMMYFUNCTION("""COMPUTED_VALUE"""),"b2b5f2c5")</f>
        <v>b2b5f2c5</v>
      </c>
      <c r="T2106" s="211" t="str">
        <f>IFERROR(__xludf.DUMMYFUNCTION("""COMPUTED_VALUE"""),"Bengkel Las Bpk. Ari")</f>
        <v>Bengkel Las Bpk. Ari</v>
      </c>
      <c r="U2106" s="215">
        <f>IFERROR(__xludf.DUMMYFUNCTION("""COMPUTED_VALUE"""),46018.63214120371)</f>
        <v>46018.63214</v>
      </c>
      <c r="V2106" s="211" t="str">
        <f>IFERROR(__xludf.DUMMYFUNCTION("""COMPUTED_VALUE"""),"Sumber Kembar, Wonodadi, Kec. Kutorejo, Kabupaten Mojokerto, Jawa Timur")</f>
        <v>Sumber Kembar, Wonodadi, Kec. Kutorejo, Kabupaten Mojokerto, Jawa Timur</v>
      </c>
      <c r="W2106" s="211" t="str">
        <f>IFERROR(__xludf.DUMMYFUNCTION("""COMPUTED_VALUE"""),"IN")</f>
        <v>IN</v>
      </c>
      <c r="X2106" s="211"/>
    </row>
    <row r="2107">
      <c r="A2107" s="219" t="str">
        <f>IFERROR(__xludf.DUMMYFUNCTION("""COMPUTED_VALUE"""),"1250707")</f>
        <v>1250707</v>
      </c>
      <c r="B2107" s="219" t="str">
        <f>IFERROR(__xludf.DUMMYFUNCTION("""COMPUTED_VALUE"""),"1250707")</f>
        <v>1250707</v>
      </c>
      <c r="C2107" s="220">
        <f>IFERROR(__xludf.DUMMYFUNCTION("""COMPUTED_VALUE"""),45953.49215277778)</f>
        <v>45953.49215</v>
      </c>
      <c r="D2107" s="221" t="str">
        <f>IFERROR(__xludf.DUMMYFUNCTION("""COMPUTED_VALUE"""),"f49860e4")</f>
        <v>f49860e4</v>
      </c>
      <c r="E2107" s="221" t="str">
        <f>IFERROR(__xludf.DUMMYFUNCTION("""COMPUTED_VALUE"""),"Mas Nur ( Jetis )")</f>
        <v>Mas Nur ( Jetis )</v>
      </c>
      <c r="F2107" s="221" t="str">
        <f>IFERROR(__xludf.DUMMYFUNCTION("""COMPUTED_VALUE"""),"8bdbe149")</f>
        <v>8bdbe149</v>
      </c>
      <c r="G2107" s="221" t="str">
        <f>IFERROR(__xludf.DUMMYFUNCTION("""COMPUTED_VALUE"""),"Oksigen 6m3")</f>
        <v>Oksigen 6m3</v>
      </c>
      <c r="H2107" s="221" t="str">
        <f>IFERROR(__xludf.DUMMYFUNCTION("""COMPUTED_VALUE"""),"IN")</f>
        <v>IN</v>
      </c>
      <c r="I2107" s="221" t="str">
        <f>IFERROR(__xludf.DUMMYFUNCTION("""COMPUTED_VALUE"""),"EMPTY")</f>
        <v>EMPTY</v>
      </c>
      <c r="J2107" s="221">
        <f>IFERROR(__xludf.DUMMYFUNCTION("""COMPUTED_VALUE"""),4.0)</f>
        <v>4</v>
      </c>
      <c r="K2107" s="219" t="str">
        <f>IFERROR(__xludf.DUMMYFUNCTION("""COMPUTED_VALUE"""),"1185 1104 11128 1168")</f>
        <v>1185 1104 11128 1168</v>
      </c>
      <c r="L2107" s="221">
        <f>IFERROR(__xludf.DUMMYFUNCTION("""COMPUTED_VALUE"""),0.0)</f>
        <v>0</v>
      </c>
      <c r="M2107" s="221"/>
      <c r="N2107" s="211"/>
      <c r="O2107" s="211"/>
      <c r="Q2107" s="210" t="str">
        <f>IFERROR(__xludf.DUMMYFUNCTION("""COMPUTED_VALUE"""),"122572104")</f>
        <v>122572104</v>
      </c>
      <c r="R2107" s="210" t="str">
        <f>IFERROR(__xludf.DUMMYFUNCTION("""COMPUTED_VALUE"""),"122572104")</f>
        <v>122572104</v>
      </c>
      <c r="S2107" s="211" t="str">
        <f>IFERROR(__xludf.DUMMYFUNCTION("""COMPUTED_VALUE"""),"9b941888")</f>
        <v>9b941888</v>
      </c>
      <c r="T2107" s="211" t="str">
        <f>IFERROR(__xludf.DUMMYFUNCTION("""COMPUTED_VALUE"""),"Mas Devi ( Parengan )")</f>
        <v>Mas Devi ( Parengan )</v>
      </c>
      <c r="U2107" s="215">
        <f>IFERROR(__xludf.DUMMYFUNCTION("""COMPUTED_VALUE"""),46020.35666666667)</f>
        <v>46020.35667</v>
      </c>
      <c r="V2107" s="211" t="str">
        <f>IFERROR(__xludf.DUMMYFUNCTION("""COMPUTED_VALUE"""),"Kraton Krian Sidoarjo, ( sebelah tower listrik )")</f>
        <v>Kraton Krian Sidoarjo, ( sebelah tower listrik )</v>
      </c>
      <c r="W2107" s="211" t="str">
        <f>IFERROR(__xludf.DUMMYFUNCTION("""COMPUTED_VALUE"""),"OUT")</f>
        <v>OUT</v>
      </c>
      <c r="X2107" s="211"/>
    </row>
    <row r="2108">
      <c r="A2108" s="219" t="str">
        <f>IFERROR(__xludf.DUMMYFUNCTION("""COMPUTED_VALUE"""),"1250685")</f>
        <v>1250685</v>
      </c>
      <c r="B2108" s="219" t="str">
        <f>IFERROR(__xludf.DUMMYFUNCTION("""COMPUTED_VALUE"""),"1250685")</f>
        <v>1250685</v>
      </c>
      <c r="C2108" s="220">
        <f>IFERROR(__xludf.DUMMYFUNCTION("""COMPUTED_VALUE"""),45953.55740740741)</f>
        <v>45953.55741</v>
      </c>
      <c r="D2108" s="221" t="str">
        <f>IFERROR(__xludf.DUMMYFUNCTION("""COMPUTED_VALUE"""),"4ec68cf6")</f>
        <v>4ec68cf6</v>
      </c>
      <c r="E2108" s="221" t="str">
        <f>IFERROR(__xludf.DUMMYFUNCTION("""COMPUTED_VALUE"""),"CV Sido Mukti Karya")</f>
        <v>CV Sido Mukti Karya</v>
      </c>
      <c r="F2108" s="221" t="str">
        <f>IFERROR(__xludf.DUMMYFUNCTION("""COMPUTED_VALUE"""),"ef306e54")</f>
        <v>ef306e54</v>
      </c>
      <c r="G2108" s="221" t="str">
        <f>IFERROR(__xludf.DUMMYFUNCTION("""COMPUTED_VALUE"""),"Karbondioksida")</f>
        <v>Karbondioksida</v>
      </c>
      <c r="H2108" s="221" t="str">
        <f>IFERROR(__xludf.DUMMYFUNCTION("""COMPUTED_VALUE"""),"IN")</f>
        <v>IN</v>
      </c>
      <c r="I2108" s="221" t="str">
        <f>IFERROR(__xludf.DUMMYFUNCTION("""COMPUTED_VALUE"""),"EMPTY")</f>
        <v>EMPTY</v>
      </c>
      <c r="J2108" s="221">
        <f>IFERROR(__xludf.DUMMYFUNCTION("""COMPUTED_VALUE"""),1.0)</f>
        <v>1</v>
      </c>
      <c r="K2108" s="219" t="str">
        <f>IFERROR(__xludf.DUMMYFUNCTION("""COMPUTED_VALUE"""),"13029")</f>
        <v>13029</v>
      </c>
      <c r="L2108" s="221">
        <f>IFERROR(__xludf.DUMMYFUNCTION("""COMPUTED_VALUE"""),0.0)</f>
        <v>0</v>
      </c>
      <c r="M2108" s="221"/>
      <c r="N2108" s="211"/>
      <c r="O2108" s="211"/>
      <c r="Q2108" s="210" t="str">
        <f>IFERROR(__xludf.DUMMYFUNCTION("""COMPUTED_VALUE"""),"1251018")</f>
        <v>1251018</v>
      </c>
      <c r="R2108" s="210" t="str">
        <f>IFERROR(__xludf.DUMMYFUNCTION("""COMPUTED_VALUE"""),"1251018")</f>
        <v>1251018</v>
      </c>
      <c r="S2108" s="211" t="str">
        <f>IFERROR(__xludf.DUMMYFUNCTION("""COMPUTED_VALUE"""),"01158be1")</f>
        <v>01158be1</v>
      </c>
      <c r="T2108" s="211" t="str">
        <f>IFERROR(__xludf.DUMMYFUNCTION("""COMPUTED_VALUE"""),"GYF")</f>
        <v>GYF</v>
      </c>
      <c r="U2108" s="215">
        <f>IFERROR(__xludf.DUMMYFUNCTION("""COMPUTED_VALUE"""),46020.35693287037)</f>
        <v>46020.35693</v>
      </c>
      <c r="V2108" s="211" t="str">
        <f>IFERROR(__xludf.DUMMYFUNCTION("""COMPUTED_VALUE"""),"Kangkungan, Lengkong, Kec. Mojoanyar, Kabupaten Mojokerto, Jawa Timur")</f>
        <v>Kangkungan, Lengkong, Kec. Mojoanyar, Kabupaten Mojokerto, Jawa Timur</v>
      </c>
      <c r="W2108" s="211" t="str">
        <f>IFERROR(__xludf.DUMMYFUNCTION("""COMPUTED_VALUE"""),"IN")</f>
        <v>IN</v>
      </c>
      <c r="X2108" s="211"/>
    </row>
    <row r="2109">
      <c r="A2109" s="219" t="str">
        <f>IFERROR(__xludf.DUMMYFUNCTION("""COMPUTED_VALUE"""),"1250685")</f>
        <v>1250685</v>
      </c>
      <c r="B2109" s="219" t="str">
        <f>IFERROR(__xludf.DUMMYFUNCTION("""COMPUTED_VALUE"""),"1250685")</f>
        <v>1250685</v>
      </c>
      <c r="C2109" s="220">
        <f>IFERROR(__xludf.DUMMYFUNCTION("""COMPUTED_VALUE"""),45953.55740740741)</f>
        <v>45953.55741</v>
      </c>
      <c r="D2109" s="221" t="str">
        <f>IFERROR(__xludf.DUMMYFUNCTION("""COMPUTED_VALUE"""),"4ec68cf6")</f>
        <v>4ec68cf6</v>
      </c>
      <c r="E2109" s="221" t="str">
        <f>IFERROR(__xludf.DUMMYFUNCTION("""COMPUTED_VALUE"""),"CV Sido Mukti Karya")</f>
        <v>CV Sido Mukti Karya</v>
      </c>
      <c r="F2109" s="221" t="str">
        <f>IFERROR(__xludf.DUMMYFUNCTION("""COMPUTED_VALUE"""),"8bdbe149")</f>
        <v>8bdbe149</v>
      </c>
      <c r="G2109" s="221" t="str">
        <f>IFERROR(__xludf.DUMMYFUNCTION("""COMPUTED_VALUE"""),"Oksigen 6m3")</f>
        <v>Oksigen 6m3</v>
      </c>
      <c r="H2109" s="221" t="str">
        <f>IFERROR(__xludf.DUMMYFUNCTION("""COMPUTED_VALUE"""),"IN")</f>
        <v>IN</v>
      </c>
      <c r="I2109" s="221" t="str">
        <f>IFERROR(__xludf.DUMMYFUNCTION("""COMPUTED_VALUE"""),"EMPTY")</f>
        <v>EMPTY</v>
      </c>
      <c r="J2109" s="221">
        <f>IFERROR(__xludf.DUMMYFUNCTION("""COMPUTED_VALUE"""),1.0)</f>
        <v>1</v>
      </c>
      <c r="K2109" s="219" t="str">
        <f>IFERROR(__xludf.DUMMYFUNCTION("""COMPUTED_VALUE"""),"11104")</f>
        <v>11104</v>
      </c>
      <c r="L2109" s="221">
        <f>IFERROR(__xludf.DUMMYFUNCTION("""COMPUTED_VALUE"""),0.0)</f>
        <v>0</v>
      </c>
      <c r="M2109" s="221"/>
      <c r="N2109" s="211"/>
      <c r="O2109" s="211"/>
      <c r="Q2109" s="210" t="str">
        <f>IFERROR(__xludf.DUMMYFUNCTION("""COMPUTED_VALUE"""),"122582108")</f>
        <v>122582108</v>
      </c>
      <c r="R2109" s="210" t="str">
        <f>IFERROR(__xludf.DUMMYFUNCTION("""COMPUTED_VALUE"""),"122582108")</f>
        <v>122582108</v>
      </c>
      <c r="S2109" s="211" t="str">
        <f>IFERROR(__xludf.DUMMYFUNCTION("""COMPUTED_VALUE"""),"f8a982a4")</f>
        <v>f8a982a4</v>
      </c>
      <c r="T2109" s="211" t="str">
        <f>IFERROR(__xludf.DUMMYFUNCTION("""COMPUTED_VALUE"""),"Bpk. Nasir")</f>
        <v>Bpk. Nasir</v>
      </c>
      <c r="U2109" s="215">
        <f>IFERROR(__xludf.DUMMYFUNCTION("""COMPUTED_VALUE"""),46020.37486111111)</f>
        <v>46020.37486</v>
      </c>
      <c r="V2109" s="211" t="str">
        <f>IFERROR(__xludf.DUMMYFUNCTION("""COMPUTED_VALUE"""),"JL Raya Pacet, Dsn. Janti Ds. Jatilangkung RT.01 RW. 04. Kabupaten. Mojokerto Pungging, Jawa Timur")</f>
        <v>JL Raya Pacet, Dsn. Janti Ds. Jatilangkung RT.01 RW. 04. Kabupaten. Mojokerto Pungging, Jawa Timur</v>
      </c>
      <c r="W2109" s="211" t="str">
        <f>IFERROR(__xludf.DUMMYFUNCTION("""COMPUTED_VALUE"""),"OUT")</f>
        <v>OUT</v>
      </c>
      <c r="X2109" s="211"/>
    </row>
    <row r="2110">
      <c r="A2110" s="219" t="str">
        <f>IFERROR(__xludf.DUMMYFUNCTION("""COMPUTED_VALUE"""),"1250686")</f>
        <v>1250686</v>
      </c>
      <c r="B2110" s="219" t="str">
        <f>IFERROR(__xludf.DUMMYFUNCTION("""COMPUTED_VALUE"""),"1250686")</f>
        <v>1250686</v>
      </c>
      <c r="C2110" s="220">
        <f>IFERROR(__xludf.DUMMYFUNCTION("""COMPUTED_VALUE"""),45953.5584375)</f>
        <v>45953.55844</v>
      </c>
      <c r="D2110" s="221" t="str">
        <f>IFERROR(__xludf.DUMMYFUNCTION("""COMPUTED_VALUE"""),"b2b5f2c5")</f>
        <v>b2b5f2c5</v>
      </c>
      <c r="E2110" s="221" t="str">
        <f>IFERROR(__xludf.DUMMYFUNCTION("""COMPUTED_VALUE"""),"Bengkel Las Bpk. Ari")</f>
        <v>Bengkel Las Bpk. Ari</v>
      </c>
      <c r="F2110" s="221" t="str">
        <f>IFERROR(__xludf.DUMMYFUNCTION("""COMPUTED_VALUE"""),"8bdbe149")</f>
        <v>8bdbe149</v>
      </c>
      <c r="G2110" s="221" t="str">
        <f>IFERROR(__xludf.DUMMYFUNCTION("""COMPUTED_VALUE"""),"Oksigen 6m3")</f>
        <v>Oksigen 6m3</v>
      </c>
      <c r="H2110" s="221" t="str">
        <f>IFERROR(__xludf.DUMMYFUNCTION("""COMPUTED_VALUE"""),"IN")</f>
        <v>IN</v>
      </c>
      <c r="I2110" s="221" t="str">
        <f>IFERROR(__xludf.DUMMYFUNCTION("""COMPUTED_VALUE"""),"EMPTY")</f>
        <v>EMPTY</v>
      </c>
      <c r="J2110" s="221">
        <f>IFERROR(__xludf.DUMMYFUNCTION("""COMPUTED_VALUE"""),4.0)</f>
        <v>4</v>
      </c>
      <c r="K2110" s="219" t="str">
        <f>IFERROR(__xludf.DUMMYFUNCTION("""COMPUTED_VALUE"""),"1131 11272 11260 1197")</f>
        <v>1131 11272 11260 1197</v>
      </c>
      <c r="L2110" s="221">
        <f>IFERROR(__xludf.DUMMYFUNCTION("""COMPUTED_VALUE"""),0.0)</f>
        <v>0</v>
      </c>
      <c r="M2110" s="221"/>
      <c r="N2110" s="211"/>
      <c r="O2110" s="211"/>
      <c r="Q2110" s="210" t="str">
        <f>IFERROR(__xludf.DUMMYFUNCTION("""COMPUTED_VALUE"""),"1225172110")</f>
        <v>1225172110</v>
      </c>
      <c r="R2110" s="210" t="str">
        <f>IFERROR(__xludf.DUMMYFUNCTION("""COMPUTED_VALUE"""),"1225172110")</f>
        <v>1225172110</v>
      </c>
      <c r="S2110" s="211" t="str">
        <f>IFERROR(__xludf.DUMMYFUNCTION("""COMPUTED_VALUE"""),"b218b89b")</f>
        <v>b218b89b</v>
      </c>
      <c r="T2110" s="211" t="str">
        <f>IFERROR(__xludf.DUMMYFUNCTION("""COMPUTED_VALUE"""),"PT Harapan Sentosa")</f>
        <v>PT Harapan Sentosa</v>
      </c>
      <c r="U2110" s="215">
        <f>IFERROR(__xludf.DUMMYFUNCTION("""COMPUTED_VALUE"""),46020.3984375)</f>
        <v>46020.39844</v>
      </c>
      <c r="V2110" s="211" t="str">
        <f>IFERROR(__xludf.DUMMYFUNCTION("""COMPUTED_VALUE"""),"Seketi, Jl. Purboyo II Selatan, RT.02/RW.02, Seketi, Kec. BalongBendo, Kabupaten Sidoarjo, Jawa Timur 61263")</f>
        <v>Seketi, Jl. Purboyo II Selatan, RT.02/RW.02, Seketi, Kec. BalongBendo, Kabupaten Sidoarjo, Jawa Timur 61263</v>
      </c>
      <c r="W2110" s="211" t="str">
        <f>IFERROR(__xludf.DUMMYFUNCTION("""COMPUTED_VALUE"""),"OUT")</f>
        <v>OUT</v>
      </c>
      <c r="X2110" s="211"/>
    </row>
    <row r="2111">
      <c r="A2111" s="219" t="str">
        <f>IFERROR(__xludf.DUMMYFUNCTION("""COMPUTED_VALUE"""),"1250686")</f>
        <v>1250686</v>
      </c>
      <c r="B2111" s="219" t="str">
        <f>IFERROR(__xludf.DUMMYFUNCTION("""COMPUTED_VALUE"""),"1250686")</f>
        <v>1250686</v>
      </c>
      <c r="C2111" s="220">
        <f>IFERROR(__xludf.DUMMYFUNCTION("""COMPUTED_VALUE"""),45953.5584375)</f>
        <v>45953.55844</v>
      </c>
      <c r="D2111" s="221" t="str">
        <f>IFERROR(__xludf.DUMMYFUNCTION("""COMPUTED_VALUE"""),"b2b5f2c5")</f>
        <v>b2b5f2c5</v>
      </c>
      <c r="E2111" s="221" t="str">
        <f>IFERROR(__xludf.DUMMYFUNCTION("""COMPUTED_VALUE"""),"Bengkel Las Bpk. Ari")</f>
        <v>Bengkel Las Bpk. Ari</v>
      </c>
      <c r="F2111" s="221" t="str">
        <f>IFERROR(__xludf.DUMMYFUNCTION("""COMPUTED_VALUE"""),"7d2764f1")</f>
        <v>7d2764f1</v>
      </c>
      <c r="G2111" s="221" t="str">
        <f>IFERROR(__xludf.DUMMYFUNCTION("""COMPUTED_VALUE"""),"Oksigen 7m3")</f>
        <v>Oksigen 7m3</v>
      </c>
      <c r="H2111" s="221" t="str">
        <f>IFERROR(__xludf.DUMMYFUNCTION("""COMPUTED_VALUE"""),"IN")</f>
        <v>IN</v>
      </c>
      <c r="I2111" s="221" t="str">
        <f>IFERROR(__xludf.DUMMYFUNCTION("""COMPUTED_VALUE"""),"EMPTY")</f>
        <v>EMPTY</v>
      </c>
      <c r="J2111" s="221">
        <f>IFERROR(__xludf.DUMMYFUNCTION("""COMPUTED_VALUE"""),2.0)</f>
        <v>2</v>
      </c>
      <c r="K2111" s="219" t="str">
        <f>IFERROR(__xludf.DUMMYFUNCTION("""COMPUTED_VALUE"""),"11158 11172")</f>
        <v>11158 11172</v>
      </c>
      <c r="L2111" s="221">
        <f>IFERROR(__xludf.DUMMYFUNCTION("""COMPUTED_VALUE"""),0.0)</f>
        <v>0</v>
      </c>
      <c r="M2111" s="221"/>
      <c r="N2111" s="211"/>
      <c r="O2111" s="211"/>
      <c r="Q2111" s="210" t="str">
        <f>IFERROR(__xludf.DUMMYFUNCTION("""COMPUTED_VALUE"""),"1225112111")</f>
        <v>1225112111</v>
      </c>
      <c r="R2111" s="210" t="str">
        <f>IFERROR(__xludf.DUMMYFUNCTION("""COMPUTED_VALUE"""),"1225112111")</f>
        <v>1225112111</v>
      </c>
      <c r="S2111" s="211" t="str">
        <f>IFERROR(__xludf.DUMMYFUNCTION("""COMPUTED_VALUE"""),"eec2e801")</f>
        <v>eec2e801</v>
      </c>
      <c r="T2111" s="211" t="str">
        <f>IFERROR(__xludf.DUMMYFUNCTION("""COMPUTED_VALUE"""),"Mitra Wood Sejahtera")</f>
        <v>Mitra Wood Sejahtera</v>
      </c>
      <c r="U2111" s="215">
        <f>IFERROR(__xludf.DUMMYFUNCTION("""COMPUTED_VALUE"""),46020.4862037037)</f>
        <v>46020.4862</v>
      </c>
      <c r="V2111" s="211" t="str">
        <f>IFERROR(__xludf.DUMMYFUNCTION("""COMPUTED_VALUE"""),"Jl.cungkling, Jl. Tanggungan, Nanom Kidul, Lebaniwaras, Kec. Wringinanom, Kabupaten Gresik, Jawa Timur 61176")</f>
        <v>Jl.cungkling, Jl. Tanggungan, Nanom Kidul, Lebaniwaras, Kec. Wringinanom, Kabupaten Gresik, Jawa Timur 61176</v>
      </c>
      <c r="W2111" s="211" t="str">
        <f>IFERROR(__xludf.DUMMYFUNCTION("""COMPUTED_VALUE"""),"OUT")</f>
        <v>OUT</v>
      </c>
      <c r="X2111" s="211"/>
    </row>
    <row r="2112">
      <c r="A2112" s="219" t="str">
        <f>IFERROR(__xludf.DUMMYFUNCTION("""COMPUTED_VALUE"""),"102511518")</f>
        <v>102511518</v>
      </c>
      <c r="B2112" s="219" t="str">
        <f>IFERROR(__xludf.DUMMYFUNCTION("""COMPUTED_VALUE"""),"102511518")</f>
        <v>102511518</v>
      </c>
      <c r="C2112" s="220">
        <f>IFERROR(__xludf.DUMMYFUNCTION("""COMPUTED_VALUE"""),45954.359143518515)</f>
        <v>45954.35914</v>
      </c>
      <c r="D2112" s="221" t="str">
        <f>IFERROR(__xludf.DUMMYFUNCTION("""COMPUTED_VALUE"""),"ba97d58d")</f>
        <v>ba97d58d</v>
      </c>
      <c r="E2112" s="221" t="str">
        <f>IFERROR(__xludf.DUMMYFUNCTION("""COMPUTED_VALUE"""),"Bengkel Citra Mojosari")</f>
        <v>Bengkel Citra Mojosari</v>
      </c>
      <c r="F2112" s="221" t="str">
        <f>IFERROR(__xludf.DUMMYFUNCTION("""COMPUTED_VALUE"""),"7d2764f1")</f>
        <v>7d2764f1</v>
      </c>
      <c r="G2112" s="221" t="str">
        <f>IFERROR(__xludf.DUMMYFUNCTION("""COMPUTED_VALUE"""),"Oksigen 7m3")</f>
        <v>Oksigen 7m3</v>
      </c>
      <c r="H2112" s="221" t="str">
        <f>IFERROR(__xludf.DUMMYFUNCTION("""COMPUTED_VALUE"""),"OUT")</f>
        <v>OUT</v>
      </c>
      <c r="I2112" s="221" t="str">
        <f>IFERROR(__xludf.DUMMYFUNCTION("""COMPUTED_VALUE"""),"NORMAL")</f>
        <v>NORMAL</v>
      </c>
      <c r="J2112" s="221">
        <f>IFERROR(__xludf.DUMMYFUNCTION("""COMPUTED_VALUE"""),4.0)</f>
        <v>4</v>
      </c>
      <c r="K2112" s="219" t="str">
        <f>IFERROR(__xludf.DUMMYFUNCTION("""COMPUTED_VALUE"""),"11140 11171 11143 11168")</f>
        <v>11140 11171 11143 11168</v>
      </c>
      <c r="L2112" s="221">
        <f>IFERROR(__xludf.DUMMYFUNCTION("""COMPUTED_VALUE"""),65000.0)</f>
        <v>65000</v>
      </c>
      <c r="M2112" s="221"/>
      <c r="N2112" s="211"/>
      <c r="O2112" s="211"/>
      <c r="Q2112" s="210" t="str">
        <f>IFERROR(__xludf.DUMMYFUNCTION("""COMPUTED_VALUE"""),"1225402112")</f>
        <v>1225402112</v>
      </c>
      <c r="R2112" s="210" t="str">
        <f>IFERROR(__xludf.DUMMYFUNCTION("""COMPUTED_VALUE"""),"1225402112")</f>
        <v>1225402112</v>
      </c>
      <c r="S2112" s="211" t="str">
        <f>IFERROR(__xludf.DUMMYFUNCTION("""COMPUTED_VALUE"""),"5f23ba17")</f>
        <v>5f23ba17</v>
      </c>
      <c r="T2112" s="211" t="str">
        <f>IFERROR(__xludf.DUMMYFUNCTION("""COMPUTED_VALUE"""),"Bpk. Joko (Gresik)")</f>
        <v>Bpk. Joko (Gresik)</v>
      </c>
      <c r="U2112" s="215">
        <f>IFERROR(__xludf.DUMMYFUNCTION("""COMPUTED_VALUE"""),46020.48875)</f>
        <v>46020.48875</v>
      </c>
      <c r="V2112" s="211" t="str">
        <f>IFERROR(__xludf.DUMMYFUNCTION("""COMPUTED_VALUE"""),"Tanggungan, Lebaniwaras, Kec. Wringinanom, Kabupaten Gresik, Jawa Timur")</f>
        <v>Tanggungan, Lebaniwaras, Kec. Wringinanom, Kabupaten Gresik, Jawa Timur</v>
      </c>
      <c r="W2112" s="211" t="str">
        <f>IFERROR(__xludf.DUMMYFUNCTION("""COMPUTED_VALUE"""),"OUT")</f>
        <v>OUT</v>
      </c>
      <c r="X2112" s="211"/>
    </row>
    <row r="2113">
      <c r="A2113" s="219" t="str">
        <f>IFERROR(__xludf.DUMMYFUNCTION("""COMPUTED_VALUE"""),"102531522")</f>
        <v>102531522</v>
      </c>
      <c r="B2113" s="219" t="str">
        <f>IFERROR(__xludf.DUMMYFUNCTION("""COMPUTED_VALUE"""),"102531522")</f>
        <v>102531522</v>
      </c>
      <c r="C2113" s="220">
        <f>IFERROR(__xludf.DUMMYFUNCTION("""COMPUTED_VALUE"""),45954.45784722222)</f>
        <v>45954.45785</v>
      </c>
      <c r="D2113" s="221" t="str">
        <f>IFERROR(__xludf.DUMMYFUNCTION("""COMPUTED_VALUE"""),"440df1db")</f>
        <v>440df1db</v>
      </c>
      <c r="E2113" s="221" t="str">
        <f>IFERROR(__xludf.DUMMYFUNCTION("""COMPUTED_VALUE"""),"PT. Mecca Abadi Sejahtera")</f>
        <v>PT. Mecca Abadi Sejahtera</v>
      </c>
      <c r="F2113" s="221" t="str">
        <f>IFERROR(__xludf.DUMMYFUNCTION("""COMPUTED_VALUE"""),"ef306e54")</f>
        <v>ef306e54</v>
      </c>
      <c r="G2113" s="221" t="str">
        <f>IFERROR(__xludf.DUMMYFUNCTION("""COMPUTED_VALUE"""),"Karbondioksida")</f>
        <v>Karbondioksida</v>
      </c>
      <c r="H2113" s="221" t="str">
        <f>IFERROR(__xludf.DUMMYFUNCTION("""COMPUTED_VALUE"""),"OUT")</f>
        <v>OUT</v>
      </c>
      <c r="I2113" s="221" t="str">
        <f>IFERROR(__xludf.DUMMYFUNCTION("""COMPUTED_VALUE"""),"NORMAL")</f>
        <v>NORMAL</v>
      </c>
      <c r="J2113" s="221">
        <f>IFERROR(__xludf.DUMMYFUNCTION("""COMPUTED_VALUE"""),2.0)</f>
        <v>2</v>
      </c>
      <c r="K2113" s="219" t="str">
        <f>IFERROR(__xludf.DUMMYFUNCTION("""COMPUTED_VALUE"""),"13036 13012")</f>
        <v>13036 13012</v>
      </c>
      <c r="L2113" s="221">
        <f>IFERROR(__xludf.DUMMYFUNCTION("""COMPUTED_VALUE"""),180000.0)</f>
        <v>180000</v>
      </c>
      <c r="M2113" s="221"/>
      <c r="N2113" s="211"/>
      <c r="O2113" s="211"/>
      <c r="Q2113" s="210" t="str">
        <f>IFERROR(__xludf.DUMMYFUNCTION("""COMPUTED_VALUE"""),"122562113")</f>
        <v>122562113</v>
      </c>
      <c r="R2113" s="210" t="str">
        <f>IFERROR(__xludf.DUMMYFUNCTION("""COMPUTED_VALUE"""),"122562113")</f>
        <v>122562113</v>
      </c>
      <c r="S2113" s="211" t="str">
        <f>IFERROR(__xludf.DUMMYFUNCTION("""COMPUTED_VALUE"""),"03ff52db")</f>
        <v>03ff52db</v>
      </c>
      <c r="T2113" s="211" t="str">
        <f>IFERROR(__xludf.DUMMYFUNCTION("""COMPUTED_VALUE"""),"Aneka Teknik Logam")</f>
        <v>Aneka Teknik Logam</v>
      </c>
      <c r="U2113" s="215">
        <f>IFERROR(__xludf.DUMMYFUNCTION("""COMPUTED_VALUE"""),46020.52375)</f>
        <v>46020.52375</v>
      </c>
      <c r="V2113" s="211" t="str">
        <f>IFERROR(__xludf.DUMMYFUNCTION("""COMPUTED_VALUE"""),"HH8G+MQC, Areng Areng, Tropodo, Kec. Krian, Kabupaten Sidoarjo, Jawa Timur 61262")</f>
        <v>HH8G+MQC, Areng Areng, Tropodo, Kec. Krian, Kabupaten Sidoarjo, Jawa Timur 61262</v>
      </c>
      <c r="W2113" s="211" t="str">
        <f>IFERROR(__xludf.DUMMYFUNCTION("""COMPUTED_VALUE"""),"OUT")</f>
        <v>OUT</v>
      </c>
      <c r="X2113" s="211"/>
    </row>
    <row r="2114">
      <c r="A2114" s="219" t="str">
        <f>IFERROR(__xludf.DUMMYFUNCTION("""COMPUTED_VALUE"""),"1250708")</f>
        <v>1250708</v>
      </c>
      <c r="B2114" s="219" t="str">
        <f>IFERROR(__xludf.DUMMYFUNCTION("""COMPUTED_VALUE"""),"1250708")</f>
        <v>1250708</v>
      </c>
      <c r="C2114" s="220">
        <f>IFERROR(__xludf.DUMMYFUNCTION("""COMPUTED_VALUE"""),45954.458599537036)</f>
        <v>45954.4586</v>
      </c>
      <c r="D2114" s="221" t="str">
        <f>IFERROR(__xludf.DUMMYFUNCTION("""COMPUTED_VALUE"""),"e86baf3b")</f>
        <v>e86baf3b</v>
      </c>
      <c r="E2114" s="221" t="str">
        <f>IFERROR(__xludf.DUMMYFUNCTION("""COMPUTED_VALUE"""),"PT GEMILANG CIPTA WAWASAN")</f>
        <v>PT GEMILANG CIPTA WAWASAN</v>
      </c>
      <c r="F2114" s="221" t="str">
        <f>IFERROR(__xludf.DUMMYFUNCTION("""COMPUTED_VALUE"""),"be525f3b")</f>
        <v>be525f3b</v>
      </c>
      <c r="G2114" s="221" t="str">
        <f>IFERROR(__xludf.DUMMYFUNCTION("""COMPUTED_VALUE"""),"LPG 12kg")</f>
        <v>LPG 12kg</v>
      </c>
      <c r="H2114" s="221" t="str">
        <f>IFERROR(__xludf.DUMMYFUNCTION("""COMPUTED_VALUE"""),"IN")</f>
        <v>IN</v>
      </c>
      <c r="I2114" s="221" t="str">
        <f>IFERROR(__xludf.DUMMYFUNCTION("""COMPUTED_VALUE"""),"EMPTY")</f>
        <v>EMPTY</v>
      </c>
      <c r="J2114" s="221">
        <f>IFERROR(__xludf.DUMMYFUNCTION("""COMPUTED_VALUE"""),6.0)</f>
        <v>6</v>
      </c>
      <c r="K2114" s="221"/>
      <c r="L2114" s="221">
        <f>IFERROR(__xludf.DUMMYFUNCTION("""COMPUTED_VALUE"""),0.0)</f>
        <v>0</v>
      </c>
      <c r="M2114" s="221"/>
      <c r="N2114" s="211"/>
      <c r="O2114" s="211"/>
      <c r="Q2114" s="210" t="str">
        <f>IFERROR(__xludf.DUMMYFUNCTION("""COMPUTED_VALUE"""),"1251003")</f>
        <v>1251003</v>
      </c>
      <c r="R2114" s="210" t="str">
        <f>IFERROR(__xludf.DUMMYFUNCTION("""COMPUTED_VALUE"""),"1251003")</f>
        <v>1251003</v>
      </c>
      <c r="S2114" s="211" t="str">
        <f>IFERROR(__xludf.DUMMYFUNCTION("""COMPUTED_VALUE"""),"03ff52db")</f>
        <v>03ff52db</v>
      </c>
      <c r="T2114" s="211" t="str">
        <f>IFERROR(__xludf.DUMMYFUNCTION("""COMPUTED_VALUE"""),"Aneka Teknik Logam")</f>
        <v>Aneka Teknik Logam</v>
      </c>
      <c r="U2114" s="215">
        <f>IFERROR(__xludf.DUMMYFUNCTION("""COMPUTED_VALUE"""),46020.52474537037)</f>
        <v>46020.52475</v>
      </c>
      <c r="V2114" s="211" t="str">
        <f>IFERROR(__xludf.DUMMYFUNCTION("""COMPUTED_VALUE"""),"HH8G+MQC, Areng Areng, Tropodo, Kec. Krian, Kabupaten Sidoarjo, Jawa Timur 61262")</f>
        <v>HH8G+MQC, Areng Areng, Tropodo, Kec. Krian, Kabupaten Sidoarjo, Jawa Timur 61262</v>
      </c>
      <c r="W2114" s="211" t="str">
        <f>IFERROR(__xludf.DUMMYFUNCTION("""COMPUTED_VALUE"""),"IN")</f>
        <v>IN</v>
      </c>
      <c r="X2114" s="211"/>
    </row>
    <row r="2115">
      <c r="A2115" s="219" t="str">
        <f>IFERROR(__xludf.DUMMYFUNCTION("""COMPUTED_VALUE"""),"1250708")</f>
        <v>1250708</v>
      </c>
      <c r="B2115" s="219" t="str">
        <f>IFERROR(__xludf.DUMMYFUNCTION("""COMPUTED_VALUE"""),"1250708")</f>
        <v>1250708</v>
      </c>
      <c r="C2115" s="220">
        <f>IFERROR(__xludf.DUMMYFUNCTION("""COMPUTED_VALUE"""),45954.458599537036)</f>
        <v>45954.4586</v>
      </c>
      <c r="D2115" s="221" t="str">
        <f>IFERROR(__xludf.DUMMYFUNCTION("""COMPUTED_VALUE"""),"e86baf3b")</f>
        <v>e86baf3b</v>
      </c>
      <c r="E2115" s="221" t="str">
        <f>IFERROR(__xludf.DUMMYFUNCTION("""COMPUTED_VALUE"""),"PT GEMILANG CIPTA WAWASAN")</f>
        <v>PT GEMILANG CIPTA WAWASAN</v>
      </c>
      <c r="F2115" s="221" t="str">
        <f>IFERROR(__xludf.DUMMYFUNCTION("""COMPUTED_VALUE"""),"66af7c72")</f>
        <v>66af7c72</v>
      </c>
      <c r="G2115" s="221" t="str">
        <f>IFERROR(__xludf.DUMMYFUNCTION("""COMPUTED_VALUE"""),"Argon 6m3")</f>
        <v>Argon 6m3</v>
      </c>
      <c r="H2115" s="221" t="str">
        <f>IFERROR(__xludf.DUMMYFUNCTION("""COMPUTED_VALUE"""),"IN")</f>
        <v>IN</v>
      </c>
      <c r="I2115" s="221" t="str">
        <f>IFERROR(__xludf.DUMMYFUNCTION("""COMPUTED_VALUE"""),"EMPTY")</f>
        <v>EMPTY</v>
      </c>
      <c r="J2115" s="221">
        <f>IFERROR(__xludf.DUMMYFUNCTION("""COMPUTED_VALUE"""),10.0)</f>
        <v>10</v>
      </c>
      <c r="K2115" s="219" t="str">
        <f>IFERROR(__xludf.DUMMYFUNCTION("""COMPUTED_VALUE"""),"12054 12018 12046 12065 12032 12004 12044 12069 12078 12027")</f>
        <v>12054 12018 12046 12065 12032 12004 12044 12069 12078 12027</v>
      </c>
      <c r="L2115" s="221">
        <f>IFERROR(__xludf.DUMMYFUNCTION("""COMPUTED_VALUE"""),0.0)</f>
        <v>0</v>
      </c>
      <c r="M2115" s="221"/>
      <c r="N2115" s="211"/>
      <c r="O2115" s="211"/>
      <c r="Q2115" s="210" t="str">
        <f>IFERROR(__xludf.DUMMYFUNCTION("""COMPUTED_VALUE"""),"1251004")</f>
        <v>1251004</v>
      </c>
      <c r="R2115" s="210" t="str">
        <f>IFERROR(__xludf.DUMMYFUNCTION("""COMPUTED_VALUE"""),"1251004")</f>
        <v>1251004</v>
      </c>
      <c r="S2115" s="211" t="str">
        <f>IFERROR(__xludf.DUMMYFUNCTION("""COMPUTED_VALUE"""),"b218b89b")</f>
        <v>b218b89b</v>
      </c>
      <c r="T2115" s="211" t="str">
        <f>IFERROR(__xludf.DUMMYFUNCTION("""COMPUTED_VALUE"""),"PT Harapan Sentosa")</f>
        <v>PT Harapan Sentosa</v>
      </c>
      <c r="U2115" s="215">
        <f>IFERROR(__xludf.DUMMYFUNCTION("""COMPUTED_VALUE"""),46020.525289351855)</f>
        <v>46020.52529</v>
      </c>
      <c r="V2115" s="211" t="str">
        <f>IFERROR(__xludf.DUMMYFUNCTION("""COMPUTED_VALUE"""),"Seketi, Jl. Purboyo II Selatan, RT.02/RW.02, Seketi, Kec. BalongBendo, Kabupaten Sidoarjo, Jawa Timur 61263")</f>
        <v>Seketi, Jl. Purboyo II Selatan, RT.02/RW.02, Seketi, Kec. BalongBendo, Kabupaten Sidoarjo, Jawa Timur 61263</v>
      </c>
      <c r="W2115" s="211" t="str">
        <f>IFERROR(__xludf.DUMMYFUNCTION("""COMPUTED_VALUE"""),"IN")</f>
        <v>IN</v>
      </c>
      <c r="X2115" s="211"/>
    </row>
    <row r="2116">
      <c r="A2116" s="219" t="str">
        <f>IFERROR(__xludf.DUMMYFUNCTION("""COMPUTED_VALUE"""),"1250708")</f>
        <v>1250708</v>
      </c>
      <c r="B2116" s="219" t="str">
        <f>IFERROR(__xludf.DUMMYFUNCTION("""COMPUTED_VALUE"""),"1250708")</f>
        <v>1250708</v>
      </c>
      <c r="C2116" s="220">
        <f>IFERROR(__xludf.DUMMYFUNCTION("""COMPUTED_VALUE"""),45954.458599537036)</f>
        <v>45954.4586</v>
      </c>
      <c r="D2116" s="221" t="str">
        <f>IFERROR(__xludf.DUMMYFUNCTION("""COMPUTED_VALUE"""),"e86baf3b")</f>
        <v>e86baf3b</v>
      </c>
      <c r="E2116" s="221" t="str">
        <f>IFERROR(__xludf.DUMMYFUNCTION("""COMPUTED_VALUE"""),"PT GEMILANG CIPTA WAWASAN")</f>
        <v>PT GEMILANG CIPTA WAWASAN</v>
      </c>
      <c r="F2116" s="221" t="str">
        <f>IFERROR(__xludf.DUMMYFUNCTION("""COMPUTED_VALUE"""),"8bdbe149")</f>
        <v>8bdbe149</v>
      </c>
      <c r="G2116" s="221" t="str">
        <f>IFERROR(__xludf.DUMMYFUNCTION("""COMPUTED_VALUE"""),"Oksigen 6m3")</f>
        <v>Oksigen 6m3</v>
      </c>
      <c r="H2116" s="221" t="str">
        <f>IFERROR(__xludf.DUMMYFUNCTION("""COMPUTED_VALUE"""),"IN")</f>
        <v>IN</v>
      </c>
      <c r="I2116" s="221" t="str">
        <f>IFERROR(__xludf.DUMMYFUNCTION("""COMPUTED_VALUE"""),"EMPTY")</f>
        <v>EMPTY</v>
      </c>
      <c r="J2116" s="221">
        <f>IFERROR(__xludf.DUMMYFUNCTION("""COMPUTED_VALUE"""),5.0)</f>
        <v>5</v>
      </c>
      <c r="K2116" s="219" t="str">
        <f>IFERROR(__xludf.DUMMYFUNCTION("""COMPUTED_VALUE"""),"1106 1154 11198 11185 11123")</f>
        <v>1106 1154 11198 11185 11123</v>
      </c>
      <c r="L2116" s="221">
        <f>IFERROR(__xludf.DUMMYFUNCTION("""COMPUTED_VALUE"""),0.0)</f>
        <v>0</v>
      </c>
      <c r="M2116" s="221"/>
      <c r="N2116" s="211"/>
      <c r="O2116" s="211"/>
      <c r="Q2116" s="210" t="str">
        <f>IFERROR(__xludf.DUMMYFUNCTION("""COMPUTED_VALUE"""),"1351021")</f>
        <v>1351021</v>
      </c>
      <c r="R2116" s="210" t="str">
        <f>IFERROR(__xludf.DUMMYFUNCTION("""COMPUTED_VALUE"""),"1351021")</f>
        <v>1351021</v>
      </c>
      <c r="S2116" s="211" t="str">
        <f>IFERROR(__xludf.DUMMYFUNCTION("""COMPUTED_VALUE"""),"f8a982a4")</f>
        <v>f8a982a4</v>
      </c>
      <c r="T2116" s="211" t="str">
        <f>IFERROR(__xludf.DUMMYFUNCTION("""COMPUTED_VALUE"""),"Bpk. Nasir")</f>
        <v>Bpk. Nasir</v>
      </c>
      <c r="U2116" s="215">
        <f>IFERROR(__xludf.DUMMYFUNCTION("""COMPUTED_VALUE"""),46020.61246527778)</f>
        <v>46020.61247</v>
      </c>
      <c r="V2116" s="211" t="str">
        <f>IFERROR(__xludf.DUMMYFUNCTION("""COMPUTED_VALUE"""),"JL Raya Pacet, Dsn. Janti Ds. Jatilangkung RT.01 RW. 04. Kabupaten. Mojokerto Pungging, Jawa Timur")</f>
        <v>JL Raya Pacet, Dsn. Janti Ds. Jatilangkung RT.01 RW. 04. Kabupaten. Mojokerto Pungging, Jawa Timur</v>
      </c>
      <c r="W2116" s="211" t="str">
        <f>IFERROR(__xludf.DUMMYFUNCTION("""COMPUTED_VALUE"""),"IN")</f>
        <v>IN</v>
      </c>
      <c r="X2116" s="211"/>
    </row>
    <row r="2117">
      <c r="A2117" s="219" t="str">
        <f>IFERROR(__xludf.DUMMYFUNCTION("""COMPUTED_VALUE"""),"1250708")</f>
        <v>1250708</v>
      </c>
      <c r="B2117" s="219" t="str">
        <f>IFERROR(__xludf.DUMMYFUNCTION("""COMPUTED_VALUE"""),"1250708")</f>
        <v>1250708</v>
      </c>
      <c r="C2117" s="220">
        <f>IFERROR(__xludf.DUMMYFUNCTION("""COMPUTED_VALUE"""),45954.458599537036)</f>
        <v>45954.4586</v>
      </c>
      <c r="D2117" s="221" t="str">
        <f>IFERROR(__xludf.DUMMYFUNCTION("""COMPUTED_VALUE"""),"e86baf3b")</f>
        <v>e86baf3b</v>
      </c>
      <c r="E2117" s="221" t="str">
        <f>IFERROR(__xludf.DUMMYFUNCTION("""COMPUTED_VALUE"""),"PT GEMILANG CIPTA WAWASAN")</f>
        <v>PT GEMILANG CIPTA WAWASAN</v>
      </c>
      <c r="F2117" s="221" t="str">
        <f>IFERROR(__xludf.DUMMYFUNCTION("""COMPUTED_VALUE"""),"7d2764f1")</f>
        <v>7d2764f1</v>
      </c>
      <c r="G2117" s="221" t="str">
        <f>IFERROR(__xludf.DUMMYFUNCTION("""COMPUTED_VALUE"""),"Oksigen 7m3")</f>
        <v>Oksigen 7m3</v>
      </c>
      <c r="H2117" s="221" t="str">
        <f>IFERROR(__xludf.DUMMYFUNCTION("""COMPUTED_VALUE"""),"IN")</f>
        <v>IN</v>
      </c>
      <c r="I2117" s="221" t="str">
        <f>IFERROR(__xludf.DUMMYFUNCTION("""COMPUTED_VALUE"""),"EMPTY")</f>
        <v>EMPTY</v>
      </c>
      <c r="J2117" s="221">
        <f>IFERROR(__xludf.DUMMYFUNCTION("""COMPUTED_VALUE"""),2.0)</f>
        <v>2</v>
      </c>
      <c r="K2117" s="219" t="str">
        <f>IFERROR(__xludf.DUMMYFUNCTION("""COMPUTED_VALUE"""),"11141 1165")</f>
        <v>11141 1165</v>
      </c>
      <c r="L2117" s="221">
        <f>IFERROR(__xludf.DUMMYFUNCTION("""COMPUTED_VALUE"""),0.0)</f>
        <v>0</v>
      </c>
      <c r="M2117" s="221"/>
      <c r="N2117" s="211"/>
      <c r="O2117" s="211"/>
      <c r="Q2117" s="210" t="str">
        <f>IFERROR(__xludf.DUMMYFUNCTION("""COMPUTED_VALUE"""),"1251019")</f>
        <v>1251019</v>
      </c>
      <c r="R2117" s="210" t="str">
        <f>IFERROR(__xludf.DUMMYFUNCTION("""COMPUTED_VALUE"""),"1251019")</f>
        <v>1251019</v>
      </c>
      <c r="S2117" s="211" t="str">
        <f>IFERROR(__xludf.DUMMYFUNCTION("""COMPUTED_VALUE"""),"9828dfc5")</f>
        <v>9828dfc5</v>
      </c>
      <c r="T2117" s="211" t="str">
        <f>IFERROR(__xludf.DUMMYFUNCTION("""COMPUTED_VALUE"""),"Bpk. David")</f>
        <v>Bpk. David</v>
      </c>
      <c r="U2117" s="215">
        <f>IFERROR(__xludf.DUMMYFUNCTION("""COMPUTED_VALUE"""),46020.613275462965)</f>
        <v>46020.61328</v>
      </c>
      <c r="V2117" s="211" t="str">
        <f>IFERROR(__xludf.DUMMYFUNCTION("""COMPUTED_VALUE"""),"GHF3+R34, Jl. Kartini, Ngingas, Ngimbangan, Kec. Mojosari, Kabupaten Mojokerto, Jawa Timur 61382")</f>
        <v>GHF3+R34, Jl. Kartini, Ngingas, Ngimbangan, Kec. Mojosari, Kabupaten Mojokerto, Jawa Timur 61382</v>
      </c>
      <c r="W2117" s="211" t="str">
        <f>IFERROR(__xludf.DUMMYFUNCTION("""COMPUTED_VALUE"""),"IN")</f>
        <v>IN</v>
      </c>
      <c r="X2117" s="211"/>
    </row>
    <row r="2118">
      <c r="A2118" s="219" t="str">
        <f>IFERROR(__xludf.DUMMYFUNCTION("""COMPUTED_VALUE"""),"1250687")</f>
        <v>1250687</v>
      </c>
      <c r="B2118" s="219" t="str">
        <f>IFERROR(__xludf.DUMMYFUNCTION("""COMPUTED_VALUE"""),"1250687")</f>
        <v>1250687</v>
      </c>
      <c r="C2118" s="220">
        <f>IFERROR(__xludf.DUMMYFUNCTION("""COMPUTED_VALUE"""),45954.47542824074)</f>
        <v>45954.47543</v>
      </c>
      <c r="D2118" s="221" t="str">
        <f>IFERROR(__xludf.DUMMYFUNCTION("""COMPUTED_VALUE"""),"b2b5f2c5")</f>
        <v>b2b5f2c5</v>
      </c>
      <c r="E2118" s="221" t="str">
        <f>IFERROR(__xludf.DUMMYFUNCTION("""COMPUTED_VALUE"""),"Bengkel Las Bpk. Ari")</f>
        <v>Bengkel Las Bpk. Ari</v>
      </c>
      <c r="F2118" s="221" t="str">
        <f>IFERROR(__xludf.DUMMYFUNCTION("""COMPUTED_VALUE"""),"ef306e54")</f>
        <v>ef306e54</v>
      </c>
      <c r="G2118" s="221" t="str">
        <f>IFERROR(__xludf.DUMMYFUNCTION("""COMPUTED_VALUE"""),"Karbondioksida")</f>
        <v>Karbondioksida</v>
      </c>
      <c r="H2118" s="221" t="str">
        <f>IFERROR(__xludf.DUMMYFUNCTION("""COMPUTED_VALUE"""),"IN")</f>
        <v>IN</v>
      </c>
      <c r="I2118" s="221" t="str">
        <f>IFERROR(__xludf.DUMMYFUNCTION("""COMPUTED_VALUE"""),"EMPTY")</f>
        <v>EMPTY</v>
      </c>
      <c r="J2118" s="221">
        <f>IFERROR(__xludf.DUMMYFUNCTION("""COMPUTED_VALUE"""),3.0)</f>
        <v>3</v>
      </c>
      <c r="K2118" s="219" t="str">
        <f>IFERROR(__xludf.DUMMYFUNCTION("""COMPUTED_VALUE"""),"1133 11106 13008")</f>
        <v>1133 11106 13008</v>
      </c>
      <c r="L2118" s="221">
        <f>IFERROR(__xludf.DUMMYFUNCTION("""COMPUTED_VALUE"""),0.0)</f>
        <v>0</v>
      </c>
      <c r="M2118" s="221"/>
      <c r="N2118" s="211"/>
      <c r="O2118" s="211"/>
      <c r="Q2118" s="210" t="str">
        <f>IFERROR(__xludf.DUMMYFUNCTION("""COMPUTED_VALUE"""),"1251020")</f>
        <v>1251020</v>
      </c>
      <c r="R2118" s="210" t="str">
        <f>IFERROR(__xludf.DUMMYFUNCTION("""COMPUTED_VALUE"""),"1251020")</f>
        <v>1251020</v>
      </c>
      <c r="S2118" s="211" t="str">
        <f>IFERROR(__xludf.DUMMYFUNCTION("""COMPUTED_VALUE"""),"b2b5f2c5")</f>
        <v>b2b5f2c5</v>
      </c>
      <c r="T2118" s="211" t="str">
        <f>IFERROR(__xludf.DUMMYFUNCTION("""COMPUTED_VALUE"""),"Bengkel Las Bpk. Ari")</f>
        <v>Bengkel Las Bpk. Ari</v>
      </c>
      <c r="U2118" s="215">
        <f>IFERROR(__xludf.DUMMYFUNCTION("""COMPUTED_VALUE"""),46020.61368055556)</f>
        <v>46020.61368</v>
      </c>
      <c r="V2118" s="211" t="str">
        <f>IFERROR(__xludf.DUMMYFUNCTION("""COMPUTED_VALUE"""),"Sumber Kembar, Wonodadi, Kec. Kutorejo, Kabupaten Mojokerto, Jawa Timur")</f>
        <v>Sumber Kembar, Wonodadi, Kec. Kutorejo, Kabupaten Mojokerto, Jawa Timur</v>
      </c>
      <c r="W2118" s="211" t="str">
        <f>IFERROR(__xludf.DUMMYFUNCTION("""COMPUTED_VALUE"""),"IN")</f>
        <v>IN</v>
      </c>
      <c r="X2118" s="211"/>
    </row>
    <row r="2119">
      <c r="A2119" s="219" t="str">
        <f>IFERROR(__xludf.DUMMYFUNCTION("""COMPUTED_VALUE"""),"1250687")</f>
        <v>1250687</v>
      </c>
      <c r="B2119" s="219" t="str">
        <f>IFERROR(__xludf.DUMMYFUNCTION("""COMPUTED_VALUE"""),"1250687")</f>
        <v>1250687</v>
      </c>
      <c r="C2119" s="220">
        <f>IFERROR(__xludf.DUMMYFUNCTION("""COMPUTED_VALUE"""),45954.47542824074)</f>
        <v>45954.47543</v>
      </c>
      <c r="D2119" s="221" t="str">
        <f>IFERROR(__xludf.DUMMYFUNCTION("""COMPUTED_VALUE"""),"b2b5f2c5")</f>
        <v>b2b5f2c5</v>
      </c>
      <c r="E2119" s="221" t="str">
        <f>IFERROR(__xludf.DUMMYFUNCTION("""COMPUTED_VALUE"""),"Bengkel Las Bpk. Ari")</f>
        <v>Bengkel Las Bpk. Ari</v>
      </c>
      <c r="F2119" s="221" t="str">
        <f>IFERROR(__xludf.DUMMYFUNCTION("""COMPUTED_VALUE"""),"8bdbe149")</f>
        <v>8bdbe149</v>
      </c>
      <c r="G2119" s="221" t="str">
        <f>IFERROR(__xludf.DUMMYFUNCTION("""COMPUTED_VALUE"""),"Oksigen 6m3")</f>
        <v>Oksigen 6m3</v>
      </c>
      <c r="H2119" s="221" t="str">
        <f>IFERROR(__xludf.DUMMYFUNCTION("""COMPUTED_VALUE"""),"IN")</f>
        <v>IN</v>
      </c>
      <c r="I2119" s="221" t="str">
        <f>IFERROR(__xludf.DUMMYFUNCTION("""COMPUTED_VALUE"""),"EMPTY")</f>
        <v>EMPTY</v>
      </c>
      <c r="J2119" s="221">
        <f>IFERROR(__xludf.DUMMYFUNCTION("""COMPUTED_VALUE"""),1.0)</f>
        <v>1</v>
      </c>
      <c r="K2119" s="219" t="str">
        <f>IFERROR(__xludf.DUMMYFUNCTION("""COMPUTED_VALUE"""),"1184")</f>
        <v>1184</v>
      </c>
      <c r="L2119" s="221">
        <f>IFERROR(__xludf.DUMMYFUNCTION("""COMPUTED_VALUE"""),0.0)</f>
        <v>0</v>
      </c>
      <c r="M2119" s="221"/>
      <c r="N2119" s="211"/>
      <c r="O2119" s="211"/>
      <c r="Q2119" s="210" t="str">
        <f>IFERROR(__xludf.DUMMYFUNCTION("""COMPUTED_VALUE"""),"1251026")</f>
        <v>1251026</v>
      </c>
      <c r="R2119" s="210" t="str">
        <f>IFERROR(__xludf.DUMMYFUNCTION("""COMPUTED_VALUE"""),"1251026")</f>
        <v>1251026</v>
      </c>
      <c r="S2119" s="211" t="str">
        <f>IFERROR(__xludf.DUMMYFUNCTION("""COMPUTED_VALUE"""),"5f23ba17")</f>
        <v>5f23ba17</v>
      </c>
      <c r="T2119" s="211" t="str">
        <f>IFERROR(__xludf.DUMMYFUNCTION("""COMPUTED_VALUE"""),"Bpk. Joko (Gresik)")</f>
        <v>Bpk. Joko (Gresik)</v>
      </c>
      <c r="U2119" s="215">
        <f>IFERROR(__xludf.DUMMYFUNCTION("""COMPUTED_VALUE"""),46020.687731481485)</f>
        <v>46020.68773</v>
      </c>
      <c r="V2119" s="211" t="str">
        <f>IFERROR(__xludf.DUMMYFUNCTION("""COMPUTED_VALUE"""),"Tanggungan, Lebaniwaras, Kec. Wringinanom, Kabupaten Gresik, Jawa Timur")</f>
        <v>Tanggungan, Lebaniwaras, Kec. Wringinanom, Kabupaten Gresik, Jawa Timur</v>
      </c>
      <c r="W2119" s="211" t="str">
        <f>IFERROR(__xludf.DUMMYFUNCTION("""COMPUTED_VALUE"""),"IN")</f>
        <v>IN</v>
      </c>
      <c r="X2119" s="211"/>
    </row>
    <row r="2120">
      <c r="A2120" s="219" t="str">
        <f>IFERROR(__xludf.DUMMYFUNCTION("""COMPUTED_VALUE"""),"1250687")</f>
        <v>1250687</v>
      </c>
      <c r="B2120" s="219" t="str">
        <f>IFERROR(__xludf.DUMMYFUNCTION("""COMPUTED_VALUE"""),"1250687")</f>
        <v>1250687</v>
      </c>
      <c r="C2120" s="220">
        <f>IFERROR(__xludf.DUMMYFUNCTION("""COMPUTED_VALUE"""),45954.47542824074)</f>
        <v>45954.47543</v>
      </c>
      <c r="D2120" s="221" t="str">
        <f>IFERROR(__xludf.DUMMYFUNCTION("""COMPUTED_VALUE"""),"b2b5f2c5")</f>
        <v>b2b5f2c5</v>
      </c>
      <c r="E2120" s="221" t="str">
        <f>IFERROR(__xludf.DUMMYFUNCTION("""COMPUTED_VALUE"""),"Bengkel Las Bpk. Ari")</f>
        <v>Bengkel Las Bpk. Ari</v>
      </c>
      <c r="F2120" s="221" t="str">
        <f>IFERROR(__xludf.DUMMYFUNCTION("""COMPUTED_VALUE"""),"7d2764f1")</f>
        <v>7d2764f1</v>
      </c>
      <c r="G2120" s="221" t="str">
        <f>IFERROR(__xludf.DUMMYFUNCTION("""COMPUTED_VALUE"""),"Oksigen 7m3")</f>
        <v>Oksigen 7m3</v>
      </c>
      <c r="H2120" s="221" t="str">
        <f>IFERROR(__xludf.DUMMYFUNCTION("""COMPUTED_VALUE"""),"IN")</f>
        <v>IN</v>
      </c>
      <c r="I2120" s="221" t="str">
        <f>IFERROR(__xludf.DUMMYFUNCTION("""COMPUTED_VALUE"""),"EMPTY")</f>
        <v>EMPTY</v>
      </c>
      <c r="J2120" s="221">
        <f>IFERROR(__xludf.DUMMYFUNCTION("""COMPUTED_VALUE"""),1.0)</f>
        <v>1</v>
      </c>
      <c r="K2120" s="219" t="str">
        <f>IFERROR(__xludf.DUMMYFUNCTION("""COMPUTED_VALUE"""),"76")</f>
        <v>76</v>
      </c>
      <c r="L2120" s="221">
        <f>IFERROR(__xludf.DUMMYFUNCTION("""COMPUTED_VALUE"""),0.0)</f>
        <v>0</v>
      </c>
      <c r="M2120" s="221"/>
      <c r="N2120" s="211"/>
      <c r="O2120" s="211"/>
      <c r="Q2120" s="210" t="str">
        <f>IFERROR(__xludf.DUMMYFUNCTION("""COMPUTED_VALUE"""),"1225632114")</f>
        <v>1225632114</v>
      </c>
      <c r="R2120" s="210" t="str">
        <f>IFERROR(__xludf.DUMMYFUNCTION("""COMPUTED_VALUE"""),"1225632114")</f>
        <v>1225632114</v>
      </c>
      <c r="S2120" s="211" t="str">
        <f>IFERROR(__xludf.DUMMYFUNCTION("""COMPUTED_VALUE"""),"b2b5f2c5")</f>
        <v>b2b5f2c5</v>
      </c>
      <c r="T2120" s="211" t="str">
        <f>IFERROR(__xludf.DUMMYFUNCTION("""COMPUTED_VALUE"""),"Bengkel Las Bpk. Ari")</f>
        <v>Bengkel Las Bpk. Ari</v>
      </c>
      <c r="U2120" s="215">
        <f>IFERROR(__xludf.DUMMYFUNCTION("""COMPUTED_VALUE"""),46021.35766203704)</f>
        <v>46021.35766</v>
      </c>
      <c r="V2120" s="211" t="str">
        <f>IFERROR(__xludf.DUMMYFUNCTION("""COMPUTED_VALUE"""),"Sumber Kembar, Wonodadi, Kec. Kutorejo, Kabupaten Mojokerto, Jawa Timur")</f>
        <v>Sumber Kembar, Wonodadi, Kec. Kutorejo, Kabupaten Mojokerto, Jawa Timur</v>
      </c>
      <c r="W2120" s="211" t="str">
        <f>IFERROR(__xludf.DUMMYFUNCTION("""COMPUTED_VALUE"""),"OUT")</f>
        <v>OUT</v>
      </c>
      <c r="X2120" s="211"/>
    </row>
    <row r="2121">
      <c r="A2121" s="219" t="str">
        <f>IFERROR(__xludf.DUMMYFUNCTION("""COMPUTED_VALUE"""),"102511523")</f>
        <v>102511523</v>
      </c>
      <c r="B2121" s="219" t="str">
        <f>IFERROR(__xludf.DUMMYFUNCTION("""COMPUTED_VALUE"""),"102511523")</f>
        <v>102511523</v>
      </c>
      <c r="C2121" s="220">
        <f>IFERROR(__xludf.DUMMYFUNCTION("""COMPUTED_VALUE"""),45954.52258101852)</f>
        <v>45954.52258</v>
      </c>
      <c r="D2121" s="221" t="str">
        <f>IFERROR(__xludf.DUMMYFUNCTION("""COMPUTED_VALUE"""),"bf8a2c8b")</f>
        <v>bf8a2c8b</v>
      </c>
      <c r="E2121" s="221" t="str">
        <f>IFERROR(__xludf.DUMMYFUNCTION("""COMPUTED_VALUE"""),"Abah Fatoni")</f>
        <v>Abah Fatoni</v>
      </c>
      <c r="F2121" s="221" t="str">
        <f>IFERROR(__xludf.DUMMYFUNCTION("""COMPUTED_VALUE"""),"2690846b")</f>
        <v>2690846b</v>
      </c>
      <c r="G2121" s="221" t="str">
        <f>IFERROR(__xludf.DUMMYFUNCTION("""COMPUTED_VALUE"""),"Oksigen 1m3 MR")</f>
        <v>Oksigen 1m3 MR</v>
      </c>
      <c r="H2121" s="221" t="str">
        <f>IFERROR(__xludf.DUMMYFUNCTION("""COMPUTED_VALUE"""),"OUT")</f>
        <v>OUT</v>
      </c>
      <c r="I2121" s="221" t="str">
        <f>IFERROR(__xludf.DUMMYFUNCTION("""COMPUTED_VALUE"""),"NORMAL")</f>
        <v>NORMAL</v>
      </c>
      <c r="J2121" s="221">
        <f>IFERROR(__xludf.DUMMYFUNCTION("""COMPUTED_VALUE"""),2.0)</f>
        <v>2</v>
      </c>
      <c r="K2121" s="221"/>
      <c r="L2121" s="221">
        <f>IFERROR(__xludf.DUMMYFUNCTION("""COMPUTED_VALUE"""),50000.0)</f>
        <v>50000</v>
      </c>
      <c r="M2121" s="221"/>
      <c r="N2121" s="211"/>
      <c r="O2121" s="211"/>
      <c r="Q2121" s="210" t="str">
        <f>IFERROR(__xludf.DUMMYFUNCTION("""COMPUTED_VALUE"""),"1225412121")</f>
        <v>1225412121</v>
      </c>
      <c r="R2121" s="210" t="str">
        <f>IFERROR(__xludf.DUMMYFUNCTION("""COMPUTED_VALUE"""),"1225412121")</f>
        <v>1225412121</v>
      </c>
      <c r="S2121" s="211" t="str">
        <f>IFERROR(__xludf.DUMMYFUNCTION("""COMPUTED_VALUE"""),"5f23ba17")</f>
        <v>5f23ba17</v>
      </c>
      <c r="T2121" s="211" t="str">
        <f>IFERROR(__xludf.DUMMYFUNCTION("""COMPUTED_VALUE"""),"Bpk. Joko (Gresik)")</f>
        <v>Bpk. Joko (Gresik)</v>
      </c>
      <c r="U2121" s="215">
        <f>IFERROR(__xludf.DUMMYFUNCTION("""COMPUTED_VALUE"""),46021.37201388889)</f>
        <v>46021.37201</v>
      </c>
      <c r="V2121" s="211" t="str">
        <f>IFERROR(__xludf.DUMMYFUNCTION("""COMPUTED_VALUE"""),"Tanggungan, Lebaniwaras, Kec. Wringinanom, Kabupaten Gresik, Jawa Timur")</f>
        <v>Tanggungan, Lebaniwaras, Kec. Wringinanom, Kabupaten Gresik, Jawa Timur</v>
      </c>
      <c r="W2121" s="211" t="str">
        <f>IFERROR(__xludf.DUMMYFUNCTION("""COMPUTED_VALUE"""),"OUT")</f>
        <v>OUT</v>
      </c>
      <c r="X2121" s="211"/>
    </row>
    <row r="2122">
      <c r="A2122" s="219" t="str">
        <f>IFERROR(__xludf.DUMMYFUNCTION("""COMPUTED_VALUE"""),"1250688")</f>
        <v>1250688</v>
      </c>
      <c r="B2122" s="219" t="str">
        <f>IFERROR(__xludf.DUMMYFUNCTION("""COMPUTED_VALUE"""),"1250688")</f>
        <v>1250688</v>
      </c>
      <c r="C2122" s="220">
        <f>IFERROR(__xludf.DUMMYFUNCTION("""COMPUTED_VALUE"""),45954.548993055556)</f>
        <v>45954.54899</v>
      </c>
      <c r="D2122" s="221" t="str">
        <f>IFERROR(__xludf.DUMMYFUNCTION("""COMPUTED_VALUE"""),"bf8a2c8b")</f>
        <v>bf8a2c8b</v>
      </c>
      <c r="E2122" s="221" t="str">
        <f>IFERROR(__xludf.DUMMYFUNCTION("""COMPUTED_VALUE"""),"Abah Fadholi")</f>
        <v>Abah Fadholi</v>
      </c>
      <c r="F2122" s="221" t="str">
        <f>IFERROR(__xludf.DUMMYFUNCTION("""COMPUTED_VALUE"""),"e8544a46")</f>
        <v>e8544a46</v>
      </c>
      <c r="G2122" s="221" t="str">
        <f>IFERROR(__xludf.DUMMYFUNCTION("""COMPUTED_VALUE"""),"Oksigen 1m3")</f>
        <v>Oksigen 1m3</v>
      </c>
      <c r="H2122" s="221" t="str">
        <f>IFERROR(__xludf.DUMMYFUNCTION("""COMPUTED_VALUE"""),"IN")</f>
        <v>IN</v>
      </c>
      <c r="I2122" s="221" t="str">
        <f>IFERROR(__xludf.DUMMYFUNCTION("""COMPUTED_VALUE"""),"EMPTY")</f>
        <v>EMPTY</v>
      </c>
      <c r="J2122" s="221">
        <f>IFERROR(__xludf.DUMMYFUNCTION("""COMPUTED_VALUE"""),2.0)</f>
        <v>2</v>
      </c>
      <c r="K2122" s="219" t="str">
        <f>IFERROR(__xludf.DUMMYFUNCTION("""COMPUTED_VALUE"""),"0004 0001")</f>
        <v>0004 0001</v>
      </c>
      <c r="L2122" s="221">
        <f>IFERROR(__xludf.DUMMYFUNCTION("""COMPUTED_VALUE"""),0.0)</f>
        <v>0</v>
      </c>
      <c r="M2122" s="221"/>
      <c r="N2122" s="211"/>
      <c r="O2122" s="211"/>
      <c r="Q2122" s="210" t="str">
        <f>IFERROR(__xludf.DUMMYFUNCTION("""COMPUTED_VALUE"""),"1251024")</f>
        <v>1251024</v>
      </c>
      <c r="R2122" s="210" t="str">
        <f>IFERROR(__xludf.DUMMYFUNCTION("""COMPUTED_VALUE"""),"1251024")</f>
        <v>1251024</v>
      </c>
      <c r="S2122" s="211" t="str">
        <f>IFERROR(__xludf.DUMMYFUNCTION("""COMPUTED_VALUE"""),"a0f0ad2d")</f>
        <v>a0f0ad2d</v>
      </c>
      <c r="T2122" s="211" t="str">
        <f>IFERROR(__xludf.DUMMYFUNCTION("""COMPUTED_VALUE"""),"CV. Yulie Jaya")</f>
        <v>CV. Yulie Jaya</v>
      </c>
      <c r="U2122" s="215">
        <f>IFERROR(__xludf.DUMMYFUNCTION("""COMPUTED_VALUE"""),46021.44636574074)</f>
        <v>46021.44637</v>
      </c>
      <c r="V2122" s="211" t="str">
        <f>IFERROR(__xludf.DUMMYFUNCTION("""COMPUTED_VALUE"""),"JJH4+6RV, Badas, Barengkrajan, Kec. Krian, Kabupaten Sidoarjo, Jawa Timur 61262")</f>
        <v>JJH4+6RV, Badas, Barengkrajan, Kec. Krian, Kabupaten Sidoarjo, Jawa Timur 61262</v>
      </c>
      <c r="W2122" s="211" t="str">
        <f>IFERROR(__xludf.DUMMYFUNCTION("""COMPUTED_VALUE"""),"IN")</f>
        <v>IN</v>
      </c>
      <c r="X2122" s="211"/>
    </row>
    <row r="2123">
      <c r="A2123" s="219" t="str">
        <f>IFERROR(__xludf.DUMMYFUNCTION("""COMPUTED_VALUE"""),"1025271526")</f>
        <v>1025271526</v>
      </c>
      <c r="B2123" s="219" t="str">
        <f>IFERROR(__xludf.DUMMYFUNCTION("""COMPUTED_VALUE"""),"1025271526")</f>
        <v>1025271526</v>
      </c>
      <c r="C2123" s="220">
        <f>IFERROR(__xludf.DUMMYFUNCTION("""COMPUTED_VALUE"""),45955.34459490741)</f>
        <v>45955.34459</v>
      </c>
      <c r="D2123" s="221" t="str">
        <f>IFERROR(__xludf.DUMMYFUNCTION("""COMPUTED_VALUE"""),"b2b5f2c5")</f>
        <v>b2b5f2c5</v>
      </c>
      <c r="E2123" s="221" t="str">
        <f>IFERROR(__xludf.DUMMYFUNCTION("""COMPUTED_VALUE"""),"Bengkel Las Bpk. Ari")</f>
        <v>Bengkel Las Bpk. Ari</v>
      </c>
      <c r="F2123" s="221" t="str">
        <f>IFERROR(__xludf.DUMMYFUNCTION("""COMPUTED_VALUE"""),"8bdbe149")</f>
        <v>8bdbe149</v>
      </c>
      <c r="G2123" s="221" t="str">
        <f>IFERROR(__xludf.DUMMYFUNCTION("""COMPUTED_VALUE"""),"Oksigen 6m3")</f>
        <v>Oksigen 6m3</v>
      </c>
      <c r="H2123" s="221" t="str">
        <f>IFERROR(__xludf.DUMMYFUNCTION("""COMPUTED_VALUE"""),"OUT")</f>
        <v>OUT</v>
      </c>
      <c r="I2123" s="221" t="str">
        <f>IFERROR(__xludf.DUMMYFUNCTION("""COMPUTED_VALUE"""),"NORMAL")</f>
        <v>NORMAL</v>
      </c>
      <c r="J2123" s="221">
        <f>IFERROR(__xludf.DUMMYFUNCTION("""COMPUTED_VALUE"""),6.0)</f>
        <v>6</v>
      </c>
      <c r="K2123" s="219" t="str">
        <f>IFERROR(__xludf.DUMMYFUNCTION("""COMPUTED_VALUE"""),"1112 11272 1197 11260 1131 11104")</f>
        <v>1112 11272 1197 11260 1131 11104</v>
      </c>
      <c r="L2123" s="221">
        <f>IFERROR(__xludf.DUMMYFUNCTION("""COMPUTED_VALUE"""),60000.0)</f>
        <v>60000</v>
      </c>
      <c r="M2123" s="221"/>
      <c r="N2123" s="211"/>
      <c r="O2123" s="211"/>
      <c r="Q2123" s="210" t="str">
        <f>IFERROR(__xludf.DUMMYFUNCTION("""COMPUTED_VALUE"""),"1251022")</f>
        <v>1251022</v>
      </c>
      <c r="R2123" s="210" t="str">
        <f>IFERROR(__xludf.DUMMYFUNCTION("""COMPUTED_VALUE"""),"1251022")</f>
        <v>1251022</v>
      </c>
      <c r="S2123" s="211" t="str">
        <f>IFERROR(__xludf.DUMMYFUNCTION("""COMPUTED_VALUE"""),"1bf27092")</f>
        <v>1bf27092</v>
      </c>
      <c r="T2123" s="211" t="str">
        <f>IFERROR(__xludf.DUMMYFUNCTION("""COMPUTED_VALUE"""),"Bpk. Ari Budiarto")</f>
        <v>Bpk. Ari Budiarto</v>
      </c>
      <c r="U2123" s="215">
        <f>IFERROR(__xludf.DUMMYFUNCTION("""COMPUTED_VALUE"""),46021.447118055556)</f>
        <v>46021.44712</v>
      </c>
      <c r="V2123" s="211" t="str">
        <f>IFERROR(__xludf.DUMMYFUNCTION("""COMPUTED_VALUE"""),"Jl. Raya Balongbendo 232, Bakalan, Bakalan Wringinpitu, Kec. BalongBendo, Kabupaten Sidoarjo, Jawa Timur 61263")</f>
        <v>Jl. Raya Balongbendo 232, Bakalan, Bakalan Wringinpitu, Kec. BalongBendo, Kabupaten Sidoarjo, Jawa Timur 61263</v>
      </c>
      <c r="W2123" s="211" t="str">
        <f>IFERROR(__xludf.DUMMYFUNCTION("""COMPUTED_VALUE"""),"IN")</f>
        <v>IN</v>
      </c>
      <c r="X2123" s="211"/>
    </row>
    <row r="2124">
      <c r="A2124" s="219" t="str">
        <f>IFERROR(__xludf.DUMMYFUNCTION("""COMPUTED_VALUE"""),"1025271526")</f>
        <v>1025271526</v>
      </c>
      <c r="B2124" s="219" t="str">
        <f>IFERROR(__xludf.DUMMYFUNCTION("""COMPUTED_VALUE"""),"1025271526")</f>
        <v>1025271526</v>
      </c>
      <c r="C2124" s="220">
        <f>IFERROR(__xludf.DUMMYFUNCTION("""COMPUTED_VALUE"""),45955.34459490741)</f>
        <v>45955.34459</v>
      </c>
      <c r="D2124" s="221" t="str">
        <f>IFERROR(__xludf.DUMMYFUNCTION("""COMPUTED_VALUE"""),"b2b5f2c5")</f>
        <v>b2b5f2c5</v>
      </c>
      <c r="E2124" s="221" t="str">
        <f>IFERROR(__xludf.DUMMYFUNCTION("""COMPUTED_VALUE"""),"Bengkel Las Bpk. Ari")</f>
        <v>Bengkel Las Bpk. Ari</v>
      </c>
      <c r="F2124" s="221" t="str">
        <f>IFERROR(__xludf.DUMMYFUNCTION("""COMPUTED_VALUE"""),"ef306e54")</f>
        <v>ef306e54</v>
      </c>
      <c r="G2124" s="221" t="str">
        <f>IFERROR(__xludf.DUMMYFUNCTION("""COMPUTED_VALUE"""),"Karbondioksida")</f>
        <v>Karbondioksida</v>
      </c>
      <c r="H2124" s="221" t="str">
        <f>IFERROR(__xludf.DUMMYFUNCTION("""COMPUTED_VALUE"""),"OUT")</f>
        <v>OUT</v>
      </c>
      <c r="I2124" s="221" t="str">
        <f>IFERROR(__xludf.DUMMYFUNCTION("""COMPUTED_VALUE"""),"NORMAL")</f>
        <v>NORMAL</v>
      </c>
      <c r="J2124" s="221">
        <f>IFERROR(__xludf.DUMMYFUNCTION("""COMPUTED_VALUE"""),4.0)</f>
        <v>4</v>
      </c>
      <c r="K2124" s="219" t="str">
        <f>IFERROR(__xludf.DUMMYFUNCTION("""COMPUTED_VALUE"""),"13008 13029 13037 13038")</f>
        <v>13008 13029 13037 13038</v>
      </c>
      <c r="L2124" s="221">
        <f>IFERROR(__xludf.DUMMYFUNCTION("""COMPUTED_VALUE"""),170000.0)</f>
        <v>170000</v>
      </c>
      <c r="M2124" s="221"/>
      <c r="N2124" s="211"/>
      <c r="O2124" s="211"/>
      <c r="Q2124" s="210" t="str">
        <f>IFERROR(__xludf.DUMMYFUNCTION("""COMPUTED_VALUE"""),"1251023")</f>
        <v>1251023</v>
      </c>
      <c r="R2124" s="210" t="str">
        <f>IFERROR(__xludf.DUMMYFUNCTION("""COMPUTED_VALUE"""),"1251023")</f>
        <v>1251023</v>
      </c>
      <c r="S2124" s="211" t="str">
        <f>IFERROR(__xludf.DUMMYFUNCTION("""COMPUTED_VALUE"""),"9e66ced9")</f>
        <v>9e66ced9</v>
      </c>
      <c r="T2124" s="211" t="str">
        <f>IFERROR(__xludf.DUMMYFUNCTION("""COMPUTED_VALUE"""),"Bapak Angga")</f>
        <v>Bapak Angga</v>
      </c>
      <c r="U2124" s="215">
        <f>IFERROR(__xludf.DUMMYFUNCTION("""COMPUTED_VALUE"""),46021.44741898148)</f>
        <v>46021.44742</v>
      </c>
      <c r="V2124" s="211" t="str">
        <f>IFERROR(__xludf.DUMMYFUNCTION("""COMPUTED_VALUE"""),"Jl. Bypass Krian No.2, Tundungan, Sidomojo, Kec. Krian, Kabupaten Sidoarjo, Jawa Timur 61262")</f>
        <v>Jl. Bypass Krian No.2, Tundungan, Sidomojo, Kec. Krian, Kabupaten Sidoarjo, Jawa Timur 61262</v>
      </c>
      <c r="W2124" s="211" t="str">
        <f>IFERROR(__xludf.DUMMYFUNCTION("""COMPUTED_VALUE"""),"IN")</f>
        <v>IN</v>
      </c>
      <c r="X2124" s="211"/>
    </row>
    <row r="2125">
      <c r="A2125" s="219" t="str">
        <f>IFERROR(__xludf.DUMMYFUNCTION("""COMPUTED_VALUE"""),"1025291528")</f>
        <v>1025291528</v>
      </c>
      <c r="B2125" s="219" t="str">
        <f>IFERROR(__xludf.DUMMYFUNCTION("""COMPUTED_VALUE"""),"1025291528")</f>
        <v>1025291528</v>
      </c>
      <c r="C2125" s="220">
        <f>IFERROR(__xludf.DUMMYFUNCTION("""COMPUTED_VALUE"""),45955.34546296296)</f>
        <v>45955.34546</v>
      </c>
      <c r="D2125" s="221" t="str">
        <f>IFERROR(__xludf.DUMMYFUNCTION("""COMPUTED_VALUE"""),"ce83e171")</f>
        <v>ce83e171</v>
      </c>
      <c r="E2125" s="221" t="str">
        <f>IFERROR(__xludf.DUMMYFUNCTION("""COMPUTED_VALUE"""),"Bpk. Sulaiman")</f>
        <v>Bpk. Sulaiman</v>
      </c>
      <c r="F2125" s="221" t="str">
        <f>IFERROR(__xludf.DUMMYFUNCTION("""COMPUTED_VALUE"""),"7d2764f1")</f>
        <v>7d2764f1</v>
      </c>
      <c r="G2125" s="221" t="str">
        <f>IFERROR(__xludf.DUMMYFUNCTION("""COMPUTED_VALUE"""),"Oksigen 7m3")</f>
        <v>Oksigen 7m3</v>
      </c>
      <c r="H2125" s="221" t="str">
        <f>IFERROR(__xludf.DUMMYFUNCTION("""COMPUTED_VALUE"""),"OUT")</f>
        <v>OUT</v>
      </c>
      <c r="I2125" s="221" t="str">
        <f>IFERROR(__xludf.DUMMYFUNCTION("""COMPUTED_VALUE"""),"NORMAL")</f>
        <v>NORMAL</v>
      </c>
      <c r="J2125" s="221">
        <f>IFERROR(__xludf.DUMMYFUNCTION("""COMPUTED_VALUE"""),5.0)</f>
        <v>5</v>
      </c>
      <c r="K2125" s="219" t="str">
        <f>IFERROR(__xludf.DUMMYFUNCTION("""COMPUTED_VALUE"""),"11158 11172 11291 11152 11174")</f>
        <v>11158 11172 11291 11152 11174</v>
      </c>
      <c r="L2125" s="221">
        <f>IFERROR(__xludf.DUMMYFUNCTION("""COMPUTED_VALUE"""),55000.0)</f>
        <v>55000</v>
      </c>
      <c r="M2125" s="221"/>
      <c r="N2125" s="211"/>
      <c r="O2125" s="211"/>
      <c r="Q2125" s="210" t="str">
        <f>IFERROR(__xludf.DUMMYFUNCTION("""COMPUTED_VALUE"""),"1251025")</f>
        <v>1251025</v>
      </c>
      <c r="R2125" s="210" t="str">
        <f>IFERROR(__xludf.DUMMYFUNCTION("""COMPUTED_VALUE"""),"1251025")</f>
        <v>1251025</v>
      </c>
      <c r="S2125" s="211" t="str">
        <f>IFERROR(__xludf.DUMMYFUNCTION("""COMPUTED_VALUE"""),"8f5ebaea")</f>
        <v>8f5ebaea</v>
      </c>
      <c r="T2125" s="211" t="str">
        <f>IFERROR(__xludf.DUMMYFUNCTION("""COMPUTED_VALUE"""),"PT Hua Zong Mesindo")</f>
        <v>PT Hua Zong Mesindo</v>
      </c>
      <c r="U2125" s="215">
        <f>IFERROR(__xludf.DUMMYFUNCTION("""COMPUTED_VALUE"""),46021.4478125)</f>
        <v>46021.44781</v>
      </c>
      <c r="V2125" s="211" t="str">
        <f>IFERROR(__xludf.DUMMYFUNCTION("""COMPUTED_VALUE"""),"Jl. Bypass Krian, Sidotemo, Sidomulyo, Kec. Krian, Kabupaten Sidoarjo, Jawa Timur 61262")</f>
        <v>Jl. Bypass Krian, Sidotemo, Sidomulyo, Kec. Krian, Kabupaten Sidoarjo, Jawa Timur 61262</v>
      </c>
      <c r="W2125" s="211" t="str">
        <f>IFERROR(__xludf.DUMMYFUNCTION("""COMPUTED_VALUE"""),"IN")</f>
        <v>IN</v>
      </c>
      <c r="X2125" s="211"/>
    </row>
    <row r="2126">
      <c r="A2126" s="219" t="str">
        <f>IFERROR(__xludf.DUMMYFUNCTION("""COMPUTED_VALUE"""),"1250720")</f>
        <v>1250720</v>
      </c>
      <c r="B2126" s="219" t="str">
        <f>IFERROR(__xludf.DUMMYFUNCTION("""COMPUTED_VALUE"""),"1250720")</f>
        <v>1250720</v>
      </c>
      <c r="C2126" s="220">
        <f>IFERROR(__xludf.DUMMYFUNCTION("""COMPUTED_VALUE"""),45955.464525462965)</f>
        <v>45955.46453</v>
      </c>
      <c r="D2126" s="221" t="str">
        <f>IFERROR(__xludf.DUMMYFUNCTION("""COMPUTED_VALUE"""),"01158be1")</f>
        <v>01158be1</v>
      </c>
      <c r="E2126" s="221" t="str">
        <f>IFERROR(__xludf.DUMMYFUNCTION("""COMPUTED_VALUE"""),"GYF")</f>
        <v>GYF</v>
      </c>
      <c r="F2126" s="221" t="str">
        <f>IFERROR(__xludf.DUMMYFUNCTION("""COMPUTED_VALUE"""),"8bdbe149")</f>
        <v>8bdbe149</v>
      </c>
      <c r="G2126" s="221" t="str">
        <f>IFERROR(__xludf.DUMMYFUNCTION("""COMPUTED_VALUE"""),"Oksigen 6m3")</f>
        <v>Oksigen 6m3</v>
      </c>
      <c r="H2126" s="221" t="str">
        <f>IFERROR(__xludf.DUMMYFUNCTION("""COMPUTED_VALUE"""),"IN")</f>
        <v>IN</v>
      </c>
      <c r="I2126" s="221" t="str">
        <f>IFERROR(__xludf.DUMMYFUNCTION("""COMPUTED_VALUE"""),"EMPTY")</f>
        <v>EMPTY</v>
      </c>
      <c r="J2126" s="221">
        <f>IFERROR(__xludf.DUMMYFUNCTION("""COMPUTED_VALUE"""),7.0)</f>
        <v>7</v>
      </c>
      <c r="K2126" s="219" t="str">
        <f>IFERROR(__xludf.DUMMYFUNCTION("""COMPUTED_VALUE"""),"11283 11200 11287 11199 11197 11196 1166")</f>
        <v>11283 11200 11287 11199 11197 11196 1166</v>
      </c>
      <c r="L2126" s="221">
        <f>IFERROR(__xludf.DUMMYFUNCTION("""COMPUTED_VALUE"""),0.0)</f>
        <v>0</v>
      </c>
      <c r="M2126" s="221"/>
      <c r="N2126" s="211"/>
      <c r="O2126" s="211"/>
      <c r="Q2126" s="210" t="str">
        <f>IFERROR(__xludf.DUMMYFUNCTION("""COMPUTED_VALUE"""),"1251005")</f>
        <v>1251005</v>
      </c>
      <c r="R2126" s="210" t="str">
        <f>IFERROR(__xludf.DUMMYFUNCTION("""COMPUTED_VALUE"""),"1251005")</f>
        <v>1251005</v>
      </c>
      <c r="S2126" s="211" t="str">
        <f>IFERROR(__xludf.DUMMYFUNCTION("""COMPUTED_VALUE"""),"b2b5f2c5")</f>
        <v>b2b5f2c5</v>
      </c>
      <c r="T2126" s="211" t="str">
        <f>IFERROR(__xludf.DUMMYFUNCTION("""COMPUTED_VALUE"""),"Bengkel Las Bpk. Ari")</f>
        <v>Bengkel Las Bpk. Ari</v>
      </c>
      <c r="U2126" s="215">
        <f>IFERROR(__xludf.DUMMYFUNCTION("""COMPUTED_VALUE"""),46021.57952546296)</f>
        <v>46021.57953</v>
      </c>
      <c r="V2126" s="211" t="str">
        <f>IFERROR(__xludf.DUMMYFUNCTION("""COMPUTED_VALUE"""),"Sumber Kembar, Wonodadi, Kec. Kutorejo, Kabupaten Mojokerto, Jawa Timur")</f>
        <v>Sumber Kembar, Wonodadi, Kec. Kutorejo, Kabupaten Mojokerto, Jawa Timur</v>
      </c>
      <c r="W2126" s="211" t="str">
        <f>IFERROR(__xludf.DUMMYFUNCTION("""COMPUTED_VALUE"""),"IN")</f>
        <v>IN</v>
      </c>
      <c r="X2126" s="211"/>
    </row>
    <row r="2127">
      <c r="A2127" s="210" t="str">
        <f>IFERROR(__xludf.DUMMYFUNCTION("""COMPUTED_VALUE"""),"1025621529")</f>
        <v>1025621529</v>
      </c>
      <c r="B2127" s="210" t="str">
        <f>IFERROR(__xludf.DUMMYFUNCTION("""COMPUTED_VALUE"""),"1025621529")</f>
        <v>1025621529</v>
      </c>
      <c r="C2127" s="215">
        <f>IFERROR(__xludf.DUMMYFUNCTION("""COMPUTED_VALUE"""),45955.458599537036)</f>
        <v>45955.4586</v>
      </c>
      <c r="D2127" s="211" t="str">
        <f>IFERROR(__xludf.DUMMYFUNCTION("""COMPUTED_VALUE"""),"e86baf3b")</f>
        <v>e86baf3b</v>
      </c>
      <c r="E2127" s="211" t="str">
        <f>IFERROR(__xludf.DUMMYFUNCTION("""COMPUTED_VALUE"""),"PT GEMILANG CIPTA WAWASAN")</f>
        <v>PT GEMILANG CIPTA WAWASAN</v>
      </c>
      <c r="F2127" s="211" t="str">
        <f>IFERROR(__xludf.DUMMYFUNCTION("""COMPUTED_VALUE"""),"8bdbe149")</f>
        <v>8bdbe149</v>
      </c>
      <c r="G2127" s="211" t="str">
        <f>IFERROR(__xludf.DUMMYFUNCTION("""COMPUTED_VALUE"""),"Oksigen 6m3")</f>
        <v>Oksigen 6m3</v>
      </c>
      <c r="H2127" s="211" t="str">
        <f>IFERROR(__xludf.DUMMYFUNCTION("""COMPUTED_VALUE"""),"OUT")</f>
        <v>OUT</v>
      </c>
      <c r="I2127" s="211" t="str">
        <f>IFERROR(__xludf.DUMMYFUNCTION("""COMPUTED_VALUE"""),"NORMAL")</f>
        <v>NORMAL</v>
      </c>
      <c r="J2127" s="211">
        <f>IFERROR(__xludf.DUMMYFUNCTION("""COMPUTED_VALUE"""),10.0)</f>
        <v>10</v>
      </c>
      <c r="K2127" s="210" t="str">
        <f>IFERROR(__xludf.DUMMYFUNCTION("""COMPUTED_VALUE"""),"1154 11196 11198 11287 1184 1106 11275 11209 11185 11135")</f>
        <v>1154 11196 11198 11287 1184 1106 11275 11209 11185 11135</v>
      </c>
      <c r="L2127" s="211">
        <f>IFERROR(__xludf.DUMMYFUNCTION("""COMPUTED_VALUE"""),60000.0)</f>
        <v>60000</v>
      </c>
      <c r="M2127" s="211"/>
      <c r="N2127" s="211" t="str">
        <f>IFERROR(__xludf.DUMMYFUNCTION("""COMPUTED_VALUE"""),"SYSTEM NOT WORKING")</f>
        <v>SYSTEM NOT WORKING</v>
      </c>
      <c r="O2127" s="211"/>
      <c r="Q2127" s="210" t="str">
        <f>IFERROR(__xludf.DUMMYFUNCTION("""COMPUTED_VALUE"""),"1225352122")</f>
        <v>1225352122</v>
      </c>
      <c r="R2127" s="210" t="str">
        <f>IFERROR(__xludf.DUMMYFUNCTION("""COMPUTED_VALUE"""),"1225352122")</f>
        <v>1225352122</v>
      </c>
      <c r="S2127" s="211" t="str">
        <f>IFERROR(__xludf.DUMMYFUNCTION("""COMPUTED_VALUE"""),"ec231cc9")</f>
        <v>ec231cc9</v>
      </c>
      <c r="T2127" s="211" t="str">
        <f>IFERROR(__xludf.DUMMYFUNCTION("""COMPUTED_VALUE"""),"Bpk. Kohir (Maintenance Velg)")</f>
        <v>Bpk. Kohir (Maintenance Velg)</v>
      </c>
      <c r="U2127" s="215">
        <f>IFERROR(__xludf.DUMMYFUNCTION("""COMPUTED_VALUE"""),46021.58038194444)</f>
        <v>46021.58038</v>
      </c>
      <c r="V2127" s="211" t="str">
        <f>IFERROR(__xludf.DUMMYFUNCTION("""COMPUTED_VALUE"""),"Jl. Lkr. Bypass Krian Timur, Sidogolong, Watugolong, Kec. Krian, Kabupaten Sidoarjo, Jawa Timur 61262")</f>
        <v>Jl. Lkr. Bypass Krian Timur, Sidogolong, Watugolong, Kec. Krian, Kabupaten Sidoarjo, Jawa Timur 61262</v>
      </c>
      <c r="W2127" s="211" t="str">
        <f>IFERROR(__xludf.DUMMYFUNCTION("""COMPUTED_VALUE"""),"OUT")</f>
        <v>OUT</v>
      </c>
      <c r="X2127" s="211"/>
    </row>
    <row r="2128">
      <c r="A2128" s="210" t="str">
        <f>IFERROR(__xludf.DUMMYFUNCTION("""COMPUTED_VALUE"""),"102521530")</f>
        <v>102521530</v>
      </c>
      <c r="B2128" s="210" t="str">
        <f>IFERROR(__xludf.DUMMYFUNCTION("""COMPUTED_VALUE"""),"102521530")</f>
        <v>102521530</v>
      </c>
      <c r="C2128" s="215">
        <f>IFERROR(__xludf.DUMMYFUNCTION("""COMPUTED_VALUE"""),45955.458599537036)</f>
        <v>45955.4586</v>
      </c>
      <c r="D2128" s="211" t="str">
        <f>IFERROR(__xludf.DUMMYFUNCTION("""COMPUTED_VALUE"""),"b0735da4")</f>
        <v>b0735da4</v>
      </c>
      <c r="E2128" s="211" t="str">
        <f>IFERROR(__xludf.DUMMYFUNCTION("""COMPUTED_VALUE"""),"Bpk. Amer Ciro")</f>
        <v>Bpk. Amer Ciro</v>
      </c>
      <c r="F2128" s="211" t="str">
        <f>IFERROR(__xludf.DUMMYFUNCTION("""COMPUTED_VALUE"""),"7d2764f1")</f>
        <v>7d2764f1</v>
      </c>
      <c r="G2128" s="211" t="str">
        <f>IFERROR(__xludf.DUMMYFUNCTION("""COMPUTED_VALUE"""),"Oksigen 7m3")</f>
        <v>Oksigen 7m3</v>
      </c>
      <c r="H2128" s="211" t="str">
        <f>IFERROR(__xludf.DUMMYFUNCTION("""COMPUTED_VALUE"""),"OUT")</f>
        <v>OUT</v>
      </c>
      <c r="I2128" s="211" t="str">
        <f>IFERROR(__xludf.DUMMYFUNCTION("""COMPUTED_VALUE"""),"NORMAL")</f>
        <v>NORMAL</v>
      </c>
      <c r="J2128" s="211">
        <f>IFERROR(__xludf.DUMMYFUNCTION("""COMPUTED_VALUE"""),2.0)</f>
        <v>2</v>
      </c>
      <c r="K2128" s="210" t="str">
        <f>IFERROR(__xludf.DUMMYFUNCTION("""COMPUTED_VALUE"""),"11169 11164")</f>
        <v>11169 11164</v>
      </c>
      <c r="L2128" s="211">
        <f>IFERROR(__xludf.DUMMYFUNCTION("""COMPUTED_VALUE"""),65000.0)</f>
        <v>65000</v>
      </c>
      <c r="M2128" s="211"/>
      <c r="N2128" s="211"/>
      <c r="O2128" s="211"/>
      <c r="Q2128" s="210" t="str">
        <f>IFERROR(__xludf.DUMMYFUNCTION("""COMPUTED_VALUE"""),"1251027")</f>
        <v>1251027</v>
      </c>
      <c r="R2128" s="210" t="str">
        <f>IFERROR(__xludf.DUMMYFUNCTION("""COMPUTED_VALUE"""),"1251027")</f>
        <v>1251027</v>
      </c>
      <c r="S2128" s="211" t="str">
        <f>IFERROR(__xludf.DUMMYFUNCTION("""COMPUTED_VALUE"""),"ec231cc9")</f>
        <v>ec231cc9</v>
      </c>
      <c r="T2128" s="211" t="str">
        <f>IFERROR(__xludf.DUMMYFUNCTION("""COMPUTED_VALUE"""),"Bpk. Kohir (Maintenance Velg)")</f>
        <v>Bpk. Kohir (Maintenance Velg)</v>
      </c>
      <c r="U2128" s="215">
        <f>IFERROR(__xludf.DUMMYFUNCTION("""COMPUTED_VALUE"""),46021.61203703703)</f>
        <v>46021.61204</v>
      </c>
      <c r="V2128" s="211" t="str">
        <f>IFERROR(__xludf.DUMMYFUNCTION("""COMPUTED_VALUE"""),"Jl. Lkr. Bypass Krian Timur, Sidogolong, Watugolong, Kec. Krian, Kabupaten Sidoarjo, Jawa Timur 61262")</f>
        <v>Jl. Lkr. Bypass Krian Timur, Sidogolong, Watugolong, Kec. Krian, Kabupaten Sidoarjo, Jawa Timur 61262</v>
      </c>
      <c r="W2128" s="211" t="str">
        <f>IFERROR(__xludf.DUMMYFUNCTION("""COMPUTED_VALUE"""),"IN")</f>
        <v>IN</v>
      </c>
      <c r="X2128" s="211"/>
    </row>
    <row r="2129">
      <c r="A2129" s="210" t="str">
        <f>IFERROR(__xludf.DUMMYFUNCTION("""COMPUTED_VALUE"""),"102521532")</f>
        <v>102521532</v>
      </c>
      <c r="B2129" s="210" t="str">
        <f>IFERROR(__xludf.DUMMYFUNCTION("""COMPUTED_VALUE"""),"102521532")</f>
        <v>102521532</v>
      </c>
      <c r="C2129" s="213">
        <f>IFERROR(__xludf.DUMMYFUNCTION("""COMPUTED_VALUE"""),45957.34722222222)</f>
        <v>45957.34722</v>
      </c>
      <c r="D2129" s="211" t="str">
        <f>IFERROR(__xludf.DUMMYFUNCTION("""COMPUTED_VALUE"""),"4c3a2a5f")</f>
        <v>4c3a2a5f</v>
      </c>
      <c r="E2129" s="211" t="str">
        <f>IFERROR(__xludf.DUMMYFUNCTION("""COMPUTED_VALUE"""),"CV Matahari Mitra Sukses")</f>
        <v>CV Matahari Mitra Sukses</v>
      </c>
      <c r="F2129" s="211" t="str">
        <f>IFERROR(__xludf.DUMMYFUNCTION("""COMPUTED_VALUE"""),"ef306e54")</f>
        <v>ef306e54</v>
      </c>
      <c r="G2129" s="211" t="str">
        <f>IFERROR(__xludf.DUMMYFUNCTION("""COMPUTED_VALUE"""),"Karbondioksida")</f>
        <v>Karbondioksida</v>
      </c>
      <c r="H2129" s="211" t="str">
        <f>IFERROR(__xludf.DUMMYFUNCTION("""COMPUTED_VALUE"""),"OUT")</f>
        <v>OUT</v>
      </c>
      <c r="I2129" s="211" t="str">
        <f>IFERROR(__xludf.DUMMYFUNCTION("""COMPUTED_VALUE"""),"NORMAL")</f>
        <v>NORMAL</v>
      </c>
      <c r="J2129" s="211">
        <f>IFERROR(__xludf.DUMMYFUNCTION("""COMPUTED_VALUE"""),1.0)</f>
        <v>1</v>
      </c>
      <c r="K2129" s="210" t="str">
        <f>IFERROR(__xludf.DUMMYFUNCTION("""COMPUTED_VALUE"""),"13002")</f>
        <v>13002</v>
      </c>
      <c r="L2129" s="211">
        <f>IFERROR(__xludf.DUMMYFUNCTION("""COMPUTED_VALUE"""),180000.0)</f>
        <v>180000</v>
      </c>
      <c r="M2129" s="211"/>
      <c r="N2129" s="211"/>
      <c r="O2129" s="211"/>
      <c r="Q2129" s="210" t="str">
        <f>IFERROR(__xludf.DUMMYFUNCTION("""COMPUTED_VALUE"""),"122562128")</f>
        <v>122562128</v>
      </c>
      <c r="R2129" s="210" t="str">
        <f>IFERROR(__xludf.DUMMYFUNCTION("""COMPUTED_VALUE"""),"122562128")</f>
        <v>122562128</v>
      </c>
      <c r="S2129" s="211" t="str">
        <f>IFERROR(__xludf.DUMMYFUNCTION("""COMPUTED_VALUE"""),"734c6d17")</f>
        <v>734c6d17</v>
      </c>
      <c r="T2129" s="211" t="str">
        <f>IFERROR(__xludf.DUMMYFUNCTION("""COMPUTED_VALUE"""),"Bapak Ainol Yaqin ( Bpk. Ibnu )")</f>
        <v>Bapak Ainol Yaqin ( Bpk. Ibnu )</v>
      </c>
      <c r="U2129" s="215">
        <f>IFERROR(__xludf.DUMMYFUNCTION("""COMPUTED_VALUE"""),46022.35732638889)</f>
        <v>46022.35733</v>
      </c>
      <c r="V2129" s="211" t="str">
        <f>IFERROR(__xludf.DUMMYFUNCTION("""COMPUTED_VALUE"""),"Tanggul Wetan, Tanggul, Kec. Wonoayu, Kabupaten Sidoarjo, Jawa Timur")</f>
        <v>Tanggul Wetan, Tanggul, Kec. Wonoayu, Kabupaten Sidoarjo, Jawa Timur</v>
      </c>
      <c r="W2129" s="211" t="str">
        <f>IFERROR(__xludf.DUMMYFUNCTION("""COMPUTED_VALUE"""),"OUT")</f>
        <v>OUT</v>
      </c>
      <c r="X2129" s="211"/>
    </row>
    <row r="2130">
      <c r="A2130" s="210" t="str">
        <f>IFERROR(__xludf.DUMMYFUNCTION("""COMPUTED_VALUE"""),"1250710")</f>
        <v>1250710</v>
      </c>
      <c r="B2130" s="210" t="str">
        <f>IFERROR(__xludf.DUMMYFUNCTION("""COMPUTED_VALUE"""),"1250710")</f>
        <v>1250710</v>
      </c>
      <c r="C2130" s="213">
        <f>IFERROR(__xludf.DUMMYFUNCTION("""COMPUTED_VALUE"""),45957.35518518519)</f>
        <v>45957.35519</v>
      </c>
      <c r="D2130" s="211" t="str">
        <f>IFERROR(__xludf.DUMMYFUNCTION("""COMPUTED_VALUE"""),"b2b5f2c5")</f>
        <v>b2b5f2c5</v>
      </c>
      <c r="E2130" s="211" t="str">
        <f>IFERROR(__xludf.DUMMYFUNCTION("""COMPUTED_VALUE"""),"Bengkel Las Bpk. Ari")</f>
        <v>Bengkel Las Bpk. Ari</v>
      </c>
      <c r="F2130" s="211" t="str">
        <f>IFERROR(__xludf.DUMMYFUNCTION("""COMPUTED_VALUE"""),"ef306e54")</f>
        <v>ef306e54</v>
      </c>
      <c r="G2130" s="211" t="str">
        <f>IFERROR(__xludf.DUMMYFUNCTION("""COMPUTED_VALUE"""),"Karbondioksida")</f>
        <v>Karbondioksida</v>
      </c>
      <c r="H2130" s="211" t="str">
        <f>IFERROR(__xludf.DUMMYFUNCTION("""COMPUTED_VALUE"""),"IN")</f>
        <v>IN</v>
      </c>
      <c r="I2130" s="211" t="str">
        <f>IFERROR(__xludf.DUMMYFUNCTION("""COMPUTED_VALUE"""),"EMPTY")</f>
        <v>EMPTY</v>
      </c>
      <c r="J2130" s="211">
        <f>IFERROR(__xludf.DUMMYFUNCTION("""COMPUTED_VALUE"""),3.0)</f>
        <v>3</v>
      </c>
      <c r="K2130" s="210" t="str">
        <f>IFERROR(__xludf.DUMMYFUNCTION("""COMPUTED_VALUE"""),"13035 13002 1126")</f>
        <v>13035 13002 1126</v>
      </c>
      <c r="L2130" s="211">
        <f>IFERROR(__xludf.DUMMYFUNCTION("""COMPUTED_VALUE"""),0.0)</f>
        <v>0</v>
      </c>
      <c r="M2130" s="211"/>
      <c r="N2130" s="211"/>
      <c r="O2130" s="211"/>
      <c r="Q2130" s="210" t="str">
        <f>IFERROR(__xludf.DUMMYFUNCTION("""COMPUTED_VALUE"""),"1225642130")</f>
        <v>1225642130</v>
      </c>
      <c r="R2130" s="210" t="str">
        <f>IFERROR(__xludf.DUMMYFUNCTION("""COMPUTED_VALUE"""),"1225642130")</f>
        <v>1225642130</v>
      </c>
      <c r="S2130" s="211" t="str">
        <f>IFERROR(__xludf.DUMMYFUNCTION("""COMPUTED_VALUE"""),"b2b5f2c5")</f>
        <v>b2b5f2c5</v>
      </c>
      <c r="T2130" s="211" t="str">
        <f>IFERROR(__xludf.DUMMYFUNCTION("""COMPUTED_VALUE"""),"Bengkel Las Bpk. Ari")</f>
        <v>Bengkel Las Bpk. Ari</v>
      </c>
      <c r="U2130" s="215">
        <f>IFERROR(__xludf.DUMMYFUNCTION("""COMPUTED_VALUE"""),46022.360243055555)</f>
        <v>46022.36024</v>
      </c>
      <c r="V2130" s="211" t="str">
        <f>IFERROR(__xludf.DUMMYFUNCTION("""COMPUTED_VALUE"""),"Sumber Kembar, Wonodadi, Kec. Kutorejo, Kabupaten Mojokerto, Jawa Timur")</f>
        <v>Sumber Kembar, Wonodadi, Kec. Kutorejo, Kabupaten Mojokerto, Jawa Timur</v>
      </c>
      <c r="W2130" s="211" t="str">
        <f>IFERROR(__xludf.DUMMYFUNCTION("""COMPUTED_VALUE"""),"OUT")</f>
        <v>OUT</v>
      </c>
      <c r="X2130" s="211"/>
    </row>
    <row r="2131">
      <c r="A2131" s="210" t="str">
        <f>IFERROR(__xludf.DUMMYFUNCTION("""COMPUTED_VALUE"""),"1250710")</f>
        <v>1250710</v>
      </c>
      <c r="B2131" s="210" t="str">
        <f>IFERROR(__xludf.DUMMYFUNCTION("""COMPUTED_VALUE"""),"1250710")</f>
        <v>1250710</v>
      </c>
      <c r="C2131" s="213">
        <f>IFERROR(__xludf.DUMMYFUNCTION("""COMPUTED_VALUE"""),45957.35518518519)</f>
        <v>45957.35519</v>
      </c>
      <c r="D2131" s="211" t="str">
        <f>IFERROR(__xludf.DUMMYFUNCTION("""COMPUTED_VALUE"""),"b2b5f2c5")</f>
        <v>b2b5f2c5</v>
      </c>
      <c r="E2131" s="211" t="str">
        <f>IFERROR(__xludf.DUMMYFUNCTION("""COMPUTED_VALUE"""),"Bengkel Las Bpk. Ari")</f>
        <v>Bengkel Las Bpk. Ari</v>
      </c>
      <c r="F2131" s="211" t="str">
        <f>IFERROR(__xludf.DUMMYFUNCTION("""COMPUTED_VALUE"""),"8bdbe149")</f>
        <v>8bdbe149</v>
      </c>
      <c r="G2131" s="211" t="str">
        <f>IFERROR(__xludf.DUMMYFUNCTION("""COMPUTED_VALUE"""),"Oksigen 6m3")</f>
        <v>Oksigen 6m3</v>
      </c>
      <c r="H2131" s="211" t="str">
        <f>IFERROR(__xludf.DUMMYFUNCTION("""COMPUTED_VALUE"""),"IN")</f>
        <v>IN</v>
      </c>
      <c r="I2131" s="211" t="str">
        <f>IFERROR(__xludf.DUMMYFUNCTION("""COMPUTED_VALUE"""),"EMPTY")</f>
        <v>EMPTY</v>
      </c>
      <c r="J2131" s="211">
        <f>IFERROR(__xludf.DUMMYFUNCTION("""COMPUTED_VALUE"""),2.0)</f>
        <v>2</v>
      </c>
      <c r="K2131" s="210" t="str">
        <f>IFERROR(__xludf.DUMMYFUNCTION("""COMPUTED_VALUE"""),"11209 11275")</f>
        <v>11209 11275</v>
      </c>
      <c r="L2131" s="211">
        <f>IFERROR(__xludf.DUMMYFUNCTION("""COMPUTED_VALUE"""),0.0)</f>
        <v>0</v>
      </c>
      <c r="M2131" s="211"/>
      <c r="N2131" s="211"/>
      <c r="O2131" s="211"/>
      <c r="Q2131" s="210" t="str">
        <f>IFERROR(__xludf.DUMMYFUNCTION("""COMPUTED_VALUE"""),"1251028")</f>
        <v>1251028</v>
      </c>
      <c r="R2131" s="210" t="str">
        <f>IFERROR(__xludf.DUMMYFUNCTION("""COMPUTED_VALUE"""),"1251028")</f>
        <v>1251028</v>
      </c>
      <c r="S2131" s="211" t="str">
        <f>IFERROR(__xludf.DUMMYFUNCTION("""COMPUTED_VALUE"""),"734c6d17")</f>
        <v>734c6d17</v>
      </c>
      <c r="T2131" s="211" t="str">
        <f>IFERROR(__xludf.DUMMYFUNCTION("""COMPUTED_VALUE"""),"Bapak Ainol Yaqin ( Bpk. Ibnu )")</f>
        <v>Bapak Ainol Yaqin ( Bpk. Ibnu )</v>
      </c>
      <c r="U2131" s="215">
        <f>IFERROR(__xludf.DUMMYFUNCTION("""COMPUTED_VALUE"""),46022.403333333335)</f>
        <v>46022.40333</v>
      </c>
      <c r="V2131" s="211" t="str">
        <f>IFERROR(__xludf.DUMMYFUNCTION("""COMPUTED_VALUE"""),"Tanggul Wetan, Tanggul, Kec. Wonoayu, Kabupaten Sidoarjo, Jawa Timur")</f>
        <v>Tanggul Wetan, Tanggul, Kec. Wonoayu, Kabupaten Sidoarjo, Jawa Timur</v>
      </c>
      <c r="W2131" s="211" t="str">
        <f>IFERROR(__xludf.DUMMYFUNCTION("""COMPUTED_VALUE"""),"IN")</f>
        <v>IN</v>
      </c>
      <c r="X2131" s="211"/>
    </row>
    <row r="2132">
      <c r="A2132" s="210" t="str">
        <f>IFERROR(__xludf.DUMMYFUNCTION("""COMPUTED_VALUE"""),"1250710")</f>
        <v>1250710</v>
      </c>
      <c r="B2132" s="210" t="str">
        <f>IFERROR(__xludf.DUMMYFUNCTION("""COMPUTED_VALUE"""),"1250710")</f>
        <v>1250710</v>
      </c>
      <c r="C2132" s="213">
        <f>IFERROR(__xludf.DUMMYFUNCTION("""COMPUTED_VALUE"""),45957.35518518519)</f>
        <v>45957.35519</v>
      </c>
      <c r="D2132" s="211" t="str">
        <f>IFERROR(__xludf.DUMMYFUNCTION("""COMPUTED_VALUE"""),"b2b5f2c5")</f>
        <v>b2b5f2c5</v>
      </c>
      <c r="E2132" s="211" t="str">
        <f>IFERROR(__xludf.DUMMYFUNCTION("""COMPUTED_VALUE"""),"Bengkel Las Bpk. Ari")</f>
        <v>Bengkel Las Bpk. Ari</v>
      </c>
      <c r="F2132" s="211" t="str">
        <f>IFERROR(__xludf.DUMMYFUNCTION("""COMPUTED_VALUE"""),"7d2764f1")</f>
        <v>7d2764f1</v>
      </c>
      <c r="G2132" s="211" t="str">
        <f>IFERROR(__xludf.DUMMYFUNCTION("""COMPUTED_VALUE"""),"Oksigen 7m3")</f>
        <v>Oksigen 7m3</v>
      </c>
      <c r="H2132" s="211" t="str">
        <f>IFERROR(__xludf.DUMMYFUNCTION("""COMPUTED_VALUE"""),"IN")</f>
        <v>IN</v>
      </c>
      <c r="I2132" s="211" t="str">
        <f>IFERROR(__xludf.DUMMYFUNCTION("""COMPUTED_VALUE"""),"EMPTY")</f>
        <v>EMPTY</v>
      </c>
      <c r="J2132" s="211">
        <f>IFERROR(__xludf.DUMMYFUNCTION("""COMPUTED_VALUE"""),2.0)</f>
        <v>2</v>
      </c>
      <c r="K2132" s="210" t="str">
        <f>IFERROR(__xludf.DUMMYFUNCTION("""COMPUTED_VALUE"""),"11169 11164")</f>
        <v>11169 11164</v>
      </c>
      <c r="L2132" s="211">
        <f>IFERROR(__xludf.DUMMYFUNCTION("""COMPUTED_VALUE"""),0.0)</f>
        <v>0</v>
      </c>
      <c r="M2132" s="211"/>
      <c r="N2132" s="211"/>
      <c r="O2132" s="211"/>
      <c r="Q2132" s="210" t="str">
        <f>IFERROR(__xludf.DUMMYFUNCTION("""COMPUTED_VALUE"""),"0126102131")</f>
        <v>0126102131</v>
      </c>
      <c r="R2132" s="210" t="str">
        <f>IFERROR(__xludf.DUMMYFUNCTION("""COMPUTED_VALUE"""),"0126102131")</f>
        <v>0126102131</v>
      </c>
      <c r="S2132" s="211" t="str">
        <f>IFERROR(__xludf.DUMMYFUNCTION("""COMPUTED_VALUE"""),"3b04351a")</f>
        <v>3b04351a</v>
      </c>
      <c r="T2132" s="211" t="str">
        <f>IFERROR(__xludf.DUMMYFUNCTION("""COMPUTED_VALUE"""),"CV Usaha Logam Jaya ( Bpk Putra )")</f>
        <v>CV Usaha Logam Jaya ( Bpk Putra )</v>
      </c>
      <c r="U2132" s="215">
        <f>IFERROR(__xludf.DUMMYFUNCTION("""COMPUTED_VALUE"""),46024.37930555556)</f>
        <v>46024.37931</v>
      </c>
      <c r="V2132" s="211" t="str">
        <f>IFERROR(__xludf.DUMMYFUNCTION("""COMPUTED_VALUE"""),"Jl. Raya Wringinanom, Sidomoro, Pasinan Lemahputih, Kec. Wringinanom, Kabupaten Gresik, Jawa Timur 61176")</f>
        <v>Jl. Raya Wringinanom, Sidomoro, Pasinan Lemahputih, Kec. Wringinanom, Kabupaten Gresik, Jawa Timur 61176</v>
      </c>
      <c r="W2132" s="211" t="str">
        <f>IFERROR(__xludf.DUMMYFUNCTION("""COMPUTED_VALUE"""),"OUT")</f>
        <v>OUT</v>
      </c>
      <c r="X2132" s="211"/>
    </row>
    <row r="2133">
      <c r="A2133" s="210" t="str">
        <f>IFERROR(__xludf.DUMMYFUNCTION("""COMPUTED_VALUE"""),"1250709")</f>
        <v>1250709</v>
      </c>
      <c r="B2133" s="210" t="str">
        <f>IFERROR(__xludf.DUMMYFUNCTION("""COMPUTED_VALUE"""),"1250709")</f>
        <v>1250709</v>
      </c>
      <c r="C2133" s="213">
        <f>IFERROR(__xludf.DUMMYFUNCTION("""COMPUTED_VALUE"""),45957.358125)</f>
        <v>45957.35813</v>
      </c>
      <c r="D2133" s="211" t="str">
        <f>IFERROR(__xludf.DUMMYFUNCTION("""COMPUTED_VALUE"""),"ce83e171")</f>
        <v>ce83e171</v>
      </c>
      <c r="E2133" s="211" t="str">
        <f>IFERROR(__xludf.DUMMYFUNCTION("""COMPUTED_VALUE"""),"Bpk. Sulaiman")</f>
        <v>Bpk. Sulaiman</v>
      </c>
      <c r="F2133" s="211" t="str">
        <f>IFERROR(__xludf.DUMMYFUNCTION("""COMPUTED_VALUE"""),"7d2764f1")</f>
        <v>7d2764f1</v>
      </c>
      <c r="G2133" s="211" t="str">
        <f>IFERROR(__xludf.DUMMYFUNCTION("""COMPUTED_VALUE"""),"Oksigen 7m3")</f>
        <v>Oksigen 7m3</v>
      </c>
      <c r="H2133" s="211" t="str">
        <f>IFERROR(__xludf.DUMMYFUNCTION("""COMPUTED_VALUE"""),"IN")</f>
        <v>IN</v>
      </c>
      <c r="I2133" s="211" t="str">
        <f>IFERROR(__xludf.DUMMYFUNCTION("""COMPUTED_VALUE"""),"EMPTY")</f>
        <v>EMPTY</v>
      </c>
      <c r="J2133" s="211">
        <f>IFERROR(__xludf.DUMMYFUNCTION("""COMPUTED_VALUE"""),1.0)</f>
        <v>1</v>
      </c>
      <c r="K2133" s="210" t="str">
        <f>IFERROR(__xludf.DUMMYFUNCTION("""COMPUTED_VALUE"""),"11162")</f>
        <v>11162</v>
      </c>
      <c r="L2133" s="211">
        <f>IFERROR(__xludf.DUMMYFUNCTION("""COMPUTED_VALUE"""),0.0)</f>
        <v>0</v>
      </c>
      <c r="M2133" s="211"/>
      <c r="N2133" s="211"/>
      <c r="O2133" s="211"/>
      <c r="Q2133" s="210" t="str">
        <f>IFERROR(__xludf.DUMMYFUNCTION("""COMPUTED_VALUE"""),"012622133")</f>
        <v>012622133</v>
      </c>
      <c r="R2133" s="210" t="str">
        <f>IFERROR(__xludf.DUMMYFUNCTION("""COMPUTED_VALUE"""),"012622133")</f>
        <v>012622133</v>
      </c>
      <c r="S2133" s="211" t="str">
        <f>IFERROR(__xludf.DUMMYFUNCTION("""COMPUTED_VALUE"""),"d46989c9")</f>
        <v>d46989c9</v>
      </c>
      <c r="T2133" s="211" t="str">
        <f>IFERROR(__xludf.DUMMYFUNCTION("""COMPUTED_VALUE"""),"UD. Alin Jaya")</f>
        <v>UD. Alin Jaya</v>
      </c>
      <c r="U2133" s="215">
        <f>IFERROR(__xludf.DUMMYFUNCTION("""COMPUTED_VALUE"""),46024.42030092593)</f>
        <v>46024.4203</v>
      </c>
      <c r="V2133"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133" s="211" t="str">
        <f>IFERROR(__xludf.DUMMYFUNCTION("""COMPUTED_VALUE"""),"OUT")</f>
        <v>OUT</v>
      </c>
      <c r="X2133" s="211"/>
    </row>
    <row r="2134">
      <c r="A2134" s="210" t="str">
        <f>IFERROR(__xludf.DUMMYFUNCTION("""COMPUTED_VALUE"""),"1250721")</f>
        <v>1250721</v>
      </c>
      <c r="B2134" s="210" t="str">
        <f>IFERROR(__xludf.DUMMYFUNCTION("""COMPUTED_VALUE"""),"1250721")</f>
        <v>1250721</v>
      </c>
      <c r="C2134" s="213">
        <f>IFERROR(__xludf.DUMMYFUNCTION("""COMPUTED_VALUE"""),45957.36834490741)</f>
        <v>45957.36834</v>
      </c>
      <c r="D2134" s="211" t="str">
        <f>IFERROR(__xludf.DUMMYFUNCTION("""COMPUTED_VALUE"""),"9b941888")</f>
        <v>9b941888</v>
      </c>
      <c r="E2134" s="211" t="str">
        <f>IFERROR(__xludf.DUMMYFUNCTION("""COMPUTED_VALUE"""),"Mas Devi ( Parengan )")</f>
        <v>Mas Devi ( Parengan )</v>
      </c>
      <c r="F2134" s="211" t="str">
        <f>IFERROR(__xludf.DUMMYFUNCTION("""COMPUTED_VALUE"""),"7d2764f1")</f>
        <v>7d2764f1</v>
      </c>
      <c r="G2134" s="211" t="str">
        <f>IFERROR(__xludf.DUMMYFUNCTION("""COMPUTED_VALUE"""),"Oksigen 7m3")</f>
        <v>Oksigen 7m3</v>
      </c>
      <c r="H2134" s="211" t="str">
        <f>IFERROR(__xludf.DUMMYFUNCTION("""COMPUTED_VALUE"""),"IN")</f>
        <v>IN</v>
      </c>
      <c r="I2134" s="211" t="str">
        <f>IFERROR(__xludf.DUMMYFUNCTION("""COMPUTED_VALUE"""),"EMPTY")</f>
        <v>EMPTY</v>
      </c>
      <c r="J2134" s="211">
        <f>IFERROR(__xludf.DUMMYFUNCTION("""COMPUTED_VALUE"""),1.0)</f>
        <v>1</v>
      </c>
      <c r="K2134" s="210" t="str">
        <f>IFERROR(__xludf.DUMMYFUNCTION("""COMPUTED_VALUE"""),"11141")</f>
        <v>11141</v>
      </c>
      <c r="L2134" s="211">
        <f>IFERROR(__xludf.DUMMYFUNCTION("""COMPUTED_VALUE"""),0.0)</f>
        <v>0</v>
      </c>
      <c r="M2134" s="211"/>
      <c r="N2134" s="211"/>
      <c r="O2134" s="211"/>
      <c r="Q2134" s="210" t="str">
        <f>IFERROR(__xludf.DUMMYFUNCTION("""COMPUTED_VALUE"""),"012652134")</f>
        <v>012652134</v>
      </c>
      <c r="R2134" s="210" t="str">
        <f>IFERROR(__xludf.DUMMYFUNCTION("""COMPUTED_VALUE"""),"012652134")</f>
        <v>012652134</v>
      </c>
      <c r="S2134" s="211" t="str">
        <f>IFERROR(__xludf.DUMMYFUNCTION("""COMPUTED_VALUE"""),"f49860e4")</f>
        <v>f49860e4</v>
      </c>
      <c r="T2134" s="211" t="str">
        <f>IFERROR(__xludf.DUMMYFUNCTION("""COMPUTED_VALUE"""),"Mas Nur ( Jetis )")</f>
        <v>Mas Nur ( Jetis )</v>
      </c>
      <c r="U2134" s="215">
        <f>IFERROR(__xludf.DUMMYFUNCTION("""COMPUTED_VALUE"""),46024.46295138889)</f>
        <v>46024.46295</v>
      </c>
      <c r="V2134" s="211" t="str">
        <f>IFERROR(__xludf.DUMMYFUNCTION("""COMPUTED_VALUE"""),"HFVF+CCG, JL.Raya Jetis, jetis, Kec. Jetis Kabupaten Mojokerto Jawa Timur 61352")</f>
        <v>HFVF+CCG, JL.Raya Jetis, jetis, Kec. Jetis Kabupaten Mojokerto Jawa Timur 61352</v>
      </c>
      <c r="W2134" s="211" t="str">
        <f>IFERROR(__xludf.DUMMYFUNCTION("""COMPUTED_VALUE"""),"OUT")</f>
        <v>OUT</v>
      </c>
      <c r="X2134" s="211"/>
    </row>
    <row r="2135">
      <c r="A2135" s="210" t="str">
        <f>IFERROR(__xludf.DUMMYFUNCTION("""COMPUTED_VALUE"""),"1250722")</f>
        <v>1250722</v>
      </c>
      <c r="B2135" s="210" t="str">
        <f>IFERROR(__xludf.DUMMYFUNCTION("""COMPUTED_VALUE"""),"1250722")</f>
        <v>1250722</v>
      </c>
      <c r="C2135" s="213">
        <f>IFERROR(__xludf.DUMMYFUNCTION("""COMPUTED_VALUE"""),45957.4134837963)</f>
        <v>45957.41348</v>
      </c>
      <c r="D2135" s="211" t="str">
        <f>IFERROR(__xludf.DUMMYFUNCTION("""COMPUTED_VALUE"""),"ec231cc9")</f>
        <v>ec231cc9</v>
      </c>
      <c r="E2135" s="211" t="str">
        <f>IFERROR(__xludf.DUMMYFUNCTION("""COMPUTED_VALUE"""),"Bpk. Kohir (Maintenance Velg)")</f>
        <v>Bpk. Kohir (Maintenance Velg)</v>
      </c>
      <c r="F2135" s="211" t="str">
        <f>IFERROR(__xludf.DUMMYFUNCTION("""COMPUTED_VALUE"""),"8bdbe149")</f>
        <v>8bdbe149</v>
      </c>
      <c r="G2135" s="211" t="str">
        <f>IFERROR(__xludf.DUMMYFUNCTION("""COMPUTED_VALUE"""),"Oksigen 6m3")</f>
        <v>Oksigen 6m3</v>
      </c>
      <c r="H2135" s="211" t="str">
        <f>IFERROR(__xludf.DUMMYFUNCTION("""COMPUTED_VALUE"""),"IN")</f>
        <v>IN</v>
      </c>
      <c r="I2135" s="211" t="str">
        <f>IFERROR(__xludf.DUMMYFUNCTION("""COMPUTED_VALUE"""),"EMPTY")</f>
        <v>EMPTY</v>
      </c>
      <c r="J2135" s="211">
        <f>IFERROR(__xludf.DUMMYFUNCTION("""COMPUTED_VALUE"""),4.0)</f>
        <v>4</v>
      </c>
      <c r="K2135" s="210" t="str">
        <f>IFERROR(__xludf.DUMMYFUNCTION("""COMPUTED_VALUE"""),"1129 11263 1146 1119")</f>
        <v>1129 11263 1146 1119</v>
      </c>
      <c r="L2135" s="211">
        <f>IFERROR(__xludf.DUMMYFUNCTION("""COMPUTED_VALUE"""),0.0)</f>
        <v>0</v>
      </c>
      <c r="M2135" s="211"/>
      <c r="N2135" s="211"/>
      <c r="O2135" s="211"/>
      <c r="Q2135" s="210" t="str">
        <f>IFERROR(__xludf.DUMMYFUNCTION("""COMPUTED_VALUE"""),"1251038")</f>
        <v>1251038</v>
      </c>
      <c r="R2135" s="210" t="str">
        <f>IFERROR(__xludf.DUMMYFUNCTION("""COMPUTED_VALUE"""),"1251038")</f>
        <v>1251038</v>
      </c>
      <c r="S2135" s="211" t="str">
        <f>IFERROR(__xludf.DUMMYFUNCTION("""COMPUTED_VALUE"""),"63fc688a")</f>
        <v>63fc688a</v>
      </c>
      <c r="T2135" s="211" t="str">
        <f>IFERROR(__xludf.DUMMYFUNCTION("""COMPUTED_VALUE"""),"CV Malik Nusantara")</f>
        <v>CV Malik Nusantara</v>
      </c>
      <c r="U2135" s="215">
        <f>IFERROR(__xludf.DUMMYFUNCTION("""COMPUTED_VALUE"""),46024.53482638889)</f>
        <v>46024.53483</v>
      </c>
      <c r="V2135" s="211" t="str">
        <f>IFERROR(__xludf.DUMMYFUNCTION("""COMPUTED_VALUE"""),"Jl. Raya Balongbendo No.12, Suwaluh Utara, Suwaluh, Kec. BalongBendo, Kabupaten Sidoarjo, Jawa Timur 61263")</f>
        <v>Jl. Raya Balongbendo No.12, Suwaluh Utara, Suwaluh, Kec. BalongBendo, Kabupaten Sidoarjo, Jawa Timur 61263</v>
      </c>
      <c r="W2135" s="211" t="str">
        <f>IFERROR(__xludf.DUMMYFUNCTION("""COMPUTED_VALUE"""),"IN")</f>
        <v>IN</v>
      </c>
      <c r="X2135" s="211"/>
    </row>
    <row r="2136">
      <c r="A2136" s="210" t="str">
        <f>IFERROR(__xludf.DUMMYFUNCTION("""COMPUTED_VALUE"""),"1250722")</f>
        <v>1250722</v>
      </c>
      <c r="B2136" s="210" t="str">
        <f>IFERROR(__xludf.DUMMYFUNCTION("""COMPUTED_VALUE"""),"1250722")</f>
        <v>1250722</v>
      </c>
      <c r="C2136" s="213">
        <f>IFERROR(__xludf.DUMMYFUNCTION("""COMPUTED_VALUE"""),45957.4134837963)</f>
        <v>45957.41348</v>
      </c>
      <c r="D2136" s="211" t="str">
        <f>IFERROR(__xludf.DUMMYFUNCTION("""COMPUTED_VALUE"""),"ec231cc9")</f>
        <v>ec231cc9</v>
      </c>
      <c r="E2136" s="211" t="str">
        <f>IFERROR(__xludf.DUMMYFUNCTION("""COMPUTED_VALUE"""),"Bpk. Kohir (Maintenance Velg)")</f>
        <v>Bpk. Kohir (Maintenance Velg)</v>
      </c>
      <c r="F2136" s="211" t="str">
        <f>IFERROR(__xludf.DUMMYFUNCTION("""COMPUTED_VALUE"""),"ef306e54")</f>
        <v>ef306e54</v>
      </c>
      <c r="G2136" s="211" t="str">
        <f>IFERROR(__xludf.DUMMYFUNCTION("""COMPUTED_VALUE"""),"Karbondioksida")</f>
        <v>Karbondioksida</v>
      </c>
      <c r="H2136" s="211" t="str">
        <f>IFERROR(__xludf.DUMMYFUNCTION("""COMPUTED_VALUE"""),"IN")</f>
        <v>IN</v>
      </c>
      <c r="I2136" s="211" t="str">
        <f>IFERROR(__xludf.DUMMYFUNCTION("""COMPUTED_VALUE"""),"EMPTY")</f>
        <v>EMPTY</v>
      </c>
      <c r="J2136" s="211">
        <f>IFERROR(__xludf.DUMMYFUNCTION("""COMPUTED_VALUE"""),1.0)</f>
        <v>1</v>
      </c>
      <c r="K2136" s="210" t="str">
        <f>IFERROR(__xludf.DUMMYFUNCTION("""COMPUTED_VALUE"""),"13006")</f>
        <v>13006</v>
      </c>
      <c r="L2136" s="211">
        <f>IFERROR(__xludf.DUMMYFUNCTION("""COMPUTED_VALUE"""),0.0)</f>
        <v>0</v>
      </c>
      <c r="M2136" s="211"/>
      <c r="N2136" s="211"/>
      <c r="O2136" s="211"/>
      <c r="Q2136" s="210" t="str">
        <f>IFERROR(__xludf.DUMMYFUNCTION("""COMPUTED_VALUE"""),"1251037")</f>
        <v>1251037</v>
      </c>
      <c r="R2136" s="210" t="str">
        <f>IFERROR(__xludf.DUMMYFUNCTION("""COMPUTED_VALUE"""),"1251037")</f>
        <v>1251037</v>
      </c>
      <c r="S2136" s="211" t="str">
        <f>IFERROR(__xludf.DUMMYFUNCTION("""COMPUTED_VALUE"""),"f49860e4")</f>
        <v>f49860e4</v>
      </c>
      <c r="T2136" s="211" t="str">
        <f>IFERROR(__xludf.DUMMYFUNCTION("""COMPUTED_VALUE"""),"Mas Nur ( Jetis )")</f>
        <v>Mas Nur ( Jetis )</v>
      </c>
      <c r="U2136" s="215">
        <f>IFERROR(__xludf.DUMMYFUNCTION("""COMPUTED_VALUE"""),46024.535219907404)</f>
        <v>46024.53522</v>
      </c>
      <c r="V2136" s="211" t="str">
        <f>IFERROR(__xludf.DUMMYFUNCTION("""COMPUTED_VALUE"""),"HFVF+CCG, JL.Raya Jetis, jetis, Kec. Jetis Kabupaten Mojokerto Jawa Timur 61352")</f>
        <v>HFVF+CCG, JL.Raya Jetis, jetis, Kec. Jetis Kabupaten Mojokerto Jawa Timur 61352</v>
      </c>
      <c r="W2136" s="211" t="str">
        <f>IFERROR(__xludf.DUMMYFUNCTION("""COMPUTED_VALUE"""),"IN")</f>
        <v>IN</v>
      </c>
      <c r="X2136" s="211"/>
    </row>
    <row r="2137">
      <c r="A2137" s="210" t="str">
        <f>IFERROR(__xludf.DUMMYFUNCTION("""COMPUTED_VALUE"""),"1250723")</f>
        <v>1250723</v>
      </c>
      <c r="B2137" s="210" t="str">
        <f>IFERROR(__xludf.DUMMYFUNCTION("""COMPUTED_VALUE"""),"1250723")</f>
        <v>1250723</v>
      </c>
      <c r="C2137" s="213">
        <f>IFERROR(__xludf.DUMMYFUNCTION("""COMPUTED_VALUE"""),45957.41486111111)</f>
        <v>45957.41486</v>
      </c>
      <c r="D2137" s="211" t="str">
        <f>IFERROR(__xludf.DUMMYFUNCTION("""COMPUTED_VALUE"""),"8f5ebaea")</f>
        <v>8f5ebaea</v>
      </c>
      <c r="E2137" s="211" t="str">
        <f>IFERROR(__xludf.DUMMYFUNCTION("""COMPUTED_VALUE"""),"PT Hua Zong Mesindo")</f>
        <v>PT Hua Zong Mesindo</v>
      </c>
      <c r="F2137" s="211" t="str">
        <f>IFERROR(__xludf.DUMMYFUNCTION("""COMPUTED_VALUE"""),"8bdbe149")</f>
        <v>8bdbe149</v>
      </c>
      <c r="G2137" s="211" t="str">
        <f>IFERROR(__xludf.DUMMYFUNCTION("""COMPUTED_VALUE"""),"Oksigen 6m3")</f>
        <v>Oksigen 6m3</v>
      </c>
      <c r="H2137" s="211" t="str">
        <f>IFERROR(__xludf.DUMMYFUNCTION("""COMPUTED_VALUE"""),"IN")</f>
        <v>IN</v>
      </c>
      <c r="I2137" s="211" t="str">
        <f>IFERROR(__xludf.DUMMYFUNCTION("""COMPUTED_VALUE"""),"EMPTY")</f>
        <v>EMPTY</v>
      </c>
      <c r="J2137" s="211">
        <f>IFERROR(__xludf.DUMMYFUNCTION("""COMPUTED_VALUE"""),2.0)</f>
        <v>2</v>
      </c>
      <c r="K2137" s="210" t="str">
        <f>IFERROR(__xludf.DUMMYFUNCTION("""COMPUTED_VALUE"""),"11256 11245")</f>
        <v>11256 11245</v>
      </c>
      <c r="L2137" s="211">
        <f>IFERROR(__xludf.DUMMYFUNCTION("""COMPUTED_VALUE"""),0.0)</f>
        <v>0</v>
      </c>
      <c r="M2137" s="211"/>
      <c r="N2137" s="211"/>
      <c r="O2137" s="211"/>
      <c r="Q2137" s="210" t="str">
        <f>IFERROR(__xludf.DUMMYFUNCTION("""COMPUTED_VALUE"""),"1251036")</f>
        <v>1251036</v>
      </c>
      <c r="R2137" s="210" t="str">
        <f>IFERROR(__xludf.DUMMYFUNCTION("""COMPUTED_VALUE"""),"1251036")</f>
        <v>1251036</v>
      </c>
      <c r="S2137" s="211" t="str">
        <f>IFERROR(__xludf.DUMMYFUNCTION("""COMPUTED_VALUE"""),"d46989c9")</f>
        <v>d46989c9</v>
      </c>
      <c r="T2137" s="211" t="str">
        <f>IFERROR(__xludf.DUMMYFUNCTION("""COMPUTED_VALUE"""),"UD. Alin Jaya")</f>
        <v>UD. Alin Jaya</v>
      </c>
      <c r="U2137" s="215">
        <f>IFERROR(__xludf.DUMMYFUNCTION("""COMPUTED_VALUE"""),46024.53575231481)</f>
        <v>46024.53575</v>
      </c>
      <c r="V2137"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137" s="211" t="str">
        <f>IFERROR(__xludf.DUMMYFUNCTION("""COMPUTED_VALUE"""),"IN")</f>
        <v>IN</v>
      </c>
      <c r="X2137" s="211"/>
    </row>
    <row r="2138">
      <c r="A2138" s="210" t="str">
        <f>IFERROR(__xludf.DUMMYFUNCTION("""COMPUTED_VALUE"""),"1250723")</f>
        <v>1250723</v>
      </c>
      <c r="B2138" s="210" t="str">
        <f>IFERROR(__xludf.DUMMYFUNCTION("""COMPUTED_VALUE"""),"1250723")</f>
        <v>1250723</v>
      </c>
      <c r="C2138" s="213">
        <f>IFERROR(__xludf.DUMMYFUNCTION("""COMPUTED_VALUE"""),45957.41486111111)</f>
        <v>45957.41486</v>
      </c>
      <c r="D2138" s="211" t="str">
        <f>IFERROR(__xludf.DUMMYFUNCTION("""COMPUTED_VALUE"""),"8f5ebaea")</f>
        <v>8f5ebaea</v>
      </c>
      <c r="E2138" s="211" t="str">
        <f>IFERROR(__xludf.DUMMYFUNCTION("""COMPUTED_VALUE"""),"PT Hua Zong Mesindo")</f>
        <v>PT Hua Zong Mesindo</v>
      </c>
      <c r="F2138" s="211" t="str">
        <f>IFERROR(__xludf.DUMMYFUNCTION("""COMPUTED_VALUE"""),"ef306e54")</f>
        <v>ef306e54</v>
      </c>
      <c r="G2138" s="211" t="str">
        <f>IFERROR(__xludf.DUMMYFUNCTION("""COMPUTED_VALUE"""),"Karbondioksida")</f>
        <v>Karbondioksida</v>
      </c>
      <c r="H2138" s="211" t="str">
        <f>IFERROR(__xludf.DUMMYFUNCTION("""COMPUTED_VALUE"""),"IN")</f>
        <v>IN</v>
      </c>
      <c r="I2138" s="211" t="str">
        <f>IFERROR(__xludf.DUMMYFUNCTION("""COMPUTED_VALUE"""),"EMPTY")</f>
        <v>EMPTY</v>
      </c>
      <c r="J2138" s="211">
        <f>IFERROR(__xludf.DUMMYFUNCTION("""COMPUTED_VALUE"""),1.0)</f>
        <v>1</v>
      </c>
      <c r="K2138" s="210" t="str">
        <f>IFERROR(__xludf.DUMMYFUNCTION("""COMPUTED_VALUE"""),"13020")</f>
        <v>13020</v>
      </c>
      <c r="L2138" s="211">
        <f>IFERROR(__xludf.DUMMYFUNCTION("""COMPUTED_VALUE"""),0.0)</f>
        <v>0</v>
      </c>
      <c r="M2138" s="211"/>
      <c r="N2138" s="211"/>
      <c r="O2138" s="211"/>
      <c r="Q2138" s="210" t="str">
        <f>IFERROR(__xludf.DUMMYFUNCTION("""COMPUTED_VALUE"""),"1251029")</f>
        <v>1251029</v>
      </c>
      <c r="R2138" s="210" t="str">
        <f>IFERROR(__xludf.DUMMYFUNCTION("""COMPUTED_VALUE"""),"1251029")</f>
        <v>1251029</v>
      </c>
      <c r="S2138" s="211" t="str">
        <f>IFERROR(__xludf.DUMMYFUNCTION("""COMPUTED_VALUE"""),"3b04351a")</f>
        <v>3b04351a</v>
      </c>
      <c r="T2138" s="211" t="str">
        <f>IFERROR(__xludf.DUMMYFUNCTION("""COMPUTED_VALUE"""),"CV Usaha Logam Jaya ( Bpk Putra )")</f>
        <v>CV Usaha Logam Jaya ( Bpk Putra )</v>
      </c>
      <c r="U2138" s="215">
        <f>IFERROR(__xludf.DUMMYFUNCTION("""COMPUTED_VALUE"""),46024.53601851852)</f>
        <v>46024.53602</v>
      </c>
      <c r="V2138" s="211" t="str">
        <f>IFERROR(__xludf.DUMMYFUNCTION("""COMPUTED_VALUE"""),"Jl. Raya Wringinanom, Sidomoro, Pasinan Lemahputih, Kec. Wringinanom, Kabupaten Gresik, Jawa Timur 61176")</f>
        <v>Jl. Raya Wringinanom, Sidomoro, Pasinan Lemahputih, Kec. Wringinanom, Kabupaten Gresik, Jawa Timur 61176</v>
      </c>
      <c r="W2138" s="211" t="str">
        <f>IFERROR(__xludf.DUMMYFUNCTION("""COMPUTED_VALUE"""),"IN")</f>
        <v>IN</v>
      </c>
      <c r="X2138" s="211"/>
    </row>
    <row r="2139">
      <c r="A2139" s="210" t="str">
        <f>IFERROR(__xludf.DUMMYFUNCTION("""COMPUTED_VALUE"""),"1250723")</f>
        <v>1250723</v>
      </c>
      <c r="B2139" s="210" t="str">
        <f>IFERROR(__xludf.DUMMYFUNCTION("""COMPUTED_VALUE"""),"1250723")</f>
        <v>1250723</v>
      </c>
      <c r="C2139" s="213">
        <f>IFERROR(__xludf.DUMMYFUNCTION("""COMPUTED_VALUE"""),45957.41486111111)</f>
        <v>45957.41486</v>
      </c>
      <c r="D2139" s="211" t="str">
        <f>IFERROR(__xludf.DUMMYFUNCTION("""COMPUTED_VALUE"""),"8f5ebaea")</f>
        <v>8f5ebaea</v>
      </c>
      <c r="E2139" s="211" t="str">
        <f>IFERROR(__xludf.DUMMYFUNCTION("""COMPUTED_VALUE"""),"PT Hua Zong Mesindo")</f>
        <v>PT Hua Zong Mesindo</v>
      </c>
      <c r="F2139" s="211" t="str">
        <f>IFERROR(__xludf.DUMMYFUNCTION("""COMPUTED_VALUE"""),"66af7c72")</f>
        <v>66af7c72</v>
      </c>
      <c r="G2139" s="211" t="str">
        <f>IFERROR(__xludf.DUMMYFUNCTION("""COMPUTED_VALUE"""),"Argon 6m3")</f>
        <v>Argon 6m3</v>
      </c>
      <c r="H2139" s="211" t="str">
        <f>IFERROR(__xludf.DUMMYFUNCTION("""COMPUTED_VALUE"""),"IN")</f>
        <v>IN</v>
      </c>
      <c r="I2139" s="211" t="str">
        <f>IFERROR(__xludf.DUMMYFUNCTION("""COMPUTED_VALUE"""),"EMPTY")</f>
        <v>EMPTY</v>
      </c>
      <c r="J2139" s="211">
        <f>IFERROR(__xludf.DUMMYFUNCTION("""COMPUTED_VALUE"""),1.0)</f>
        <v>1</v>
      </c>
      <c r="K2139" s="210" t="str">
        <f>IFERROR(__xludf.DUMMYFUNCTION("""COMPUTED_VALUE"""),"12005")</f>
        <v>12005</v>
      </c>
      <c r="L2139" s="211">
        <f>IFERROR(__xludf.DUMMYFUNCTION("""COMPUTED_VALUE"""),0.0)</f>
        <v>0</v>
      </c>
      <c r="M2139" s="211"/>
      <c r="N2139" s="211"/>
      <c r="O2139" s="211"/>
      <c r="Q2139" s="210" t="str">
        <f>IFERROR(__xludf.DUMMYFUNCTION("""COMPUTED_VALUE"""),"0126362135")</f>
        <v>0126362135</v>
      </c>
      <c r="R2139" s="210" t="str">
        <f>IFERROR(__xludf.DUMMYFUNCTION("""COMPUTED_VALUE"""),"0126362135")</f>
        <v>0126362135</v>
      </c>
      <c r="S2139" s="211" t="str">
        <f>IFERROR(__xludf.DUMMYFUNCTION("""COMPUTED_VALUE"""),"ec231cc9")</f>
        <v>ec231cc9</v>
      </c>
      <c r="T2139" s="211" t="str">
        <f>IFERROR(__xludf.DUMMYFUNCTION("""COMPUTED_VALUE"""),"Bpk. Kohir (Maintenance Velg)")</f>
        <v>Bpk. Kohir (Maintenance Velg)</v>
      </c>
      <c r="U2139" s="215">
        <f>IFERROR(__xludf.DUMMYFUNCTION("""COMPUTED_VALUE"""),46024.65027777778)</f>
        <v>46024.65028</v>
      </c>
      <c r="V2139" s="211" t="str">
        <f>IFERROR(__xludf.DUMMYFUNCTION("""COMPUTED_VALUE"""),"Jl. Lkr. Bypass Krian Timur, Sidogolong, Watugolong, Kec. Krian, Kabupaten Sidoarjo, Jawa Timur 61262")</f>
        <v>Jl. Lkr. Bypass Krian Timur, Sidogolong, Watugolong, Kec. Krian, Kabupaten Sidoarjo, Jawa Timur 61262</v>
      </c>
      <c r="W2139" s="211" t="str">
        <f>IFERROR(__xludf.DUMMYFUNCTION("""COMPUTED_VALUE"""),"OUT")</f>
        <v>OUT</v>
      </c>
      <c r="X2139" s="211"/>
    </row>
    <row r="2140">
      <c r="A2140" s="210" t="str">
        <f>IFERROR(__xludf.DUMMYFUNCTION("""COMPUTED_VALUE"""),"1025281533")</f>
        <v>1025281533</v>
      </c>
      <c r="B2140" s="210" t="str">
        <f>IFERROR(__xludf.DUMMYFUNCTION("""COMPUTED_VALUE"""),"1025281533")</f>
        <v>1025281533</v>
      </c>
      <c r="C2140" s="213">
        <f>IFERROR(__xludf.DUMMYFUNCTION("""COMPUTED_VALUE"""),45957.44943287037)</f>
        <v>45957.44943</v>
      </c>
      <c r="D2140" s="211" t="str">
        <f>IFERROR(__xludf.DUMMYFUNCTION("""COMPUTED_VALUE"""),"b2b5f2c5")</f>
        <v>b2b5f2c5</v>
      </c>
      <c r="E2140" s="211" t="str">
        <f>IFERROR(__xludf.DUMMYFUNCTION("""COMPUTED_VALUE"""),"Bengkel Las Bpk. Ari")</f>
        <v>Bengkel Las Bpk. Ari</v>
      </c>
      <c r="F2140" s="211" t="str">
        <f>IFERROR(__xludf.DUMMYFUNCTION("""COMPUTED_VALUE"""),"ef306e54")</f>
        <v>ef306e54</v>
      </c>
      <c r="G2140" s="211" t="str">
        <f>IFERROR(__xludf.DUMMYFUNCTION("""COMPUTED_VALUE"""),"Karbondioksida")</f>
        <v>Karbondioksida</v>
      </c>
      <c r="H2140" s="211" t="str">
        <f>IFERROR(__xludf.DUMMYFUNCTION("""COMPUTED_VALUE"""),"OUT")</f>
        <v>OUT</v>
      </c>
      <c r="I2140" s="211" t="str">
        <f>IFERROR(__xludf.DUMMYFUNCTION("""COMPUTED_VALUE"""),"NORMAL")</f>
        <v>NORMAL</v>
      </c>
      <c r="J2140" s="211">
        <f>IFERROR(__xludf.DUMMYFUNCTION("""COMPUTED_VALUE"""),3.0)</f>
        <v>3</v>
      </c>
      <c r="K2140" s="210" t="str">
        <f>IFERROR(__xludf.DUMMYFUNCTION("""COMPUTED_VALUE"""),"13030 13034 13039")</f>
        <v>13030 13034 13039</v>
      </c>
      <c r="L2140" s="211">
        <f>IFERROR(__xludf.DUMMYFUNCTION("""COMPUTED_VALUE"""),170000.0)</f>
        <v>170000</v>
      </c>
      <c r="M2140" s="211"/>
      <c r="N2140" s="211"/>
      <c r="O2140" s="211"/>
      <c r="Q2140" s="210" t="str">
        <f>IFERROR(__xludf.DUMMYFUNCTION("""COMPUTED_VALUE"""),"0126652140")</f>
        <v>0126652140</v>
      </c>
      <c r="R2140" s="210" t="str">
        <f>IFERROR(__xludf.DUMMYFUNCTION("""COMPUTED_VALUE"""),"0126652140")</f>
        <v>0126652140</v>
      </c>
      <c r="S2140" s="211" t="str">
        <f>IFERROR(__xludf.DUMMYFUNCTION("""COMPUTED_VALUE"""),"b2b5f2c5")</f>
        <v>b2b5f2c5</v>
      </c>
      <c r="T2140" s="211" t="str">
        <f>IFERROR(__xludf.DUMMYFUNCTION("""COMPUTED_VALUE"""),"Bengkel Las Bpk. Ari")</f>
        <v>Bengkel Las Bpk. Ari</v>
      </c>
      <c r="U2140" s="215">
        <f>IFERROR(__xludf.DUMMYFUNCTION("""COMPUTED_VALUE"""),46025.35506944444)</f>
        <v>46025.35507</v>
      </c>
      <c r="V2140" s="211" t="str">
        <f>IFERROR(__xludf.DUMMYFUNCTION("""COMPUTED_VALUE"""),"Sumber Kembar, Wonodadi, Kec. Kutorejo, Kabupaten Mojokerto, Jawa Timur")</f>
        <v>Sumber Kembar, Wonodadi, Kec. Kutorejo, Kabupaten Mojokerto, Jawa Timur</v>
      </c>
      <c r="W2140" s="211" t="str">
        <f>IFERROR(__xludf.DUMMYFUNCTION("""COMPUTED_VALUE"""),"OUT")</f>
        <v>OUT</v>
      </c>
      <c r="X2140" s="211"/>
    </row>
    <row r="2141">
      <c r="A2141" s="210" t="str">
        <f>IFERROR(__xludf.DUMMYFUNCTION("""COMPUTED_VALUE"""),"1025281533")</f>
        <v>1025281533</v>
      </c>
      <c r="B2141" s="210" t="str">
        <f>IFERROR(__xludf.DUMMYFUNCTION("""COMPUTED_VALUE"""),"1025281533")</f>
        <v>1025281533</v>
      </c>
      <c r="C2141" s="213">
        <f>IFERROR(__xludf.DUMMYFUNCTION("""COMPUTED_VALUE"""),45957.44943287037)</f>
        <v>45957.44943</v>
      </c>
      <c r="D2141" s="211" t="str">
        <f>IFERROR(__xludf.DUMMYFUNCTION("""COMPUTED_VALUE"""),"b2b5f2c5")</f>
        <v>b2b5f2c5</v>
      </c>
      <c r="E2141" s="211" t="str">
        <f>IFERROR(__xludf.DUMMYFUNCTION("""COMPUTED_VALUE"""),"Bengkel Las Bpk. Ari")</f>
        <v>Bengkel Las Bpk. Ari</v>
      </c>
      <c r="F2141" s="211" t="str">
        <f>IFERROR(__xludf.DUMMYFUNCTION("""COMPUTED_VALUE"""),"8bdbe149")</f>
        <v>8bdbe149</v>
      </c>
      <c r="G2141" s="211" t="str">
        <f>IFERROR(__xludf.DUMMYFUNCTION("""COMPUTED_VALUE"""),"Oksigen 6m3")</f>
        <v>Oksigen 6m3</v>
      </c>
      <c r="H2141" s="211" t="str">
        <f>IFERROR(__xludf.DUMMYFUNCTION("""COMPUTED_VALUE"""),"OUT")</f>
        <v>OUT</v>
      </c>
      <c r="I2141" s="211" t="str">
        <f>IFERROR(__xludf.DUMMYFUNCTION("""COMPUTED_VALUE"""),"NORMAL")</f>
        <v>NORMAL</v>
      </c>
      <c r="J2141" s="211">
        <f>IFERROR(__xludf.DUMMYFUNCTION("""COMPUTED_VALUE"""),4.0)</f>
        <v>4</v>
      </c>
      <c r="K2141" s="210" t="str">
        <f>IFERROR(__xludf.DUMMYFUNCTION("""COMPUTED_VALUE"""),"11197 11199 11283 1166")</f>
        <v>11197 11199 11283 1166</v>
      </c>
      <c r="L2141" s="211">
        <f>IFERROR(__xludf.DUMMYFUNCTION("""COMPUTED_VALUE"""),60000.0)</f>
        <v>60000</v>
      </c>
      <c r="M2141" s="211"/>
      <c r="N2141" s="211"/>
      <c r="O2141" s="211"/>
      <c r="Q2141" s="210" t="str">
        <f>IFERROR(__xludf.DUMMYFUNCTION("""COMPUTED_VALUE"""),"012692141")</f>
        <v>012692141</v>
      </c>
      <c r="R2141" s="210" t="str">
        <f>IFERROR(__xludf.DUMMYFUNCTION("""COMPUTED_VALUE"""),"012692141")</f>
        <v>012692141</v>
      </c>
      <c r="S2141" s="211" t="str">
        <f>IFERROR(__xludf.DUMMYFUNCTION("""COMPUTED_VALUE"""),"dcdf8b31")</f>
        <v>dcdf8b31</v>
      </c>
      <c r="T2141" s="211" t="str">
        <f>IFERROR(__xludf.DUMMYFUNCTION("""COMPUTED_VALUE"""),"Bpk. Samsul (Jetis)")</f>
        <v>Bpk. Samsul (Jetis)</v>
      </c>
      <c r="U2141" s="215">
        <f>IFERROR(__xludf.DUMMYFUNCTION("""COMPUTED_VALUE"""),46025.35738425926)</f>
        <v>46025.35738</v>
      </c>
      <c r="V2141" s="211" t="str">
        <f>IFERROR(__xludf.DUMMYFUNCTION("""COMPUTED_VALUE"""),"HFWF+9FG, Sido Wangi, Paringan, Kec. Jetis, Kabupaten Mojokerto, Jawa Timur")</f>
        <v>HFWF+9FG, Sido Wangi, Paringan, Kec. Jetis, Kabupaten Mojokerto, Jawa Timur</v>
      </c>
      <c r="W2141" s="211" t="str">
        <f>IFERROR(__xludf.DUMMYFUNCTION("""COMPUTED_VALUE"""),"OUT")</f>
        <v>OUT</v>
      </c>
      <c r="X2141" s="211"/>
    </row>
    <row r="2142">
      <c r="A2142" s="210" t="str">
        <f>IFERROR(__xludf.DUMMYFUNCTION("""COMPUTED_VALUE"""),"1250725")</f>
        <v>1250725</v>
      </c>
      <c r="B2142" s="210" t="str">
        <f>IFERROR(__xludf.DUMMYFUNCTION("""COMPUTED_VALUE"""),"1250725")</f>
        <v>1250725</v>
      </c>
      <c r="C2142" s="213">
        <f>IFERROR(__xludf.DUMMYFUNCTION("""COMPUTED_VALUE"""),45957.66763888889)</f>
        <v>45957.66764</v>
      </c>
      <c r="D2142" s="211" t="str">
        <f>IFERROR(__xludf.DUMMYFUNCTION("""COMPUTED_VALUE"""),"b218b89b")</f>
        <v>b218b89b</v>
      </c>
      <c r="E2142" s="211" t="str">
        <f>IFERROR(__xludf.DUMMYFUNCTION("""COMPUTED_VALUE"""),"PT Harapan Sentosa")</f>
        <v>PT Harapan Sentosa</v>
      </c>
      <c r="F2142" s="211" t="str">
        <f>IFERROR(__xludf.DUMMYFUNCTION("""COMPUTED_VALUE"""),"ef306e54")</f>
        <v>ef306e54</v>
      </c>
      <c r="G2142" s="211" t="str">
        <f>IFERROR(__xludf.DUMMYFUNCTION("""COMPUTED_VALUE"""),"Karbondioksida")</f>
        <v>Karbondioksida</v>
      </c>
      <c r="H2142" s="211" t="str">
        <f>IFERROR(__xludf.DUMMYFUNCTION("""COMPUTED_VALUE"""),"IN")</f>
        <v>IN</v>
      </c>
      <c r="I2142" s="211" t="str">
        <f>IFERROR(__xludf.DUMMYFUNCTION("""COMPUTED_VALUE"""),"EMPTY")</f>
        <v>EMPTY</v>
      </c>
      <c r="J2142" s="211">
        <f>IFERROR(__xludf.DUMMYFUNCTION("""COMPUTED_VALUE"""),2.0)</f>
        <v>2</v>
      </c>
      <c r="K2142" s="210" t="str">
        <f>IFERROR(__xludf.DUMMYFUNCTION("""COMPUTED_VALUE"""),"13031 13014")</f>
        <v>13031 13014</v>
      </c>
      <c r="L2142" s="211">
        <f>IFERROR(__xludf.DUMMYFUNCTION("""COMPUTED_VALUE"""),0.0)</f>
        <v>0</v>
      </c>
      <c r="M2142" s="211"/>
      <c r="N2142" s="211"/>
      <c r="O2142" s="211"/>
      <c r="Q2142" s="210" t="str">
        <f>IFERROR(__xludf.DUMMYFUNCTION("""COMPUTED_VALUE"""),"0126182142")</f>
        <v>0126182142</v>
      </c>
      <c r="R2142" s="210" t="str">
        <f>IFERROR(__xludf.DUMMYFUNCTION("""COMPUTED_VALUE"""),"0126182142")</f>
        <v>0126182142</v>
      </c>
      <c r="S2142" s="211" t="str">
        <f>IFERROR(__xludf.DUMMYFUNCTION("""COMPUTED_VALUE"""),"b218b89b")</f>
        <v>b218b89b</v>
      </c>
      <c r="T2142" s="211" t="str">
        <f>IFERROR(__xludf.DUMMYFUNCTION("""COMPUTED_VALUE"""),"PT Harapan Sentosa")</f>
        <v>PT Harapan Sentosa</v>
      </c>
      <c r="U2142" s="215">
        <f>IFERROR(__xludf.DUMMYFUNCTION("""COMPUTED_VALUE"""),46025.35787037037)</f>
        <v>46025.35787</v>
      </c>
      <c r="V2142" s="211" t="str">
        <f>IFERROR(__xludf.DUMMYFUNCTION("""COMPUTED_VALUE"""),"Seketi, Jl. Purboyo II Selatan, RT.02/RW.02, Seketi, Kec. BalongBendo, Kabupaten Sidoarjo, Jawa Timur 61263")</f>
        <v>Seketi, Jl. Purboyo II Selatan, RT.02/RW.02, Seketi, Kec. BalongBendo, Kabupaten Sidoarjo, Jawa Timur 61263</v>
      </c>
      <c r="W2142" s="211" t="str">
        <f>IFERROR(__xludf.DUMMYFUNCTION("""COMPUTED_VALUE"""),"OUT")</f>
        <v>OUT</v>
      </c>
      <c r="X2142" s="211"/>
    </row>
    <row r="2143">
      <c r="A2143" s="210" t="str">
        <f>IFERROR(__xludf.DUMMYFUNCTION("""COMPUTED_VALUE"""),"1250725")</f>
        <v>1250725</v>
      </c>
      <c r="B2143" s="210" t="str">
        <f>IFERROR(__xludf.DUMMYFUNCTION("""COMPUTED_VALUE"""),"1250725")</f>
        <v>1250725</v>
      </c>
      <c r="C2143" s="213">
        <f>IFERROR(__xludf.DUMMYFUNCTION("""COMPUTED_VALUE"""),45957.66763888889)</f>
        <v>45957.66764</v>
      </c>
      <c r="D2143" s="211" t="str">
        <f>IFERROR(__xludf.DUMMYFUNCTION("""COMPUTED_VALUE"""),"b218b89b")</f>
        <v>b218b89b</v>
      </c>
      <c r="E2143" s="211" t="str">
        <f>IFERROR(__xludf.DUMMYFUNCTION("""COMPUTED_VALUE"""),"PT Harapan Sentosa")</f>
        <v>PT Harapan Sentosa</v>
      </c>
      <c r="F2143" s="211" t="str">
        <f>IFERROR(__xludf.DUMMYFUNCTION("""COMPUTED_VALUE"""),"8bdbe149")</f>
        <v>8bdbe149</v>
      </c>
      <c r="G2143" s="211" t="str">
        <f>IFERROR(__xludf.DUMMYFUNCTION("""COMPUTED_VALUE"""),"Oksigen 6m3")</f>
        <v>Oksigen 6m3</v>
      </c>
      <c r="H2143" s="211" t="str">
        <f>IFERROR(__xludf.DUMMYFUNCTION("""COMPUTED_VALUE"""),"IN")</f>
        <v>IN</v>
      </c>
      <c r="I2143" s="211" t="str">
        <f>IFERROR(__xludf.DUMMYFUNCTION("""COMPUTED_VALUE"""),"EMPTY")</f>
        <v>EMPTY</v>
      </c>
      <c r="J2143" s="211">
        <f>IFERROR(__xludf.DUMMYFUNCTION("""COMPUTED_VALUE"""),2.0)</f>
        <v>2</v>
      </c>
      <c r="K2143" s="210" t="str">
        <f>IFERROR(__xludf.DUMMYFUNCTION("""COMPUTED_VALUE"""),"11109 1142")</f>
        <v>11109 1142</v>
      </c>
      <c r="L2143" s="211">
        <f>IFERROR(__xludf.DUMMYFUNCTION("""COMPUTED_VALUE"""),0.0)</f>
        <v>0</v>
      </c>
      <c r="M2143" s="211"/>
      <c r="N2143" s="211"/>
      <c r="O2143" s="211"/>
      <c r="Q2143" s="210" t="str">
        <f>IFERROR(__xludf.DUMMYFUNCTION("""COMPUTED_VALUE"""),"1251041")</f>
        <v>1251041</v>
      </c>
      <c r="R2143" s="210" t="str">
        <f>IFERROR(__xludf.DUMMYFUNCTION("""COMPUTED_VALUE"""),"1251041")</f>
        <v>1251041</v>
      </c>
      <c r="S2143" s="211" t="str">
        <f>IFERROR(__xludf.DUMMYFUNCTION("""COMPUTED_VALUE"""),"3bcd7fe6")</f>
        <v>3bcd7fe6</v>
      </c>
      <c r="T2143" s="211" t="str">
        <f>IFERROR(__xludf.DUMMYFUNCTION("""COMPUTED_VALUE"""),"Bpk. Alvin (LB Group)")</f>
        <v>Bpk. Alvin (LB Group)</v>
      </c>
      <c r="U2143" s="215">
        <f>IFERROR(__xludf.DUMMYFUNCTION("""COMPUTED_VALUE"""),46025.51289351852)</f>
        <v>46025.51289</v>
      </c>
      <c r="V2143" s="211" t="str">
        <f>IFERROR(__xludf.DUMMYFUNCTION("""COMPUTED_VALUE"""),"MFF9+XHC, Jalan, Tambakrejo, Temuireng, Kec. Dawar Blandong, Kabupaten Mojokerto, Jawa Timur 61354")</f>
        <v>MFF9+XHC, Jalan, Tambakrejo, Temuireng, Kec. Dawar Blandong, Kabupaten Mojokerto, Jawa Timur 61354</v>
      </c>
      <c r="W2143" s="211" t="str">
        <f>IFERROR(__xludf.DUMMYFUNCTION("""COMPUTED_VALUE"""),"IN")</f>
        <v>IN</v>
      </c>
      <c r="X2143" s="211"/>
    </row>
    <row r="2144">
      <c r="A2144" s="210" t="str">
        <f>IFERROR(__xludf.DUMMYFUNCTION("""COMPUTED_VALUE"""),"1250724")</f>
        <v>1250724</v>
      </c>
      <c r="B2144" s="210" t="str">
        <f>IFERROR(__xludf.DUMMYFUNCTION("""COMPUTED_VALUE"""),"1250724")</f>
        <v>1250724</v>
      </c>
      <c r="C2144" s="213">
        <f>IFERROR(__xludf.DUMMYFUNCTION("""COMPUTED_VALUE"""),45957.669270833336)</f>
        <v>45957.66927</v>
      </c>
      <c r="D2144" s="211" t="str">
        <f>IFERROR(__xludf.DUMMYFUNCTION("""COMPUTED_VALUE"""),"4ec68cf6")</f>
        <v>4ec68cf6</v>
      </c>
      <c r="E2144" s="211" t="str">
        <f>IFERROR(__xludf.DUMMYFUNCTION("""COMPUTED_VALUE"""),"CV Sido Mukti Karya")</f>
        <v>CV Sido Mukti Karya</v>
      </c>
      <c r="F2144" s="211" t="str">
        <f>IFERROR(__xludf.DUMMYFUNCTION("""COMPUTED_VALUE"""),"ef306e54")</f>
        <v>ef306e54</v>
      </c>
      <c r="G2144" s="211" t="str">
        <f>IFERROR(__xludf.DUMMYFUNCTION("""COMPUTED_VALUE"""),"Karbondioksida")</f>
        <v>Karbondioksida</v>
      </c>
      <c r="H2144" s="211" t="str">
        <f>IFERROR(__xludf.DUMMYFUNCTION("""COMPUTED_VALUE"""),"IN")</f>
        <v>IN</v>
      </c>
      <c r="I2144" s="211" t="str">
        <f>IFERROR(__xludf.DUMMYFUNCTION("""COMPUTED_VALUE"""),"EMPTY")</f>
        <v>EMPTY</v>
      </c>
      <c r="J2144" s="211">
        <f>IFERROR(__xludf.DUMMYFUNCTION("""COMPUTED_VALUE"""),1.0)</f>
        <v>1</v>
      </c>
      <c r="K2144" s="210" t="str">
        <f>IFERROR(__xludf.DUMMYFUNCTION("""COMPUTED_VALUE"""),"13007")</f>
        <v>13007</v>
      </c>
      <c r="L2144" s="211">
        <f>IFERROR(__xludf.DUMMYFUNCTION("""COMPUTED_VALUE"""),0.0)</f>
        <v>0</v>
      </c>
      <c r="M2144" s="211"/>
      <c r="N2144" s="211"/>
      <c r="O2144" s="211"/>
      <c r="Q2144" s="210" t="str">
        <f>IFERROR(__xludf.DUMMYFUNCTION("""COMPUTED_VALUE"""),"1251040")</f>
        <v>1251040</v>
      </c>
      <c r="R2144" s="210" t="str">
        <f>IFERROR(__xludf.DUMMYFUNCTION("""COMPUTED_VALUE"""),"1251040")</f>
        <v>1251040</v>
      </c>
      <c r="S2144" s="211" t="str">
        <f>IFERROR(__xludf.DUMMYFUNCTION("""COMPUTED_VALUE"""),"dcdf8b31")</f>
        <v>dcdf8b31</v>
      </c>
      <c r="T2144" s="211" t="str">
        <f>IFERROR(__xludf.DUMMYFUNCTION("""COMPUTED_VALUE"""),"Bpk. Samsul (Jetis)")</f>
        <v>Bpk. Samsul (Jetis)</v>
      </c>
      <c r="U2144" s="215">
        <f>IFERROR(__xludf.DUMMYFUNCTION("""COMPUTED_VALUE"""),46025.514016203706)</f>
        <v>46025.51402</v>
      </c>
      <c r="V2144" s="211" t="str">
        <f>IFERROR(__xludf.DUMMYFUNCTION("""COMPUTED_VALUE"""),"HFWF+9FG, Sido Wangi, Paringan, Kec. Jetis, Kabupaten Mojokerto, Jawa Timur")</f>
        <v>HFWF+9FG, Sido Wangi, Paringan, Kec. Jetis, Kabupaten Mojokerto, Jawa Timur</v>
      </c>
      <c r="W2144" s="211" t="str">
        <f>IFERROR(__xludf.DUMMYFUNCTION("""COMPUTED_VALUE"""),"IN")</f>
        <v>IN</v>
      </c>
      <c r="X2144" s="211"/>
    </row>
    <row r="2145">
      <c r="A2145" s="210" t="str">
        <f>IFERROR(__xludf.DUMMYFUNCTION("""COMPUTED_VALUE"""),"1250724")</f>
        <v>1250724</v>
      </c>
      <c r="B2145" s="210" t="str">
        <f>IFERROR(__xludf.DUMMYFUNCTION("""COMPUTED_VALUE"""),"1250724")</f>
        <v>1250724</v>
      </c>
      <c r="C2145" s="213">
        <f>IFERROR(__xludf.DUMMYFUNCTION("""COMPUTED_VALUE"""),45957.669270833336)</f>
        <v>45957.66927</v>
      </c>
      <c r="D2145" s="211" t="str">
        <f>IFERROR(__xludf.DUMMYFUNCTION("""COMPUTED_VALUE"""),"4ec68cf6")</f>
        <v>4ec68cf6</v>
      </c>
      <c r="E2145" s="211" t="str">
        <f>IFERROR(__xludf.DUMMYFUNCTION("""COMPUTED_VALUE"""),"CV Sido Mukti Karya")</f>
        <v>CV Sido Mukti Karya</v>
      </c>
      <c r="F2145" s="211" t="str">
        <f>IFERROR(__xludf.DUMMYFUNCTION("""COMPUTED_VALUE"""),"8bdbe149")</f>
        <v>8bdbe149</v>
      </c>
      <c r="G2145" s="211" t="str">
        <f>IFERROR(__xludf.DUMMYFUNCTION("""COMPUTED_VALUE"""),"Oksigen 6m3")</f>
        <v>Oksigen 6m3</v>
      </c>
      <c r="H2145" s="211" t="str">
        <f>IFERROR(__xludf.DUMMYFUNCTION("""COMPUTED_VALUE"""),"IN")</f>
        <v>IN</v>
      </c>
      <c r="I2145" s="211" t="str">
        <f>IFERROR(__xludf.DUMMYFUNCTION("""COMPUTED_VALUE"""),"EMPTY")</f>
        <v>EMPTY</v>
      </c>
      <c r="J2145" s="211">
        <f>IFERROR(__xludf.DUMMYFUNCTION("""COMPUTED_VALUE"""),2.0)</f>
        <v>2</v>
      </c>
      <c r="K2145" s="210" t="str">
        <f>IFERROR(__xludf.DUMMYFUNCTION("""COMPUTED_VALUE"""),"11250 1190")</f>
        <v>11250 1190</v>
      </c>
      <c r="L2145" s="211">
        <f>IFERROR(__xludf.DUMMYFUNCTION("""COMPUTED_VALUE"""),0.0)</f>
        <v>0</v>
      </c>
      <c r="M2145" s="211"/>
      <c r="N2145" s="211"/>
      <c r="O2145" s="211"/>
      <c r="Q2145" s="210" t="str">
        <f>IFERROR(__xludf.DUMMYFUNCTION("""COMPUTED_VALUE"""),"1251039")</f>
        <v>1251039</v>
      </c>
      <c r="R2145" s="210" t="str">
        <f>IFERROR(__xludf.DUMMYFUNCTION("""COMPUTED_VALUE"""),"1251039")</f>
        <v>1251039</v>
      </c>
      <c r="S2145" s="211" t="str">
        <f>IFERROR(__xludf.DUMMYFUNCTION("""COMPUTED_VALUE"""),"b218b89b")</f>
        <v>b218b89b</v>
      </c>
      <c r="T2145" s="211" t="str">
        <f>IFERROR(__xludf.DUMMYFUNCTION("""COMPUTED_VALUE"""),"PT Harapan Sentosa")</f>
        <v>PT Harapan Sentosa</v>
      </c>
      <c r="U2145" s="215">
        <f>IFERROR(__xludf.DUMMYFUNCTION("""COMPUTED_VALUE"""),46025.51435185185)</f>
        <v>46025.51435</v>
      </c>
      <c r="V2145" s="211" t="str">
        <f>IFERROR(__xludf.DUMMYFUNCTION("""COMPUTED_VALUE"""),"Seketi, Jl. Purboyo II Selatan, RT.02/RW.02, Seketi, Kec. BalongBendo, Kabupaten Sidoarjo, Jawa Timur 61263")</f>
        <v>Seketi, Jl. Purboyo II Selatan, RT.02/RW.02, Seketi, Kec. BalongBendo, Kabupaten Sidoarjo, Jawa Timur 61263</v>
      </c>
      <c r="W2145" s="211" t="str">
        <f>IFERROR(__xludf.DUMMYFUNCTION("""COMPUTED_VALUE"""),"IN")</f>
        <v>IN</v>
      </c>
      <c r="X2145" s="211"/>
    </row>
    <row r="2146">
      <c r="A2146" s="210" t="str">
        <f>IFERROR(__xludf.DUMMYFUNCTION("""COMPUTED_VALUE"""),"1250713")</f>
        <v>1250713</v>
      </c>
      <c r="B2146" s="210" t="str">
        <f>IFERROR(__xludf.DUMMYFUNCTION("""COMPUTED_VALUE"""),"1250713")</f>
        <v>1250713</v>
      </c>
      <c r="C2146" s="213">
        <f>IFERROR(__xludf.DUMMYFUNCTION("""COMPUTED_VALUE"""),45957.67024305555)</f>
        <v>45957.67024</v>
      </c>
      <c r="D2146" s="211" t="str">
        <f>IFERROR(__xludf.DUMMYFUNCTION("""COMPUTED_VALUE"""),"b2b5f2c5")</f>
        <v>b2b5f2c5</v>
      </c>
      <c r="E2146" s="211" t="str">
        <f>IFERROR(__xludf.DUMMYFUNCTION("""COMPUTED_VALUE"""),"Bengkel Las Bpk. Ari")</f>
        <v>Bengkel Las Bpk. Ari</v>
      </c>
      <c r="F2146" s="211" t="str">
        <f>IFERROR(__xludf.DUMMYFUNCTION("""COMPUTED_VALUE"""),"ef306e54")</f>
        <v>ef306e54</v>
      </c>
      <c r="G2146" s="211" t="str">
        <f>IFERROR(__xludf.DUMMYFUNCTION("""COMPUTED_VALUE"""),"Karbondioksida")</f>
        <v>Karbondioksida</v>
      </c>
      <c r="H2146" s="211" t="str">
        <f>IFERROR(__xludf.DUMMYFUNCTION("""COMPUTED_VALUE"""),"IN")</f>
        <v>IN</v>
      </c>
      <c r="I2146" s="211" t="str">
        <f>IFERROR(__xludf.DUMMYFUNCTION("""COMPUTED_VALUE"""),"EMPTY")</f>
        <v>EMPTY</v>
      </c>
      <c r="J2146" s="211">
        <f>IFERROR(__xludf.DUMMYFUNCTION("""COMPUTED_VALUE"""),2.0)</f>
        <v>2</v>
      </c>
      <c r="K2146" s="210" t="str">
        <f>IFERROR(__xludf.DUMMYFUNCTION("""COMPUTED_VALUE"""),"13037 11165")</f>
        <v>13037 11165</v>
      </c>
      <c r="L2146" s="211">
        <f>IFERROR(__xludf.DUMMYFUNCTION("""COMPUTED_VALUE"""),0.0)</f>
        <v>0</v>
      </c>
      <c r="M2146" s="211"/>
      <c r="N2146" s="211"/>
      <c r="O2146" s="211"/>
      <c r="Q2146" s="210" t="str">
        <f>IFERROR(__xludf.DUMMYFUNCTION("""COMPUTED_VALUE"""),"012672143")</f>
        <v>012672143</v>
      </c>
      <c r="R2146" s="210" t="str">
        <f>IFERROR(__xludf.DUMMYFUNCTION("""COMPUTED_VALUE"""),"012672143")</f>
        <v>012672143</v>
      </c>
      <c r="S2146" s="211" t="str">
        <f>IFERROR(__xludf.DUMMYFUNCTION("""COMPUTED_VALUE"""),"734c6d17")</f>
        <v>734c6d17</v>
      </c>
      <c r="T2146" s="211" t="str">
        <f>IFERROR(__xludf.DUMMYFUNCTION("""COMPUTED_VALUE"""),"Bapak Ainol Yaqin ( Bpk. Ibnu )")</f>
        <v>Bapak Ainol Yaqin ( Bpk. Ibnu )</v>
      </c>
      <c r="U2146" s="215">
        <f>IFERROR(__xludf.DUMMYFUNCTION("""COMPUTED_VALUE"""),46025.542766203704)</f>
        <v>46025.54277</v>
      </c>
      <c r="V2146" s="211" t="str">
        <f>IFERROR(__xludf.DUMMYFUNCTION("""COMPUTED_VALUE"""),"Tanggul Wetan, Tanggul, Kec. Wonoayu, Kabupaten Sidoarjo, Jawa Timur")</f>
        <v>Tanggul Wetan, Tanggul, Kec. Wonoayu, Kabupaten Sidoarjo, Jawa Timur</v>
      </c>
      <c r="W2146" s="211" t="str">
        <f>IFERROR(__xludf.DUMMYFUNCTION("""COMPUTED_VALUE"""),"OUT")</f>
        <v>OUT</v>
      </c>
      <c r="X2146" s="211"/>
    </row>
    <row r="2147">
      <c r="A2147" s="210" t="str">
        <f>IFERROR(__xludf.DUMMYFUNCTION("""COMPUTED_VALUE"""),"1250713")</f>
        <v>1250713</v>
      </c>
      <c r="B2147" s="210" t="str">
        <f>IFERROR(__xludf.DUMMYFUNCTION("""COMPUTED_VALUE"""),"1250713")</f>
        <v>1250713</v>
      </c>
      <c r="C2147" s="213">
        <f>IFERROR(__xludf.DUMMYFUNCTION("""COMPUTED_VALUE"""),45957.67024305555)</f>
        <v>45957.67024</v>
      </c>
      <c r="D2147" s="211" t="str">
        <f>IFERROR(__xludf.DUMMYFUNCTION("""COMPUTED_VALUE"""),"b2b5f2c5")</f>
        <v>b2b5f2c5</v>
      </c>
      <c r="E2147" s="211" t="str">
        <f>IFERROR(__xludf.DUMMYFUNCTION("""COMPUTED_VALUE"""),"Bengkel Las Bpk. Ari")</f>
        <v>Bengkel Las Bpk. Ari</v>
      </c>
      <c r="F2147" s="211" t="str">
        <f>IFERROR(__xludf.DUMMYFUNCTION("""COMPUTED_VALUE"""),"7d2764f1")</f>
        <v>7d2764f1</v>
      </c>
      <c r="G2147" s="211" t="str">
        <f>IFERROR(__xludf.DUMMYFUNCTION("""COMPUTED_VALUE"""),"Oksigen 7m3")</f>
        <v>Oksigen 7m3</v>
      </c>
      <c r="H2147" s="211" t="str">
        <f>IFERROR(__xludf.DUMMYFUNCTION("""COMPUTED_VALUE"""),"IN")</f>
        <v>IN</v>
      </c>
      <c r="I2147" s="211" t="str">
        <f>IFERROR(__xludf.DUMMYFUNCTION("""COMPUTED_VALUE"""),"EMPTY")</f>
        <v>EMPTY</v>
      </c>
      <c r="J2147" s="211">
        <f>IFERROR(__xludf.DUMMYFUNCTION("""COMPUTED_VALUE"""),3.0)</f>
        <v>3</v>
      </c>
      <c r="K2147" s="210" t="str">
        <f>IFERROR(__xludf.DUMMYFUNCTION("""COMPUTED_VALUE"""),"11146 11160 11175")</f>
        <v>11146 11160 11175</v>
      </c>
      <c r="L2147" s="211">
        <f>IFERROR(__xludf.DUMMYFUNCTION("""COMPUTED_VALUE"""),0.0)</f>
        <v>0</v>
      </c>
      <c r="M2147" s="211"/>
      <c r="N2147" s="211"/>
      <c r="O2147" s="211"/>
      <c r="Q2147" s="210" t="str">
        <f>IFERROR(__xludf.DUMMYFUNCTION("""COMPUTED_VALUE"""),"1251042")</f>
        <v>1251042</v>
      </c>
      <c r="R2147" s="210" t="str">
        <f>IFERROR(__xludf.DUMMYFUNCTION("""COMPUTED_VALUE"""),"1251042")</f>
        <v>1251042</v>
      </c>
      <c r="S2147" s="211" t="str">
        <f>IFERROR(__xludf.DUMMYFUNCTION("""COMPUTED_VALUE"""),"734c6d17")</f>
        <v>734c6d17</v>
      </c>
      <c r="T2147" s="211" t="str">
        <f>IFERROR(__xludf.DUMMYFUNCTION("""COMPUTED_VALUE"""),"Bapak Ainol Yaqin ( Bpk. Ibnu )")</f>
        <v>Bapak Ainol Yaqin ( Bpk. Ibnu )</v>
      </c>
      <c r="U2147" s="215">
        <f>IFERROR(__xludf.DUMMYFUNCTION("""COMPUTED_VALUE"""),46025.61131944445)</f>
        <v>46025.61132</v>
      </c>
      <c r="V2147" s="211" t="str">
        <f>IFERROR(__xludf.DUMMYFUNCTION("""COMPUTED_VALUE"""),"Tanggul Wetan, Tanggul, Kec. Wonoayu, Kabupaten Sidoarjo, Jawa Timur")</f>
        <v>Tanggul Wetan, Tanggul, Kec. Wonoayu, Kabupaten Sidoarjo, Jawa Timur</v>
      </c>
      <c r="W2147" s="211" t="str">
        <f>IFERROR(__xludf.DUMMYFUNCTION("""COMPUTED_VALUE"""),"IN")</f>
        <v>IN</v>
      </c>
      <c r="X2147" s="211"/>
    </row>
    <row r="2148">
      <c r="A2148" s="210" t="str">
        <f>IFERROR(__xludf.DUMMYFUNCTION("""COMPUTED_VALUE"""),"1250712")</f>
        <v>1250712</v>
      </c>
      <c r="B2148" s="210" t="str">
        <f>IFERROR(__xludf.DUMMYFUNCTION("""COMPUTED_VALUE"""),"1250712")</f>
        <v>1250712</v>
      </c>
      <c r="C2148" s="213">
        <f>IFERROR(__xludf.DUMMYFUNCTION("""COMPUTED_VALUE"""),45957.67140046296)</f>
        <v>45957.6714</v>
      </c>
      <c r="D2148" s="211" t="str">
        <f>IFERROR(__xludf.DUMMYFUNCTION("""COMPUTED_VALUE"""),"4c3a2a5f")</f>
        <v>4c3a2a5f</v>
      </c>
      <c r="E2148" s="211" t="str">
        <f>IFERROR(__xludf.DUMMYFUNCTION("""COMPUTED_VALUE"""),"CV Matahari Mitra Sukses")</f>
        <v>CV Matahari Mitra Sukses</v>
      </c>
      <c r="F2148" s="211" t="str">
        <f>IFERROR(__xludf.DUMMYFUNCTION("""COMPUTED_VALUE"""),"ce3b37d3")</f>
        <v>ce3b37d3</v>
      </c>
      <c r="G2148" s="211" t="str">
        <f>IFERROR(__xludf.DUMMYFUNCTION("""COMPUTED_VALUE"""),"Argon MR")</f>
        <v>Argon MR</v>
      </c>
      <c r="H2148" s="211" t="str">
        <f>IFERROR(__xludf.DUMMYFUNCTION("""COMPUTED_VALUE"""),"IN")</f>
        <v>IN</v>
      </c>
      <c r="I2148" s="211" t="str">
        <f>IFERROR(__xludf.DUMMYFUNCTION("""COMPUTED_VALUE"""),"EMPTY")</f>
        <v>EMPTY</v>
      </c>
      <c r="J2148" s="211">
        <f>IFERROR(__xludf.DUMMYFUNCTION("""COMPUTED_VALUE"""),3.0)</f>
        <v>3</v>
      </c>
      <c r="K2148" s="211"/>
      <c r="L2148" s="211">
        <f>IFERROR(__xludf.DUMMYFUNCTION("""COMPUTED_VALUE"""),0.0)</f>
        <v>0</v>
      </c>
      <c r="M2148" s="211"/>
      <c r="N2148" s="211"/>
      <c r="O2148" s="211"/>
      <c r="Q2148" s="210" t="str">
        <f>IFERROR(__xludf.DUMMYFUNCTION("""COMPUTED_VALUE"""),"1251030")</f>
        <v>1251030</v>
      </c>
      <c r="R2148" s="210" t="str">
        <f>IFERROR(__xludf.DUMMYFUNCTION("""COMPUTED_VALUE"""),"1251030")</f>
        <v>1251030</v>
      </c>
      <c r="S2148" s="211" t="str">
        <f>IFERROR(__xludf.DUMMYFUNCTION("""COMPUTED_VALUE"""),"b2b5f2c5")</f>
        <v>b2b5f2c5</v>
      </c>
      <c r="T2148" s="211" t="str">
        <f>IFERROR(__xludf.DUMMYFUNCTION("""COMPUTED_VALUE"""),"Bengkel Las Bpk. Ari")</f>
        <v>Bengkel Las Bpk. Ari</v>
      </c>
      <c r="U2148" s="215">
        <f>IFERROR(__xludf.DUMMYFUNCTION("""COMPUTED_VALUE"""),46025.663402777776)</f>
        <v>46025.6634</v>
      </c>
      <c r="V2148" s="211" t="str">
        <f>IFERROR(__xludf.DUMMYFUNCTION("""COMPUTED_VALUE"""),"Sumber Kembar, Wonodadi, Kec. Kutorejo, Kabupaten Mojokerto, Jawa Timur")</f>
        <v>Sumber Kembar, Wonodadi, Kec. Kutorejo, Kabupaten Mojokerto, Jawa Timur</v>
      </c>
      <c r="W2148" s="211" t="str">
        <f>IFERROR(__xludf.DUMMYFUNCTION("""COMPUTED_VALUE"""),"IN")</f>
        <v>IN</v>
      </c>
      <c r="X2148" s="211"/>
    </row>
    <row r="2149">
      <c r="A2149" s="210" t="str">
        <f>IFERROR(__xludf.DUMMYFUNCTION("""COMPUTED_VALUE"""),"1025181539")</f>
        <v>1025181539</v>
      </c>
      <c r="B2149" s="210" t="str">
        <f>IFERROR(__xludf.DUMMYFUNCTION("""COMPUTED_VALUE"""),"1025181539")</f>
        <v>1025181539</v>
      </c>
      <c r="C2149" s="213">
        <f>IFERROR(__xludf.DUMMYFUNCTION("""COMPUTED_VALUE"""),45958.354166666664)</f>
        <v>45958.35417</v>
      </c>
      <c r="D2149" s="211" t="str">
        <f>IFERROR(__xludf.DUMMYFUNCTION("""COMPUTED_VALUE"""),"182fb0fe")</f>
        <v>182fb0fe</v>
      </c>
      <c r="E2149" s="211" t="str">
        <f>IFERROR(__xludf.DUMMYFUNCTION("""COMPUTED_VALUE"""),"PT Amtech")</f>
        <v>PT Amtech</v>
      </c>
      <c r="F2149" s="211" t="str">
        <f>IFERROR(__xludf.DUMMYFUNCTION("""COMPUTED_VALUE"""),"66af7c72")</f>
        <v>66af7c72</v>
      </c>
      <c r="G2149" s="211" t="str">
        <f>IFERROR(__xludf.DUMMYFUNCTION("""COMPUTED_VALUE"""),"Argon 6m3")</f>
        <v>Argon 6m3</v>
      </c>
      <c r="H2149" s="211" t="str">
        <f>IFERROR(__xludf.DUMMYFUNCTION("""COMPUTED_VALUE"""),"OUT")</f>
        <v>OUT</v>
      </c>
      <c r="I2149" s="211" t="str">
        <f>IFERROR(__xludf.DUMMYFUNCTION("""COMPUTED_VALUE"""),"NORMAL")</f>
        <v>NORMAL</v>
      </c>
      <c r="J2149" s="211">
        <f>IFERROR(__xludf.DUMMYFUNCTION("""COMPUTED_VALUE"""),4.0)</f>
        <v>4</v>
      </c>
      <c r="K2149" s="210" t="str">
        <f>IFERROR(__xludf.DUMMYFUNCTION("""COMPUTED_VALUE"""),"12054 12004 12052 12065")</f>
        <v>12054 12004 12052 12065</v>
      </c>
      <c r="L2149" s="211">
        <f>IFERROR(__xludf.DUMMYFUNCTION("""COMPUTED_VALUE"""),195000.0)</f>
        <v>195000</v>
      </c>
      <c r="M2149" s="211"/>
      <c r="N2149" s="211"/>
      <c r="O2149" s="211"/>
      <c r="Q2149" s="210" t="str">
        <f>IFERROR(__xludf.DUMMYFUNCTION("""COMPUTED_VALUE"""),"012682147")</f>
        <v>012682147</v>
      </c>
      <c r="R2149" s="210" t="str">
        <f>IFERROR(__xludf.DUMMYFUNCTION("""COMPUTED_VALUE"""),"012682147")</f>
        <v>012682147</v>
      </c>
      <c r="S2149" s="211" t="str">
        <f>IFERROR(__xludf.DUMMYFUNCTION("""COMPUTED_VALUE"""),"a9fe1bea")</f>
        <v>a9fe1bea</v>
      </c>
      <c r="T2149" s="211" t="str">
        <f>IFERROR(__xludf.DUMMYFUNCTION("""COMPUTED_VALUE"""),"H. Suheiri")</f>
        <v>H. Suheiri</v>
      </c>
      <c r="U2149" s="215">
        <f>IFERROR(__xludf.DUMMYFUNCTION("""COMPUTED_VALUE"""),46026.51981481481)</f>
        <v>46026.51981</v>
      </c>
      <c r="V2149" s="211" t="str">
        <f>IFERROR(__xludf.DUMMYFUNCTION("""COMPUTED_VALUE"""),"Jalan Raya Balongbendo No. 6 RT. 1 / RW. 1 Singkalan, Singkalan, Seduri, Kec. BalongBendo, Kabupaten Sidoarjo, Jawa Timur 61263")</f>
        <v>Jalan Raya Balongbendo No. 6 RT. 1 / RW. 1 Singkalan, Singkalan, Seduri, Kec. BalongBendo, Kabupaten Sidoarjo, Jawa Timur 61263</v>
      </c>
      <c r="W2149" s="211" t="str">
        <f>IFERROR(__xludf.DUMMYFUNCTION("""COMPUTED_VALUE"""),"OUT")</f>
        <v>OUT</v>
      </c>
      <c r="X2149" s="211"/>
    </row>
    <row r="2150">
      <c r="A2150" s="210" t="str">
        <f>IFERROR(__xludf.DUMMYFUNCTION("""COMPUTED_VALUE"""),"1025181539")</f>
        <v>1025181539</v>
      </c>
      <c r="B2150" s="210" t="str">
        <f>IFERROR(__xludf.DUMMYFUNCTION("""COMPUTED_VALUE"""),"1025181539")</f>
        <v>1025181539</v>
      </c>
      <c r="C2150" s="213">
        <f>IFERROR(__xludf.DUMMYFUNCTION("""COMPUTED_VALUE"""),45958.354166666664)</f>
        <v>45958.35417</v>
      </c>
      <c r="D2150" s="211" t="str">
        <f>IFERROR(__xludf.DUMMYFUNCTION("""COMPUTED_VALUE"""),"182fb0fe")</f>
        <v>182fb0fe</v>
      </c>
      <c r="E2150" s="211" t="str">
        <f>IFERROR(__xludf.DUMMYFUNCTION("""COMPUTED_VALUE"""),"PT Amtech")</f>
        <v>PT Amtech</v>
      </c>
      <c r="F2150" s="211" t="str">
        <f>IFERROR(__xludf.DUMMYFUNCTION("""COMPUTED_VALUE"""),"8bdbe149")</f>
        <v>8bdbe149</v>
      </c>
      <c r="G2150" s="211" t="str">
        <f>IFERROR(__xludf.DUMMYFUNCTION("""COMPUTED_VALUE"""),"Oksigen 6m3")</f>
        <v>Oksigen 6m3</v>
      </c>
      <c r="H2150" s="211" t="str">
        <f>IFERROR(__xludf.DUMMYFUNCTION("""COMPUTED_VALUE"""),"OUT")</f>
        <v>OUT</v>
      </c>
      <c r="I2150" s="211" t="str">
        <f>IFERROR(__xludf.DUMMYFUNCTION("""COMPUTED_VALUE"""),"NORMAL")</f>
        <v>NORMAL</v>
      </c>
      <c r="J2150" s="211">
        <f>IFERROR(__xludf.DUMMYFUNCTION("""COMPUTED_VALUE"""),2.0)</f>
        <v>2</v>
      </c>
      <c r="K2150" s="210" t="str">
        <f>IFERROR(__xludf.DUMMYFUNCTION("""COMPUTED_VALUE"""),"1119 11256")</f>
        <v>1119 11256</v>
      </c>
      <c r="L2150" s="211">
        <f>IFERROR(__xludf.DUMMYFUNCTION("""COMPUTED_VALUE"""),60000.0)</f>
        <v>60000</v>
      </c>
      <c r="M2150" s="211"/>
      <c r="N2150" s="211"/>
      <c r="O2150" s="211"/>
      <c r="Q2150" s="210" t="str">
        <f>IFERROR(__xludf.DUMMYFUNCTION("""COMPUTED_VALUE"""),"012632150")</f>
        <v>012632150</v>
      </c>
      <c r="R2150" s="210" t="str">
        <f>IFERROR(__xludf.DUMMYFUNCTION("""COMPUTED_VALUE"""),"012632150")</f>
        <v>012632150</v>
      </c>
      <c r="S2150" s="211" t="str">
        <f>IFERROR(__xludf.DUMMYFUNCTION("""COMPUTED_VALUE"""),"a1508027")</f>
        <v>a1508027</v>
      </c>
      <c r="T2150" s="211" t="str">
        <f>IFERROR(__xludf.DUMMYFUNCTION("""COMPUTED_VALUE"""),"Agus Budiono")</f>
        <v>Agus Budiono</v>
      </c>
      <c r="U2150" s="215">
        <f>IFERROR(__xludf.DUMMYFUNCTION("""COMPUTED_VALUE"""),46027.349641203706)</f>
        <v>46027.34964</v>
      </c>
      <c r="V2150" s="211" t="str">
        <f>IFERROR(__xludf.DUMMYFUNCTION("""COMPUTED_VALUE"""),"Kraton RT.13 RW. 03 Kraton Krian Sidoarjo")</f>
        <v>Kraton RT.13 RW. 03 Kraton Krian Sidoarjo</v>
      </c>
      <c r="W2150" s="211" t="str">
        <f>IFERROR(__xludf.DUMMYFUNCTION("""COMPUTED_VALUE"""),"OUT")</f>
        <v>OUT</v>
      </c>
      <c r="X2150" s="211"/>
    </row>
    <row r="2151">
      <c r="A2151" s="210" t="str">
        <f>IFERROR(__xludf.DUMMYFUNCTION("""COMPUTED_VALUE"""),"1025171544")</f>
        <v>1025171544</v>
      </c>
      <c r="B2151" s="210" t="str">
        <f>IFERROR(__xludf.DUMMYFUNCTION("""COMPUTED_VALUE"""),"1025171544")</f>
        <v>1025171544</v>
      </c>
      <c r="C2151" s="213">
        <f>IFERROR(__xludf.DUMMYFUNCTION("""COMPUTED_VALUE"""),45958.35469907407)</f>
        <v>45958.3547</v>
      </c>
      <c r="D2151" s="211" t="str">
        <f>IFERROR(__xludf.DUMMYFUNCTION("""COMPUTED_VALUE"""),"3bcd7fe6")</f>
        <v>3bcd7fe6</v>
      </c>
      <c r="E2151" s="211" t="str">
        <f>IFERROR(__xludf.DUMMYFUNCTION("""COMPUTED_VALUE"""),"Bpk. Alvin (LB Group)")</f>
        <v>Bpk. Alvin (LB Group)</v>
      </c>
      <c r="F2151" s="211" t="str">
        <f>IFERROR(__xludf.DUMMYFUNCTION("""COMPUTED_VALUE"""),"8bdbe149")</f>
        <v>8bdbe149</v>
      </c>
      <c r="G2151" s="211" t="str">
        <f>IFERROR(__xludf.DUMMYFUNCTION("""COMPUTED_VALUE"""),"Oksigen 6m3")</f>
        <v>Oksigen 6m3</v>
      </c>
      <c r="H2151" s="211" t="str">
        <f>IFERROR(__xludf.DUMMYFUNCTION("""COMPUTED_VALUE"""),"OUT")</f>
        <v>OUT</v>
      </c>
      <c r="I2151" s="211" t="str">
        <f>IFERROR(__xludf.DUMMYFUNCTION("""COMPUTED_VALUE"""),"NORMAL")</f>
        <v>NORMAL</v>
      </c>
      <c r="J2151" s="211">
        <f>IFERROR(__xludf.DUMMYFUNCTION("""COMPUTED_VALUE"""),4.0)</f>
        <v>4</v>
      </c>
      <c r="K2151" s="210" t="str">
        <f>IFERROR(__xludf.DUMMYFUNCTION("""COMPUTED_VALUE"""),"1146 1190 1142 11109")</f>
        <v>1146 1190 1142 11109</v>
      </c>
      <c r="L2151" s="211">
        <f>IFERROR(__xludf.DUMMYFUNCTION("""COMPUTED_VALUE"""),50000.0)</f>
        <v>50000</v>
      </c>
      <c r="M2151" s="211"/>
      <c r="N2151" s="211"/>
      <c r="O2151" s="211"/>
      <c r="Q2151" s="210" t="str">
        <f>IFERROR(__xludf.DUMMYFUNCTION("""COMPUTED_VALUE"""),"012622151")</f>
        <v>012622151</v>
      </c>
      <c r="R2151" s="210" t="str">
        <f>IFERROR(__xludf.DUMMYFUNCTION("""COMPUTED_VALUE"""),"012622151")</f>
        <v>012622151</v>
      </c>
      <c r="S2151" s="211" t="str">
        <f>IFERROR(__xludf.DUMMYFUNCTION("""COMPUTED_VALUE"""),"1d018c98")</f>
        <v>1d018c98</v>
      </c>
      <c r="T2151" s="211" t="str">
        <f>IFERROR(__xludf.DUMMYFUNCTION("""COMPUTED_VALUE"""),"Ibu Angel")</f>
        <v>Ibu Angel</v>
      </c>
      <c r="U2151" s="215">
        <f>IFERROR(__xludf.DUMMYFUNCTION("""COMPUTED_VALUE"""),46027.35097222222)</f>
        <v>46027.35097</v>
      </c>
      <c r="V2151" s="211" t="str">
        <f>IFERROR(__xludf.DUMMYFUNCTION("""COMPUTED_VALUE"""),"Penambangan Krajan RT 02 RW 01 Balongbendo")</f>
        <v>Penambangan Krajan RT 02 RW 01 Balongbendo</v>
      </c>
      <c r="W2151" s="211" t="str">
        <f>IFERROR(__xludf.DUMMYFUNCTION("""COMPUTED_VALUE"""),"OUT")</f>
        <v>OUT</v>
      </c>
      <c r="X2151" s="211"/>
    </row>
    <row r="2152">
      <c r="A2152" s="210" t="str">
        <f>IFERROR(__xludf.DUMMYFUNCTION("""COMPUTED_VALUE"""),"4102541508")</f>
        <v>4102541508</v>
      </c>
      <c r="B2152" s="210" t="str">
        <f>IFERROR(__xludf.DUMMYFUNCTION("""COMPUTED_VALUE"""),"4102541508")</f>
        <v>4102541508</v>
      </c>
      <c r="C2152" s="213">
        <f>IFERROR(__xludf.DUMMYFUNCTION("""COMPUTED_VALUE"""),45958.35527777778)</f>
        <v>45958.35528</v>
      </c>
      <c r="D2152" s="211" t="str">
        <f>IFERROR(__xludf.DUMMYFUNCTION("""COMPUTED_VALUE"""),"3bcd7fe6")</f>
        <v>3bcd7fe6</v>
      </c>
      <c r="E2152" s="211" t="str">
        <f>IFERROR(__xludf.DUMMYFUNCTION("""COMPUTED_VALUE"""),"Bpk. Alvin (LB Group)")</f>
        <v>Bpk. Alvin (LB Group)</v>
      </c>
      <c r="F2152" s="211" t="str">
        <f>IFERROR(__xludf.DUMMYFUNCTION("""COMPUTED_VALUE"""),"8bdbe149")</f>
        <v>8bdbe149</v>
      </c>
      <c r="G2152" s="211" t="str">
        <f>IFERROR(__xludf.DUMMYFUNCTION("""COMPUTED_VALUE"""),"Oksigen 6m3")</f>
        <v>Oksigen 6m3</v>
      </c>
      <c r="H2152" s="211" t="str">
        <f>IFERROR(__xludf.DUMMYFUNCTION("""COMPUTED_VALUE"""),"OTHER")</f>
        <v>OTHER</v>
      </c>
      <c r="I2152" s="211" t="str">
        <f>IFERROR(__xludf.DUMMYFUNCTION("""COMPUTED_VALUE"""),"RETUR CLAIM")</f>
        <v>RETUR CLAIM</v>
      </c>
      <c r="J2152" s="211">
        <f>IFERROR(__xludf.DUMMYFUNCTION("""COMPUTED_VALUE"""),1.0)</f>
        <v>1</v>
      </c>
      <c r="K2152" s="210" t="str">
        <f>IFERROR(__xludf.DUMMYFUNCTION("""COMPUTED_VALUE"""),"1129")</f>
        <v>1129</v>
      </c>
      <c r="L2152" s="211">
        <f>IFERROR(__xludf.DUMMYFUNCTION("""COMPUTED_VALUE"""),0.0)</f>
        <v>0</v>
      </c>
      <c r="M2152" s="211"/>
      <c r="N2152" s="211"/>
      <c r="O2152" s="211"/>
      <c r="Q2152" s="210" t="str">
        <f>IFERROR(__xludf.DUMMYFUNCTION("""COMPUTED_VALUE"""),"122532152")</f>
        <v>122532152</v>
      </c>
      <c r="R2152" s="210" t="str">
        <f>IFERROR(__xludf.DUMMYFUNCTION("""COMPUTED_VALUE"""),"122532152")</f>
        <v>122532152</v>
      </c>
      <c r="S2152" s="211" t="str">
        <f>IFERROR(__xludf.DUMMYFUNCTION("""COMPUTED_VALUE"""),"1d018c98")</f>
        <v>1d018c98</v>
      </c>
      <c r="T2152" s="211" t="str">
        <f>IFERROR(__xludf.DUMMYFUNCTION("""COMPUTED_VALUE"""),"Mbak Angel")</f>
        <v>Mbak Angel</v>
      </c>
      <c r="U2152" s="215">
        <f>IFERROR(__xludf.DUMMYFUNCTION("""COMPUTED_VALUE"""),46017.359456018516)</f>
        <v>46017.35946</v>
      </c>
      <c r="V2152" s="211" t="str">
        <f>IFERROR(__xludf.DUMMYFUNCTION("""COMPUTED_VALUE"""),"Penambangan Krajan RT 02 RW 01 Balongbendo")</f>
        <v>Penambangan Krajan RT 02 RW 01 Balongbendo</v>
      </c>
      <c r="W2152" s="211" t="str">
        <f>IFERROR(__xludf.DUMMYFUNCTION("""COMPUTED_VALUE"""),"OUT")</f>
        <v>OUT</v>
      </c>
      <c r="X2152" s="211"/>
    </row>
    <row r="2153">
      <c r="A2153" s="210" t="str">
        <f>IFERROR(__xludf.DUMMYFUNCTION("""COMPUTED_VALUE"""),"102551545")</f>
        <v>102551545</v>
      </c>
      <c r="B2153" s="210" t="str">
        <f>IFERROR(__xludf.DUMMYFUNCTION("""COMPUTED_VALUE"""),"102551545")</f>
        <v>102551545</v>
      </c>
      <c r="C2153" s="213">
        <f>IFERROR(__xludf.DUMMYFUNCTION("""COMPUTED_VALUE"""),45958.35815972222)</f>
        <v>45958.35816</v>
      </c>
      <c r="D2153" s="211" t="str">
        <f>IFERROR(__xludf.DUMMYFUNCTION("""COMPUTED_VALUE"""),"9e31e9f4")</f>
        <v>9e31e9f4</v>
      </c>
      <c r="E2153" s="211" t="str">
        <f>IFERROR(__xludf.DUMMYFUNCTION("""COMPUTED_VALUE"""),"Bpk. Eko Iswantoro")</f>
        <v>Bpk. Eko Iswantoro</v>
      </c>
      <c r="F2153" s="211" t="str">
        <f>IFERROR(__xludf.DUMMYFUNCTION("""COMPUTED_VALUE"""),"8bdbe149")</f>
        <v>8bdbe149</v>
      </c>
      <c r="G2153" s="211" t="str">
        <f>IFERROR(__xludf.DUMMYFUNCTION("""COMPUTED_VALUE"""),"Oksigen 6m3")</f>
        <v>Oksigen 6m3</v>
      </c>
      <c r="H2153" s="211" t="str">
        <f>IFERROR(__xludf.DUMMYFUNCTION("""COMPUTED_VALUE"""),"OUT")</f>
        <v>OUT</v>
      </c>
      <c r="I2153" s="211" t="str">
        <f>IFERROR(__xludf.DUMMYFUNCTION("""COMPUTED_VALUE"""),"NORMAL")</f>
        <v>NORMAL</v>
      </c>
      <c r="J2153" s="211">
        <f>IFERROR(__xludf.DUMMYFUNCTION("""COMPUTED_VALUE"""),3.0)</f>
        <v>3</v>
      </c>
      <c r="K2153" s="210" t="str">
        <f>IFERROR(__xludf.DUMMYFUNCTION("""COMPUTED_VALUE"""),"11263 11200 11250")</f>
        <v>11263 11200 11250</v>
      </c>
      <c r="L2153" s="211">
        <f>IFERROR(__xludf.DUMMYFUNCTION("""COMPUTED_VALUE"""),70000.0)</f>
        <v>70000</v>
      </c>
      <c r="M2153" s="211"/>
      <c r="N2153" s="211"/>
      <c r="O2153" s="211"/>
      <c r="Q2153" s="210" t="str">
        <f>IFERROR(__xludf.DUMMYFUNCTION("""COMPUTED_VALUE"""),"1251046")</f>
        <v>1251046</v>
      </c>
      <c r="R2153" s="210" t="str">
        <f>IFERROR(__xludf.DUMMYFUNCTION("""COMPUTED_VALUE"""),"1251046")</f>
        <v>1251046</v>
      </c>
      <c r="S2153" s="211" t="str">
        <f>IFERROR(__xludf.DUMMYFUNCTION("""COMPUTED_VALUE"""),"1d018c98")</f>
        <v>1d018c98</v>
      </c>
      <c r="T2153" s="211" t="str">
        <f>IFERROR(__xludf.DUMMYFUNCTION("""COMPUTED_VALUE"""),"Ibu Angel")</f>
        <v>Ibu Angel</v>
      </c>
      <c r="U2153" s="215">
        <f>IFERROR(__xludf.DUMMYFUNCTION("""COMPUTED_VALUE"""),46027.36009259259)</f>
        <v>46027.36009</v>
      </c>
      <c r="V2153" s="211" t="str">
        <f>IFERROR(__xludf.DUMMYFUNCTION("""COMPUTED_VALUE"""),"Penambangan Krajan RT 02 RW 01 Balongbendo")</f>
        <v>Penambangan Krajan RT 02 RW 01 Balongbendo</v>
      </c>
      <c r="W2153" s="211" t="str">
        <f>IFERROR(__xludf.DUMMYFUNCTION("""COMPUTED_VALUE"""),"IN")</f>
        <v>IN</v>
      </c>
      <c r="X2153" s="211"/>
    </row>
    <row r="2154">
      <c r="A2154" s="210" t="str">
        <f>IFERROR(__xludf.DUMMYFUNCTION("""COMPUTED_VALUE"""),"1025631547")</f>
        <v>1025631547</v>
      </c>
      <c r="B2154" s="210" t="str">
        <f>IFERROR(__xludf.DUMMYFUNCTION("""COMPUTED_VALUE"""),"1025631547")</f>
        <v>1025631547</v>
      </c>
      <c r="C2154" s="213">
        <f>IFERROR(__xludf.DUMMYFUNCTION("""COMPUTED_VALUE"""),45958.36167824074)</f>
        <v>45958.36168</v>
      </c>
      <c r="D2154" s="211" t="str">
        <f>IFERROR(__xludf.DUMMYFUNCTION("""COMPUTED_VALUE"""),"e86baf3b")</f>
        <v>e86baf3b</v>
      </c>
      <c r="E2154" s="211" t="str">
        <f>IFERROR(__xludf.DUMMYFUNCTION("""COMPUTED_VALUE"""),"PT GEMILANG CIPTA WAWASAN")</f>
        <v>PT GEMILANG CIPTA WAWASAN</v>
      </c>
      <c r="F2154" s="211" t="str">
        <f>IFERROR(__xludf.DUMMYFUNCTION("""COMPUTED_VALUE"""),"66af7c72")</f>
        <v>66af7c72</v>
      </c>
      <c r="G2154" s="211" t="str">
        <f>IFERROR(__xludf.DUMMYFUNCTION("""COMPUTED_VALUE"""),"Argon 6m3")</f>
        <v>Argon 6m3</v>
      </c>
      <c r="H2154" s="211" t="str">
        <f>IFERROR(__xludf.DUMMYFUNCTION("""COMPUTED_VALUE"""),"OUT")</f>
        <v>OUT</v>
      </c>
      <c r="I2154" s="211" t="str">
        <f>IFERROR(__xludf.DUMMYFUNCTION("""COMPUTED_VALUE"""),"NORMAL")</f>
        <v>NORMAL</v>
      </c>
      <c r="J2154" s="211">
        <f>IFERROR(__xludf.DUMMYFUNCTION("""COMPUTED_VALUE"""),8.0)</f>
        <v>8</v>
      </c>
      <c r="K2154" s="210" t="str">
        <f>IFERROR(__xludf.DUMMYFUNCTION("""COMPUTED_VALUE"""),"12044 12018 12082 12069 12032 12046 12023 12027")</f>
        <v>12044 12018 12082 12069 12032 12046 12023 12027</v>
      </c>
      <c r="L2154" s="211">
        <f>IFERROR(__xludf.DUMMYFUNCTION("""COMPUTED_VALUE"""),185000.0)</f>
        <v>185000</v>
      </c>
      <c r="M2154" s="211"/>
      <c r="N2154" s="211"/>
      <c r="O2154" s="211"/>
      <c r="Q2154" s="210" t="str">
        <f>IFERROR(__xludf.DUMMYFUNCTION("""COMPUTED_VALUE"""),"1251047")</f>
        <v>1251047</v>
      </c>
      <c r="R2154" s="210" t="str">
        <f>IFERROR(__xludf.DUMMYFUNCTION("""COMPUTED_VALUE"""),"1251047")</f>
        <v>1251047</v>
      </c>
      <c r="S2154" s="211" t="str">
        <f>IFERROR(__xludf.DUMMYFUNCTION("""COMPUTED_VALUE"""),"1d018c98")</f>
        <v>1d018c98</v>
      </c>
      <c r="T2154" s="211" t="str">
        <f>IFERROR(__xludf.DUMMYFUNCTION("""COMPUTED_VALUE"""),"Ibu Angel")</f>
        <v>Ibu Angel</v>
      </c>
      <c r="U2154" s="215">
        <f>IFERROR(__xludf.DUMMYFUNCTION("""COMPUTED_VALUE"""),46017.36101851852)</f>
        <v>46017.36102</v>
      </c>
      <c r="V2154" s="211" t="str">
        <f>IFERROR(__xludf.DUMMYFUNCTION("""COMPUTED_VALUE"""),"Penambangan Krajan RT 02 RW 01 Balongbendo")</f>
        <v>Penambangan Krajan RT 02 RW 01 Balongbendo</v>
      </c>
      <c r="W2154" s="211" t="str">
        <f>IFERROR(__xludf.DUMMYFUNCTION("""COMPUTED_VALUE"""),"IN")</f>
        <v>IN</v>
      </c>
      <c r="X2154" s="211"/>
    </row>
    <row r="2155">
      <c r="A2155" s="211"/>
      <c r="B2155" s="211"/>
      <c r="C2155" s="211"/>
      <c r="D2155" s="211"/>
      <c r="E2155" s="211"/>
      <c r="F2155" s="211"/>
      <c r="G2155" s="211"/>
      <c r="H2155" s="211"/>
      <c r="I2155" s="211"/>
      <c r="J2155" s="211"/>
      <c r="K2155" s="211"/>
      <c r="L2155" s="211"/>
      <c r="M2155" s="211"/>
      <c r="N2155" s="211"/>
      <c r="O2155" s="211"/>
      <c r="Q2155" s="210" t="str">
        <f>IFERROR(__xludf.DUMMYFUNCTION("""COMPUTED_VALUE"""),"0126122153")</f>
        <v>0126122153</v>
      </c>
      <c r="R2155" s="210" t="str">
        <f>IFERROR(__xludf.DUMMYFUNCTION("""COMPUTED_VALUE"""),"0126122153")</f>
        <v>0126122153</v>
      </c>
      <c r="S2155" s="211" t="str">
        <f>IFERROR(__xludf.DUMMYFUNCTION("""COMPUTED_VALUE"""),"a0f0ad2d")</f>
        <v>a0f0ad2d</v>
      </c>
      <c r="T2155" s="211" t="str">
        <f>IFERROR(__xludf.DUMMYFUNCTION("""COMPUTED_VALUE"""),"CV. Yulie Jaya")</f>
        <v>CV. Yulie Jaya</v>
      </c>
      <c r="U2155" s="215">
        <f>IFERROR(__xludf.DUMMYFUNCTION("""COMPUTED_VALUE"""),46027.36788194445)</f>
        <v>46027.36788</v>
      </c>
      <c r="V2155" s="211" t="str">
        <f>IFERROR(__xludf.DUMMYFUNCTION("""COMPUTED_VALUE"""),"JJH4+6RV, Badas, Barengkrajan, Kec. Krian, Kabupaten Sidoarjo, Jawa Timur 61262")</f>
        <v>JJH4+6RV, Badas, Barengkrajan, Kec. Krian, Kabupaten Sidoarjo, Jawa Timur 61262</v>
      </c>
      <c r="W2155" s="211" t="str">
        <f>IFERROR(__xludf.DUMMYFUNCTION("""COMPUTED_VALUE"""),"OUT")</f>
        <v>OUT</v>
      </c>
      <c r="X2155" s="211"/>
    </row>
    <row r="2156">
      <c r="A2156" s="211"/>
      <c r="B2156" s="211"/>
      <c r="C2156" s="211"/>
      <c r="D2156" s="211"/>
      <c r="E2156" s="211"/>
      <c r="F2156" s="211"/>
      <c r="G2156" s="211"/>
      <c r="H2156" s="211"/>
      <c r="I2156" s="211"/>
      <c r="J2156" s="211"/>
      <c r="K2156" s="211"/>
      <c r="L2156" s="211"/>
      <c r="M2156" s="211"/>
      <c r="N2156" s="211"/>
      <c r="O2156" s="211"/>
      <c r="Q2156" s="210" t="str">
        <f>IFERROR(__xludf.DUMMYFUNCTION("""COMPUTED_VALUE"""),"0126662156")</f>
        <v>0126662156</v>
      </c>
      <c r="R2156" s="210" t="str">
        <f>IFERROR(__xludf.DUMMYFUNCTION("""COMPUTED_VALUE"""),"0126662156")</f>
        <v>0126662156</v>
      </c>
      <c r="S2156" s="211" t="str">
        <f>IFERROR(__xludf.DUMMYFUNCTION("""COMPUTED_VALUE"""),"b2b5f2c5")</f>
        <v>b2b5f2c5</v>
      </c>
      <c r="T2156" s="211" t="str">
        <f>IFERROR(__xludf.DUMMYFUNCTION("""COMPUTED_VALUE"""),"Bengkel Las Bpk. Ari")</f>
        <v>Bengkel Las Bpk. Ari</v>
      </c>
      <c r="U2156" s="215">
        <f>IFERROR(__xludf.DUMMYFUNCTION("""COMPUTED_VALUE"""),46027.37070601852)</f>
        <v>46027.37071</v>
      </c>
      <c r="V2156" s="211" t="str">
        <f>IFERROR(__xludf.DUMMYFUNCTION("""COMPUTED_VALUE"""),"Sumber Kembar, Wonodadi, Kec. Kutorejo, Kabupaten Mojokerto, Jawa Timur")</f>
        <v>Sumber Kembar, Wonodadi, Kec. Kutorejo, Kabupaten Mojokerto, Jawa Timur</v>
      </c>
      <c r="W2156" s="211" t="str">
        <f>IFERROR(__xludf.DUMMYFUNCTION("""COMPUTED_VALUE"""),"OUT")</f>
        <v>OUT</v>
      </c>
      <c r="X2156" s="211"/>
    </row>
    <row r="2157">
      <c r="A2157" s="210" t="str">
        <f>IFERROR(__xludf.DUMMYFUNCTION("""COMPUTED_VALUE"""),"1025181539")</f>
        <v>1025181539</v>
      </c>
      <c r="B2157" s="210" t="str">
        <f>IFERROR(__xludf.DUMMYFUNCTION("""COMPUTED_VALUE"""),"1025181539")</f>
        <v>1025181539</v>
      </c>
      <c r="C2157" s="213">
        <f>IFERROR(__xludf.DUMMYFUNCTION("""COMPUTED_VALUE"""),45958.354166666664)</f>
        <v>45958.35417</v>
      </c>
      <c r="D2157" s="211" t="str">
        <f>IFERROR(__xludf.DUMMYFUNCTION("""COMPUTED_VALUE"""),"182fb0fe")</f>
        <v>182fb0fe</v>
      </c>
      <c r="E2157" s="211" t="str">
        <f>IFERROR(__xludf.DUMMYFUNCTION("""COMPUTED_VALUE"""),"PT Amtech")</f>
        <v>PT Amtech</v>
      </c>
      <c r="F2157" s="211" t="str">
        <f>IFERROR(__xludf.DUMMYFUNCTION("""COMPUTED_VALUE"""),"f13ba52f")</f>
        <v>f13ba52f</v>
      </c>
      <c r="G2157" s="211" t="str">
        <f>IFERROR(__xludf.DUMMYFUNCTION("""COMPUTED_VALUE"""),"Ongkos Kirim (Non PPN)")</f>
        <v>Ongkos Kirim (Non PPN)</v>
      </c>
      <c r="H2157" s="211" t="str">
        <f>IFERROR(__xludf.DUMMYFUNCTION("""COMPUTED_VALUE"""),"OUT")</f>
        <v>OUT</v>
      </c>
      <c r="I2157" s="211" t="str">
        <f>IFERROR(__xludf.DUMMYFUNCTION("""COMPUTED_VALUE"""),"NORMAL")</f>
        <v>NORMAL</v>
      </c>
      <c r="J2157" s="211">
        <f>IFERROR(__xludf.DUMMYFUNCTION("""COMPUTED_VALUE"""),1.0)</f>
        <v>1</v>
      </c>
      <c r="K2157" s="211"/>
      <c r="L2157" s="211">
        <f>IFERROR(__xludf.DUMMYFUNCTION("""COMPUTED_VALUE"""),100000.0)</f>
        <v>100000</v>
      </c>
      <c r="M2157" s="211"/>
      <c r="N2157" s="211"/>
      <c r="O2157" s="211"/>
      <c r="Q2157" s="210" t="str">
        <f>IFERROR(__xludf.DUMMYFUNCTION("""COMPUTED_VALUE"""),"0126322157")</f>
        <v>0126322157</v>
      </c>
      <c r="R2157" s="210" t="str">
        <f>IFERROR(__xludf.DUMMYFUNCTION("""COMPUTED_VALUE"""),"0126322157")</f>
        <v>0126322157</v>
      </c>
      <c r="S2157" s="211" t="str">
        <f>IFERROR(__xludf.DUMMYFUNCTION("""COMPUTED_VALUE"""),"8f5ebaea")</f>
        <v>8f5ebaea</v>
      </c>
      <c r="T2157" s="211" t="str">
        <f>IFERROR(__xludf.DUMMYFUNCTION("""COMPUTED_VALUE"""),"PT Hua Zong Mesindo")</f>
        <v>PT Hua Zong Mesindo</v>
      </c>
      <c r="U2157" s="215">
        <f>IFERROR(__xludf.DUMMYFUNCTION("""COMPUTED_VALUE"""),46027.376296296294)</f>
        <v>46027.3763</v>
      </c>
      <c r="V2157" s="211" t="str">
        <f>IFERROR(__xludf.DUMMYFUNCTION("""COMPUTED_VALUE"""),"Jl. Bypass Krian, Sidotemo, Sidomulyo, Kec. Krian, Kabupaten Sidoarjo, Jawa Timur 61262")</f>
        <v>Jl. Bypass Krian, Sidotemo, Sidomulyo, Kec. Krian, Kabupaten Sidoarjo, Jawa Timur 61262</v>
      </c>
      <c r="W2157" s="211" t="str">
        <f>IFERROR(__xludf.DUMMYFUNCTION("""COMPUTED_VALUE"""),"OUT")</f>
        <v>OUT</v>
      </c>
      <c r="X2157" s="211"/>
    </row>
    <row r="2158">
      <c r="A2158" s="210" t="str">
        <f>IFERROR(__xludf.DUMMYFUNCTION("""COMPUTED_VALUE"""),"1025161548")</f>
        <v>1025161548</v>
      </c>
      <c r="B2158" s="210" t="str">
        <f>IFERROR(__xludf.DUMMYFUNCTION("""COMPUTED_VALUE"""),"1025161548")</f>
        <v>1025161548</v>
      </c>
      <c r="C2158" s="213">
        <f>IFERROR(__xludf.DUMMYFUNCTION("""COMPUTED_VALUE"""),45958.458125)</f>
        <v>45958.45813</v>
      </c>
      <c r="D2158" s="211" t="str">
        <f>IFERROR(__xludf.DUMMYFUNCTION("""COMPUTED_VALUE"""),"4ec68cf6")</f>
        <v>4ec68cf6</v>
      </c>
      <c r="E2158" s="211" t="str">
        <f>IFERROR(__xludf.DUMMYFUNCTION("""COMPUTED_VALUE"""),"CV Sido Mukti Karya")</f>
        <v>CV Sido Mukti Karya</v>
      </c>
      <c r="F2158" s="211" t="str">
        <f>IFERROR(__xludf.DUMMYFUNCTION("""COMPUTED_VALUE"""),"ef306e54")</f>
        <v>ef306e54</v>
      </c>
      <c r="G2158" s="211" t="str">
        <f>IFERROR(__xludf.DUMMYFUNCTION("""COMPUTED_VALUE"""),"Karbondioksida")</f>
        <v>Karbondioksida</v>
      </c>
      <c r="H2158" s="211" t="str">
        <f>IFERROR(__xludf.DUMMYFUNCTION("""COMPUTED_VALUE"""),"OUT")</f>
        <v>OUT</v>
      </c>
      <c r="I2158" s="211" t="str">
        <f>IFERROR(__xludf.DUMMYFUNCTION("""COMPUTED_VALUE"""),"NORMAL")</f>
        <v>NORMAL</v>
      </c>
      <c r="J2158" s="211">
        <f>IFERROR(__xludf.DUMMYFUNCTION("""COMPUTED_VALUE"""),3.0)</f>
        <v>3</v>
      </c>
      <c r="K2158" s="210" t="str">
        <f>IFERROR(__xludf.DUMMYFUNCTION("""COMPUTED_VALUE"""),"13031 13037 13040")</f>
        <v>13031 13037 13040</v>
      </c>
      <c r="L2158" s="211">
        <f>IFERROR(__xludf.DUMMYFUNCTION("""COMPUTED_VALUE"""),170000.0)</f>
        <v>170000</v>
      </c>
      <c r="M2158" s="211"/>
      <c r="N2158" s="211"/>
      <c r="O2158" s="211"/>
      <c r="Q2158" s="210" t="str">
        <f>IFERROR(__xludf.DUMMYFUNCTION("""COMPUTED_VALUE"""),"1251032")</f>
        <v>1251032</v>
      </c>
      <c r="R2158" s="210" t="str">
        <f>IFERROR(__xludf.DUMMYFUNCTION("""COMPUTED_VALUE"""),"1251032")</f>
        <v>1251032</v>
      </c>
      <c r="S2158" s="211" t="str">
        <f>IFERROR(__xludf.DUMMYFUNCTION("""COMPUTED_VALUE"""),"b2b5f2c5")</f>
        <v>b2b5f2c5</v>
      </c>
      <c r="T2158" s="211" t="str">
        <f>IFERROR(__xludf.DUMMYFUNCTION("""COMPUTED_VALUE"""),"Bengkel Las Bpk. Ari")</f>
        <v>Bengkel Las Bpk. Ari</v>
      </c>
      <c r="U2158" s="215">
        <f>IFERROR(__xludf.DUMMYFUNCTION("""COMPUTED_VALUE"""),46027.61373842593)</f>
        <v>46027.61374</v>
      </c>
      <c r="V2158" s="211" t="str">
        <f>IFERROR(__xludf.DUMMYFUNCTION("""COMPUTED_VALUE"""),"Sumber Kembar, Wonodadi, Kec. Kutorejo, Kabupaten Mojokerto, Jawa Timur")</f>
        <v>Sumber Kembar, Wonodadi, Kec. Kutorejo, Kabupaten Mojokerto, Jawa Timur</v>
      </c>
      <c r="W2158" s="211" t="str">
        <f>IFERROR(__xludf.DUMMYFUNCTION("""COMPUTED_VALUE"""),"IN")</f>
        <v>IN</v>
      </c>
      <c r="X2158" s="211"/>
    </row>
    <row r="2159">
      <c r="A2159" s="210" t="str">
        <f>IFERROR(__xludf.DUMMYFUNCTION("""COMPUTED_VALUE"""),"1025161548")</f>
        <v>1025161548</v>
      </c>
      <c r="B2159" s="210" t="str">
        <f>IFERROR(__xludf.DUMMYFUNCTION("""COMPUTED_VALUE"""),"1025161548")</f>
        <v>1025161548</v>
      </c>
      <c r="C2159" s="213">
        <f>IFERROR(__xludf.DUMMYFUNCTION("""COMPUTED_VALUE"""),45958.458125)</f>
        <v>45958.45813</v>
      </c>
      <c r="D2159" s="211" t="str">
        <f>IFERROR(__xludf.DUMMYFUNCTION("""COMPUTED_VALUE"""),"4ec68cf6")</f>
        <v>4ec68cf6</v>
      </c>
      <c r="E2159" s="211" t="str">
        <f>IFERROR(__xludf.DUMMYFUNCTION("""COMPUTED_VALUE"""),"CV Sido Mukti Karya")</f>
        <v>CV Sido Mukti Karya</v>
      </c>
      <c r="F2159" s="211" t="str">
        <f>IFERROR(__xludf.DUMMYFUNCTION("""COMPUTED_VALUE"""),"7d2764f1")</f>
        <v>7d2764f1</v>
      </c>
      <c r="G2159" s="211" t="str">
        <f>IFERROR(__xludf.DUMMYFUNCTION("""COMPUTED_VALUE"""),"Oksigen 7m3")</f>
        <v>Oksigen 7m3</v>
      </c>
      <c r="H2159" s="211" t="str">
        <f>IFERROR(__xludf.DUMMYFUNCTION("""COMPUTED_VALUE"""),"OUT")</f>
        <v>OUT</v>
      </c>
      <c r="I2159" s="211" t="str">
        <f>IFERROR(__xludf.DUMMYFUNCTION("""COMPUTED_VALUE"""),"NORMAL")</f>
        <v>NORMAL</v>
      </c>
      <c r="J2159" s="211">
        <f>IFERROR(__xludf.DUMMYFUNCTION("""COMPUTED_VALUE"""),6.0)</f>
        <v>6</v>
      </c>
      <c r="K2159" s="210" t="str">
        <f>IFERROR(__xludf.DUMMYFUNCTION("""COMPUTED_VALUE"""),"11162 11146 11141 11160 11221 1165")</f>
        <v>11162 11146 11141 11160 11221 1165</v>
      </c>
      <c r="L2159" s="211">
        <f>IFERROR(__xludf.DUMMYFUNCTION("""COMPUTED_VALUE"""),60000.0)</f>
        <v>60000</v>
      </c>
      <c r="M2159" s="211"/>
      <c r="N2159" s="211"/>
      <c r="O2159" s="211"/>
      <c r="Q2159" s="210" t="str">
        <f>IFERROR(__xludf.DUMMYFUNCTION("""COMPUTED_VALUE"""),"1251033")</f>
        <v>1251033</v>
      </c>
      <c r="R2159" s="210" t="str">
        <f>IFERROR(__xludf.DUMMYFUNCTION("""COMPUTED_VALUE"""),"1251033")</f>
        <v>1251033</v>
      </c>
      <c r="S2159" s="211" t="str">
        <f>IFERROR(__xludf.DUMMYFUNCTION("""COMPUTED_VALUE"""),"01158be1")</f>
        <v>01158be1</v>
      </c>
      <c r="T2159" s="211" t="str">
        <f>IFERROR(__xludf.DUMMYFUNCTION("""COMPUTED_VALUE"""),"GYF")</f>
        <v>GYF</v>
      </c>
      <c r="U2159" s="215">
        <f>IFERROR(__xludf.DUMMYFUNCTION("""COMPUTED_VALUE"""),46027.61460648148)</f>
        <v>46027.61461</v>
      </c>
      <c r="V2159" s="211" t="str">
        <f>IFERROR(__xludf.DUMMYFUNCTION("""COMPUTED_VALUE"""),"Kangkungan, Lengkong, Kec. Mojoanyar, Kabupaten Mojokerto, Jawa Timur")</f>
        <v>Kangkungan, Lengkong, Kec. Mojoanyar, Kabupaten Mojokerto, Jawa Timur</v>
      </c>
      <c r="W2159" s="211" t="str">
        <f>IFERROR(__xludf.DUMMYFUNCTION("""COMPUTED_VALUE"""),"IN")</f>
        <v>IN</v>
      </c>
      <c r="X2159" s="211"/>
    </row>
    <row r="2160">
      <c r="A2160" s="210" t="str">
        <f>IFERROR(__xludf.DUMMYFUNCTION("""COMPUTED_VALUE"""),"1025251549")</f>
        <v>1025251549</v>
      </c>
      <c r="B2160" s="210" t="str">
        <f>IFERROR(__xludf.DUMMYFUNCTION("""COMPUTED_VALUE"""),"1025251549")</f>
        <v>1025251549</v>
      </c>
      <c r="C2160" s="213">
        <f>IFERROR(__xludf.DUMMYFUNCTION("""COMPUTED_VALUE"""),45958.47210648148)</f>
        <v>45958.47211</v>
      </c>
      <c r="D2160" s="211" t="str">
        <f>IFERROR(__xludf.DUMMYFUNCTION("""COMPUTED_VALUE"""),"ec231cc9")</f>
        <v>ec231cc9</v>
      </c>
      <c r="E2160" s="211" t="str">
        <f>IFERROR(__xludf.DUMMYFUNCTION("""COMPUTED_VALUE"""),"Bpk. Kohir (Maintenance Velg)")</f>
        <v>Bpk. Kohir (Maintenance Velg)</v>
      </c>
      <c r="F2160" s="211" t="str">
        <f>IFERROR(__xludf.DUMMYFUNCTION("""COMPUTED_VALUE"""),"8bdbe149")</f>
        <v>8bdbe149</v>
      </c>
      <c r="G2160" s="211" t="str">
        <f>IFERROR(__xludf.DUMMYFUNCTION("""COMPUTED_VALUE"""),"Oksigen 6m3")</f>
        <v>Oksigen 6m3</v>
      </c>
      <c r="H2160" s="211" t="str">
        <f>IFERROR(__xludf.DUMMYFUNCTION("""COMPUTED_VALUE"""),"OUT")</f>
        <v>OUT</v>
      </c>
      <c r="I2160" s="211" t="str">
        <f>IFERROR(__xludf.DUMMYFUNCTION("""COMPUTED_VALUE"""),"NORMAL")</f>
        <v>NORMAL</v>
      </c>
      <c r="J2160" s="211">
        <f>IFERROR(__xludf.DUMMYFUNCTION("""COMPUTED_VALUE"""),4.0)</f>
        <v>4</v>
      </c>
      <c r="K2160" s="210" t="str">
        <f>IFERROR(__xludf.DUMMYFUNCTION("""COMPUTED_VALUE"""),"11245 11175 76 01")</f>
        <v>11245 11175 76 01</v>
      </c>
      <c r="L2160" s="211">
        <f>IFERROR(__xludf.DUMMYFUNCTION("""COMPUTED_VALUE"""),55000.0)</f>
        <v>55000</v>
      </c>
      <c r="M2160" s="211"/>
      <c r="N2160" s="211"/>
      <c r="O2160" s="211"/>
      <c r="Q2160" s="210" t="str">
        <f>IFERROR(__xludf.DUMMYFUNCTION("""COMPUTED_VALUE"""),"1251031")</f>
        <v>1251031</v>
      </c>
      <c r="R2160" s="210" t="str">
        <f>IFERROR(__xludf.DUMMYFUNCTION("""COMPUTED_VALUE"""),"1251031")</f>
        <v>1251031</v>
      </c>
      <c r="S2160" s="211" t="str">
        <f>IFERROR(__xludf.DUMMYFUNCTION("""COMPUTED_VALUE"""),"63fc688a")</f>
        <v>63fc688a</v>
      </c>
      <c r="T2160" s="211" t="str">
        <f>IFERROR(__xludf.DUMMYFUNCTION("""COMPUTED_VALUE"""),"CV Malik Nusantara")</f>
        <v>CV Malik Nusantara</v>
      </c>
      <c r="U2160" s="215">
        <f>IFERROR(__xludf.DUMMYFUNCTION("""COMPUTED_VALUE"""),46027.61510416667)</f>
        <v>46027.6151</v>
      </c>
      <c r="V2160" s="211" t="str">
        <f>IFERROR(__xludf.DUMMYFUNCTION("""COMPUTED_VALUE"""),"Jl. Raya Balongbendo No.12, Suwaluh Utara, Suwaluh, Kec. BalongBendo, Kabupaten Sidoarjo, Jawa Timur 61263")</f>
        <v>Jl. Raya Balongbendo No.12, Suwaluh Utara, Suwaluh, Kec. BalongBendo, Kabupaten Sidoarjo, Jawa Timur 61263</v>
      </c>
      <c r="W2160" s="211" t="str">
        <f>IFERROR(__xludf.DUMMYFUNCTION("""COMPUTED_VALUE"""),"IN")</f>
        <v>IN</v>
      </c>
      <c r="X2160" s="211"/>
    </row>
    <row r="2161">
      <c r="A2161" s="210" t="str">
        <f>IFERROR(__xludf.DUMMYFUNCTION("""COMPUTED_VALUE"""),"1025301550")</f>
        <v>1025301550</v>
      </c>
      <c r="B2161" s="210" t="str">
        <f>IFERROR(__xludf.DUMMYFUNCTION("""COMPUTED_VALUE"""),"1025301550")</f>
        <v>1025301550</v>
      </c>
      <c r="C2161" s="213">
        <f>IFERROR(__xludf.DUMMYFUNCTION("""COMPUTED_VALUE"""),45958.47336805556)</f>
        <v>45958.47337</v>
      </c>
      <c r="D2161" s="211" t="str">
        <f>IFERROR(__xludf.DUMMYFUNCTION("""COMPUTED_VALUE"""),"5f23ba17")</f>
        <v>5f23ba17</v>
      </c>
      <c r="E2161" s="211" t="str">
        <f>IFERROR(__xludf.DUMMYFUNCTION("""COMPUTED_VALUE"""),"Bpk. Joko (Gresik)")</f>
        <v>Bpk. Joko (Gresik)</v>
      </c>
      <c r="F2161" s="211" t="str">
        <f>IFERROR(__xludf.DUMMYFUNCTION("""COMPUTED_VALUE"""),"be525f3b")</f>
        <v>be525f3b</v>
      </c>
      <c r="G2161" s="211" t="str">
        <f>IFERROR(__xludf.DUMMYFUNCTION("""COMPUTED_VALUE"""),"LPG 12kg")</f>
        <v>LPG 12kg</v>
      </c>
      <c r="H2161" s="211" t="str">
        <f>IFERROR(__xludf.DUMMYFUNCTION("""COMPUTED_VALUE"""),"OUT")</f>
        <v>OUT</v>
      </c>
      <c r="I2161" s="211" t="str">
        <f>IFERROR(__xludf.DUMMYFUNCTION("""COMPUTED_VALUE"""),"NORMAL")</f>
        <v>NORMAL</v>
      </c>
      <c r="J2161" s="211">
        <f>IFERROR(__xludf.DUMMYFUNCTION("""COMPUTED_VALUE"""),3.0)</f>
        <v>3</v>
      </c>
      <c r="K2161" s="210" t="str">
        <f>IFERROR(__xludf.DUMMYFUNCTION("""COMPUTED_VALUE"""),"01 02 03")</f>
        <v>01 02 03</v>
      </c>
      <c r="L2161" s="211">
        <f>IFERROR(__xludf.DUMMYFUNCTION("""COMPUTED_VALUE"""),200000.0)</f>
        <v>200000</v>
      </c>
      <c r="M2161" s="211"/>
      <c r="N2161" s="211"/>
      <c r="O2161" s="211"/>
      <c r="Q2161" s="210" t="str">
        <f>IFERROR(__xludf.DUMMYFUNCTION("""COMPUTED_VALUE"""),"012642158")</f>
        <v>012642158</v>
      </c>
      <c r="R2161" s="210" t="str">
        <f>IFERROR(__xludf.DUMMYFUNCTION("""COMPUTED_VALUE"""),"012642158")</f>
        <v>012642158</v>
      </c>
      <c r="S2161" s="211" t="str">
        <f>IFERROR(__xludf.DUMMYFUNCTION("""COMPUTED_VALUE"""),"9e5d8274")</f>
        <v>9e5d8274</v>
      </c>
      <c r="T2161" s="211" t="str">
        <f>IFERROR(__xludf.DUMMYFUNCTION("""COMPUTED_VALUE"""),"Bpk. Erry ( Lik Trosobo )")</f>
        <v>Bpk. Erry ( Lik Trosobo )</v>
      </c>
      <c r="U2161" s="215">
        <f>IFERROR(__xludf.DUMMYFUNCTION("""COMPUTED_VALUE"""),46027.61974537037)</f>
        <v>46027.61975</v>
      </c>
      <c r="V2161" s="211" t="str">
        <f>IFERROR(__xludf.DUMMYFUNCTION("""COMPUTED_VALUE"""),"Trosobo Taman")</f>
        <v>Trosobo Taman</v>
      </c>
      <c r="W2161" s="211" t="str">
        <f>IFERROR(__xludf.DUMMYFUNCTION("""COMPUTED_VALUE"""),"OUT")</f>
        <v>OUT</v>
      </c>
      <c r="X2161" s="211"/>
    </row>
    <row r="2162">
      <c r="A2162" s="210" t="str">
        <f>IFERROR(__xludf.DUMMYFUNCTION("""COMPUTED_VALUE"""),"1250714")</f>
        <v>1250714</v>
      </c>
      <c r="B2162" s="210" t="str">
        <f>IFERROR(__xludf.DUMMYFUNCTION("""COMPUTED_VALUE"""),"1250714")</f>
        <v>1250714</v>
      </c>
      <c r="C2162" s="213">
        <f>IFERROR(__xludf.DUMMYFUNCTION("""COMPUTED_VALUE"""),45958.53486111111)</f>
        <v>45958.53486</v>
      </c>
      <c r="D2162" s="211" t="str">
        <f>IFERROR(__xludf.DUMMYFUNCTION("""COMPUTED_VALUE"""),"9e31e9f4")</f>
        <v>9e31e9f4</v>
      </c>
      <c r="E2162" s="211" t="str">
        <f>IFERROR(__xludf.DUMMYFUNCTION("""COMPUTED_VALUE"""),"Bpk. Eko Iswantoro")</f>
        <v>Bpk. Eko Iswantoro</v>
      </c>
      <c r="F2162" s="211" t="str">
        <f>IFERROR(__xludf.DUMMYFUNCTION("""COMPUTED_VALUE"""),"8bdbe149")</f>
        <v>8bdbe149</v>
      </c>
      <c r="G2162" s="211" t="str">
        <f>IFERROR(__xludf.DUMMYFUNCTION("""COMPUTED_VALUE"""),"Oksigen 6m3")</f>
        <v>Oksigen 6m3</v>
      </c>
      <c r="H2162" s="211" t="str">
        <f>IFERROR(__xludf.DUMMYFUNCTION("""COMPUTED_VALUE"""),"IN")</f>
        <v>IN</v>
      </c>
      <c r="I2162" s="211" t="str">
        <f>IFERROR(__xludf.DUMMYFUNCTION("""COMPUTED_VALUE"""),"EMPTY")</f>
        <v>EMPTY</v>
      </c>
      <c r="J2162" s="211">
        <f>IFERROR(__xludf.DUMMYFUNCTION("""COMPUTED_VALUE"""),1.0)</f>
        <v>1</v>
      </c>
      <c r="K2162" s="210" t="str">
        <f>IFERROR(__xludf.DUMMYFUNCTION("""COMPUTED_VALUE"""),"11121")</f>
        <v>11121</v>
      </c>
      <c r="L2162" s="211">
        <f>IFERROR(__xludf.DUMMYFUNCTION("""COMPUTED_VALUE"""),0.0)</f>
        <v>0</v>
      </c>
      <c r="M2162" s="211"/>
      <c r="N2162" s="211"/>
      <c r="O2162" s="211"/>
      <c r="Q2162" s="210" t="str">
        <f>IFERROR(__xludf.DUMMYFUNCTION("""COMPUTED_VALUE"""),"1251044")</f>
        <v>1251044</v>
      </c>
      <c r="R2162" s="210" t="str">
        <f>IFERROR(__xludf.DUMMYFUNCTION("""COMPUTED_VALUE"""),"1251044")</f>
        <v>1251044</v>
      </c>
      <c r="S2162" s="211" t="str">
        <f>IFERROR(__xludf.DUMMYFUNCTION("""COMPUTED_VALUE"""),"8f5ebaea")</f>
        <v>8f5ebaea</v>
      </c>
      <c r="T2162" s="211" t="str">
        <f>IFERROR(__xludf.DUMMYFUNCTION("""COMPUTED_VALUE"""),"PT Hua Zong Mesindo")</f>
        <v>PT Hua Zong Mesindo</v>
      </c>
      <c r="U2162" s="215">
        <f>IFERROR(__xludf.DUMMYFUNCTION("""COMPUTED_VALUE"""),46027.628171296295)</f>
        <v>46027.62817</v>
      </c>
      <c r="V2162" s="211" t="str">
        <f>IFERROR(__xludf.DUMMYFUNCTION("""COMPUTED_VALUE"""),"Jl. Bypass Krian, Sidotemo, Sidomulyo, Kec. Krian, Kabupaten Sidoarjo, Jawa Timur 61262")</f>
        <v>Jl. Bypass Krian, Sidotemo, Sidomulyo, Kec. Krian, Kabupaten Sidoarjo, Jawa Timur 61262</v>
      </c>
      <c r="W2162" s="211" t="str">
        <f>IFERROR(__xludf.DUMMYFUNCTION("""COMPUTED_VALUE"""),"IN")</f>
        <v>IN</v>
      </c>
      <c r="X2162" s="211"/>
    </row>
    <row r="2163">
      <c r="A2163" s="210" t="str">
        <f>IFERROR(__xludf.DUMMYFUNCTION("""COMPUTED_VALUE"""),"1250714")</f>
        <v>1250714</v>
      </c>
      <c r="B2163" s="210" t="str">
        <f>IFERROR(__xludf.DUMMYFUNCTION("""COMPUTED_VALUE"""),"1250714")</f>
        <v>1250714</v>
      </c>
      <c r="C2163" s="213">
        <f>IFERROR(__xludf.DUMMYFUNCTION("""COMPUTED_VALUE"""),45958.53486111111)</f>
        <v>45958.53486</v>
      </c>
      <c r="D2163" s="211" t="str">
        <f>IFERROR(__xludf.DUMMYFUNCTION("""COMPUTED_VALUE"""),"9e31e9f4")</f>
        <v>9e31e9f4</v>
      </c>
      <c r="E2163" s="211" t="str">
        <f>IFERROR(__xludf.DUMMYFUNCTION("""COMPUTED_VALUE"""),"Bpk. Eko Iswantoro")</f>
        <v>Bpk. Eko Iswantoro</v>
      </c>
      <c r="F2163" s="211" t="str">
        <f>IFERROR(__xludf.DUMMYFUNCTION("""COMPUTED_VALUE"""),"7d2764f1")</f>
        <v>7d2764f1</v>
      </c>
      <c r="G2163" s="211" t="str">
        <f>IFERROR(__xludf.DUMMYFUNCTION("""COMPUTED_VALUE"""),"Oksigen 7m3")</f>
        <v>Oksigen 7m3</v>
      </c>
      <c r="H2163" s="211" t="str">
        <f>IFERROR(__xludf.DUMMYFUNCTION("""COMPUTED_VALUE"""),"IN")</f>
        <v>IN</v>
      </c>
      <c r="I2163" s="211" t="str">
        <f>IFERROR(__xludf.DUMMYFUNCTION("""COMPUTED_VALUE"""),"EMPTY")</f>
        <v>EMPTY</v>
      </c>
      <c r="J2163" s="211">
        <f>IFERROR(__xludf.DUMMYFUNCTION("""COMPUTED_VALUE"""),2.0)</f>
        <v>2</v>
      </c>
      <c r="K2163" s="210" t="str">
        <f>IFERROR(__xludf.DUMMYFUNCTION("""COMPUTED_VALUE"""),"11217 11227")</f>
        <v>11217 11227</v>
      </c>
      <c r="L2163" s="211">
        <f>IFERROR(__xludf.DUMMYFUNCTION("""COMPUTED_VALUE"""),0.0)</f>
        <v>0</v>
      </c>
      <c r="M2163" s="211"/>
      <c r="N2163" s="211"/>
      <c r="O2163" s="211"/>
      <c r="Q2163" s="210" t="str">
        <f>IFERROR(__xludf.DUMMYFUNCTION("""COMPUTED_VALUE"""),"1251045")</f>
        <v>1251045</v>
      </c>
      <c r="R2163" s="210" t="str">
        <f>IFERROR(__xludf.DUMMYFUNCTION("""COMPUTED_VALUE"""),"1251045")</f>
        <v>1251045</v>
      </c>
      <c r="S2163" s="211" t="str">
        <f>IFERROR(__xludf.DUMMYFUNCTION("""COMPUTED_VALUE"""),"a0f0ad2d")</f>
        <v>a0f0ad2d</v>
      </c>
      <c r="T2163" s="211" t="str">
        <f>IFERROR(__xludf.DUMMYFUNCTION("""COMPUTED_VALUE"""),"CV. Yulie Jaya")</f>
        <v>CV. Yulie Jaya</v>
      </c>
      <c r="U2163" s="215">
        <f>IFERROR(__xludf.DUMMYFUNCTION("""COMPUTED_VALUE"""),46027.62866898148)</f>
        <v>46027.62867</v>
      </c>
      <c r="V2163" s="211" t="str">
        <f>IFERROR(__xludf.DUMMYFUNCTION("""COMPUTED_VALUE"""),"JJH4+6RV, Badas, Barengkrajan, Kec. Krian, Kabupaten Sidoarjo, Jawa Timur 61262")</f>
        <v>JJH4+6RV, Badas, Barengkrajan, Kec. Krian, Kabupaten Sidoarjo, Jawa Timur 61262</v>
      </c>
      <c r="W2163" s="211" t="str">
        <f>IFERROR(__xludf.DUMMYFUNCTION("""COMPUTED_VALUE"""),"IN")</f>
        <v>IN</v>
      </c>
      <c r="X2163" s="211"/>
    </row>
    <row r="2164">
      <c r="A2164" s="210" t="str">
        <f>IFERROR(__xludf.DUMMYFUNCTION("""COMPUTED_VALUE"""),"1250715")</f>
        <v>1250715</v>
      </c>
      <c r="B2164" s="210" t="str">
        <f>IFERROR(__xludf.DUMMYFUNCTION("""COMPUTED_VALUE"""),"1250715")</f>
        <v>1250715</v>
      </c>
      <c r="C2164" s="213">
        <f>IFERROR(__xludf.DUMMYFUNCTION("""COMPUTED_VALUE"""),45958.536990740744)</f>
        <v>45958.53699</v>
      </c>
      <c r="D2164" s="211" t="str">
        <f>IFERROR(__xludf.DUMMYFUNCTION("""COMPUTED_VALUE"""),"182fb0fe")</f>
        <v>182fb0fe</v>
      </c>
      <c r="E2164" s="211" t="str">
        <f>IFERROR(__xludf.DUMMYFUNCTION("""COMPUTED_VALUE"""),"PT Amtech")</f>
        <v>PT Amtech</v>
      </c>
      <c r="F2164" s="211" t="str">
        <f>IFERROR(__xludf.DUMMYFUNCTION("""COMPUTED_VALUE"""),"66af7c72")</f>
        <v>66af7c72</v>
      </c>
      <c r="G2164" s="211" t="str">
        <f>IFERROR(__xludf.DUMMYFUNCTION("""COMPUTED_VALUE"""),"Argon 6m3")</f>
        <v>Argon 6m3</v>
      </c>
      <c r="H2164" s="211" t="str">
        <f>IFERROR(__xludf.DUMMYFUNCTION("""COMPUTED_VALUE"""),"IN")</f>
        <v>IN</v>
      </c>
      <c r="I2164" s="211" t="str">
        <f>IFERROR(__xludf.DUMMYFUNCTION("""COMPUTED_VALUE"""),"EMPTY")</f>
        <v>EMPTY</v>
      </c>
      <c r="J2164" s="211">
        <f>IFERROR(__xludf.DUMMYFUNCTION("""COMPUTED_VALUE"""),6.0)</f>
        <v>6</v>
      </c>
      <c r="K2164" s="210" t="str">
        <f>IFERROR(__xludf.DUMMYFUNCTION("""COMPUTED_VALUE"""),"12009 12006 12001 12072 12028 12071")</f>
        <v>12009 12006 12001 12072 12028 12071</v>
      </c>
      <c r="L2164" s="211">
        <f>IFERROR(__xludf.DUMMYFUNCTION("""COMPUTED_VALUE"""),0.0)</f>
        <v>0</v>
      </c>
      <c r="M2164" s="211"/>
      <c r="N2164" s="211"/>
      <c r="O2164" s="211"/>
      <c r="Q2164" s="210" t="str">
        <f>IFERROR(__xludf.DUMMYFUNCTION("""COMPUTED_VALUE"""),"1251048")</f>
        <v>1251048</v>
      </c>
      <c r="R2164" s="210" t="str">
        <f>IFERROR(__xludf.DUMMYFUNCTION("""COMPUTED_VALUE"""),"1251048")</f>
        <v>1251048</v>
      </c>
      <c r="S2164" s="211" t="str">
        <f>IFERROR(__xludf.DUMMYFUNCTION("""COMPUTED_VALUE"""),"e86baf3b")</f>
        <v>e86baf3b</v>
      </c>
      <c r="T2164" s="211" t="str">
        <f>IFERROR(__xludf.DUMMYFUNCTION("""COMPUTED_VALUE"""),"PT GEMILANG CIPTA WAWASAN")</f>
        <v>PT GEMILANG CIPTA WAWASAN</v>
      </c>
      <c r="U2164" s="215">
        <f>IFERROR(__xludf.DUMMYFUNCTION("""COMPUTED_VALUE"""),46027.646678240744)</f>
        <v>46027.64668</v>
      </c>
      <c r="V2164" s="211" t="str">
        <f>IFERROR(__xludf.DUMMYFUNCTION("""COMPUTED_VALUE"""),"JL TEBET RAYA, 2A, TEBET BARAT, TEBET, KOTA ADM, JAKARTA SELATAN, DKI JAKARTA")</f>
        <v>JL TEBET RAYA, 2A, TEBET BARAT, TEBET, KOTA ADM, JAKARTA SELATAN, DKI JAKARTA</v>
      </c>
      <c r="W2164" s="211" t="str">
        <f>IFERROR(__xludf.DUMMYFUNCTION("""COMPUTED_VALUE"""),"IN")</f>
        <v>IN</v>
      </c>
      <c r="X2164" s="211"/>
    </row>
    <row r="2165">
      <c r="A2165" s="210" t="str">
        <f>IFERROR(__xludf.DUMMYFUNCTION("""COMPUTED_VALUE"""),"1250716")</f>
        <v>1250716</v>
      </c>
      <c r="B2165" s="210" t="str">
        <f>IFERROR(__xludf.DUMMYFUNCTION("""COMPUTED_VALUE"""),"1250716")</f>
        <v>1250716</v>
      </c>
      <c r="C2165" s="213">
        <f>IFERROR(__xludf.DUMMYFUNCTION("""COMPUTED_VALUE"""),45958.537939814814)</f>
        <v>45958.53794</v>
      </c>
      <c r="D2165" s="211" t="str">
        <f>IFERROR(__xludf.DUMMYFUNCTION("""COMPUTED_VALUE"""),"4ec68cf6")</f>
        <v>4ec68cf6</v>
      </c>
      <c r="E2165" s="211" t="str">
        <f>IFERROR(__xludf.DUMMYFUNCTION("""COMPUTED_VALUE"""),"CV Sido Mukti Karya")</f>
        <v>CV Sido Mukti Karya</v>
      </c>
      <c r="F2165" s="211" t="str">
        <f>IFERROR(__xludf.DUMMYFUNCTION("""COMPUTED_VALUE"""),"8bdbe149")</f>
        <v>8bdbe149</v>
      </c>
      <c r="G2165" s="211" t="str">
        <f>IFERROR(__xludf.DUMMYFUNCTION("""COMPUTED_VALUE"""),"Oksigen 6m3")</f>
        <v>Oksigen 6m3</v>
      </c>
      <c r="H2165" s="211" t="str">
        <f>IFERROR(__xludf.DUMMYFUNCTION("""COMPUTED_VALUE"""),"IN")</f>
        <v>IN</v>
      </c>
      <c r="I2165" s="211" t="str">
        <f>IFERROR(__xludf.DUMMYFUNCTION("""COMPUTED_VALUE"""),"EMPTY")</f>
        <v>EMPTY</v>
      </c>
      <c r="J2165" s="211">
        <f>IFERROR(__xludf.DUMMYFUNCTION("""COMPUTED_VALUE"""),1.0)</f>
        <v>1</v>
      </c>
      <c r="K2165" s="210" t="str">
        <f>IFERROR(__xludf.DUMMYFUNCTION("""COMPUTED_VALUE"""),"11186")</f>
        <v>11186</v>
      </c>
      <c r="L2165" s="211">
        <f>IFERROR(__xludf.DUMMYFUNCTION("""COMPUTED_VALUE"""),0.0)</f>
        <v>0</v>
      </c>
      <c r="M2165" s="211"/>
      <c r="N2165" s="211"/>
      <c r="O2165" s="211"/>
      <c r="Q2165" s="210" t="str">
        <f>IFERROR(__xludf.DUMMYFUNCTION("""COMPUTED_VALUE"""),"1251043")</f>
        <v>1251043</v>
      </c>
      <c r="R2165" s="210" t="str">
        <f>IFERROR(__xludf.DUMMYFUNCTION("""COMPUTED_VALUE"""),"1251043")</f>
        <v>1251043</v>
      </c>
      <c r="S2165" s="211" t="str">
        <f>IFERROR(__xludf.DUMMYFUNCTION("""COMPUTED_VALUE"""),"a1508027")</f>
        <v>a1508027</v>
      </c>
      <c r="T2165" s="211" t="str">
        <f>IFERROR(__xludf.DUMMYFUNCTION("""COMPUTED_VALUE"""),"Agus Budiono")</f>
        <v>Agus Budiono</v>
      </c>
      <c r="U2165" s="215">
        <f>IFERROR(__xludf.DUMMYFUNCTION("""COMPUTED_VALUE"""),46027.65131944444)</f>
        <v>46027.65132</v>
      </c>
      <c r="V2165" s="211" t="str">
        <f>IFERROR(__xludf.DUMMYFUNCTION("""COMPUTED_VALUE"""),"Kraton RT.13 RW. 03 Kraton Krian Sidoarjo")</f>
        <v>Kraton RT.13 RW. 03 Kraton Krian Sidoarjo</v>
      </c>
      <c r="W2165" s="211" t="str">
        <f>IFERROR(__xludf.DUMMYFUNCTION("""COMPUTED_VALUE"""),"IN")</f>
        <v>IN</v>
      </c>
      <c r="X2165" s="211"/>
    </row>
    <row r="2166">
      <c r="A2166" s="210" t="str">
        <f>IFERROR(__xludf.DUMMYFUNCTION("""COMPUTED_VALUE"""),"1250716")</f>
        <v>1250716</v>
      </c>
      <c r="B2166" s="210" t="str">
        <f>IFERROR(__xludf.DUMMYFUNCTION("""COMPUTED_VALUE"""),"1250716")</f>
        <v>1250716</v>
      </c>
      <c r="C2166" s="213">
        <f>IFERROR(__xludf.DUMMYFUNCTION("""COMPUTED_VALUE"""),45958.537939814814)</f>
        <v>45958.53794</v>
      </c>
      <c r="D2166" s="211" t="str">
        <f>IFERROR(__xludf.DUMMYFUNCTION("""COMPUTED_VALUE"""),"4ec68cf6")</f>
        <v>4ec68cf6</v>
      </c>
      <c r="E2166" s="211" t="str">
        <f>IFERROR(__xludf.DUMMYFUNCTION("""COMPUTED_VALUE"""),"CV Sido Mukti Karya")</f>
        <v>CV Sido Mukti Karya</v>
      </c>
      <c r="F2166" s="211" t="str">
        <f>IFERROR(__xludf.DUMMYFUNCTION("""COMPUTED_VALUE"""),"ef306e54")</f>
        <v>ef306e54</v>
      </c>
      <c r="G2166" s="211" t="str">
        <f>IFERROR(__xludf.DUMMYFUNCTION("""COMPUTED_VALUE"""),"Karbondioksida")</f>
        <v>Karbondioksida</v>
      </c>
      <c r="H2166" s="211" t="str">
        <f>IFERROR(__xludf.DUMMYFUNCTION("""COMPUTED_VALUE"""),"IN")</f>
        <v>IN</v>
      </c>
      <c r="I2166" s="211" t="str">
        <f>IFERROR(__xludf.DUMMYFUNCTION("""COMPUTED_VALUE"""),"EMPTY")</f>
        <v>EMPTY</v>
      </c>
      <c r="J2166" s="211">
        <f>IFERROR(__xludf.DUMMYFUNCTION("""COMPUTED_VALUE"""),1.0)</f>
        <v>1</v>
      </c>
      <c r="K2166" s="210" t="str">
        <f>IFERROR(__xludf.DUMMYFUNCTION("""COMPUTED_VALUE"""),"13028")</f>
        <v>13028</v>
      </c>
      <c r="L2166" s="211">
        <f>IFERROR(__xludf.DUMMYFUNCTION("""COMPUTED_VALUE"""),0.0)</f>
        <v>0</v>
      </c>
      <c r="M2166" s="211"/>
      <c r="N2166" s="211"/>
      <c r="O2166" s="211"/>
      <c r="Q2166" s="210" t="str">
        <f>IFERROR(__xludf.DUMMYFUNCTION("""COMPUTED_VALUE"""),"1251034")</f>
        <v>1251034</v>
      </c>
      <c r="R2166" s="210" t="str">
        <f>IFERROR(__xludf.DUMMYFUNCTION("""COMPUTED_VALUE"""),"1251034")</f>
        <v>1251034</v>
      </c>
      <c r="S2166" s="211" t="str">
        <f>IFERROR(__xludf.DUMMYFUNCTION("""COMPUTED_VALUE"""),"9e5d8274")</f>
        <v>9e5d8274</v>
      </c>
      <c r="T2166" s="211" t="str">
        <f>IFERROR(__xludf.DUMMYFUNCTION("""COMPUTED_VALUE"""),"Bpk. Erry ( Lik Trosobo )")</f>
        <v>Bpk. Erry ( Lik Trosobo )</v>
      </c>
      <c r="U2166" s="215">
        <f>IFERROR(__xludf.DUMMYFUNCTION("""COMPUTED_VALUE"""),46027.67826388889)</f>
        <v>46027.67826</v>
      </c>
      <c r="V2166" s="211" t="str">
        <f>IFERROR(__xludf.DUMMYFUNCTION("""COMPUTED_VALUE"""),"Trosobo Taman")</f>
        <v>Trosobo Taman</v>
      </c>
      <c r="W2166" s="211" t="str">
        <f>IFERROR(__xludf.DUMMYFUNCTION("""COMPUTED_VALUE"""),"IN")</f>
        <v>IN</v>
      </c>
      <c r="X2166" s="211"/>
    </row>
    <row r="2167">
      <c r="A2167" s="210" t="str">
        <f>IFERROR(__xludf.DUMMYFUNCTION("""COMPUTED_VALUE"""),"1250726")</f>
        <v>1250726</v>
      </c>
      <c r="B2167" s="210" t="str">
        <f>IFERROR(__xludf.DUMMYFUNCTION("""COMPUTED_VALUE"""),"1250726")</f>
        <v>1250726</v>
      </c>
      <c r="C2167" s="213">
        <f>IFERROR(__xludf.DUMMYFUNCTION("""COMPUTED_VALUE"""),45958.553611111114)</f>
        <v>45958.55361</v>
      </c>
      <c r="D2167" s="211" t="str">
        <f>IFERROR(__xludf.DUMMYFUNCTION("""COMPUTED_VALUE"""),"3bcd7fe6")</f>
        <v>3bcd7fe6</v>
      </c>
      <c r="E2167" s="211" t="str">
        <f>IFERROR(__xludf.DUMMYFUNCTION("""COMPUTED_VALUE"""),"Bpk. Alvin (LB Group)")</f>
        <v>Bpk. Alvin (LB Group)</v>
      </c>
      <c r="F2167" s="211" t="str">
        <f>IFERROR(__xludf.DUMMYFUNCTION("""COMPUTED_VALUE"""),"8bdbe149")</f>
        <v>8bdbe149</v>
      </c>
      <c r="G2167" s="211" t="str">
        <f>IFERROR(__xludf.DUMMYFUNCTION("""COMPUTED_VALUE"""),"Oksigen 6m3")</f>
        <v>Oksigen 6m3</v>
      </c>
      <c r="H2167" s="211" t="str">
        <f>IFERROR(__xludf.DUMMYFUNCTION("""COMPUTED_VALUE"""),"IN")</f>
        <v>IN</v>
      </c>
      <c r="I2167" s="211" t="str">
        <f>IFERROR(__xludf.DUMMYFUNCTION("""COMPUTED_VALUE"""),"EMPTY")</f>
        <v>EMPTY</v>
      </c>
      <c r="J2167" s="211">
        <f>IFERROR(__xludf.DUMMYFUNCTION("""COMPUTED_VALUE"""),1.0)</f>
        <v>1</v>
      </c>
      <c r="K2167" s="210" t="str">
        <f>IFERROR(__xludf.DUMMYFUNCTION("""COMPUTED_VALUE"""),"1152")</f>
        <v>1152</v>
      </c>
      <c r="L2167" s="211">
        <f>IFERROR(__xludf.DUMMYFUNCTION("""COMPUTED_VALUE"""),0.0)</f>
        <v>0</v>
      </c>
      <c r="M2167" s="211"/>
      <c r="N2167" s="211"/>
      <c r="O2167" s="211"/>
      <c r="Q2167" s="210" t="str">
        <f>IFERROR(__xludf.DUMMYFUNCTION("""COMPUTED_VALUE"""),"012612162")</f>
        <v>012612162</v>
      </c>
      <c r="R2167" s="210" t="str">
        <f>IFERROR(__xludf.DUMMYFUNCTION("""COMPUTED_VALUE"""),"012612162")</f>
        <v>012612162</v>
      </c>
      <c r="S2167" s="211" t="str">
        <f>IFERROR(__xludf.DUMMYFUNCTION("""COMPUTED_VALUE"""),"b89c20a1")</f>
        <v>b89c20a1</v>
      </c>
      <c r="T2167" s="211" t="str">
        <f>IFERROR(__xludf.DUMMYFUNCTION("""COMPUTED_VALUE"""),"Harini dini")</f>
        <v>Harini dini</v>
      </c>
      <c r="U2167" s="215">
        <f>IFERROR(__xludf.DUMMYFUNCTION("""COMPUTED_VALUE"""),46028.38837962963)</f>
        <v>46028.38838</v>
      </c>
      <c r="V2167" s="211" t="str">
        <f>IFERROR(__xludf.DUMMYFUNCTION("""COMPUTED_VALUE"""),"Kraton RT 15 RW 03  Kraton Krian Sidoarjo")</f>
        <v>Kraton RT 15 RW 03  Kraton Krian Sidoarjo</v>
      </c>
      <c r="W2167" s="211" t="str">
        <f>IFERROR(__xludf.DUMMYFUNCTION("""COMPUTED_VALUE"""),"OUT")</f>
        <v>OUT</v>
      </c>
      <c r="X2167" s="211"/>
    </row>
    <row r="2168">
      <c r="A2168" s="210" t="str">
        <f>IFERROR(__xludf.DUMMYFUNCTION("""COMPUTED_VALUE"""),"1250726")</f>
        <v>1250726</v>
      </c>
      <c r="B2168" s="210" t="str">
        <f>IFERROR(__xludf.DUMMYFUNCTION("""COMPUTED_VALUE"""),"1250726")</f>
        <v>1250726</v>
      </c>
      <c r="C2168" s="213">
        <f>IFERROR(__xludf.DUMMYFUNCTION("""COMPUTED_VALUE"""),45958.553611111114)</f>
        <v>45958.55361</v>
      </c>
      <c r="D2168" s="211" t="str">
        <f>IFERROR(__xludf.DUMMYFUNCTION("""COMPUTED_VALUE"""),"3bcd7fe6")</f>
        <v>3bcd7fe6</v>
      </c>
      <c r="E2168" s="211" t="str">
        <f>IFERROR(__xludf.DUMMYFUNCTION("""COMPUTED_VALUE"""),"Bpk. Alvin (LB Group)")</f>
        <v>Bpk. Alvin (LB Group)</v>
      </c>
      <c r="F2168" s="211" t="str">
        <f>IFERROR(__xludf.DUMMYFUNCTION("""COMPUTED_VALUE"""),"f6aab7a9")</f>
        <v>f6aab7a9</v>
      </c>
      <c r="G2168" s="211" t="str">
        <f>IFERROR(__xludf.DUMMYFUNCTION("""COMPUTED_VALUE"""),"Oksigen 6m3 MR")</f>
        <v>Oksigen 6m3 MR</v>
      </c>
      <c r="H2168" s="211" t="str">
        <f>IFERROR(__xludf.DUMMYFUNCTION("""COMPUTED_VALUE"""),"IN")</f>
        <v>IN</v>
      </c>
      <c r="I2168" s="211" t="str">
        <f>IFERROR(__xludf.DUMMYFUNCTION("""COMPUTED_VALUE"""),"EMPTY")</f>
        <v>EMPTY</v>
      </c>
      <c r="J2168" s="211">
        <f>IFERROR(__xludf.DUMMYFUNCTION("""COMPUTED_VALUE"""),2.0)</f>
        <v>2</v>
      </c>
      <c r="K2168" s="211"/>
      <c r="L2168" s="211">
        <f>IFERROR(__xludf.DUMMYFUNCTION("""COMPUTED_VALUE"""),0.0)</f>
        <v>0</v>
      </c>
      <c r="M2168" s="211"/>
      <c r="N2168" s="211"/>
      <c r="O2168" s="211"/>
      <c r="Q2168" s="211"/>
      <c r="R2168" s="211"/>
      <c r="S2168" s="211"/>
      <c r="T2168" s="211"/>
      <c r="U2168" s="211"/>
      <c r="V2168" s="211"/>
      <c r="W2168" s="211"/>
      <c r="X2168" s="211"/>
    </row>
    <row r="2169">
      <c r="A2169" s="210" t="str">
        <f>IFERROR(__xludf.DUMMYFUNCTION("""COMPUTED_VALUE"""),"1250726")</f>
        <v>1250726</v>
      </c>
      <c r="B2169" s="210" t="str">
        <f>IFERROR(__xludf.DUMMYFUNCTION("""COMPUTED_VALUE"""),"1250726")</f>
        <v>1250726</v>
      </c>
      <c r="C2169" s="213">
        <f>IFERROR(__xludf.DUMMYFUNCTION("""COMPUTED_VALUE"""),45958.553611111114)</f>
        <v>45958.55361</v>
      </c>
      <c r="D2169" s="211" t="str">
        <f>IFERROR(__xludf.DUMMYFUNCTION("""COMPUTED_VALUE"""),"3bcd7fe6")</f>
        <v>3bcd7fe6</v>
      </c>
      <c r="E2169" s="211" t="str">
        <f>IFERROR(__xludf.DUMMYFUNCTION("""COMPUTED_VALUE"""),"Bpk. Alvin (LB Group)")</f>
        <v>Bpk. Alvin (LB Group)</v>
      </c>
      <c r="F2169" s="211" t="str">
        <f>IFERROR(__xludf.DUMMYFUNCTION("""COMPUTED_VALUE"""),"7d2764f1")</f>
        <v>7d2764f1</v>
      </c>
      <c r="G2169" s="211" t="str">
        <f>IFERROR(__xludf.DUMMYFUNCTION("""COMPUTED_VALUE"""),"Oksigen 7m3")</f>
        <v>Oksigen 7m3</v>
      </c>
      <c r="H2169" s="211" t="str">
        <f>IFERROR(__xludf.DUMMYFUNCTION("""COMPUTED_VALUE"""),"IN")</f>
        <v>IN</v>
      </c>
      <c r="I2169" s="211" t="str">
        <f>IFERROR(__xludf.DUMMYFUNCTION("""COMPUTED_VALUE"""),"EMPTY")</f>
        <v>EMPTY</v>
      </c>
      <c r="J2169" s="211">
        <f>IFERROR(__xludf.DUMMYFUNCTION("""COMPUTED_VALUE"""),2.0)</f>
        <v>2</v>
      </c>
      <c r="K2169" s="210" t="str">
        <f>IFERROR(__xludf.DUMMYFUNCTION("""COMPUTED_VALUE"""),"11216 11178")</f>
        <v>11216 11178</v>
      </c>
      <c r="L2169" s="211">
        <f>IFERROR(__xludf.DUMMYFUNCTION("""COMPUTED_VALUE"""),0.0)</f>
        <v>0</v>
      </c>
      <c r="M2169" s="211"/>
      <c r="N2169" s="211"/>
      <c r="O2169" s="211"/>
      <c r="Q2169" s="210" t="str">
        <f>IFERROR(__xludf.DUMMYFUNCTION("""COMPUTED_VALUE"""),"1251035")</f>
        <v>1251035</v>
      </c>
      <c r="R2169" s="210" t="str">
        <f>IFERROR(__xludf.DUMMYFUNCTION("""COMPUTED_VALUE"""),"1251035")</f>
        <v>1251035</v>
      </c>
      <c r="S2169" s="211" t="str">
        <f>IFERROR(__xludf.DUMMYFUNCTION("""COMPUTED_VALUE"""),"06d600f6")</f>
        <v>06d600f6</v>
      </c>
      <c r="T2169" s="211" t="str">
        <f>IFERROR(__xludf.DUMMYFUNCTION("""COMPUTED_VALUE"""),"Ibu Ida")</f>
        <v>Ibu Ida</v>
      </c>
      <c r="U2169" s="215">
        <f>IFERROR(__xludf.DUMMYFUNCTION("""COMPUTED_VALUE"""),46028.4153125)</f>
        <v>46028.41531</v>
      </c>
      <c r="V2169" s="211" t="str">
        <f>IFERROR(__xludf.DUMMYFUNCTION("""COMPUTED_VALUE"""),"Wonoayu rt 1 rw 4, Kec wonoayu, Kab. Sidoarjo")</f>
        <v>Wonoayu rt 1 rw 4, Kec wonoayu, Kab. Sidoarjo</v>
      </c>
      <c r="W2169" s="211" t="str">
        <f>IFERROR(__xludf.DUMMYFUNCTION("""COMPUTED_VALUE"""),"IN")</f>
        <v>IN</v>
      </c>
      <c r="X2169" s="211"/>
    </row>
    <row r="2170">
      <c r="A2170" s="210" t="str">
        <f>IFERROR(__xludf.DUMMYFUNCTION("""COMPUTED_VALUE"""),"1250727")</f>
        <v>1250727</v>
      </c>
      <c r="B2170" s="210" t="str">
        <f>IFERROR(__xludf.DUMMYFUNCTION("""COMPUTED_VALUE"""),"1250727")</f>
        <v>1250727</v>
      </c>
      <c r="C2170" s="213">
        <f>IFERROR(__xludf.DUMMYFUNCTION("""COMPUTED_VALUE"""),45958.573125)</f>
        <v>45958.57313</v>
      </c>
      <c r="D2170" s="211" t="str">
        <f>IFERROR(__xludf.DUMMYFUNCTION("""COMPUTED_VALUE"""),"e86baf3b")</f>
        <v>e86baf3b</v>
      </c>
      <c r="E2170" s="211" t="str">
        <f>IFERROR(__xludf.DUMMYFUNCTION("""COMPUTED_VALUE"""),"PT GEMILANG CIPTA WAWASAN")</f>
        <v>PT GEMILANG CIPTA WAWASAN</v>
      </c>
      <c r="F2170" s="211" t="str">
        <f>IFERROR(__xludf.DUMMYFUNCTION("""COMPUTED_VALUE"""),"8bdbe149")</f>
        <v>8bdbe149</v>
      </c>
      <c r="G2170" s="211" t="str">
        <f>IFERROR(__xludf.DUMMYFUNCTION("""COMPUTED_VALUE"""),"Oksigen 6m3")</f>
        <v>Oksigen 6m3</v>
      </c>
      <c r="H2170" s="211" t="str">
        <f>IFERROR(__xludf.DUMMYFUNCTION("""COMPUTED_VALUE"""),"IN")</f>
        <v>IN</v>
      </c>
      <c r="I2170" s="211" t="str">
        <f>IFERROR(__xludf.DUMMYFUNCTION("""COMPUTED_VALUE"""),"EMPTY")</f>
        <v>EMPTY</v>
      </c>
      <c r="J2170" s="211">
        <f>IFERROR(__xludf.DUMMYFUNCTION("""COMPUTED_VALUE"""),2.0)</f>
        <v>2</v>
      </c>
      <c r="K2170" s="210" t="str">
        <f>IFERROR(__xludf.DUMMYFUNCTION("""COMPUTED_VALUE"""),"11179 11178")</f>
        <v>11179 11178</v>
      </c>
      <c r="L2170" s="211">
        <f>IFERROR(__xludf.DUMMYFUNCTION("""COMPUTED_VALUE"""),0.0)</f>
        <v>0</v>
      </c>
      <c r="M2170" s="211"/>
      <c r="N2170" s="211"/>
      <c r="O2170" s="211"/>
      <c r="Q2170" s="210" t="str">
        <f>IFERROR(__xludf.DUMMYFUNCTION("""COMPUTED_VALUE"""),"012642168")</f>
        <v>012642168</v>
      </c>
      <c r="R2170" s="210" t="str">
        <f>IFERROR(__xludf.DUMMYFUNCTION("""COMPUTED_VALUE"""),"012642168")</f>
        <v>012642168</v>
      </c>
      <c r="S2170" s="211" t="str">
        <f>IFERROR(__xludf.DUMMYFUNCTION("""COMPUTED_VALUE"""),"ca4876e2")</f>
        <v>ca4876e2</v>
      </c>
      <c r="T2170" s="211" t="str">
        <f>IFERROR(__xludf.DUMMYFUNCTION("""COMPUTED_VALUE"""),"Bengkel Mustika Mojosari")</f>
        <v>Bengkel Mustika Mojosari</v>
      </c>
      <c r="U2170" s="215">
        <f>IFERROR(__xludf.DUMMYFUNCTION("""COMPUTED_VALUE"""),46028.45829861111)</f>
        <v>46028.4583</v>
      </c>
      <c r="V2170" s="211" t="str">
        <f>IFERROR(__xludf.DUMMYFUNCTION("""COMPUTED_VALUE"""),"Jl. Kusuma Bangsa, Bulanan, Randubango, Kec. Mojosari, Kabupaten Mojokerto, Jawa Timur 61382")</f>
        <v>Jl. Kusuma Bangsa, Bulanan, Randubango, Kec. Mojosari, Kabupaten Mojokerto, Jawa Timur 61382</v>
      </c>
      <c r="W2170" s="211" t="str">
        <f>IFERROR(__xludf.DUMMYFUNCTION("""COMPUTED_VALUE"""),"OUT")</f>
        <v>OUT</v>
      </c>
      <c r="X2170" s="211"/>
    </row>
    <row r="2171">
      <c r="A2171" s="210" t="str">
        <f>IFERROR(__xludf.DUMMYFUNCTION("""COMPUTED_VALUE"""),"1250727")</f>
        <v>1250727</v>
      </c>
      <c r="B2171" s="210" t="str">
        <f>IFERROR(__xludf.DUMMYFUNCTION("""COMPUTED_VALUE"""),"1250727")</f>
        <v>1250727</v>
      </c>
      <c r="C2171" s="213">
        <f>IFERROR(__xludf.DUMMYFUNCTION("""COMPUTED_VALUE"""),45958.573125)</f>
        <v>45958.57313</v>
      </c>
      <c r="D2171" s="211" t="str">
        <f>IFERROR(__xludf.DUMMYFUNCTION("""COMPUTED_VALUE"""),"e86baf3b")</f>
        <v>e86baf3b</v>
      </c>
      <c r="E2171" s="211" t="str">
        <f>IFERROR(__xludf.DUMMYFUNCTION("""COMPUTED_VALUE"""),"PT GEMILANG CIPTA WAWASAN")</f>
        <v>PT GEMILANG CIPTA WAWASAN</v>
      </c>
      <c r="F2171" s="211" t="str">
        <f>IFERROR(__xludf.DUMMYFUNCTION("""COMPUTED_VALUE"""),"7d2764f1")</f>
        <v>7d2764f1</v>
      </c>
      <c r="G2171" s="211" t="str">
        <f>IFERROR(__xludf.DUMMYFUNCTION("""COMPUTED_VALUE"""),"Oksigen 7m3")</f>
        <v>Oksigen 7m3</v>
      </c>
      <c r="H2171" s="211" t="str">
        <f>IFERROR(__xludf.DUMMYFUNCTION("""COMPUTED_VALUE"""),"IN")</f>
        <v>IN</v>
      </c>
      <c r="I2171" s="211" t="str">
        <f>IFERROR(__xludf.DUMMYFUNCTION("""COMPUTED_VALUE"""),"EMPTY")</f>
        <v>EMPTY</v>
      </c>
      <c r="J2171" s="211">
        <f>IFERROR(__xludf.DUMMYFUNCTION("""COMPUTED_VALUE"""),3.0)</f>
        <v>3</v>
      </c>
      <c r="K2171" s="210" t="str">
        <f>IFERROR(__xludf.DUMMYFUNCTION("""COMPUTED_VALUE"""),"11163 11149 11135")</f>
        <v>11163 11149 11135</v>
      </c>
      <c r="L2171" s="211">
        <f>IFERROR(__xludf.DUMMYFUNCTION("""COMPUTED_VALUE"""),0.0)</f>
        <v>0</v>
      </c>
      <c r="M2171" s="211"/>
      <c r="N2171" s="211"/>
      <c r="O2171" s="211"/>
      <c r="Q2171" s="210" t="str">
        <f>IFERROR(__xludf.DUMMYFUNCTION("""COMPUTED_VALUE"""),"012672171")</f>
        <v>012672171</v>
      </c>
      <c r="R2171" s="210" t="str">
        <f>IFERROR(__xludf.DUMMYFUNCTION("""COMPUTED_VALUE"""),"012672171")</f>
        <v>012672171</v>
      </c>
      <c r="S2171" s="211" t="str">
        <f>IFERROR(__xludf.DUMMYFUNCTION("""COMPUTED_VALUE"""),"06d600f6")</f>
        <v>06d600f6</v>
      </c>
      <c r="T2171" s="211" t="str">
        <f>IFERROR(__xludf.DUMMYFUNCTION("""COMPUTED_VALUE"""),"Ibu Ida")</f>
        <v>Ibu Ida</v>
      </c>
      <c r="U2171" s="215">
        <f>IFERROR(__xludf.DUMMYFUNCTION("""COMPUTED_VALUE"""),46028.461805555555)</f>
        <v>46028.46181</v>
      </c>
      <c r="V2171" s="211" t="str">
        <f>IFERROR(__xludf.DUMMYFUNCTION("""COMPUTED_VALUE"""),"Wonoayu rt 1 rw 4, Kec wonoayu, Kab. Sidoarjo")</f>
        <v>Wonoayu rt 1 rw 4, Kec wonoayu, Kab. Sidoarjo</v>
      </c>
      <c r="W2171" s="211" t="str">
        <f>IFERROR(__xludf.DUMMYFUNCTION("""COMPUTED_VALUE"""),"OUT")</f>
        <v>OUT</v>
      </c>
      <c r="X2171" s="211"/>
    </row>
    <row r="2172">
      <c r="A2172" s="210" t="str">
        <f>IFERROR(__xludf.DUMMYFUNCTION("""COMPUTED_VALUE"""),"1250727")</f>
        <v>1250727</v>
      </c>
      <c r="B2172" s="210" t="str">
        <f>IFERROR(__xludf.DUMMYFUNCTION("""COMPUTED_VALUE"""),"1250727")</f>
        <v>1250727</v>
      </c>
      <c r="C2172" s="213">
        <f>IFERROR(__xludf.DUMMYFUNCTION("""COMPUTED_VALUE"""),45958.573125)</f>
        <v>45958.57313</v>
      </c>
      <c r="D2172" s="211" t="str">
        <f>IFERROR(__xludf.DUMMYFUNCTION("""COMPUTED_VALUE"""),"e86baf3b")</f>
        <v>e86baf3b</v>
      </c>
      <c r="E2172" s="211" t="str">
        <f>IFERROR(__xludf.DUMMYFUNCTION("""COMPUTED_VALUE"""),"PT GEMILANG CIPTA WAWASAN")</f>
        <v>PT GEMILANG CIPTA WAWASAN</v>
      </c>
      <c r="F2172" s="211" t="str">
        <f>IFERROR(__xludf.DUMMYFUNCTION("""COMPUTED_VALUE"""),"66af7c72")</f>
        <v>66af7c72</v>
      </c>
      <c r="G2172" s="211" t="str">
        <f>IFERROR(__xludf.DUMMYFUNCTION("""COMPUTED_VALUE"""),"Argon 6m3")</f>
        <v>Argon 6m3</v>
      </c>
      <c r="H2172" s="211" t="str">
        <f>IFERROR(__xludf.DUMMYFUNCTION("""COMPUTED_VALUE"""),"IN")</f>
        <v>IN</v>
      </c>
      <c r="I2172" s="211" t="str">
        <f>IFERROR(__xludf.DUMMYFUNCTION("""COMPUTED_VALUE"""),"EMPTY")</f>
        <v>EMPTY</v>
      </c>
      <c r="J2172" s="211">
        <f>IFERROR(__xludf.DUMMYFUNCTION("""COMPUTED_VALUE"""),25.0)</f>
        <v>25</v>
      </c>
      <c r="K2172" s="210" t="str">
        <f>IFERROR(__xludf.DUMMYFUNCTION("""COMPUTED_VALUE"""),"12048 12021 12026 12076 12031 12037 12034 12017 12039 12038 12015 12025 12053 12077 12010 12080 12066 12063 12084 12070 12033 12083 12036 12062 12045")</f>
        <v>12048 12021 12026 12076 12031 12037 12034 12017 12039 12038 12015 12025 12053 12077 12010 12080 12066 12063 12084 12070 12033 12083 12036 12062 12045</v>
      </c>
      <c r="L2172" s="211">
        <f>IFERROR(__xludf.DUMMYFUNCTION("""COMPUTED_VALUE"""),0.0)</f>
        <v>0</v>
      </c>
      <c r="M2172" s="211"/>
      <c r="N2172" s="211"/>
      <c r="O2172" s="211"/>
      <c r="Q2172" s="210" t="str">
        <f>IFERROR(__xludf.DUMMYFUNCTION("""COMPUTED_VALUE"""),"012612172")</f>
        <v>012612172</v>
      </c>
      <c r="R2172" s="210" t="str">
        <f>IFERROR(__xludf.DUMMYFUNCTION("""COMPUTED_VALUE"""),"012612172")</f>
        <v>012612172</v>
      </c>
      <c r="S2172" s="211" t="str">
        <f>IFERROR(__xludf.DUMMYFUNCTION("""COMPUTED_VALUE"""),"52cc8b7f")</f>
        <v>52cc8b7f</v>
      </c>
      <c r="T2172" s="211" t="str">
        <f>IFERROR(__xludf.DUMMYFUNCTION("""COMPUTED_VALUE"""),"Ibu Ainun")</f>
        <v>Ibu Ainun</v>
      </c>
      <c r="U2172" s="215">
        <f>IFERROR(__xludf.DUMMYFUNCTION("""COMPUTED_VALUE"""),46028.5678125)</f>
        <v>46028.56781</v>
      </c>
      <c r="V2172" s="211" t="str">
        <f>IFERROR(__xludf.DUMMYFUNCTION("""COMPUTED_VALUE"""),"Parengan RT 16 RW 04 Kraton Krian Sidoarjo")</f>
        <v>Parengan RT 16 RW 04 Kraton Krian Sidoarjo</v>
      </c>
      <c r="W2172" s="211" t="str">
        <f>IFERROR(__xludf.DUMMYFUNCTION("""COMPUTED_VALUE"""),"OUT")</f>
        <v>OUT</v>
      </c>
      <c r="X2172" s="211"/>
    </row>
    <row r="2173">
      <c r="A2173" s="210" t="str">
        <f>IFERROR(__xludf.DUMMYFUNCTION("""COMPUTED_VALUE"""),"1025351551")</f>
        <v>1025351551</v>
      </c>
      <c r="B2173" s="210" t="str">
        <f>IFERROR(__xludf.DUMMYFUNCTION("""COMPUTED_VALUE"""),"1025351551")</f>
        <v>1025351551</v>
      </c>
      <c r="C2173" s="213">
        <f>IFERROR(__xludf.DUMMYFUNCTION("""COMPUTED_VALUE"""),45958.64494212963)</f>
        <v>45958.64494</v>
      </c>
      <c r="D2173" s="211" t="str">
        <f>IFERROR(__xludf.DUMMYFUNCTION("""COMPUTED_VALUE"""),"01158be1")</f>
        <v>01158be1</v>
      </c>
      <c r="E2173" s="211" t="str">
        <f>IFERROR(__xludf.DUMMYFUNCTION("""COMPUTED_VALUE"""),"GYF")</f>
        <v>GYF</v>
      </c>
      <c r="F2173" s="211" t="str">
        <f>IFERROR(__xludf.DUMMYFUNCTION("""COMPUTED_VALUE"""),"8bdbe149")</f>
        <v>8bdbe149</v>
      </c>
      <c r="G2173" s="211" t="str">
        <f>IFERROR(__xludf.DUMMYFUNCTION("""COMPUTED_VALUE"""),"Oksigen 6m3")</f>
        <v>Oksigen 6m3</v>
      </c>
      <c r="H2173" s="211" t="str">
        <f>IFERROR(__xludf.DUMMYFUNCTION("""COMPUTED_VALUE"""),"OUT")</f>
        <v>OUT</v>
      </c>
      <c r="I2173" s="211" t="str">
        <f>IFERROR(__xludf.DUMMYFUNCTION("""COMPUTED_VALUE"""),"NORMAL")</f>
        <v>NORMAL</v>
      </c>
      <c r="J2173" s="211">
        <f>IFERROR(__xludf.DUMMYFUNCTION("""COMPUTED_VALUE"""),8.0)</f>
        <v>8</v>
      </c>
      <c r="K2173" s="210" t="str">
        <f>IFERROR(__xludf.DUMMYFUNCTION("""COMPUTED_VALUE"""),"1185 1104 11186 11121 11128 1152 11179 11217")</f>
        <v>1185 1104 11186 11121 11128 1152 11179 11217</v>
      </c>
      <c r="L2173" s="211">
        <f>IFERROR(__xludf.DUMMYFUNCTION("""COMPUTED_VALUE"""),45000.0)</f>
        <v>45000</v>
      </c>
      <c r="M2173" s="211"/>
      <c r="N2173" s="211"/>
      <c r="O2173" s="211"/>
      <c r="Q2173" s="210" t="str">
        <f>IFERROR(__xludf.DUMMYFUNCTION("""COMPUTED_VALUE"""),"1261061")</f>
        <v>1261061</v>
      </c>
      <c r="R2173" s="210" t="str">
        <f>IFERROR(__xludf.DUMMYFUNCTION("""COMPUTED_VALUE"""),"1261061")</f>
        <v>1261061</v>
      </c>
      <c r="S2173" s="211" t="str">
        <f>IFERROR(__xludf.DUMMYFUNCTION("""COMPUTED_VALUE"""),"3b04351a")</f>
        <v>3b04351a</v>
      </c>
      <c r="T2173" s="211" t="str">
        <f>IFERROR(__xludf.DUMMYFUNCTION("""COMPUTED_VALUE"""),"CV Usaha Logam Jaya ( Bpk Putra )")</f>
        <v>CV Usaha Logam Jaya ( Bpk Putra )</v>
      </c>
      <c r="U2173" s="215">
        <f>IFERROR(__xludf.DUMMYFUNCTION("""COMPUTED_VALUE"""),46028.59641203703)</f>
        <v>46028.59641</v>
      </c>
      <c r="V2173" s="211" t="str">
        <f>IFERROR(__xludf.DUMMYFUNCTION("""COMPUTED_VALUE"""),"Jl. Raya Wringinanom, Sidomoro, Pasinan Lemahputih, Kec. Wringinanom, Kabupaten Gresik, Jawa Timur 61176")</f>
        <v>Jl. Raya Wringinanom, Sidomoro, Pasinan Lemahputih, Kec. Wringinanom, Kabupaten Gresik, Jawa Timur 61176</v>
      </c>
      <c r="W2173" s="211" t="str">
        <f>IFERROR(__xludf.DUMMYFUNCTION("""COMPUTED_VALUE"""),"IN")</f>
        <v>IN</v>
      </c>
      <c r="X2173" s="211"/>
    </row>
    <row r="2174">
      <c r="A2174" s="210" t="str">
        <f>IFERROR(__xludf.DUMMYFUNCTION("""COMPUTED_VALUE"""),"1025351551")</f>
        <v>1025351551</v>
      </c>
      <c r="B2174" s="210" t="str">
        <f>IFERROR(__xludf.DUMMYFUNCTION("""COMPUTED_VALUE"""),"1025351551")</f>
        <v>1025351551</v>
      </c>
      <c r="C2174" s="213">
        <f>IFERROR(__xludf.DUMMYFUNCTION("""COMPUTED_VALUE"""),45958.64494212963)</f>
        <v>45958.64494</v>
      </c>
      <c r="D2174" s="211" t="str">
        <f>IFERROR(__xludf.DUMMYFUNCTION("""COMPUTED_VALUE"""),"01158be1")</f>
        <v>01158be1</v>
      </c>
      <c r="E2174" s="211" t="str">
        <f>IFERROR(__xludf.DUMMYFUNCTION("""COMPUTED_VALUE"""),"GYF")</f>
        <v>GYF</v>
      </c>
      <c r="F2174" s="211" t="str">
        <f>IFERROR(__xludf.DUMMYFUNCTION("""COMPUTED_VALUE"""),"7d2764f1")</f>
        <v>7d2764f1</v>
      </c>
      <c r="G2174" s="211" t="str">
        <f>IFERROR(__xludf.DUMMYFUNCTION("""COMPUTED_VALUE"""),"Oksigen 7m3")</f>
        <v>Oksigen 7m3</v>
      </c>
      <c r="H2174" s="211" t="str">
        <f>IFERROR(__xludf.DUMMYFUNCTION("""COMPUTED_VALUE"""),"OUT")</f>
        <v>OUT</v>
      </c>
      <c r="I2174" s="211" t="str">
        <f>IFERROR(__xludf.DUMMYFUNCTION("""COMPUTED_VALUE"""),"NORMAL")</f>
        <v>NORMAL</v>
      </c>
      <c r="J2174" s="211">
        <f>IFERROR(__xludf.DUMMYFUNCTION("""COMPUTED_VALUE"""),7.0)</f>
        <v>7</v>
      </c>
      <c r="K2174" s="210" t="str">
        <f>IFERROR(__xludf.DUMMYFUNCTION("""COMPUTED_VALUE"""),"11149 11178 11216 11163 11217 11227 11135")</f>
        <v>11149 11178 11216 11163 11217 11227 11135</v>
      </c>
      <c r="L2174" s="211">
        <f>IFERROR(__xludf.DUMMYFUNCTION("""COMPUTED_VALUE"""),45000.0)</f>
        <v>45000</v>
      </c>
      <c r="M2174" s="211"/>
      <c r="N2174" s="211"/>
      <c r="O2174" s="211"/>
      <c r="Q2174" s="210" t="str">
        <f>IFERROR(__xludf.DUMMYFUNCTION("""COMPUTED_VALUE"""),"1251049")</f>
        <v>1251049</v>
      </c>
      <c r="R2174" s="210" t="str">
        <f>IFERROR(__xludf.DUMMYFUNCTION("""COMPUTED_VALUE"""),"1251049")</f>
        <v>1251049</v>
      </c>
      <c r="S2174" s="211" t="str">
        <f>IFERROR(__xludf.DUMMYFUNCTION("""COMPUTED_VALUE"""),"785e0e07")</f>
        <v>785e0e07</v>
      </c>
      <c r="T2174" s="211" t="str">
        <f>IFERROR(__xludf.DUMMYFUNCTION("""COMPUTED_VALUE"""),"Bpk. Sukirno (Bejo)")</f>
        <v>Bpk. Sukirno (Bejo)</v>
      </c>
      <c r="U2174" s="215">
        <f>IFERROR(__xludf.DUMMYFUNCTION("""COMPUTED_VALUE"""),46028.59732638889)</f>
        <v>46028.59733</v>
      </c>
      <c r="V2174" s="211" t="str">
        <f>IFERROR(__xludf.DUMMYFUNCTION("""COMPUTED_VALUE"""),"Krajan I, Wringinanom, Kec. Wringinanom, Kabupaten Gresik, Jawa Timur 61176")</f>
        <v>Krajan I, Wringinanom, Kec. Wringinanom, Kabupaten Gresik, Jawa Timur 61176</v>
      </c>
      <c r="W2174" s="211" t="str">
        <f>IFERROR(__xludf.DUMMYFUNCTION("""COMPUTED_VALUE"""),"IN")</f>
        <v>IN</v>
      </c>
      <c r="X2174" s="211"/>
    </row>
    <row r="2175">
      <c r="A2175" s="210" t="str">
        <f>IFERROR(__xludf.DUMMYFUNCTION("""COMPUTED_VALUE"""),"1250729")</f>
        <v>1250729</v>
      </c>
      <c r="B2175" s="210" t="str">
        <f>IFERROR(__xludf.DUMMYFUNCTION("""COMPUTED_VALUE"""),"1250729")</f>
        <v>1250729</v>
      </c>
      <c r="C2175" s="213">
        <f>IFERROR(__xludf.DUMMYFUNCTION("""COMPUTED_VALUE"""),45958.68659722222)</f>
        <v>45958.6866</v>
      </c>
      <c r="D2175" s="211" t="str">
        <f>IFERROR(__xludf.DUMMYFUNCTION("""COMPUTED_VALUE"""),"5f23ba17")</f>
        <v>5f23ba17</v>
      </c>
      <c r="E2175" s="211" t="str">
        <f>IFERROR(__xludf.DUMMYFUNCTION("""COMPUTED_VALUE"""),"Bpk. Joko (Gresik)")</f>
        <v>Bpk. Joko (Gresik)</v>
      </c>
      <c r="F2175" s="211" t="str">
        <f>IFERROR(__xludf.DUMMYFUNCTION("""COMPUTED_VALUE"""),"f6aab7a9")</f>
        <v>f6aab7a9</v>
      </c>
      <c r="G2175" s="211" t="str">
        <f>IFERROR(__xludf.DUMMYFUNCTION("""COMPUTED_VALUE"""),"Oksigen 6m3 MR")</f>
        <v>Oksigen 6m3 MR</v>
      </c>
      <c r="H2175" s="211" t="str">
        <f>IFERROR(__xludf.DUMMYFUNCTION("""COMPUTED_VALUE"""),"IN")</f>
        <v>IN</v>
      </c>
      <c r="I2175" s="211" t="str">
        <f>IFERROR(__xludf.DUMMYFUNCTION("""COMPUTED_VALUE"""),"EMPTY")</f>
        <v>EMPTY</v>
      </c>
      <c r="J2175" s="211">
        <f>IFERROR(__xludf.DUMMYFUNCTION("""COMPUTED_VALUE"""),8.0)</f>
        <v>8</v>
      </c>
      <c r="K2175" s="210" t="str">
        <f>IFERROR(__xludf.DUMMYFUNCTION("""COMPUTED_VALUE"""),"01 02 03 04 05 06 07 08")</f>
        <v>01 02 03 04 05 06 07 08</v>
      </c>
      <c r="L2175" s="211">
        <f>IFERROR(__xludf.DUMMYFUNCTION("""COMPUTED_VALUE"""),0.0)</f>
        <v>0</v>
      </c>
      <c r="M2175" s="211"/>
      <c r="N2175" s="211"/>
      <c r="O2175" s="211"/>
      <c r="Q2175" s="210" t="str">
        <f>IFERROR(__xludf.DUMMYFUNCTION("""COMPUTED_VALUE"""),"1251050")</f>
        <v>1251050</v>
      </c>
      <c r="R2175" s="210" t="str">
        <f>IFERROR(__xludf.DUMMYFUNCTION("""COMPUTED_VALUE"""),"1251050")</f>
        <v>1251050</v>
      </c>
      <c r="S2175" s="211" t="str">
        <f>IFERROR(__xludf.DUMMYFUNCTION("""COMPUTED_VALUE"""),"eec2e801")</f>
        <v>eec2e801</v>
      </c>
      <c r="T2175" s="211" t="str">
        <f>IFERROR(__xludf.DUMMYFUNCTION("""COMPUTED_VALUE"""),"Mitra Wood Sejahtera")</f>
        <v>Mitra Wood Sejahtera</v>
      </c>
      <c r="U2175" s="215">
        <f>IFERROR(__xludf.DUMMYFUNCTION("""COMPUTED_VALUE"""),46028.598125)</f>
        <v>46028.59813</v>
      </c>
      <c r="V2175" s="211" t="str">
        <f>IFERROR(__xludf.DUMMYFUNCTION("""COMPUTED_VALUE"""),"Jl.cungkling, Jl. Tanggungan, Nanom Kidul, Lebaniwaras, Kec. Wringinanom, Kabupaten Gresik, Jawa Timur 61176")</f>
        <v>Jl.cungkling, Jl. Tanggungan, Nanom Kidul, Lebaniwaras, Kec. Wringinanom, Kabupaten Gresik, Jawa Timur 61176</v>
      </c>
      <c r="W2175" s="211" t="str">
        <f>IFERROR(__xludf.DUMMYFUNCTION("""COMPUTED_VALUE"""),"IN")</f>
        <v>IN</v>
      </c>
      <c r="X2175" s="211"/>
    </row>
    <row r="2176">
      <c r="A2176" s="210" t="str">
        <f>IFERROR(__xludf.DUMMYFUNCTION("""COMPUTED_VALUE"""),"1250729")</f>
        <v>1250729</v>
      </c>
      <c r="B2176" s="210" t="str">
        <f>IFERROR(__xludf.DUMMYFUNCTION("""COMPUTED_VALUE"""),"1250729")</f>
        <v>1250729</v>
      </c>
      <c r="C2176" s="213">
        <f>IFERROR(__xludf.DUMMYFUNCTION("""COMPUTED_VALUE"""),45958.68659722222)</f>
        <v>45958.6866</v>
      </c>
      <c r="D2176" s="211" t="str">
        <f>IFERROR(__xludf.DUMMYFUNCTION("""COMPUTED_VALUE"""),"5f23ba17")</f>
        <v>5f23ba17</v>
      </c>
      <c r="E2176" s="211" t="str">
        <f>IFERROR(__xludf.DUMMYFUNCTION("""COMPUTED_VALUE"""),"Bpk. Joko (Gresik)")</f>
        <v>Bpk. Joko (Gresik)</v>
      </c>
      <c r="F2176" s="211" t="str">
        <f>IFERROR(__xludf.DUMMYFUNCTION("""COMPUTED_VALUE"""),"be525f3b")</f>
        <v>be525f3b</v>
      </c>
      <c r="G2176" s="211" t="str">
        <f>IFERROR(__xludf.DUMMYFUNCTION("""COMPUTED_VALUE"""),"LPG 12kg")</f>
        <v>LPG 12kg</v>
      </c>
      <c r="H2176" s="211" t="str">
        <f>IFERROR(__xludf.DUMMYFUNCTION("""COMPUTED_VALUE"""),"IN")</f>
        <v>IN</v>
      </c>
      <c r="I2176" s="211" t="str">
        <f>IFERROR(__xludf.DUMMYFUNCTION("""COMPUTED_VALUE"""),"EMPTY")</f>
        <v>EMPTY</v>
      </c>
      <c r="J2176" s="211">
        <f>IFERROR(__xludf.DUMMYFUNCTION("""COMPUTED_VALUE"""),3.0)</f>
        <v>3</v>
      </c>
      <c r="K2176" s="210" t="str">
        <f>IFERROR(__xludf.DUMMYFUNCTION("""COMPUTED_VALUE"""),"01 02 03")</f>
        <v>01 02 03</v>
      </c>
      <c r="L2176" s="211">
        <f>IFERROR(__xludf.DUMMYFUNCTION("""COMPUTED_VALUE"""),0.0)</f>
        <v>0</v>
      </c>
      <c r="M2176" s="211"/>
      <c r="N2176" s="211"/>
      <c r="O2176" s="211"/>
      <c r="Q2176" s="210" t="str">
        <f>IFERROR(__xludf.DUMMYFUNCTION("""COMPUTED_VALUE"""),"1261062")</f>
        <v>1261062</v>
      </c>
      <c r="R2176" s="210" t="str">
        <f>IFERROR(__xludf.DUMMYFUNCTION("""COMPUTED_VALUE"""),"1261062")</f>
        <v>1261062</v>
      </c>
      <c r="S2176" s="211" t="str">
        <f>IFERROR(__xludf.DUMMYFUNCTION("""COMPUTED_VALUE"""),"b89c20a1")</f>
        <v>b89c20a1</v>
      </c>
      <c r="T2176" s="211" t="str">
        <f>IFERROR(__xludf.DUMMYFUNCTION("""COMPUTED_VALUE"""),"Harini dini")</f>
        <v>Harini dini</v>
      </c>
      <c r="U2176" s="215">
        <f>IFERROR(__xludf.DUMMYFUNCTION("""COMPUTED_VALUE"""),46028.602430555555)</f>
        <v>46028.60243</v>
      </c>
      <c r="V2176" s="211" t="str">
        <f>IFERROR(__xludf.DUMMYFUNCTION("""COMPUTED_VALUE"""),"Kraton RT 15 RW 03  Kraton Krian Sidoarjo")</f>
        <v>Kraton RT 15 RW 03  Kraton Krian Sidoarjo</v>
      </c>
      <c r="W2176" s="211" t="str">
        <f>IFERROR(__xludf.DUMMYFUNCTION("""COMPUTED_VALUE"""),"IN")</f>
        <v>IN</v>
      </c>
      <c r="X2176" s="211"/>
    </row>
    <row r="2177">
      <c r="A2177" s="210" t="str">
        <f>IFERROR(__xludf.DUMMYFUNCTION("""COMPUTED_VALUE"""),"1250728")</f>
        <v>1250728</v>
      </c>
      <c r="B2177" s="210" t="str">
        <f>IFERROR(__xludf.DUMMYFUNCTION("""COMPUTED_VALUE"""),"1250728")</f>
        <v>1250728</v>
      </c>
      <c r="C2177" s="213">
        <f>IFERROR(__xludf.DUMMYFUNCTION("""COMPUTED_VALUE"""),45958.687314814815)</f>
        <v>45958.68731</v>
      </c>
      <c r="D2177" s="211" t="str">
        <f>IFERROR(__xludf.DUMMYFUNCTION("""COMPUTED_VALUE"""),"785e0e07")</f>
        <v>785e0e07</v>
      </c>
      <c r="E2177" s="211" t="str">
        <f>IFERROR(__xludf.DUMMYFUNCTION("""COMPUTED_VALUE"""),"Bpk. Sukirno (Bejo)")</f>
        <v>Bpk. Sukirno (Bejo)</v>
      </c>
      <c r="F2177" s="211" t="str">
        <f>IFERROR(__xludf.DUMMYFUNCTION("""COMPUTED_VALUE"""),"8bdbe149")</f>
        <v>8bdbe149</v>
      </c>
      <c r="G2177" s="211" t="str">
        <f>IFERROR(__xludf.DUMMYFUNCTION("""COMPUTED_VALUE"""),"Oksigen 6m3")</f>
        <v>Oksigen 6m3</v>
      </c>
      <c r="H2177" s="211" t="str">
        <f>IFERROR(__xludf.DUMMYFUNCTION("""COMPUTED_VALUE"""),"IN")</f>
        <v>IN</v>
      </c>
      <c r="I2177" s="211" t="str">
        <f>IFERROR(__xludf.DUMMYFUNCTION("""COMPUTED_VALUE"""),"EMPTY")</f>
        <v>EMPTY</v>
      </c>
      <c r="J2177" s="211">
        <f>IFERROR(__xludf.DUMMYFUNCTION("""COMPUTED_VALUE"""),2.0)</f>
        <v>2</v>
      </c>
      <c r="K2177" s="210" t="str">
        <f>IFERROR(__xludf.DUMMYFUNCTION("""COMPUTED_VALUE"""),"11181 1149")</f>
        <v>11181 1149</v>
      </c>
      <c r="L2177" s="211">
        <f>IFERROR(__xludf.DUMMYFUNCTION("""COMPUTED_VALUE"""),0.0)</f>
        <v>0</v>
      </c>
      <c r="M2177" s="211"/>
      <c r="N2177" s="211"/>
      <c r="O2177" s="211"/>
      <c r="Q2177" s="210" t="str">
        <f>IFERROR(__xludf.DUMMYFUNCTION("""COMPUTED_VALUE"""),"012632173")</f>
        <v>012632173</v>
      </c>
      <c r="R2177" s="210" t="str">
        <f>IFERROR(__xludf.DUMMYFUNCTION("""COMPUTED_VALUE"""),"012632173")</f>
        <v>012632173</v>
      </c>
      <c r="S2177" s="211" t="str">
        <f>IFERROR(__xludf.DUMMYFUNCTION("""COMPUTED_VALUE"""),"58b72e0c")</f>
        <v>58b72e0c</v>
      </c>
      <c r="T2177" s="211" t="str">
        <f>IFERROR(__xludf.DUMMYFUNCTION("""COMPUTED_VALUE"""),"UD. Ais Jaya")</f>
        <v>UD. Ais Jaya</v>
      </c>
      <c r="U2177" s="215">
        <f>IFERROR(__xludf.DUMMYFUNCTION("""COMPUTED_VALUE"""),46029.373773148145)</f>
        <v>46029.37377</v>
      </c>
      <c r="V2177" s="211" t="str">
        <f>IFERROR(__xludf.DUMMYFUNCTION("""COMPUTED_VALUE"""),"Jl. Bypass Krian, Kraton, Kec. Krian, Kabupaten Sidoarjo, Jawa Timur 61262")</f>
        <v>Jl. Bypass Krian, Kraton, Kec. Krian, Kabupaten Sidoarjo, Jawa Timur 61262</v>
      </c>
      <c r="W2177" s="211" t="str">
        <f>IFERROR(__xludf.DUMMYFUNCTION("""COMPUTED_VALUE"""),"OUT")</f>
        <v>OUT</v>
      </c>
      <c r="X2177" s="211"/>
    </row>
    <row r="2178">
      <c r="A2178" s="210" t="str">
        <f>IFERROR(__xludf.DUMMYFUNCTION("""COMPUTED_VALUE"""),"1250730")</f>
        <v>1250730</v>
      </c>
      <c r="B2178" s="210" t="str">
        <f>IFERROR(__xludf.DUMMYFUNCTION("""COMPUTED_VALUE"""),"1250730")</f>
        <v>1250730</v>
      </c>
      <c r="C2178" s="213">
        <f>IFERROR(__xludf.DUMMYFUNCTION("""COMPUTED_VALUE"""),45959.4705787037)</f>
        <v>45959.47058</v>
      </c>
      <c r="D2178" s="211" t="str">
        <f>IFERROR(__xludf.DUMMYFUNCTION("""COMPUTED_VALUE"""),"2d88931c")</f>
        <v>2d88931c</v>
      </c>
      <c r="E2178" s="211" t="str">
        <f>IFERROR(__xludf.DUMMYFUNCTION("""COMPUTED_VALUE"""),"PT Dunia Berkat Marga Mulya")</f>
        <v>PT Dunia Berkat Marga Mulya</v>
      </c>
      <c r="F2178" s="211" t="str">
        <f>IFERROR(__xludf.DUMMYFUNCTION("""COMPUTED_VALUE"""),"8bdbe149")</f>
        <v>8bdbe149</v>
      </c>
      <c r="G2178" s="211" t="str">
        <f>IFERROR(__xludf.DUMMYFUNCTION("""COMPUTED_VALUE"""),"Oksigen 6m3")</f>
        <v>Oksigen 6m3</v>
      </c>
      <c r="H2178" s="211" t="str">
        <f>IFERROR(__xludf.DUMMYFUNCTION("""COMPUTED_VALUE"""),"IN")</f>
        <v>IN</v>
      </c>
      <c r="I2178" s="211" t="str">
        <f>IFERROR(__xludf.DUMMYFUNCTION("""COMPUTED_VALUE"""),"EMPTY")</f>
        <v>EMPTY</v>
      </c>
      <c r="J2178" s="211">
        <f>IFERROR(__xludf.DUMMYFUNCTION("""COMPUTED_VALUE"""),2.0)</f>
        <v>2</v>
      </c>
      <c r="K2178" s="210" t="str">
        <f>IFERROR(__xludf.DUMMYFUNCTION("""COMPUTED_VALUE"""),"11284 11247")</f>
        <v>11284 11247</v>
      </c>
      <c r="L2178" s="211">
        <f>IFERROR(__xludf.DUMMYFUNCTION("""COMPUTED_VALUE"""),0.0)</f>
        <v>0</v>
      </c>
      <c r="M2178" s="211"/>
      <c r="N2178" s="211"/>
      <c r="O2178" s="211"/>
      <c r="Q2178" s="210" t="str">
        <f>IFERROR(__xludf.DUMMYFUNCTION("""COMPUTED_VALUE"""),"0126672178")</f>
        <v>0126672178</v>
      </c>
      <c r="R2178" s="210" t="str">
        <f>IFERROR(__xludf.DUMMYFUNCTION("""COMPUTED_VALUE"""),"0126672178")</f>
        <v>0126672178</v>
      </c>
      <c r="S2178" s="211" t="str">
        <f>IFERROR(__xludf.DUMMYFUNCTION("""COMPUTED_VALUE"""),"b2b5f2c5")</f>
        <v>b2b5f2c5</v>
      </c>
      <c r="T2178" s="211" t="str">
        <f>IFERROR(__xludf.DUMMYFUNCTION("""COMPUTED_VALUE"""),"Bengkel Las Bpk. Ari")</f>
        <v>Bengkel Las Bpk. Ari</v>
      </c>
      <c r="U2178" s="215">
        <f>IFERROR(__xludf.DUMMYFUNCTION("""COMPUTED_VALUE"""),46029.37482638889)</f>
        <v>46029.37483</v>
      </c>
      <c r="V2178" s="211" t="str">
        <f>IFERROR(__xludf.DUMMYFUNCTION("""COMPUTED_VALUE"""),"Sumber Kembar, Wonodadi, Kec. Kutorejo, Kabupaten Mojokerto, Jawa Timur")</f>
        <v>Sumber Kembar, Wonodadi, Kec. Kutorejo, Kabupaten Mojokerto, Jawa Timur</v>
      </c>
      <c r="W2178" s="211" t="str">
        <f>IFERROR(__xludf.DUMMYFUNCTION("""COMPUTED_VALUE"""),"OUT")</f>
        <v>OUT</v>
      </c>
      <c r="X2178" s="211"/>
    </row>
    <row r="2179">
      <c r="A2179" s="210" t="str">
        <f>IFERROR(__xludf.DUMMYFUNCTION("""COMPUTED_VALUE"""),"1025291557")</f>
        <v>1025291557</v>
      </c>
      <c r="B2179" s="210" t="str">
        <f>IFERROR(__xludf.DUMMYFUNCTION("""COMPUTED_VALUE"""),"1025291557")</f>
        <v>1025291557</v>
      </c>
      <c r="C2179" s="213">
        <f>IFERROR(__xludf.DUMMYFUNCTION("""COMPUTED_VALUE"""),45959.47224537037)</f>
        <v>45959.47225</v>
      </c>
      <c r="D2179" s="211" t="str">
        <f>IFERROR(__xludf.DUMMYFUNCTION("""COMPUTED_VALUE"""),"b2b5f2c5")</f>
        <v>b2b5f2c5</v>
      </c>
      <c r="E2179" s="211" t="str">
        <f>IFERROR(__xludf.DUMMYFUNCTION("""COMPUTED_VALUE"""),"Bengkel Las Bpk. Ari")</f>
        <v>Bengkel Las Bpk. Ari</v>
      </c>
      <c r="F2179" s="211" t="str">
        <f>IFERROR(__xludf.DUMMYFUNCTION("""COMPUTED_VALUE"""),"ef306e54")</f>
        <v>ef306e54</v>
      </c>
      <c r="G2179" s="211" t="str">
        <f>IFERROR(__xludf.DUMMYFUNCTION("""COMPUTED_VALUE"""),"Karbondioksida")</f>
        <v>Karbondioksida</v>
      </c>
      <c r="H2179" s="211" t="str">
        <f>IFERROR(__xludf.DUMMYFUNCTION("""COMPUTED_VALUE"""),"OUT")</f>
        <v>OUT</v>
      </c>
      <c r="I2179" s="211" t="str">
        <f>IFERROR(__xludf.DUMMYFUNCTION("""COMPUTED_VALUE"""),"NORMAL")</f>
        <v>NORMAL</v>
      </c>
      <c r="J2179" s="211">
        <f>IFERROR(__xludf.DUMMYFUNCTION("""COMPUTED_VALUE"""),5.0)</f>
        <v>5</v>
      </c>
      <c r="K2179" s="210" t="str">
        <f>IFERROR(__xludf.DUMMYFUNCTION("""COMPUTED_VALUE"""),"13006 13007 13014 13020 13035")</f>
        <v>13006 13007 13014 13020 13035</v>
      </c>
      <c r="L2179" s="211">
        <f>IFERROR(__xludf.DUMMYFUNCTION("""COMPUTED_VALUE"""),170000.0)</f>
        <v>170000</v>
      </c>
      <c r="M2179" s="211"/>
      <c r="N2179" s="211"/>
      <c r="O2179" s="211"/>
      <c r="Q2179" s="210" t="str">
        <f>IFERROR(__xludf.DUMMYFUNCTION("""COMPUTED_VALUE"""),"012682179")</f>
        <v>012682179</v>
      </c>
      <c r="R2179" s="210" t="str">
        <f>IFERROR(__xludf.DUMMYFUNCTION("""COMPUTED_VALUE"""),"012682179")</f>
        <v>012682179</v>
      </c>
      <c r="S2179" s="211" t="str">
        <f>IFERROR(__xludf.DUMMYFUNCTION("""COMPUTED_VALUE"""),"17a8e612")</f>
        <v>17a8e612</v>
      </c>
      <c r="T2179" s="211" t="str">
        <f>IFERROR(__xludf.DUMMYFUNCTION("""COMPUTED_VALUE"""),"Flashtech Machinery")</f>
        <v>Flashtech Machinery</v>
      </c>
      <c r="U2179" s="215">
        <f>IFERROR(__xludf.DUMMYFUNCTION("""COMPUTED_VALUE"""),46029.61452546297)</f>
        <v>46029.61453</v>
      </c>
      <c r="V2179" s="211" t="str">
        <f>IFERROR(__xludf.DUMMYFUNCTION("""COMPUTED_VALUE"""),"Pergudangan Point Center blok A no.4, Kemangsen")</f>
        <v>Pergudangan Point Center blok A no.4, Kemangsen</v>
      </c>
      <c r="W2179" s="211" t="str">
        <f>IFERROR(__xludf.DUMMYFUNCTION("""COMPUTED_VALUE"""),"OUT")</f>
        <v>OUT</v>
      </c>
      <c r="X2179" s="211"/>
    </row>
    <row r="2180">
      <c r="A2180" s="210" t="str">
        <f>IFERROR(__xludf.DUMMYFUNCTION("""COMPUTED_VALUE"""),"1025291557")</f>
        <v>1025291557</v>
      </c>
      <c r="B2180" s="210" t="str">
        <f>IFERROR(__xludf.DUMMYFUNCTION("""COMPUTED_VALUE"""),"1025291557")</f>
        <v>1025291557</v>
      </c>
      <c r="C2180" s="213">
        <f>IFERROR(__xludf.DUMMYFUNCTION("""COMPUTED_VALUE"""),45959.47224537037)</f>
        <v>45959.47225</v>
      </c>
      <c r="D2180" s="211" t="str">
        <f>IFERROR(__xludf.DUMMYFUNCTION("""COMPUTED_VALUE"""),"b2b5f2c5")</f>
        <v>b2b5f2c5</v>
      </c>
      <c r="E2180" s="211" t="str">
        <f>IFERROR(__xludf.DUMMYFUNCTION("""COMPUTED_VALUE"""),"Bengkel Las Bpk. Ari")</f>
        <v>Bengkel Las Bpk. Ari</v>
      </c>
      <c r="F2180" s="211" t="str">
        <f>IFERROR(__xludf.DUMMYFUNCTION("""COMPUTED_VALUE"""),"8bdbe149")</f>
        <v>8bdbe149</v>
      </c>
      <c r="G2180" s="211" t="str">
        <f>IFERROR(__xludf.DUMMYFUNCTION("""COMPUTED_VALUE"""),"Oksigen 6m3")</f>
        <v>Oksigen 6m3</v>
      </c>
      <c r="H2180" s="211" t="str">
        <f>IFERROR(__xludf.DUMMYFUNCTION("""COMPUTED_VALUE"""),"OUT")</f>
        <v>OUT</v>
      </c>
      <c r="I2180" s="211" t="str">
        <f>IFERROR(__xludf.DUMMYFUNCTION("""COMPUTED_VALUE"""),"NORMAL")</f>
        <v>NORMAL</v>
      </c>
      <c r="J2180" s="211">
        <f>IFERROR(__xludf.DUMMYFUNCTION("""COMPUTED_VALUE"""),7.0)</f>
        <v>7</v>
      </c>
      <c r="K2180" s="210" t="str">
        <f>IFERROR(__xludf.DUMMYFUNCTION("""COMPUTED_VALUE"""),"11181 1149 11278 1186 1182 1147 11100")</f>
        <v>11181 1149 11278 1186 1182 1147 11100</v>
      </c>
      <c r="L2180" s="211">
        <f>IFERROR(__xludf.DUMMYFUNCTION("""COMPUTED_VALUE"""),60000.0)</f>
        <v>60000</v>
      </c>
      <c r="M2180" s="211"/>
      <c r="N2180" s="211"/>
      <c r="O2180" s="211"/>
      <c r="Q2180" s="210" t="str">
        <f>IFERROR(__xludf.DUMMYFUNCTION("""COMPUTED_VALUE"""),"012692180")</f>
        <v>012692180</v>
      </c>
      <c r="R2180" s="210" t="str">
        <f>IFERROR(__xludf.DUMMYFUNCTION("""COMPUTED_VALUE"""),"012692180")</f>
        <v>012692180</v>
      </c>
      <c r="S2180" s="211" t="str">
        <f>IFERROR(__xludf.DUMMYFUNCTION("""COMPUTED_VALUE"""),"f8a982a4")</f>
        <v>f8a982a4</v>
      </c>
      <c r="T2180" s="211" t="str">
        <f>IFERROR(__xludf.DUMMYFUNCTION("""COMPUTED_VALUE"""),"Bpk. Nasir")</f>
        <v>Bpk. Nasir</v>
      </c>
      <c r="U2180" s="215">
        <f>IFERROR(__xludf.DUMMYFUNCTION("""COMPUTED_VALUE"""),46029.680555555555)</f>
        <v>46029.68056</v>
      </c>
      <c r="V2180" s="211" t="str">
        <f>IFERROR(__xludf.DUMMYFUNCTION("""COMPUTED_VALUE"""),"JL Raya Pacet, Dsn. Janti Ds. Jatilangkung RT.01 RW. 04. Kabupaten. Mojokerto Pungging, Jawa Timur")</f>
        <v>JL Raya Pacet, Dsn. Janti Ds. Jatilangkung RT.01 RW. 04. Kabupaten. Mojokerto Pungging, Jawa Timur</v>
      </c>
      <c r="W2180" s="211" t="str">
        <f>IFERROR(__xludf.DUMMYFUNCTION("""COMPUTED_VALUE"""),"OUT")</f>
        <v>OUT</v>
      </c>
      <c r="X2180" s="211"/>
    </row>
    <row r="2181">
      <c r="A2181" s="210" t="str">
        <f>IFERROR(__xludf.DUMMYFUNCTION("""COMPUTED_VALUE"""),"1025311561")</f>
        <v>1025311561</v>
      </c>
      <c r="B2181" s="210" t="str">
        <f>IFERROR(__xludf.DUMMYFUNCTION("""COMPUTED_VALUE"""),"1025311561")</f>
        <v>1025311561</v>
      </c>
      <c r="C2181" s="213">
        <f>IFERROR(__xludf.DUMMYFUNCTION("""COMPUTED_VALUE"""),45959.47523148148)</f>
        <v>45959.47523</v>
      </c>
      <c r="D2181" s="211" t="str">
        <f>IFERROR(__xludf.DUMMYFUNCTION("""COMPUTED_VALUE"""),"5f23ba17")</f>
        <v>5f23ba17</v>
      </c>
      <c r="E2181" s="211" t="str">
        <f>IFERROR(__xludf.DUMMYFUNCTION("""COMPUTED_VALUE"""),"Bpk. Joko (Gresik)")</f>
        <v>Bpk. Joko (Gresik)</v>
      </c>
      <c r="F2181" s="211" t="str">
        <f>IFERROR(__xludf.DUMMYFUNCTION("""COMPUTED_VALUE"""),"f6aab7a9")</f>
        <v>f6aab7a9</v>
      </c>
      <c r="G2181" s="211" t="str">
        <f>IFERROR(__xludf.DUMMYFUNCTION("""COMPUTED_VALUE"""),"Oksigen 6m3 MR")</f>
        <v>Oksigen 6m3 MR</v>
      </c>
      <c r="H2181" s="211" t="str">
        <f>IFERROR(__xludf.DUMMYFUNCTION("""COMPUTED_VALUE"""),"OUT")</f>
        <v>OUT</v>
      </c>
      <c r="I2181" s="211" t="str">
        <f>IFERROR(__xludf.DUMMYFUNCTION("""COMPUTED_VALUE"""),"NORMAL")</f>
        <v>NORMAL</v>
      </c>
      <c r="J2181" s="211">
        <f>IFERROR(__xludf.DUMMYFUNCTION("""COMPUTED_VALUE"""),8.0)</f>
        <v>8</v>
      </c>
      <c r="K2181" s="211"/>
      <c r="L2181" s="211">
        <f>IFERROR(__xludf.DUMMYFUNCTION("""COMPUTED_VALUE"""),55000.0)</f>
        <v>55000</v>
      </c>
      <c r="M2181" s="211"/>
      <c r="N2181" s="211"/>
      <c r="O2181" s="211"/>
      <c r="Q2181" s="210" t="str">
        <f>IFERROR(__xludf.DUMMYFUNCTION("""COMPUTED_VALUE"""),"1261066")</f>
        <v>1261066</v>
      </c>
      <c r="R2181" s="210" t="str">
        <f>IFERROR(__xludf.DUMMYFUNCTION("""COMPUTED_VALUE"""),"1261066")</f>
        <v>1261066</v>
      </c>
      <c r="S2181" s="211" t="str">
        <f>IFERROR(__xludf.DUMMYFUNCTION("""COMPUTED_VALUE"""),"f8a982a4")</f>
        <v>f8a982a4</v>
      </c>
      <c r="T2181" s="211" t="str">
        <f>IFERROR(__xludf.DUMMYFUNCTION("""COMPUTED_VALUE"""),"Bpk. Nasir")</f>
        <v>Bpk. Nasir</v>
      </c>
      <c r="U2181" s="215">
        <f>IFERROR(__xludf.DUMMYFUNCTION("""COMPUTED_VALUE"""),46030.36450231481)</f>
        <v>46030.3645</v>
      </c>
      <c r="V2181" s="211" t="str">
        <f>IFERROR(__xludf.DUMMYFUNCTION("""COMPUTED_VALUE"""),"JL Raya Pacet, Dsn. Janti Ds. Jatilangkung RT.01 RW. 04. Kabupaten. Mojokerto Pungging, Jawa Timur")</f>
        <v>JL Raya Pacet, Dsn. Janti Ds. Jatilangkung RT.01 RW. 04. Kabupaten. Mojokerto Pungging, Jawa Timur</v>
      </c>
      <c r="W2181" s="211" t="str">
        <f>IFERROR(__xludf.DUMMYFUNCTION("""COMPUTED_VALUE"""),"IN")</f>
        <v>IN</v>
      </c>
      <c r="X2181" s="211"/>
    </row>
    <row r="2182">
      <c r="A2182" s="210" t="str">
        <f>IFERROR(__xludf.DUMMYFUNCTION("""COMPUTED_VALUE"""),"1250717")</f>
        <v>1250717</v>
      </c>
      <c r="B2182" s="210" t="str">
        <f>IFERROR(__xludf.DUMMYFUNCTION("""COMPUTED_VALUE"""),"1250717")</f>
        <v>1250717</v>
      </c>
      <c r="C2182" s="213">
        <f>IFERROR(__xludf.DUMMYFUNCTION("""COMPUTED_VALUE"""),45959.48335648148)</f>
        <v>45959.48336</v>
      </c>
      <c r="D2182" s="211" t="str">
        <f>IFERROR(__xludf.DUMMYFUNCTION("""COMPUTED_VALUE"""),"01158be1")</f>
        <v>01158be1</v>
      </c>
      <c r="E2182" s="211" t="str">
        <f>IFERROR(__xludf.DUMMYFUNCTION("""COMPUTED_VALUE"""),"GYF")</f>
        <v>GYF</v>
      </c>
      <c r="F2182" s="211" t="str">
        <f>IFERROR(__xludf.DUMMYFUNCTION("""COMPUTED_VALUE"""),"8bdbe149")</f>
        <v>8bdbe149</v>
      </c>
      <c r="G2182" s="211" t="str">
        <f>IFERROR(__xludf.DUMMYFUNCTION("""COMPUTED_VALUE"""),"Oksigen 6m3")</f>
        <v>Oksigen 6m3</v>
      </c>
      <c r="H2182" s="211" t="str">
        <f>IFERROR(__xludf.DUMMYFUNCTION("""COMPUTED_VALUE"""),"IN")</f>
        <v>IN</v>
      </c>
      <c r="I2182" s="211" t="str">
        <f>IFERROR(__xludf.DUMMYFUNCTION("""COMPUTED_VALUE"""),"EMPTY")</f>
        <v>EMPTY</v>
      </c>
      <c r="J2182" s="211">
        <f>IFERROR(__xludf.DUMMYFUNCTION("""COMPUTED_VALUE"""),9.0)</f>
        <v>9</v>
      </c>
      <c r="K2182" s="210" t="str">
        <f>IFERROR(__xludf.DUMMYFUNCTION("""COMPUTED_VALUE"""),"11100 1111 1186 11105 11180 11278 1147 11244 1182")</f>
        <v>11100 1111 1186 11105 11180 11278 1147 11244 1182</v>
      </c>
      <c r="L2182" s="211">
        <f>IFERROR(__xludf.DUMMYFUNCTION("""COMPUTED_VALUE"""),0.0)</f>
        <v>0</v>
      </c>
      <c r="M2182" s="211"/>
      <c r="N2182" s="211"/>
      <c r="O2182" s="211"/>
      <c r="Q2182" s="210" t="str">
        <f>IFERROR(__xludf.DUMMYFUNCTION("""COMPUTED_VALUE"""),"1261065")</f>
        <v>1261065</v>
      </c>
      <c r="R2182" s="210" t="str">
        <f>IFERROR(__xludf.DUMMYFUNCTION("""COMPUTED_VALUE"""),"1261065")</f>
        <v>1261065</v>
      </c>
      <c r="S2182" s="211" t="str">
        <f>IFERROR(__xludf.DUMMYFUNCTION("""COMPUTED_VALUE"""),"17a8e612")</f>
        <v>17a8e612</v>
      </c>
      <c r="T2182" s="211" t="str">
        <f>IFERROR(__xludf.DUMMYFUNCTION("""COMPUTED_VALUE"""),"Flashtech Machinery")</f>
        <v>Flashtech Machinery</v>
      </c>
      <c r="U2182" s="215">
        <f>IFERROR(__xludf.DUMMYFUNCTION("""COMPUTED_VALUE"""),46030.365439814814)</f>
        <v>46030.36544</v>
      </c>
      <c r="V2182" s="211" t="str">
        <f>IFERROR(__xludf.DUMMYFUNCTION("""COMPUTED_VALUE"""),"Pergudangan Point Center blok A no.4, Kemangsen")</f>
        <v>Pergudangan Point Center blok A no.4, Kemangsen</v>
      </c>
      <c r="W2182" s="211" t="str">
        <f>IFERROR(__xludf.DUMMYFUNCTION("""COMPUTED_VALUE"""),"IN")</f>
        <v>IN</v>
      </c>
      <c r="X2182" s="211"/>
    </row>
    <row r="2183">
      <c r="A2183" s="210" t="str">
        <f>IFERROR(__xludf.DUMMYFUNCTION("""COMPUTED_VALUE"""),"1250749")</f>
        <v>1250749</v>
      </c>
      <c r="B2183" s="210" t="str">
        <f>IFERROR(__xludf.DUMMYFUNCTION("""COMPUTED_VALUE"""),"1250749")</f>
        <v>1250749</v>
      </c>
      <c r="C2183" s="213">
        <f>IFERROR(__xludf.DUMMYFUNCTION("""COMPUTED_VALUE"""),45959.48434027778)</f>
        <v>45959.48434</v>
      </c>
      <c r="D2183" s="211" t="str">
        <f>IFERROR(__xludf.DUMMYFUNCTION("""COMPUTED_VALUE"""),"f98b1e81")</f>
        <v>f98b1e81</v>
      </c>
      <c r="E2183" s="211" t="str">
        <f>IFERROR(__xludf.DUMMYFUNCTION("""COMPUTED_VALUE"""),"CV. Greenlife Tirta Sentosa")</f>
        <v>CV. Greenlife Tirta Sentosa</v>
      </c>
      <c r="F2183" s="211" t="str">
        <f>IFERROR(__xludf.DUMMYFUNCTION("""COMPUTED_VALUE"""),"7d2764f1")</f>
        <v>7d2764f1</v>
      </c>
      <c r="G2183" s="211" t="str">
        <f>IFERROR(__xludf.DUMMYFUNCTION("""COMPUTED_VALUE"""),"Oksigen 7m3")</f>
        <v>Oksigen 7m3</v>
      </c>
      <c r="H2183" s="211" t="str">
        <f>IFERROR(__xludf.DUMMYFUNCTION("""COMPUTED_VALUE"""),"IN")</f>
        <v>IN</v>
      </c>
      <c r="I2183" s="211" t="str">
        <f>IFERROR(__xludf.DUMMYFUNCTION("""COMPUTED_VALUE"""),"EMPTY")</f>
        <v>EMPTY</v>
      </c>
      <c r="J2183" s="211">
        <f>IFERROR(__xludf.DUMMYFUNCTION("""COMPUTED_VALUE"""),1.0)</f>
        <v>1</v>
      </c>
      <c r="K2183" s="210" t="str">
        <f>IFERROR(__xludf.DUMMYFUNCTION("""COMPUTED_VALUE"""),"11157")</f>
        <v>11157</v>
      </c>
      <c r="L2183" s="211">
        <f>IFERROR(__xludf.DUMMYFUNCTION("""COMPUTED_VALUE"""),0.0)</f>
        <v>0</v>
      </c>
      <c r="M2183" s="211"/>
      <c r="N2183" s="211"/>
      <c r="O2183" s="211"/>
      <c r="Q2183" s="210" t="str">
        <f>IFERROR(__xludf.DUMMYFUNCTION("""COMPUTED_VALUE"""),"1261063")</f>
        <v>1261063</v>
      </c>
      <c r="R2183" s="210" t="str">
        <f>IFERROR(__xludf.DUMMYFUNCTION("""COMPUTED_VALUE"""),"1261063")</f>
        <v>1261063</v>
      </c>
      <c r="S2183" s="211" t="str">
        <f>IFERROR(__xludf.DUMMYFUNCTION("""COMPUTED_VALUE"""),"58b72e0c")</f>
        <v>58b72e0c</v>
      </c>
      <c r="T2183" s="211" t="str">
        <f>IFERROR(__xludf.DUMMYFUNCTION("""COMPUTED_VALUE"""),"UD. Ais Jaya")</f>
        <v>UD. Ais Jaya</v>
      </c>
      <c r="U2183" s="215">
        <f>IFERROR(__xludf.DUMMYFUNCTION("""COMPUTED_VALUE"""),46030.371296296296)</f>
        <v>46030.3713</v>
      </c>
      <c r="V2183" s="211" t="str">
        <f>IFERROR(__xludf.DUMMYFUNCTION("""COMPUTED_VALUE"""),"Jl. Bypass Krian, Kraton, Kec. Krian, Kabupaten Sidoarjo, Jawa Timur 61262")</f>
        <v>Jl. Bypass Krian, Kraton, Kec. Krian, Kabupaten Sidoarjo, Jawa Timur 61262</v>
      </c>
      <c r="W2183" s="211" t="str">
        <f>IFERROR(__xludf.DUMMYFUNCTION("""COMPUTED_VALUE"""),"IN")</f>
        <v>IN</v>
      </c>
      <c r="X2183" s="211"/>
    </row>
    <row r="2184">
      <c r="A2184" s="210" t="str">
        <f>IFERROR(__xludf.DUMMYFUNCTION("""COMPUTED_VALUE"""),"1250749")</f>
        <v>1250749</v>
      </c>
      <c r="B2184" s="210" t="str">
        <f>IFERROR(__xludf.DUMMYFUNCTION("""COMPUTED_VALUE"""),"1250749")</f>
        <v>1250749</v>
      </c>
      <c r="C2184" s="213">
        <f>IFERROR(__xludf.DUMMYFUNCTION("""COMPUTED_VALUE"""),45959.48434027778)</f>
        <v>45959.48434</v>
      </c>
      <c r="D2184" s="211" t="str">
        <f>IFERROR(__xludf.DUMMYFUNCTION("""COMPUTED_VALUE"""),"f98b1e81")</f>
        <v>f98b1e81</v>
      </c>
      <c r="E2184" s="211" t="str">
        <f>IFERROR(__xludf.DUMMYFUNCTION("""COMPUTED_VALUE"""),"CV. Greenlife Tirta Sentosa")</f>
        <v>CV. Greenlife Tirta Sentosa</v>
      </c>
      <c r="F2184" s="211" t="str">
        <f>IFERROR(__xludf.DUMMYFUNCTION("""COMPUTED_VALUE"""),"be525f3b")</f>
        <v>be525f3b</v>
      </c>
      <c r="G2184" s="211" t="str">
        <f>IFERROR(__xludf.DUMMYFUNCTION("""COMPUTED_VALUE"""),"LPG 12kg")</f>
        <v>LPG 12kg</v>
      </c>
      <c r="H2184" s="211" t="str">
        <f>IFERROR(__xludf.DUMMYFUNCTION("""COMPUTED_VALUE"""),"IN")</f>
        <v>IN</v>
      </c>
      <c r="I2184" s="211" t="str">
        <f>IFERROR(__xludf.DUMMYFUNCTION("""COMPUTED_VALUE"""),"EMPTY")</f>
        <v>EMPTY</v>
      </c>
      <c r="J2184" s="211">
        <f>IFERROR(__xludf.DUMMYFUNCTION("""COMPUTED_VALUE"""),1.0)</f>
        <v>1</v>
      </c>
      <c r="K2184" s="210" t="str">
        <f>IFERROR(__xludf.DUMMYFUNCTION("""COMPUTED_VALUE"""),"01")</f>
        <v>01</v>
      </c>
      <c r="L2184" s="211">
        <f>IFERROR(__xludf.DUMMYFUNCTION("""COMPUTED_VALUE"""),0.0)</f>
        <v>0</v>
      </c>
      <c r="M2184" s="211"/>
      <c r="N2184" s="211"/>
      <c r="O2184" s="211"/>
      <c r="Q2184" s="210" t="str">
        <f>IFERROR(__xludf.DUMMYFUNCTION("""COMPUTED_VALUE"""),"1261064")</f>
        <v>1261064</v>
      </c>
      <c r="R2184" s="210" t="str">
        <f>IFERROR(__xludf.DUMMYFUNCTION("""COMPUTED_VALUE"""),"1261064")</f>
        <v>1261064</v>
      </c>
      <c r="S2184" s="211" t="str">
        <f>IFERROR(__xludf.DUMMYFUNCTION("""COMPUTED_VALUE"""),"b2b5f2c5")</f>
        <v>b2b5f2c5</v>
      </c>
      <c r="T2184" s="211" t="str">
        <f>IFERROR(__xludf.DUMMYFUNCTION("""COMPUTED_VALUE"""),"Bengkel Las Bpk. Ari")</f>
        <v>Bengkel Las Bpk. Ari</v>
      </c>
      <c r="U2184" s="215">
        <f>IFERROR(__xludf.DUMMYFUNCTION("""COMPUTED_VALUE"""),46030.37184027778)</f>
        <v>46030.37184</v>
      </c>
      <c r="V2184" s="211" t="str">
        <f>IFERROR(__xludf.DUMMYFUNCTION("""COMPUTED_VALUE"""),"Sumber Kembar, Wonodadi, Kec. Kutorejo, Kabupaten Mojokerto, Jawa Timur")</f>
        <v>Sumber Kembar, Wonodadi, Kec. Kutorejo, Kabupaten Mojokerto, Jawa Timur</v>
      </c>
      <c r="W2184" s="211" t="str">
        <f>IFERROR(__xludf.DUMMYFUNCTION("""COMPUTED_VALUE"""),"IN")</f>
        <v>IN</v>
      </c>
      <c r="X2184" s="211"/>
    </row>
    <row r="2185">
      <c r="A2185" s="210" t="str">
        <f>IFERROR(__xludf.DUMMYFUNCTION("""COMPUTED_VALUE"""),"1250718")</f>
        <v>1250718</v>
      </c>
      <c r="B2185" s="210" t="str">
        <f>IFERROR(__xludf.DUMMYFUNCTION("""COMPUTED_VALUE"""),"1250718")</f>
        <v>1250718</v>
      </c>
      <c r="C2185" s="213">
        <f>IFERROR(__xludf.DUMMYFUNCTION("""COMPUTED_VALUE"""),45959.63114583334)</f>
        <v>45959.63115</v>
      </c>
      <c r="D2185" s="211" t="str">
        <f>IFERROR(__xludf.DUMMYFUNCTION("""COMPUTED_VALUE"""),"b2b5f2c5")</f>
        <v>b2b5f2c5</v>
      </c>
      <c r="E2185" s="211" t="str">
        <f>IFERROR(__xludf.DUMMYFUNCTION("""COMPUTED_VALUE"""),"Bengkel Las Bpk. Ari")</f>
        <v>Bengkel Las Bpk. Ari</v>
      </c>
      <c r="F2185" s="211" t="str">
        <f>IFERROR(__xludf.DUMMYFUNCTION("""COMPUTED_VALUE"""),"ef306e54")</f>
        <v>ef306e54</v>
      </c>
      <c r="G2185" s="211" t="str">
        <f>IFERROR(__xludf.DUMMYFUNCTION("""COMPUTED_VALUE"""),"Karbondioksida")</f>
        <v>Karbondioksida</v>
      </c>
      <c r="H2185" s="211" t="str">
        <f>IFERROR(__xludf.DUMMYFUNCTION("""COMPUTED_VALUE"""),"IN")</f>
        <v>IN</v>
      </c>
      <c r="I2185" s="211" t="str">
        <f>IFERROR(__xludf.DUMMYFUNCTION("""COMPUTED_VALUE"""),"EMPTY")</f>
        <v>EMPTY</v>
      </c>
      <c r="J2185" s="211">
        <f>IFERROR(__xludf.DUMMYFUNCTION("""COMPUTED_VALUE"""),4.0)</f>
        <v>4</v>
      </c>
      <c r="K2185" s="210" t="str">
        <f>IFERROR(__xludf.DUMMYFUNCTION("""COMPUTED_VALUE"""),"13039 13008 13029 13038")</f>
        <v>13039 13008 13029 13038</v>
      </c>
      <c r="L2185" s="211">
        <f>IFERROR(__xludf.DUMMYFUNCTION("""COMPUTED_VALUE"""),0.0)</f>
        <v>0</v>
      </c>
      <c r="M2185" s="211"/>
      <c r="N2185" s="211"/>
      <c r="O2185" s="211"/>
      <c r="Q2185" s="210" t="str">
        <f>IFERROR(__xludf.DUMMYFUNCTION("""COMPUTED_VALUE"""),"1261052")</f>
        <v>1261052</v>
      </c>
      <c r="R2185" s="210" t="str">
        <f>IFERROR(__xludf.DUMMYFUNCTION("""COMPUTED_VALUE"""),"1261052")</f>
        <v>1261052</v>
      </c>
      <c r="S2185" s="211" t="str">
        <f>IFERROR(__xludf.DUMMYFUNCTION("""COMPUTED_VALUE"""),"ec231cc9")</f>
        <v>ec231cc9</v>
      </c>
      <c r="T2185" s="211" t="str">
        <f>IFERROR(__xludf.DUMMYFUNCTION("""COMPUTED_VALUE"""),"Bpk. Kohir (Maintenance Velg)")</f>
        <v>Bpk. Kohir (Maintenance Velg)</v>
      </c>
      <c r="U2185" s="215">
        <f>IFERROR(__xludf.DUMMYFUNCTION("""COMPUTED_VALUE"""),46030.3728125)</f>
        <v>46030.37281</v>
      </c>
      <c r="V2185" s="211" t="str">
        <f>IFERROR(__xludf.DUMMYFUNCTION("""COMPUTED_VALUE"""),"Jl. Lkr. Bypass Krian Timur, Sidogolong, Watugolong, Kec. Krian, Kabupaten Sidoarjo, Jawa Timur 61262")</f>
        <v>Jl. Lkr. Bypass Krian Timur, Sidogolong, Watugolong, Kec. Krian, Kabupaten Sidoarjo, Jawa Timur 61262</v>
      </c>
      <c r="W2185" s="211" t="str">
        <f>IFERROR(__xludf.DUMMYFUNCTION("""COMPUTED_VALUE"""),"IN")</f>
        <v>IN</v>
      </c>
      <c r="X2185" s="211"/>
    </row>
    <row r="2186">
      <c r="A2186" s="210" t="str">
        <f>IFERROR(__xludf.DUMMYFUNCTION("""COMPUTED_VALUE"""),"1250718")</f>
        <v>1250718</v>
      </c>
      <c r="B2186" s="210" t="str">
        <f>IFERROR(__xludf.DUMMYFUNCTION("""COMPUTED_VALUE"""),"1250718")</f>
        <v>1250718</v>
      </c>
      <c r="C2186" s="213">
        <f>IFERROR(__xludf.DUMMYFUNCTION("""COMPUTED_VALUE"""),45959.63114583334)</f>
        <v>45959.63115</v>
      </c>
      <c r="D2186" s="211" t="str">
        <f>IFERROR(__xludf.DUMMYFUNCTION("""COMPUTED_VALUE"""),"b2b5f2c5")</f>
        <v>b2b5f2c5</v>
      </c>
      <c r="E2186" s="211" t="str">
        <f>IFERROR(__xludf.DUMMYFUNCTION("""COMPUTED_VALUE"""),"Bengkel Las Bpk. Ari")</f>
        <v>Bengkel Las Bpk. Ari</v>
      </c>
      <c r="F2186" s="211" t="str">
        <f>IFERROR(__xludf.DUMMYFUNCTION("""COMPUTED_VALUE"""),"8bdbe149")</f>
        <v>8bdbe149</v>
      </c>
      <c r="G2186" s="211" t="str">
        <f>IFERROR(__xludf.DUMMYFUNCTION("""COMPUTED_VALUE"""),"Oksigen 6m3")</f>
        <v>Oksigen 6m3</v>
      </c>
      <c r="H2186" s="211" t="str">
        <f>IFERROR(__xludf.DUMMYFUNCTION("""COMPUTED_VALUE"""),"IN")</f>
        <v>IN</v>
      </c>
      <c r="I2186" s="211" t="str">
        <f>IFERROR(__xludf.DUMMYFUNCTION("""COMPUTED_VALUE"""),"EMPTY")</f>
        <v>EMPTY</v>
      </c>
      <c r="J2186" s="211">
        <f>IFERROR(__xludf.DUMMYFUNCTION("""COMPUTED_VALUE"""),6.0)</f>
        <v>6</v>
      </c>
      <c r="K2186" s="210" t="str">
        <f>IFERROR(__xludf.DUMMYFUNCTION("""COMPUTED_VALUE"""),"11255 11272 11228 1131 1155 11260")</f>
        <v>11255 11272 11228 1131 1155 11260</v>
      </c>
      <c r="L2186" s="211">
        <f>IFERROR(__xludf.DUMMYFUNCTION("""COMPUTED_VALUE"""),0.0)</f>
        <v>0</v>
      </c>
      <c r="M2186" s="211"/>
      <c r="N2186" s="211"/>
      <c r="O2186" s="211"/>
      <c r="Q2186" s="210" t="str">
        <f>IFERROR(__xludf.DUMMYFUNCTION("""COMPUTED_VALUE"""),"1261051")</f>
        <v>1261051</v>
      </c>
      <c r="R2186" s="210" t="str">
        <f>IFERROR(__xludf.DUMMYFUNCTION("""COMPUTED_VALUE"""),"1261051")</f>
        <v>1261051</v>
      </c>
      <c r="S2186" s="211" t="str">
        <f>IFERROR(__xludf.DUMMYFUNCTION("""COMPUTED_VALUE"""),"ca4876e2")</f>
        <v>ca4876e2</v>
      </c>
      <c r="T2186" s="211" t="str">
        <f>IFERROR(__xludf.DUMMYFUNCTION("""COMPUTED_VALUE"""),"Bengkel Mustika Mojosari")</f>
        <v>Bengkel Mustika Mojosari</v>
      </c>
      <c r="U2186" s="215">
        <f>IFERROR(__xludf.DUMMYFUNCTION("""COMPUTED_VALUE"""),46030.37414351852)</f>
        <v>46030.37414</v>
      </c>
      <c r="V2186" s="211" t="str">
        <f>IFERROR(__xludf.DUMMYFUNCTION("""COMPUTED_VALUE"""),"Jl. Kusuma Bangsa, Bulanan, Randubango, Kec. Mojosari, Kabupaten Mojokerto, Jawa Timur 61382")</f>
        <v>Jl. Kusuma Bangsa, Bulanan, Randubango, Kec. Mojosari, Kabupaten Mojokerto, Jawa Timur 61382</v>
      </c>
      <c r="W2186" s="211" t="str">
        <f>IFERROR(__xludf.DUMMYFUNCTION("""COMPUTED_VALUE"""),"IN")</f>
        <v>IN</v>
      </c>
      <c r="X2186" s="211"/>
    </row>
    <row r="2187">
      <c r="A2187" s="210" t="str">
        <f>IFERROR(__xludf.DUMMYFUNCTION("""COMPUTED_VALUE"""),"1025161562")</f>
        <v>1025161562</v>
      </c>
      <c r="B2187" s="210" t="str">
        <f>IFERROR(__xludf.DUMMYFUNCTION("""COMPUTED_VALUE"""),"1025161562")</f>
        <v>1025161562</v>
      </c>
      <c r="C2187" s="213">
        <f>IFERROR(__xludf.DUMMYFUNCTION("""COMPUTED_VALUE"""),45960.34097222222)</f>
        <v>45960.34097</v>
      </c>
      <c r="D2187" s="211" t="str">
        <f>IFERROR(__xludf.DUMMYFUNCTION("""COMPUTED_VALUE"""),"e968afef")</f>
        <v>e968afef</v>
      </c>
      <c r="E2187" s="211" t="str">
        <f>IFERROR(__xludf.DUMMYFUNCTION("""COMPUTED_VALUE"""),"Bpk. Agus")</f>
        <v>Bpk. Agus</v>
      </c>
      <c r="F2187" s="211" t="str">
        <f>IFERROR(__xludf.DUMMYFUNCTION("""COMPUTED_VALUE"""),"8bdbe149")</f>
        <v>8bdbe149</v>
      </c>
      <c r="G2187" s="211" t="str">
        <f>IFERROR(__xludf.DUMMYFUNCTION("""COMPUTED_VALUE"""),"Oksigen 6m3")</f>
        <v>Oksigen 6m3</v>
      </c>
      <c r="H2187" s="211" t="str">
        <f>IFERROR(__xludf.DUMMYFUNCTION("""COMPUTED_VALUE"""),"OUT")</f>
        <v>OUT</v>
      </c>
      <c r="I2187" s="211" t="str">
        <f>IFERROR(__xludf.DUMMYFUNCTION("""COMPUTED_VALUE"""),"NORMAL")</f>
        <v>NORMAL</v>
      </c>
      <c r="J2187" s="211">
        <f>IFERROR(__xludf.DUMMYFUNCTION("""COMPUTED_VALUE"""),10.0)</f>
        <v>10</v>
      </c>
      <c r="K2187" s="210" t="str">
        <f>IFERROR(__xludf.DUMMYFUNCTION("""COMPUTED_VALUE"""),"11244 1131 11272 11255 11260 11105 11228 11180 1155 1111")</f>
        <v>11244 1131 11272 11255 11260 11105 11228 11180 1155 1111</v>
      </c>
      <c r="L2187" s="211">
        <f>IFERROR(__xludf.DUMMYFUNCTION("""COMPUTED_VALUE"""),60000.0)</f>
        <v>60000</v>
      </c>
      <c r="M2187" s="211"/>
      <c r="N2187" s="211"/>
      <c r="O2187" s="211"/>
      <c r="Q2187" s="210" t="str">
        <f>IFERROR(__xludf.DUMMYFUNCTION("""COMPUTED_VALUE"""),"0126682181")</f>
        <v>0126682181</v>
      </c>
      <c r="R2187" s="210" t="str">
        <f>IFERROR(__xludf.DUMMYFUNCTION("""COMPUTED_VALUE"""),"0126682181")</f>
        <v>0126682181</v>
      </c>
      <c r="S2187" s="211" t="str">
        <f>IFERROR(__xludf.DUMMYFUNCTION("""COMPUTED_VALUE"""),"b2b5f2c5")</f>
        <v>b2b5f2c5</v>
      </c>
      <c r="T2187" s="211" t="str">
        <f>IFERROR(__xludf.DUMMYFUNCTION("""COMPUTED_VALUE"""),"Bengkel Las Bpk. Ari")</f>
        <v>Bengkel Las Bpk. Ari</v>
      </c>
      <c r="U2187" s="215">
        <f>IFERROR(__xludf.DUMMYFUNCTION("""COMPUTED_VALUE"""),46030.38122685185)</f>
        <v>46030.38123</v>
      </c>
      <c r="V2187" s="211" t="str">
        <f>IFERROR(__xludf.DUMMYFUNCTION("""COMPUTED_VALUE"""),"Sumber Kembar, Wonodadi, Kec. Kutorejo, Kabupaten Mojokerto, Jawa Timur")</f>
        <v>Sumber Kembar, Wonodadi, Kec. Kutorejo, Kabupaten Mojokerto, Jawa Timur</v>
      </c>
      <c r="W2187" s="211" t="str">
        <f>IFERROR(__xludf.DUMMYFUNCTION("""COMPUTED_VALUE"""),"OUT")</f>
        <v>OUT</v>
      </c>
      <c r="X2187" s="211"/>
    </row>
    <row r="2188">
      <c r="A2188" s="210" t="str">
        <f>IFERROR(__xludf.DUMMYFUNCTION("""COMPUTED_VALUE"""),"1025161562")</f>
        <v>1025161562</v>
      </c>
      <c r="B2188" s="210" t="str">
        <f>IFERROR(__xludf.DUMMYFUNCTION("""COMPUTED_VALUE"""),"1025161562")</f>
        <v>1025161562</v>
      </c>
      <c r="C2188" s="213">
        <f>IFERROR(__xludf.DUMMYFUNCTION("""COMPUTED_VALUE"""),45960.34097222222)</f>
        <v>45960.34097</v>
      </c>
      <c r="D2188" s="211" t="str">
        <f>IFERROR(__xludf.DUMMYFUNCTION("""COMPUTED_VALUE"""),"e968afef")</f>
        <v>e968afef</v>
      </c>
      <c r="E2188" s="211" t="str">
        <f>IFERROR(__xludf.DUMMYFUNCTION("""COMPUTED_VALUE"""),"Bpk. Agus")</f>
        <v>Bpk. Agus</v>
      </c>
      <c r="F2188" s="211" t="str">
        <f>IFERROR(__xludf.DUMMYFUNCTION("""COMPUTED_VALUE"""),"be525f3b")</f>
        <v>be525f3b</v>
      </c>
      <c r="G2188" s="211" t="str">
        <f>IFERROR(__xludf.DUMMYFUNCTION("""COMPUTED_VALUE"""),"LPG 12kg")</f>
        <v>LPG 12kg</v>
      </c>
      <c r="H2188" s="211" t="str">
        <f>IFERROR(__xludf.DUMMYFUNCTION("""COMPUTED_VALUE"""),"OUT")</f>
        <v>OUT</v>
      </c>
      <c r="I2188" s="211" t="str">
        <f>IFERROR(__xludf.DUMMYFUNCTION("""COMPUTED_VALUE"""),"NORMAL")</f>
        <v>NORMAL</v>
      </c>
      <c r="J2188" s="211">
        <f>IFERROR(__xludf.DUMMYFUNCTION("""COMPUTED_VALUE"""),1.0)</f>
        <v>1</v>
      </c>
      <c r="K2188" s="210" t="str">
        <f>IFERROR(__xludf.DUMMYFUNCTION("""COMPUTED_VALUE"""),"01")</f>
        <v>01</v>
      </c>
      <c r="L2188" s="211">
        <f>IFERROR(__xludf.DUMMYFUNCTION("""COMPUTED_VALUE"""),210000.0)</f>
        <v>210000</v>
      </c>
      <c r="M2188" s="211"/>
      <c r="N2188" s="211"/>
      <c r="O2188" s="211"/>
      <c r="Q2188" s="210" t="str">
        <f>IFERROR(__xludf.DUMMYFUNCTION("""COMPUTED_VALUE"""),"0126122188")</f>
        <v>0126122188</v>
      </c>
      <c r="R2188" s="210" t="str">
        <f>IFERROR(__xludf.DUMMYFUNCTION("""COMPUTED_VALUE"""),"0126122188")</f>
        <v>0126122188</v>
      </c>
      <c r="S2188" s="211" t="str">
        <f>IFERROR(__xludf.DUMMYFUNCTION("""COMPUTED_VALUE"""),"eec2e801")</f>
        <v>eec2e801</v>
      </c>
      <c r="T2188" s="211" t="str">
        <f>IFERROR(__xludf.DUMMYFUNCTION("""COMPUTED_VALUE"""),"Mitra Wood Sejahtera")</f>
        <v>Mitra Wood Sejahtera</v>
      </c>
      <c r="U2188" s="215">
        <f>IFERROR(__xludf.DUMMYFUNCTION("""COMPUTED_VALUE"""),46030.381875)</f>
        <v>46030.38188</v>
      </c>
      <c r="V2188" s="211" t="str">
        <f>IFERROR(__xludf.DUMMYFUNCTION("""COMPUTED_VALUE"""),"Jl.cungkling, Jl. Tanggungan, Nanom Kidul, Lebaniwaras, Kec. Wringinanom, Kabupaten Gresik, Jawa Timur 61176")</f>
        <v>Jl.cungkling, Jl. Tanggungan, Nanom Kidul, Lebaniwaras, Kec. Wringinanom, Kabupaten Gresik, Jawa Timur 61176</v>
      </c>
      <c r="W2188" s="211" t="str">
        <f>IFERROR(__xludf.DUMMYFUNCTION("""COMPUTED_VALUE"""),"OUT")</f>
        <v>OUT</v>
      </c>
      <c r="X2188" s="211"/>
    </row>
    <row r="2189">
      <c r="A2189" s="210" t="str">
        <f>IFERROR(__xludf.DUMMYFUNCTION("""COMPUTED_VALUE"""),"102511566")</f>
        <v>102511566</v>
      </c>
      <c r="B2189" s="210" t="str">
        <f>IFERROR(__xludf.DUMMYFUNCTION("""COMPUTED_VALUE"""),"102511566")</f>
        <v>102511566</v>
      </c>
      <c r="C2189" s="213">
        <f>IFERROR(__xludf.DUMMYFUNCTION("""COMPUTED_VALUE"""),45960.39680555555)</f>
        <v>45960.39681</v>
      </c>
      <c r="D2189" s="211" t="str">
        <f>IFERROR(__xludf.DUMMYFUNCTION("""COMPUTED_VALUE"""),"86b29f43")</f>
        <v>86b29f43</v>
      </c>
      <c r="E2189" s="211" t="str">
        <f>IFERROR(__xludf.DUMMYFUNCTION("""COMPUTED_VALUE"""),"Bpk. Gaguk")</f>
        <v>Bpk. Gaguk</v>
      </c>
      <c r="F2189" s="211" t="str">
        <f>IFERROR(__xludf.DUMMYFUNCTION("""COMPUTED_VALUE"""),"7d2764f1")</f>
        <v>7d2764f1</v>
      </c>
      <c r="G2189" s="211" t="str">
        <f>IFERROR(__xludf.DUMMYFUNCTION("""COMPUTED_VALUE"""),"Oksigen 7m3")</f>
        <v>Oksigen 7m3</v>
      </c>
      <c r="H2189" s="211" t="str">
        <f>IFERROR(__xludf.DUMMYFUNCTION("""COMPUTED_VALUE"""),"OUT")</f>
        <v>OUT</v>
      </c>
      <c r="I2189" s="211" t="str">
        <f>IFERROR(__xludf.DUMMYFUNCTION("""COMPUTED_VALUE"""),"NORMAL")</f>
        <v>NORMAL</v>
      </c>
      <c r="J2189" s="211">
        <f>IFERROR(__xludf.DUMMYFUNCTION("""COMPUTED_VALUE"""),1.0)</f>
        <v>1</v>
      </c>
      <c r="K2189" s="210" t="str">
        <f>IFERROR(__xludf.DUMMYFUNCTION("""COMPUTED_VALUE"""),"11157")</f>
        <v>11157</v>
      </c>
      <c r="L2189" s="211">
        <f>IFERROR(__xludf.DUMMYFUNCTION("""COMPUTED_VALUE"""),80000.0)</f>
        <v>80000</v>
      </c>
      <c r="M2189" s="211"/>
      <c r="N2189" s="211"/>
      <c r="O2189" s="211"/>
      <c r="Q2189" s="210" t="str">
        <f>IFERROR(__xludf.DUMMYFUNCTION("""COMPUTED_VALUE"""),"0126352189")</f>
        <v>0126352189</v>
      </c>
      <c r="R2189" s="210" t="str">
        <f>IFERROR(__xludf.DUMMYFUNCTION("""COMPUTED_VALUE"""),"0126352189")</f>
        <v>0126352189</v>
      </c>
      <c r="S2189" s="211" t="str">
        <f>IFERROR(__xludf.DUMMYFUNCTION("""COMPUTED_VALUE"""),"ce83e171")</f>
        <v>ce83e171</v>
      </c>
      <c r="T2189" s="211" t="str">
        <f>IFERROR(__xludf.DUMMYFUNCTION("""COMPUTED_VALUE"""),"Bpk. Sulaiman")</f>
        <v>Bpk. Sulaiman</v>
      </c>
      <c r="U2189" s="215">
        <f>IFERROR(__xludf.DUMMYFUNCTION("""COMPUTED_VALUE"""),46030.50670138889)</f>
        <v>46030.5067</v>
      </c>
      <c r="V2189" s="211" t="str">
        <f>IFERROR(__xludf.DUMMYFUNCTION("""COMPUTED_VALUE"""),"Jl. Raya Kramat Temenggung No.43, Kramat, Kramat Temenggung, Kec. Tarik, Kabupaten Sidoarjo, Jawa Timur 61265")</f>
        <v>Jl. Raya Kramat Temenggung No.43, Kramat, Kramat Temenggung, Kec. Tarik, Kabupaten Sidoarjo, Jawa Timur 61265</v>
      </c>
      <c r="W2189" s="211" t="str">
        <f>IFERROR(__xludf.DUMMYFUNCTION("""COMPUTED_VALUE"""),"OUT")</f>
        <v>OUT</v>
      </c>
      <c r="X2189" s="211"/>
    </row>
    <row r="2190">
      <c r="A2190" s="210" t="str">
        <f>IFERROR(__xludf.DUMMYFUNCTION("""COMPUTED_VALUE"""),"1025641567")</f>
        <v>1025641567</v>
      </c>
      <c r="B2190" s="210" t="str">
        <f>IFERROR(__xludf.DUMMYFUNCTION("""COMPUTED_VALUE"""),"1025641567")</f>
        <v>1025641567</v>
      </c>
      <c r="C2190" s="213">
        <f>IFERROR(__xludf.DUMMYFUNCTION("""COMPUTED_VALUE"""),45960.45584490741)</f>
        <v>45960.45584</v>
      </c>
      <c r="D2190" s="211" t="str">
        <f>IFERROR(__xludf.DUMMYFUNCTION("""COMPUTED_VALUE"""),"e86baf3b")</f>
        <v>e86baf3b</v>
      </c>
      <c r="E2190" s="211" t="str">
        <f>IFERROR(__xludf.DUMMYFUNCTION("""COMPUTED_VALUE"""),"PT GEMILANG CIPTA WAWASAN")</f>
        <v>PT GEMILANG CIPTA WAWASAN</v>
      </c>
      <c r="F2190" s="211" t="str">
        <f>IFERROR(__xludf.DUMMYFUNCTION("""COMPUTED_VALUE"""),"66af7c72")</f>
        <v>66af7c72</v>
      </c>
      <c r="G2190" s="211" t="str">
        <f>IFERROR(__xludf.DUMMYFUNCTION("""COMPUTED_VALUE"""),"Argon 6m3")</f>
        <v>Argon 6m3</v>
      </c>
      <c r="H2190" s="211" t="str">
        <f>IFERROR(__xludf.DUMMYFUNCTION("""COMPUTED_VALUE"""),"OUT")</f>
        <v>OUT</v>
      </c>
      <c r="I2190" s="211" t="str">
        <f>IFERROR(__xludf.DUMMYFUNCTION("""COMPUTED_VALUE"""),"NORMAL")</f>
        <v>NORMAL</v>
      </c>
      <c r="J2190" s="211">
        <f>IFERROR(__xludf.DUMMYFUNCTION("""COMPUTED_VALUE"""),10.0)</f>
        <v>10</v>
      </c>
      <c r="K2190" s="210" t="str">
        <f>IFERROR(__xludf.DUMMYFUNCTION("""COMPUTED_VALUE"""),"12076 12083 12081 12039 12080 12066 12038 12053 12084 12036")</f>
        <v>12076 12083 12081 12039 12080 12066 12038 12053 12084 12036</v>
      </c>
      <c r="L2190" s="211">
        <f>IFERROR(__xludf.DUMMYFUNCTION("""COMPUTED_VALUE"""),185000.0)</f>
        <v>185000</v>
      </c>
      <c r="M2190" s="211"/>
      <c r="N2190" s="211"/>
      <c r="O2190" s="211"/>
      <c r="Q2190" s="210" t="str">
        <f>IFERROR(__xludf.DUMMYFUNCTION("""COMPUTED_VALUE"""),"1261053")</f>
        <v>1261053</v>
      </c>
      <c r="R2190" s="210" t="str">
        <f>IFERROR(__xludf.DUMMYFUNCTION("""COMPUTED_VALUE"""),"1261053")</f>
        <v>1261053</v>
      </c>
      <c r="S2190" s="211" t="str">
        <f>IFERROR(__xludf.DUMMYFUNCTION("""COMPUTED_VALUE"""),"eec2e801")</f>
        <v>eec2e801</v>
      </c>
      <c r="T2190" s="211" t="str">
        <f>IFERROR(__xludf.DUMMYFUNCTION("""COMPUTED_VALUE"""),"Mitra Wood Sejahtera")</f>
        <v>Mitra Wood Sejahtera</v>
      </c>
      <c r="U2190" s="215">
        <f>IFERROR(__xludf.DUMMYFUNCTION("""COMPUTED_VALUE"""),46030.511770833335)</f>
        <v>46030.51177</v>
      </c>
      <c r="V2190" s="211" t="str">
        <f>IFERROR(__xludf.DUMMYFUNCTION("""COMPUTED_VALUE"""),"Jl.cungkling, Jl. Tanggungan, Nanom Kidul, Lebaniwaras, Kec. Wringinanom, Kabupaten Gresik, Jawa Timur 61176")</f>
        <v>Jl.cungkling, Jl. Tanggungan, Nanom Kidul, Lebaniwaras, Kec. Wringinanom, Kabupaten Gresik, Jawa Timur 61176</v>
      </c>
      <c r="W2190" s="211" t="str">
        <f>IFERROR(__xludf.DUMMYFUNCTION("""COMPUTED_VALUE"""),"IN")</f>
        <v>IN</v>
      </c>
      <c r="X2190" s="211"/>
    </row>
    <row r="2191">
      <c r="A2191" s="210" t="str">
        <f>IFERROR(__xludf.DUMMYFUNCTION("""COMPUTED_VALUE"""),"1025641567")</f>
        <v>1025641567</v>
      </c>
      <c r="B2191" s="210" t="str">
        <f>IFERROR(__xludf.DUMMYFUNCTION("""COMPUTED_VALUE"""),"1025641567")</f>
        <v>1025641567</v>
      </c>
      <c r="C2191" s="213">
        <f>IFERROR(__xludf.DUMMYFUNCTION("""COMPUTED_VALUE"""),45960.45584490741)</f>
        <v>45960.45584</v>
      </c>
      <c r="D2191" s="211" t="str">
        <f>IFERROR(__xludf.DUMMYFUNCTION("""COMPUTED_VALUE"""),"e86baf3b")</f>
        <v>e86baf3b</v>
      </c>
      <c r="E2191" s="211" t="str">
        <f>IFERROR(__xludf.DUMMYFUNCTION("""COMPUTED_VALUE"""),"PT GEMILANG CIPTA WAWASAN")</f>
        <v>PT GEMILANG CIPTA WAWASAN</v>
      </c>
      <c r="F2191" s="211" t="str">
        <f>IFERROR(__xludf.DUMMYFUNCTION("""COMPUTED_VALUE"""),"be525f3b")</f>
        <v>be525f3b</v>
      </c>
      <c r="G2191" s="211" t="str">
        <f>IFERROR(__xludf.DUMMYFUNCTION("""COMPUTED_VALUE"""),"LPG 12kg")</f>
        <v>LPG 12kg</v>
      </c>
      <c r="H2191" s="211" t="str">
        <f>IFERROR(__xludf.DUMMYFUNCTION("""COMPUTED_VALUE"""),"OUT")</f>
        <v>OUT</v>
      </c>
      <c r="I2191" s="211" t="str">
        <f>IFERROR(__xludf.DUMMYFUNCTION("""COMPUTED_VALUE"""),"NORMAL")</f>
        <v>NORMAL</v>
      </c>
      <c r="J2191" s="211">
        <f>IFERROR(__xludf.DUMMYFUNCTION("""COMPUTED_VALUE"""),5.0)</f>
        <v>5</v>
      </c>
      <c r="K2191" s="211"/>
      <c r="L2191" s="211">
        <f>IFERROR(__xludf.DUMMYFUNCTION("""COMPUTED_VALUE"""),210000.0)</f>
        <v>210000</v>
      </c>
      <c r="M2191" s="211"/>
      <c r="N2191" s="211"/>
      <c r="O2191" s="211"/>
      <c r="Q2191" s="210" t="str">
        <f>IFERROR(__xludf.DUMMYFUNCTION("""COMPUTED_VALUE"""),"1261067")</f>
        <v>1261067</v>
      </c>
      <c r="R2191" s="210" t="str">
        <f>IFERROR(__xludf.DUMMYFUNCTION("""COMPUTED_VALUE"""),"1261067")</f>
        <v>1261067</v>
      </c>
      <c r="S2191" s="211" t="str">
        <f>IFERROR(__xludf.DUMMYFUNCTION("""COMPUTED_VALUE"""),"b218b89b")</f>
        <v>b218b89b</v>
      </c>
      <c r="T2191" s="211" t="str">
        <f>IFERROR(__xludf.DUMMYFUNCTION("""COMPUTED_VALUE"""),"PT Harapan Sentosa")</f>
        <v>PT Harapan Sentosa</v>
      </c>
      <c r="U2191" s="215">
        <f>IFERROR(__xludf.DUMMYFUNCTION("""COMPUTED_VALUE"""),46030.614270833335)</f>
        <v>46030.61427</v>
      </c>
      <c r="V2191" s="211" t="str">
        <f>IFERROR(__xludf.DUMMYFUNCTION("""COMPUTED_VALUE"""),"Seketi, Jl. Purboyo II Selatan, RT.02/RW.02, Seketi, Kec. BalongBendo, Kabupaten Sidoarjo, Jawa Timur 61263")</f>
        <v>Seketi, Jl. Purboyo II Selatan, RT.02/RW.02, Seketi, Kec. BalongBendo, Kabupaten Sidoarjo, Jawa Timur 61263</v>
      </c>
      <c r="W2191" s="211" t="str">
        <f>IFERROR(__xludf.DUMMYFUNCTION("""COMPUTED_VALUE"""),"IN")</f>
        <v>IN</v>
      </c>
      <c r="X2191" s="211"/>
    </row>
    <row r="2192">
      <c r="A2192" s="210" t="str">
        <f>IFERROR(__xludf.DUMMYFUNCTION("""COMPUTED_VALUE"""),"1025151568")</f>
        <v>1025151568</v>
      </c>
      <c r="B2192" s="210" t="str">
        <f>IFERROR(__xludf.DUMMYFUNCTION("""COMPUTED_VALUE"""),"1025151568")</f>
        <v>1025151568</v>
      </c>
      <c r="C2192" s="213">
        <f>IFERROR(__xludf.DUMMYFUNCTION("""COMPUTED_VALUE"""),45960.49217592592)</f>
        <v>45960.49218</v>
      </c>
      <c r="D2192" s="211" t="str">
        <f>IFERROR(__xludf.DUMMYFUNCTION("""COMPUTED_VALUE"""),"d78b2eaf")</f>
        <v>d78b2eaf</v>
      </c>
      <c r="E2192" s="211" t="str">
        <f>IFERROR(__xludf.DUMMYFUNCTION("""COMPUTED_VALUE"""),"PT Sinar Indogreen Kencana")</f>
        <v>PT Sinar Indogreen Kencana</v>
      </c>
      <c r="F2192" s="211" t="str">
        <f>IFERROR(__xludf.DUMMYFUNCTION("""COMPUTED_VALUE"""),"be525f3b")</f>
        <v>be525f3b</v>
      </c>
      <c r="G2192" s="211" t="str">
        <f>IFERROR(__xludf.DUMMYFUNCTION("""COMPUTED_VALUE"""),"LPG 12kg")</f>
        <v>LPG 12kg</v>
      </c>
      <c r="H2192" s="211" t="str">
        <f>IFERROR(__xludf.DUMMYFUNCTION("""COMPUTED_VALUE"""),"OUT")</f>
        <v>OUT</v>
      </c>
      <c r="I2192" s="211" t="str">
        <f>IFERROR(__xludf.DUMMYFUNCTION("""COMPUTED_VALUE"""),"NORMAL")</f>
        <v>NORMAL</v>
      </c>
      <c r="J2192" s="211">
        <f>IFERROR(__xludf.DUMMYFUNCTION("""COMPUTED_VALUE"""),2.0)</f>
        <v>2</v>
      </c>
      <c r="K2192" s="211"/>
      <c r="L2192" s="211">
        <f>IFERROR(__xludf.DUMMYFUNCTION("""COMPUTED_VALUE"""),189189.19)</f>
        <v>189189.19</v>
      </c>
      <c r="M2192" s="211"/>
      <c r="N2192" s="211"/>
      <c r="O2192" s="211"/>
      <c r="Q2192" s="210" t="str">
        <f>IFERROR(__xludf.DUMMYFUNCTION("""COMPUTED_VALUE"""),"1261068")</f>
        <v>1261068</v>
      </c>
      <c r="R2192" s="210" t="str">
        <f>IFERROR(__xludf.DUMMYFUNCTION("""COMPUTED_VALUE"""),"1261068")</f>
        <v>1261068</v>
      </c>
      <c r="S2192" s="211" t="str">
        <f>IFERROR(__xludf.DUMMYFUNCTION("""COMPUTED_VALUE"""),"b2b5f2c5")</f>
        <v>b2b5f2c5</v>
      </c>
      <c r="T2192" s="211" t="str">
        <f>IFERROR(__xludf.DUMMYFUNCTION("""COMPUTED_VALUE"""),"Bengkel Las Bpk. Ari")</f>
        <v>Bengkel Las Bpk. Ari</v>
      </c>
      <c r="U2192" s="215">
        <f>IFERROR(__xludf.DUMMYFUNCTION("""COMPUTED_VALUE"""),46030.62101851852)</f>
        <v>46030.62102</v>
      </c>
      <c r="V2192" s="211" t="str">
        <f>IFERROR(__xludf.DUMMYFUNCTION("""COMPUTED_VALUE"""),"Sumber Kembar, Wonodadi, Kec. Kutorejo, Kabupaten Mojokerto, Jawa Timur")</f>
        <v>Sumber Kembar, Wonodadi, Kec. Kutorejo, Kabupaten Mojokerto, Jawa Timur</v>
      </c>
      <c r="W2192" s="211" t="str">
        <f>IFERROR(__xludf.DUMMYFUNCTION("""COMPUTED_VALUE"""),"IN")</f>
        <v>IN</v>
      </c>
      <c r="X2192" s="211"/>
    </row>
    <row r="2193">
      <c r="A2193" s="210" t="str">
        <f>IFERROR(__xludf.DUMMYFUNCTION("""COMPUTED_VALUE"""),"1250748")</f>
        <v>1250748</v>
      </c>
      <c r="B2193" s="210" t="str">
        <f>IFERROR(__xludf.DUMMYFUNCTION("""COMPUTED_VALUE"""),"1250748")</f>
        <v>1250748</v>
      </c>
      <c r="C2193" s="213">
        <f>IFERROR(__xludf.DUMMYFUNCTION("""COMPUTED_VALUE"""),45960.51168981481)</f>
        <v>45960.51169</v>
      </c>
      <c r="D2193" s="211" t="str">
        <f>IFERROR(__xludf.DUMMYFUNCTION("""COMPUTED_VALUE"""),"e968afef")</f>
        <v>e968afef</v>
      </c>
      <c r="E2193" s="211" t="str">
        <f>IFERROR(__xludf.DUMMYFUNCTION("""COMPUTED_VALUE"""),"Bpk. Agus")</f>
        <v>Bpk. Agus</v>
      </c>
      <c r="F2193" s="211" t="str">
        <f>IFERROR(__xludf.DUMMYFUNCTION("""COMPUTED_VALUE"""),"8bdbe149")</f>
        <v>8bdbe149</v>
      </c>
      <c r="G2193" s="211" t="str">
        <f>IFERROR(__xludf.DUMMYFUNCTION("""COMPUTED_VALUE"""),"Oksigen 6m3")</f>
        <v>Oksigen 6m3</v>
      </c>
      <c r="H2193" s="211" t="str">
        <f>IFERROR(__xludf.DUMMYFUNCTION("""COMPUTED_VALUE"""),"IN")</f>
        <v>IN</v>
      </c>
      <c r="I2193" s="211" t="str">
        <f>IFERROR(__xludf.DUMMYFUNCTION("""COMPUTED_VALUE"""),"EMPTY")</f>
        <v>EMPTY</v>
      </c>
      <c r="J2193" s="211">
        <f>IFERROR(__xludf.DUMMYFUNCTION("""COMPUTED_VALUE"""),6.0)</f>
        <v>6</v>
      </c>
      <c r="K2193" s="210" t="str">
        <f>IFERROR(__xludf.DUMMYFUNCTION("""COMPUTED_VALUE"""),"11248 11273 11183 11249 11203 1157")</f>
        <v>11248 11273 11183 11249 11203 1157</v>
      </c>
      <c r="L2193" s="211">
        <f>IFERROR(__xludf.DUMMYFUNCTION("""COMPUTED_VALUE"""),0.0)</f>
        <v>0</v>
      </c>
      <c r="M2193" s="211"/>
      <c r="N2193" s="211"/>
      <c r="O2193" s="211"/>
      <c r="Q2193" s="210" t="str">
        <f>IFERROR(__xludf.DUMMYFUNCTION("""COMPUTED_VALUE"""),"1261054")</f>
        <v>1261054</v>
      </c>
      <c r="R2193" s="210" t="str">
        <f>IFERROR(__xludf.DUMMYFUNCTION("""COMPUTED_VALUE"""),"1261054")</f>
        <v>1261054</v>
      </c>
      <c r="S2193" s="211" t="str">
        <f>IFERROR(__xludf.DUMMYFUNCTION("""COMPUTED_VALUE"""),"ce83e171")</f>
        <v>ce83e171</v>
      </c>
      <c r="T2193" s="211" t="str">
        <f>IFERROR(__xludf.DUMMYFUNCTION("""COMPUTED_VALUE"""),"Bpk. Sulaiman")</f>
        <v>Bpk. Sulaiman</v>
      </c>
      <c r="U2193" s="215">
        <f>IFERROR(__xludf.DUMMYFUNCTION("""COMPUTED_VALUE"""),46030.62163194444)</f>
        <v>46030.62163</v>
      </c>
      <c r="V2193" s="211" t="str">
        <f>IFERROR(__xludf.DUMMYFUNCTION("""COMPUTED_VALUE"""),"Jl. Raya Kramat Temenggung No.43, Kramat, Kramat Temenggung, Kec. Tarik, Kabupaten Sidoarjo, Jawa Timur 61265")</f>
        <v>Jl. Raya Kramat Temenggung No.43, Kramat, Kramat Temenggung, Kec. Tarik, Kabupaten Sidoarjo, Jawa Timur 61265</v>
      </c>
      <c r="W2193" s="211" t="str">
        <f>IFERROR(__xludf.DUMMYFUNCTION("""COMPUTED_VALUE"""),"IN")</f>
        <v>IN</v>
      </c>
      <c r="X2193" s="211"/>
    </row>
    <row r="2194">
      <c r="A2194" s="210" t="str">
        <f>IFERROR(__xludf.DUMMYFUNCTION("""COMPUTED_VALUE"""),"1250741")</f>
        <v>1250741</v>
      </c>
      <c r="B2194" s="210" t="str">
        <f>IFERROR(__xludf.DUMMYFUNCTION("""COMPUTED_VALUE"""),"1250741")</f>
        <v>1250741</v>
      </c>
      <c r="C2194" s="213">
        <f>IFERROR(__xludf.DUMMYFUNCTION("""COMPUTED_VALUE"""),45960.5943287037)</f>
        <v>45960.59433</v>
      </c>
      <c r="D2194" s="211" t="str">
        <f>IFERROR(__xludf.DUMMYFUNCTION("""COMPUTED_VALUE"""),"d78b2eaf")</f>
        <v>d78b2eaf</v>
      </c>
      <c r="E2194" s="211" t="str">
        <f>IFERROR(__xludf.DUMMYFUNCTION("""COMPUTED_VALUE"""),"PT Sinar Indogreen Kencana")</f>
        <v>PT Sinar Indogreen Kencana</v>
      </c>
      <c r="F2194" s="211" t="str">
        <f>IFERROR(__xludf.DUMMYFUNCTION("""COMPUTED_VALUE"""),"be525f3b")</f>
        <v>be525f3b</v>
      </c>
      <c r="G2194" s="211" t="str">
        <f>IFERROR(__xludf.DUMMYFUNCTION("""COMPUTED_VALUE"""),"LPG 12kg")</f>
        <v>LPG 12kg</v>
      </c>
      <c r="H2194" s="211" t="str">
        <f>IFERROR(__xludf.DUMMYFUNCTION("""COMPUTED_VALUE"""),"IN")</f>
        <v>IN</v>
      </c>
      <c r="I2194" s="211" t="str">
        <f>IFERROR(__xludf.DUMMYFUNCTION("""COMPUTED_VALUE"""),"EMPTY")</f>
        <v>EMPTY</v>
      </c>
      <c r="J2194" s="211">
        <f>IFERROR(__xludf.DUMMYFUNCTION("""COMPUTED_VALUE"""),2.0)</f>
        <v>2</v>
      </c>
      <c r="K2194" s="211"/>
      <c r="L2194" s="211">
        <f>IFERROR(__xludf.DUMMYFUNCTION("""COMPUTED_VALUE"""),0.0)</f>
        <v>0</v>
      </c>
      <c r="M2194" s="211"/>
      <c r="N2194" s="211"/>
      <c r="O2194" s="211"/>
      <c r="Q2194" s="210" t="str">
        <f>IFERROR(__xludf.DUMMYFUNCTION("""COMPUTED_VALUE"""),"0126112190")</f>
        <v>0126112190</v>
      </c>
      <c r="R2194" s="210" t="str">
        <f>IFERROR(__xludf.DUMMYFUNCTION("""COMPUTED_VALUE"""),"0126112190")</f>
        <v>0126112190</v>
      </c>
      <c r="S2194" s="211" t="str">
        <f>IFERROR(__xludf.DUMMYFUNCTION("""COMPUTED_VALUE"""),"3b04351a")</f>
        <v>3b04351a</v>
      </c>
      <c r="T2194" s="211" t="str">
        <f>IFERROR(__xludf.DUMMYFUNCTION("""COMPUTED_VALUE"""),"CV Usaha Logam Jaya ( Bpk Putra )")</f>
        <v>CV Usaha Logam Jaya ( Bpk Putra )</v>
      </c>
      <c r="U2194" s="215">
        <f>IFERROR(__xludf.DUMMYFUNCTION("""COMPUTED_VALUE"""),46031.349953703706)</f>
        <v>46031.34995</v>
      </c>
      <c r="V2194" s="211" t="str">
        <f>IFERROR(__xludf.DUMMYFUNCTION("""COMPUTED_VALUE"""),"Jl. Raya Wringinanom, Sidomoro, Pasinan Lemahputih, Kec. Wringinanom, Kabupaten Gresik, Jawa Timur 61176")</f>
        <v>Jl. Raya Wringinanom, Sidomoro, Pasinan Lemahputih, Kec. Wringinanom, Kabupaten Gresik, Jawa Timur 61176</v>
      </c>
      <c r="W2194" s="211" t="str">
        <f>IFERROR(__xludf.DUMMYFUNCTION("""COMPUTED_VALUE"""),"OUT")</f>
        <v>OUT</v>
      </c>
      <c r="X2194" s="211"/>
    </row>
    <row r="2195">
      <c r="A2195" s="210" t="str">
        <f>IFERROR(__xludf.DUMMYFUNCTION("""COMPUTED_VALUE"""),"1250719")</f>
        <v>1250719</v>
      </c>
      <c r="B2195" s="210" t="str">
        <f>IFERROR(__xludf.DUMMYFUNCTION("""COMPUTED_VALUE"""),"1250719")</f>
        <v>1250719</v>
      </c>
      <c r="C2195" s="213">
        <f>IFERROR(__xludf.DUMMYFUNCTION("""COMPUTED_VALUE"""),45960.61620370371)</f>
        <v>45960.6162</v>
      </c>
      <c r="D2195" s="211" t="str">
        <f>IFERROR(__xludf.DUMMYFUNCTION("""COMPUTED_VALUE"""),"ce83e171")</f>
        <v>ce83e171</v>
      </c>
      <c r="E2195" s="211" t="str">
        <f>IFERROR(__xludf.DUMMYFUNCTION("""COMPUTED_VALUE"""),"Bpk. Sulaiman")</f>
        <v>Bpk. Sulaiman</v>
      </c>
      <c r="F2195" s="211" t="str">
        <f>IFERROR(__xludf.DUMMYFUNCTION("""COMPUTED_VALUE"""),"f6aab7a9")</f>
        <v>f6aab7a9</v>
      </c>
      <c r="G2195" s="211" t="str">
        <f>IFERROR(__xludf.DUMMYFUNCTION("""COMPUTED_VALUE"""),"Oksigen 6m3 MR")</f>
        <v>Oksigen 6m3 MR</v>
      </c>
      <c r="H2195" s="211" t="str">
        <f>IFERROR(__xludf.DUMMYFUNCTION("""COMPUTED_VALUE"""),"IN")</f>
        <v>IN</v>
      </c>
      <c r="I2195" s="211" t="str">
        <f>IFERROR(__xludf.DUMMYFUNCTION("""COMPUTED_VALUE"""),"EMPTY")</f>
        <v>EMPTY</v>
      </c>
      <c r="J2195" s="211">
        <f>IFERROR(__xludf.DUMMYFUNCTION("""COMPUTED_VALUE"""),1.0)</f>
        <v>1</v>
      </c>
      <c r="K2195" s="210" t="str">
        <f>IFERROR(__xludf.DUMMYFUNCTION("""COMPUTED_VALUE"""),"75")</f>
        <v>75</v>
      </c>
      <c r="L2195" s="211">
        <f>IFERROR(__xludf.DUMMYFUNCTION("""COMPUTED_VALUE"""),0.0)</f>
        <v>0</v>
      </c>
      <c r="M2195" s="211"/>
      <c r="N2195" s="211"/>
      <c r="O2195" s="211"/>
      <c r="Q2195" s="210" t="str">
        <f>IFERROR(__xludf.DUMMYFUNCTION("""COMPUTED_VALUE"""),"0126132195")</f>
        <v>0126132195</v>
      </c>
      <c r="R2195" s="210" t="str">
        <f>IFERROR(__xludf.DUMMYFUNCTION("""COMPUTED_VALUE"""),"0126132195")</f>
        <v>0126132195</v>
      </c>
      <c r="S2195" s="211" t="str">
        <f>IFERROR(__xludf.DUMMYFUNCTION("""COMPUTED_VALUE"""),"eec2e801")</f>
        <v>eec2e801</v>
      </c>
      <c r="T2195" s="211" t="str">
        <f>IFERROR(__xludf.DUMMYFUNCTION("""COMPUTED_VALUE"""),"Mitra Wood Sejahtera")</f>
        <v>Mitra Wood Sejahtera</v>
      </c>
      <c r="U2195" s="215">
        <f>IFERROR(__xludf.DUMMYFUNCTION("""COMPUTED_VALUE"""),46031.37774305556)</f>
        <v>46031.37774</v>
      </c>
      <c r="V2195" s="211" t="str">
        <f>IFERROR(__xludf.DUMMYFUNCTION("""COMPUTED_VALUE"""),"Jl.cungkling, Jl. Tanggungan, Nanom Kidul, Lebaniwaras, Kec. Wringinanom, Kabupaten Gresik, Jawa Timur 61176")</f>
        <v>Jl.cungkling, Jl. Tanggungan, Nanom Kidul, Lebaniwaras, Kec. Wringinanom, Kabupaten Gresik, Jawa Timur 61176</v>
      </c>
      <c r="W2195" s="211" t="str">
        <f>IFERROR(__xludf.DUMMYFUNCTION("""COMPUTED_VALUE"""),"OUT")</f>
        <v>OUT</v>
      </c>
      <c r="X2195" s="211"/>
    </row>
    <row r="2196">
      <c r="A2196" s="210" t="str">
        <f>IFERROR(__xludf.DUMMYFUNCTION("""COMPUTED_VALUE"""),"1250719")</f>
        <v>1250719</v>
      </c>
      <c r="B2196" s="210" t="str">
        <f>IFERROR(__xludf.DUMMYFUNCTION("""COMPUTED_VALUE"""),"1250719")</f>
        <v>1250719</v>
      </c>
      <c r="C2196" s="213">
        <f>IFERROR(__xludf.DUMMYFUNCTION("""COMPUTED_VALUE"""),45960.61620370371)</f>
        <v>45960.6162</v>
      </c>
      <c r="D2196" s="211" t="str">
        <f>IFERROR(__xludf.DUMMYFUNCTION("""COMPUTED_VALUE"""),"ce83e171")</f>
        <v>ce83e171</v>
      </c>
      <c r="E2196" s="211" t="str">
        <f>IFERROR(__xludf.DUMMYFUNCTION("""COMPUTED_VALUE"""),"Bpk. Sulaiman")</f>
        <v>Bpk. Sulaiman</v>
      </c>
      <c r="F2196" s="211" t="str">
        <f>IFERROR(__xludf.DUMMYFUNCTION("""COMPUTED_VALUE"""),"7d2764f1")</f>
        <v>7d2764f1</v>
      </c>
      <c r="G2196" s="211" t="str">
        <f>IFERROR(__xludf.DUMMYFUNCTION("""COMPUTED_VALUE"""),"Oksigen 7m3")</f>
        <v>Oksigen 7m3</v>
      </c>
      <c r="H2196" s="211" t="str">
        <f>IFERROR(__xludf.DUMMYFUNCTION("""COMPUTED_VALUE"""),"IN")</f>
        <v>IN</v>
      </c>
      <c r="I2196" s="211" t="str">
        <f>IFERROR(__xludf.DUMMYFUNCTION("""COMPUTED_VALUE"""),"EMPTY")</f>
        <v>EMPTY</v>
      </c>
      <c r="J2196" s="211">
        <f>IFERROR(__xludf.DUMMYFUNCTION("""COMPUTED_VALUE"""),7.0)</f>
        <v>7</v>
      </c>
      <c r="K2196" s="210" t="str">
        <f>IFERROR(__xludf.DUMMYFUNCTION("""COMPUTED_VALUE"""),"11158 11291 11172 11152 11167 11154 11174")</f>
        <v>11158 11291 11172 11152 11167 11154 11174</v>
      </c>
      <c r="L2196" s="211">
        <f>IFERROR(__xludf.DUMMYFUNCTION("""COMPUTED_VALUE"""),0.0)</f>
        <v>0</v>
      </c>
      <c r="M2196" s="211"/>
      <c r="N2196" s="211"/>
      <c r="O2196" s="211"/>
      <c r="Q2196" s="210" t="str">
        <f>IFERROR(__xludf.DUMMYFUNCTION("""COMPUTED_VALUE"""),"0126432196")</f>
        <v>0126432196</v>
      </c>
      <c r="R2196" s="210" t="str">
        <f>IFERROR(__xludf.DUMMYFUNCTION("""COMPUTED_VALUE"""),"0126432196")</f>
        <v>0126432196</v>
      </c>
      <c r="S2196" s="211" t="str">
        <f>IFERROR(__xludf.DUMMYFUNCTION("""COMPUTED_VALUE"""),"01158be1")</f>
        <v>01158be1</v>
      </c>
      <c r="T2196" s="211" t="str">
        <f>IFERROR(__xludf.DUMMYFUNCTION("""COMPUTED_VALUE"""),"GYF")</f>
        <v>GYF</v>
      </c>
      <c r="U2196" s="215">
        <f>IFERROR(__xludf.DUMMYFUNCTION("""COMPUTED_VALUE"""),46031.47510416667)</f>
        <v>46031.4751</v>
      </c>
      <c r="V2196" s="211" t="str">
        <f>IFERROR(__xludf.DUMMYFUNCTION("""COMPUTED_VALUE"""),"Kangkungan, Lengkong, Kec. Mojoanyar, Kabupaten Mojokerto, Jawa Timur")</f>
        <v>Kangkungan, Lengkong, Kec. Mojoanyar, Kabupaten Mojokerto, Jawa Timur</v>
      </c>
      <c r="W2196" s="211" t="str">
        <f>IFERROR(__xludf.DUMMYFUNCTION("""COMPUTED_VALUE"""),"OUT")</f>
        <v>OUT</v>
      </c>
      <c r="X2196" s="211"/>
    </row>
    <row r="2197">
      <c r="A2197" s="210" t="str">
        <f>IFERROR(__xludf.DUMMYFUNCTION("""COMPUTED_VALUE"""),"1025181569")</f>
        <v>1025181569</v>
      </c>
      <c r="B2197" s="210" t="str">
        <f>IFERROR(__xludf.DUMMYFUNCTION("""COMPUTED_VALUE"""),"1025181569")</f>
        <v>1025181569</v>
      </c>
      <c r="C2197" s="213">
        <f>IFERROR(__xludf.DUMMYFUNCTION("""COMPUTED_VALUE"""),45961.392430555556)</f>
        <v>45961.39243</v>
      </c>
      <c r="D2197" s="211" t="str">
        <f>IFERROR(__xludf.DUMMYFUNCTION("""COMPUTED_VALUE"""),"3bcd7fe6")</f>
        <v>3bcd7fe6</v>
      </c>
      <c r="E2197" s="211" t="str">
        <f>IFERROR(__xludf.DUMMYFUNCTION("""COMPUTED_VALUE"""),"Bpk. Alvin (LB Group)")</f>
        <v>Bpk. Alvin (LB Group)</v>
      </c>
      <c r="F2197" s="211" t="str">
        <f>IFERROR(__xludf.DUMMYFUNCTION("""COMPUTED_VALUE"""),"f6aab7a9")</f>
        <v>f6aab7a9</v>
      </c>
      <c r="G2197" s="211" t="str">
        <f>IFERROR(__xludf.DUMMYFUNCTION("""COMPUTED_VALUE"""),"Oksigen 6m3 MR")</f>
        <v>Oksigen 6m3 MR</v>
      </c>
      <c r="H2197" s="211" t="str">
        <f>IFERROR(__xludf.DUMMYFUNCTION("""COMPUTED_VALUE"""),"OUT")</f>
        <v>OUT</v>
      </c>
      <c r="I2197" s="211" t="str">
        <f>IFERROR(__xludf.DUMMYFUNCTION("""COMPUTED_VALUE"""),"NORMAL")</f>
        <v>NORMAL</v>
      </c>
      <c r="J2197" s="211">
        <f>IFERROR(__xludf.DUMMYFUNCTION("""COMPUTED_VALUE"""),2.0)</f>
        <v>2</v>
      </c>
      <c r="K2197" s="210" t="str">
        <f>IFERROR(__xludf.DUMMYFUNCTION("""COMPUTED_VALUE"""),"01 02")</f>
        <v>01 02</v>
      </c>
      <c r="L2197" s="211">
        <f>IFERROR(__xludf.DUMMYFUNCTION("""COMPUTED_VALUE"""),50000.0)</f>
        <v>50000</v>
      </c>
      <c r="M2197" s="211"/>
      <c r="N2197" s="211"/>
      <c r="O2197" s="211"/>
      <c r="Q2197" s="210" t="str">
        <f>IFERROR(__xludf.DUMMYFUNCTION("""COMPUTED_VALUE"""),"0126692197")</f>
        <v>0126692197</v>
      </c>
      <c r="R2197" s="210" t="str">
        <f>IFERROR(__xludf.DUMMYFUNCTION("""COMPUTED_VALUE"""),"0126692197")</f>
        <v>0126692197</v>
      </c>
      <c r="S2197" s="211" t="str">
        <f>IFERROR(__xludf.DUMMYFUNCTION("""COMPUTED_VALUE"""),"b2b5f2c5")</f>
        <v>b2b5f2c5</v>
      </c>
      <c r="T2197" s="211" t="str">
        <f>IFERROR(__xludf.DUMMYFUNCTION("""COMPUTED_VALUE"""),"Bengkel Las Bpk. Ari")</f>
        <v>Bengkel Las Bpk. Ari</v>
      </c>
      <c r="U2197" s="215">
        <f>IFERROR(__xludf.DUMMYFUNCTION("""COMPUTED_VALUE"""),46031.476331018515)</f>
        <v>46031.47633</v>
      </c>
      <c r="V2197" s="211" t="str">
        <f>IFERROR(__xludf.DUMMYFUNCTION("""COMPUTED_VALUE"""),"Sumber Kembar, Wonodadi, Kec. Kutorejo, Kabupaten Mojokerto, Jawa Timur")</f>
        <v>Sumber Kembar, Wonodadi, Kec. Kutorejo, Kabupaten Mojokerto, Jawa Timur</v>
      </c>
      <c r="W2197" s="211" t="str">
        <f>IFERROR(__xludf.DUMMYFUNCTION("""COMPUTED_VALUE"""),"OUT")</f>
        <v>OUT</v>
      </c>
      <c r="X2197" s="211"/>
    </row>
    <row r="2198">
      <c r="A2198" s="210" t="str">
        <f>IFERROR(__xludf.DUMMYFUNCTION("""COMPUTED_VALUE"""),"1025301573")</f>
        <v>1025301573</v>
      </c>
      <c r="B2198" s="210" t="str">
        <f>IFERROR(__xludf.DUMMYFUNCTION("""COMPUTED_VALUE"""),"1025301573")</f>
        <v>1025301573</v>
      </c>
      <c r="C2198" s="213">
        <f>IFERROR(__xludf.DUMMYFUNCTION("""COMPUTED_VALUE"""),45961.394594907404)</f>
        <v>45961.39459</v>
      </c>
      <c r="D2198" s="211" t="str">
        <f>IFERROR(__xludf.DUMMYFUNCTION("""COMPUTED_VALUE"""),"b2b5f2c5")</f>
        <v>b2b5f2c5</v>
      </c>
      <c r="E2198" s="211" t="str">
        <f>IFERROR(__xludf.DUMMYFUNCTION("""COMPUTED_VALUE"""),"Bengkel Las Bpk. Ari")</f>
        <v>Bengkel Las Bpk. Ari</v>
      </c>
      <c r="F2198" s="211" t="str">
        <f>IFERROR(__xludf.DUMMYFUNCTION("""COMPUTED_VALUE"""),"ef306e54")</f>
        <v>ef306e54</v>
      </c>
      <c r="G2198" s="211" t="str">
        <f>IFERROR(__xludf.DUMMYFUNCTION("""COMPUTED_VALUE"""),"Karbondioksida")</f>
        <v>Karbondioksida</v>
      </c>
      <c r="H2198" s="211" t="str">
        <f>IFERROR(__xludf.DUMMYFUNCTION("""COMPUTED_VALUE"""),"OUT")</f>
        <v>OUT</v>
      </c>
      <c r="I2198" s="211" t="str">
        <f>IFERROR(__xludf.DUMMYFUNCTION("""COMPUTED_VALUE"""),"NORMAL")</f>
        <v>NORMAL</v>
      </c>
      <c r="J2198" s="211">
        <f>IFERROR(__xludf.DUMMYFUNCTION("""COMPUTED_VALUE"""),5.0)</f>
        <v>5</v>
      </c>
      <c r="K2198" s="210" t="str">
        <f>IFERROR(__xludf.DUMMYFUNCTION("""COMPUTED_VALUE"""),"13008 13028 13029 13038 13039")</f>
        <v>13008 13028 13029 13038 13039</v>
      </c>
      <c r="L2198" s="211">
        <f>IFERROR(__xludf.DUMMYFUNCTION("""COMPUTED_VALUE"""),170000.0)</f>
        <v>170000</v>
      </c>
      <c r="M2198" s="211"/>
      <c r="N2198" s="211"/>
      <c r="O2198" s="211"/>
      <c r="Q2198" s="210" t="str">
        <f>IFERROR(__xludf.DUMMYFUNCTION("""COMPUTED_VALUE"""),"1261069")</f>
        <v>1261069</v>
      </c>
      <c r="R2198" s="210" t="str">
        <f>IFERROR(__xludf.DUMMYFUNCTION("""COMPUTED_VALUE"""),"1261069")</f>
        <v>1261069</v>
      </c>
      <c r="S2198" s="211" t="str">
        <f>IFERROR(__xludf.DUMMYFUNCTION("""COMPUTED_VALUE"""),"3b04351a")</f>
        <v>3b04351a</v>
      </c>
      <c r="T2198" s="211" t="str">
        <f>IFERROR(__xludf.DUMMYFUNCTION("""COMPUTED_VALUE"""),"CV Usaha Logam Jaya ( Bpk Putra )")</f>
        <v>CV Usaha Logam Jaya ( Bpk Putra )</v>
      </c>
      <c r="U2198" s="215">
        <f>IFERROR(__xludf.DUMMYFUNCTION("""COMPUTED_VALUE"""),46031.54002314815)</f>
        <v>46031.54002</v>
      </c>
      <c r="V2198" s="211" t="str">
        <f>IFERROR(__xludf.DUMMYFUNCTION("""COMPUTED_VALUE"""),"Jl. Raya Wringinanom, Sidomoro, Pasinan Lemahputih, Kec. Wringinanom, Kabupaten Gresik, Jawa Timur 61176")</f>
        <v>Jl. Raya Wringinanom, Sidomoro, Pasinan Lemahputih, Kec. Wringinanom, Kabupaten Gresik, Jawa Timur 61176</v>
      </c>
      <c r="W2198" s="211" t="str">
        <f>IFERROR(__xludf.DUMMYFUNCTION("""COMPUTED_VALUE"""),"IN")</f>
        <v>IN</v>
      </c>
      <c r="X2198" s="211"/>
    </row>
    <row r="2199">
      <c r="A2199" s="210" t="str">
        <f>IFERROR(__xludf.DUMMYFUNCTION("""COMPUTED_VALUE"""),"1025301573")</f>
        <v>1025301573</v>
      </c>
      <c r="B2199" s="210" t="str">
        <f>IFERROR(__xludf.DUMMYFUNCTION("""COMPUTED_VALUE"""),"1025301573")</f>
        <v>1025301573</v>
      </c>
      <c r="C2199" s="213">
        <f>IFERROR(__xludf.DUMMYFUNCTION("""COMPUTED_VALUE"""),45961.394594907404)</f>
        <v>45961.39459</v>
      </c>
      <c r="D2199" s="211" t="str">
        <f>IFERROR(__xludf.DUMMYFUNCTION("""COMPUTED_VALUE"""),"b2b5f2c5")</f>
        <v>b2b5f2c5</v>
      </c>
      <c r="E2199" s="211" t="str">
        <f>IFERROR(__xludf.DUMMYFUNCTION("""COMPUTED_VALUE"""),"Bengkel Las Bpk. Ari")</f>
        <v>Bengkel Las Bpk. Ari</v>
      </c>
      <c r="F2199" s="211" t="str">
        <f>IFERROR(__xludf.DUMMYFUNCTION("""COMPUTED_VALUE"""),"8bdbe149")</f>
        <v>8bdbe149</v>
      </c>
      <c r="G2199" s="211" t="str">
        <f>IFERROR(__xludf.DUMMYFUNCTION("""COMPUTED_VALUE"""),"Oksigen 6m3")</f>
        <v>Oksigen 6m3</v>
      </c>
      <c r="H2199" s="211" t="str">
        <f>IFERROR(__xludf.DUMMYFUNCTION("""COMPUTED_VALUE"""),"OUT")</f>
        <v>OUT</v>
      </c>
      <c r="I2199" s="211" t="str">
        <f>IFERROR(__xludf.DUMMYFUNCTION("""COMPUTED_VALUE"""),"NORMAL")</f>
        <v>NORMAL</v>
      </c>
      <c r="J2199" s="211">
        <f>IFERROR(__xludf.DUMMYFUNCTION("""COMPUTED_VALUE"""),7.0)</f>
        <v>7</v>
      </c>
      <c r="K2199" s="210" t="str">
        <f>IFERROR(__xludf.DUMMYFUNCTION("""COMPUTED_VALUE"""),"11183 11247 11203 11249 1157 11273 11248")</f>
        <v>11183 11247 11203 11249 1157 11273 11248</v>
      </c>
      <c r="L2199" s="211">
        <f>IFERROR(__xludf.DUMMYFUNCTION("""COMPUTED_VALUE"""),60000.0)</f>
        <v>60000</v>
      </c>
      <c r="M2199" s="211"/>
      <c r="N2199" s="211"/>
      <c r="O2199" s="211"/>
      <c r="Q2199" s="210" t="str">
        <f>IFERROR(__xludf.DUMMYFUNCTION("""COMPUTED_VALUE"""),"1261056")</f>
        <v>1261056</v>
      </c>
      <c r="R2199" s="210" t="str">
        <f>IFERROR(__xludf.DUMMYFUNCTION("""COMPUTED_VALUE"""),"1261056")</f>
        <v>1261056</v>
      </c>
      <c r="S2199" s="211" t="str">
        <f>IFERROR(__xludf.DUMMYFUNCTION("""COMPUTED_VALUE"""),"b2b5f2c5")</f>
        <v>b2b5f2c5</v>
      </c>
      <c r="T2199" s="211" t="str">
        <f>IFERROR(__xludf.DUMMYFUNCTION("""COMPUTED_VALUE"""),"Bengkel Las Bpk. Ari")</f>
        <v>Bengkel Las Bpk. Ari</v>
      </c>
      <c r="U2199" s="215">
        <f>IFERROR(__xludf.DUMMYFUNCTION("""COMPUTED_VALUE"""),46031.647511574076)</f>
        <v>46031.64751</v>
      </c>
      <c r="V2199" s="211" t="str">
        <f>IFERROR(__xludf.DUMMYFUNCTION("""COMPUTED_VALUE"""),"Sumber Kembar, Wonodadi, Kec. Kutorejo, Kabupaten Mojokerto, Jawa Timur")</f>
        <v>Sumber Kembar, Wonodadi, Kec. Kutorejo, Kabupaten Mojokerto, Jawa Timur</v>
      </c>
      <c r="W2199" s="211" t="str">
        <f>IFERROR(__xludf.DUMMYFUNCTION("""COMPUTED_VALUE"""),"IN")</f>
        <v>IN</v>
      </c>
      <c r="X2199" s="211"/>
    </row>
    <row r="2200">
      <c r="A2200" s="210" t="str">
        <f>IFERROR(__xludf.DUMMYFUNCTION("""COMPUTED_VALUE"""),"1025301574")</f>
        <v>1025301574</v>
      </c>
      <c r="B2200" s="210" t="str">
        <f>IFERROR(__xludf.DUMMYFUNCTION("""COMPUTED_VALUE"""),"1025301574")</f>
        <v>1025301574</v>
      </c>
      <c r="C2200" s="213">
        <f>IFERROR(__xludf.DUMMYFUNCTION("""COMPUTED_VALUE"""),45961.39618055556)</f>
        <v>45961.39618</v>
      </c>
      <c r="D2200" s="211" t="str">
        <f>IFERROR(__xludf.DUMMYFUNCTION("""COMPUTED_VALUE"""),"ce83e171")</f>
        <v>ce83e171</v>
      </c>
      <c r="E2200" s="211" t="str">
        <f>IFERROR(__xludf.DUMMYFUNCTION("""COMPUTED_VALUE"""),"Bpk. Sulaiman")</f>
        <v>Bpk. Sulaiman</v>
      </c>
      <c r="F2200" s="211" t="str">
        <f>IFERROR(__xludf.DUMMYFUNCTION("""COMPUTED_VALUE"""),"7d2764f1")</f>
        <v>7d2764f1</v>
      </c>
      <c r="G2200" s="211" t="str">
        <f>IFERROR(__xludf.DUMMYFUNCTION("""COMPUTED_VALUE"""),"Oksigen 7m3")</f>
        <v>Oksigen 7m3</v>
      </c>
      <c r="H2200" s="211" t="str">
        <f>IFERROR(__xludf.DUMMYFUNCTION("""COMPUTED_VALUE"""),"OUT")</f>
        <v>OUT</v>
      </c>
      <c r="I2200" s="211" t="str">
        <f>IFERROR(__xludf.DUMMYFUNCTION("""COMPUTED_VALUE"""),"NORMAL")</f>
        <v>NORMAL</v>
      </c>
      <c r="J2200" s="211">
        <f>IFERROR(__xludf.DUMMYFUNCTION("""COMPUTED_VALUE"""),4.0)</f>
        <v>4</v>
      </c>
      <c r="K2200" s="210" t="str">
        <f>IFERROR(__xludf.DUMMYFUNCTION("""COMPUTED_VALUE"""),"11158 11172 11154 11174")</f>
        <v>11158 11172 11154 11174</v>
      </c>
      <c r="L2200" s="211">
        <f>IFERROR(__xludf.DUMMYFUNCTION("""COMPUTED_VALUE"""),55000.0)</f>
        <v>55000</v>
      </c>
      <c r="M2200" s="211"/>
      <c r="N2200" s="211"/>
      <c r="O2200" s="211"/>
      <c r="Q2200" s="210" t="str">
        <f>IFERROR(__xludf.DUMMYFUNCTION("""COMPUTED_VALUE"""),"1261055")</f>
        <v>1261055</v>
      </c>
      <c r="R2200" s="210" t="str">
        <f>IFERROR(__xludf.DUMMYFUNCTION("""COMPUTED_VALUE"""),"1261055")</f>
        <v>1261055</v>
      </c>
      <c r="S2200" s="211" t="str">
        <f>IFERROR(__xludf.DUMMYFUNCTION("""COMPUTED_VALUE"""),"01158be1")</f>
        <v>01158be1</v>
      </c>
      <c r="T2200" s="211" t="str">
        <f>IFERROR(__xludf.DUMMYFUNCTION("""COMPUTED_VALUE"""),"GYF")</f>
        <v>GYF</v>
      </c>
      <c r="U2200" s="215">
        <f>IFERROR(__xludf.DUMMYFUNCTION("""COMPUTED_VALUE"""),46031.64826388889)</f>
        <v>46031.64826</v>
      </c>
      <c r="V2200" s="211" t="str">
        <f>IFERROR(__xludf.DUMMYFUNCTION("""COMPUTED_VALUE"""),"Kangkungan, Lengkong, Kec. Mojoanyar, Kabupaten Mojokerto, Jawa Timur")</f>
        <v>Kangkungan, Lengkong, Kec. Mojoanyar, Kabupaten Mojokerto, Jawa Timur</v>
      </c>
      <c r="W2200" s="211" t="str">
        <f>IFERROR(__xludf.DUMMYFUNCTION("""COMPUTED_VALUE"""),"IN")</f>
        <v>IN</v>
      </c>
      <c r="X2200" s="211"/>
    </row>
    <row r="2201">
      <c r="A2201" s="210" t="str">
        <f>IFERROR(__xludf.DUMMYFUNCTION("""COMPUTED_VALUE"""),"1025301574")</f>
        <v>1025301574</v>
      </c>
      <c r="B2201" s="210" t="str">
        <f>IFERROR(__xludf.DUMMYFUNCTION("""COMPUTED_VALUE"""),"1025301574")</f>
        <v>1025301574</v>
      </c>
      <c r="C2201" s="213">
        <f>IFERROR(__xludf.DUMMYFUNCTION("""COMPUTED_VALUE"""),45961.39618055556)</f>
        <v>45961.39618</v>
      </c>
      <c r="D2201" s="211" t="str">
        <f>IFERROR(__xludf.DUMMYFUNCTION("""COMPUTED_VALUE"""),"ce83e171")</f>
        <v>ce83e171</v>
      </c>
      <c r="E2201" s="211" t="str">
        <f>IFERROR(__xludf.DUMMYFUNCTION("""COMPUTED_VALUE"""),"Bpk. Sulaiman")</f>
        <v>Bpk. Sulaiman</v>
      </c>
      <c r="F2201" s="211" t="str">
        <f>IFERROR(__xludf.DUMMYFUNCTION("""COMPUTED_VALUE"""),"f6aab7a9")</f>
        <v>f6aab7a9</v>
      </c>
      <c r="G2201" s="211" t="str">
        <f>IFERROR(__xludf.DUMMYFUNCTION("""COMPUTED_VALUE"""),"Oksigen 6m3 MR")</f>
        <v>Oksigen 6m3 MR</v>
      </c>
      <c r="H2201" s="211" t="str">
        <f>IFERROR(__xludf.DUMMYFUNCTION("""COMPUTED_VALUE"""),"OUT")</f>
        <v>OUT</v>
      </c>
      <c r="I2201" s="211" t="str">
        <f>IFERROR(__xludf.DUMMYFUNCTION("""COMPUTED_VALUE"""),"NORMAL")</f>
        <v>NORMAL</v>
      </c>
      <c r="J2201" s="211">
        <f>IFERROR(__xludf.DUMMYFUNCTION("""COMPUTED_VALUE"""),1.0)</f>
        <v>1</v>
      </c>
      <c r="K2201" s="210" t="str">
        <f>IFERROR(__xludf.DUMMYFUNCTION("""COMPUTED_VALUE"""),"75")</f>
        <v>75</v>
      </c>
      <c r="L2201" s="211">
        <f>IFERROR(__xludf.DUMMYFUNCTION("""COMPUTED_VALUE"""),55000.0)</f>
        <v>55000</v>
      </c>
      <c r="M2201" s="211"/>
      <c r="N2201" s="211"/>
      <c r="O2201" s="211"/>
      <c r="Q2201" s="210" t="str">
        <f>IFERROR(__xludf.DUMMYFUNCTION("""COMPUTED_VALUE"""),"012662198")</f>
        <v>012662198</v>
      </c>
      <c r="R2201" s="210" t="str">
        <f>IFERROR(__xludf.DUMMYFUNCTION("""COMPUTED_VALUE"""),"012662198")</f>
        <v>012662198</v>
      </c>
      <c r="S2201" s="211" t="str">
        <f>IFERROR(__xludf.DUMMYFUNCTION("""COMPUTED_VALUE"""),"45d814b4")</f>
        <v>45d814b4</v>
      </c>
      <c r="T2201" s="211" t="str">
        <f>IFERROR(__xludf.DUMMYFUNCTION("""COMPUTED_VALUE"""),"Bpk. Joko (Ponokawan)")</f>
        <v>Bpk. Joko (Ponokawan)</v>
      </c>
      <c r="U2201" s="215">
        <f>IFERROR(__xludf.DUMMYFUNCTION("""COMPUTED_VALUE"""),46032.41643518519)</f>
        <v>46032.41644</v>
      </c>
      <c r="V2201" s="211" t="str">
        <f>IFERROR(__xludf.DUMMYFUNCTION("""COMPUTED_VALUE"""),"Ponokawan, Krian")</f>
        <v>Ponokawan, Krian</v>
      </c>
      <c r="W2201" s="211" t="str">
        <f>IFERROR(__xludf.DUMMYFUNCTION("""COMPUTED_VALUE"""),"OUT")</f>
        <v>OUT</v>
      </c>
      <c r="X2201" s="211"/>
    </row>
    <row r="2202">
      <c r="A2202" s="210" t="str">
        <f>IFERROR(__xludf.DUMMYFUNCTION("""COMPUTED_VALUE"""),"1250747")</f>
        <v>1250747</v>
      </c>
      <c r="B2202" s="210" t="str">
        <f>IFERROR(__xludf.DUMMYFUNCTION("""COMPUTED_VALUE"""),"1250747")</f>
        <v>1250747</v>
      </c>
      <c r="C2202" s="213">
        <f>IFERROR(__xludf.DUMMYFUNCTION("""COMPUTED_VALUE"""),45961.489282407405)</f>
        <v>45961.48928</v>
      </c>
      <c r="D2202" s="211" t="str">
        <f>IFERROR(__xludf.DUMMYFUNCTION("""COMPUTED_VALUE"""),"3bcd7fe6")</f>
        <v>3bcd7fe6</v>
      </c>
      <c r="E2202" s="211" t="str">
        <f>IFERROR(__xludf.DUMMYFUNCTION("""COMPUTED_VALUE"""),"Bpk. Alvin (LB Group)")</f>
        <v>Bpk. Alvin (LB Group)</v>
      </c>
      <c r="F2202" s="211" t="str">
        <f>IFERROR(__xludf.DUMMYFUNCTION("""COMPUTED_VALUE"""),"7d2764f1")</f>
        <v>7d2764f1</v>
      </c>
      <c r="G2202" s="211" t="str">
        <f>IFERROR(__xludf.DUMMYFUNCTION("""COMPUTED_VALUE"""),"Oksigen 7m3")</f>
        <v>Oksigen 7m3</v>
      </c>
      <c r="H2202" s="211" t="str">
        <f>IFERROR(__xludf.DUMMYFUNCTION("""COMPUTED_VALUE"""),"IN")</f>
        <v>IN</v>
      </c>
      <c r="I2202" s="211" t="str">
        <f>IFERROR(__xludf.DUMMYFUNCTION("""COMPUTED_VALUE"""),"EMPTY")</f>
        <v>EMPTY</v>
      </c>
      <c r="J2202" s="211">
        <f>IFERROR(__xludf.DUMMYFUNCTION("""COMPUTED_VALUE"""),1.0)</f>
        <v>1</v>
      </c>
      <c r="K2202" s="210" t="str">
        <f>IFERROR(__xludf.DUMMYFUNCTION("""COMPUTED_VALUE"""),"11213")</f>
        <v>11213</v>
      </c>
      <c r="L2202" s="211">
        <f>IFERROR(__xludf.DUMMYFUNCTION("""COMPUTED_VALUE"""),0.0)</f>
        <v>0</v>
      </c>
      <c r="M2202" s="211"/>
      <c r="N2202" s="211"/>
      <c r="O2202" s="211"/>
      <c r="Q2202" s="210" t="str">
        <f>IFERROR(__xludf.DUMMYFUNCTION("""COMPUTED_VALUE"""),"1261071")</f>
        <v>1261071</v>
      </c>
      <c r="R2202" s="210" t="str">
        <f>IFERROR(__xludf.DUMMYFUNCTION("""COMPUTED_VALUE"""),"1261071")</f>
        <v>1261071</v>
      </c>
      <c r="S2202" s="211" t="str">
        <f>IFERROR(__xludf.DUMMYFUNCTION("""COMPUTED_VALUE"""),"45d814b4")</f>
        <v>45d814b4</v>
      </c>
      <c r="T2202" s="211" t="str">
        <f>IFERROR(__xludf.DUMMYFUNCTION("""COMPUTED_VALUE"""),"Bpk. Joko (Ponokawan)")</f>
        <v>Bpk. Joko (Ponokawan)</v>
      </c>
      <c r="U2202" s="215">
        <f>IFERROR(__xludf.DUMMYFUNCTION("""COMPUTED_VALUE"""),46032.49784722222)</f>
        <v>46032.49785</v>
      </c>
      <c r="V2202" s="211" t="str">
        <f>IFERROR(__xludf.DUMMYFUNCTION("""COMPUTED_VALUE"""),"Ponokawan, Krian")</f>
        <v>Ponokawan, Krian</v>
      </c>
      <c r="W2202" s="211" t="str">
        <f>IFERROR(__xludf.DUMMYFUNCTION("""COMPUTED_VALUE"""),"IN")</f>
        <v>IN</v>
      </c>
      <c r="X2202" s="211"/>
    </row>
    <row r="2203">
      <c r="A2203" s="210" t="str">
        <f>IFERROR(__xludf.DUMMYFUNCTION("""COMPUTED_VALUE"""),"1025261569")</f>
        <v>1025261569</v>
      </c>
      <c r="B2203" s="210" t="str">
        <f>IFERROR(__xludf.DUMMYFUNCTION("""COMPUTED_VALUE"""),"1025261569")</f>
        <v>1025261569</v>
      </c>
      <c r="C2203" s="213">
        <f>IFERROR(__xludf.DUMMYFUNCTION("""COMPUTED_VALUE"""),45961.61261574074)</f>
        <v>45961.61262</v>
      </c>
      <c r="D2203" s="211" t="str">
        <f>IFERROR(__xludf.DUMMYFUNCTION("""COMPUTED_VALUE"""),"8f5ebaea")</f>
        <v>8f5ebaea</v>
      </c>
      <c r="E2203" s="211" t="str">
        <f>IFERROR(__xludf.DUMMYFUNCTION("""COMPUTED_VALUE"""),"PT Hua Zong Mesindo")</f>
        <v>PT Hua Zong Mesindo</v>
      </c>
      <c r="F2203" s="211" t="str">
        <f>IFERROR(__xludf.DUMMYFUNCTION("""COMPUTED_VALUE"""),"8bdbe149")</f>
        <v>8bdbe149</v>
      </c>
      <c r="G2203" s="211" t="str">
        <f>IFERROR(__xludf.DUMMYFUNCTION("""COMPUTED_VALUE"""),"Oksigen 6m3")</f>
        <v>Oksigen 6m3</v>
      </c>
      <c r="H2203" s="211" t="str">
        <f>IFERROR(__xludf.DUMMYFUNCTION("""COMPUTED_VALUE"""),"OUT")</f>
        <v>OUT</v>
      </c>
      <c r="I2203" s="211" t="str">
        <f>IFERROR(__xludf.DUMMYFUNCTION("""COMPUTED_VALUE"""),"NORMAL")</f>
        <v>NORMAL</v>
      </c>
      <c r="J2203" s="211">
        <f>IFERROR(__xludf.DUMMYFUNCTION("""COMPUTED_VALUE"""),4.0)</f>
        <v>4</v>
      </c>
      <c r="K2203" s="210" t="str">
        <f>IFERROR(__xludf.DUMMYFUNCTION("""COMPUTED_VALUE"""),"1182 11100 11104 1112")</f>
        <v>1182 11100 11104 1112</v>
      </c>
      <c r="L2203" s="211">
        <f>IFERROR(__xludf.DUMMYFUNCTION("""COMPUTED_VALUE"""),60000.0)</f>
        <v>60000</v>
      </c>
      <c r="M2203" s="211"/>
      <c r="N2203" s="211"/>
      <c r="O2203" s="211"/>
      <c r="Q2203" s="210" t="str">
        <f>IFERROR(__xludf.DUMMYFUNCTION("""COMPUTED_VALUE"""),"1261070")</f>
        <v>1261070</v>
      </c>
      <c r="R2203" s="210" t="str">
        <f>IFERROR(__xludf.DUMMYFUNCTION("""COMPUTED_VALUE"""),"1261070")</f>
        <v>1261070</v>
      </c>
      <c r="S2203" s="211" t="str">
        <f>IFERROR(__xludf.DUMMYFUNCTION("""COMPUTED_VALUE"""),"a0f0ad2d")</f>
        <v>a0f0ad2d</v>
      </c>
      <c r="T2203" s="211" t="str">
        <f>IFERROR(__xludf.DUMMYFUNCTION("""COMPUTED_VALUE"""),"CV. Yulie Jaya")</f>
        <v>CV. Yulie Jaya</v>
      </c>
      <c r="U2203" s="215">
        <f>IFERROR(__xludf.DUMMYFUNCTION("""COMPUTED_VALUE"""),46032.498090277775)</f>
        <v>46032.49809</v>
      </c>
      <c r="V2203" s="211" t="str">
        <f>IFERROR(__xludf.DUMMYFUNCTION("""COMPUTED_VALUE"""),"JJH4+6RV, Badas, Barengkrajan, Kec. Krian, Kabupaten Sidoarjo, Jawa Timur 61262")</f>
        <v>JJH4+6RV, Badas, Barengkrajan, Kec. Krian, Kabupaten Sidoarjo, Jawa Timur 61262</v>
      </c>
      <c r="W2203" s="211" t="str">
        <f>IFERROR(__xludf.DUMMYFUNCTION("""COMPUTED_VALUE"""),"IN")</f>
        <v>IN</v>
      </c>
      <c r="X2203" s="211"/>
    </row>
    <row r="2204">
      <c r="A2204" s="210" t="str">
        <f>IFERROR(__xludf.DUMMYFUNCTION("""COMPUTED_VALUE"""),"1250732")</f>
        <v>1250732</v>
      </c>
      <c r="B2204" s="210" t="str">
        <f>IFERROR(__xludf.DUMMYFUNCTION("""COMPUTED_VALUE"""),"1250732")</f>
        <v>1250732</v>
      </c>
      <c r="C2204" s="213">
        <f>IFERROR(__xludf.DUMMYFUNCTION("""COMPUTED_VALUE"""),45961.614583333336)</f>
        <v>45961.61458</v>
      </c>
      <c r="D2204" s="211" t="str">
        <f>IFERROR(__xludf.DUMMYFUNCTION("""COMPUTED_VALUE"""),"b2b5f2c5")</f>
        <v>b2b5f2c5</v>
      </c>
      <c r="E2204" s="211" t="str">
        <f>IFERROR(__xludf.DUMMYFUNCTION("""COMPUTED_VALUE"""),"Bengkel Las Bpk. Ari")</f>
        <v>Bengkel Las Bpk. Ari</v>
      </c>
      <c r="F2204" s="211" t="str">
        <f>IFERROR(__xludf.DUMMYFUNCTION("""COMPUTED_VALUE"""),"ef306e54")</f>
        <v>ef306e54</v>
      </c>
      <c r="G2204" s="211" t="str">
        <f>IFERROR(__xludf.DUMMYFUNCTION("""COMPUTED_VALUE"""),"Karbondioksida")</f>
        <v>Karbondioksida</v>
      </c>
      <c r="H2204" s="211" t="str">
        <f>IFERROR(__xludf.DUMMYFUNCTION("""COMPUTED_VALUE"""),"IN")</f>
        <v>IN</v>
      </c>
      <c r="I2204" s="211" t="str">
        <f>IFERROR(__xludf.DUMMYFUNCTION("""COMPUTED_VALUE"""),"EMPTY")</f>
        <v>EMPTY</v>
      </c>
      <c r="J2204" s="211">
        <f>IFERROR(__xludf.DUMMYFUNCTION("""COMPUTED_VALUE"""),4.0)</f>
        <v>4</v>
      </c>
      <c r="K2204" s="210" t="str">
        <f>IFERROR(__xludf.DUMMYFUNCTION("""COMPUTED_VALUE"""),"13020 13034 13030 13014")</f>
        <v>13020 13034 13030 13014</v>
      </c>
      <c r="L2204" s="211">
        <f>IFERROR(__xludf.DUMMYFUNCTION("""COMPUTED_VALUE"""),0.0)</f>
        <v>0</v>
      </c>
      <c r="M2204" s="211"/>
      <c r="N2204" s="211"/>
      <c r="O2204" s="211"/>
      <c r="Q2204" s="210" t="str">
        <f>IFERROR(__xludf.DUMMYFUNCTION("""COMPUTED_VALUE"""),"012692202")</f>
        <v>012692202</v>
      </c>
      <c r="R2204" s="210" t="str">
        <f>IFERROR(__xludf.DUMMYFUNCTION("""COMPUTED_VALUE"""),"012692202")</f>
        <v>012692202</v>
      </c>
      <c r="S2204" s="211" t="str">
        <f>IFERROR(__xludf.DUMMYFUNCTION("""COMPUTED_VALUE"""),"17a8e612")</f>
        <v>17a8e612</v>
      </c>
      <c r="T2204" s="211" t="str">
        <f>IFERROR(__xludf.DUMMYFUNCTION("""COMPUTED_VALUE"""),"Flashtech Machinery")</f>
        <v>Flashtech Machinery</v>
      </c>
      <c r="U2204" s="215">
        <f>IFERROR(__xludf.DUMMYFUNCTION("""COMPUTED_VALUE"""),46032.50361111111)</f>
        <v>46032.50361</v>
      </c>
      <c r="V2204" s="211" t="str">
        <f>IFERROR(__xludf.DUMMYFUNCTION("""COMPUTED_VALUE"""),"Pergudangan Point Center blok A no.4, Kemangsen")</f>
        <v>Pergudangan Point Center blok A no.4, Kemangsen</v>
      </c>
      <c r="W2204" s="211" t="str">
        <f>IFERROR(__xludf.DUMMYFUNCTION("""COMPUTED_VALUE"""),"OUT")</f>
        <v>OUT</v>
      </c>
      <c r="X2204" s="211"/>
    </row>
    <row r="2205">
      <c r="A2205" s="211"/>
      <c r="B2205" s="211"/>
      <c r="C2205" s="211"/>
      <c r="D2205" s="211"/>
      <c r="E2205" s="211"/>
      <c r="F2205" s="211"/>
      <c r="G2205" s="211"/>
      <c r="H2205" s="211"/>
      <c r="I2205" s="211"/>
      <c r="J2205" s="211"/>
      <c r="K2205" s="211"/>
      <c r="L2205" s="211"/>
      <c r="M2205" s="211"/>
      <c r="N2205" s="211"/>
      <c r="O2205" s="211"/>
      <c r="Q2205" s="210" t="str">
        <f>IFERROR(__xludf.DUMMYFUNCTION("""COMPUTED_VALUE"""),"0126372205")</f>
        <v>0126372205</v>
      </c>
      <c r="R2205" s="210" t="str">
        <f>IFERROR(__xludf.DUMMYFUNCTION("""COMPUTED_VALUE"""),"0126372205")</f>
        <v>0126372205</v>
      </c>
      <c r="S2205" s="211" t="str">
        <f>IFERROR(__xludf.DUMMYFUNCTION("""COMPUTED_VALUE"""),"ec231cc9")</f>
        <v>ec231cc9</v>
      </c>
      <c r="T2205" s="211" t="str">
        <f>IFERROR(__xludf.DUMMYFUNCTION("""COMPUTED_VALUE"""),"Bpk. Kohir (Maintenance Velg)")</f>
        <v>Bpk. Kohir (Maintenance Velg)</v>
      </c>
      <c r="U2205" s="215">
        <f>IFERROR(__xludf.DUMMYFUNCTION("""COMPUTED_VALUE"""),46034.35303240741)</f>
        <v>46034.35303</v>
      </c>
      <c r="V2205" s="211" t="str">
        <f>IFERROR(__xludf.DUMMYFUNCTION("""COMPUTED_VALUE"""),"Jl. Lkr. Bypass Krian Timur, Sidogolong, Watugolong, Kec. Krian, Kabupaten Sidoarjo, Jawa Timur 61262")</f>
        <v>Jl. Lkr. Bypass Krian Timur, Sidogolong, Watugolong, Kec. Krian, Kabupaten Sidoarjo, Jawa Timur 61262</v>
      </c>
      <c r="W2205" s="211" t="str">
        <f>IFERROR(__xludf.DUMMYFUNCTION("""COMPUTED_VALUE"""),"OUT")</f>
        <v>OUT</v>
      </c>
      <c r="X2205" s="211"/>
    </row>
    <row r="2206">
      <c r="A2206" s="211"/>
      <c r="B2206" s="211"/>
      <c r="C2206" s="211"/>
      <c r="D2206" s="211"/>
      <c r="E2206" s="211"/>
      <c r="F2206" s="211"/>
      <c r="G2206" s="211"/>
      <c r="H2206" s="211"/>
      <c r="I2206" s="211"/>
      <c r="J2206" s="211"/>
      <c r="K2206" s="211"/>
      <c r="L2206" s="211"/>
      <c r="M2206" s="211"/>
      <c r="N2206" s="211"/>
      <c r="O2206" s="211"/>
      <c r="Q2206" s="211"/>
      <c r="R2206" s="211"/>
      <c r="S2206" s="211"/>
      <c r="T2206" s="211"/>
      <c r="U2206" s="211"/>
      <c r="V2206" s="211"/>
      <c r="W2206" s="211"/>
      <c r="X2206" s="211"/>
    </row>
    <row r="2207">
      <c r="A2207" s="210" t="str">
        <f>IFERROR(__xludf.DUMMYFUNCTION("""COMPUTED_VALUE"""),"102531575")</f>
        <v>102531575</v>
      </c>
      <c r="B2207" s="210" t="str">
        <f>IFERROR(__xludf.DUMMYFUNCTION("""COMPUTED_VALUE"""),"102531575")</f>
        <v>102531575</v>
      </c>
      <c r="C2207" s="213">
        <f>IFERROR(__xludf.DUMMYFUNCTION("""COMPUTED_VALUE"""),45962.34027777778)</f>
        <v>45962.34028</v>
      </c>
      <c r="D2207" s="211" t="str">
        <f>IFERROR(__xludf.DUMMYFUNCTION("""COMPUTED_VALUE"""),"4c3a2a5f")</f>
        <v>4c3a2a5f</v>
      </c>
      <c r="E2207" s="211" t="str">
        <f>IFERROR(__xludf.DUMMYFUNCTION("""COMPUTED_VALUE"""),"CV Matahari Mitra Sukses")</f>
        <v>CV Matahari Mitra Sukses</v>
      </c>
      <c r="F2207" s="211" t="str">
        <f>IFERROR(__xludf.DUMMYFUNCTION("""COMPUTED_VALUE"""),"ce3b37d3")</f>
        <v>ce3b37d3</v>
      </c>
      <c r="G2207" s="211" t="str">
        <f>IFERROR(__xludf.DUMMYFUNCTION("""COMPUTED_VALUE"""),"Argon MR")</f>
        <v>Argon MR</v>
      </c>
      <c r="H2207" s="211" t="str">
        <f>IFERROR(__xludf.DUMMYFUNCTION("""COMPUTED_VALUE"""),"OUT")</f>
        <v>OUT</v>
      </c>
      <c r="I2207" s="211" t="str">
        <f>IFERROR(__xludf.DUMMYFUNCTION("""COMPUTED_VALUE"""),"NORMAL")</f>
        <v>NORMAL</v>
      </c>
      <c r="J2207" s="211">
        <f>IFERROR(__xludf.DUMMYFUNCTION("""COMPUTED_VALUE"""),3.0)</f>
        <v>3</v>
      </c>
      <c r="K2207" s="210" t="str">
        <f>IFERROR(__xludf.DUMMYFUNCTION("""COMPUTED_VALUE"""),"01 02 03")</f>
        <v>01 02 03</v>
      </c>
      <c r="L2207" s="211">
        <f>IFERROR(__xludf.DUMMYFUNCTION("""COMPUTED_VALUE"""),200000.0)</f>
        <v>200000</v>
      </c>
      <c r="M2207" s="211"/>
      <c r="N2207" s="211"/>
      <c r="O2207" s="211"/>
      <c r="Q2207" s="210" t="str">
        <f>IFERROR(__xludf.DUMMYFUNCTION("""COMPUTED_VALUE"""),"012612207")</f>
        <v>012612207</v>
      </c>
      <c r="R2207" s="210" t="str">
        <f>IFERROR(__xludf.DUMMYFUNCTION("""COMPUTED_VALUE"""),"012612207")</f>
        <v>012612207</v>
      </c>
      <c r="S2207" s="211" t="str">
        <f>IFERROR(__xludf.DUMMYFUNCTION("""COMPUTED_VALUE"""),"2814d559")</f>
        <v>2814d559</v>
      </c>
      <c r="T2207" s="211" t="str">
        <f>IFERROR(__xludf.DUMMYFUNCTION("""COMPUTED_VALUE"""),"Bpk. Gunarso")</f>
        <v>Bpk. Gunarso</v>
      </c>
      <c r="U2207" s="215">
        <f>IFERROR(__xludf.DUMMYFUNCTION("""COMPUTED_VALUE"""),46033.361238425925)</f>
        <v>46033.36124</v>
      </c>
      <c r="V2207" s="211" t="str">
        <f>IFERROR(__xludf.DUMMYFUNCTION("""COMPUTED_VALUE"""),"Kraton RT 13 RW 03 Kraton Krian Sidoarjo Jawa Timur")</f>
        <v>Kraton RT 13 RW 03 Kraton Krian Sidoarjo Jawa Timur</v>
      </c>
      <c r="W2207" s="211" t="str">
        <f>IFERROR(__xludf.DUMMYFUNCTION("""COMPUTED_VALUE"""),"OUT")</f>
        <v>OUT</v>
      </c>
      <c r="X2207" s="211"/>
    </row>
    <row r="2208">
      <c r="A2208" s="210" t="str">
        <f>IFERROR(__xludf.DUMMYFUNCTION("""COMPUTED_VALUE"""),"1250733")</f>
        <v>1250733</v>
      </c>
      <c r="B2208" s="210" t="str">
        <f>IFERROR(__xludf.DUMMYFUNCTION("""COMPUTED_VALUE"""),"1250733")</f>
        <v>1250733</v>
      </c>
      <c r="C2208" s="213">
        <f>IFERROR(__xludf.DUMMYFUNCTION("""COMPUTED_VALUE"""),45961.63905092593)</f>
        <v>45961.63905</v>
      </c>
      <c r="D2208" s="211" t="str">
        <f>IFERROR(__xludf.DUMMYFUNCTION("""COMPUTED_VALUE"""),"8f5ebaea")</f>
        <v>8f5ebaea</v>
      </c>
      <c r="E2208" s="211" t="str">
        <f>IFERROR(__xludf.DUMMYFUNCTION("""COMPUTED_VALUE"""),"PT Hua Zong Mesindo")</f>
        <v>PT Hua Zong Mesindo</v>
      </c>
      <c r="F2208" s="211" t="str">
        <f>IFERROR(__xludf.DUMMYFUNCTION("""COMPUTED_VALUE"""),"7d2764f1")</f>
        <v>7d2764f1</v>
      </c>
      <c r="G2208" s="211" t="str">
        <f>IFERROR(__xludf.DUMMYFUNCTION("""COMPUTED_VALUE"""),"Oksigen 7m3")</f>
        <v>Oksigen 7m3</v>
      </c>
      <c r="H2208" s="211" t="str">
        <f>IFERROR(__xludf.DUMMYFUNCTION("""COMPUTED_VALUE"""),"IN")</f>
        <v>IN</v>
      </c>
      <c r="I2208" s="211" t="str">
        <f>IFERROR(__xludf.DUMMYFUNCTION("""COMPUTED_VALUE"""),"EMPTY")</f>
        <v>EMPTY</v>
      </c>
      <c r="J2208" s="211">
        <f>IFERROR(__xludf.DUMMYFUNCTION("""COMPUTED_VALUE"""),1.0)</f>
        <v>1</v>
      </c>
      <c r="K2208" s="210" t="str">
        <f>IFERROR(__xludf.DUMMYFUNCTION("""COMPUTED_VALUE"""),"11215")</f>
        <v>11215</v>
      </c>
      <c r="L2208" s="211">
        <f>IFERROR(__xludf.DUMMYFUNCTION("""COMPUTED_VALUE"""),0.0)</f>
        <v>0</v>
      </c>
      <c r="M2208" s="211"/>
      <c r="N2208" s="211"/>
      <c r="O2208" s="211"/>
      <c r="Q2208" s="210" t="str">
        <f>IFERROR(__xludf.DUMMYFUNCTION("""COMPUTED_VALUE"""),"012622208")</f>
        <v>012622208</v>
      </c>
      <c r="R2208" s="210" t="str">
        <f>IFERROR(__xludf.DUMMYFUNCTION("""COMPUTED_VALUE"""),"012622208")</f>
        <v>012622208</v>
      </c>
      <c r="S2208" s="211" t="str">
        <f>IFERROR(__xludf.DUMMYFUNCTION("""COMPUTED_VALUE"""),"b89c20a1")</f>
        <v>b89c20a1</v>
      </c>
      <c r="T2208" s="211" t="str">
        <f>IFERROR(__xludf.DUMMYFUNCTION("""COMPUTED_VALUE"""),"Harini dini")</f>
        <v>Harini dini</v>
      </c>
      <c r="U2208" s="215">
        <f>IFERROR(__xludf.DUMMYFUNCTION("""COMPUTED_VALUE"""),46033.36267361111)</f>
        <v>46033.36267</v>
      </c>
      <c r="V2208" s="211" t="str">
        <f>IFERROR(__xludf.DUMMYFUNCTION("""COMPUTED_VALUE"""),"Kraton RT 15 RW 03  Kraton Krian Sidoarjo")</f>
        <v>Kraton RT 15 RW 03  Kraton Krian Sidoarjo</v>
      </c>
      <c r="W2208" s="211" t="str">
        <f>IFERROR(__xludf.DUMMYFUNCTION("""COMPUTED_VALUE"""),"OUT")</f>
        <v>OUT</v>
      </c>
      <c r="X2208" s="211"/>
    </row>
    <row r="2209">
      <c r="A2209" s="210" t="str">
        <f>IFERROR(__xludf.DUMMYFUNCTION("""COMPUTED_VALUE"""),"1250733")</f>
        <v>1250733</v>
      </c>
      <c r="B2209" s="210" t="str">
        <f>IFERROR(__xludf.DUMMYFUNCTION("""COMPUTED_VALUE"""),"1250733")</f>
        <v>1250733</v>
      </c>
      <c r="C2209" s="213">
        <f>IFERROR(__xludf.DUMMYFUNCTION("""COMPUTED_VALUE"""),45961.63905092593)</f>
        <v>45961.63905</v>
      </c>
      <c r="D2209" s="211" t="str">
        <f>IFERROR(__xludf.DUMMYFUNCTION("""COMPUTED_VALUE"""),"8f5ebaea")</f>
        <v>8f5ebaea</v>
      </c>
      <c r="E2209" s="211" t="str">
        <f>IFERROR(__xludf.DUMMYFUNCTION("""COMPUTED_VALUE"""),"PT Hua Zong Mesindo")</f>
        <v>PT Hua Zong Mesindo</v>
      </c>
      <c r="F2209" s="211" t="str">
        <f>IFERROR(__xludf.DUMMYFUNCTION("""COMPUTED_VALUE"""),"8bdbe149")</f>
        <v>8bdbe149</v>
      </c>
      <c r="G2209" s="211" t="str">
        <f>IFERROR(__xludf.DUMMYFUNCTION("""COMPUTED_VALUE"""),"Oksigen 6m3")</f>
        <v>Oksigen 6m3</v>
      </c>
      <c r="H2209" s="211" t="str">
        <f>IFERROR(__xludf.DUMMYFUNCTION("""COMPUTED_VALUE"""),"IN")</f>
        <v>IN</v>
      </c>
      <c r="I2209" s="211" t="str">
        <f>IFERROR(__xludf.DUMMYFUNCTION("""COMPUTED_VALUE"""),"EMPTY")</f>
        <v>EMPTY</v>
      </c>
      <c r="J2209" s="211">
        <f>IFERROR(__xludf.DUMMYFUNCTION("""COMPUTED_VALUE"""),1.0)</f>
        <v>1</v>
      </c>
      <c r="K2209" s="210" t="str">
        <f>IFERROR(__xludf.DUMMYFUNCTION("""COMPUTED_VALUE"""),"1169")</f>
        <v>1169</v>
      </c>
      <c r="L2209" s="211">
        <f>IFERROR(__xludf.DUMMYFUNCTION("""COMPUTED_VALUE"""),0.0)</f>
        <v>0</v>
      </c>
      <c r="M2209" s="211"/>
      <c r="N2209" s="211"/>
      <c r="O2209" s="211"/>
      <c r="Q2209" s="210" t="str">
        <f>IFERROR(__xludf.DUMMYFUNCTION("""COMPUTED_VALUE"""),"1261081")</f>
        <v>1261081</v>
      </c>
      <c r="R2209" s="210" t="str">
        <f>IFERROR(__xludf.DUMMYFUNCTION("""COMPUTED_VALUE"""),"1261081")</f>
        <v>1261081</v>
      </c>
      <c r="S2209" s="211" t="str">
        <f>IFERROR(__xludf.DUMMYFUNCTION("""COMPUTED_VALUE"""),"b89c20a1")</f>
        <v>b89c20a1</v>
      </c>
      <c r="T2209" s="211" t="str">
        <f>IFERROR(__xludf.DUMMYFUNCTION("""COMPUTED_VALUE"""),"Harini dini")</f>
        <v>Harini dini</v>
      </c>
      <c r="U2209" s="215">
        <f>IFERROR(__xludf.DUMMYFUNCTION("""COMPUTED_VALUE"""),46033.36984953703)</f>
        <v>46033.36985</v>
      </c>
      <c r="V2209" s="211" t="str">
        <f>IFERROR(__xludf.DUMMYFUNCTION("""COMPUTED_VALUE"""),"Kraton RT 15 RW 03  Kraton Krian Sidoarjo")</f>
        <v>Kraton RT 15 RW 03  Kraton Krian Sidoarjo</v>
      </c>
      <c r="W2209" s="211" t="str">
        <f>IFERROR(__xludf.DUMMYFUNCTION("""COMPUTED_VALUE"""),"IN")</f>
        <v>IN</v>
      </c>
      <c r="X2209" s="211"/>
    </row>
    <row r="2210">
      <c r="A2210" s="210" t="str">
        <f>IFERROR(__xludf.DUMMYFUNCTION("""COMPUTED_VALUE"""),"112541580")</f>
        <v>112541580</v>
      </c>
      <c r="B2210" s="210" t="str">
        <f>IFERROR(__xludf.DUMMYFUNCTION("""COMPUTED_VALUE"""),"112541580")</f>
        <v>112541580</v>
      </c>
      <c r="C2210" s="213">
        <f>IFERROR(__xludf.DUMMYFUNCTION("""COMPUTED_VALUE"""),45962.3696875)</f>
        <v>45962.36969</v>
      </c>
      <c r="D2210" s="211" t="str">
        <f>IFERROR(__xludf.DUMMYFUNCTION("""COMPUTED_VALUE"""),"56828503")</f>
        <v>56828503</v>
      </c>
      <c r="E2210" s="211" t="str">
        <f>IFERROR(__xludf.DUMMYFUNCTION("""COMPUTED_VALUE"""),"Bpk. Widodo (Wringinanom)")</f>
        <v>Bpk. Widodo (Wringinanom)</v>
      </c>
      <c r="F2210" s="211" t="str">
        <f>IFERROR(__xludf.DUMMYFUNCTION("""COMPUTED_VALUE"""),"8bdbe149")</f>
        <v>8bdbe149</v>
      </c>
      <c r="G2210" s="211" t="str">
        <f>IFERROR(__xludf.DUMMYFUNCTION("""COMPUTED_VALUE"""),"Oksigen 6m3")</f>
        <v>Oksigen 6m3</v>
      </c>
      <c r="H2210" s="211" t="str">
        <f>IFERROR(__xludf.DUMMYFUNCTION("""COMPUTED_VALUE"""),"OUT")</f>
        <v>OUT</v>
      </c>
      <c r="I2210" s="211" t="str">
        <f>IFERROR(__xludf.DUMMYFUNCTION("""COMPUTED_VALUE"""),"NORMAL")</f>
        <v>NORMAL</v>
      </c>
      <c r="J2210" s="211">
        <f>IFERROR(__xludf.DUMMYFUNCTION("""COMPUTED_VALUE"""),5.0)</f>
        <v>5</v>
      </c>
      <c r="K2210" s="210" t="str">
        <f>IFERROR(__xludf.DUMMYFUNCTION("""COMPUTED_VALUE"""),"11284 1186 1147 1166 11197")</f>
        <v>11284 1186 1147 1166 11197</v>
      </c>
      <c r="L2210" s="211">
        <f>IFERROR(__xludf.DUMMYFUNCTION("""COMPUTED_VALUE"""),55000.0)</f>
        <v>55000</v>
      </c>
      <c r="M2210" s="211"/>
      <c r="N2210" s="211"/>
      <c r="O2210" s="211"/>
      <c r="Q2210" s="210" t="str">
        <f>IFERROR(__xludf.DUMMYFUNCTION("""COMPUTED_VALUE"""),"0126132209")</f>
        <v>0126132209</v>
      </c>
      <c r="R2210" s="210" t="str">
        <f>IFERROR(__xludf.DUMMYFUNCTION("""COMPUTED_VALUE"""),"0126132209")</f>
        <v>0126132209</v>
      </c>
      <c r="S2210" s="211" t="str">
        <f>IFERROR(__xludf.DUMMYFUNCTION("""COMPUTED_VALUE"""),"a0f0ad2d")</f>
        <v>a0f0ad2d</v>
      </c>
      <c r="T2210" s="211" t="str">
        <f>IFERROR(__xludf.DUMMYFUNCTION("""COMPUTED_VALUE"""),"CV. Yulie Jaya")</f>
        <v>CV. Yulie Jaya</v>
      </c>
      <c r="U2210" s="215">
        <f>IFERROR(__xludf.DUMMYFUNCTION("""COMPUTED_VALUE"""),46034.39960648148)</f>
        <v>46034.39961</v>
      </c>
      <c r="V2210" s="211" t="str">
        <f>IFERROR(__xludf.DUMMYFUNCTION("""COMPUTED_VALUE"""),"JJH4+6RV, Badas, Barengkrajan, Kec. Krian, Kabupaten Sidoarjo, Jawa Timur 61262")</f>
        <v>JJH4+6RV, Badas, Barengkrajan, Kec. Krian, Kabupaten Sidoarjo, Jawa Timur 61262</v>
      </c>
      <c r="W2210" s="211" t="str">
        <f>IFERROR(__xludf.DUMMYFUNCTION("""COMPUTED_VALUE"""),"OUT")</f>
        <v>OUT</v>
      </c>
      <c r="X2210" s="211"/>
    </row>
    <row r="2211">
      <c r="A2211" s="210" t="str">
        <f>IFERROR(__xludf.DUMMYFUNCTION("""COMPUTED_VALUE"""),"1125261582")</f>
        <v>1125261582</v>
      </c>
      <c r="B2211" s="210" t="str">
        <f>IFERROR(__xludf.DUMMYFUNCTION("""COMPUTED_VALUE"""),"1125261582")</f>
        <v>1125261582</v>
      </c>
      <c r="C2211" s="213">
        <f>IFERROR(__xludf.DUMMYFUNCTION("""COMPUTED_VALUE"""),45962.47216435185)</f>
        <v>45962.47216</v>
      </c>
      <c r="D2211" s="211" t="str">
        <f>IFERROR(__xludf.DUMMYFUNCTION("""COMPUTED_VALUE"""),"ec231cc9")</f>
        <v>ec231cc9</v>
      </c>
      <c r="E2211" s="211" t="str">
        <f>IFERROR(__xludf.DUMMYFUNCTION("""COMPUTED_VALUE"""),"Bpk. Kohir (Maintenance Velg)")</f>
        <v>Bpk. Kohir (Maintenance Velg)</v>
      </c>
      <c r="F2211" s="211" t="str">
        <f>IFERROR(__xludf.DUMMYFUNCTION("""COMPUTED_VALUE"""),"8bdbe149")</f>
        <v>8bdbe149</v>
      </c>
      <c r="G2211" s="211" t="str">
        <f>IFERROR(__xludf.DUMMYFUNCTION("""COMPUTED_VALUE"""),"Oksigen 6m3")</f>
        <v>Oksigen 6m3</v>
      </c>
      <c r="H2211" s="211" t="str">
        <f>IFERROR(__xludf.DUMMYFUNCTION("""COMPUTED_VALUE"""),"OUT")</f>
        <v>OUT</v>
      </c>
      <c r="I2211" s="211" t="str">
        <f>IFERROR(__xludf.DUMMYFUNCTION("""COMPUTED_VALUE"""),"NORMAL")</f>
        <v>NORMAL</v>
      </c>
      <c r="J2211" s="211">
        <f>IFERROR(__xludf.DUMMYFUNCTION("""COMPUTED_VALUE"""),4.0)</f>
        <v>4</v>
      </c>
      <c r="K2211" s="210" t="str">
        <f>IFERROR(__xludf.DUMMYFUNCTION("""COMPUTED_VALUE"""),"11194 11281 1173 1123")</f>
        <v>11194 11281 1173 1123</v>
      </c>
      <c r="L2211" s="211">
        <f>IFERROR(__xludf.DUMMYFUNCTION("""COMPUTED_VALUE"""),55000.0)</f>
        <v>55000</v>
      </c>
      <c r="M2211" s="211"/>
      <c r="N2211" s="211"/>
      <c r="O2211" s="211"/>
      <c r="Q2211" s="210" t="str">
        <f>IFERROR(__xludf.DUMMYFUNCTION("""COMPUTED_VALUE"""),"012612211")</f>
        <v>012612211</v>
      </c>
      <c r="R2211" s="210" t="str">
        <f>IFERROR(__xludf.DUMMYFUNCTION("""COMPUTED_VALUE"""),"012612211")</f>
        <v>012612211</v>
      </c>
      <c r="S2211" s="211" t="str">
        <f>IFERROR(__xludf.DUMMYFUNCTION("""COMPUTED_VALUE"""),"1c48ae79")</f>
        <v>1c48ae79</v>
      </c>
      <c r="T2211" s="211" t="str">
        <f>IFERROR(__xludf.DUMMYFUNCTION("""COMPUTED_VALUE"""),"Bpk. Jafar Rosokan")</f>
        <v>Bpk. Jafar Rosokan</v>
      </c>
      <c r="U2211" s="215">
        <f>IFERROR(__xludf.DUMMYFUNCTION("""COMPUTED_VALUE"""),46034.40186342593)</f>
        <v>46034.40186</v>
      </c>
      <c r="V2211" s="211" t="str">
        <f>IFERROR(__xludf.DUMMYFUNCTION("""COMPUTED_VALUE"""),"JL. Mejayan Bambang Yuwono, Sidodadi, Kemangsen, Kec. Balongbendo, Kab Sidoarjo Jawa Timur 61263")</f>
        <v>JL. Mejayan Bambang Yuwono, Sidodadi, Kemangsen, Kec. Balongbendo, Kab Sidoarjo Jawa Timur 61263</v>
      </c>
      <c r="W2211" s="211" t="str">
        <f>IFERROR(__xludf.DUMMYFUNCTION("""COMPUTED_VALUE"""),"OUT")</f>
        <v>OUT</v>
      </c>
      <c r="X2211" s="211"/>
    </row>
    <row r="2212">
      <c r="A2212" s="210" t="str">
        <f>IFERROR(__xludf.DUMMYFUNCTION("""COMPUTED_VALUE"""),"1125311583")</f>
        <v>1125311583</v>
      </c>
      <c r="B2212" s="210" t="str">
        <f>IFERROR(__xludf.DUMMYFUNCTION("""COMPUTED_VALUE"""),"1125311583")</f>
        <v>1125311583</v>
      </c>
      <c r="C2212" s="213">
        <f>IFERROR(__xludf.DUMMYFUNCTION("""COMPUTED_VALUE"""),45962.53811342592)</f>
        <v>45962.53811</v>
      </c>
      <c r="D2212" s="211" t="str">
        <f>IFERROR(__xludf.DUMMYFUNCTION("""COMPUTED_VALUE"""),"b2b5f2c5")</f>
        <v>b2b5f2c5</v>
      </c>
      <c r="E2212" s="211" t="str">
        <f>IFERROR(__xludf.DUMMYFUNCTION("""COMPUTED_VALUE"""),"Bengkel Las Bpk. Ari")</f>
        <v>Bengkel Las Bpk. Ari</v>
      </c>
      <c r="F2212" s="211" t="str">
        <f>IFERROR(__xludf.DUMMYFUNCTION("""COMPUTED_VALUE"""),"8bdbe149")</f>
        <v>8bdbe149</v>
      </c>
      <c r="G2212" s="211" t="str">
        <f>IFERROR(__xludf.DUMMYFUNCTION("""COMPUTED_VALUE"""),"Oksigen 6m3")</f>
        <v>Oksigen 6m3</v>
      </c>
      <c r="H2212" s="211" t="str">
        <f>IFERROR(__xludf.DUMMYFUNCTION("""COMPUTED_VALUE"""),"OUT")</f>
        <v>OUT</v>
      </c>
      <c r="I2212" s="211" t="str">
        <f>IFERROR(__xludf.DUMMYFUNCTION("""COMPUTED_VALUE"""),"NORMAL")</f>
        <v>NORMAL</v>
      </c>
      <c r="J2212" s="211">
        <f>IFERROR(__xludf.DUMMYFUNCTION("""COMPUTED_VALUE"""),5.0)</f>
        <v>5</v>
      </c>
      <c r="K2212" s="210" t="str">
        <f>IFERROR(__xludf.DUMMYFUNCTION("""COMPUTED_VALUE"""),"1128 1176 1102 11290 11246")</f>
        <v>1128 1176 1102 11290 11246</v>
      </c>
      <c r="L2212" s="211">
        <f>IFERROR(__xludf.DUMMYFUNCTION("""COMPUTED_VALUE"""),60000.0)</f>
        <v>60000</v>
      </c>
      <c r="M2212" s="211"/>
      <c r="N2212" s="211"/>
      <c r="O2212" s="211"/>
      <c r="Q2212" s="210" t="str">
        <f>IFERROR(__xludf.DUMMYFUNCTION("""COMPUTED_VALUE"""),"1261072")</f>
        <v>1261072</v>
      </c>
      <c r="R2212" s="210" t="str">
        <f>IFERROR(__xludf.DUMMYFUNCTION("""COMPUTED_VALUE"""),"1261072")</f>
        <v>1261072</v>
      </c>
      <c r="S2212" s="211" t="str">
        <f>IFERROR(__xludf.DUMMYFUNCTION("""COMPUTED_VALUE"""),"ec231cc9")</f>
        <v>ec231cc9</v>
      </c>
      <c r="T2212" s="211" t="str">
        <f>IFERROR(__xludf.DUMMYFUNCTION("""COMPUTED_VALUE"""),"Bpk. Kohir (Maintenance Velg)")</f>
        <v>Bpk. Kohir (Maintenance Velg)</v>
      </c>
      <c r="U2212" s="215">
        <f>IFERROR(__xludf.DUMMYFUNCTION("""COMPUTED_VALUE"""),46034.41023148148)</f>
        <v>46034.41023</v>
      </c>
      <c r="V2212" s="211" t="str">
        <f>IFERROR(__xludf.DUMMYFUNCTION("""COMPUTED_VALUE"""),"Jl. Lkr. Bypass Krian Timur, Sidogolong, Watugolong, Kec. Krian, Kabupaten Sidoarjo, Jawa Timur 61262")</f>
        <v>Jl. Lkr. Bypass Krian Timur, Sidogolong, Watugolong, Kec. Krian, Kabupaten Sidoarjo, Jawa Timur 61262</v>
      </c>
      <c r="W2212" s="211" t="str">
        <f>IFERROR(__xludf.DUMMYFUNCTION("""COMPUTED_VALUE"""),"IN")</f>
        <v>IN</v>
      </c>
      <c r="X2212" s="211"/>
    </row>
    <row r="2213">
      <c r="A2213" s="210" t="str">
        <f>IFERROR(__xludf.DUMMYFUNCTION("""COMPUTED_VALUE"""),"112511584")</f>
        <v>112511584</v>
      </c>
      <c r="B2213" s="210" t="str">
        <f>IFERROR(__xludf.DUMMYFUNCTION("""COMPUTED_VALUE"""),"112511584")</f>
        <v>112511584</v>
      </c>
      <c r="C2213" s="213">
        <f>IFERROR(__xludf.DUMMYFUNCTION("""COMPUTED_VALUE"""),45962.604467592595)</f>
        <v>45962.60447</v>
      </c>
      <c r="D2213" s="211" t="str">
        <f>IFERROR(__xludf.DUMMYFUNCTION("""COMPUTED_VALUE"""),"faf71ae5")</f>
        <v>faf71ae5</v>
      </c>
      <c r="E2213" s="211" t="str">
        <f>IFERROR(__xludf.DUMMYFUNCTION("""COMPUTED_VALUE"""),"Bpk. Sampurna")</f>
        <v>Bpk. Sampurna</v>
      </c>
      <c r="F2213" s="211" t="str">
        <f>IFERROR(__xludf.DUMMYFUNCTION("""COMPUTED_VALUE"""),"8bdbe149")</f>
        <v>8bdbe149</v>
      </c>
      <c r="G2213" s="211" t="str">
        <f>IFERROR(__xludf.DUMMYFUNCTION("""COMPUTED_VALUE"""),"Oksigen 6m3")</f>
        <v>Oksigen 6m3</v>
      </c>
      <c r="H2213" s="211" t="str">
        <f>IFERROR(__xludf.DUMMYFUNCTION("""COMPUTED_VALUE"""),"OUT")</f>
        <v>OUT</v>
      </c>
      <c r="I2213" s="211" t="str">
        <f>IFERROR(__xludf.DUMMYFUNCTION("""COMPUTED_VALUE"""),"NORMAL")</f>
        <v>NORMAL</v>
      </c>
      <c r="J2213" s="211">
        <f>IFERROR(__xludf.DUMMYFUNCTION("""COMPUTED_VALUE"""),10.0)</f>
        <v>10</v>
      </c>
      <c r="K2213" s="210" t="str">
        <f>IFERROR(__xludf.DUMMYFUNCTION("""COMPUTED_VALUE"""),"1140 11291 11167 1165 11152 003 049 048 137 143")</f>
        <v>1140 11291 11167 1165 11152 003 049 048 137 143</v>
      </c>
      <c r="L2213" s="211">
        <f>IFERROR(__xludf.DUMMYFUNCTION("""COMPUTED_VALUE"""),55000.0)</f>
        <v>55000</v>
      </c>
      <c r="M2213" s="211"/>
      <c r="N2213" s="211"/>
      <c r="O2213" s="211"/>
      <c r="Q2213" s="210" t="str">
        <f>IFERROR(__xludf.DUMMYFUNCTION("""COMPUTED_VALUE"""),"012642212")</f>
        <v>012642212</v>
      </c>
      <c r="R2213" s="210" t="str">
        <f>IFERROR(__xludf.DUMMYFUNCTION("""COMPUTED_VALUE"""),"012642212")</f>
        <v>012642212</v>
      </c>
      <c r="S2213" s="211" t="str">
        <f>IFERROR(__xludf.DUMMYFUNCTION("""COMPUTED_VALUE"""),"9828dfc5")</f>
        <v>9828dfc5</v>
      </c>
      <c r="T2213" s="211" t="str">
        <f>IFERROR(__xludf.DUMMYFUNCTION("""COMPUTED_VALUE"""),"Bpk. David")</f>
        <v>Bpk. David</v>
      </c>
      <c r="U2213" s="215">
        <f>IFERROR(__xludf.DUMMYFUNCTION("""COMPUTED_VALUE"""),46034.42449074074)</f>
        <v>46034.42449</v>
      </c>
      <c r="V2213" s="211" t="str">
        <f>IFERROR(__xludf.DUMMYFUNCTION("""COMPUTED_VALUE"""),"GHF3+R34, Jl. Kartini, Ngingas, Ngimbangan, Kec. Mojosari, Kabupaten Mojokerto, Jawa Timur 61382")</f>
        <v>GHF3+R34, Jl. Kartini, Ngingas, Ngimbangan, Kec. Mojosari, Kabupaten Mojokerto, Jawa Timur 61382</v>
      </c>
      <c r="W2213" s="211" t="str">
        <f>IFERROR(__xludf.DUMMYFUNCTION("""COMPUTED_VALUE"""),"OUT")</f>
        <v>OUT</v>
      </c>
      <c r="X2213" s="211"/>
    </row>
    <row r="2214">
      <c r="A2214" s="210" t="str">
        <f>IFERROR(__xludf.DUMMYFUNCTION("""COMPUTED_VALUE"""),"1250746")</f>
        <v>1250746</v>
      </c>
      <c r="B2214" s="210" t="str">
        <f>IFERROR(__xludf.DUMMYFUNCTION("""COMPUTED_VALUE"""),"1250746")</f>
        <v>1250746</v>
      </c>
      <c r="C2214" s="213">
        <f>IFERROR(__xludf.DUMMYFUNCTION("""COMPUTED_VALUE"""),45962.60965277778)</f>
        <v>45962.60965</v>
      </c>
      <c r="D2214" s="211" t="str">
        <f>IFERROR(__xludf.DUMMYFUNCTION("""COMPUTED_VALUE"""),"b2b5f2c5")</f>
        <v>b2b5f2c5</v>
      </c>
      <c r="E2214" s="211" t="str">
        <f>IFERROR(__xludf.DUMMYFUNCTION("""COMPUTED_VALUE"""),"Bengkel Las Bpk. Ari")</f>
        <v>Bengkel Las Bpk. Ari</v>
      </c>
      <c r="F2214" s="211" t="str">
        <f>IFERROR(__xludf.DUMMYFUNCTION("""COMPUTED_VALUE"""),"8bdbe149")</f>
        <v>8bdbe149</v>
      </c>
      <c r="G2214" s="211" t="str">
        <f>IFERROR(__xludf.DUMMYFUNCTION("""COMPUTED_VALUE"""),"Oksigen 6m3")</f>
        <v>Oksigen 6m3</v>
      </c>
      <c r="H2214" s="211" t="str">
        <f>IFERROR(__xludf.DUMMYFUNCTION("""COMPUTED_VALUE"""),"IN")</f>
        <v>IN</v>
      </c>
      <c r="I2214" s="211" t="str">
        <f>IFERROR(__xludf.DUMMYFUNCTION("""COMPUTED_VALUE"""),"EMPTY")</f>
        <v>EMPTY</v>
      </c>
      <c r="J2214" s="211">
        <f>IFERROR(__xludf.DUMMYFUNCTION("""COMPUTED_VALUE"""),6.0)</f>
        <v>6</v>
      </c>
      <c r="K2214" s="210" t="str">
        <f>IFERROR(__xludf.DUMMYFUNCTION("""COMPUTED_VALUE"""),"11181 1197 11283 1149 11199 11278")</f>
        <v>11181 1197 11283 1149 11199 11278</v>
      </c>
      <c r="L2214" s="211">
        <f>IFERROR(__xludf.DUMMYFUNCTION("""COMPUTED_VALUE"""),0.0)</f>
        <v>0</v>
      </c>
      <c r="M2214" s="211"/>
      <c r="N2214" s="211"/>
      <c r="O2214" s="211"/>
      <c r="Q2214" s="210" t="str">
        <f>IFERROR(__xludf.DUMMYFUNCTION("""COMPUTED_VALUE"""),"0126702214")</f>
        <v>0126702214</v>
      </c>
      <c r="R2214" s="210" t="str">
        <f>IFERROR(__xludf.DUMMYFUNCTION("""COMPUTED_VALUE"""),"0126702214")</f>
        <v>0126702214</v>
      </c>
      <c r="S2214" s="211" t="str">
        <f>IFERROR(__xludf.DUMMYFUNCTION("""COMPUTED_VALUE"""),"b2b5f2c5")</f>
        <v>b2b5f2c5</v>
      </c>
      <c r="T2214" s="211" t="str">
        <f>IFERROR(__xludf.DUMMYFUNCTION("""COMPUTED_VALUE"""),"Bengkel Las Bpk. Ari")</f>
        <v>Bengkel Las Bpk. Ari</v>
      </c>
      <c r="U2214" s="215">
        <f>IFERROR(__xludf.DUMMYFUNCTION("""COMPUTED_VALUE"""),46034.43135416666)</f>
        <v>46034.43135</v>
      </c>
      <c r="V2214" s="211" t="str">
        <f>IFERROR(__xludf.DUMMYFUNCTION("""COMPUTED_VALUE"""),"Sumber Kembar, Wonodadi, Kec. Kutorejo, Kabupaten Mojokerto, Jawa Timur")</f>
        <v>Sumber Kembar, Wonodadi, Kec. Kutorejo, Kabupaten Mojokerto, Jawa Timur</v>
      </c>
      <c r="W2214" s="211" t="str">
        <f>IFERROR(__xludf.DUMMYFUNCTION("""COMPUTED_VALUE"""),"OUT")</f>
        <v>OUT</v>
      </c>
      <c r="X2214" s="211"/>
    </row>
    <row r="2215">
      <c r="A2215" s="210" t="str">
        <f>IFERROR(__xludf.DUMMYFUNCTION("""COMPUTED_VALUE"""),"112521585")</f>
        <v>112521585</v>
      </c>
      <c r="B2215" s="210" t="str">
        <f>IFERROR(__xludf.DUMMYFUNCTION("""COMPUTED_VALUE"""),"112521585")</f>
        <v>112521585</v>
      </c>
      <c r="C2215" s="213">
        <f>IFERROR(__xludf.DUMMYFUNCTION("""COMPUTED_VALUE"""),45962.69405092593)</f>
        <v>45962.69405</v>
      </c>
      <c r="D2215" s="211" t="str">
        <f>IFERROR(__xludf.DUMMYFUNCTION("""COMPUTED_VALUE"""),"5e174cd0")</f>
        <v>5e174cd0</v>
      </c>
      <c r="E2215" s="211" t="str">
        <f>IFERROR(__xludf.DUMMYFUNCTION("""COMPUTED_VALUE"""),"Maherdi")</f>
        <v>Maherdi</v>
      </c>
      <c r="F2215" s="211" t="str">
        <f>IFERROR(__xludf.DUMMYFUNCTION("""COMPUTED_VALUE"""),"2690846b")</f>
        <v>2690846b</v>
      </c>
      <c r="G2215" s="211" t="str">
        <f>IFERROR(__xludf.DUMMYFUNCTION("""COMPUTED_VALUE"""),"Oksigen 1m3 MR")</f>
        <v>Oksigen 1m3 MR</v>
      </c>
      <c r="H2215" s="211" t="str">
        <f>IFERROR(__xludf.DUMMYFUNCTION("""COMPUTED_VALUE"""),"OUT")</f>
        <v>OUT</v>
      </c>
      <c r="I2215" s="211" t="str">
        <f>IFERROR(__xludf.DUMMYFUNCTION("""COMPUTED_VALUE"""),"NORMAL")</f>
        <v>NORMAL</v>
      </c>
      <c r="J2215" s="211">
        <f>IFERROR(__xludf.DUMMYFUNCTION("""COMPUTED_VALUE"""),1.0)</f>
        <v>1</v>
      </c>
      <c r="K2215" s="211"/>
      <c r="L2215" s="211">
        <f>IFERROR(__xludf.DUMMYFUNCTION("""COMPUTED_VALUE"""),50000.0)</f>
        <v>50000</v>
      </c>
      <c r="M2215" s="211"/>
      <c r="N2215" s="211"/>
      <c r="O2215" s="211"/>
      <c r="Q2215" s="210" t="str">
        <f>IFERROR(__xludf.DUMMYFUNCTION("""COMPUTED_VALUE"""),"1261074")</f>
        <v>1261074</v>
      </c>
      <c r="R2215" s="210" t="str">
        <f>IFERROR(__xludf.DUMMYFUNCTION("""COMPUTED_VALUE"""),"1261074")</f>
        <v>1261074</v>
      </c>
      <c r="S2215" s="211" t="str">
        <f>IFERROR(__xludf.DUMMYFUNCTION("""COMPUTED_VALUE"""),"2d88931c")</f>
        <v>2d88931c</v>
      </c>
      <c r="T2215" s="211" t="str">
        <f>IFERROR(__xludf.DUMMYFUNCTION("""COMPUTED_VALUE"""),"PT Dunia Berkat Marga Mulya")</f>
        <v>PT Dunia Berkat Marga Mulya</v>
      </c>
      <c r="U2215" s="215">
        <f>IFERROR(__xludf.DUMMYFUNCTION("""COMPUTED_VALUE"""),46034.52327546296)</f>
        <v>46034.52328</v>
      </c>
      <c r="V2215" s="211" t="str">
        <f>IFERROR(__xludf.DUMMYFUNCTION("""COMPUTED_VALUE"""),"JL JABARAN, WATESARI, BALONGBENDO, SIDOARJO, JAWA TIMUR")</f>
        <v>JL JABARAN, WATESARI, BALONGBENDO, SIDOARJO, JAWA TIMUR</v>
      </c>
      <c r="W2215" s="211" t="str">
        <f>IFERROR(__xludf.DUMMYFUNCTION("""COMPUTED_VALUE"""),"IN")</f>
        <v>IN</v>
      </c>
      <c r="X2215" s="211"/>
    </row>
    <row r="2216">
      <c r="A2216" s="210" t="str">
        <f>IFERROR(__xludf.DUMMYFUNCTION("""COMPUTED_VALUE"""),"urgent01112025")</f>
        <v>urgent01112025</v>
      </c>
      <c r="B2216" s="210" t="str">
        <f>IFERROR(__xludf.DUMMYFUNCTION("""COMPUTED_VALUE"""),"urgent01112025")</f>
        <v>urgent01112025</v>
      </c>
      <c r="C2216" s="213">
        <f>IFERROR(__xludf.DUMMYFUNCTION("""COMPUTED_VALUE"""),45962.69668981482)</f>
        <v>45962.69669</v>
      </c>
      <c r="D2216" s="211" t="str">
        <f>IFERROR(__xludf.DUMMYFUNCTION("""COMPUTED_VALUE"""),"5e174cd0")</f>
        <v>5e174cd0</v>
      </c>
      <c r="E2216" s="211" t="str">
        <f>IFERROR(__xludf.DUMMYFUNCTION("""COMPUTED_VALUE"""),"Maherdi")</f>
        <v>Maherdi</v>
      </c>
      <c r="F2216" s="211" t="str">
        <f>IFERROR(__xludf.DUMMYFUNCTION("""COMPUTED_VALUE"""),"2690846b")</f>
        <v>2690846b</v>
      </c>
      <c r="G2216" s="211" t="str">
        <f>IFERROR(__xludf.DUMMYFUNCTION("""COMPUTED_VALUE"""),"Oksigen 1m3 MR")</f>
        <v>Oksigen 1m3 MR</v>
      </c>
      <c r="H2216" s="211" t="str">
        <f>IFERROR(__xludf.DUMMYFUNCTION("""COMPUTED_VALUE"""),"IN")</f>
        <v>IN</v>
      </c>
      <c r="I2216" s="211" t="str">
        <f>IFERROR(__xludf.DUMMYFUNCTION("""COMPUTED_VALUE"""),"EMPTY")</f>
        <v>EMPTY</v>
      </c>
      <c r="J2216" s="211">
        <f>IFERROR(__xludf.DUMMYFUNCTION("""COMPUTED_VALUE"""),1.0)</f>
        <v>1</v>
      </c>
      <c r="K2216" s="211"/>
      <c r="L2216" s="211">
        <f>IFERROR(__xludf.DUMMYFUNCTION("""COMPUTED_VALUE"""),0.0)</f>
        <v>0</v>
      </c>
      <c r="M2216" s="211"/>
      <c r="N2216" s="211"/>
      <c r="O2216" s="211"/>
      <c r="Q2216" s="210" t="str">
        <f>IFERROR(__xludf.DUMMYFUNCTION("""COMPUTED_VALUE"""),"1261075")</f>
        <v>1261075</v>
      </c>
      <c r="R2216" s="210" t="str">
        <f>IFERROR(__xludf.DUMMYFUNCTION("""COMPUTED_VALUE"""),"1261075")</f>
        <v>1261075</v>
      </c>
      <c r="S2216" s="211" t="str">
        <f>IFERROR(__xludf.DUMMYFUNCTION("""COMPUTED_VALUE"""),"63fc688a")</f>
        <v>63fc688a</v>
      </c>
      <c r="T2216" s="211" t="str">
        <f>IFERROR(__xludf.DUMMYFUNCTION("""COMPUTED_VALUE"""),"CV Malik Nusantara")</f>
        <v>CV Malik Nusantara</v>
      </c>
      <c r="U2216" s="215">
        <f>IFERROR(__xludf.DUMMYFUNCTION("""COMPUTED_VALUE"""),46034.52449074074)</f>
        <v>46034.52449</v>
      </c>
      <c r="V2216" s="211" t="str">
        <f>IFERROR(__xludf.DUMMYFUNCTION("""COMPUTED_VALUE"""),"Jl. Raya Balongbendo No.12, Suwaluh Utara, Suwaluh, Kec. BalongBendo, Kabupaten Sidoarjo, Jawa Timur 61263")</f>
        <v>Jl. Raya Balongbendo No.12, Suwaluh Utara, Suwaluh, Kec. BalongBendo, Kabupaten Sidoarjo, Jawa Timur 61263</v>
      </c>
      <c r="W2216" s="211" t="str">
        <f>IFERROR(__xludf.DUMMYFUNCTION("""COMPUTED_VALUE"""),"IN")</f>
        <v>IN</v>
      </c>
      <c r="X2216" s="211"/>
    </row>
    <row r="2217">
      <c r="A2217" s="210" t="str">
        <f>IFERROR(__xludf.DUMMYFUNCTION("""COMPUTED_VALUE"""),"urgent01112025")</f>
        <v>urgent01112025</v>
      </c>
      <c r="B2217" s="210" t="str">
        <f>IFERROR(__xludf.DUMMYFUNCTION("""COMPUTED_VALUE"""),"urgent01112025")</f>
        <v>urgent01112025</v>
      </c>
      <c r="C2217" s="213">
        <f>IFERROR(__xludf.DUMMYFUNCTION("""COMPUTED_VALUE"""),45962.69668981482)</f>
        <v>45962.69669</v>
      </c>
      <c r="D2217" s="211" t="str">
        <f>IFERROR(__xludf.DUMMYFUNCTION("""COMPUTED_VALUE"""),"5e174cd0")</f>
        <v>5e174cd0</v>
      </c>
      <c r="E2217" s="211" t="str">
        <f>IFERROR(__xludf.DUMMYFUNCTION("""COMPUTED_VALUE"""),"Maherdi")</f>
        <v>Maherdi</v>
      </c>
      <c r="F2217" s="211" t="str">
        <f>IFERROR(__xludf.DUMMYFUNCTION("""COMPUTED_VALUE"""),"e8544a46")</f>
        <v>e8544a46</v>
      </c>
      <c r="G2217" s="211" t="str">
        <f>IFERROR(__xludf.DUMMYFUNCTION("""COMPUTED_VALUE"""),"Oksigen 1m3")</f>
        <v>Oksigen 1m3</v>
      </c>
      <c r="H2217" s="211" t="str">
        <f>IFERROR(__xludf.DUMMYFUNCTION("""COMPUTED_VALUE"""),"IN")</f>
        <v>IN</v>
      </c>
      <c r="I2217" s="211" t="str">
        <f>IFERROR(__xludf.DUMMYFUNCTION("""COMPUTED_VALUE"""),"EMPTY")</f>
        <v>EMPTY</v>
      </c>
      <c r="J2217" s="211">
        <f>IFERROR(__xludf.DUMMYFUNCTION("""COMPUTED_VALUE"""),1.0)</f>
        <v>1</v>
      </c>
      <c r="K2217" s="210" t="str">
        <f>IFERROR(__xludf.DUMMYFUNCTION("""COMPUTED_VALUE"""),"0007")</f>
        <v>0007</v>
      </c>
      <c r="L2217" s="211">
        <f>IFERROR(__xludf.DUMMYFUNCTION("""COMPUTED_VALUE"""),0.0)</f>
        <v>0</v>
      </c>
      <c r="M2217" s="211"/>
      <c r="N2217" s="211" t="str">
        <f>IFERROR(__xludf.DUMMYFUNCTION("""COMPUTED_VALUE"""),"Sudah Clear 0")</f>
        <v>Sudah Clear 0</v>
      </c>
      <c r="O2217" s="211"/>
      <c r="Q2217" s="210" t="str">
        <f>IFERROR(__xludf.DUMMYFUNCTION("""COMPUTED_VALUE"""),"1261073")</f>
        <v>1261073</v>
      </c>
      <c r="R2217" s="210" t="str">
        <f>IFERROR(__xludf.DUMMYFUNCTION("""COMPUTED_VALUE"""),"1261073")</f>
        <v>1261073</v>
      </c>
      <c r="S2217" s="211" t="str">
        <f>IFERROR(__xludf.DUMMYFUNCTION("""COMPUTED_VALUE"""),"a0f0ad2d")</f>
        <v>a0f0ad2d</v>
      </c>
      <c r="T2217" s="211" t="str">
        <f>IFERROR(__xludf.DUMMYFUNCTION("""COMPUTED_VALUE"""),"CV. Yulie Jaya")</f>
        <v>CV. Yulie Jaya</v>
      </c>
      <c r="U2217" s="215">
        <f>IFERROR(__xludf.DUMMYFUNCTION("""COMPUTED_VALUE"""),46034.527291666665)</f>
        <v>46034.52729</v>
      </c>
      <c r="V2217" s="211" t="str">
        <f>IFERROR(__xludf.DUMMYFUNCTION("""COMPUTED_VALUE"""),"JJH4+6RV, Badas, Barengkrajan, Kec. Krian, Kabupaten Sidoarjo, Jawa Timur 61262")</f>
        <v>JJH4+6RV, Badas, Barengkrajan, Kec. Krian, Kabupaten Sidoarjo, Jawa Timur 61262</v>
      </c>
      <c r="W2217" s="211" t="str">
        <f>IFERROR(__xludf.DUMMYFUNCTION("""COMPUTED_VALUE"""),"IN")</f>
        <v>IN</v>
      </c>
      <c r="X2217" s="211"/>
    </row>
    <row r="2218">
      <c r="A2218" s="210" t="str">
        <f>IFERROR(__xludf.DUMMYFUNCTION("""COMPUTED_VALUE"""),"1250734")</f>
        <v>1250734</v>
      </c>
      <c r="B2218" s="210" t="str">
        <f>IFERROR(__xludf.DUMMYFUNCTION("""COMPUTED_VALUE"""),"1250734")</f>
        <v>1250734</v>
      </c>
      <c r="C2218" s="213">
        <f>IFERROR(__xludf.DUMMYFUNCTION("""COMPUTED_VALUE"""),45962.71791666667)</f>
        <v>45962.71792</v>
      </c>
      <c r="D2218" s="211" t="str">
        <f>IFERROR(__xludf.DUMMYFUNCTION("""COMPUTED_VALUE"""),"ec231cc9")</f>
        <v>ec231cc9</v>
      </c>
      <c r="E2218" s="211" t="str">
        <f>IFERROR(__xludf.DUMMYFUNCTION("""COMPUTED_VALUE"""),"Bpk. Kohir (Maintenance Velg)")</f>
        <v>Bpk. Kohir (Maintenance Velg)</v>
      </c>
      <c r="F2218" s="211" t="str">
        <f>IFERROR(__xludf.DUMMYFUNCTION("""COMPUTED_VALUE"""),"8bdbe149")</f>
        <v>8bdbe149</v>
      </c>
      <c r="G2218" s="211" t="str">
        <f>IFERROR(__xludf.DUMMYFUNCTION("""COMPUTED_VALUE"""),"Oksigen 6m3")</f>
        <v>Oksigen 6m3</v>
      </c>
      <c r="H2218" s="211" t="str">
        <f>IFERROR(__xludf.DUMMYFUNCTION("""COMPUTED_VALUE"""),"IN")</f>
        <v>IN</v>
      </c>
      <c r="I2218" s="211" t="str">
        <f>IFERROR(__xludf.DUMMYFUNCTION("""COMPUTED_VALUE"""),"EMPTY")</f>
        <v>EMPTY</v>
      </c>
      <c r="J2218" s="211">
        <f>IFERROR(__xludf.DUMMYFUNCTION("""COMPUTED_VALUE"""),6.0)</f>
        <v>6</v>
      </c>
      <c r="K2218" s="210" t="str">
        <f>IFERROR(__xludf.DUMMYFUNCTION("""COMPUTED_VALUE"""),"1121 11116 11279 11175 11245 76")</f>
        <v>1121 11116 11279 11175 11245 76</v>
      </c>
      <c r="L2218" s="211">
        <f>IFERROR(__xludf.DUMMYFUNCTION("""COMPUTED_VALUE"""),0.0)</f>
        <v>0</v>
      </c>
      <c r="M2218" s="211"/>
      <c r="N2218" s="211"/>
      <c r="O2218" s="211"/>
      <c r="Q2218" s="210" t="str">
        <f>IFERROR(__xludf.DUMMYFUNCTION("""COMPUTED_VALUE"""),"0126112215")</f>
        <v>0126112215</v>
      </c>
      <c r="R2218" s="210" t="str">
        <f>IFERROR(__xludf.DUMMYFUNCTION("""COMPUTED_VALUE"""),"0126112215")</f>
        <v>0126112215</v>
      </c>
      <c r="S2218" s="211" t="str">
        <f>IFERROR(__xludf.DUMMYFUNCTION("""COMPUTED_VALUE"""),"63fc688a")</f>
        <v>63fc688a</v>
      </c>
      <c r="T2218" s="211" t="str">
        <f>IFERROR(__xludf.DUMMYFUNCTION("""COMPUTED_VALUE"""),"CV Malik Nusantara")</f>
        <v>CV Malik Nusantara</v>
      </c>
      <c r="U2218" s="215">
        <f>IFERROR(__xludf.DUMMYFUNCTION("""COMPUTED_VALUE"""),46034.56234953704)</f>
        <v>46034.56235</v>
      </c>
      <c r="V2218" s="211" t="str">
        <f>IFERROR(__xludf.DUMMYFUNCTION("""COMPUTED_VALUE"""),"Jl. Raya Balongbendo No.12, Suwaluh Utara, Suwaluh, Kec. BalongBendo, Kabupaten Sidoarjo, Jawa Timur 61263")</f>
        <v>Jl. Raya Balongbendo No.12, Suwaluh Utara, Suwaluh, Kec. BalongBendo, Kabupaten Sidoarjo, Jawa Timur 61263</v>
      </c>
      <c r="W2218" s="211" t="str">
        <f>IFERROR(__xludf.DUMMYFUNCTION("""COMPUTED_VALUE"""),"OUT")</f>
        <v>OUT</v>
      </c>
      <c r="X2218" s="211"/>
    </row>
    <row r="2219">
      <c r="A2219" s="210" t="str">
        <f>IFERROR(__xludf.DUMMYFUNCTION("""COMPUTED_VALUE"""),"1250734")</f>
        <v>1250734</v>
      </c>
      <c r="B2219" s="210" t="str">
        <f>IFERROR(__xludf.DUMMYFUNCTION("""COMPUTED_VALUE"""),"1250734")</f>
        <v>1250734</v>
      </c>
      <c r="C2219" s="213">
        <f>IFERROR(__xludf.DUMMYFUNCTION("""COMPUTED_VALUE"""),45962.71791666667)</f>
        <v>45962.71792</v>
      </c>
      <c r="D2219" s="211" t="str">
        <f>IFERROR(__xludf.DUMMYFUNCTION("""COMPUTED_VALUE"""),"ec231cc9")</f>
        <v>ec231cc9</v>
      </c>
      <c r="E2219" s="211" t="str">
        <f>IFERROR(__xludf.DUMMYFUNCTION("""COMPUTED_VALUE"""),"Bpk. Kohir (Maintenance Velg)")</f>
        <v>Bpk. Kohir (Maintenance Velg)</v>
      </c>
      <c r="F2219" s="211" t="str">
        <f>IFERROR(__xludf.DUMMYFUNCTION("""COMPUTED_VALUE"""),"8bdbe149")</f>
        <v>8bdbe149</v>
      </c>
      <c r="G2219" s="211" t="str">
        <f>IFERROR(__xludf.DUMMYFUNCTION("""COMPUTED_VALUE"""),"Oksigen 6m3")</f>
        <v>Oksigen 6m3</v>
      </c>
      <c r="H2219" s="211" t="str">
        <f>IFERROR(__xludf.DUMMYFUNCTION("""COMPUTED_VALUE"""),"IN")</f>
        <v>IN</v>
      </c>
      <c r="I2219" s="211" t="str">
        <f>IFERROR(__xludf.DUMMYFUNCTION("""COMPUTED_VALUE"""),"EMPTY")</f>
        <v>EMPTY</v>
      </c>
      <c r="J2219" s="211">
        <f>IFERROR(__xludf.DUMMYFUNCTION("""COMPUTED_VALUE"""),1.0)</f>
        <v>1</v>
      </c>
      <c r="K2219" s="210" t="str">
        <f>IFERROR(__xludf.DUMMYFUNCTION("""COMPUTED_VALUE"""),"01")</f>
        <v>01</v>
      </c>
      <c r="L2219" s="211">
        <f>IFERROR(__xludf.DUMMYFUNCTION("""COMPUTED_VALUE"""),0.0)</f>
        <v>0</v>
      </c>
      <c r="M2219" s="211"/>
      <c r="N2219" s="211"/>
      <c r="O2219" s="211"/>
      <c r="Q2219" s="210" t="str">
        <f>IFERROR(__xludf.DUMMYFUNCTION("""COMPUTED_VALUE"""),"4012611990")</f>
        <v>4012611990</v>
      </c>
      <c r="R2219" s="210" t="str">
        <f>IFERROR(__xludf.DUMMYFUNCTION("""COMPUTED_VALUE"""),"4012611990")</f>
        <v>4012611990</v>
      </c>
      <c r="S2219" s="211" t="str">
        <f>IFERROR(__xludf.DUMMYFUNCTION("""COMPUTED_VALUE"""),"63fc688a")</f>
        <v>63fc688a</v>
      </c>
      <c r="T2219" s="211" t="str">
        <f>IFERROR(__xludf.DUMMYFUNCTION("""COMPUTED_VALUE"""),"CV Malik Nusantara")</f>
        <v>CV Malik Nusantara</v>
      </c>
      <c r="U2219" s="215">
        <f>IFERROR(__xludf.DUMMYFUNCTION("""COMPUTED_VALUE"""),46034.56532407407)</f>
        <v>46034.56532</v>
      </c>
      <c r="V2219" s="211" t="str">
        <f>IFERROR(__xludf.DUMMYFUNCTION("""COMPUTED_VALUE"""),"Jl. Raya Balongbendo No.12, Suwaluh Utara, Suwaluh, Kec. BalongBendo, Kabupaten Sidoarjo, Jawa Timur 61263")</f>
        <v>Jl. Raya Balongbendo No.12, Suwaluh Utara, Suwaluh, Kec. BalongBendo, Kabupaten Sidoarjo, Jawa Timur 61263</v>
      </c>
      <c r="W2219" s="211" t="str">
        <f>IFERROR(__xludf.DUMMYFUNCTION("""COMPUTED_VALUE"""),"OTHER")</f>
        <v>OTHER</v>
      </c>
      <c r="X2219" s="211"/>
    </row>
    <row r="2220">
      <c r="A2220" s="210" t="str">
        <f>IFERROR(__xludf.DUMMYFUNCTION("""COMPUTED_VALUE"""),"112511587")</f>
        <v>112511587</v>
      </c>
      <c r="B2220" s="210" t="str">
        <f>IFERROR(__xludf.DUMMYFUNCTION("""COMPUTED_VALUE"""),"112511587")</f>
        <v>112511587</v>
      </c>
      <c r="C2220" s="213">
        <f>IFERROR(__xludf.DUMMYFUNCTION("""COMPUTED_VALUE"""),45964.364270833335)</f>
        <v>45964.36427</v>
      </c>
      <c r="D2220" s="211" t="str">
        <f>IFERROR(__xludf.DUMMYFUNCTION("""COMPUTED_VALUE"""),"a1508027")</f>
        <v>a1508027</v>
      </c>
      <c r="E2220" s="211" t="str">
        <f>IFERROR(__xludf.DUMMYFUNCTION("""COMPUTED_VALUE"""),"Agus Budiono")</f>
        <v>Agus Budiono</v>
      </c>
      <c r="F2220" s="211" t="str">
        <f>IFERROR(__xludf.DUMMYFUNCTION("""COMPUTED_VALUE"""),"8bdbe149")</f>
        <v>8bdbe149</v>
      </c>
      <c r="G2220" s="211" t="str">
        <f>IFERROR(__xludf.DUMMYFUNCTION("""COMPUTED_VALUE"""),"Oksigen 6m3")</f>
        <v>Oksigen 6m3</v>
      </c>
      <c r="H2220" s="211" t="str">
        <f>IFERROR(__xludf.DUMMYFUNCTION("""COMPUTED_VALUE"""),"OUT")</f>
        <v>OUT</v>
      </c>
      <c r="I2220" s="211" t="str">
        <f>IFERROR(__xludf.DUMMYFUNCTION("""COMPUTED_VALUE"""),"NORMAL")</f>
        <v>NORMAL</v>
      </c>
      <c r="J2220" s="211">
        <f>IFERROR(__xludf.DUMMYFUNCTION("""COMPUTED_VALUE"""),1.0)</f>
        <v>1</v>
      </c>
      <c r="K2220" s="210" t="str">
        <f>IFERROR(__xludf.DUMMYFUNCTION("""COMPUTED_VALUE"""),"01")</f>
        <v>01</v>
      </c>
      <c r="L2220" s="211">
        <f>IFERROR(__xludf.DUMMYFUNCTION("""COMPUTED_VALUE"""),80000.0)</f>
        <v>80000</v>
      </c>
      <c r="M2220" s="211"/>
      <c r="N2220" s="211"/>
      <c r="O2220" s="211"/>
      <c r="Q2220" s="210" t="str">
        <f>IFERROR(__xludf.DUMMYFUNCTION("""COMPUTED_VALUE"""),"1261060")</f>
        <v>1261060</v>
      </c>
      <c r="R2220" s="210" t="str">
        <f>IFERROR(__xludf.DUMMYFUNCTION("""COMPUTED_VALUE"""),"1261060")</f>
        <v>1261060</v>
      </c>
      <c r="S2220" s="211" t="str">
        <f>IFERROR(__xludf.DUMMYFUNCTION("""COMPUTED_VALUE"""),"b2b5f2c5")</f>
        <v>b2b5f2c5</v>
      </c>
      <c r="T2220" s="211" t="str">
        <f>IFERROR(__xludf.DUMMYFUNCTION("""COMPUTED_VALUE"""),"Bengkel Las Bpk. Ari")</f>
        <v>Bengkel Las Bpk. Ari</v>
      </c>
      <c r="U2220" s="215">
        <f>IFERROR(__xludf.DUMMYFUNCTION("""COMPUTED_VALUE"""),46034.566782407404)</f>
        <v>46034.56678</v>
      </c>
      <c r="V2220" s="211" t="str">
        <f>IFERROR(__xludf.DUMMYFUNCTION("""COMPUTED_VALUE"""),"Sumber Kembar, Wonodadi, Kec. Kutorejo, Kabupaten Mojokerto, Jawa Timur")</f>
        <v>Sumber Kembar, Wonodadi, Kec. Kutorejo, Kabupaten Mojokerto, Jawa Timur</v>
      </c>
      <c r="W2220" s="211" t="str">
        <f>IFERROR(__xludf.DUMMYFUNCTION("""COMPUTED_VALUE"""),"IN")</f>
        <v>IN</v>
      </c>
      <c r="X2220" s="211"/>
    </row>
    <row r="2221">
      <c r="A2221" s="210" t="str">
        <f>IFERROR(__xludf.DUMMYFUNCTION("""COMPUTED_VALUE"""),"1125191590")</f>
        <v>1125191590</v>
      </c>
      <c r="B2221" s="210" t="str">
        <f>IFERROR(__xludf.DUMMYFUNCTION("""COMPUTED_VALUE"""),"1125191590")</f>
        <v>1125191590</v>
      </c>
      <c r="C2221" s="213">
        <f>IFERROR(__xludf.DUMMYFUNCTION("""COMPUTED_VALUE"""),45964.368796296294)</f>
        <v>45964.3688</v>
      </c>
      <c r="D2221" s="211" t="str">
        <f>IFERROR(__xludf.DUMMYFUNCTION("""COMPUTED_VALUE"""),"182fb0fe")</f>
        <v>182fb0fe</v>
      </c>
      <c r="E2221" s="211" t="str">
        <f>IFERROR(__xludf.DUMMYFUNCTION("""COMPUTED_VALUE"""),"PT Amtech")</f>
        <v>PT Amtech</v>
      </c>
      <c r="F2221" s="211" t="str">
        <f>IFERROR(__xludf.DUMMYFUNCTION("""COMPUTED_VALUE"""),"66af7c72")</f>
        <v>66af7c72</v>
      </c>
      <c r="G2221" s="211" t="str">
        <f>IFERROR(__xludf.DUMMYFUNCTION("""COMPUTED_VALUE"""),"Argon 6m3")</f>
        <v>Argon 6m3</v>
      </c>
      <c r="H2221" s="211" t="str">
        <f>IFERROR(__xludf.DUMMYFUNCTION("""COMPUTED_VALUE"""),"OUT")</f>
        <v>OUT</v>
      </c>
      <c r="I2221" s="211" t="str">
        <f>IFERROR(__xludf.DUMMYFUNCTION("""COMPUTED_VALUE"""),"NORMAL")</f>
        <v>NORMAL</v>
      </c>
      <c r="J2221" s="211">
        <f>IFERROR(__xludf.DUMMYFUNCTION("""COMPUTED_VALUE"""),2.0)</f>
        <v>2</v>
      </c>
      <c r="K2221" s="210" t="str">
        <f>IFERROR(__xludf.DUMMYFUNCTION("""COMPUTED_VALUE"""),"12072 12006")</f>
        <v>12072 12006</v>
      </c>
      <c r="L2221" s="211">
        <f>IFERROR(__xludf.DUMMYFUNCTION("""COMPUTED_VALUE"""),195000.0)</f>
        <v>195000</v>
      </c>
      <c r="M2221" s="211"/>
      <c r="N2221" s="211"/>
      <c r="O2221" s="211"/>
      <c r="Q2221" s="210" t="str">
        <f>IFERROR(__xludf.DUMMYFUNCTION("""COMPUTED_VALUE"""),"1261076")</f>
        <v>1261076</v>
      </c>
      <c r="R2221" s="210" t="str">
        <f>IFERROR(__xludf.DUMMYFUNCTION("""COMPUTED_VALUE"""),"1261076")</f>
        <v>1261076</v>
      </c>
      <c r="S2221" s="211" t="str">
        <f>IFERROR(__xludf.DUMMYFUNCTION("""COMPUTED_VALUE"""),"440df1db")</f>
        <v>440df1db</v>
      </c>
      <c r="T2221" s="211" t="str">
        <f>IFERROR(__xludf.DUMMYFUNCTION("""COMPUTED_VALUE"""),"PT. Mecca Abadi Sejahtera")</f>
        <v>PT. Mecca Abadi Sejahtera</v>
      </c>
      <c r="U2221" s="215">
        <f>IFERROR(__xludf.DUMMYFUNCTION("""COMPUTED_VALUE"""),46035.36048611111)</f>
        <v>46035.36049</v>
      </c>
      <c r="V2221" s="211" t="str">
        <f>IFERROR(__xludf.DUMMYFUNCTION("""COMPUTED_VALUE"""),"Jl. Raya Sawocangkring, RT.006/RW.002, Sawo, Sawocangkring, Kec. Wonoayu, Kabupaten Sidoarjo, Jawa Timur 61261")</f>
        <v>Jl. Raya Sawocangkring, RT.006/RW.002, Sawo, Sawocangkring, Kec. Wonoayu, Kabupaten Sidoarjo, Jawa Timur 61261</v>
      </c>
      <c r="W2221" s="211" t="str">
        <f>IFERROR(__xludf.DUMMYFUNCTION("""COMPUTED_VALUE"""),"IN")</f>
        <v>IN</v>
      </c>
      <c r="X2221" s="211"/>
    </row>
    <row r="2222">
      <c r="A2222" s="211"/>
      <c r="B2222" s="211"/>
      <c r="C2222" s="211"/>
      <c r="D2222" s="211"/>
      <c r="E2222" s="211"/>
      <c r="F2222" s="211"/>
      <c r="G2222" s="211"/>
      <c r="H2222" s="211"/>
      <c r="I2222" s="211"/>
      <c r="J2222" s="211"/>
      <c r="K2222" s="211"/>
      <c r="L2222" s="211"/>
      <c r="M2222" s="211"/>
      <c r="N2222" s="211"/>
      <c r="O2222" s="211"/>
      <c r="Q2222" s="210" t="str">
        <f>IFERROR(__xludf.DUMMYFUNCTION("""COMPUTED_VALUE"""),"012672219")</f>
        <v>012672219</v>
      </c>
      <c r="R2222" s="210" t="str">
        <f>IFERROR(__xludf.DUMMYFUNCTION("""COMPUTED_VALUE"""),"012672219")</f>
        <v>012672219</v>
      </c>
      <c r="S2222" s="211" t="str">
        <f>IFERROR(__xludf.DUMMYFUNCTION("""COMPUTED_VALUE"""),"b0735da4")</f>
        <v>b0735da4</v>
      </c>
      <c r="T2222" s="211" t="str">
        <f>IFERROR(__xludf.DUMMYFUNCTION("""COMPUTED_VALUE"""),"Bpk. Amer Ciro")</f>
        <v>Bpk. Amer Ciro</v>
      </c>
      <c r="U2222" s="215">
        <f>IFERROR(__xludf.DUMMYFUNCTION("""COMPUTED_VALUE"""),46035.361342592594)</f>
        <v>46035.36134</v>
      </c>
      <c r="V2222" s="211" t="str">
        <f>IFERROR(__xludf.DUMMYFUNCTION("""COMPUTED_VALUE"""),"HFJR+FV8 Bakungtemenggungan, Kabupaten Sidoarjo, Jawa Timur")</f>
        <v>HFJR+FV8 Bakungtemenggungan, Kabupaten Sidoarjo, Jawa Timur</v>
      </c>
      <c r="W2222" s="211" t="str">
        <f>IFERROR(__xludf.DUMMYFUNCTION("""COMPUTED_VALUE"""),"OUT")</f>
        <v>OUT</v>
      </c>
      <c r="X2222" s="211"/>
    </row>
    <row r="2223">
      <c r="A2223" s="210" t="str">
        <f>IFERROR(__xludf.DUMMYFUNCTION("""COMPUTED_VALUE"""),"1125321591")</f>
        <v>1125321591</v>
      </c>
      <c r="B2223" s="210" t="str">
        <f>IFERROR(__xludf.DUMMYFUNCTION("""COMPUTED_VALUE"""),"1125321591")</f>
        <v>1125321591</v>
      </c>
      <c r="C2223" s="213">
        <f>IFERROR(__xludf.DUMMYFUNCTION("""COMPUTED_VALUE"""),45964.375972222224)</f>
        <v>45964.37597</v>
      </c>
      <c r="D2223" s="211" t="str">
        <f>IFERROR(__xludf.DUMMYFUNCTION("""COMPUTED_VALUE"""),"b2b5f2c5")</f>
        <v>b2b5f2c5</v>
      </c>
      <c r="E2223" s="211" t="str">
        <f>IFERROR(__xludf.DUMMYFUNCTION("""COMPUTED_VALUE"""),"Bengkel Las Bpk. Ari")</f>
        <v>Bengkel Las Bpk. Ari</v>
      </c>
      <c r="F2223" s="211" t="str">
        <f>IFERROR(__xludf.DUMMYFUNCTION("""COMPUTED_VALUE"""),"8bdbe149")</f>
        <v>8bdbe149</v>
      </c>
      <c r="G2223" s="211" t="str">
        <f>IFERROR(__xludf.DUMMYFUNCTION("""COMPUTED_VALUE"""),"Oksigen 6m3")</f>
        <v>Oksigen 6m3</v>
      </c>
      <c r="H2223" s="211" t="str">
        <f>IFERROR(__xludf.DUMMYFUNCTION("""COMPUTED_VALUE"""),"OUT")</f>
        <v>OUT</v>
      </c>
      <c r="I2223" s="211" t="str">
        <f>IFERROR(__xludf.DUMMYFUNCTION("""COMPUTED_VALUE"""),"NORMAL")</f>
        <v>NORMAL</v>
      </c>
      <c r="J2223" s="211">
        <f>IFERROR(__xludf.DUMMYFUNCTION("""COMPUTED_VALUE"""),6.0)</f>
        <v>6</v>
      </c>
      <c r="K2223" s="210" t="str">
        <f>IFERROR(__xludf.DUMMYFUNCTION("""COMPUTED_VALUE"""),"1197 11283 11181 1149 11199 11278")</f>
        <v>1197 11283 11181 1149 11199 11278</v>
      </c>
      <c r="L2223" s="211">
        <f>IFERROR(__xludf.DUMMYFUNCTION("""COMPUTED_VALUE"""),60000.0)</f>
        <v>60000</v>
      </c>
      <c r="M2223" s="211"/>
      <c r="N2223" s="211"/>
      <c r="O2223" s="211"/>
      <c r="Q2223" s="210" t="str">
        <f>IFERROR(__xludf.DUMMYFUNCTION("""COMPUTED_VALUE"""),"0126362223")</f>
        <v>0126362223</v>
      </c>
      <c r="R2223" s="210" t="str">
        <f>IFERROR(__xludf.DUMMYFUNCTION("""COMPUTED_VALUE"""),"0126362223")</f>
        <v>0126362223</v>
      </c>
      <c r="S2223" s="211" t="str">
        <f>IFERROR(__xludf.DUMMYFUNCTION("""COMPUTED_VALUE"""),"ce83e171")</f>
        <v>ce83e171</v>
      </c>
      <c r="T2223" s="211" t="str">
        <f>IFERROR(__xludf.DUMMYFUNCTION("""COMPUTED_VALUE"""),"Bpk. Sulaiman")</f>
        <v>Bpk. Sulaiman</v>
      </c>
      <c r="U2223" s="215">
        <f>IFERROR(__xludf.DUMMYFUNCTION("""COMPUTED_VALUE"""),46035.47922453703)</f>
        <v>46035.47922</v>
      </c>
      <c r="V2223" s="211" t="str">
        <f>IFERROR(__xludf.DUMMYFUNCTION("""COMPUTED_VALUE"""),"Jl. Raya Kramat Temenggung No.43, Kramat, Kramat Temenggung, Kec. Tarik, Kabupaten Sidoarjo, Jawa Timur 61265")</f>
        <v>Jl. Raya Kramat Temenggung No.43, Kramat, Kramat Temenggung, Kec. Tarik, Kabupaten Sidoarjo, Jawa Timur 61265</v>
      </c>
      <c r="W2223" s="211" t="str">
        <f>IFERROR(__xludf.DUMMYFUNCTION("""COMPUTED_VALUE"""),"OUT")</f>
        <v>OUT</v>
      </c>
      <c r="X2223" s="211"/>
    </row>
    <row r="2224">
      <c r="A2224" s="210" t="str">
        <f>IFERROR(__xludf.DUMMYFUNCTION("""COMPUTED_VALUE"""),"1125321591")</f>
        <v>1125321591</v>
      </c>
      <c r="B2224" s="210" t="str">
        <f>IFERROR(__xludf.DUMMYFUNCTION("""COMPUTED_VALUE"""),"1125321591")</f>
        <v>1125321591</v>
      </c>
      <c r="C2224" s="213">
        <f>IFERROR(__xludf.DUMMYFUNCTION("""COMPUTED_VALUE"""),45964.375972222224)</f>
        <v>45964.37597</v>
      </c>
      <c r="D2224" s="211" t="str">
        <f>IFERROR(__xludf.DUMMYFUNCTION("""COMPUTED_VALUE"""),"b2b5f2c5")</f>
        <v>b2b5f2c5</v>
      </c>
      <c r="E2224" s="211" t="str">
        <f>IFERROR(__xludf.DUMMYFUNCTION("""COMPUTED_VALUE"""),"Bengkel Las Bpk. Ari")</f>
        <v>Bengkel Las Bpk. Ari</v>
      </c>
      <c r="F2224" s="211" t="str">
        <f>IFERROR(__xludf.DUMMYFUNCTION("""COMPUTED_VALUE"""),"ef306e54")</f>
        <v>ef306e54</v>
      </c>
      <c r="G2224" s="211" t="str">
        <f>IFERROR(__xludf.DUMMYFUNCTION("""COMPUTED_VALUE"""),"Karbondioksida")</f>
        <v>Karbondioksida</v>
      </c>
      <c r="H2224" s="211" t="str">
        <f>IFERROR(__xludf.DUMMYFUNCTION("""COMPUTED_VALUE"""),"OUT")</f>
        <v>OUT</v>
      </c>
      <c r="I2224" s="211" t="str">
        <f>IFERROR(__xludf.DUMMYFUNCTION("""COMPUTED_VALUE"""),"NORMAL")</f>
        <v>NORMAL</v>
      </c>
      <c r="J2224" s="211">
        <f>IFERROR(__xludf.DUMMYFUNCTION("""COMPUTED_VALUE"""),2.0)</f>
        <v>2</v>
      </c>
      <c r="K2224" s="210" t="str">
        <f>IFERROR(__xludf.DUMMYFUNCTION("""COMPUTED_VALUE"""),"13020 13034")</f>
        <v>13020 13034</v>
      </c>
      <c r="L2224" s="211">
        <f>IFERROR(__xludf.DUMMYFUNCTION("""COMPUTED_VALUE"""),170000.0)</f>
        <v>170000</v>
      </c>
      <c r="M2224" s="211"/>
      <c r="N2224" s="211"/>
      <c r="O2224" s="211"/>
      <c r="Q2224" s="210" t="str">
        <f>IFERROR(__xludf.DUMMYFUNCTION("""COMPUTED_VALUE"""),"1261078")</f>
        <v>1261078</v>
      </c>
      <c r="R2224" s="210" t="str">
        <f>IFERROR(__xludf.DUMMYFUNCTION("""COMPUTED_VALUE"""),"1261078")</f>
        <v>1261078</v>
      </c>
      <c r="S2224" s="211" t="str">
        <f>IFERROR(__xludf.DUMMYFUNCTION("""COMPUTED_VALUE"""),"b2b5f2c5")</f>
        <v>b2b5f2c5</v>
      </c>
      <c r="T2224" s="211" t="str">
        <f>IFERROR(__xludf.DUMMYFUNCTION("""COMPUTED_VALUE"""),"Bengkel Las Bpk. Ari")</f>
        <v>Bengkel Las Bpk. Ari</v>
      </c>
      <c r="U2224" s="215">
        <f>IFERROR(__xludf.DUMMYFUNCTION("""COMPUTED_VALUE"""),46035.59894675926)</f>
        <v>46035.59895</v>
      </c>
      <c r="V2224" s="211" t="str">
        <f>IFERROR(__xludf.DUMMYFUNCTION("""COMPUTED_VALUE"""),"Sumber Kembar, Wonodadi, Kec. Kutorejo, Kabupaten Mojokerto, Jawa Timur")</f>
        <v>Sumber Kembar, Wonodadi, Kec. Kutorejo, Kabupaten Mojokerto, Jawa Timur</v>
      </c>
      <c r="W2224" s="211" t="str">
        <f>IFERROR(__xludf.DUMMYFUNCTION("""COMPUTED_VALUE"""),"IN")</f>
        <v>IN</v>
      </c>
      <c r="X2224" s="211"/>
    </row>
    <row r="2225">
      <c r="A2225" s="210" t="str">
        <f>IFERROR(__xludf.DUMMYFUNCTION("""COMPUTED_VALUE"""),"1250732")</f>
        <v>1250732</v>
      </c>
      <c r="B2225" s="210" t="str">
        <f>IFERROR(__xludf.DUMMYFUNCTION("""COMPUTED_VALUE"""),"1250732")</f>
        <v>1250732</v>
      </c>
      <c r="C2225" s="213">
        <f>IFERROR(__xludf.DUMMYFUNCTION("""COMPUTED_VALUE"""),45961.614583333336)</f>
        <v>45961.61458</v>
      </c>
      <c r="D2225" s="211" t="str">
        <f>IFERROR(__xludf.DUMMYFUNCTION("""COMPUTED_VALUE"""),"b2b5f2c5")</f>
        <v>b2b5f2c5</v>
      </c>
      <c r="E2225" s="211" t="str">
        <f>IFERROR(__xludf.DUMMYFUNCTION("""COMPUTED_VALUE"""),"Bengkel Las Bpk. Ari")</f>
        <v>Bengkel Las Bpk. Ari</v>
      </c>
      <c r="F2225" s="211" t="str">
        <f>IFERROR(__xludf.DUMMYFUNCTION("""COMPUTED_VALUE"""),"8bdbe149")</f>
        <v>8bdbe149</v>
      </c>
      <c r="G2225" s="211" t="str">
        <f>IFERROR(__xludf.DUMMYFUNCTION("""COMPUTED_VALUE"""),"Oksigen 6m3")</f>
        <v>Oksigen 6m3</v>
      </c>
      <c r="H2225" s="211" t="str">
        <f>IFERROR(__xludf.DUMMYFUNCTION("""COMPUTED_VALUE"""),"IN")</f>
        <v>IN</v>
      </c>
      <c r="I2225" s="211" t="str">
        <f>IFERROR(__xludf.DUMMYFUNCTION("""COMPUTED_VALUE"""),"EMPTY")</f>
        <v>EMPTY</v>
      </c>
      <c r="J2225" s="211">
        <f>IFERROR(__xludf.DUMMYFUNCTION("""COMPUTED_VALUE"""),8.0)</f>
        <v>8</v>
      </c>
      <c r="K2225" s="210" t="str">
        <f>IFERROR(__xludf.DUMMYFUNCTION("""COMPUTED_VALUE"""),"1147 1186 1166 11197 1112 11100 11104 1182")</f>
        <v>1147 1186 1166 11197 1112 11100 11104 1182</v>
      </c>
      <c r="L2225" s="211">
        <f>IFERROR(__xludf.DUMMYFUNCTION("""COMPUTED_VALUE"""),0.0)</f>
        <v>0</v>
      </c>
      <c r="M2225" s="211"/>
      <c r="N2225" s="211"/>
      <c r="O2225" s="211"/>
      <c r="Q2225" s="210" t="str">
        <f>IFERROR(__xludf.DUMMYFUNCTION("""COMPUTED_VALUE"""),"1261077")</f>
        <v>1261077</v>
      </c>
      <c r="R2225" s="210" t="str">
        <f>IFERROR(__xludf.DUMMYFUNCTION("""COMPUTED_VALUE"""),"1261077")</f>
        <v>1261077</v>
      </c>
      <c r="S2225" s="211" t="str">
        <f>IFERROR(__xludf.DUMMYFUNCTION("""COMPUTED_VALUE"""),"b0735da4")</f>
        <v>b0735da4</v>
      </c>
      <c r="T2225" s="211" t="str">
        <f>IFERROR(__xludf.DUMMYFUNCTION("""COMPUTED_VALUE"""),"Bpk. Amer Ciro")</f>
        <v>Bpk. Amer Ciro</v>
      </c>
      <c r="U2225" s="215">
        <f>IFERROR(__xludf.DUMMYFUNCTION("""COMPUTED_VALUE"""),46035.60251157408)</f>
        <v>46035.60251</v>
      </c>
      <c r="V2225" s="211" t="str">
        <f>IFERROR(__xludf.DUMMYFUNCTION("""COMPUTED_VALUE"""),"HFJR+FV8 Bakungtemenggungan, Kabupaten Sidoarjo, Jawa Timur")</f>
        <v>HFJR+FV8 Bakungtemenggungan, Kabupaten Sidoarjo, Jawa Timur</v>
      </c>
      <c r="W2225" s="211" t="str">
        <f>IFERROR(__xludf.DUMMYFUNCTION("""COMPUTED_VALUE"""),"IN")</f>
        <v>IN</v>
      </c>
      <c r="X2225" s="211"/>
    </row>
    <row r="2226">
      <c r="A2226" s="210" t="str">
        <f>IFERROR(__xludf.DUMMYFUNCTION("""COMPUTED_VALUE"""),"1250745")</f>
        <v>1250745</v>
      </c>
      <c r="B2226" s="210" t="str">
        <f>IFERROR(__xludf.DUMMYFUNCTION("""COMPUTED_VALUE"""),"1250745")</f>
        <v>1250745</v>
      </c>
      <c r="C2226" s="213">
        <f>IFERROR(__xludf.DUMMYFUNCTION("""COMPUTED_VALUE"""),45964.537210648145)</f>
        <v>45964.53721</v>
      </c>
      <c r="D2226" s="211" t="str">
        <f>IFERROR(__xludf.DUMMYFUNCTION("""COMPUTED_VALUE"""),"182fb0fe")</f>
        <v>182fb0fe</v>
      </c>
      <c r="E2226" s="211" t="str">
        <f>IFERROR(__xludf.DUMMYFUNCTION("""COMPUTED_VALUE"""),"PT Amtech")</f>
        <v>PT Amtech</v>
      </c>
      <c r="F2226" s="211" t="str">
        <f>IFERROR(__xludf.DUMMYFUNCTION("""COMPUTED_VALUE"""),"66af7c72")</f>
        <v>66af7c72</v>
      </c>
      <c r="G2226" s="211" t="str">
        <f>IFERROR(__xludf.DUMMYFUNCTION("""COMPUTED_VALUE"""),"Argon 6m3")</f>
        <v>Argon 6m3</v>
      </c>
      <c r="H2226" s="211" t="str">
        <f>IFERROR(__xludf.DUMMYFUNCTION("""COMPUTED_VALUE"""),"IN")</f>
        <v>IN</v>
      </c>
      <c r="I2226" s="211" t="str">
        <f>IFERROR(__xludf.DUMMYFUNCTION("""COMPUTED_VALUE"""),"EMPTY")</f>
        <v>EMPTY</v>
      </c>
      <c r="J2226" s="211">
        <f>IFERROR(__xludf.DUMMYFUNCTION("""COMPUTED_VALUE"""),3.0)</f>
        <v>3</v>
      </c>
      <c r="K2226" s="210" t="str">
        <f>IFERROR(__xludf.DUMMYFUNCTION("""COMPUTED_VALUE"""),"12054 12055 12004")</f>
        <v>12054 12055 12004</v>
      </c>
      <c r="L2226" s="211">
        <f>IFERROR(__xludf.DUMMYFUNCTION("""COMPUTED_VALUE"""),0.0)</f>
        <v>0</v>
      </c>
      <c r="M2226" s="211"/>
      <c r="N2226" s="211"/>
      <c r="O2226" s="211"/>
      <c r="Q2226" s="210" t="str">
        <f>IFERROR(__xludf.DUMMYFUNCTION("""COMPUTED_VALUE"""),"1261079")</f>
        <v>1261079</v>
      </c>
      <c r="R2226" s="210" t="str">
        <f>IFERROR(__xludf.DUMMYFUNCTION("""COMPUTED_VALUE"""),"1261079")</f>
        <v>1261079</v>
      </c>
      <c r="S2226" s="211" t="str">
        <f>IFERROR(__xludf.DUMMYFUNCTION("""COMPUTED_VALUE"""),"21ff9b6f")</f>
        <v>21ff9b6f</v>
      </c>
      <c r="T2226" s="211" t="str">
        <f>IFERROR(__xludf.DUMMYFUNCTION("""COMPUTED_VALUE"""),"Bpk. Khoirul Anam")</f>
        <v>Bpk. Khoirul Anam</v>
      </c>
      <c r="U2226" s="215">
        <f>IFERROR(__xludf.DUMMYFUNCTION("""COMPUTED_VALUE"""),46035.60288194445)</f>
        <v>46035.60288</v>
      </c>
      <c r="V2226" s="211" t="str">
        <f>IFERROR(__xludf.DUMMYFUNCTION("""COMPUTED_VALUE"""),"Babut RT.01 RW.01 Plemahan Sumobito Jombang Jawa Timur")</f>
        <v>Babut RT.01 RW.01 Plemahan Sumobito Jombang Jawa Timur</v>
      </c>
      <c r="W2226" s="211" t="str">
        <f>IFERROR(__xludf.DUMMYFUNCTION("""COMPUTED_VALUE"""),"IN")</f>
        <v>IN</v>
      </c>
      <c r="X2226" s="211"/>
    </row>
    <row r="2227">
      <c r="A2227" s="210" t="str">
        <f>IFERROR(__xludf.DUMMYFUNCTION("""COMPUTED_VALUE"""),"1250745")</f>
        <v>1250745</v>
      </c>
      <c r="B2227" s="210" t="str">
        <f>IFERROR(__xludf.DUMMYFUNCTION("""COMPUTED_VALUE"""),"1250745")</f>
        <v>1250745</v>
      </c>
      <c r="C2227" s="213">
        <f>IFERROR(__xludf.DUMMYFUNCTION("""COMPUTED_VALUE"""),45964.537210648145)</f>
        <v>45964.53721</v>
      </c>
      <c r="D2227" s="211" t="str">
        <f>IFERROR(__xludf.DUMMYFUNCTION("""COMPUTED_VALUE"""),"182fb0fe")</f>
        <v>182fb0fe</v>
      </c>
      <c r="E2227" s="211" t="str">
        <f>IFERROR(__xludf.DUMMYFUNCTION("""COMPUTED_VALUE"""),"PT Amtech")</f>
        <v>PT Amtech</v>
      </c>
      <c r="F2227" s="211" t="str">
        <f>IFERROR(__xludf.DUMMYFUNCTION("""COMPUTED_VALUE"""),"8bdbe149")</f>
        <v>8bdbe149</v>
      </c>
      <c r="G2227" s="211" t="str">
        <f>IFERROR(__xludf.DUMMYFUNCTION("""COMPUTED_VALUE"""),"Oksigen 6m3")</f>
        <v>Oksigen 6m3</v>
      </c>
      <c r="H2227" s="211" t="str">
        <f>IFERROR(__xludf.DUMMYFUNCTION("""COMPUTED_VALUE"""),"IN")</f>
        <v>IN</v>
      </c>
      <c r="I2227" s="211" t="str">
        <f>IFERROR(__xludf.DUMMYFUNCTION("""COMPUTED_VALUE"""),"EMPTY")</f>
        <v>EMPTY</v>
      </c>
      <c r="J2227" s="211">
        <f>IFERROR(__xludf.DUMMYFUNCTION("""COMPUTED_VALUE"""),2.0)</f>
        <v>2</v>
      </c>
      <c r="K2227" s="210" t="str">
        <f>IFERROR(__xludf.DUMMYFUNCTION("""COMPUTED_VALUE"""),"11206 11132")</f>
        <v>11206 11132</v>
      </c>
      <c r="L2227" s="211">
        <f>IFERROR(__xludf.DUMMYFUNCTION("""COMPUTED_VALUE"""),0.0)</f>
        <v>0</v>
      </c>
      <c r="M2227" s="211"/>
      <c r="N2227" s="211"/>
      <c r="O2227" s="211"/>
      <c r="Q2227" s="210" t="str">
        <f>IFERROR(__xludf.DUMMYFUNCTION("""COMPUTED_VALUE"""),"1261057")</f>
        <v>1261057</v>
      </c>
      <c r="R2227" s="210" t="str">
        <f>IFERROR(__xludf.DUMMYFUNCTION("""COMPUTED_VALUE"""),"1261057")</f>
        <v>1261057</v>
      </c>
      <c r="S2227" s="211" t="str">
        <f>IFERROR(__xludf.DUMMYFUNCTION("""COMPUTED_VALUE"""),"ce83e171")</f>
        <v>ce83e171</v>
      </c>
      <c r="T2227" s="211" t="str">
        <f>IFERROR(__xludf.DUMMYFUNCTION("""COMPUTED_VALUE"""),"Bpk. Sulaiman")</f>
        <v>Bpk. Sulaiman</v>
      </c>
      <c r="U2227" s="215">
        <f>IFERROR(__xludf.DUMMYFUNCTION("""COMPUTED_VALUE"""),46035.644537037035)</f>
        <v>46035.64454</v>
      </c>
      <c r="V2227" s="211" t="str">
        <f>IFERROR(__xludf.DUMMYFUNCTION("""COMPUTED_VALUE"""),"Jl. Raya Kramat Temenggung No.43, Kramat, Kramat Temenggung, Kec. Tarik, Kabupaten Sidoarjo, Jawa Timur 61265")</f>
        <v>Jl. Raya Kramat Temenggung No.43, Kramat, Kramat Temenggung, Kec. Tarik, Kabupaten Sidoarjo, Jawa Timur 61265</v>
      </c>
      <c r="W2227" s="211" t="str">
        <f>IFERROR(__xludf.DUMMYFUNCTION("""COMPUTED_VALUE"""),"IN")</f>
        <v>IN</v>
      </c>
      <c r="X2227" s="211"/>
    </row>
    <row r="2228">
      <c r="A2228" s="210" t="str">
        <f>IFERROR(__xludf.DUMMYFUNCTION("""COMPUTED_VALUE"""),"1250745")</f>
        <v>1250745</v>
      </c>
      <c r="B2228" s="210" t="str">
        <f>IFERROR(__xludf.DUMMYFUNCTION("""COMPUTED_VALUE"""),"1250745")</f>
        <v>1250745</v>
      </c>
      <c r="C2228" s="213">
        <f>IFERROR(__xludf.DUMMYFUNCTION("""COMPUTED_VALUE"""),45964.537210648145)</f>
        <v>45964.53721</v>
      </c>
      <c r="D2228" s="211" t="str">
        <f>IFERROR(__xludf.DUMMYFUNCTION("""COMPUTED_VALUE"""),"182fb0fe")</f>
        <v>182fb0fe</v>
      </c>
      <c r="E2228" s="211" t="str">
        <f>IFERROR(__xludf.DUMMYFUNCTION("""COMPUTED_VALUE"""),"PT Amtech")</f>
        <v>PT Amtech</v>
      </c>
      <c r="F2228" s="211" t="str">
        <f>IFERROR(__xludf.DUMMYFUNCTION("""COMPUTED_VALUE"""),"be525f3b")</f>
        <v>be525f3b</v>
      </c>
      <c r="G2228" s="211" t="str">
        <f>IFERROR(__xludf.DUMMYFUNCTION("""COMPUTED_VALUE"""),"LPG 12kg")</f>
        <v>LPG 12kg</v>
      </c>
      <c r="H2228" s="211" t="str">
        <f>IFERROR(__xludf.DUMMYFUNCTION("""COMPUTED_VALUE"""),"IN")</f>
        <v>IN</v>
      </c>
      <c r="I2228" s="211" t="str">
        <f>IFERROR(__xludf.DUMMYFUNCTION("""COMPUTED_VALUE"""),"EMPTY")</f>
        <v>EMPTY</v>
      </c>
      <c r="J2228" s="211">
        <f>IFERROR(__xludf.DUMMYFUNCTION("""COMPUTED_VALUE"""),1.0)</f>
        <v>1</v>
      </c>
      <c r="K2228" s="210" t="str">
        <f>IFERROR(__xludf.DUMMYFUNCTION("""COMPUTED_VALUE"""),"01")</f>
        <v>01</v>
      </c>
      <c r="L2228" s="211">
        <f>IFERROR(__xludf.DUMMYFUNCTION("""COMPUTED_VALUE"""),0.0)</f>
        <v>0</v>
      </c>
      <c r="M2228" s="211"/>
      <c r="N2228" s="211"/>
      <c r="O2228" s="211"/>
      <c r="Q2228" s="210" t="str">
        <f>IFERROR(__xludf.DUMMYFUNCTION("""COMPUTED_VALUE"""),"1261058")</f>
        <v>1261058</v>
      </c>
      <c r="R2228" s="210" t="str">
        <f>IFERROR(__xludf.DUMMYFUNCTION("""COMPUTED_VALUE"""),"1261058")</f>
        <v>1261058</v>
      </c>
      <c r="S2228" s="211" t="str">
        <f>IFERROR(__xludf.DUMMYFUNCTION("""COMPUTED_VALUE"""),"01158be1")</f>
        <v>01158be1</v>
      </c>
      <c r="T2228" s="211" t="str">
        <f>IFERROR(__xludf.DUMMYFUNCTION("""COMPUTED_VALUE"""),"GYF")</f>
        <v>GYF</v>
      </c>
      <c r="U2228" s="215">
        <f>IFERROR(__xludf.DUMMYFUNCTION("""COMPUTED_VALUE"""),46035.64659722222)</f>
        <v>46035.6466</v>
      </c>
      <c r="V2228" s="211" t="str">
        <f>IFERROR(__xludf.DUMMYFUNCTION("""COMPUTED_VALUE"""),"Kangkungan, Lengkong, Kec. Mojoanyar, Kabupaten Mojokerto, Jawa Timur")</f>
        <v>Kangkungan, Lengkong, Kec. Mojoanyar, Kabupaten Mojokerto, Jawa Timur</v>
      </c>
      <c r="W2228" s="211" t="str">
        <f>IFERROR(__xludf.DUMMYFUNCTION("""COMPUTED_VALUE"""),"IN")</f>
        <v>IN</v>
      </c>
      <c r="X2228" s="211"/>
    </row>
    <row r="2229">
      <c r="A2229" s="210" t="str">
        <f>IFERROR(__xludf.DUMMYFUNCTION("""COMPUTED_VALUE"""),"112521587")</f>
        <v>112521587</v>
      </c>
      <c r="B2229" s="210" t="str">
        <f>IFERROR(__xludf.DUMMYFUNCTION("""COMPUTED_VALUE"""),"112521587")</f>
        <v>112521587</v>
      </c>
      <c r="C2229" s="213">
        <f>IFERROR(__xludf.DUMMYFUNCTION("""COMPUTED_VALUE"""),45964.60951388889)</f>
        <v>45964.60951</v>
      </c>
      <c r="D2229" s="211" t="str">
        <f>IFERROR(__xludf.DUMMYFUNCTION("""COMPUTED_VALUE"""),"ba97d58d")</f>
        <v>ba97d58d</v>
      </c>
      <c r="E2229" s="211" t="str">
        <f>IFERROR(__xludf.DUMMYFUNCTION("""COMPUTED_VALUE"""),"Bengkel Citra Mojosari")</f>
        <v>Bengkel Citra Mojosari</v>
      </c>
      <c r="F2229" s="211" t="str">
        <f>IFERROR(__xludf.DUMMYFUNCTION("""COMPUTED_VALUE"""),"8bdbe149")</f>
        <v>8bdbe149</v>
      </c>
      <c r="G2229" s="211" t="str">
        <f>IFERROR(__xludf.DUMMYFUNCTION("""COMPUTED_VALUE"""),"Oksigen 6m3")</f>
        <v>Oksigen 6m3</v>
      </c>
      <c r="H2229" s="211" t="str">
        <f>IFERROR(__xludf.DUMMYFUNCTION("""COMPUTED_VALUE"""),"OUT")</f>
        <v>OUT</v>
      </c>
      <c r="I2229" s="211" t="str">
        <f>IFERROR(__xludf.DUMMYFUNCTION("""COMPUTED_VALUE"""),"NORMAL")</f>
        <v>NORMAL</v>
      </c>
      <c r="J2229" s="211">
        <f>IFERROR(__xludf.DUMMYFUNCTION("""COMPUTED_VALUE"""),5.0)</f>
        <v>5</v>
      </c>
      <c r="K2229" s="210" t="str">
        <f>IFERROR(__xludf.DUMMYFUNCTION("""COMPUTED_VALUE"""),"1113 1120 1111 11203 1105")</f>
        <v>1113 1120 1111 11203 1105</v>
      </c>
      <c r="L2229" s="211">
        <f>IFERROR(__xludf.DUMMYFUNCTION("""COMPUTED_VALUE"""),65000.0)</f>
        <v>65000</v>
      </c>
      <c r="M2229" s="211"/>
      <c r="N2229" s="211"/>
      <c r="O2229" s="211"/>
      <c r="Q2229" s="210" t="str">
        <f>IFERROR(__xludf.DUMMYFUNCTION("""COMPUTED_VALUE"""),"012642224")</f>
        <v>012642224</v>
      </c>
      <c r="R2229" s="210" t="str">
        <f>IFERROR(__xludf.DUMMYFUNCTION("""COMPUTED_VALUE"""),"012642224")</f>
        <v>012642224</v>
      </c>
      <c r="S2229" s="211" t="str">
        <f>IFERROR(__xludf.DUMMYFUNCTION("""COMPUTED_VALUE"""),"1d018c98")</f>
        <v>1d018c98</v>
      </c>
      <c r="T2229" s="211" t="str">
        <f>IFERROR(__xludf.DUMMYFUNCTION("""COMPUTED_VALUE"""),"Mbak Angel")</f>
        <v>Mbak Angel</v>
      </c>
      <c r="U2229" s="215">
        <f>IFERROR(__xludf.DUMMYFUNCTION("""COMPUTED_VALUE"""),46035.77027777778)</f>
        <v>46035.77028</v>
      </c>
      <c r="V2229" s="211" t="str">
        <f>IFERROR(__xludf.DUMMYFUNCTION("""COMPUTED_VALUE"""),"Penambangan Krajan RT 02 RW 01 Balongbendo")</f>
        <v>Penambangan Krajan RT 02 RW 01 Balongbendo</v>
      </c>
      <c r="W2229" s="211" t="str">
        <f>IFERROR(__xludf.DUMMYFUNCTION("""COMPUTED_VALUE"""),"OUT")</f>
        <v>OUT</v>
      </c>
      <c r="X2229" s="211"/>
    </row>
    <row r="2230">
      <c r="A2230" s="210" t="str">
        <f>IFERROR(__xludf.DUMMYFUNCTION("""COMPUTED_VALUE"""),"1250737")</f>
        <v>1250737</v>
      </c>
      <c r="B2230" s="210" t="str">
        <f>IFERROR(__xludf.DUMMYFUNCTION("""COMPUTED_VALUE"""),"1250737")</f>
        <v>1250737</v>
      </c>
      <c r="C2230" s="213">
        <f>IFERROR(__xludf.DUMMYFUNCTION("""COMPUTED_VALUE"""),45964.612488425926)</f>
        <v>45964.61249</v>
      </c>
      <c r="D2230" s="211" t="str">
        <f>IFERROR(__xludf.DUMMYFUNCTION("""COMPUTED_VALUE"""),"b2b5f2c5")</f>
        <v>b2b5f2c5</v>
      </c>
      <c r="E2230" s="211" t="str">
        <f>IFERROR(__xludf.DUMMYFUNCTION("""COMPUTED_VALUE"""),"Bengkel Las Bpk. Ari")</f>
        <v>Bengkel Las Bpk. Ari</v>
      </c>
      <c r="F2230" s="211" t="str">
        <f>IFERROR(__xludf.DUMMYFUNCTION("""COMPUTED_VALUE"""),"ef306e54")</f>
        <v>ef306e54</v>
      </c>
      <c r="G2230" s="211" t="str">
        <f>IFERROR(__xludf.DUMMYFUNCTION("""COMPUTED_VALUE"""),"Karbondioksida")</f>
        <v>Karbondioksida</v>
      </c>
      <c r="H2230" s="211" t="str">
        <f>IFERROR(__xludf.DUMMYFUNCTION("""COMPUTED_VALUE"""),"IN")</f>
        <v>IN</v>
      </c>
      <c r="I2230" s="211" t="str">
        <f>IFERROR(__xludf.DUMMYFUNCTION("""COMPUTED_VALUE"""),"EMPTY")</f>
        <v>EMPTY</v>
      </c>
      <c r="J2230" s="211">
        <f>IFERROR(__xludf.DUMMYFUNCTION("""COMPUTED_VALUE"""),1.0)</f>
        <v>1</v>
      </c>
      <c r="K2230" s="210" t="str">
        <f>IFERROR(__xludf.DUMMYFUNCTION("""COMPUTED_VALUE"""),"13035")</f>
        <v>13035</v>
      </c>
      <c r="L2230" s="211">
        <f>IFERROR(__xludf.DUMMYFUNCTION("""COMPUTED_VALUE"""),0.0)</f>
        <v>0</v>
      </c>
      <c r="M2230" s="211"/>
      <c r="N2230" s="211"/>
      <c r="O2230" s="211"/>
      <c r="Q2230" s="210" t="str">
        <f>IFERROR(__xludf.DUMMYFUNCTION("""COMPUTED_VALUE"""),"012632224")</f>
        <v>012632224</v>
      </c>
      <c r="R2230" s="210" t="str">
        <f>IFERROR(__xludf.DUMMYFUNCTION("""COMPUTED_VALUE"""),"012632224")</f>
        <v>012632224</v>
      </c>
      <c r="S2230" s="211" t="str">
        <f>IFERROR(__xludf.DUMMYFUNCTION("""COMPUTED_VALUE"""),"b89c20a1")</f>
        <v>b89c20a1</v>
      </c>
      <c r="T2230" s="211" t="str">
        <f>IFERROR(__xludf.DUMMYFUNCTION("""COMPUTED_VALUE"""),"Harini dini")</f>
        <v>Harini dini</v>
      </c>
      <c r="U2230" s="215">
        <f>IFERROR(__xludf.DUMMYFUNCTION("""COMPUTED_VALUE"""),46035.80097222222)</f>
        <v>46035.80097</v>
      </c>
      <c r="V2230" s="211" t="str">
        <f>IFERROR(__xludf.DUMMYFUNCTION("""COMPUTED_VALUE"""),"Kraton RT 15 RW 03  Kraton Krian Sidoarjo")</f>
        <v>Kraton RT 15 RW 03  Kraton Krian Sidoarjo</v>
      </c>
      <c r="W2230" s="211" t="str">
        <f>IFERROR(__xludf.DUMMYFUNCTION("""COMPUTED_VALUE"""),"OUT")</f>
        <v>OUT</v>
      </c>
      <c r="X2230" s="211"/>
    </row>
    <row r="2231">
      <c r="A2231" s="210" t="str">
        <f>IFERROR(__xludf.DUMMYFUNCTION("""COMPUTED_VALUE"""),"1250737")</f>
        <v>1250737</v>
      </c>
      <c r="B2231" s="210" t="str">
        <f>IFERROR(__xludf.DUMMYFUNCTION("""COMPUTED_VALUE"""),"1250737")</f>
        <v>1250737</v>
      </c>
      <c r="C2231" s="213">
        <f>IFERROR(__xludf.DUMMYFUNCTION("""COMPUTED_VALUE"""),45964.612488425926)</f>
        <v>45964.61249</v>
      </c>
      <c r="D2231" s="211" t="str">
        <f>IFERROR(__xludf.DUMMYFUNCTION("""COMPUTED_VALUE"""),"b2b5f2c5")</f>
        <v>b2b5f2c5</v>
      </c>
      <c r="E2231" s="211" t="str">
        <f>IFERROR(__xludf.DUMMYFUNCTION("""COMPUTED_VALUE"""),"Bengkel Las Bpk. Ari")</f>
        <v>Bengkel Las Bpk. Ari</v>
      </c>
      <c r="F2231" s="211" t="str">
        <f>IFERROR(__xludf.DUMMYFUNCTION("""COMPUTED_VALUE"""),"8bdbe149")</f>
        <v>8bdbe149</v>
      </c>
      <c r="G2231" s="211" t="str">
        <f>IFERROR(__xludf.DUMMYFUNCTION("""COMPUTED_VALUE"""),"Oksigen 6m3")</f>
        <v>Oksigen 6m3</v>
      </c>
      <c r="H2231" s="211" t="str">
        <f>IFERROR(__xludf.DUMMYFUNCTION("""COMPUTED_VALUE"""),"IN")</f>
        <v>IN</v>
      </c>
      <c r="I2231" s="211" t="str">
        <f>IFERROR(__xludf.DUMMYFUNCTION("""COMPUTED_VALUE"""),"EMPTY")</f>
        <v>EMPTY</v>
      </c>
      <c r="J2231" s="211">
        <f>IFERROR(__xludf.DUMMYFUNCTION("""COMPUTED_VALUE"""),2.0)</f>
        <v>2</v>
      </c>
      <c r="K2231" s="210" t="str">
        <f>IFERROR(__xludf.DUMMYFUNCTION("""COMPUTED_VALUE"""),"11247 11203")</f>
        <v>11247 11203</v>
      </c>
      <c r="L2231" s="211">
        <f>IFERROR(__xludf.DUMMYFUNCTION("""COMPUTED_VALUE"""),0.0)</f>
        <v>0</v>
      </c>
      <c r="M2231" s="211"/>
      <c r="N2231" s="211"/>
      <c r="O2231" s="211"/>
      <c r="Q2231" s="210" t="str">
        <f>IFERROR(__xludf.DUMMYFUNCTION("""COMPUTED_VALUE"""),"urg7141301")</f>
        <v>urg7141301</v>
      </c>
      <c r="R2231" s="210" t="str">
        <f>IFERROR(__xludf.DUMMYFUNCTION("""COMPUTED_VALUE"""),"urg7141301")</f>
        <v>urg7141301</v>
      </c>
      <c r="S2231" s="211" t="str">
        <f>IFERROR(__xludf.DUMMYFUNCTION("""COMPUTED_VALUE"""),"b89c20a1")</f>
        <v>b89c20a1</v>
      </c>
      <c r="T2231" s="211" t="str">
        <f>IFERROR(__xludf.DUMMYFUNCTION("""COMPUTED_VALUE"""),"Harini dini")</f>
        <v>Harini dini</v>
      </c>
      <c r="U2231" s="215">
        <f>IFERROR(__xludf.DUMMYFUNCTION("""COMPUTED_VALUE"""),46035.80152777778)</f>
        <v>46035.80153</v>
      </c>
      <c r="V2231" s="211" t="str">
        <f>IFERROR(__xludf.DUMMYFUNCTION("""COMPUTED_VALUE"""),"Kraton RT 15 RW 03  Kraton Krian Sidoarjo")</f>
        <v>Kraton RT 15 RW 03  Kraton Krian Sidoarjo</v>
      </c>
      <c r="W2231" s="211" t="str">
        <f>IFERROR(__xludf.DUMMYFUNCTION("""COMPUTED_VALUE"""),"IN")</f>
        <v>IN</v>
      </c>
      <c r="X2231" s="211"/>
    </row>
    <row r="2232">
      <c r="A2232" s="210" t="str">
        <f>IFERROR(__xludf.DUMMYFUNCTION("""COMPUTED_VALUE"""),"1250735")</f>
        <v>1250735</v>
      </c>
      <c r="B2232" s="210" t="str">
        <f>IFERROR(__xludf.DUMMYFUNCTION("""COMPUTED_VALUE"""),"1250735")</f>
        <v>1250735</v>
      </c>
      <c r="C2232" s="213">
        <f>IFERROR(__xludf.DUMMYFUNCTION("""COMPUTED_VALUE"""),45964.613900462966)</f>
        <v>45964.6139</v>
      </c>
      <c r="D2232" s="211" t="str">
        <f>IFERROR(__xludf.DUMMYFUNCTION("""COMPUTED_VALUE"""),"2d88931c")</f>
        <v>2d88931c</v>
      </c>
      <c r="E2232" s="211" t="str">
        <f>IFERROR(__xludf.DUMMYFUNCTION("""COMPUTED_VALUE"""),"PT Dunia Berkat Marga Mulya")</f>
        <v>PT Dunia Berkat Marga Mulya</v>
      </c>
      <c r="F2232" s="211" t="str">
        <f>IFERROR(__xludf.DUMMYFUNCTION("""COMPUTED_VALUE"""),"8bdbe149")</f>
        <v>8bdbe149</v>
      </c>
      <c r="G2232" s="211" t="str">
        <f>IFERROR(__xludf.DUMMYFUNCTION("""COMPUTED_VALUE"""),"Oksigen 6m3")</f>
        <v>Oksigen 6m3</v>
      </c>
      <c r="H2232" s="211" t="str">
        <f>IFERROR(__xludf.DUMMYFUNCTION("""COMPUTED_VALUE"""),"IN")</f>
        <v>IN</v>
      </c>
      <c r="I2232" s="211" t="str">
        <f>IFERROR(__xludf.DUMMYFUNCTION("""COMPUTED_VALUE"""),"EMPTY")</f>
        <v>EMPTY</v>
      </c>
      <c r="J2232" s="211">
        <f>IFERROR(__xludf.DUMMYFUNCTION("""COMPUTED_VALUE"""),4.0)</f>
        <v>4</v>
      </c>
      <c r="K2232" s="210" t="str">
        <f>IFERROR(__xludf.DUMMYFUNCTION("""COMPUTED_VALUE"""),"1120 11205 1113 1115")</f>
        <v>1120 11205 1113 1115</v>
      </c>
      <c r="L2232" s="211">
        <f>IFERROR(__xludf.DUMMYFUNCTION("""COMPUTED_VALUE"""),0.0)</f>
        <v>0</v>
      </c>
      <c r="M2232" s="211"/>
      <c r="N2232" s="211"/>
      <c r="O2232" s="211"/>
      <c r="Q2232" s="210" t="str">
        <f>IFERROR(__xludf.DUMMYFUNCTION("""COMPUTED_VALUE"""),"012682231")</f>
        <v>012682231</v>
      </c>
      <c r="R2232" s="210" t="str">
        <f>IFERROR(__xludf.DUMMYFUNCTION("""COMPUTED_VALUE"""),"012682231")</f>
        <v>012682231</v>
      </c>
      <c r="S2232" s="211" t="str">
        <f>IFERROR(__xludf.DUMMYFUNCTION("""COMPUTED_VALUE"""),"734c6d17")</f>
        <v>734c6d17</v>
      </c>
      <c r="T2232" s="211" t="str">
        <f>IFERROR(__xludf.DUMMYFUNCTION("""COMPUTED_VALUE"""),"Bapak Ainol Yaqin ( Bpk. Ibnu )")</f>
        <v>Bapak Ainol Yaqin ( Bpk. Ibnu )</v>
      </c>
      <c r="U2232" s="215">
        <f>IFERROR(__xludf.DUMMYFUNCTION("""COMPUTED_VALUE"""),46036.35569444444)</f>
        <v>46036.35569</v>
      </c>
      <c r="V2232" s="211" t="str">
        <f>IFERROR(__xludf.DUMMYFUNCTION("""COMPUTED_VALUE"""),"Tanggul Wetan, Tanggul, Kec. Wonoayu, Kabupaten Sidoarjo, Jawa Timur")</f>
        <v>Tanggul Wetan, Tanggul, Kec. Wonoayu, Kabupaten Sidoarjo, Jawa Timur</v>
      </c>
      <c r="W2232" s="211" t="str">
        <f>IFERROR(__xludf.DUMMYFUNCTION("""COMPUTED_VALUE"""),"OUT")</f>
        <v>OUT</v>
      </c>
      <c r="X2232" s="211"/>
    </row>
    <row r="2233">
      <c r="A2233" s="210" t="str">
        <f>IFERROR(__xludf.DUMMYFUNCTION("""COMPUTED_VALUE"""),"1250736")</f>
        <v>1250736</v>
      </c>
      <c r="B2233" s="210" t="str">
        <f>IFERROR(__xludf.DUMMYFUNCTION("""COMPUTED_VALUE"""),"1250736")</f>
        <v>1250736</v>
      </c>
      <c r="C2233" s="213">
        <f>IFERROR(__xludf.DUMMYFUNCTION("""COMPUTED_VALUE"""),45964.61487268518)</f>
        <v>45964.61487</v>
      </c>
      <c r="D2233" s="211" t="str">
        <f>IFERROR(__xludf.DUMMYFUNCTION("""COMPUTED_VALUE"""),"e968afef")</f>
        <v>e968afef</v>
      </c>
      <c r="E2233" s="211" t="str">
        <f>IFERROR(__xludf.DUMMYFUNCTION("""COMPUTED_VALUE"""),"Bpk. Agus")</f>
        <v>Bpk. Agus</v>
      </c>
      <c r="F2233" s="211" t="str">
        <f>IFERROR(__xludf.DUMMYFUNCTION("""COMPUTED_VALUE"""),"8bdbe149")</f>
        <v>8bdbe149</v>
      </c>
      <c r="G2233" s="211" t="str">
        <f>IFERROR(__xludf.DUMMYFUNCTION("""COMPUTED_VALUE"""),"Oksigen 6m3")</f>
        <v>Oksigen 6m3</v>
      </c>
      <c r="H2233" s="211" t="str">
        <f>IFERROR(__xludf.DUMMYFUNCTION("""COMPUTED_VALUE"""),"IN")</f>
        <v>IN</v>
      </c>
      <c r="I2233" s="211" t="str">
        <f>IFERROR(__xludf.DUMMYFUNCTION("""COMPUTED_VALUE"""),"EMPTY")</f>
        <v>EMPTY</v>
      </c>
      <c r="J2233" s="211">
        <f>IFERROR(__xludf.DUMMYFUNCTION("""COMPUTED_VALUE"""),9.0)</f>
        <v>9</v>
      </c>
      <c r="K2233" s="210" t="str">
        <f>IFERROR(__xludf.DUMMYFUNCTION("""COMPUTED_VALUE"""),"11251 11196 1105 11130 1131 1155 1111 11180 11260")</f>
        <v>11251 11196 1105 11130 1131 1155 1111 11180 11260</v>
      </c>
      <c r="L2233" s="211">
        <f>IFERROR(__xludf.DUMMYFUNCTION("""COMPUTED_VALUE"""),0.0)</f>
        <v>0</v>
      </c>
      <c r="M2233" s="211"/>
      <c r="N2233" s="211"/>
      <c r="O2233" s="211"/>
      <c r="Q2233" s="210" t="str">
        <f>IFERROR(__xludf.DUMMYFUNCTION("""COMPUTED_VALUE"""),"1261059")</f>
        <v>1261059</v>
      </c>
      <c r="R2233" s="210" t="str">
        <f>IFERROR(__xludf.DUMMYFUNCTION("""COMPUTED_VALUE"""),"1261059")</f>
        <v>1261059</v>
      </c>
      <c r="S2233" s="211" t="str">
        <f>IFERROR(__xludf.DUMMYFUNCTION("""COMPUTED_VALUE"""),"734c6d17")</f>
        <v>734c6d17</v>
      </c>
      <c r="T2233" s="211" t="str">
        <f>IFERROR(__xludf.DUMMYFUNCTION("""COMPUTED_VALUE"""),"Bapak Ainol Yaqin ( Bpk. Ibnu )")</f>
        <v>Bapak Ainol Yaqin ( Bpk. Ibnu )</v>
      </c>
      <c r="U2233" s="215">
        <f>IFERROR(__xludf.DUMMYFUNCTION("""COMPUTED_VALUE"""),46036.412627314814)</f>
        <v>46036.41263</v>
      </c>
      <c r="V2233" s="211" t="str">
        <f>IFERROR(__xludf.DUMMYFUNCTION("""COMPUTED_VALUE"""),"Tanggul Wetan, Tanggul, Kec. Wonoayu, Kabupaten Sidoarjo, Jawa Timur")</f>
        <v>Tanggul Wetan, Tanggul, Kec. Wonoayu, Kabupaten Sidoarjo, Jawa Timur</v>
      </c>
      <c r="W2233" s="211" t="str">
        <f>IFERROR(__xludf.DUMMYFUNCTION("""COMPUTED_VALUE"""),"IN")</f>
        <v>IN</v>
      </c>
      <c r="X2233" s="211"/>
    </row>
    <row r="2234">
      <c r="A2234" s="211"/>
      <c r="B2234" s="211"/>
      <c r="C2234" s="211"/>
      <c r="D2234" s="211"/>
      <c r="E2234" s="211"/>
      <c r="F2234" s="211"/>
      <c r="G2234" s="211"/>
      <c r="H2234" s="211"/>
      <c r="I2234" s="211"/>
      <c r="J2234" s="211"/>
      <c r="K2234" s="211"/>
      <c r="L2234" s="211"/>
      <c r="M2234" s="211"/>
      <c r="N2234" s="211"/>
      <c r="O2234" s="211"/>
      <c r="Q2234" s="210" t="str">
        <f>IFERROR(__xludf.DUMMYFUNCTION("""COMPUTED_VALUE"""),"0126372233")</f>
        <v>0126372233</v>
      </c>
      <c r="R2234" s="210" t="str">
        <f>IFERROR(__xludf.DUMMYFUNCTION("""COMPUTED_VALUE"""),"0126372233")</f>
        <v>0126372233</v>
      </c>
      <c r="S2234" s="211" t="str">
        <f>IFERROR(__xludf.DUMMYFUNCTION("""COMPUTED_VALUE"""),"ce83e171")</f>
        <v>ce83e171</v>
      </c>
      <c r="T2234" s="211" t="str">
        <f>IFERROR(__xludf.DUMMYFUNCTION("""COMPUTED_VALUE"""),"Bpk. Sulaiman")</f>
        <v>Bpk. Sulaiman</v>
      </c>
      <c r="U2234" s="215">
        <f>IFERROR(__xludf.DUMMYFUNCTION("""COMPUTED_VALUE"""),46036.499247685184)</f>
        <v>46036.49925</v>
      </c>
      <c r="V2234" s="211" t="str">
        <f>IFERROR(__xludf.DUMMYFUNCTION("""COMPUTED_VALUE"""),"Jl. Raya Kramat Temenggung No.43, Kramat, Kramat Temenggung, Kec. Tarik, Kabupaten Sidoarjo, Jawa Timur 61265")</f>
        <v>Jl. Raya Kramat Temenggung No.43, Kramat, Kramat Temenggung, Kec. Tarik, Kabupaten Sidoarjo, Jawa Timur 61265</v>
      </c>
      <c r="W2234" s="211" t="str">
        <f>IFERROR(__xludf.DUMMYFUNCTION("""COMPUTED_VALUE"""),"OUT")</f>
        <v>OUT</v>
      </c>
      <c r="X2234" s="211"/>
    </row>
    <row r="2235">
      <c r="A2235" s="211"/>
      <c r="B2235" s="211"/>
      <c r="C2235" s="211"/>
      <c r="D2235" s="211"/>
      <c r="E2235" s="211"/>
      <c r="F2235" s="211"/>
      <c r="G2235" s="211"/>
      <c r="H2235" s="211"/>
      <c r="I2235" s="211"/>
      <c r="J2235" s="211"/>
      <c r="K2235" s="211"/>
      <c r="L2235" s="211"/>
      <c r="M2235" s="211"/>
      <c r="N2235" s="211"/>
      <c r="O2235" s="211"/>
      <c r="Q2235" s="210" t="str">
        <f>IFERROR(__xludf.DUMMYFUNCTION("""COMPUTED_VALUE"""),"0126712235")</f>
        <v>0126712235</v>
      </c>
      <c r="R2235" s="210" t="str">
        <f>IFERROR(__xludf.DUMMYFUNCTION("""COMPUTED_VALUE"""),"0126712235")</f>
        <v>0126712235</v>
      </c>
      <c r="S2235" s="211" t="str">
        <f>IFERROR(__xludf.DUMMYFUNCTION("""COMPUTED_VALUE"""),"b2b5f2c5")</f>
        <v>b2b5f2c5</v>
      </c>
      <c r="T2235" s="211" t="str">
        <f>IFERROR(__xludf.DUMMYFUNCTION("""COMPUTED_VALUE"""),"Bengkel Las Bpk. Ari")</f>
        <v>Bengkel Las Bpk. Ari</v>
      </c>
      <c r="U2235" s="215">
        <f>IFERROR(__xludf.DUMMYFUNCTION("""COMPUTED_VALUE"""),46036.49953703704)</f>
        <v>46036.49954</v>
      </c>
      <c r="V2235" s="211" t="str">
        <f>IFERROR(__xludf.DUMMYFUNCTION("""COMPUTED_VALUE"""),"Sumber Kembar, Wonodadi, Kec. Kutorejo, Kabupaten Mojokerto, Jawa Timur")</f>
        <v>Sumber Kembar, Wonodadi, Kec. Kutorejo, Kabupaten Mojokerto, Jawa Timur</v>
      </c>
      <c r="W2235" s="211" t="str">
        <f>IFERROR(__xludf.DUMMYFUNCTION("""COMPUTED_VALUE"""),"OUT")</f>
        <v>OUT</v>
      </c>
      <c r="X2235" s="211"/>
    </row>
    <row r="2236">
      <c r="A2236" s="211"/>
      <c r="B2236" s="211"/>
      <c r="C2236" s="211"/>
      <c r="D2236" s="211"/>
      <c r="E2236" s="211"/>
      <c r="F2236" s="211"/>
      <c r="G2236" s="211"/>
      <c r="H2236" s="211"/>
      <c r="I2236" s="211"/>
      <c r="J2236" s="211"/>
      <c r="K2236" s="211"/>
      <c r="L2236" s="211"/>
      <c r="M2236" s="211"/>
      <c r="N2236" s="211"/>
      <c r="O2236" s="211"/>
      <c r="Q2236" s="210" t="str">
        <f>IFERROR(__xludf.DUMMYFUNCTION("""COMPUTED_VALUE"""),"1261084")</f>
        <v>1261084</v>
      </c>
      <c r="R2236" s="210" t="str">
        <f>IFERROR(__xludf.DUMMYFUNCTION("""COMPUTED_VALUE"""),"1261084")</f>
        <v>1261084</v>
      </c>
      <c r="S2236" s="211" t="str">
        <f>IFERROR(__xludf.DUMMYFUNCTION("""COMPUTED_VALUE"""),"ec231cc9")</f>
        <v>ec231cc9</v>
      </c>
      <c r="T2236" s="211" t="str">
        <f>IFERROR(__xludf.DUMMYFUNCTION("""COMPUTED_VALUE"""),"Bpk. Kohir (Maintenance Velg)")</f>
        <v>Bpk. Kohir (Maintenance Velg)</v>
      </c>
      <c r="U2236" s="215">
        <f>IFERROR(__xludf.DUMMYFUNCTION("""COMPUTED_VALUE"""),46036.57931712963)</f>
        <v>46036.57932</v>
      </c>
      <c r="V2236" s="211" t="str">
        <f>IFERROR(__xludf.DUMMYFUNCTION("""COMPUTED_VALUE"""),"Jl. Lkr. Bypass Krian Timur, Sidogolong, Watugolong, Kec. Krian, Kabupaten Sidoarjo, Jawa Timur 61262")</f>
        <v>Jl. Lkr. Bypass Krian Timur, Sidogolong, Watugolong, Kec. Krian, Kabupaten Sidoarjo, Jawa Timur 61262</v>
      </c>
      <c r="W2236" s="211" t="str">
        <f>IFERROR(__xludf.DUMMYFUNCTION("""COMPUTED_VALUE"""),"IN")</f>
        <v>IN</v>
      </c>
      <c r="X2236" s="211"/>
    </row>
    <row r="2237">
      <c r="A2237" s="210" t="str">
        <f>IFERROR(__xludf.DUMMYFUNCTION("""COMPUTED_VALUE"""),"1250738")</f>
        <v>1250738</v>
      </c>
      <c r="B2237" s="210" t="str">
        <f>IFERROR(__xludf.DUMMYFUNCTION("""COMPUTED_VALUE"""),"1250738")</f>
        <v>1250738</v>
      </c>
      <c r="C2237" s="213">
        <f>IFERROR(__xludf.DUMMYFUNCTION("""COMPUTED_VALUE"""),45964.678622685184)</f>
        <v>45964.67862</v>
      </c>
      <c r="D2237" s="211" t="str">
        <f>IFERROR(__xludf.DUMMYFUNCTION("""COMPUTED_VALUE"""),"ba97d58d")</f>
        <v>ba97d58d</v>
      </c>
      <c r="E2237" s="211" t="str">
        <f>IFERROR(__xludf.DUMMYFUNCTION("""COMPUTED_VALUE"""),"Bengkel Citra Mojosari")</f>
        <v>Bengkel Citra Mojosari</v>
      </c>
      <c r="F2237" s="211" t="str">
        <f>IFERROR(__xludf.DUMMYFUNCTION("""COMPUTED_VALUE"""),"7d2764f1")</f>
        <v>7d2764f1</v>
      </c>
      <c r="G2237" s="211" t="str">
        <f>IFERROR(__xludf.DUMMYFUNCTION("""COMPUTED_VALUE"""),"Oksigen 7m3")</f>
        <v>Oksigen 7m3</v>
      </c>
      <c r="H2237" s="211" t="str">
        <f>IFERROR(__xludf.DUMMYFUNCTION("""COMPUTED_VALUE"""),"IN")</f>
        <v>IN</v>
      </c>
      <c r="I2237" s="211" t="str">
        <f>IFERROR(__xludf.DUMMYFUNCTION("""COMPUTED_VALUE"""),"EMPTY")</f>
        <v>EMPTY</v>
      </c>
      <c r="J2237" s="211">
        <f>IFERROR(__xludf.DUMMYFUNCTION("""COMPUTED_VALUE"""),1.0)</f>
        <v>1</v>
      </c>
      <c r="K2237" s="210" t="str">
        <f>IFERROR(__xludf.DUMMYFUNCTION("""COMPUTED_VALUE"""),"11168")</f>
        <v>11168</v>
      </c>
      <c r="L2237" s="211">
        <f>IFERROR(__xludf.DUMMYFUNCTION("""COMPUTED_VALUE"""),0.0)</f>
        <v>0</v>
      </c>
      <c r="M2237" s="211"/>
      <c r="N2237" s="211"/>
      <c r="O2237" s="211"/>
      <c r="Q2237" s="210" t="str">
        <f>IFERROR(__xludf.DUMMYFUNCTION("""COMPUTED_VALUE"""),"1261083")</f>
        <v>1261083</v>
      </c>
      <c r="R2237" s="210" t="str">
        <f>IFERROR(__xludf.DUMMYFUNCTION("""COMPUTED_VALUE"""),"1261083")</f>
        <v>1261083</v>
      </c>
      <c r="S2237" s="211" t="str">
        <f>IFERROR(__xludf.DUMMYFUNCTION("""COMPUTED_VALUE"""),"7b9d8eba")</f>
        <v>7b9d8eba</v>
      </c>
      <c r="T2237" s="211" t="str">
        <f>IFERROR(__xludf.DUMMYFUNCTION("""COMPUTED_VALUE"""),"PT PELANGI INDOKARYA")</f>
        <v>PT PELANGI INDOKARYA</v>
      </c>
      <c r="U2237" s="215">
        <f>IFERROR(__xludf.DUMMYFUNCTION("""COMPUTED_VALUE"""),46036.57989583333)</f>
        <v>46036.5799</v>
      </c>
      <c r="V223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237" s="211" t="str">
        <f>IFERROR(__xludf.DUMMYFUNCTION("""COMPUTED_VALUE"""),"IN")</f>
        <v>IN</v>
      </c>
      <c r="X2237" s="211"/>
    </row>
    <row r="2238">
      <c r="A2238" s="210" t="str">
        <f>IFERROR(__xludf.DUMMYFUNCTION("""COMPUTED_VALUE"""),"1125651599")</f>
        <v>1125651599</v>
      </c>
      <c r="B2238" s="210" t="str">
        <f>IFERROR(__xludf.DUMMYFUNCTION("""COMPUTED_VALUE"""),"1125651599")</f>
        <v>1125651599</v>
      </c>
      <c r="C2238" s="213">
        <f>IFERROR(__xludf.DUMMYFUNCTION("""COMPUTED_VALUE"""),45965.34722222222)</f>
        <v>45965.34722</v>
      </c>
      <c r="D2238" s="211" t="str">
        <f>IFERROR(__xludf.DUMMYFUNCTION("""COMPUTED_VALUE"""),"e86baf3b")</f>
        <v>e86baf3b</v>
      </c>
      <c r="E2238" s="211" t="str">
        <f>IFERROR(__xludf.DUMMYFUNCTION("""COMPUTED_VALUE"""),"PT GEMILANG CIPTA WAWASAN")</f>
        <v>PT GEMILANG CIPTA WAWASAN</v>
      </c>
      <c r="F2238" s="211" t="str">
        <f>IFERROR(__xludf.DUMMYFUNCTION("""COMPUTED_VALUE"""),"66af7c72")</f>
        <v>66af7c72</v>
      </c>
      <c r="G2238" s="211" t="str">
        <f>IFERROR(__xludf.DUMMYFUNCTION("""COMPUTED_VALUE"""),"Argon 6m3")</f>
        <v>Argon 6m3</v>
      </c>
      <c r="H2238" s="211" t="str">
        <f>IFERROR(__xludf.DUMMYFUNCTION("""COMPUTED_VALUE"""),"OUT")</f>
        <v>OUT</v>
      </c>
      <c r="I2238" s="211" t="str">
        <f>IFERROR(__xludf.DUMMYFUNCTION("""COMPUTED_VALUE"""),"NORMAL")</f>
        <v>NORMAL</v>
      </c>
      <c r="J2238" s="211">
        <f>IFERROR(__xludf.DUMMYFUNCTION("""COMPUTED_VALUE"""),10.0)</f>
        <v>10</v>
      </c>
      <c r="K2238" s="210" t="str">
        <f>IFERROR(__xludf.DUMMYFUNCTION("""COMPUTED_VALUE"""),"12062 12034 12033 12010 12031 12005 12026 12001 12028 12071")</f>
        <v>12062 12034 12033 12010 12031 12005 12026 12001 12028 12071</v>
      </c>
      <c r="L2238" s="211">
        <f>IFERROR(__xludf.DUMMYFUNCTION("""COMPUTED_VALUE"""),185000.0)</f>
        <v>185000</v>
      </c>
      <c r="M2238" s="211"/>
      <c r="N2238" s="211"/>
      <c r="O2238" s="211"/>
      <c r="Q2238" s="210" t="str">
        <f>IFERROR(__xludf.DUMMYFUNCTION("""COMPUTED_VALUE"""),"1261082")</f>
        <v>1261082</v>
      </c>
      <c r="R2238" s="210" t="str">
        <f>IFERROR(__xludf.DUMMYFUNCTION("""COMPUTED_VALUE"""),"1261082")</f>
        <v>1261082</v>
      </c>
      <c r="S2238" s="211" t="str">
        <f>IFERROR(__xludf.DUMMYFUNCTION("""COMPUTED_VALUE"""),"7b9d8eba")</f>
        <v>7b9d8eba</v>
      </c>
      <c r="T2238" s="211" t="str">
        <f>IFERROR(__xludf.DUMMYFUNCTION("""COMPUTED_VALUE"""),"PT PELANGI INDOKARYA")</f>
        <v>PT PELANGI INDOKARYA</v>
      </c>
      <c r="U2238" s="215">
        <f>IFERROR(__xludf.DUMMYFUNCTION("""COMPUTED_VALUE"""),46036.58038194444)</f>
        <v>46036.58038</v>
      </c>
      <c r="V223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238" s="211" t="str">
        <f>IFERROR(__xludf.DUMMYFUNCTION("""COMPUTED_VALUE"""),"IN")</f>
        <v>IN</v>
      </c>
      <c r="X2238" s="211"/>
    </row>
    <row r="2239">
      <c r="A2239" s="210" t="str">
        <f>IFERROR(__xludf.DUMMYFUNCTION("""COMPUTED_VALUE"""),"112561601")</f>
        <v>112561601</v>
      </c>
      <c r="B2239" s="210" t="str">
        <f>IFERROR(__xludf.DUMMYFUNCTION("""COMPUTED_VALUE"""),"112561601")</f>
        <v>112561601</v>
      </c>
      <c r="C2239" s="213">
        <f>IFERROR(__xludf.DUMMYFUNCTION("""COMPUTED_VALUE"""),45965.35335648148)</f>
        <v>45965.35336</v>
      </c>
      <c r="D2239" s="211" t="str">
        <f>IFERROR(__xludf.DUMMYFUNCTION("""COMPUTED_VALUE"""),"9e31e9f4")</f>
        <v>9e31e9f4</v>
      </c>
      <c r="E2239" s="211" t="str">
        <f>IFERROR(__xludf.DUMMYFUNCTION("""COMPUTED_VALUE"""),"Bpk. Eko Iswantoro")</f>
        <v>Bpk. Eko Iswantoro</v>
      </c>
      <c r="F2239" s="211" t="str">
        <f>IFERROR(__xludf.DUMMYFUNCTION("""COMPUTED_VALUE"""),"8bdbe149")</f>
        <v>8bdbe149</v>
      </c>
      <c r="G2239" s="211" t="str">
        <f>IFERROR(__xludf.DUMMYFUNCTION("""COMPUTED_VALUE"""),"Oksigen 6m3")</f>
        <v>Oksigen 6m3</v>
      </c>
      <c r="H2239" s="211" t="str">
        <f>IFERROR(__xludf.DUMMYFUNCTION("""COMPUTED_VALUE"""),"OUT")</f>
        <v>OUT</v>
      </c>
      <c r="I2239" s="211" t="str">
        <f>IFERROR(__xludf.DUMMYFUNCTION("""COMPUTED_VALUE"""),"NORMAL")</f>
        <v>NORMAL</v>
      </c>
      <c r="J2239" s="211">
        <f>IFERROR(__xludf.DUMMYFUNCTION("""COMPUTED_VALUE"""),4.0)</f>
        <v>4</v>
      </c>
      <c r="K2239" s="210" t="str">
        <f>IFERROR(__xludf.DUMMYFUNCTION("""COMPUTED_VALUE"""),"1133 1169 1131 11268")</f>
        <v>1133 1169 1131 11268</v>
      </c>
      <c r="L2239" s="211">
        <f>IFERROR(__xludf.DUMMYFUNCTION("""COMPUTED_VALUE"""),70000.0)</f>
        <v>70000</v>
      </c>
      <c r="M2239" s="211"/>
      <c r="N2239" s="211"/>
      <c r="O2239" s="211"/>
      <c r="Q2239" s="210" t="str">
        <f>IFERROR(__xludf.DUMMYFUNCTION("""COMPUTED_VALUE"""),"0126252236")</f>
        <v>0126252236</v>
      </c>
      <c r="R2239" s="210" t="str">
        <f>IFERROR(__xludf.DUMMYFUNCTION("""COMPUTED_VALUE"""),"0126252236")</f>
        <v>0126252236</v>
      </c>
      <c r="S2239" s="211" t="str">
        <f>IFERROR(__xludf.DUMMYFUNCTION("""COMPUTED_VALUE"""),"7b9d8eba")</f>
        <v>7b9d8eba</v>
      </c>
      <c r="T2239" s="211" t="str">
        <f>IFERROR(__xludf.DUMMYFUNCTION("""COMPUTED_VALUE"""),"PT PELANGI INDOKARYA")</f>
        <v>PT PELANGI INDOKARYA</v>
      </c>
      <c r="U2239" s="215">
        <f>IFERROR(__xludf.DUMMYFUNCTION("""COMPUTED_VALUE"""),46036.58084490741)</f>
        <v>46036.58084</v>
      </c>
      <c r="V2239"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239" s="211" t="str">
        <f>IFERROR(__xludf.DUMMYFUNCTION("""COMPUTED_VALUE"""),"OUT")</f>
        <v>OUT</v>
      </c>
      <c r="X2239" s="211"/>
    </row>
    <row r="2240">
      <c r="A2240" s="210" t="str">
        <f>IFERROR(__xludf.DUMMYFUNCTION("""COMPUTED_VALUE"""),"1125211602")</f>
        <v>1125211602</v>
      </c>
      <c r="B2240" s="210" t="str">
        <f>IFERROR(__xludf.DUMMYFUNCTION("""COMPUTED_VALUE"""),"1125211602")</f>
        <v>1125211602</v>
      </c>
      <c r="C2240" s="213">
        <f>IFERROR(__xludf.DUMMYFUNCTION("""COMPUTED_VALUE"""),45965.35533564815)</f>
        <v>45965.35534</v>
      </c>
      <c r="D2240" s="211" t="str">
        <f>IFERROR(__xludf.DUMMYFUNCTION("""COMPUTED_VALUE"""),"7b9d8eba")</f>
        <v>7b9d8eba</v>
      </c>
      <c r="E2240" s="211" t="str">
        <f>IFERROR(__xludf.DUMMYFUNCTION("""COMPUTED_VALUE"""),"PT PELANGI INDOKARYA")</f>
        <v>PT PELANGI INDOKARYA</v>
      </c>
      <c r="F2240" s="211" t="str">
        <f>IFERROR(__xludf.DUMMYFUNCTION("""COMPUTED_VALUE"""),"8bdbe149")</f>
        <v>8bdbe149</v>
      </c>
      <c r="G2240" s="211" t="str">
        <f>IFERROR(__xludf.DUMMYFUNCTION("""COMPUTED_VALUE"""),"Oksigen 6m3")</f>
        <v>Oksigen 6m3</v>
      </c>
      <c r="H2240" s="211" t="str">
        <f>IFERROR(__xludf.DUMMYFUNCTION("""COMPUTED_VALUE"""),"OUT")</f>
        <v>OUT</v>
      </c>
      <c r="I2240" s="211" t="str">
        <f>IFERROR(__xludf.DUMMYFUNCTION("""COMPUTED_VALUE"""),"NORMAL")</f>
        <v>NORMAL</v>
      </c>
      <c r="J2240" s="211">
        <f>IFERROR(__xludf.DUMMYFUNCTION("""COMPUTED_VALUE"""),3.0)</f>
        <v>3</v>
      </c>
      <c r="K2240" s="210" t="str">
        <f>IFERROR(__xludf.DUMMYFUNCTION("""COMPUTED_VALUE"""),"11116 11175 1121")</f>
        <v>11116 11175 1121</v>
      </c>
      <c r="L2240" s="211">
        <f>IFERROR(__xludf.DUMMYFUNCTION("""COMPUTED_VALUE"""),60000.0)</f>
        <v>60000</v>
      </c>
      <c r="M2240" s="211"/>
      <c r="N2240" s="211"/>
      <c r="O2240" s="211"/>
      <c r="Q2240" s="210" t="str">
        <f>IFERROR(__xludf.DUMMYFUNCTION("""COMPUTED_VALUE"""),"0126122240")</f>
        <v>0126122240</v>
      </c>
      <c r="R2240" s="210" t="str">
        <f>IFERROR(__xludf.DUMMYFUNCTION("""COMPUTED_VALUE"""),"0126122240")</f>
        <v>0126122240</v>
      </c>
      <c r="S2240" s="211" t="str">
        <f>IFERROR(__xludf.DUMMYFUNCTION("""COMPUTED_VALUE"""),"63fc688a")</f>
        <v>63fc688a</v>
      </c>
      <c r="T2240" s="211" t="str">
        <f>IFERROR(__xludf.DUMMYFUNCTION("""COMPUTED_VALUE"""),"CV Malik Nusantara")</f>
        <v>CV Malik Nusantara</v>
      </c>
      <c r="U2240" s="215">
        <f>IFERROR(__xludf.DUMMYFUNCTION("""COMPUTED_VALUE"""),46036.58184027778)</f>
        <v>46036.58184</v>
      </c>
      <c r="V2240" s="211" t="str">
        <f>IFERROR(__xludf.DUMMYFUNCTION("""COMPUTED_VALUE"""),"Jl. Raya Balongbendo No.12, Suwaluh Utara, Suwaluh, Kec. BalongBendo, Kabupaten Sidoarjo, Jawa Timur 61263")</f>
        <v>Jl. Raya Balongbendo No.12, Suwaluh Utara, Suwaluh, Kec. BalongBendo, Kabupaten Sidoarjo, Jawa Timur 61263</v>
      </c>
      <c r="W2240" s="211" t="str">
        <f>IFERROR(__xludf.DUMMYFUNCTION("""COMPUTED_VALUE"""),"OUT")</f>
        <v>OUT</v>
      </c>
      <c r="X2240" s="211"/>
    </row>
    <row r="2241">
      <c r="A2241" s="210" t="str">
        <f>IFERROR(__xludf.DUMMYFUNCTION("""COMPUTED_VALUE"""),"112531603")</f>
        <v>112531603</v>
      </c>
      <c r="B2241" s="210" t="str">
        <f>IFERROR(__xludf.DUMMYFUNCTION("""COMPUTED_VALUE"""),"112531603")</f>
        <v>112531603</v>
      </c>
      <c r="C2241" s="213">
        <f>IFERROR(__xludf.DUMMYFUNCTION("""COMPUTED_VALUE"""),45965.37299768518)</f>
        <v>45965.373</v>
      </c>
      <c r="D2241" s="211" t="str">
        <f>IFERROR(__xludf.DUMMYFUNCTION("""COMPUTED_VALUE"""),"b0735da4")</f>
        <v>b0735da4</v>
      </c>
      <c r="E2241" s="211" t="str">
        <f>IFERROR(__xludf.DUMMYFUNCTION("""COMPUTED_VALUE"""),"Bpk. Amer Ciro")</f>
        <v>Bpk. Amer Ciro</v>
      </c>
      <c r="F2241" s="211" t="str">
        <f>IFERROR(__xludf.DUMMYFUNCTION("""COMPUTED_VALUE"""),"7d2764f1")</f>
        <v>7d2764f1</v>
      </c>
      <c r="G2241" s="211" t="str">
        <f>IFERROR(__xludf.DUMMYFUNCTION("""COMPUTED_VALUE"""),"Oksigen 7m3")</f>
        <v>Oksigen 7m3</v>
      </c>
      <c r="H2241" s="211" t="str">
        <f>IFERROR(__xludf.DUMMYFUNCTION("""COMPUTED_VALUE"""),"OUT")</f>
        <v>OUT</v>
      </c>
      <c r="I2241" s="211" t="str">
        <f>IFERROR(__xludf.DUMMYFUNCTION("""COMPUTED_VALUE"""),"NORMAL")</f>
        <v>NORMAL</v>
      </c>
      <c r="J2241" s="211">
        <f>IFERROR(__xludf.DUMMYFUNCTION("""COMPUTED_VALUE"""),2.0)</f>
        <v>2</v>
      </c>
      <c r="K2241" s="210" t="str">
        <f>IFERROR(__xludf.DUMMYFUNCTION("""COMPUTED_VALUE"""),"11213 11215")</f>
        <v>11213 11215</v>
      </c>
      <c r="L2241" s="211">
        <f>IFERROR(__xludf.DUMMYFUNCTION("""COMPUTED_VALUE"""),65000.0)</f>
        <v>65000</v>
      </c>
      <c r="M2241" s="211"/>
      <c r="N2241" s="211"/>
      <c r="O2241" s="211"/>
      <c r="Q2241" s="210" t="str">
        <f>IFERROR(__xludf.DUMMYFUNCTION("""COMPUTED_VALUE"""),"012612241")</f>
        <v>012612241</v>
      </c>
      <c r="R2241" s="210" t="str">
        <f>IFERROR(__xludf.DUMMYFUNCTION("""COMPUTED_VALUE"""),"012612241")</f>
        <v>012612241</v>
      </c>
      <c r="S2241" s="211" t="str">
        <f>IFERROR(__xludf.DUMMYFUNCTION("""COMPUTED_VALUE"""),"1c4d5e93")</f>
        <v>1c4d5e93</v>
      </c>
      <c r="T2241" s="211" t="str">
        <f>IFERROR(__xludf.DUMMYFUNCTION("""COMPUTED_VALUE"""),"Karoseri Cipta Mitra Sukses")</f>
        <v>Karoseri Cipta Mitra Sukses</v>
      </c>
      <c r="U2241" s="215">
        <f>IFERROR(__xludf.DUMMYFUNCTION("""COMPUTED_VALUE"""),46036.63375)</f>
        <v>46036.63375</v>
      </c>
      <c r="V2241" s="211" t="str">
        <f>IFERROR(__xludf.DUMMYFUNCTION("""COMPUTED_VALUE"""),"JL. Bypass Krian No. 7800, Blok B No 11. Barengkrajan, Kec. Krian, Kabupaten Sidoarjo, Jawa Timur  61262")</f>
        <v>JL. Bypass Krian No. 7800, Blok B No 11. Barengkrajan, Kec. Krian, Kabupaten Sidoarjo, Jawa Timur  61262</v>
      </c>
      <c r="W2241" s="211" t="str">
        <f>IFERROR(__xludf.DUMMYFUNCTION("""COMPUTED_VALUE"""),"OUT")</f>
        <v>OUT</v>
      </c>
      <c r="X2241" s="211"/>
    </row>
    <row r="2242">
      <c r="A2242" s="210" t="str">
        <f>IFERROR(__xludf.DUMMYFUNCTION("""COMPUTED_VALUE"""),"112521604")</f>
        <v>112521604</v>
      </c>
      <c r="B2242" s="210" t="str">
        <f>IFERROR(__xludf.DUMMYFUNCTION("""COMPUTED_VALUE"""),"112521604")</f>
        <v>112521604</v>
      </c>
      <c r="C2242" s="213">
        <f>IFERROR(__xludf.DUMMYFUNCTION("""COMPUTED_VALUE"""),45965.37328703704)</f>
        <v>45965.37329</v>
      </c>
      <c r="D2242" s="211" t="str">
        <f>IFERROR(__xludf.DUMMYFUNCTION("""COMPUTED_VALUE"""),"faf71ae5")</f>
        <v>faf71ae5</v>
      </c>
      <c r="E2242" s="211" t="str">
        <f>IFERROR(__xludf.DUMMYFUNCTION("""COMPUTED_VALUE"""),"Bpk. Sampurna")</f>
        <v>Bpk. Sampurna</v>
      </c>
      <c r="F2242" s="211" t="str">
        <f>IFERROR(__xludf.DUMMYFUNCTION("""COMPUTED_VALUE"""),"8bdbe149")</f>
        <v>8bdbe149</v>
      </c>
      <c r="G2242" s="211" t="str">
        <f>IFERROR(__xludf.DUMMYFUNCTION("""COMPUTED_VALUE"""),"Oksigen 6m3")</f>
        <v>Oksigen 6m3</v>
      </c>
      <c r="H2242" s="211" t="str">
        <f>IFERROR(__xludf.DUMMYFUNCTION("""COMPUTED_VALUE"""),"OUT")</f>
        <v>OUT</v>
      </c>
      <c r="I2242" s="211" t="str">
        <f>IFERROR(__xludf.DUMMYFUNCTION("""COMPUTED_VALUE"""),"NORMAL")</f>
        <v>NORMAL</v>
      </c>
      <c r="J2242" s="211">
        <f>IFERROR(__xludf.DUMMYFUNCTION("""COMPUTED_VALUE"""),10.0)</f>
        <v>10</v>
      </c>
      <c r="K2242" s="210" t="str">
        <f>IFERROR(__xludf.DUMMYFUNCTION("""COMPUTED_VALUE"""),"11130 11247 11196 1155 11245 11180 11279 11260 1115 11251")</f>
        <v>11130 11247 11196 1155 11245 11180 11279 11260 1115 11251</v>
      </c>
      <c r="L2242" s="211">
        <f>IFERROR(__xludf.DUMMYFUNCTION("""COMPUTED_VALUE"""),55000.0)</f>
        <v>55000</v>
      </c>
      <c r="M2242" s="211"/>
      <c r="N2242" s="211"/>
      <c r="O2242" s="211"/>
      <c r="Q2242" s="210" t="str">
        <f>IFERROR(__xludf.DUMMYFUNCTION("""COMPUTED_VALUE"""),"0126142242")</f>
        <v>0126142242</v>
      </c>
      <c r="R2242" s="210" t="str">
        <f>IFERROR(__xludf.DUMMYFUNCTION("""COMPUTED_VALUE"""),"0126142242")</f>
        <v>0126142242</v>
      </c>
      <c r="S2242" s="211" t="str">
        <f>IFERROR(__xludf.DUMMYFUNCTION("""COMPUTED_VALUE"""),"8ea74d81")</f>
        <v>8ea74d81</v>
      </c>
      <c r="T2242" s="211" t="str">
        <f>IFERROR(__xludf.DUMMYFUNCTION("""COMPUTED_VALUE"""),"Bengkel Adi Putra")</f>
        <v>Bengkel Adi Putra</v>
      </c>
      <c r="U2242" s="215">
        <f>IFERROR(__xludf.DUMMYFUNCTION("""COMPUTED_VALUE"""),46036.63469907407)</f>
        <v>46036.6347</v>
      </c>
      <c r="V2242" s="211" t="str">
        <f>IFERROR(__xludf.DUMMYFUNCTION("""COMPUTED_VALUE"""),"Bypass Balongbendo")</f>
        <v>Bypass Balongbendo</v>
      </c>
      <c r="W2242" s="211" t="str">
        <f>IFERROR(__xludf.DUMMYFUNCTION("""COMPUTED_VALUE"""),"OUT")</f>
        <v>OUT</v>
      </c>
      <c r="X2242" s="211"/>
    </row>
    <row r="2243">
      <c r="A2243" s="210" t="str">
        <f>IFERROR(__xludf.DUMMYFUNCTION("""COMPUTED_VALUE"""),"112521604")</f>
        <v>112521604</v>
      </c>
      <c r="B2243" s="210" t="str">
        <f>IFERROR(__xludf.DUMMYFUNCTION("""COMPUTED_VALUE"""),"112521604")</f>
        <v>112521604</v>
      </c>
      <c r="C2243" s="213">
        <f>IFERROR(__xludf.DUMMYFUNCTION("""COMPUTED_VALUE"""),45965.37328703704)</f>
        <v>45965.37329</v>
      </c>
      <c r="D2243" s="211" t="str">
        <f>IFERROR(__xludf.DUMMYFUNCTION("""COMPUTED_VALUE"""),"faf71ae5")</f>
        <v>faf71ae5</v>
      </c>
      <c r="E2243" s="211" t="str">
        <f>IFERROR(__xludf.DUMMYFUNCTION("""COMPUTED_VALUE"""),"Bpk. Sampurna")</f>
        <v>Bpk. Sampurna</v>
      </c>
      <c r="F2243" s="211" t="str">
        <f>IFERROR(__xludf.DUMMYFUNCTION("""COMPUTED_VALUE"""),"f13ba52f")</f>
        <v>f13ba52f</v>
      </c>
      <c r="G2243" s="211" t="str">
        <f>IFERROR(__xludf.DUMMYFUNCTION("""COMPUTED_VALUE"""),"Ongkos Kirim (Non PPN)")</f>
        <v>Ongkos Kirim (Non PPN)</v>
      </c>
      <c r="H2243" s="211" t="str">
        <f>IFERROR(__xludf.DUMMYFUNCTION("""COMPUTED_VALUE"""),"OUT")</f>
        <v>OUT</v>
      </c>
      <c r="I2243" s="211" t="str">
        <f>IFERROR(__xludf.DUMMYFUNCTION("""COMPUTED_VALUE"""),"NORMAL")</f>
        <v>NORMAL</v>
      </c>
      <c r="J2243" s="211">
        <f>IFERROR(__xludf.DUMMYFUNCTION("""COMPUTED_VALUE"""),1.0)</f>
        <v>1</v>
      </c>
      <c r="K2243" s="211"/>
      <c r="L2243" s="211">
        <f>IFERROR(__xludf.DUMMYFUNCTION("""COMPUTED_VALUE"""),50000.0)</f>
        <v>50000</v>
      </c>
      <c r="M2243" s="211"/>
      <c r="N2243" s="211"/>
      <c r="O2243" s="211"/>
      <c r="Q2243" s="210" t="str">
        <f>IFERROR(__xludf.DUMMYFUNCTION("""COMPUTED_VALUE"""),"1261080")</f>
        <v>1261080</v>
      </c>
      <c r="R2243" s="210" t="str">
        <f>IFERROR(__xludf.DUMMYFUNCTION("""COMPUTED_VALUE"""),"1261080")</f>
        <v>1261080</v>
      </c>
      <c r="S2243" s="211" t="str">
        <f>IFERROR(__xludf.DUMMYFUNCTION("""COMPUTED_VALUE"""),"b2b5f2c5")</f>
        <v>b2b5f2c5</v>
      </c>
      <c r="T2243" s="211" t="str">
        <f>IFERROR(__xludf.DUMMYFUNCTION("""COMPUTED_VALUE"""),"Bengkel Las Bpk. Ari")</f>
        <v>Bengkel Las Bpk. Ari</v>
      </c>
      <c r="U2243" s="215">
        <f>IFERROR(__xludf.DUMMYFUNCTION("""COMPUTED_VALUE"""),46036.64462962963)</f>
        <v>46036.64463</v>
      </c>
      <c r="V2243" s="211" t="str">
        <f>IFERROR(__xludf.DUMMYFUNCTION("""COMPUTED_VALUE"""),"Sumber Kembar, Wonodadi, Kec. Kutorejo, Kabupaten Mojokerto, Jawa Timur")</f>
        <v>Sumber Kembar, Wonodadi, Kec. Kutorejo, Kabupaten Mojokerto, Jawa Timur</v>
      </c>
      <c r="W2243" s="211" t="str">
        <f>IFERROR(__xludf.DUMMYFUNCTION("""COMPUTED_VALUE"""),"IN")</f>
        <v>IN</v>
      </c>
      <c r="X2243" s="211"/>
    </row>
    <row r="2244">
      <c r="A2244" s="210" t="str">
        <f>IFERROR(__xludf.DUMMYFUNCTION("""COMPUTED_VALUE"""),"1250744")</f>
        <v>1250744</v>
      </c>
      <c r="B2244" s="210" t="str">
        <f>IFERROR(__xludf.DUMMYFUNCTION("""COMPUTED_VALUE"""),"1250744")</f>
        <v>1250744</v>
      </c>
      <c r="C2244" s="213">
        <f>IFERROR(__xludf.DUMMYFUNCTION("""COMPUTED_VALUE"""),45965.405023148145)</f>
        <v>45965.40502</v>
      </c>
      <c r="D2244" s="211" t="str">
        <f>IFERROR(__xludf.DUMMYFUNCTION("""COMPUTED_VALUE"""),"9e31e9f4")</f>
        <v>9e31e9f4</v>
      </c>
      <c r="E2244" s="211" t="str">
        <f>IFERROR(__xludf.DUMMYFUNCTION("""COMPUTED_VALUE"""),"Bpk. Eko Iswantoro")</f>
        <v>Bpk. Eko Iswantoro</v>
      </c>
      <c r="F2244" s="211" t="str">
        <f>IFERROR(__xludf.DUMMYFUNCTION("""COMPUTED_VALUE"""),"8bdbe149")</f>
        <v>8bdbe149</v>
      </c>
      <c r="G2244" s="211" t="str">
        <f>IFERROR(__xludf.DUMMYFUNCTION("""COMPUTED_VALUE"""),"Oksigen 6m3")</f>
        <v>Oksigen 6m3</v>
      </c>
      <c r="H2244" s="211" t="str">
        <f>IFERROR(__xludf.DUMMYFUNCTION("""COMPUTED_VALUE"""),"IN")</f>
        <v>IN</v>
      </c>
      <c r="I2244" s="211" t="str">
        <f>IFERROR(__xludf.DUMMYFUNCTION("""COMPUTED_VALUE"""),"EMPTY")</f>
        <v>EMPTY</v>
      </c>
      <c r="J2244" s="211">
        <f>IFERROR(__xludf.DUMMYFUNCTION("""COMPUTED_VALUE"""),3.0)</f>
        <v>3</v>
      </c>
      <c r="K2244" s="210" t="str">
        <f>IFERROR(__xludf.DUMMYFUNCTION("""COMPUTED_VALUE"""),"11200 11250 11228")</f>
        <v>11200 11250 11228</v>
      </c>
      <c r="L2244" s="211">
        <f>IFERROR(__xludf.DUMMYFUNCTION("""COMPUTED_VALUE"""),0.0)</f>
        <v>0</v>
      </c>
      <c r="M2244" s="211"/>
      <c r="N2244" s="211"/>
      <c r="O2244" s="211"/>
      <c r="Q2244" s="210" t="str">
        <f>IFERROR(__xludf.DUMMYFUNCTION("""COMPUTED_VALUE"""),"1261085")</f>
        <v>1261085</v>
      </c>
      <c r="R2244" s="210" t="str">
        <f>IFERROR(__xludf.DUMMYFUNCTION("""COMPUTED_VALUE"""),"1261085")</f>
        <v>1261085</v>
      </c>
      <c r="S2244" s="211" t="str">
        <f>IFERROR(__xludf.DUMMYFUNCTION("""COMPUTED_VALUE"""),"8ea74d81")</f>
        <v>8ea74d81</v>
      </c>
      <c r="T2244" s="211" t="str">
        <f>IFERROR(__xludf.DUMMYFUNCTION("""COMPUTED_VALUE"""),"Bengkel Adi Putra")</f>
        <v>Bengkel Adi Putra</v>
      </c>
      <c r="U2244" s="215">
        <f>IFERROR(__xludf.DUMMYFUNCTION("""COMPUTED_VALUE"""),46036.712858796294)</f>
        <v>46036.71286</v>
      </c>
      <c r="V2244" s="211" t="str">
        <f>IFERROR(__xludf.DUMMYFUNCTION("""COMPUTED_VALUE"""),"Bypass Balongbendo")</f>
        <v>Bypass Balongbendo</v>
      </c>
      <c r="W2244" s="211" t="str">
        <f>IFERROR(__xludf.DUMMYFUNCTION("""COMPUTED_VALUE"""),"IN")</f>
        <v>IN</v>
      </c>
      <c r="X2244" s="211"/>
    </row>
    <row r="2245">
      <c r="A2245" s="210" t="str">
        <f>IFERROR(__xludf.DUMMYFUNCTION("""COMPUTED_VALUE"""),"1250743")</f>
        <v>1250743</v>
      </c>
      <c r="B2245" s="210" t="str">
        <f>IFERROR(__xludf.DUMMYFUNCTION("""COMPUTED_VALUE"""),"1250743")</f>
        <v>1250743</v>
      </c>
      <c r="C2245" s="213">
        <f>IFERROR(__xludf.DUMMYFUNCTION("""COMPUTED_VALUE"""),45965.40625)</f>
        <v>45965.40625</v>
      </c>
      <c r="D2245" s="211" t="str">
        <f>IFERROR(__xludf.DUMMYFUNCTION("""COMPUTED_VALUE"""),"7b9d8eba")</f>
        <v>7b9d8eba</v>
      </c>
      <c r="E2245" s="211" t="str">
        <f>IFERROR(__xludf.DUMMYFUNCTION("""COMPUTED_VALUE"""),"PT PELANGI INDOKARYA")</f>
        <v>PT PELANGI INDOKARYA</v>
      </c>
      <c r="F2245" s="211" t="str">
        <f>IFERROR(__xludf.DUMMYFUNCTION("""COMPUTED_VALUE"""),"8bdbe149")</f>
        <v>8bdbe149</v>
      </c>
      <c r="G2245" s="211" t="str">
        <f>IFERROR(__xludf.DUMMYFUNCTION("""COMPUTED_VALUE"""),"Oksigen 6m3")</f>
        <v>Oksigen 6m3</v>
      </c>
      <c r="H2245" s="211" t="str">
        <f>IFERROR(__xludf.DUMMYFUNCTION("""COMPUTED_VALUE"""),"IN")</f>
        <v>IN</v>
      </c>
      <c r="I2245" s="211" t="str">
        <f>IFERROR(__xludf.DUMMYFUNCTION("""COMPUTED_VALUE"""),"EMPTY")</f>
        <v>EMPTY</v>
      </c>
      <c r="J2245" s="211">
        <f>IFERROR(__xludf.DUMMYFUNCTION("""COMPUTED_VALUE"""),1.0)</f>
        <v>1</v>
      </c>
      <c r="K2245" s="210" t="str">
        <f>IFERROR(__xludf.DUMMYFUNCTION("""COMPUTED_VALUE"""),"11232")</f>
        <v>11232</v>
      </c>
      <c r="L2245" s="211">
        <f>IFERROR(__xludf.DUMMYFUNCTION("""COMPUTED_VALUE"""),0.0)</f>
        <v>0</v>
      </c>
      <c r="M2245" s="211"/>
      <c r="N2245" s="211"/>
      <c r="O2245" s="211"/>
      <c r="Q2245" s="210" t="str">
        <f>IFERROR(__xludf.DUMMYFUNCTION("""COMPUTED_VALUE"""),"012662243")</f>
        <v>012662243</v>
      </c>
      <c r="R2245" s="210" t="str">
        <f>IFERROR(__xludf.DUMMYFUNCTION("""COMPUTED_VALUE"""),"012662243")</f>
        <v>012662243</v>
      </c>
      <c r="S2245" s="211" t="str">
        <f>IFERROR(__xludf.DUMMYFUNCTION("""COMPUTED_VALUE"""),"bdb5baf3")</f>
        <v>bdb5baf3</v>
      </c>
      <c r="T2245" s="211" t="str">
        <f>IFERROR(__xludf.DUMMYFUNCTION("""COMPUTED_VALUE"""),"Bpk. Abdul")</f>
        <v>Bpk. Abdul</v>
      </c>
      <c r="U2245" s="215">
        <f>IFERROR(__xludf.DUMMYFUNCTION("""COMPUTED_VALUE"""),46037.357824074075)</f>
        <v>46037.35782</v>
      </c>
      <c r="V2245" s="211" t="str">
        <f>IFERROR(__xludf.DUMMYFUNCTION("""COMPUTED_VALUE"""),"Bypass Krian")</f>
        <v>Bypass Krian</v>
      </c>
      <c r="W2245" s="211" t="str">
        <f>IFERROR(__xludf.DUMMYFUNCTION("""COMPUTED_VALUE"""),"OUT")</f>
        <v>OUT</v>
      </c>
      <c r="X2245" s="211"/>
    </row>
    <row r="2246">
      <c r="A2246" s="210" t="str">
        <f>IFERROR(__xludf.DUMMYFUNCTION("""COMPUTED_VALUE"""),"1250739")</f>
        <v>1250739</v>
      </c>
      <c r="B2246" s="210" t="str">
        <f>IFERROR(__xludf.DUMMYFUNCTION("""COMPUTED_VALUE"""),"1250739")</f>
        <v>1250739</v>
      </c>
      <c r="C2246" s="213">
        <f>IFERROR(__xludf.DUMMYFUNCTION("""COMPUTED_VALUE"""),45965.434652777774)</f>
        <v>45965.43465</v>
      </c>
      <c r="D2246" s="211" t="str">
        <f>IFERROR(__xludf.DUMMYFUNCTION("""COMPUTED_VALUE"""),"e86baf3b")</f>
        <v>e86baf3b</v>
      </c>
      <c r="E2246" s="211" t="str">
        <f>IFERROR(__xludf.DUMMYFUNCTION("""COMPUTED_VALUE"""),"PT GEMILANG CIPTA WAWASAN")</f>
        <v>PT GEMILANG CIPTA WAWASAN</v>
      </c>
      <c r="F2246" s="211" t="str">
        <f>IFERROR(__xludf.DUMMYFUNCTION("""COMPUTED_VALUE"""),"8bdbe149")</f>
        <v>8bdbe149</v>
      </c>
      <c r="G2246" s="211" t="str">
        <f>IFERROR(__xludf.DUMMYFUNCTION("""COMPUTED_VALUE"""),"Oksigen 6m3")</f>
        <v>Oksigen 6m3</v>
      </c>
      <c r="H2246" s="211" t="str">
        <f>IFERROR(__xludf.DUMMYFUNCTION("""COMPUTED_VALUE"""),"IN")</f>
        <v>IN</v>
      </c>
      <c r="I2246" s="211" t="str">
        <f>IFERROR(__xludf.DUMMYFUNCTION("""COMPUTED_VALUE"""),"EMPTY")</f>
        <v>EMPTY</v>
      </c>
      <c r="J2246" s="211">
        <f>IFERROR(__xludf.DUMMYFUNCTION("""COMPUTED_VALUE"""),4.0)</f>
        <v>4</v>
      </c>
      <c r="K2246" s="210" t="str">
        <f>IFERROR(__xludf.DUMMYFUNCTION("""COMPUTED_VALUE"""),"11209 11123 11287 11185")</f>
        <v>11209 11123 11287 11185</v>
      </c>
      <c r="L2246" s="211">
        <f>IFERROR(__xludf.DUMMYFUNCTION("""COMPUTED_VALUE"""),0.0)</f>
        <v>0</v>
      </c>
      <c r="M2246" s="211"/>
      <c r="N2246" s="211"/>
      <c r="O2246" s="211"/>
      <c r="Q2246" s="210" t="str">
        <f>IFERROR(__xludf.DUMMYFUNCTION("""COMPUTED_VALUE"""),"0126332246")</f>
        <v>0126332246</v>
      </c>
      <c r="R2246" s="210" t="str">
        <f>IFERROR(__xludf.DUMMYFUNCTION("""COMPUTED_VALUE"""),"0126332246")</f>
        <v>0126332246</v>
      </c>
      <c r="S2246" s="211" t="str">
        <f>IFERROR(__xludf.DUMMYFUNCTION("""COMPUTED_VALUE"""),"8f5ebaea")</f>
        <v>8f5ebaea</v>
      </c>
      <c r="T2246" s="211" t="str">
        <f>IFERROR(__xludf.DUMMYFUNCTION("""COMPUTED_VALUE"""),"PT Hua Zong Mesindo")</f>
        <v>PT Hua Zong Mesindo</v>
      </c>
      <c r="U2246" s="215">
        <f>IFERROR(__xludf.DUMMYFUNCTION("""COMPUTED_VALUE"""),46037.35851851852)</f>
        <v>46037.35852</v>
      </c>
      <c r="V2246" s="211" t="str">
        <f>IFERROR(__xludf.DUMMYFUNCTION("""COMPUTED_VALUE"""),"Jl. Bypass Krian, Sidotemo, Sidomulyo, Kec. Krian, Kabupaten Sidoarjo, Jawa Timur 61262")</f>
        <v>Jl. Bypass Krian, Sidotemo, Sidomulyo, Kec. Krian, Kabupaten Sidoarjo, Jawa Timur 61262</v>
      </c>
      <c r="W2246" s="211" t="str">
        <f>IFERROR(__xludf.DUMMYFUNCTION("""COMPUTED_VALUE"""),"OUT")</f>
        <v>OUT</v>
      </c>
      <c r="X2246" s="211"/>
    </row>
    <row r="2247">
      <c r="A2247" s="210" t="str">
        <f>IFERROR(__xludf.DUMMYFUNCTION("""COMPUTED_VALUE"""),"1250739")</f>
        <v>1250739</v>
      </c>
      <c r="B2247" s="210" t="str">
        <f>IFERROR(__xludf.DUMMYFUNCTION("""COMPUTED_VALUE"""),"1250739")</f>
        <v>1250739</v>
      </c>
      <c r="C2247" s="213">
        <f>IFERROR(__xludf.DUMMYFUNCTION("""COMPUTED_VALUE"""),45965.434652777774)</f>
        <v>45965.43465</v>
      </c>
      <c r="D2247" s="211" t="str">
        <f>IFERROR(__xludf.DUMMYFUNCTION("""COMPUTED_VALUE"""),"e86baf3b")</f>
        <v>e86baf3b</v>
      </c>
      <c r="E2247" s="211" t="str">
        <f>IFERROR(__xludf.DUMMYFUNCTION("""COMPUTED_VALUE"""),"PT GEMILANG CIPTA WAWASAN")</f>
        <v>PT GEMILANG CIPTA WAWASAN</v>
      </c>
      <c r="F2247" s="211" t="str">
        <f>IFERROR(__xludf.DUMMYFUNCTION("""COMPUTED_VALUE"""),"66af7c72")</f>
        <v>66af7c72</v>
      </c>
      <c r="G2247" s="211" t="str">
        <f>IFERROR(__xludf.DUMMYFUNCTION("""COMPUTED_VALUE"""),"Argon 6m3")</f>
        <v>Argon 6m3</v>
      </c>
      <c r="H2247" s="211" t="str">
        <f>IFERROR(__xludf.DUMMYFUNCTION("""COMPUTED_VALUE"""),"IN")</f>
        <v>IN</v>
      </c>
      <c r="I2247" s="211" t="str">
        <f>IFERROR(__xludf.DUMMYFUNCTION("""COMPUTED_VALUE"""),"EMPTY")</f>
        <v>EMPTY</v>
      </c>
      <c r="J2247" s="211">
        <f>IFERROR(__xludf.DUMMYFUNCTION("""COMPUTED_VALUE"""),4.0)</f>
        <v>4</v>
      </c>
      <c r="K2247" s="210" t="str">
        <f>IFERROR(__xludf.DUMMYFUNCTION("""COMPUTED_VALUE"""),"12036 12043 12074 12050")</f>
        <v>12036 12043 12074 12050</v>
      </c>
      <c r="L2247" s="211">
        <f>IFERROR(__xludf.DUMMYFUNCTION("""COMPUTED_VALUE"""),0.0)</f>
        <v>0</v>
      </c>
      <c r="M2247" s="211"/>
      <c r="N2247" s="211"/>
      <c r="O2247" s="211"/>
      <c r="Q2247" s="210" t="str">
        <f>IFERROR(__xludf.DUMMYFUNCTION("""COMPUTED_VALUE"""),"012642247")</f>
        <v>012642247</v>
      </c>
      <c r="R2247" s="210" t="str">
        <f>IFERROR(__xludf.DUMMYFUNCTION("""COMPUTED_VALUE"""),"012642247")</f>
        <v>012642247</v>
      </c>
      <c r="S2247" s="211" t="str">
        <f>IFERROR(__xludf.DUMMYFUNCTION("""COMPUTED_VALUE"""),"3a48ba8b")</f>
        <v>3a48ba8b</v>
      </c>
      <c r="T2247" s="211" t="str">
        <f>IFERROR(__xludf.DUMMYFUNCTION("""COMPUTED_VALUE"""),"Bpk. Kacung")</f>
        <v>Bpk. Kacung</v>
      </c>
      <c r="U2247" s="215">
        <f>IFERROR(__xludf.DUMMYFUNCTION("""COMPUTED_VALUE"""),46037.40112268519)</f>
        <v>46037.40112</v>
      </c>
      <c r="V2247" s="211" t="str">
        <f>IFERROR(__xludf.DUMMYFUNCTION("""COMPUTED_VALUE"""),"Parengan RT. 17 RW 04 Kraton Krian Sidoarjo")</f>
        <v>Parengan RT. 17 RW 04 Kraton Krian Sidoarjo</v>
      </c>
      <c r="W2247" s="211" t="str">
        <f>IFERROR(__xludf.DUMMYFUNCTION("""COMPUTED_VALUE"""),"OUT")</f>
        <v>OUT</v>
      </c>
      <c r="X2247" s="211"/>
    </row>
    <row r="2248">
      <c r="A2248" s="210" t="str">
        <f>IFERROR(__xludf.DUMMYFUNCTION("""COMPUTED_VALUE"""),"1250739")</f>
        <v>1250739</v>
      </c>
      <c r="B2248" s="210" t="str">
        <f>IFERROR(__xludf.DUMMYFUNCTION("""COMPUTED_VALUE"""),"1250739")</f>
        <v>1250739</v>
      </c>
      <c r="C2248" s="213">
        <f>IFERROR(__xludf.DUMMYFUNCTION("""COMPUTED_VALUE"""),45965.434652777774)</f>
        <v>45965.43465</v>
      </c>
      <c r="D2248" s="211" t="str">
        <f>IFERROR(__xludf.DUMMYFUNCTION("""COMPUTED_VALUE"""),"e86baf3b")</f>
        <v>e86baf3b</v>
      </c>
      <c r="E2248" s="211" t="str">
        <f>IFERROR(__xludf.DUMMYFUNCTION("""COMPUTED_VALUE"""),"PT GEMILANG CIPTA WAWASAN")</f>
        <v>PT GEMILANG CIPTA WAWASAN</v>
      </c>
      <c r="F2248" s="211" t="str">
        <f>IFERROR(__xludf.DUMMYFUNCTION("""COMPUTED_VALUE"""),"ef306e54")</f>
        <v>ef306e54</v>
      </c>
      <c r="G2248" s="211" t="str">
        <f>IFERROR(__xludf.DUMMYFUNCTION("""COMPUTED_VALUE"""),"Karbondioksida")</f>
        <v>Karbondioksida</v>
      </c>
      <c r="H2248" s="211" t="str">
        <f>IFERROR(__xludf.DUMMYFUNCTION("""COMPUTED_VALUE"""),"IN")</f>
        <v>IN</v>
      </c>
      <c r="I2248" s="211" t="str">
        <f>IFERROR(__xludf.DUMMYFUNCTION("""COMPUTED_VALUE"""),"CLAIM")</f>
        <v>CLAIM</v>
      </c>
      <c r="J2248" s="211">
        <f>IFERROR(__xludf.DUMMYFUNCTION("""COMPUTED_VALUE"""),2.0)</f>
        <v>2</v>
      </c>
      <c r="K2248" s="210" t="str">
        <f>IFERROR(__xludf.DUMMYFUNCTION("""COMPUTED_VALUE"""),"13017 13021")</f>
        <v>13017 13021</v>
      </c>
      <c r="L2248" s="211">
        <f>IFERROR(__xludf.DUMMYFUNCTION("""COMPUTED_VALUE"""),0.0)</f>
        <v>0</v>
      </c>
      <c r="M2248" s="211"/>
      <c r="N2248" s="211"/>
      <c r="O2248" s="211"/>
      <c r="Q2248" s="210" t="str">
        <f>IFERROR(__xludf.DUMMYFUNCTION("""COMPUTED_VALUE"""),"1261086")</f>
        <v>1261086</v>
      </c>
      <c r="R2248" s="210" t="str">
        <f>IFERROR(__xludf.DUMMYFUNCTION("""COMPUTED_VALUE"""),"1261086")</f>
        <v>1261086</v>
      </c>
      <c r="S2248" s="211" t="str">
        <f>IFERROR(__xludf.DUMMYFUNCTION("""COMPUTED_VALUE"""),"bdb5baf3")</f>
        <v>bdb5baf3</v>
      </c>
      <c r="T2248" s="211" t="str">
        <f>IFERROR(__xludf.DUMMYFUNCTION("""COMPUTED_VALUE"""),"Bpk. Abdul")</f>
        <v>Bpk. Abdul</v>
      </c>
      <c r="U2248" s="215">
        <f>IFERROR(__xludf.DUMMYFUNCTION("""COMPUTED_VALUE"""),46037.40422453704)</f>
        <v>46037.40422</v>
      </c>
      <c r="V2248" s="211" t="str">
        <f>IFERROR(__xludf.DUMMYFUNCTION("""COMPUTED_VALUE"""),"Bypass Krian")</f>
        <v>Bypass Krian</v>
      </c>
      <c r="W2248" s="211" t="str">
        <f>IFERROR(__xludf.DUMMYFUNCTION("""COMPUTED_VALUE"""),"IN")</f>
        <v>IN</v>
      </c>
      <c r="X2248" s="211"/>
    </row>
    <row r="2249">
      <c r="A2249" s="210" t="str">
        <f>IFERROR(__xludf.DUMMYFUNCTION("""COMPUTED_VALUE"""),"1250739")</f>
        <v>1250739</v>
      </c>
      <c r="B2249" s="210" t="str">
        <f>IFERROR(__xludf.DUMMYFUNCTION("""COMPUTED_VALUE"""),"1250739")</f>
        <v>1250739</v>
      </c>
      <c r="C2249" s="213">
        <f>IFERROR(__xludf.DUMMYFUNCTION("""COMPUTED_VALUE"""),45965.434652777774)</f>
        <v>45965.43465</v>
      </c>
      <c r="D2249" s="211" t="str">
        <f>IFERROR(__xludf.DUMMYFUNCTION("""COMPUTED_VALUE"""),"e86baf3b")</f>
        <v>e86baf3b</v>
      </c>
      <c r="E2249" s="211" t="str">
        <f>IFERROR(__xludf.DUMMYFUNCTION("""COMPUTED_VALUE"""),"PT GEMILANG CIPTA WAWASAN")</f>
        <v>PT GEMILANG CIPTA WAWASAN</v>
      </c>
      <c r="F2249" s="211" t="str">
        <f>IFERROR(__xludf.DUMMYFUNCTION("""COMPUTED_VALUE"""),"7d2764f1")</f>
        <v>7d2764f1</v>
      </c>
      <c r="G2249" s="211" t="str">
        <f>IFERROR(__xludf.DUMMYFUNCTION("""COMPUTED_VALUE"""),"Oksigen 7m3")</f>
        <v>Oksigen 7m3</v>
      </c>
      <c r="H2249" s="211" t="str">
        <f>IFERROR(__xludf.DUMMYFUNCTION("""COMPUTED_VALUE"""),"IN")</f>
        <v>IN</v>
      </c>
      <c r="I2249" s="211" t="str">
        <f>IFERROR(__xludf.DUMMYFUNCTION("""COMPUTED_VALUE"""),"EMPTY")</f>
        <v>EMPTY</v>
      </c>
      <c r="J2249" s="211">
        <f>IFERROR(__xludf.DUMMYFUNCTION("""COMPUTED_VALUE"""),3.0)</f>
        <v>3</v>
      </c>
      <c r="K2249" s="210" t="str">
        <f>IFERROR(__xludf.DUMMYFUNCTION("""COMPUTED_VALUE"""),"11150 11145 11153")</f>
        <v>11150 11145 11153</v>
      </c>
      <c r="L2249" s="211">
        <f>IFERROR(__xludf.DUMMYFUNCTION("""COMPUTED_VALUE"""),0.0)</f>
        <v>0</v>
      </c>
      <c r="M2249" s="211"/>
      <c r="N2249" s="211"/>
      <c r="O2249" s="211"/>
      <c r="Q2249" s="210" t="str">
        <f>IFERROR(__xludf.DUMMYFUNCTION("""COMPUTED_VALUE"""),"1261087")</f>
        <v>1261087</v>
      </c>
      <c r="R2249" s="210" t="str">
        <f>IFERROR(__xludf.DUMMYFUNCTION("""COMPUTED_VALUE"""),"1261087")</f>
        <v>1261087</v>
      </c>
      <c r="S2249" s="211" t="str">
        <f>IFERROR(__xludf.DUMMYFUNCTION("""COMPUTED_VALUE"""),"8f5ebaea")</f>
        <v>8f5ebaea</v>
      </c>
      <c r="T2249" s="211" t="str">
        <f>IFERROR(__xludf.DUMMYFUNCTION("""COMPUTED_VALUE"""),"PT Hua Zong Mesindo")</f>
        <v>PT Hua Zong Mesindo</v>
      </c>
      <c r="U2249" s="215">
        <f>IFERROR(__xludf.DUMMYFUNCTION("""COMPUTED_VALUE"""),46037.40478009259)</f>
        <v>46037.40478</v>
      </c>
      <c r="V2249" s="211" t="str">
        <f>IFERROR(__xludf.DUMMYFUNCTION("""COMPUTED_VALUE"""),"Jl. Bypass Krian, Sidotemo, Sidomulyo, Kec. Krian, Kabupaten Sidoarjo, Jawa Timur 61262")</f>
        <v>Jl. Bypass Krian, Sidotemo, Sidomulyo, Kec. Krian, Kabupaten Sidoarjo, Jawa Timur 61262</v>
      </c>
      <c r="W2249" s="211" t="str">
        <f>IFERROR(__xludf.DUMMYFUNCTION("""COMPUTED_VALUE"""),"IN")</f>
        <v>IN</v>
      </c>
      <c r="X2249" s="211"/>
    </row>
    <row r="2250">
      <c r="A2250" s="210" t="str">
        <f>IFERROR(__xludf.DUMMYFUNCTION("""COMPUTED_VALUE"""),"1250740")</f>
        <v>1250740</v>
      </c>
      <c r="B2250" s="210" t="str">
        <f>IFERROR(__xludf.DUMMYFUNCTION("""COMPUTED_VALUE"""),"1250740")</f>
        <v>1250740</v>
      </c>
      <c r="C2250" s="213">
        <f>IFERROR(__xludf.DUMMYFUNCTION("""COMPUTED_VALUE"""),45965.4384375)</f>
        <v>45965.43844</v>
      </c>
      <c r="D2250" s="211" t="str">
        <f>IFERROR(__xludf.DUMMYFUNCTION("""COMPUTED_VALUE"""),"4c3a2a5f")</f>
        <v>4c3a2a5f</v>
      </c>
      <c r="E2250" s="211" t="str">
        <f>IFERROR(__xludf.DUMMYFUNCTION("""COMPUTED_VALUE"""),"CV Matahari Mitra Sukses")</f>
        <v>CV Matahari Mitra Sukses</v>
      </c>
      <c r="F2250" s="211" t="str">
        <f>IFERROR(__xludf.DUMMYFUNCTION("""COMPUTED_VALUE"""),"66af7c72")</f>
        <v>66af7c72</v>
      </c>
      <c r="G2250" s="211" t="str">
        <f>IFERROR(__xludf.DUMMYFUNCTION("""COMPUTED_VALUE"""),"Argon 6m3")</f>
        <v>Argon 6m3</v>
      </c>
      <c r="H2250" s="211" t="str">
        <f>IFERROR(__xludf.DUMMYFUNCTION("""COMPUTED_VALUE"""),"IN")</f>
        <v>IN</v>
      </c>
      <c r="I2250" s="211" t="str">
        <f>IFERROR(__xludf.DUMMYFUNCTION("""COMPUTED_VALUE"""),"CLAIM")</f>
        <v>CLAIM</v>
      </c>
      <c r="J2250" s="211">
        <f>IFERROR(__xludf.DUMMYFUNCTION("""COMPUTED_VALUE"""),3.0)</f>
        <v>3</v>
      </c>
      <c r="K2250" s="210" t="str">
        <f>IFERROR(__xludf.DUMMYFUNCTION("""COMPUTED_VALUE"""),"12020 12014 12013")</f>
        <v>12020 12014 12013</v>
      </c>
      <c r="L2250" s="211">
        <f>IFERROR(__xludf.DUMMYFUNCTION("""COMPUTED_VALUE"""),0.0)</f>
        <v>0</v>
      </c>
      <c r="M2250" s="211"/>
      <c r="N2250" s="211"/>
      <c r="O2250" s="211"/>
      <c r="Q2250" s="210" t="str">
        <f>IFERROR(__xludf.DUMMYFUNCTION("""COMPUTED_VALUE"""),"1261091")</f>
        <v>1261091</v>
      </c>
      <c r="R2250" s="210" t="str">
        <f>IFERROR(__xludf.DUMMYFUNCTION("""COMPUTED_VALUE"""),"1261091")</f>
        <v>1261091</v>
      </c>
      <c r="S2250" s="211" t="str">
        <f>IFERROR(__xludf.DUMMYFUNCTION("""COMPUTED_VALUE"""),"3a48ba8b")</f>
        <v>3a48ba8b</v>
      </c>
      <c r="T2250" s="211" t="str">
        <f>IFERROR(__xludf.DUMMYFUNCTION("""COMPUTED_VALUE"""),"Bpk. Kacung")</f>
        <v>Bpk. Kacung</v>
      </c>
      <c r="U2250" s="215">
        <f>IFERROR(__xludf.DUMMYFUNCTION("""COMPUTED_VALUE"""),46037.429398148146)</f>
        <v>46037.4294</v>
      </c>
      <c r="V2250" s="211" t="str">
        <f>IFERROR(__xludf.DUMMYFUNCTION("""COMPUTED_VALUE"""),"Parengan RT. 17 RW 04 Kraton Krian Sidoarjo")</f>
        <v>Parengan RT. 17 RW 04 Kraton Krian Sidoarjo</v>
      </c>
      <c r="W2250" s="211" t="str">
        <f>IFERROR(__xludf.DUMMYFUNCTION("""COMPUTED_VALUE"""),"IN")</f>
        <v>IN</v>
      </c>
      <c r="X2250" s="211"/>
    </row>
    <row r="2251">
      <c r="A2251" s="210" t="str">
        <f>IFERROR(__xludf.DUMMYFUNCTION("""COMPUTED_VALUE"""),"112541605")</f>
        <v>112541605</v>
      </c>
      <c r="B2251" s="210" t="str">
        <f>IFERROR(__xludf.DUMMYFUNCTION("""COMPUTED_VALUE"""),"112541605")</f>
        <v>112541605</v>
      </c>
      <c r="C2251" s="213">
        <f>IFERROR(__xludf.DUMMYFUNCTION("""COMPUTED_VALUE"""),45965.44012731482)</f>
        <v>45965.44013</v>
      </c>
      <c r="D2251" s="211" t="str">
        <f>IFERROR(__xludf.DUMMYFUNCTION("""COMPUTED_VALUE"""),"440df1db")</f>
        <v>440df1db</v>
      </c>
      <c r="E2251" s="211" t="str">
        <f>IFERROR(__xludf.DUMMYFUNCTION("""COMPUTED_VALUE"""),"PT. Mecca Abadi Sejahtera")</f>
        <v>PT. Mecca Abadi Sejahtera</v>
      </c>
      <c r="F2251" s="211" t="str">
        <f>IFERROR(__xludf.DUMMYFUNCTION("""COMPUTED_VALUE"""),"ef306e54")</f>
        <v>ef306e54</v>
      </c>
      <c r="G2251" s="211" t="str">
        <f>IFERROR(__xludf.DUMMYFUNCTION("""COMPUTED_VALUE"""),"Karbondioksida")</f>
        <v>Karbondioksida</v>
      </c>
      <c r="H2251" s="211" t="str">
        <f>IFERROR(__xludf.DUMMYFUNCTION("""COMPUTED_VALUE"""),"OUT")</f>
        <v>OUT</v>
      </c>
      <c r="I2251" s="211" t="str">
        <f>IFERROR(__xludf.DUMMYFUNCTION("""COMPUTED_VALUE"""),"NORMAL")</f>
        <v>NORMAL</v>
      </c>
      <c r="J2251" s="211">
        <f>IFERROR(__xludf.DUMMYFUNCTION("""COMPUTED_VALUE"""),5.0)</f>
        <v>5</v>
      </c>
      <c r="K2251" s="210" t="str">
        <f>IFERROR(__xludf.DUMMYFUNCTION("""COMPUTED_VALUE"""),"13030 13035 13017 13014 13021")</f>
        <v>13030 13035 13017 13014 13021</v>
      </c>
      <c r="L2251" s="211">
        <f>IFERROR(__xludf.DUMMYFUNCTION("""COMPUTED_VALUE"""),180000.0)</f>
        <v>180000</v>
      </c>
      <c r="M2251" s="211"/>
      <c r="N2251" s="211"/>
      <c r="O2251" s="211"/>
      <c r="Q2251" s="210" t="str">
        <f>IFERROR(__xludf.DUMMYFUNCTION("""COMPUTED_VALUE"""),"1261092")</f>
        <v>1261092</v>
      </c>
      <c r="R2251" s="210" t="str">
        <f>IFERROR(__xludf.DUMMYFUNCTION("""COMPUTED_VALUE"""),"1261092")</f>
        <v>1261092</v>
      </c>
      <c r="S2251" s="211" t="str">
        <f>IFERROR(__xludf.DUMMYFUNCTION("""COMPUTED_VALUE"""),"a0f0ad2d")</f>
        <v>a0f0ad2d</v>
      </c>
      <c r="T2251" s="211" t="str">
        <f>IFERROR(__xludf.DUMMYFUNCTION("""COMPUTED_VALUE"""),"CV. Yulie Jaya")</f>
        <v>CV. Yulie Jaya</v>
      </c>
      <c r="U2251" s="215">
        <f>IFERROR(__xludf.DUMMYFUNCTION("""COMPUTED_VALUE"""),46037.47351851852)</f>
        <v>46037.47352</v>
      </c>
      <c r="V2251" s="211" t="str">
        <f>IFERROR(__xludf.DUMMYFUNCTION("""COMPUTED_VALUE"""),"JJH4+6RV, Badas, Barengkrajan, Kec. Krian, Kabupaten Sidoarjo, Jawa Timur 61262")</f>
        <v>JJH4+6RV, Badas, Barengkrajan, Kec. Krian, Kabupaten Sidoarjo, Jawa Timur 61262</v>
      </c>
      <c r="W2251" s="211" t="str">
        <f>IFERROR(__xludf.DUMMYFUNCTION("""COMPUTED_VALUE"""),"IN")</f>
        <v>IN</v>
      </c>
      <c r="X2251" s="211"/>
    </row>
    <row r="2252">
      <c r="A2252" s="210" t="str">
        <f>IFERROR(__xludf.DUMMYFUNCTION("""COMPUTED_VALUE"""),"1250742")</f>
        <v>1250742</v>
      </c>
      <c r="B2252" s="210" t="str">
        <f>IFERROR(__xludf.DUMMYFUNCTION("""COMPUTED_VALUE"""),"1250742")</f>
        <v>1250742</v>
      </c>
      <c r="C2252" s="213">
        <f>IFERROR(__xludf.DUMMYFUNCTION("""COMPUTED_VALUE"""),45965.44664351852)</f>
        <v>45965.44664</v>
      </c>
      <c r="D2252" s="211" t="str">
        <f>IFERROR(__xludf.DUMMYFUNCTION("""COMPUTED_VALUE"""),"b0735da4")</f>
        <v>b0735da4</v>
      </c>
      <c r="E2252" s="211" t="str">
        <f>IFERROR(__xludf.DUMMYFUNCTION("""COMPUTED_VALUE"""),"Bpk. Amer Ciro")</f>
        <v>Bpk. Amer Ciro</v>
      </c>
      <c r="F2252" s="211" t="str">
        <f>IFERROR(__xludf.DUMMYFUNCTION("""COMPUTED_VALUE"""),"7d2764f1")</f>
        <v>7d2764f1</v>
      </c>
      <c r="G2252" s="211" t="str">
        <f>IFERROR(__xludf.DUMMYFUNCTION("""COMPUTED_VALUE"""),"Oksigen 7m3")</f>
        <v>Oksigen 7m3</v>
      </c>
      <c r="H2252" s="211" t="str">
        <f>IFERROR(__xludf.DUMMYFUNCTION("""COMPUTED_VALUE"""),"IN")</f>
        <v>IN</v>
      </c>
      <c r="I2252" s="211" t="str">
        <f>IFERROR(__xludf.DUMMYFUNCTION("""COMPUTED_VALUE"""),"EMPTY")</f>
        <v>EMPTY</v>
      </c>
      <c r="J2252" s="211">
        <f>IFERROR(__xludf.DUMMYFUNCTION("""COMPUTED_VALUE"""),1.0)</f>
        <v>1</v>
      </c>
      <c r="K2252" s="210" t="str">
        <f>IFERROR(__xludf.DUMMYFUNCTION("""COMPUTED_VALUE"""),"11164")</f>
        <v>11164</v>
      </c>
      <c r="L2252" s="211">
        <f>IFERROR(__xludf.DUMMYFUNCTION("""COMPUTED_VALUE"""),0.0)</f>
        <v>0</v>
      </c>
      <c r="M2252" s="211"/>
      <c r="N2252" s="211"/>
      <c r="O2252" s="211"/>
      <c r="Q2252" s="210" t="str">
        <f>IFERROR(__xludf.DUMMYFUNCTION("""COMPUTED_VALUE"""),"012692248")</f>
        <v>012692248</v>
      </c>
      <c r="R2252" s="210" t="str">
        <f>IFERROR(__xludf.DUMMYFUNCTION("""COMPUTED_VALUE"""),"012692248")</f>
        <v>012692248</v>
      </c>
      <c r="S2252" s="211" t="str">
        <f>IFERROR(__xludf.DUMMYFUNCTION("""COMPUTED_VALUE"""),"734c6d17")</f>
        <v>734c6d17</v>
      </c>
      <c r="T2252" s="211" t="str">
        <f>IFERROR(__xludf.DUMMYFUNCTION("""COMPUTED_VALUE"""),"Bapak Ainol Yaqin ( Bpk. Ibnu )")</f>
        <v>Bapak Ainol Yaqin ( Bpk. Ibnu )</v>
      </c>
      <c r="U2252" s="215">
        <f>IFERROR(__xludf.DUMMYFUNCTION("""COMPUTED_VALUE"""),46037.47697916667)</f>
        <v>46037.47698</v>
      </c>
      <c r="V2252" s="211" t="str">
        <f>IFERROR(__xludf.DUMMYFUNCTION("""COMPUTED_VALUE"""),"Tanggul Wetan, Tanggul, Kec. Wonoayu, Kabupaten Sidoarjo, Jawa Timur")</f>
        <v>Tanggul Wetan, Tanggul, Kec. Wonoayu, Kabupaten Sidoarjo, Jawa Timur</v>
      </c>
      <c r="W2252" s="211" t="str">
        <f>IFERROR(__xludf.DUMMYFUNCTION("""COMPUTED_VALUE"""),"OUT")</f>
        <v>OUT</v>
      </c>
      <c r="X2252" s="211"/>
    </row>
    <row r="2253">
      <c r="A2253" s="210" t="str">
        <f>IFERROR(__xludf.DUMMYFUNCTION("""COMPUTED_VALUE"""),"1125171610")</f>
        <v>1125171610</v>
      </c>
      <c r="B2253" s="210" t="str">
        <f>IFERROR(__xludf.DUMMYFUNCTION("""COMPUTED_VALUE"""),"1125171610")</f>
        <v>1125171610</v>
      </c>
      <c r="C2253" s="213">
        <f>IFERROR(__xludf.DUMMYFUNCTION("""COMPUTED_VALUE"""),45965.53481481481)</f>
        <v>45965.53481</v>
      </c>
      <c r="D2253" s="211" t="str">
        <f>IFERROR(__xludf.DUMMYFUNCTION("""COMPUTED_VALUE"""),"e968afef")</f>
        <v>e968afef</v>
      </c>
      <c r="E2253" s="211" t="str">
        <f>IFERROR(__xludf.DUMMYFUNCTION("""COMPUTED_VALUE"""),"Bpk. Agus")</f>
        <v>Bpk. Agus</v>
      </c>
      <c r="F2253" s="211" t="str">
        <f>IFERROR(__xludf.DUMMYFUNCTION("""COMPUTED_VALUE"""),"be525f3b")</f>
        <v>be525f3b</v>
      </c>
      <c r="G2253" s="211" t="str">
        <f>IFERROR(__xludf.DUMMYFUNCTION("""COMPUTED_VALUE"""),"LPG 12kg")</f>
        <v>LPG 12kg</v>
      </c>
      <c r="H2253" s="211" t="str">
        <f>IFERROR(__xludf.DUMMYFUNCTION("""COMPUTED_VALUE"""),"OUT")</f>
        <v>OUT</v>
      </c>
      <c r="I2253" s="211" t="str">
        <f>IFERROR(__xludf.DUMMYFUNCTION("""COMPUTED_VALUE"""),"NORMAL")</f>
        <v>NORMAL</v>
      </c>
      <c r="J2253" s="211">
        <f>IFERROR(__xludf.DUMMYFUNCTION("""COMPUTED_VALUE"""),1.0)</f>
        <v>1</v>
      </c>
      <c r="K2253" s="210" t="str">
        <f>IFERROR(__xludf.DUMMYFUNCTION("""COMPUTED_VALUE"""),"01")</f>
        <v>01</v>
      </c>
      <c r="L2253" s="211">
        <f>IFERROR(__xludf.DUMMYFUNCTION("""COMPUTED_VALUE"""),210000.0)</f>
        <v>210000</v>
      </c>
      <c r="M2253" s="211"/>
      <c r="N2253" s="211"/>
      <c r="O2253" s="211"/>
      <c r="Q2253" s="210" t="str">
        <f>IFERROR(__xludf.DUMMYFUNCTION("""COMPUTED_VALUE"""),"0126102253")</f>
        <v>0126102253</v>
      </c>
      <c r="R2253" s="210" t="str">
        <f>IFERROR(__xludf.DUMMYFUNCTION("""COMPUTED_VALUE"""),"0126102253")</f>
        <v>0126102253</v>
      </c>
      <c r="S2253" s="211" t="str">
        <f>IFERROR(__xludf.DUMMYFUNCTION("""COMPUTED_VALUE"""),"f8a982a4")</f>
        <v>f8a982a4</v>
      </c>
      <c r="T2253" s="211" t="str">
        <f>IFERROR(__xludf.DUMMYFUNCTION("""COMPUTED_VALUE"""),"Bpk. Nasir")</f>
        <v>Bpk. Nasir</v>
      </c>
      <c r="U2253" s="215">
        <f>IFERROR(__xludf.DUMMYFUNCTION("""COMPUTED_VALUE"""),46037.47787037037)</f>
        <v>46037.47787</v>
      </c>
      <c r="V2253" s="211" t="str">
        <f>IFERROR(__xludf.DUMMYFUNCTION("""COMPUTED_VALUE"""),"JL Raya Pacet, Dsn. Janti Ds. Jatilangkung RT.01 RW. 04. Kabupaten. Mojokerto Pungging, Jawa Timur")</f>
        <v>JL Raya Pacet, Dsn. Janti Ds. Jatilangkung RT.01 RW. 04. Kabupaten. Mojokerto Pungging, Jawa Timur</v>
      </c>
      <c r="W2253" s="211" t="str">
        <f>IFERROR(__xludf.DUMMYFUNCTION("""COMPUTED_VALUE"""),"OUT")</f>
        <v>OUT</v>
      </c>
      <c r="X2253" s="211"/>
    </row>
    <row r="2254">
      <c r="A2254" s="210" t="str">
        <f>IFERROR(__xludf.DUMMYFUNCTION("""COMPUTED_VALUE"""),"1125171610")</f>
        <v>1125171610</v>
      </c>
      <c r="B2254" s="210" t="str">
        <f>IFERROR(__xludf.DUMMYFUNCTION("""COMPUTED_VALUE"""),"1125171610")</f>
        <v>1125171610</v>
      </c>
      <c r="C2254" s="213">
        <f>IFERROR(__xludf.DUMMYFUNCTION("""COMPUTED_VALUE"""),45965.53481481481)</f>
        <v>45965.53481</v>
      </c>
      <c r="D2254" s="211" t="str">
        <f>IFERROR(__xludf.DUMMYFUNCTION("""COMPUTED_VALUE"""),"e968afef")</f>
        <v>e968afef</v>
      </c>
      <c r="E2254" s="211" t="str">
        <f>IFERROR(__xludf.DUMMYFUNCTION("""COMPUTED_VALUE"""),"Bpk. Agus")</f>
        <v>Bpk. Agus</v>
      </c>
      <c r="F2254" s="211" t="str">
        <f>IFERROR(__xludf.DUMMYFUNCTION("""COMPUTED_VALUE"""),"8bdbe149")</f>
        <v>8bdbe149</v>
      </c>
      <c r="G2254" s="211" t="str">
        <f>IFERROR(__xludf.DUMMYFUNCTION("""COMPUTED_VALUE"""),"Oksigen 6m3")</f>
        <v>Oksigen 6m3</v>
      </c>
      <c r="H2254" s="211" t="str">
        <f>IFERROR(__xludf.DUMMYFUNCTION("""COMPUTED_VALUE"""),"OUT")</f>
        <v>OUT</v>
      </c>
      <c r="I2254" s="211" t="str">
        <f>IFERROR(__xludf.DUMMYFUNCTION("""COMPUTED_VALUE"""),"NORMAL")</f>
        <v>NORMAL</v>
      </c>
      <c r="J2254" s="211">
        <f>IFERROR(__xludf.DUMMYFUNCTION("""COMPUTED_VALUE"""),5.0)</f>
        <v>5</v>
      </c>
      <c r="K2254" s="210" t="str">
        <f>IFERROR(__xludf.DUMMYFUNCTION("""COMPUTED_VALUE"""),"11132 11206 11205 76 01")</f>
        <v>11132 11206 11205 76 01</v>
      </c>
      <c r="L2254" s="211">
        <f>IFERROR(__xludf.DUMMYFUNCTION("""COMPUTED_VALUE"""),60000.0)</f>
        <v>60000</v>
      </c>
      <c r="M2254" s="211"/>
      <c r="N2254" s="211"/>
      <c r="O2254" s="211"/>
      <c r="Q2254" s="210" t="str">
        <f>IFERROR(__xludf.DUMMYFUNCTION("""COMPUTED_VALUE"""),"012642254")</f>
        <v>012642254</v>
      </c>
      <c r="R2254" s="210" t="str">
        <f>IFERROR(__xludf.DUMMYFUNCTION("""COMPUTED_VALUE"""),"012642254")</f>
        <v>012642254</v>
      </c>
      <c r="S2254" s="211" t="str">
        <f>IFERROR(__xludf.DUMMYFUNCTION("""COMPUTED_VALUE"""),"b89c20a1")</f>
        <v>b89c20a1</v>
      </c>
      <c r="T2254" s="211" t="str">
        <f>IFERROR(__xludf.DUMMYFUNCTION("""COMPUTED_VALUE"""),"Harini dini")</f>
        <v>Harini dini</v>
      </c>
      <c r="U2254" s="215">
        <f>IFERROR(__xludf.DUMMYFUNCTION("""COMPUTED_VALUE"""),46037.595138888886)</f>
        <v>46037.59514</v>
      </c>
      <c r="V2254" s="211" t="str">
        <f>IFERROR(__xludf.DUMMYFUNCTION("""COMPUTED_VALUE"""),"Kraton RT 15 RW 03  Kraton Krian Sidoarjo")</f>
        <v>Kraton RT 15 RW 03  Kraton Krian Sidoarjo</v>
      </c>
      <c r="W2254" s="211" t="str">
        <f>IFERROR(__xludf.DUMMYFUNCTION("""COMPUTED_VALUE"""),"OUT")</f>
        <v>OUT</v>
      </c>
      <c r="X2254" s="211"/>
    </row>
    <row r="2255">
      <c r="A2255" s="210" t="str">
        <f>IFERROR(__xludf.DUMMYFUNCTION("""COMPUTED_VALUE"""),"1250760")</f>
        <v>1250760</v>
      </c>
      <c r="B2255" s="210" t="str">
        <f>IFERROR(__xludf.DUMMYFUNCTION("""COMPUTED_VALUE"""),"1250760")</f>
        <v>1250760</v>
      </c>
      <c r="C2255" s="213">
        <f>IFERROR(__xludf.DUMMYFUNCTION("""COMPUTED_VALUE"""),45965.5658912037)</f>
        <v>45965.56589</v>
      </c>
      <c r="D2255" s="211" t="str">
        <f>IFERROR(__xludf.DUMMYFUNCTION("""COMPUTED_VALUE"""),"440df1db")</f>
        <v>440df1db</v>
      </c>
      <c r="E2255" s="211" t="str">
        <f>IFERROR(__xludf.DUMMYFUNCTION("""COMPUTED_VALUE"""),"PT. Mecca Abadi Sejahtera")</f>
        <v>PT. Mecca Abadi Sejahtera</v>
      </c>
      <c r="F2255" s="211" t="str">
        <f>IFERROR(__xludf.DUMMYFUNCTION("""COMPUTED_VALUE"""),"ef306e54")</f>
        <v>ef306e54</v>
      </c>
      <c r="G2255" s="211" t="str">
        <f>IFERROR(__xludf.DUMMYFUNCTION("""COMPUTED_VALUE"""),"Karbondioksida")</f>
        <v>Karbondioksida</v>
      </c>
      <c r="H2255" s="211" t="str">
        <f>IFERROR(__xludf.DUMMYFUNCTION("""COMPUTED_VALUE"""),"IN")</f>
        <v>IN</v>
      </c>
      <c r="I2255" s="211" t="str">
        <f>IFERROR(__xludf.DUMMYFUNCTION("""COMPUTED_VALUE"""),"EMPTY")</f>
        <v>EMPTY</v>
      </c>
      <c r="J2255" s="211">
        <f>IFERROR(__xludf.DUMMYFUNCTION("""COMPUTED_VALUE"""),5.0)</f>
        <v>5</v>
      </c>
      <c r="K2255" s="210" t="str">
        <f>IFERROR(__xludf.DUMMYFUNCTION("""COMPUTED_VALUE"""),"13027 13036 13012 13010 13003")</f>
        <v>13027 13036 13012 13010 13003</v>
      </c>
      <c r="L2255" s="211">
        <f>IFERROR(__xludf.DUMMYFUNCTION("""COMPUTED_VALUE"""),0.0)</f>
        <v>0</v>
      </c>
      <c r="M2255" s="211"/>
      <c r="N2255" s="211"/>
      <c r="O2255" s="211"/>
      <c r="Q2255" s="210" t="str">
        <f>IFERROR(__xludf.DUMMYFUNCTION("""COMPUTED_VALUE"""),"1261093")</f>
        <v>1261093</v>
      </c>
      <c r="R2255" s="210" t="str">
        <f>IFERROR(__xludf.DUMMYFUNCTION("""COMPUTED_VALUE"""),"1261093")</f>
        <v>1261093</v>
      </c>
      <c r="S2255" s="211" t="str">
        <f>IFERROR(__xludf.DUMMYFUNCTION("""COMPUTED_VALUE"""),"734c6d17")</f>
        <v>734c6d17</v>
      </c>
      <c r="T2255" s="211" t="str">
        <f>IFERROR(__xludf.DUMMYFUNCTION("""COMPUTED_VALUE"""),"Bapak Ainol Yaqin ( Bpk. Ibnu )")</f>
        <v>Bapak Ainol Yaqin ( Bpk. Ibnu )</v>
      </c>
      <c r="U2255" s="215">
        <f>IFERROR(__xludf.DUMMYFUNCTION("""COMPUTED_VALUE"""),46037.6091087963)</f>
        <v>46037.60911</v>
      </c>
      <c r="V2255" s="211" t="str">
        <f>IFERROR(__xludf.DUMMYFUNCTION("""COMPUTED_VALUE"""),"Tanggul Wetan, Tanggul, Kec. Wonoayu, Kabupaten Sidoarjo, Jawa Timur")</f>
        <v>Tanggul Wetan, Tanggul, Kec. Wonoayu, Kabupaten Sidoarjo, Jawa Timur</v>
      </c>
      <c r="W2255" s="211" t="str">
        <f>IFERROR(__xludf.DUMMYFUNCTION("""COMPUTED_VALUE"""),"IN")</f>
        <v>IN</v>
      </c>
      <c r="X2255" s="211"/>
    </row>
    <row r="2256">
      <c r="A2256" s="210" t="str">
        <f>IFERROR(__xludf.DUMMYFUNCTION("""COMPUTED_VALUE"""),"1250757")</f>
        <v>1250757</v>
      </c>
      <c r="B2256" s="210" t="str">
        <f>IFERROR(__xludf.DUMMYFUNCTION("""COMPUTED_VALUE"""),"1250757")</f>
        <v>1250757</v>
      </c>
      <c r="C2256" s="213">
        <f>IFERROR(__xludf.DUMMYFUNCTION("""COMPUTED_VALUE"""),45965.64666666667)</f>
        <v>45965.64667</v>
      </c>
      <c r="D2256" s="211" t="str">
        <f>IFERROR(__xludf.DUMMYFUNCTION("""COMPUTED_VALUE"""),"ed2cc96a")</f>
        <v>ed2cc96a</v>
      </c>
      <c r="E2256" s="211" t="str">
        <f>IFERROR(__xludf.DUMMYFUNCTION("""COMPUTED_VALUE"""),"Bengkel Dian Jaya")</f>
        <v>Bengkel Dian Jaya</v>
      </c>
      <c r="F2256" s="211" t="str">
        <f>IFERROR(__xludf.DUMMYFUNCTION("""COMPUTED_VALUE"""),"8bdbe149")</f>
        <v>8bdbe149</v>
      </c>
      <c r="G2256" s="211" t="str">
        <f>IFERROR(__xludf.DUMMYFUNCTION("""COMPUTED_VALUE"""),"Oksigen 6m3")</f>
        <v>Oksigen 6m3</v>
      </c>
      <c r="H2256" s="211" t="str">
        <f>IFERROR(__xludf.DUMMYFUNCTION("""COMPUTED_VALUE"""),"IN")</f>
        <v>IN</v>
      </c>
      <c r="I2256" s="211" t="str">
        <f>IFERROR(__xludf.DUMMYFUNCTION("""COMPUTED_VALUE"""),"EMPTY")</f>
        <v>EMPTY</v>
      </c>
      <c r="J2256" s="211">
        <f>IFERROR(__xludf.DUMMYFUNCTION("""COMPUTED_VALUE"""),5.0)</f>
        <v>5</v>
      </c>
      <c r="K2256" s="210" t="str">
        <f>IFERROR(__xludf.DUMMYFUNCTION("""COMPUTED_VALUE"""),"11267 1181 11108 11125 11252")</f>
        <v>11267 1181 11108 11125 11252</v>
      </c>
      <c r="L2256" s="211">
        <f>IFERROR(__xludf.DUMMYFUNCTION("""COMPUTED_VALUE"""),0.0)</f>
        <v>0</v>
      </c>
      <c r="M2256" s="211"/>
      <c r="N2256" s="211"/>
      <c r="O2256" s="211"/>
      <c r="Q2256" s="210" t="str">
        <f>IFERROR(__xludf.DUMMYFUNCTION("""COMPUTED_VALUE"""),"1261111")</f>
        <v>1261111</v>
      </c>
      <c r="R2256" s="210" t="str">
        <f>IFERROR(__xludf.DUMMYFUNCTION("""COMPUTED_VALUE"""),"1261111")</f>
        <v>1261111</v>
      </c>
      <c r="S2256" s="211" t="str">
        <f>IFERROR(__xludf.DUMMYFUNCTION("""COMPUTED_VALUE"""),"b89c20a1")</f>
        <v>b89c20a1</v>
      </c>
      <c r="T2256" s="211" t="str">
        <f>IFERROR(__xludf.DUMMYFUNCTION("""COMPUTED_VALUE"""),"Harini dini")</f>
        <v>Harini dini</v>
      </c>
      <c r="U2256" s="215">
        <f>IFERROR(__xludf.DUMMYFUNCTION("""COMPUTED_VALUE"""),46037.62396990741)</f>
        <v>46037.62397</v>
      </c>
      <c r="V2256" s="211" t="str">
        <f>IFERROR(__xludf.DUMMYFUNCTION("""COMPUTED_VALUE"""),"Kraton RT 15 RW 03  Kraton Krian Sidoarjo")</f>
        <v>Kraton RT 15 RW 03  Kraton Krian Sidoarjo</v>
      </c>
      <c r="W2256" s="211" t="str">
        <f>IFERROR(__xludf.DUMMYFUNCTION("""COMPUTED_VALUE"""),"IN")</f>
        <v>IN</v>
      </c>
      <c r="X2256" s="211"/>
    </row>
    <row r="2257">
      <c r="A2257" s="210" t="str">
        <f>IFERROR(__xludf.DUMMYFUNCTION("""COMPUTED_VALUE"""),"1250757")</f>
        <v>1250757</v>
      </c>
      <c r="B2257" s="210" t="str">
        <f>IFERROR(__xludf.DUMMYFUNCTION("""COMPUTED_VALUE"""),"1250757")</f>
        <v>1250757</v>
      </c>
      <c r="C2257" s="213">
        <f>IFERROR(__xludf.DUMMYFUNCTION("""COMPUTED_VALUE"""),45965.64666666667)</f>
        <v>45965.64667</v>
      </c>
      <c r="D2257" s="211" t="str">
        <f>IFERROR(__xludf.DUMMYFUNCTION("""COMPUTED_VALUE"""),"ed2cc96a")</f>
        <v>ed2cc96a</v>
      </c>
      <c r="E2257" s="211" t="str">
        <f>IFERROR(__xludf.DUMMYFUNCTION("""COMPUTED_VALUE"""),"Bengkel Dian Jaya")</f>
        <v>Bengkel Dian Jaya</v>
      </c>
      <c r="F2257" s="211" t="str">
        <f>IFERROR(__xludf.DUMMYFUNCTION("""COMPUTED_VALUE"""),"8bdbe149")</f>
        <v>8bdbe149</v>
      </c>
      <c r="G2257" s="211" t="str">
        <f>IFERROR(__xludf.DUMMYFUNCTION("""COMPUTED_VALUE"""),"Oksigen 6m3")</f>
        <v>Oksigen 6m3</v>
      </c>
      <c r="H2257" s="211" t="str">
        <f>IFERROR(__xludf.DUMMYFUNCTION("""COMPUTED_VALUE"""),"IN")</f>
        <v>IN</v>
      </c>
      <c r="I2257" s="211" t="str">
        <f>IFERROR(__xludf.DUMMYFUNCTION("""COMPUTED_VALUE"""),"CLAIM")</f>
        <v>CLAIM</v>
      </c>
      <c r="J2257" s="211">
        <f>IFERROR(__xludf.DUMMYFUNCTION("""COMPUTED_VALUE"""),1.0)</f>
        <v>1</v>
      </c>
      <c r="K2257" s="210" t="str">
        <f>IFERROR(__xludf.DUMMYFUNCTION("""COMPUTED_VALUE"""),"11242")</f>
        <v>11242</v>
      </c>
      <c r="L2257" s="211">
        <f>IFERROR(__xludf.DUMMYFUNCTION("""COMPUTED_VALUE"""),0.0)</f>
        <v>0</v>
      </c>
      <c r="M2257" s="211"/>
      <c r="N2257" s="211"/>
      <c r="O2257" s="211"/>
      <c r="Q2257" s="210" t="str">
        <f>IFERROR(__xludf.DUMMYFUNCTION("""COMPUTED_VALUE"""),"0126152255")</f>
        <v>0126152255</v>
      </c>
      <c r="R2257" s="210" t="str">
        <f>IFERROR(__xludf.DUMMYFUNCTION("""COMPUTED_VALUE"""),"0126152255")</f>
        <v>0126152255</v>
      </c>
      <c r="S2257" s="211" t="str">
        <f>IFERROR(__xludf.DUMMYFUNCTION("""COMPUTED_VALUE"""),"8ea74d81")</f>
        <v>8ea74d81</v>
      </c>
      <c r="T2257" s="211" t="str">
        <f>IFERROR(__xludf.DUMMYFUNCTION("""COMPUTED_VALUE"""),"Bengkel Adi Putra")</f>
        <v>Bengkel Adi Putra</v>
      </c>
      <c r="U2257" s="215">
        <f>IFERROR(__xludf.DUMMYFUNCTION("""COMPUTED_VALUE"""),46037.66539351852)</f>
        <v>46037.66539</v>
      </c>
      <c r="V2257" s="211" t="str">
        <f>IFERROR(__xludf.DUMMYFUNCTION("""COMPUTED_VALUE"""),"Bypass Balongbendo")</f>
        <v>Bypass Balongbendo</v>
      </c>
      <c r="W2257" s="211" t="str">
        <f>IFERROR(__xludf.DUMMYFUNCTION("""COMPUTED_VALUE"""),"OUT")</f>
        <v>OUT</v>
      </c>
      <c r="X2257" s="211"/>
    </row>
    <row r="2258">
      <c r="A2258" s="210" t="str">
        <f>IFERROR(__xludf.DUMMYFUNCTION("""COMPUTED_VALUE"""),"1250758")</f>
        <v>1250758</v>
      </c>
      <c r="B2258" s="210" t="str">
        <f>IFERROR(__xludf.DUMMYFUNCTION("""COMPUTED_VALUE"""),"1250758")</f>
        <v>1250758</v>
      </c>
      <c r="C2258" s="213">
        <f>IFERROR(__xludf.DUMMYFUNCTION("""COMPUTED_VALUE"""),45965.65189814815)</f>
        <v>45965.6519</v>
      </c>
      <c r="D2258" s="211" t="str">
        <f>IFERROR(__xludf.DUMMYFUNCTION("""COMPUTED_VALUE"""),"faf71ae5")</f>
        <v>faf71ae5</v>
      </c>
      <c r="E2258" s="211" t="str">
        <f>IFERROR(__xludf.DUMMYFUNCTION("""COMPUTED_VALUE"""),"Bpk. Sampurna")</f>
        <v>Bpk. Sampurna</v>
      </c>
      <c r="F2258" s="211" t="str">
        <f>IFERROR(__xludf.DUMMYFUNCTION("""COMPUTED_VALUE"""),"8bdbe149")</f>
        <v>8bdbe149</v>
      </c>
      <c r="G2258" s="211" t="str">
        <f>IFERROR(__xludf.DUMMYFUNCTION("""COMPUTED_VALUE"""),"Oksigen 6m3")</f>
        <v>Oksigen 6m3</v>
      </c>
      <c r="H2258" s="211" t="str">
        <f>IFERROR(__xludf.DUMMYFUNCTION("""COMPUTED_VALUE"""),"IN")</f>
        <v>IN</v>
      </c>
      <c r="I2258" s="211" t="str">
        <f>IFERROR(__xludf.DUMMYFUNCTION("""COMPUTED_VALUE"""),"EMPTY")</f>
        <v>EMPTY</v>
      </c>
      <c r="J2258" s="211">
        <f>IFERROR(__xludf.DUMMYFUNCTION("""COMPUTED_VALUE"""),9.0)</f>
        <v>9</v>
      </c>
      <c r="K2258" s="210" t="str">
        <f>IFERROR(__xludf.DUMMYFUNCTION("""COMPUTED_VALUE"""),"11152 11291 11167 1165 003 049 048 143 1140")</f>
        <v>11152 11291 11167 1165 003 049 048 143 1140</v>
      </c>
      <c r="L2258" s="211">
        <f>IFERROR(__xludf.DUMMYFUNCTION("""COMPUTED_VALUE"""),0.0)</f>
        <v>0</v>
      </c>
      <c r="M2258" s="211"/>
      <c r="N2258" s="211"/>
      <c r="O2258" s="211"/>
      <c r="Q2258" s="210" t="str">
        <f>IFERROR(__xludf.DUMMYFUNCTION("""COMPUTED_VALUE"""),"1261101")</f>
        <v>1261101</v>
      </c>
      <c r="R2258" s="210" t="str">
        <f>IFERROR(__xludf.DUMMYFUNCTION("""COMPUTED_VALUE"""),"1261101")</f>
        <v>1261101</v>
      </c>
      <c r="S2258" s="211" t="str">
        <f>IFERROR(__xludf.DUMMYFUNCTION("""COMPUTED_VALUE"""),"b2b5f2c5")</f>
        <v>b2b5f2c5</v>
      </c>
      <c r="T2258" s="211" t="str">
        <f>IFERROR(__xludf.DUMMYFUNCTION("""COMPUTED_VALUE"""),"Bengkel Las Bpk. Ari")</f>
        <v>Bengkel Las Bpk. Ari</v>
      </c>
      <c r="U2258" s="215">
        <f>IFERROR(__xludf.DUMMYFUNCTION("""COMPUTED_VALUE"""),46037.67674768518)</f>
        <v>46037.67675</v>
      </c>
      <c r="V2258" s="211" t="str">
        <f>IFERROR(__xludf.DUMMYFUNCTION("""COMPUTED_VALUE"""),"Sumber Kembar, Wonodadi, Kec. Kutorejo, Kabupaten Mojokerto, Jawa Timur")</f>
        <v>Sumber Kembar, Wonodadi, Kec. Kutorejo, Kabupaten Mojokerto, Jawa Timur</v>
      </c>
      <c r="W2258" s="211" t="str">
        <f>IFERROR(__xludf.DUMMYFUNCTION("""COMPUTED_VALUE"""),"IN")</f>
        <v>IN</v>
      </c>
      <c r="X2258" s="211"/>
    </row>
    <row r="2259">
      <c r="A2259" s="210" t="str">
        <f>IFERROR(__xludf.DUMMYFUNCTION("""COMPUTED_VALUE"""),"1250761")</f>
        <v>1250761</v>
      </c>
      <c r="B2259" s="210" t="str">
        <f>IFERROR(__xludf.DUMMYFUNCTION("""COMPUTED_VALUE"""),"1250761")</f>
        <v>1250761</v>
      </c>
      <c r="C2259" s="213">
        <f>IFERROR(__xludf.DUMMYFUNCTION("""COMPUTED_VALUE"""),45965.70097222222)</f>
        <v>45965.70097</v>
      </c>
      <c r="D2259" s="211" t="str">
        <f>IFERROR(__xludf.DUMMYFUNCTION("""COMPUTED_VALUE"""),"e968afef")</f>
        <v>e968afef</v>
      </c>
      <c r="E2259" s="211" t="str">
        <f>IFERROR(__xludf.DUMMYFUNCTION("""COMPUTED_VALUE"""),"Bpk. Agus")</f>
        <v>Bpk. Agus</v>
      </c>
      <c r="F2259" s="211" t="str">
        <f>IFERROR(__xludf.DUMMYFUNCTION("""COMPUTED_VALUE"""),"8bdbe149")</f>
        <v>8bdbe149</v>
      </c>
      <c r="G2259" s="211" t="str">
        <f>IFERROR(__xludf.DUMMYFUNCTION("""COMPUTED_VALUE"""),"Oksigen 6m3")</f>
        <v>Oksigen 6m3</v>
      </c>
      <c r="H2259" s="211" t="str">
        <f>IFERROR(__xludf.DUMMYFUNCTION("""COMPUTED_VALUE"""),"IN")</f>
        <v>IN</v>
      </c>
      <c r="I2259" s="211" t="str">
        <f>IFERROR(__xludf.DUMMYFUNCTION("""COMPUTED_VALUE"""),"EMPTY")</f>
        <v>EMPTY</v>
      </c>
      <c r="J2259" s="211">
        <f>IFERROR(__xludf.DUMMYFUNCTION("""COMPUTED_VALUE"""),3.0)</f>
        <v>3</v>
      </c>
      <c r="K2259" s="210" t="str">
        <f>IFERROR(__xludf.DUMMYFUNCTION("""COMPUTED_VALUE"""),"11272 11255 11228")</f>
        <v>11272 11255 11228</v>
      </c>
      <c r="L2259" s="211">
        <f>IFERROR(__xludf.DUMMYFUNCTION("""COMPUTED_VALUE"""),0.0)</f>
        <v>0</v>
      </c>
      <c r="M2259" s="211"/>
      <c r="N2259" s="211"/>
      <c r="O2259" s="211"/>
      <c r="Q2259" s="211"/>
      <c r="R2259" s="211"/>
      <c r="S2259" s="211"/>
      <c r="T2259" s="211"/>
      <c r="U2259" s="211"/>
      <c r="V2259" s="211"/>
      <c r="W2259" s="211"/>
      <c r="X2259" s="211"/>
    </row>
    <row r="2260">
      <c r="A2260" s="210" t="str">
        <f>IFERROR(__xludf.DUMMYFUNCTION("""COMPUTED_VALUE"""),"1125331612")</f>
        <v>1125331612</v>
      </c>
      <c r="B2260" s="210" t="str">
        <f>IFERROR(__xludf.DUMMYFUNCTION("""COMPUTED_VALUE"""),"1125331612")</f>
        <v>1125331612</v>
      </c>
      <c r="C2260" s="213">
        <f>IFERROR(__xludf.DUMMYFUNCTION("""COMPUTED_VALUE"""),45966.34071759259)</f>
        <v>45966.34072</v>
      </c>
      <c r="D2260" s="211" t="str">
        <f>IFERROR(__xludf.DUMMYFUNCTION("""COMPUTED_VALUE"""),"b2b5f2c5")</f>
        <v>b2b5f2c5</v>
      </c>
      <c r="E2260" s="211" t="str">
        <f>IFERROR(__xludf.DUMMYFUNCTION("""COMPUTED_VALUE"""),"Bengkel Las Bpk. Ari")</f>
        <v>Bengkel Las Bpk. Ari</v>
      </c>
      <c r="F2260" s="211" t="str">
        <f>IFERROR(__xludf.DUMMYFUNCTION("""COMPUTED_VALUE"""),"ef306e54")</f>
        <v>ef306e54</v>
      </c>
      <c r="G2260" s="211" t="str">
        <f>IFERROR(__xludf.DUMMYFUNCTION("""COMPUTED_VALUE"""),"Karbondioksida")</f>
        <v>Karbondioksida</v>
      </c>
      <c r="H2260" s="211" t="str">
        <f>IFERROR(__xludf.DUMMYFUNCTION("""COMPUTED_VALUE"""),"OUT")</f>
        <v>OUT</v>
      </c>
      <c r="I2260" s="211" t="str">
        <f>IFERROR(__xludf.DUMMYFUNCTION("""COMPUTED_VALUE"""),"NORMAL")</f>
        <v>NORMAL</v>
      </c>
      <c r="J2260" s="211">
        <f>IFERROR(__xludf.DUMMYFUNCTION("""COMPUTED_VALUE"""),3.0)</f>
        <v>3</v>
      </c>
      <c r="K2260" s="210" t="str">
        <f>IFERROR(__xludf.DUMMYFUNCTION("""COMPUTED_VALUE"""),"13012 13036 13027")</f>
        <v>13012 13036 13027</v>
      </c>
      <c r="L2260" s="211">
        <f>IFERROR(__xludf.DUMMYFUNCTION("""COMPUTED_VALUE"""),170000.0)</f>
        <v>170000</v>
      </c>
      <c r="M2260" s="211"/>
      <c r="N2260" s="211"/>
      <c r="O2260" s="211"/>
      <c r="Q2260" s="210" t="str">
        <f>IFERROR(__xludf.DUMMYFUNCTION("""COMPUTED_VALUE"""),"1261089")</f>
        <v>1261089</v>
      </c>
      <c r="R2260" s="210" t="str">
        <f>IFERROR(__xludf.DUMMYFUNCTION("""COMPUTED_VALUE"""),"1261089")</f>
        <v>1261089</v>
      </c>
      <c r="S2260" s="211" t="str">
        <f>IFERROR(__xludf.DUMMYFUNCTION("""COMPUTED_VALUE"""),"9828dfc5")</f>
        <v>9828dfc5</v>
      </c>
      <c r="T2260" s="211" t="str">
        <f>IFERROR(__xludf.DUMMYFUNCTION("""COMPUTED_VALUE"""),"Bpk. David")</f>
        <v>Bpk. David</v>
      </c>
      <c r="U2260" s="215">
        <f>IFERROR(__xludf.DUMMYFUNCTION("""COMPUTED_VALUE"""),46037.677939814814)</f>
        <v>46037.67794</v>
      </c>
      <c r="V2260" s="211" t="str">
        <f>IFERROR(__xludf.DUMMYFUNCTION("""COMPUTED_VALUE"""),"GHF3+R34, Jl. Kartini, Ngingas, Ngimbangan, Kec. Mojosari, Kabupaten Mojokerto, Jawa Timur 61382")</f>
        <v>GHF3+R34, Jl. Kartini, Ngingas, Ngimbangan, Kec. Mojosari, Kabupaten Mojokerto, Jawa Timur 61382</v>
      </c>
      <c r="W2260" s="211" t="str">
        <f>IFERROR(__xludf.DUMMYFUNCTION("""COMPUTED_VALUE"""),"IN")</f>
        <v>IN</v>
      </c>
      <c r="X2260" s="211"/>
    </row>
    <row r="2261">
      <c r="A2261" s="210" t="str">
        <f>IFERROR(__xludf.DUMMYFUNCTION("""COMPUTED_VALUE"""),"1125331612")</f>
        <v>1125331612</v>
      </c>
      <c r="B2261" s="210" t="str">
        <f>IFERROR(__xludf.DUMMYFUNCTION("""COMPUTED_VALUE"""),"1125331612")</f>
        <v>1125331612</v>
      </c>
      <c r="C2261" s="213">
        <f>IFERROR(__xludf.DUMMYFUNCTION("""COMPUTED_VALUE"""),45966.34071759259)</f>
        <v>45966.34072</v>
      </c>
      <c r="D2261" s="211" t="str">
        <f>IFERROR(__xludf.DUMMYFUNCTION("""COMPUTED_VALUE"""),"b2b5f2c5")</f>
        <v>b2b5f2c5</v>
      </c>
      <c r="E2261" s="211" t="str">
        <f>IFERROR(__xludf.DUMMYFUNCTION("""COMPUTED_VALUE"""),"Bengkel Las Bpk. Ari")</f>
        <v>Bengkel Las Bpk. Ari</v>
      </c>
      <c r="F2261" s="211" t="str">
        <f>IFERROR(__xludf.DUMMYFUNCTION("""COMPUTED_VALUE"""),"8bdbe149")</f>
        <v>8bdbe149</v>
      </c>
      <c r="G2261" s="211" t="str">
        <f>IFERROR(__xludf.DUMMYFUNCTION("""COMPUTED_VALUE"""),"Oksigen 6m3")</f>
        <v>Oksigen 6m3</v>
      </c>
      <c r="H2261" s="211" t="str">
        <f>IFERROR(__xludf.DUMMYFUNCTION("""COMPUTED_VALUE"""),"OUT")</f>
        <v>OUT</v>
      </c>
      <c r="I2261" s="211" t="str">
        <f>IFERROR(__xludf.DUMMYFUNCTION("""COMPUTED_VALUE"""),"NORMAL")</f>
        <v>NORMAL</v>
      </c>
      <c r="J2261" s="211">
        <f>IFERROR(__xludf.DUMMYFUNCTION("""COMPUTED_VALUE"""),5.0)</f>
        <v>5</v>
      </c>
      <c r="K2261" s="210" t="str">
        <f>IFERROR(__xludf.DUMMYFUNCTION("""COMPUTED_VALUE"""),"11232 11228 112272 11255 11252")</f>
        <v>11232 11228 112272 11255 11252</v>
      </c>
      <c r="L2261" s="211">
        <f>IFERROR(__xludf.DUMMYFUNCTION("""COMPUTED_VALUE"""),60000.0)</f>
        <v>60000</v>
      </c>
      <c r="M2261" s="211"/>
      <c r="N2261" s="211"/>
      <c r="O2261" s="211"/>
      <c r="Q2261" s="210" t="str">
        <f>IFERROR(__xludf.DUMMYFUNCTION("""COMPUTED_VALUE"""),"1261090")</f>
        <v>1261090</v>
      </c>
      <c r="R2261" s="210" t="str">
        <f>IFERROR(__xludf.DUMMYFUNCTION("""COMPUTED_VALUE"""),"1261090")</f>
        <v>1261090</v>
      </c>
      <c r="S2261" s="211" t="str">
        <f>IFERROR(__xludf.DUMMYFUNCTION("""COMPUTED_VALUE"""),"f8a982a4")</f>
        <v>f8a982a4</v>
      </c>
      <c r="T2261" s="211" t="str">
        <f>IFERROR(__xludf.DUMMYFUNCTION("""COMPUTED_VALUE"""),"Bpk. Nasir")</f>
        <v>Bpk. Nasir</v>
      </c>
      <c r="U2261" s="215">
        <f>IFERROR(__xludf.DUMMYFUNCTION("""COMPUTED_VALUE"""),46037.67884259259)</f>
        <v>46037.67884</v>
      </c>
      <c r="V2261" s="211" t="str">
        <f>IFERROR(__xludf.DUMMYFUNCTION("""COMPUTED_VALUE"""),"JL Raya Pacet, Dsn. Janti Ds. Jatilangkung RT.01 RW. 04. Kabupaten. Mojokerto Pungging, Jawa Timur")</f>
        <v>JL Raya Pacet, Dsn. Janti Ds. Jatilangkung RT.01 RW. 04. Kabupaten. Mojokerto Pungging, Jawa Timur</v>
      </c>
      <c r="W2261" s="211" t="str">
        <f>IFERROR(__xludf.DUMMYFUNCTION("""COMPUTED_VALUE"""),"IN")</f>
        <v>IN</v>
      </c>
      <c r="X2261" s="211"/>
    </row>
    <row r="2262">
      <c r="A2262" s="210" t="str">
        <f>IFERROR(__xludf.DUMMYFUNCTION("""COMPUTED_VALUE"""),"112551617")</f>
        <v>112551617</v>
      </c>
      <c r="B2262" s="210" t="str">
        <f>IFERROR(__xludf.DUMMYFUNCTION("""COMPUTED_VALUE"""),"112551617")</f>
        <v>112551617</v>
      </c>
      <c r="C2262" s="213">
        <f>IFERROR(__xludf.DUMMYFUNCTION("""COMPUTED_VALUE"""),45966.84138888889)</f>
        <v>45966.84139</v>
      </c>
      <c r="D2262" s="211" t="str">
        <f>IFERROR(__xludf.DUMMYFUNCTION("""COMPUTED_VALUE"""),"56828503")</f>
        <v>56828503</v>
      </c>
      <c r="E2262" s="211" t="str">
        <f>IFERROR(__xludf.DUMMYFUNCTION("""COMPUTED_VALUE"""),"Bpk. Widodo (Wringinanom)")</f>
        <v>Bpk. Widodo (Wringinanom)</v>
      </c>
      <c r="F2262" s="211" t="str">
        <f>IFERROR(__xludf.DUMMYFUNCTION("""COMPUTED_VALUE"""),"8bdbe149")</f>
        <v>8bdbe149</v>
      </c>
      <c r="G2262" s="211" t="str">
        <f>IFERROR(__xludf.DUMMYFUNCTION("""COMPUTED_VALUE"""),"Oksigen 6m3")</f>
        <v>Oksigen 6m3</v>
      </c>
      <c r="H2262" s="211" t="str">
        <f>IFERROR(__xludf.DUMMYFUNCTION("""COMPUTED_VALUE"""),"OUT")</f>
        <v>OUT</v>
      </c>
      <c r="I2262" s="211" t="str">
        <f>IFERROR(__xludf.DUMMYFUNCTION("""COMPUTED_VALUE"""),"NORMAL")</f>
        <v>NORMAL</v>
      </c>
      <c r="J2262" s="211">
        <f>IFERROR(__xludf.DUMMYFUNCTION("""COMPUTED_VALUE"""),5.0)</f>
        <v>5</v>
      </c>
      <c r="K2262" s="210" t="str">
        <f>IFERROR(__xludf.DUMMYFUNCTION("""COMPUTED_VALUE"""),"1123 11209 11291 11267 11287")</f>
        <v>1123 11209 11291 11267 11287</v>
      </c>
      <c r="L2262" s="211">
        <f>IFERROR(__xludf.DUMMYFUNCTION("""COMPUTED_VALUE"""),55000.0)</f>
        <v>55000</v>
      </c>
      <c r="M2262" s="211"/>
      <c r="N2262" s="211"/>
      <c r="O2262" s="211"/>
      <c r="Q2262" s="210" t="str">
        <f>IFERROR(__xludf.DUMMYFUNCTION("""COMPUTED_VALUE"""),"1261088")</f>
        <v>1261088</v>
      </c>
      <c r="R2262" s="210" t="str">
        <f>IFERROR(__xludf.DUMMYFUNCTION("""COMPUTED_VALUE"""),"1261088")</f>
        <v>1261088</v>
      </c>
      <c r="S2262" s="211" t="str">
        <f>IFERROR(__xludf.DUMMYFUNCTION("""COMPUTED_VALUE"""),"03ff52db")</f>
        <v>03ff52db</v>
      </c>
      <c r="T2262" s="211" t="str">
        <f>IFERROR(__xludf.DUMMYFUNCTION("""COMPUTED_VALUE"""),"Aneka Teknik Logam")</f>
        <v>Aneka Teknik Logam</v>
      </c>
      <c r="U2262" s="215">
        <f>IFERROR(__xludf.DUMMYFUNCTION("""COMPUTED_VALUE"""),46037.68300925926)</f>
        <v>46037.68301</v>
      </c>
      <c r="V2262" s="211" t="str">
        <f>IFERROR(__xludf.DUMMYFUNCTION("""COMPUTED_VALUE"""),"HH8G+MQC, Areng Areng, Tropodo, Kec. Krian, Kabupaten Sidoarjo, Jawa Timur 61262")</f>
        <v>HH8G+MQC, Areng Areng, Tropodo, Kec. Krian, Kabupaten Sidoarjo, Jawa Timur 61262</v>
      </c>
      <c r="W2262" s="211" t="str">
        <f>IFERROR(__xludf.DUMMYFUNCTION("""COMPUTED_VALUE"""),"IN")</f>
        <v>IN</v>
      </c>
      <c r="X2262" s="211"/>
    </row>
    <row r="2263">
      <c r="A2263" s="210" t="str">
        <f>IFERROR(__xludf.DUMMYFUNCTION("""COMPUTED_VALUE"""),"112531618")</f>
        <v>112531618</v>
      </c>
      <c r="B2263" s="210" t="str">
        <f>IFERROR(__xludf.DUMMYFUNCTION("""COMPUTED_VALUE"""),"112531618")</f>
        <v>112531618</v>
      </c>
      <c r="C2263" s="213">
        <f>IFERROR(__xludf.DUMMYFUNCTION("""COMPUTED_VALUE"""),45966.841527777775)</f>
        <v>45966.84153</v>
      </c>
      <c r="D2263" s="211" t="str">
        <f>IFERROR(__xludf.DUMMYFUNCTION("""COMPUTED_VALUE"""),"faf71ae5")</f>
        <v>faf71ae5</v>
      </c>
      <c r="E2263" s="211" t="str">
        <f>IFERROR(__xludf.DUMMYFUNCTION("""COMPUTED_VALUE"""),"Bpk. Sampurna")</f>
        <v>Bpk. Sampurna</v>
      </c>
      <c r="F2263" s="211" t="str">
        <f>IFERROR(__xludf.DUMMYFUNCTION("""COMPUTED_VALUE"""),"8bdbe149")</f>
        <v>8bdbe149</v>
      </c>
      <c r="G2263" s="211" t="str">
        <f>IFERROR(__xludf.DUMMYFUNCTION("""COMPUTED_VALUE"""),"Oksigen 6m3")</f>
        <v>Oksigen 6m3</v>
      </c>
      <c r="H2263" s="211" t="str">
        <f>IFERROR(__xludf.DUMMYFUNCTION("""COMPUTED_VALUE"""),"OUT")</f>
        <v>OUT</v>
      </c>
      <c r="I2263" s="211" t="str">
        <f>IFERROR(__xludf.DUMMYFUNCTION("""COMPUTED_VALUE"""),"NORMAL")</f>
        <v>NORMAL</v>
      </c>
      <c r="J2263" s="211">
        <f>IFERROR(__xludf.DUMMYFUNCTION("""COMPUTED_VALUE"""),10.0)</f>
        <v>10</v>
      </c>
      <c r="K2263" s="210" t="str">
        <f>IFERROR(__xludf.DUMMYFUNCTION("""COMPUTED_VALUE"""),"1126 11106 11165 11185 11129 1140 11250 1181 11125 11108")</f>
        <v>1126 11106 11165 11185 11129 1140 11250 1181 11125 11108</v>
      </c>
      <c r="L2263" s="211">
        <f>IFERROR(__xludf.DUMMYFUNCTION("""COMPUTED_VALUE"""),55000.0)</f>
        <v>55000</v>
      </c>
      <c r="M2263" s="211"/>
      <c r="N2263" s="211"/>
      <c r="O2263" s="211"/>
      <c r="Q2263" s="210" t="str">
        <f>IFERROR(__xludf.DUMMYFUNCTION("""COMPUTED_VALUE"""),"0126102258")</f>
        <v>0126102258</v>
      </c>
      <c r="R2263" s="210" t="str">
        <f>IFERROR(__xludf.DUMMYFUNCTION("""COMPUTED_VALUE"""),"0126102258")</f>
        <v>0126102258</v>
      </c>
      <c r="S2263" s="211" t="str">
        <f>IFERROR(__xludf.DUMMYFUNCTION("""COMPUTED_VALUE"""),"734c6d17")</f>
        <v>734c6d17</v>
      </c>
      <c r="T2263" s="211" t="str">
        <f>IFERROR(__xludf.DUMMYFUNCTION("""COMPUTED_VALUE"""),"Bapak Ainol Yaqin ( Bpk. Ibnu )")</f>
        <v>Bapak Ainol Yaqin ( Bpk. Ibnu )</v>
      </c>
      <c r="U2263" s="215">
        <f>IFERROR(__xludf.DUMMYFUNCTION("""COMPUTED_VALUE"""),46038.33346064815)</f>
        <v>46038.33346</v>
      </c>
      <c r="V2263" s="211" t="str">
        <f>IFERROR(__xludf.DUMMYFUNCTION("""COMPUTED_VALUE"""),"Tanggul Wetan, Tanggul, Kec. Wonoayu, Kabupaten Sidoarjo, Jawa Timur")</f>
        <v>Tanggul Wetan, Tanggul, Kec. Wonoayu, Kabupaten Sidoarjo, Jawa Timur</v>
      </c>
      <c r="W2263" s="211" t="str">
        <f>IFERROR(__xludf.DUMMYFUNCTION("""COMPUTED_VALUE"""),"OUT")</f>
        <v>OUT</v>
      </c>
      <c r="X2263" s="211"/>
    </row>
    <row r="2264">
      <c r="A2264" s="210" t="str">
        <f>IFERROR(__xludf.DUMMYFUNCTION("""COMPUTED_VALUE"""),"112531618")</f>
        <v>112531618</v>
      </c>
      <c r="B2264" s="210" t="str">
        <f>IFERROR(__xludf.DUMMYFUNCTION("""COMPUTED_VALUE"""),"112531618")</f>
        <v>112531618</v>
      </c>
      <c r="C2264" s="213">
        <f>IFERROR(__xludf.DUMMYFUNCTION("""COMPUTED_VALUE"""),45966.34097222222)</f>
        <v>45966.34097</v>
      </c>
      <c r="D2264" s="211" t="str">
        <f>IFERROR(__xludf.DUMMYFUNCTION("""COMPUTED_VALUE"""),"faf71ae5")</f>
        <v>faf71ae5</v>
      </c>
      <c r="E2264" s="211" t="str">
        <f>IFERROR(__xludf.DUMMYFUNCTION("""COMPUTED_VALUE"""),"Bpk. Sampurna")</f>
        <v>Bpk. Sampurna</v>
      </c>
      <c r="F2264" s="211" t="str">
        <f>IFERROR(__xludf.DUMMYFUNCTION("""COMPUTED_VALUE"""),"f13ba52f")</f>
        <v>f13ba52f</v>
      </c>
      <c r="G2264" s="211" t="str">
        <f>IFERROR(__xludf.DUMMYFUNCTION("""COMPUTED_VALUE"""),"Ongkos Kirim (Non PPN)")</f>
        <v>Ongkos Kirim (Non PPN)</v>
      </c>
      <c r="H2264" s="211" t="str">
        <f>IFERROR(__xludf.DUMMYFUNCTION("""COMPUTED_VALUE"""),"OUT")</f>
        <v>OUT</v>
      </c>
      <c r="I2264" s="211" t="str">
        <f>IFERROR(__xludf.DUMMYFUNCTION("""COMPUTED_VALUE"""),"NORMAL")</f>
        <v>NORMAL</v>
      </c>
      <c r="J2264" s="211">
        <f>IFERROR(__xludf.DUMMYFUNCTION("""COMPUTED_VALUE"""),1.0)</f>
        <v>1</v>
      </c>
      <c r="K2264" s="210" t="str">
        <f>IFERROR(__xludf.DUMMYFUNCTION("""COMPUTED_VALUE"""),"01")</f>
        <v>01</v>
      </c>
      <c r="L2264" s="211">
        <f>IFERROR(__xludf.DUMMYFUNCTION("""COMPUTED_VALUE"""),50000.0)</f>
        <v>50000</v>
      </c>
      <c r="M2264" s="211"/>
      <c r="N2264" s="211"/>
      <c r="O2264" s="211"/>
      <c r="Q2264" s="210" t="str">
        <f>IFERROR(__xludf.DUMMYFUNCTION("""COMPUTED_VALUE"""),"0126722264")</f>
        <v>0126722264</v>
      </c>
      <c r="R2264" s="210" t="str">
        <f>IFERROR(__xludf.DUMMYFUNCTION("""COMPUTED_VALUE"""),"0126722264")</f>
        <v>0126722264</v>
      </c>
      <c r="S2264" s="211" t="str">
        <f>IFERROR(__xludf.DUMMYFUNCTION("""COMPUTED_VALUE"""),"b2b5f2c5")</f>
        <v>b2b5f2c5</v>
      </c>
      <c r="T2264" s="211" t="str">
        <f>IFERROR(__xludf.DUMMYFUNCTION("""COMPUTED_VALUE"""),"Bengkel Las Bpk. Ari")</f>
        <v>Bengkel Las Bpk. Ari</v>
      </c>
      <c r="U2264" s="215">
        <f>IFERROR(__xludf.DUMMYFUNCTION("""COMPUTED_VALUE"""),46038.333449074074)</f>
        <v>46038.33345</v>
      </c>
      <c r="V2264" s="211" t="str">
        <f>IFERROR(__xludf.DUMMYFUNCTION("""COMPUTED_VALUE"""),"Sumber Kembar, Wonodadi, Kec. Kutorejo, Kabupaten Mojokerto, Jawa Timur")</f>
        <v>Sumber Kembar, Wonodadi, Kec. Kutorejo, Kabupaten Mojokerto, Jawa Timur</v>
      </c>
      <c r="W2264" s="211" t="str">
        <f>IFERROR(__xludf.DUMMYFUNCTION("""COMPUTED_VALUE"""),"OUT")</f>
        <v>OUT</v>
      </c>
      <c r="X2264" s="211"/>
    </row>
    <row r="2265">
      <c r="A2265" s="210" t="str">
        <f>IFERROR(__xludf.DUMMYFUNCTION("""COMPUTED_VALUE"""),"1250756")</f>
        <v>1250756</v>
      </c>
      <c r="B2265" s="210" t="str">
        <f>IFERROR(__xludf.DUMMYFUNCTION("""COMPUTED_VALUE"""),"1250756")</f>
        <v>1250756</v>
      </c>
      <c r="C2265" s="213">
        <f>IFERROR(__xludf.DUMMYFUNCTION("""COMPUTED_VALUE"""),45966.380833333336)</f>
        <v>45966.38083</v>
      </c>
      <c r="D2265" s="211" t="str">
        <f>IFERROR(__xludf.DUMMYFUNCTION("""COMPUTED_VALUE"""),"56828503")</f>
        <v>56828503</v>
      </c>
      <c r="E2265" s="211" t="str">
        <f>IFERROR(__xludf.DUMMYFUNCTION("""COMPUTED_VALUE"""),"Bpk. Widodo (Wringinanom)")</f>
        <v>Bpk. Widodo (Wringinanom)</v>
      </c>
      <c r="F2265" s="211" t="str">
        <f>IFERROR(__xludf.DUMMYFUNCTION("""COMPUTED_VALUE"""),"8bdbe149")</f>
        <v>8bdbe149</v>
      </c>
      <c r="G2265" s="211" t="str">
        <f>IFERROR(__xludf.DUMMYFUNCTION("""COMPUTED_VALUE"""),"Oksigen 6m3")</f>
        <v>Oksigen 6m3</v>
      </c>
      <c r="H2265" s="211" t="str">
        <f>IFERROR(__xludf.DUMMYFUNCTION("""COMPUTED_VALUE"""),"IN")</f>
        <v>IN</v>
      </c>
      <c r="I2265" s="211" t="str">
        <f>IFERROR(__xludf.DUMMYFUNCTION("""COMPUTED_VALUE"""),"EMPTY")</f>
        <v>EMPTY</v>
      </c>
      <c r="J2265" s="211">
        <f>IFERROR(__xludf.DUMMYFUNCTION("""COMPUTED_VALUE"""),20.0)</f>
        <v>20</v>
      </c>
      <c r="K2265" s="210" t="str">
        <f>IFERROR(__xludf.DUMMYFUNCTION("""COMPUTED_VALUE"""),"11234 1109 1110 1143 1187 1136 11210 11120 11124 11258 11270 11118 11133 11114 11261 11142 11147 11138 1147 1166")</f>
        <v>11234 1109 1110 1143 1187 1136 11210 11120 11124 11258 11270 11118 11133 11114 11261 11142 11147 11138 1147 1166</v>
      </c>
      <c r="L2265" s="211">
        <f>IFERROR(__xludf.DUMMYFUNCTION("""COMPUTED_VALUE"""),0.0)</f>
        <v>0</v>
      </c>
      <c r="M2265" s="211"/>
      <c r="N2265" s="211"/>
      <c r="O2265" s="211"/>
      <c r="Q2265" s="210" t="str">
        <f>IFERROR(__xludf.DUMMYFUNCTION("""COMPUTED_VALUE"""),"012672265")</f>
        <v>012672265</v>
      </c>
      <c r="R2265" s="210" t="str">
        <f>IFERROR(__xludf.DUMMYFUNCTION("""COMPUTED_VALUE"""),"012672265")</f>
        <v>012672265</v>
      </c>
      <c r="S2265" s="211" t="str">
        <f>IFERROR(__xludf.DUMMYFUNCTION("""COMPUTED_VALUE"""),"03ff52db")</f>
        <v>03ff52db</v>
      </c>
      <c r="T2265" s="211" t="str">
        <f>IFERROR(__xludf.DUMMYFUNCTION("""COMPUTED_VALUE"""),"Aneka Teknik Logam")</f>
        <v>Aneka Teknik Logam</v>
      </c>
      <c r="U2265" s="215">
        <f>IFERROR(__xludf.DUMMYFUNCTION("""COMPUTED_VALUE"""),46038.33346064815)</f>
        <v>46038.33346</v>
      </c>
      <c r="V2265" s="211" t="str">
        <f>IFERROR(__xludf.DUMMYFUNCTION("""COMPUTED_VALUE"""),"HH8G+MQC, Areng Areng, Tropodo, Kec. Krian, Kabupaten Sidoarjo, Jawa Timur 61262")</f>
        <v>HH8G+MQC, Areng Areng, Tropodo, Kec. Krian, Kabupaten Sidoarjo, Jawa Timur 61262</v>
      </c>
      <c r="W2265" s="211" t="str">
        <f>IFERROR(__xludf.DUMMYFUNCTION("""COMPUTED_VALUE"""),"OUT")</f>
        <v>OUT</v>
      </c>
      <c r="X2265" s="211"/>
    </row>
    <row r="2266">
      <c r="A2266" s="210" t="str">
        <f>IFERROR(__xludf.DUMMYFUNCTION("""COMPUTED_VALUE"""),"1125171619")</f>
        <v>1125171619</v>
      </c>
      <c r="B2266" s="210" t="str">
        <f>IFERROR(__xludf.DUMMYFUNCTION("""COMPUTED_VALUE"""),"1125171619")</f>
        <v>1125171619</v>
      </c>
      <c r="C2266" s="213">
        <f>IFERROR(__xludf.DUMMYFUNCTION("""COMPUTED_VALUE"""),45966.43099537037)</f>
        <v>45966.431</v>
      </c>
      <c r="D2266" s="211" t="str">
        <f>IFERROR(__xludf.DUMMYFUNCTION("""COMPUTED_VALUE"""),"4ec68cf6")</f>
        <v>4ec68cf6</v>
      </c>
      <c r="E2266" s="211" t="str">
        <f>IFERROR(__xludf.DUMMYFUNCTION("""COMPUTED_VALUE"""),"CV Sido Mukti Karya")</f>
        <v>CV Sido Mukti Karya</v>
      </c>
      <c r="F2266" s="211" t="str">
        <f>IFERROR(__xludf.DUMMYFUNCTION("""COMPUTED_VALUE"""),"7d2764f1")</f>
        <v>7d2764f1</v>
      </c>
      <c r="G2266" s="211" t="str">
        <f>IFERROR(__xludf.DUMMYFUNCTION("""COMPUTED_VALUE"""),"Oksigen 7m3")</f>
        <v>Oksigen 7m3</v>
      </c>
      <c r="H2266" s="211" t="str">
        <f>IFERROR(__xludf.DUMMYFUNCTION("""COMPUTED_VALUE"""),"OUT")</f>
        <v>OUT</v>
      </c>
      <c r="I2266" s="211" t="str">
        <f>IFERROR(__xludf.DUMMYFUNCTION("""COMPUTED_VALUE"""),"NORMAL")</f>
        <v>NORMAL</v>
      </c>
      <c r="J2266" s="211">
        <f>IFERROR(__xludf.DUMMYFUNCTION("""COMPUTED_VALUE"""),4.0)</f>
        <v>4</v>
      </c>
      <c r="K2266" s="210" t="str">
        <f>IFERROR(__xludf.DUMMYFUNCTION("""COMPUTED_VALUE"""),"11167 11164 11145 11152")</f>
        <v>11167 11164 11145 11152</v>
      </c>
      <c r="L2266" s="211">
        <f>IFERROR(__xludf.DUMMYFUNCTION("""COMPUTED_VALUE"""),60000.0)</f>
        <v>60000</v>
      </c>
      <c r="M2266" s="211"/>
      <c r="N2266" s="211"/>
      <c r="O2266" s="211"/>
      <c r="Q2266" s="210" t="str">
        <f>IFERROR(__xludf.DUMMYFUNCTION("""COMPUTED_VALUE"""),"012672266")</f>
        <v>012672266</v>
      </c>
      <c r="R2266" s="210" t="str">
        <f>IFERROR(__xludf.DUMMYFUNCTION("""COMPUTED_VALUE"""),"012672266")</f>
        <v>012672266</v>
      </c>
      <c r="S2266" s="211" t="str">
        <f>IFERROR(__xludf.DUMMYFUNCTION("""COMPUTED_VALUE"""),"bdb5baf3")</f>
        <v>bdb5baf3</v>
      </c>
      <c r="T2266" s="211" t="str">
        <f>IFERROR(__xludf.DUMMYFUNCTION("""COMPUTED_VALUE"""),"Bpk. Abdul")</f>
        <v>Bpk. Abdul</v>
      </c>
      <c r="U2266" s="215">
        <f>IFERROR(__xludf.DUMMYFUNCTION("""COMPUTED_VALUE"""),46038.34111111111)</f>
        <v>46038.34111</v>
      </c>
      <c r="V2266" s="211" t="str">
        <f>IFERROR(__xludf.DUMMYFUNCTION("""COMPUTED_VALUE"""),"Bypass Krian")</f>
        <v>Bypass Krian</v>
      </c>
      <c r="W2266" s="211" t="str">
        <f>IFERROR(__xludf.DUMMYFUNCTION("""COMPUTED_VALUE"""),"OUT")</f>
        <v>OUT</v>
      </c>
      <c r="X2266" s="211"/>
    </row>
    <row r="2267">
      <c r="A2267" s="210" t="str">
        <f>IFERROR(__xludf.DUMMYFUNCTION("""COMPUTED_VALUE"""),"1125171619")</f>
        <v>1125171619</v>
      </c>
      <c r="B2267" s="210" t="str">
        <f>IFERROR(__xludf.DUMMYFUNCTION("""COMPUTED_VALUE"""),"1125171619")</f>
        <v>1125171619</v>
      </c>
      <c r="C2267" s="213">
        <f>IFERROR(__xludf.DUMMYFUNCTION("""COMPUTED_VALUE"""),45966.43099537037)</f>
        <v>45966.431</v>
      </c>
      <c r="D2267" s="211" t="str">
        <f>IFERROR(__xludf.DUMMYFUNCTION("""COMPUTED_VALUE"""),"4ec68cf6")</f>
        <v>4ec68cf6</v>
      </c>
      <c r="E2267" s="211" t="str">
        <f>IFERROR(__xludf.DUMMYFUNCTION("""COMPUTED_VALUE"""),"CV Sido Mukti Karya")</f>
        <v>CV Sido Mukti Karya</v>
      </c>
      <c r="F2267" s="211" t="str">
        <f>IFERROR(__xludf.DUMMYFUNCTION("""COMPUTED_VALUE"""),"ef306e54")</f>
        <v>ef306e54</v>
      </c>
      <c r="G2267" s="211" t="str">
        <f>IFERROR(__xludf.DUMMYFUNCTION("""COMPUTED_VALUE"""),"Karbondioksida")</f>
        <v>Karbondioksida</v>
      </c>
      <c r="H2267" s="211" t="str">
        <f>IFERROR(__xludf.DUMMYFUNCTION("""COMPUTED_VALUE"""),"OUT")</f>
        <v>OUT</v>
      </c>
      <c r="I2267" s="211" t="str">
        <f>IFERROR(__xludf.DUMMYFUNCTION("""COMPUTED_VALUE"""),"NORMAL")</f>
        <v>NORMAL</v>
      </c>
      <c r="J2267" s="211">
        <f>IFERROR(__xludf.DUMMYFUNCTION("""COMPUTED_VALUE"""),2.0)</f>
        <v>2</v>
      </c>
      <c r="K2267" s="210" t="str">
        <f>IFERROR(__xludf.DUMMYFUNCTION("""COMPUTED_VALUE"""),"13003 13010")</f>
        <v>13003 13010</v>
      </c>
      <c r="L2267" s="211">
        <f>IFERROR(__xludf.DUMMYFUNCTION("""COMPUTED_VALUE"""),170000.0)</f>
        <v>170000</v>
      </c>
      <c r="M2267" s="211"/>
      <c r="N2267" s="211"/>
      <c r="O2267" s="211"/>
      <c r="Q2267" s="210" t="str">
        <f>IFERROR(__xludf.DUMMYFUNCTION("""COMPUTED_VALUE"""),"1261102")</f>
        <v>1261102</v>
      </c>
      <c r="R2267" s="210" t="str">
        <f>IFERROR(__xludf.DUMMYFUNCTION("""COMPUTED_VALUE"""),"1261102")</f>
        <v>1261102</v>
      </c>
      <c r="S2267" s="211" t="str">
        <f>IFERROR(__xludf.DUMMYFUNCTION("""COMPUTED_VALUE"""),"b2b5f2c5")</f>
        <v>b2b5f2c5</v>
      </c>
      <c r="T2267" s="211" t="str">
        <f>IFERROR(__xludf.DUMMYFUNCTION("""COMPUTED_VALUE"""),"Bengkel Las Bpk. Ari")</f>
        <v>Bengkel Las Bpk. Ari</v>
      </c>
      <c r="U2267" s="215">
        <f>IFERROR(__xludf.DUMMYFUNCTION("""COMPUTED_VALUE"""),46038.53469907407)</f>
        <v>46038.5347</v>
      </c>
      <c r="V2267" s="211" t="str">
        <f>IFERROR(__xludf.DUMMYFUNCTION("""COMPUTED_VALUE"""),"Sumber Kembar, Wonodadi, Kec. Kutorejo, Kabupaten Mojokerto, Jawa Timur")</f>
        <v>Sumber Kembar, Wonodadi, Kec. Kutorejo, Kabupaten Mojokerto, Jawa Timur</v>
      </c>
      <c r="W2267" s="211" t="str">
        <f>IFERROR(__xludf.DUMMYFUNCTION("""COMPUTED_VALUE"""),"IN")</f>
        <v>IN</v>
      </c>
      <c r="X2267" s="211"/>
    </row>
    <row r="2268">
      <c r="A2268" s="210" t="str">
        <f>IFERROR(__xludf.DUMMYFUNCTION("""COMPUTED_VALUE"""),"1250762")</f>
        <v>1250762</v>
      </c>
      <c r="B2268" s="210" t="str">
        <f>IFERROR(__xludf.DUMMYFUNCTION("""COMPUTED_VALUE"""),"1250762")</f>
        <v>1250762</v>
      </c>
      <c r="C2268" s="213">
        <f>IFERROR(__xludf.DUMMYFUNCTION("""COMPUTED_VALUE"""),45966.47116898148)</f>
        <v>45966.47117</v>
      </c>
      <c r="D2268" s="211" t="str">
        <f>IFERROR(__xludf.DUMMYFUNCTION("""COMPUTED_VALUE"""),"b2b5f2c5")</f>
        <v>b2b5f2c5</v>
      </c>
      <c r="E2268" s="211" t="str">
        <f>IFERROR(__xludf.DUMMYFUNCTION("""COMPUTED_VALUE"""),"Bengkel Las Bpk. Ari")</f>
        <v>Bengkel Las Bpk. Ari</v>
      </c>
      <c r="F2268" s="211" t="str">
        <f>IFERROR(__xludf.DUMMYFUNCTION("""COMPUTED_VALUE"""),"ef306e54")</f>
        <v>ef306e54</v>
      </c>
      <c r="G2268" s="211" t="str">
        <f>IFERROR(__xludf.DUMMYFUNCTION("""COMPUTED_VALUE"""),"Karbondioksida")</f>
        <v>Karbondioksida</v>
      </c>
      <c r="H2268" s="211" t="str">
        <f>IFERROR(__xludf.DUMMYFUNCTION("""COMPUTED_VALUE"""),"IN")</f>
        <v>IN</v>
      </c>
      <c r="I2268" s="211" t="str">
        <f>IFERROR(__xludf.DUMMYFUNCTION("""COMPUTED_VALUE"""),"EMPTY")</f>
        <v>EMPTY</v>
      </c>
      <c r="J2268" s="211">
        <f>IFERROR(__xludf.DUMMYFUNCTION("""COMPUTED_VALUE"""),5.0)</f>
        <v>5</v>
      </c>
      <c r="K2268" s="210" t="str">
        <f>IFERROR(__xludf.DUMMYFUNCTION("""COMPUTED_VALUE"""),"13006 13007 13029 13034 13038")</f>
        <v>13006 13007 13029 13034 13038</v>
      </c>
      <c r="L2268" s="211">
        <f>IFERROR(__xludf.DUMMYFUNCTION("""COMPUTED_VALUE"""),0.0)</f>
        <v>0</v>
      </c>
      <c r="M2268" s="211"/>
      <c r="N2268" s="211"/>
      <c r="O2268" s="211"/>
      <c r="Q2268" s="210" t="str">
        <f>IFERROR(__xludf.DUMMYFUNCTION("""COMPUTED_VALUE"""),"0126132267")</f>
        <v>0126132267</v>
      </c>
      <c r="R2268" s="210" t="str">
        <f>IFERROR(__xludf.DUMMYFUNCTION("""COMPUTED_VALUE"""),"0126132267")</f>
        <v>0126132267</v>
      </c>
      <c r="S2268" s="211" t="str">
        <f>IFERROR(__xludf.DUMMYFUNCTION("""COMPUTED_VALUE"""),"63fc688a")</f>
        <v>63fc688a</v>
      </c>
      <c r="T2268" s="211" t="str">
        <f>IFERROR(__xludf.DUMMYFUNCTION("""COMPUTED_VALUE"""),"CV Malik Nusantara")</f>
        <v>CV Malik Nusantara</v>
      </c>
      <c r="U2268" s="215">
        <f>IFERROR(__xludf.DUMMYFUNCTION("""COMPUTED_VALUE"""),46038.53703703704)</f>
        <v>46038.53704</v>
      </c>
      <c r="V2268" s="211" t="str">
        <f>IFERROR(__xludf.DUMMYFUNCTION("""COMPUTED_VALUE"""),"Jl. Raya Balongbendo No.12, Suwaluh Utara, Suwaluh, Kec. BalongBendo, Kabupaten Sidoarjo, Jawa Timur 61263")</f>
        <v>Jl. Raya Balongbendo No.12, Suwaluh Utara, Suwaluh, Kec. BalongBendo, Kabupaten Sidoarjo, Jawa Timur 61263</v>
      </c>
      <c r="W2268" s="211" t="str">
        <f>IFERROR(__xludf.DUMMYFUNCTION("""COMPUTED_VALUE"""),"OUT")</f>
        <v>OUT</v>
      </c>
      <c r="X2268" s="211"/>
    </row>
    <row r="2269">
      <c r="A2269" s="210" t="str">
        <f>IFERROR(__xludf.DUMMYFUNCTION("""COMPUTED_VALUE"""),"1250762")</f>
        <v>1250762</v>
      </c>
      <c r="B2269" s="210" t="str">
        <f>IFERROR(__xludf.DUMMYFUNCTION("""COMPUTED_VALUE"""),"1250762")</f>
        <v>1250762</v>
      </c>
      <c r="C2269" s="213">
        <f>IFERROR(__xludf.DUMMYFUNCTION("""COMPUTED_VALUE"""),45966.47116898148)</f>
        <v>45966.47117</v>
      </c>
      <c r="D2269" s="211" t="str">
        <f>IFERROR(__xludf.DUMMYFUNCTION("""COMPUTED_VALUE"""),"b2b5f2c5")</f>
        <v>b2b5f2c5</v>
      </c>
      <c r="E2269" s="211" t="str">
        <f>IFERROR(__xludf.DUMMYFUNCTION("""COMPUTED_VALUE"""),"Bengkel Las Bpk. Ari")</f>
        <v>Bengkel Las Bpk. Ari</v>
      </c>
      <c r="F2269" s="211" t="str">
        <f>IFERROR(__xludf.DUMMYFUNCTION("""COMPUTED_VALUE"""),"8bdbe149")</f>
        <v>8bdbe149</v>
      </c>
      <c r="G2269" s="211" t="str">
        <f>IFERROR(__xludf.DUMMYFUNCTION("""COMPUTED_VALUE"""),"Oksigen 6m3")</f>
        <v>Oksigen 6m3</v>
      </c>
      <c r="H2269" s="211" t="str">
        <f>IFERROR(__xludf.DUMMYFUNCTION("""COMPUTED_VALUE"""),"IN")</f>
        <v>IN</v>
      </c>
      <c r="I2269" s="211" t="str">
        <f>IFERROR(__xludf.DUMMYFUNCTION("""COMPUTED_VALUE"""),"EMPTY")</f>
        <v>EMPTY</v>
      </c>
      <c r="J2269" s="211">
        <f>IFERROR(__xludf.DUMMYFUNCTION("""COMPUTED_VALUE"""),9.0)</f>
        <v>9</v>
      </c>
      <c r="K2269" s="210" t="str">
        <f>IFERROR(__xludf.DUMMYFUNCTION("""COMPUTED_VALUE"""),"1197 11183 1149 11273 11248 11283 11199 1157 11246")</f>
        <v>1197 11183 1149 11273 11248 11283 11199 1157 11246</v>
      </c>
      <c r="L2269" s="211">
        <f>IFERROR(__xludf.DUMMYFUNCTION("""COMPUTED_VALUE"""),0.0)</f>
        <v>0</v>
      </c>
      <c r="M2269" s="211"/>
      <c r="N2269" s="211"/>
      <c r="O2269" s="211"/>
      <c r="Q2269" s="210" t="str">
        <f>IFERROR(__xludf.DUMMYFUNCTION("""COMPUTED_VALUE"""),"012652269")</f>
        <v>012652269</v>
      </c>
      <c r="R2269" s="210" t="str">
        <f>IFERROR(__xludf.DUMMYFUNCTION("""COMPUTED_VALUE"""),"012652269")</f>
        <v>012652269</v>
      </c>
      <c r="S2269" s="211" t="str">
        <f>IFERROR(__xludf.DUMMYFUNCTION("""COMPUTED_VALUE"""),"b89c20a1")</f>
        <v>b89c20a1</v>
      </c>
      <c r="T2269" s="211" t="str">
        <f>IFERROR(__xludf.DUMMYFUNCTION("""COMPUTED_VALUE"""),"Harini dini")</f>
        <v>Harini dini</v>
      </c>
      <c r="U2269" s="215">
        <f>IFERROR(__xludf.DUMMYFUNCTION("""COMPUTED_VALUE"""),46039.35157407408)</f>
        <v>46039.35157</v>
      </c>
      <c r="V2269" s="211" t="str">
        <f>IFERROR(__xludf.DUMMYFUNCTION("""COMPUTED_VALUE"""),"Kraton RT 15 RW 03  Kraton Krian Sidoarjo")</f>
        <v>Kraton RT 15 RW 03  Kraton Krian Sidoarjo</v>
      </c>
      <c r="W2269" s="211" t="str">
        <f>IFERROR(__xludf.DUMMYFUNCTION("""COMPUTED_VALUE"""),"OUT")</f>
        <v>OUT</v>
      </c>
      <c r="X2269" s="211"/>
    </row>
    <row r="2270">
      <c r="A2270" s="210" t="str">
        <f>IFERROR(__xludf.DUMMYFUNCTION("""COMPUTED_VALUE"""),"112561621")</f>
        <v>112561621</v>
      </c>
      <c r="B2270" s="210" t="str">
        <f>IFERROR(__xludf.DUMMYFUNCTION("""COMPUTED_VALUE"""),"112561621")</f>
        <v>112561621</v>
      </c>
      <c r="C2270" s="213">
        <f>IFERROR(__xludf.DUMMYFUNCTION("""COMPUTED_VALUE"""),45966.49491898148)</f>
        <v>45966.49492</v>
      </c>
      <c r="D2270" s="211" t="str">
        <f>IFERROR(__xludf.DUMMYFUNCTION("""COMPUTED_VALUE"""),"eec2e801")</f>
        <v>eec2e801</v>
      </c>
      <c r="E2270" s="211" t="str">
        <f>IFERROR(__xludf.DUMMYFUNCTION("""COMPUTED_VALUE"""),"Mitra Wood Sejahtera")</f>
        <v>Mitra Wood Sejahtera</v>
      </c>
      <c r="F2270" s="211" t="str">
        <f>IFERROR(__xludf.DUMMYFUNCTION("""COMPUTED_VALUE"""),"8bdbe149")</f>
        <v>8bdbe149</v>
      </c>
      <c r="G2270" s="211" t="str">
        <f>IFERROR(__xludf.DUMMYFUNCTION("""COMPUTED_VALUE"""),"Oksigen 6m3")</f>
        <v>Oksigen 6m3</v>
      </c>
      <c r="H2270" s="211" t="str">
        <f>IFERROR(__xludf.DUMMYFUNCTION("""COMPUTED_VALUE"""),"OUT")</f>
        <v>OUT</v>
      </c>
      <c r="I2270" s="211" t="str">
        <f>IFERROR(__xludf.DUMMYFUNCTION("""COMPUTED_VALUE"""),"NORMAL")</f>
        <v>NORMAL</v>
      </c>
      <c r="J2270" s="211">
        <f>IFERROR(__xludf.DUMMYFUNCTION("""COMPUTED_VALUE"""),10.0)</f>
        <v>10</v>
      </c>
      <c r="K2270" s="210" t="str">
        <f>IFERROR(__xludf.DUMMYFUNCTION("""COMPUTED_VALUE"""),"11183 11246 1149 11248 11199 1157 11273 11283 1197 11200")</f>
        <v>11183 11246 1149 11248 11199 1157 11273 11283 1197 11200</v>
      </c>
      <c r="L2270" s="211">
        <f>IFERROR(__xludf.DUMMYFUNCTION("""COMPUTED_VALUE"""),55000.0)</f>
        <v>55000</v>
      </c>
      <c r="M2270" s="211"/>
      <c r="N2270" s="211"/>
      <c r="O2270" s="211"/>
      <c r="Q2270" s="210" t="str">
        <f>IFERROR(__xludf.DUMMYFUNCTION("""COMPUTED_VALUE"""),"012652270")</f>
        <v>012652270</v>
      </c>
      <c r="R2270" s="210" t="str">
        <f>IFERROR(__xludf.DUMMYFUNCTION("""COMPUTED_VALUE"""),"012652270")</f>
        <v>012652270</v>
      </c>
      <c r="S2270" s="211" t="str">
        <f>IFERROR(__xludf.DUMMYFUNCTION("""COMPUTED_VALUE"""),"1d018c98")</f>
        <v>1d018c98</v>
      </c>
      <c r="T2270" s="211" t="str">
        <f>IFERROR(__xludf.DUMMYFUNCTION("""COMPUTED_VALUE"""),"Mbak Angel")</f>
        <v>Mbak Angel</v>
      </c>
      <c r="U2270" s="215">
        <f>IFERROR(__xludf.DUMMYFUNCTION("""COMPUTED_VALUE"""),46039.35238425926)</f>
        <v>46039.35238</v>
      </c>
      <c r="V2270" s="211" t="str">
        <f>IFERROR(__xludf.DUMMYFUNCTION("""COMPUTED_VALUE"""),"Penambangan Krajan RT 02 RW 01 Balongbendo")</f>
        <v>Penambangan Krajan RT 02 RW 01 Balongbendo</v>
      </c>
      <c r="W2270" s="211" t="str">
        <f>IFERROR(__xludf.DUMMYFUNCTION("""COMPUTED_VALUE"""),"OUT")</f>
        <v>OUT</v>
      </c>
      <c r="X2270" s="211"/>
    </row>
    <row r="2271">
      <c r="A2271" s="210" t="str">
        <f>IFERROR(__xludf.DUMMYFUNCTION("""COMPUTED_VALUE"""),"112511623")</f>
        <v>112511623</v>
      </c>
      <c r="B2271" s="210" t="str">
        <f>IFERROR(__xludf.DUMMYFUNCTION("""COMPUTED_VALUE"""),"112511623")</f>
        <v>112511623</v>
      </c>
      <c r="C2271" s="213">
        <f>IFERROR(__xludf.DUMMYFUNCTION("""COMPUTED_VALUE"""),45966.497152777774)</f>
        <v>45966.49715</v>
      </c>
      <c r="D2271" s="211" t="str">
        <f>IFERROR(__xludf.DUMMYFUNCTION("""COMPUTED_VALUE"""),"f8a982a4")</f>
        <v>f8a982a4</v>
      </c>
      <c r="E2271" s="211" t="str">
        <f>IFERROR(__xludf.DUMMYFUNCTION("""COMPUTED_VALUE"""),"Bpk. Nasir Mjs")</f>
        <v>Bpk. Nasir Mjs</v>
      </c>
      <c r="F2271" s="211" t="str">
        <f>IFERROR(__xludf.DUMMYFUNCTION("""COMPUTED_VALUE"""),"7d2764f1")</f>
        <v>7d2764f1</v>
      </c>
      <c r="G2271" s="211" t="str">
        <f>IFERROR(__xludf.DUMMYFUNCTION("""COMPUTED_VALUE"""),"Oksigen 7m3")</f>
        <v>Oksigen 7m3</v>
      </c>
      <c r="H2271" s="211" t="str">
        <f>IFERROR(__xludf.DUMMYFUNCTION("""COMPUTED_VALUE"""),"OUT")</f>
        <v>OUT</v>
      </c>
      <c r="I2271" s="211" t="str">
        <f>IFERROR(__xludf.DUMMYFUNCTION("""COMPUTED_VALUE"""),"NORMAL")</f>
        <v>NORMAL</v>
      </c>
      <c r="J2271" s="211">
        <f>IFERROR(__xludf.DUMMYFUNCTION("""COMPUTED_VALUE"""),4.0)</f>
        <v>4</v>
      </c>
      <c r="K2271" s="210" t="str">
        <f>IFERROR(__xludf.DUMMYFUNCTION("""COMPUTED_VALUE"""),"11153 11150 1165 11168")</f>
        <v>11153 11150 1165 11168</v>
      </c>
      <c r="L2271" s="211">
        <f>IFERROR(__xludf.DUMMYFUNCTION("""COMPUTED_VALUE"""),70000.0)</f>
        <v>70000</v>
      </c>
      <c r="M2271" s="211"/>
      <c r="N2271" s="211"/>
      <c r="O2271" s="211"/>
      <c r="Q2271" s="210" t="str">
        <f>IFERROR(__xludf.DUMMYFUNCTION("""COMPUTED_VALUE"""),"1261094")</f>
        <v>1261094</v>
      </c>
      <c r="R2271" s="210" t="str">
        <f>IFERROR(__xludf.DUMMYFUNCTION("""COMPUTED_VALUE"""),"1261094")</f>
        <v>1261094</v>
      </c>
      <c r="S2271" s="211" t="str">
        <f>IFERROR(__xludf.DUMMYFUNCTION("""COMPUTED_VALUE"""),"1d018c98")</f>
        <v>1d018c98</v>
      </c>
      <c r="T2271" s="211" t="str">
        <f>IFERROR(__xludf.DUMMYFUNCTION("""COMPUTED_VALUE"""),"Mbak Angel")</f>
        <v>Mbak Angel</v>
      </c>
      <c r="U2271" s="215">
        <f>IFERROR(__xludf.DUMMYFUNCTION("""COMPUTED_VALUE"""),46039.36318287037)</f>
        <v>46039.36318</v>
      </c>
      <c r="V2271" s="211" t="str">
        <f>IFERROR(__xludf.DUMMYFUNCTION("""COMPUTED_VALUE"""),"Penambangan Krajan RT 02 RW 01 Balongbendo")</f>
        <v>Penambangan Krajan RT 02 RW 01 Balongbendo</v>
      </c>
      <c r="W2271" s="211" t="str">
        <f>IFERROR(__xludf.DUMMYFUNCTION("""COMPUTED_VALUE"""),"IN")</f>
        <v>IN</v>
      </c>
      <c r="X2271" s="211"/>
    </row>
    <row r="2272">
      <c r="A2272" s="210" t="str">
        <f>IFERROR(__xludf.DUMMYFUNCTION("""COMPUTED_VALUE"""),"112561621")</f>
        <v>112561621</v>
      </c>
      <c r="B2272" s="210" t="str">
        <f>IFERROR(__xludf.DUMMYFUNCTION("""COMPUTED_VALUE"""),"112561621")</f>
        <v>112561621</v>
      </c>
      <c r="C2272" s="213">
        <f>IFERROR(__xludf.DUMMYFUNCTION("""COMPUTED_VALUE"""),45966.49491898148)</f>
        <v>45966.49492</v>
      </c>
      <c r="D2272" s="211" t="str">
        <f>IFERROR(__xludf.DUMMYFUNCTION("""COMPUTED_VALUE"""),"eec2e801")</f>
        <v>eec2e801</v>
      </c>
      <c r="E2272" s="211" t="str">
        <f>IFERROR(__xludf.DUMMYFUNCTION("""COMPUTED_VALUE"""),"Mitra Wood Sejahtera")</f>
        <v>Mitra Wood Sejahtera</v>
      </c>
      <c r="F2272" s="211" t="str">
        <f>IFERROR(__xludf.DUMMYFUNCTION("""COMPUTED_VALUE"""),"be525f3b")</f>
        <v>be525f3b</v>
      </c>
      <c r="G2272" s="211" t="str">
        <f>IFERROR(__xludf.DUMMYFUNCTION("""COMPUTED_VALUE"""),"LPG 12kg")</f>
        <v>LPG 12kg</v>
      </c>
      <c r="H2272" s="211" t="str">
        <f>IFERROR(__xludf.DUMMYFUNCTION("""COMPUTED_VALUE"""),"OUT")</f>
        <v>OUT</v>
      </c>
      <c r="I2272" s="211" t="str">
        <f>IFERROR(__xludf.DUMMYFUNCTION("""COMPUTED_VALUE"""),"NORMAL")</f>
        <v>NORMAL</v>
      </c>
      <c r="J2272" s="211">
        <f>IFERROR(__xludf.DUMMYFUNCTION("""COMPUTED_VALUE"""),2.0)</f>
        <v>2</v>
      </c>
      <c r="K2272" s="210" t="str">
        <f>IFERROR(__xludf.DUMMYFUNCTION("""COMPUTED_VALUE"""),"01 02")</f>
        <v>01 02</v>
      </c>
      <c r="L2272" s="211">
        <f>IFERROR(__xludf.DUMMYFUNCTION("""COMPUTED_VALUE"""),210000.0)</f>
        <v>210000</v>
      </c>
      <c r="M2272" s="211"/>
      <c r="N2272" s="211"/>
      <c r="O2272" s="211"/>
      <c r="Q2272" s="210" t="str">
        <f>IFERROR(__xludf.DUMMYFUNCTION("""COMPUTED_VALUE"""),"1261103")</f>
        <v>1261103</v>
      </c>
      <c r="R2272" s="210" t="str">
        <f>IFERROR(__xludf.DUMMYFUNCTION("""COMPUTED_VALUE"""),"1261103")</f>
        <v>1261103</v>
      </c>
      <c r="S2272" s="211" t="str">
        <f>IFERROR(__xludf.DUMMYFUNCTION("""COMPUTED_VALUE"""),"63fc688a")</f>
        <v>63fc688a</v>
      </c>
      <c r="T2272" s="211" t="str">
        <f>IFERROR(__xludf.DUMMYFUNCTION("""COMPUTED_VALUE"""),"CV Malik Nusantara")</f>
        <v>CV Malik Nusantara</v>
      </c>
      <c r="U2272" s="215">
        <f>IFERROR(__xludf.DUMMYFUNCTION("""COMPUTED_VALUE"""),46039.36342592593)</f>
        <v>46039.36343</v>
      </c>
      <c r="V2272" s="211" t="str">
        <f>IFERROR(__xludf.DUMMYFUNCTION("""COMPUTED_VALUE"""),"Jl. Raya Balongbendo No.12, Suwaluh Utara, Suwaluh, Kec. BalongBendo, Kabupaten Sidoarjo, Jawa Timur 61263")</f>
        <v>Jl. Raya Balongbendo No.12, Suwaluh Utara, Suwaluh, Kec. BalongBendo, Kabupaten Sidoarjo, Jawa Timur 61263</v>
      </c>
      <c r="W2272" s="211" t="str">
        <f>IFERROR(__xludf.DUMMYFUNCTION("""COMPUTED_VALUE"""),"IN")</f>
        <v>IN</v>
      </c>
      <c r="X2272" s="211"/>
    </row>
    <row r="2273">
      <c r="A2273" s="210" t="str">
        <f>IFERROR(__xludf.DUMMYFUNCTION("""COMPUTED_VALUE"""),"1250763")</f>
        <v>1250763</v>
      </c>
      <c r="B2273" s="210" t="str">
        <f>IFERROR(__xludf.DUMMYFUNCTION("""COMPUTED_VALUE"""),"1250763")</f>
        <v>1250763</v>
      </c>
      <c r="C2273" s="213">
        <f>IFERROR(__xludf.DUMMYFUNCTION("""COMPUTED_VALUE"""),45966.50678240741)</f>
        <v>45966.50678</v>
      </c>
      <c r="D2273" s="211" t="str">
        <f>IFERROR(__xludf.DUMMYFUNCTION("""COMPUTED_VALUE"""),"4ec68cf6")</f>
        <v>4ec68cf6</v>
      </c>
      <c r="E2273" s="211" t="str">
        <f>IFERROR(__xludf.DUMMYFUNCTION("""COMPUTED_VALUE"""),"CV Sido Mukti Karya")</f>
        <v>CV Sido Mukti Karya</v>
      </c>
      <c r="F2273" s="211" t="str">
        <f>IFERROR(__xludf.DUMMYFUNCTION("""COMPUTED_VALUE"""),"7d2764f1")</f>
        <v>7d2764f1</v>
      </c>
      <c r="G2273" s="211" t="str">
        <f>IFERROR(__xludf.DUMMYFUNCTION("""COMPUTED_VALUE"""),"Oksigen 7m3")</f>
        <v>Oksigen 7m3</v>
      </c>
      <c r="H2273" s="211" t="str">
        <f>IFERROR(__xludf.DUMMYFUNCTION("""COMPUTED_VALUE"""),"IN")</f>
        <v>IN</v>
      </c>
      <c r="I2273" s="211" t="str">
        <f>IFERROR(__xludf.DUMMYFUNCTION("""COMPUTED_VALUE"""),"EMPTY")</f>
        <v>EMPTY</v>
      </c>
      <c r="J2273" s="211">
        <f>IFERROR(__xludf.DUMMYFUNCTION("""COMPUTED_VALUE"""),4.0)</f>
        <v>4</v>
      </c>
      <c r="K2273" s="210" t="str">
        <f>IFERROR(__xludf.DUMMYFUNCTION("""COMPUTED_VALUE"""),"11146 11160 1157 11221")</f>
        <v>11146 11160 1157 11221</v>
      </c>
      <c r="L2273" s="211">
        <f>IFERROR(__xludf.DUMMYFUNCTION("""COMPUTED_VALUE"""),0.0)</f>
        <v>0</v>
      </c>
      <c r="M2273" s="211"/>
      <c r="N2273" s="211"/>
      <c r="O2273" s="211"/>
      <c r="Q2273" s="210" t="str">
        <f>IFERROR(__xludf.DUMMYFUNCTION("""COMPUTED_VALUE"""),"012612271")</f>
        <v>012612271</v>
      </c>
      <c r="R2273" s="210" t="str">
        <f>IFERROR(__xludf.DUMMYFUNCTION("""COMPUTED_VALUE"""),"012612271")</f>
        <v>012612271</v>
      </c>
      <c r="S2273" s="211" t="str">
        <f>IFERROR(__xludf.DUMMYFUNCTION("""COMPUTED_VALUE"""),"057b6b99")</f>
        <v>057b6b99</v>
      </c>
      <c r="T2273" s="211" t="str">
        <f>IFERROR(__xludf.DUMMYFUNCTION("""COMPUTED_VALUE"""),"PT Anuta Utama Transport")</f>
        <v>PT Anuta Utama Transport</v>
      </c>
      <c r="U2273" s="215">
        <f>IFERROR(__xludf.DUMMYFUNCTION("""COMPUTED_VALUE"""),46039.382569444446)</f>
        <v>46039.38257</v>
      </c>
      <c r="V2273" s="211" t="str">
        <f>IFERROR(__xludf.DUMMYFUNCTION("""COMPUTED_VALUE"""),"Jl Raya ketimang KM 10, Kec. Wonoayu, Kab. Sidoarjo, Jawa Timur")</f>
        <v>Jl Raya ketimang KM 10, Kec. Wonoayu, Kab. Sidoarjo, Jawa Timur</v>
      </c>
      <c r="W2273" s="211" t="str">
        <f>IFERROR(__xludf.DUMMYFUNCTION("""COMPUTED_VALUE"""),"OUT")</f>
        <v>OUT</v>
      </c>
      <c r="X2273" s="211"/>
    </row>
    <row r="2274">
      <c r="A2274" s="210" t="str">
        <f>IFERROR(__xludf.DUMMYFUNCTION("""COMPUTED_VALUE"""),"1250763")</f>
        <v>1250763</v>
      </c>
      <c r="B2274" s="210" t="str">
        <f>IFERROR(__xludf.DUMMYFUNCTION("""COMPUTED_VALUE"""),"1250763")</f>
        <v>1250763</v>
      </c>
      <c r="C2274" s="213">
        <f>IFERROR(__xludf.DUMMYFUNCTION("""COMPUTED_VALUE"""),45966.50678240741)</f>
        <v>45966.50678</v>
      </c>
      <c r="D2274" s="211" t="str">
        <f>IFERROR(__xludf.DUMMYFUNCTION("""COMPUTED_VALUE"""),"4ec68cf6")</f>
        <v>4ec68cf6</v>
      </c>
      <c r="E2274" s="211" t="str">
        <f>IFERROR(__xludf.DUMMYFUNCTION("""COMPUTED_VALUE"""),"CV Sido Mukti Karya")</f>
        <v>CV Sido Mukti Karya</v>
      </c>
      <c r="F2274" s="211" t="str">
        <f>IFERROR(__xludf.DUMMYFUNCTION("""COMPUTED_VALUE"""),"ef306e54")</f>
        <v>ef306e54</v>
      </c>
      <c r="G2274" s="211" t="str">
        <f>IFERROR(__xludf.DUMMYFUNCTION("""COMPUTED_VALUE"""),"Karbondioksida")</f>
        <v>Karbondioksida</v>
      </c>
      <c r="H2274" s="211" t="str">
        <f>IFERROR(__xludf.DUMMYFUNCTION("""COMPUTED_VALUE"""),"IN")</f>
        <v>IN</v>
      </c>
      <c r="I2274" s="211" t="str">
        <f>IFERROR(__xludf.DUMMYFUNCTION("""COMPUTED_VALUE"""),"EMPTY")</f>
        <v>EMPTY</v>
      </c>
      <c r="J2274" s="211">
        <f>IFERROR(__xludf.DUMMYFUNCTION("""COMPUTED_VALUE"""),3.0)</f>
        <v>3</v>
      </c>
      <c r="K2274" s="210" t="str">
        <f>IFERROR(__xludf.DUMMYFUNCTION("""COMPUTED_VALUE"""),"13031 13037 13040")</f>
        <v>13031 13037 13040</v>
      </c>
      <c r="L2274" s="211">
        <f>IFERROR(__xludf.DUMMYFUNCTION("""COMPUTED_VALUE"""),0.0)</f>
        <v>0</v>
      </c>
      <c r="M2274" s="211"/>
      <c r="N2274" s="211"/>
      <c r="O2274" s="211"/>
      <c r="Q2274" s="210" t="str">
        <f>IFERROR(__xludf.DUMMYFUNCTION("""COMPUTED_VALUE"""),"012662274")</f>
        <v>012662274</v>
      </c>
      <c r="R2274" s="210" t="str">
        <f>IFERROR(__xludf.DUMMYFUNCTION("""COMPUTED_VALUE"""),"012662274")</f>
        <v>012662274</v>
      </c>
      <c r="S2274" s="211" t="str">
        <f>IFERROR(__xludf.DUMMYFUNCTION("""COMPUTED_VALUE"""),"f49860e4")</f>
        <v>f49860e4</v>
      </c>
      <c r="T2274" s="211" t="str">
        <f>IFERROR(__xludf.DUMMYFUNCTION("""COMPUTED_VALUE"""),"Mas Nur ( Jetis )")</f>
        <v>Mas Nur ( Jetis )</v>
      </c>
      <c r="U2274" s="215">
        <f>IFERROR(__xludf.DUMMYFUNCTION("""COMPUTED_VALUE"""),46039.38528935185)</f>
        <v>46039.38529</v>
      </c>
      <c r="V2274" s="211" t="str">
        <f>IFERROR(__xludf.DUMMYFUNCTION("""COMPUTED_VALUE"""),"HFVF+CCG, JL.Raya Jetis, jetis, Kec. Jetis Kabupaten Mojokerto Jawa Timur 61352")</f>
        <v>HFVF+CCG, JL.Raya Jetis, jetis, Kec. Jetis Kabupaten Mojokerto Jawa Timur 61352</v>
      </c>
      <c r="W2274" s="211" t="str">
        <f>IFERROR(__xludf.DUMMYFUNCTION("""COMPUTED_VALUE"""),"OUT")</f>
        <v>OUT</v>
      </c>
      <c r="X2274" s="211"/>
    </row>
    <row r="2275">
      <c r="A2275" s="210" t="str">
        <f>IFERROR(__xludf.DUMMYFUNCTION("""COMPUTED_VALUE"""),"1250731")</f>
        <v>1250731</v>
      </c>
      <c r="B2275" s="210" t="str">
        <f>IFERROR(__xludf.DUMMYFUNCTION("""COMPUTED_VALUE"""),"1250731")</f>
        <v>1250731</v>
      </c>
      <c r="C2275" s="213">
        <f>IFERROR(__xludf.DUMMYFUNCTION("""COMPUTED_VALUE"""),45961.603472222225)</f>
        <v>45961.60347</v>
      </c>
      <c r="D2275" s="211" t="str">
        <f>IFERROR(__xludf.DUMMYFUNCTION("""COMPUTED_VALUE"""),"4ec68cf6")</f>
        <v>4ec68cf6</v>
      </c>
      <c r="E2275" s="211" t="str">
        <f>IFERROR(__xludf.DUMMYFUNCTION("""COMPUTED_VALUE"""),"CV Sido Mukti Karya")</f>
        <v>CV Sido Mukti Karya</v>
      </c>
      <c r="F2275" s="211" t="str">
        <f>IFERROR(__xludf.DUMMYFUNCTION("""COMPUTED_VALUE"""),"7d2764f1")</f>
        <v>7d2764f1</v>
      </c>
      <c r="G2275" s="211" t="str">
        <f>IFERROR(__xludf.DUMMYFUNCTION("""COMPUTED_VALUE"""),"Oksigen 7m3")</f>
        <v>Oksigen 7m3</v>
      </c>
      <c r="H2275" s="211" t="str">
        <f>IFERROR(__xludf.DUMMYFUNCTION("""COMPUTED_VALUE"""),"IN")</f>
        <v>IN</v>
      </c>
      <c r="I2275" s="211" t="str">
        <f>IFERROR(__xludf.DUMMYFUNCTION("""COMPUTED_VALUE"""),"EMPTY")</f>
        <v>EMPTY</v>
      </c>
      <c r="J2275" s="211">
        <f>IFERROR(__xludf.DUMMYFUNCTION("""COMPUTED_VALUE"""),1.0)</f>
        <v>1</v>
      </c>
      <c r="K2275" s="210" t="str">
        <f>IFERROR(__xludf.DUMMYFUNCTION("""COMPUTED_VALUE"""),"1165")</f>
        <v>1165</v>
      </c>
      <c r="L2275" s="211">
        <f>IFERROR(__xludf.DUMMYFUNCTION("""COMPUTED_VALUE"""),0.0)</f>
        <v>0</v>
      </c>
      <c r="M2275" s="211"/>
      <c r="N2275" s="211"/>
      <c r="O2275" s="211"/>
      <c r="Q2275" s="210" t="str">
        <f>IFERROR(__xludf.DUMMYFUNCTION("""COMPUTED_VALUE"""),"0126422275")</f>
        <v>0126422275</v>
      </c>
      <c r="R2275" s="210" t="str">
        <f>IFERROR(__xludf.DUMMYFUNCTION("""COMPUTED_VALUE"""),"0126422275")</f>
        <v>0126422275</v>
      </c>
      <c r="S2275" s="211" t="str">
        <f>IFERROR(__xludf.DUMMYFUNCTION("""COMPUTED_VALUE"""),"5f23ba17")</f>
        <v>5f23ba17</v>
      </c>
      <c r="T2275" s="211" t="str">
        <f>IFERROR(__xludf.DUMMYFUNCTION("""COMPUTED_VALUE"""),"Bpk. Joko (Gresik)")</f>
        <v>Bpk. Joko (Gresik)</v>
      </c>
      <c r="U2275" s="215">
        <f>IFERROR(__xludf.DUMMYFUNCTION("""COMPUTED_VALUE"""),46039.39275462963)</f>
        <v>46039.39275</v>
      </c>
      <c r="V2275" s="211" t="str">
        <f>IFERROR(__xludf.DUMMYFUNCTION("""COMPUTED_VALUE"""),"Tanggungan, Lebaniwaras, Kec. Wringinanom, Kabupaten Gresik, Jawa Timur")</f>
        <v>Tanggungan, Lebaniwaras, Kec. Wringinanom, Kabupaten Gresik, Jawa Timur</v>
      </c>
      <c r="W2275" s="211" t="str">
        <f>IFERROR(__xludf.DUMMYFUNCTION("""COMPUTED_VALUE"""),"OUT")</f>
        <v>OUT</v>
      </c>
      <c r="X2275" s="211"/>
    </row>
    <row r="2276">
      <c r="A2276" s="210" t="str">
        <f>IFERROR(__xludf.DUMMYFUNCTION("""COMPUTED_VALUE"""),"1250754")</f>
        <v>1250754</v>
      </c>
      <c r="B2276" s="210" t="str">
        <f>IFERROR(__xludf.DUMMYFUNCTION("""COMPUTED_VALUE"""),"1250754")</f>
        <v>1250754</v>
      </c>
      <c r="C2276" s="213">
        <f>IFERROR(__xludf.DUMMYFUNCTION("""COMPUTED_VALUE"""),45966.568761574075)</f>
        <v>45966.56876</v>
      </c>
      <c r="D2276" s="211" t="str">
        <f>IFERROR(__xludf.DUMMYFUNCTION("""COMPUTED_VALUE"""),"01158be1")</f>
        <v>01158be1</v>
      </c>
      <c r="E2276" s="211" t="str">
        <f>IFERROR(__xludf.DUMMYFUNCTION("""COMPUTED_VALUE"""),"GYF")</f>
        <v>GYF</v>
      </c>
      <c r="F2276" s="211" t="str">
        <f>IFERROR(__xludf.DUMMYFUNCTION("""COMPUTED_VALUE"""),"8bdbe149")</f>
        <v>8bdbe149</v>
      </c>
      <c r="G2276" s="211" t="str">
        <f>IFERROR(__xludf.DUMMYFUNCTION("""COMPUTED_VALUE"""),"Oksigen 6m3")</f>
        <v>Oksigen 6m3</v>
      </c>
      <c r="H2276" s="211" t="str">
        <f>IFERROR(__xludf.DUMMYFUNCTION("""COMPUTED_VALUE"""),"IN")</f>
        <v>IN</v>
      </c>
      <c r="I2276" s="211" t="str">
        <f>IFERROR(__xludf.DUMMYFUNCTION("""COMPUTED_VALUE"""),"EMPTY")</f>
        <v>EMPTY</v>
      </c>
      <c r="J2276" s="211">
        <f>IFERROR(__xludf.DUMMYFUNCTION("""COMPUTED_VALUE"""),4.0)</f>
        <v>4</v>
      </c>
      <c r="K2276" s="210" t="str">
        <f>IFERROR(__xludf.DUMMYFUNCTION("""COMPUTED_VALUE"""),"11289 1195 11177 11135")</f>
        <v>11289 1195 11177 11135</v>
      </c>
      <c r="L2276" s="211">
        <f>IFERROR(__xludf.DUMMYFUNCTION("""COMPUTED_VALUE"""),0.0)</f>
        <v>0</v>
      </c>
      <c r="M2276" s="211"/>
      <c r="N2276" s="211"/>
      <c r="O2276" s="211"/>
      <c r="Q2276" s="210" t="str">
        <f>IFERROR(__xludf.DUMMYFUNCTION("""COMPUTED_VALUE"""),"012632276")</f>
        <v>012632276</v>
      </c>
      <c r="R2276" s="210" t="str">
        <f>IFERROR(__xludf.DUMMYFUNCTION("""COMPUTED_VALUE"""),"012632276")</f>
        <v>012632276</v>
      </c>
      <c r="S2276" s="211" t="str">
        <f>IFERROR(__xludf.DUMMYFUNCTION("""COMPUTED_VALUE"""),"1a1efff9")</f>
        <v>1a1efff9</v>
      </c>
      <c r="T2276" s="211" t="str">
        <f>IFERROR(__xludf.DUMMYFUNCTION("""COMPUTED_VALUE"""),"Bpk. Gito Mjs")</f>
        <v>Bpk. Gito Mjs</v>
      </c>
      <c r="U2276" s="215">
        <f>IFERROR(__xludf.DUMMYFUNCTION("""COMPUTED_VALUE"""),46039.49775462963)</f>
        <v>46039.49775</v>
      </c>
      <c r="V2276" s="211" t="str">
        <f>IFERROR(__xludf.DUMMYFUNCTION("""COMPUTED_VALUE"""),"FGRX+QQP, Kemloko, Jotangan, Kec. Mojosari, Kabupaten Mojokerto, Jawa Timur 61382")</f>
        <v>FGRX+QQP, Kemloko, Jotangan, Kec. Mojosari, Kabupaten Mojokerto, Jawa Timur 61382</v>
      </c>
      <c r="W2276" s="211" t="str">
        <f>IFERROR(__xludf.DUMMYFUNCTION("""COMPUTED_VALUE"""),"OUT")</f>
        <v>OUT</v>
      </c>
      <c r="X2276" s="211"/>
    </row>
    <row r="2277">
      <c r="A2277" s="210" t="str">
        <f>IFERROR(__xludf.DUMMYFUNCTION("""COMPUTED_VALUE"""),"1250755")</f>
        <v>1250755</v>
      </c>
      <c r="B2277" s="210" t="str">
        <f>IFERROR(__xludf.DUMMYFUNCTION("""COMPUTED_VALUE"""),"1250755")</f>
        <v>1250755</v>
      </c>
      <c r="C2277" s="213">
        <f>IFERROR(__xludf.DUMMYFUNCTION("""COMPUTED_VALUE"""),45966.56951388889)</f>
        <v>45966.56951</v>
      </c>
      <c r="D2277" s="211" t="str">
        <f>IFERROR(__xludf.DUMMYFUNCTION("""COMPUTED_VALUE"""),"faf71ae5")</f>
        <v>faf71ae5</v>
      </c>
      <c r="E2277" s="211" t="str">
        <f>IFERROR(__xludf.DUMMYFUNCTION("""COMPUTED_VALUE"""),"Bpk. Sampurna")</f>
        <v>Bpk. Sampurna</v>
      </c>
      <c r="F2277" s="211" t="str">
        <f>IFERROR(__xludf.DUMMYFUNCTION("""COMPUTED_VALUE"""),"8bdbe149")</f>
        <v>8bdbe149</v>
      </c>
      <c r="G2277" s="211" t="str">
        <f>IFERROR(__xludf.DUMMYFUNCTION("""COMPUTED_VALUE"""),"Oksigen 6m3")</f>
        <v>Oksigen 6m3</v>
      </c>
      <c r="H2277" s="211" t="str">
        <f>IFERROR(__xludf.DUMMYFUNCTION("""COMPUTED_VALUE"""),"IN")</f>
        <v>IN</v>
      </c>
      <c r="I2277" s="211" t="str">
        <f>IFERROR(__xludf.DUMMYFUNCTION("""COMPUTED_VALUE"""),"EMPTY")</f>
        <v>EMPTY</v>
      </c>
      <c r="J2277" s="211">
        <f>IFERROR(__xludf.DUMMYFUNCTION("""COMPUTED_VALUE"""),4.0)</f>
        <v>4</v>
      </c>
      <c r="K2277" s="210" t="str">
        <f>IFERROR(__xludf.DUMMYFUNCTION("""COMPUTED_VALUE"""),"1155 11247 11196 137")</f>
        <v>1155 11247 11196 137</v>
      </c>
      <c r="L2277" s="211">
        <f>IFERROR(__xludf.DUMMYFUNCTION("""COMPUTED_VALUE"""),0.0)</f>
        <v>0</v>
      </c>
      <c r="M2277" s="211"/>
      <c r="N2277" s="211"/>
      <c r="O2277" s="211"/>
      <c r="Q2277" s="210" t="str">
        <f>IFERROR(__xludf.DUMMYFUNCTION("""COMPUTED_VALUE"""),"012672277")</f>
        <v>012672277</v>
      </c>
      <c r="R2277" s="210" t="str">
        <f>IFERROR(__xludf.DUMMYFUNCTION("""COMPUTED_VALUE"""),"012672277")</f>
        <v>012672277</v>
      </c>
      <c r="S2277" s="211" t="str">
        <f>IFERROR(__xludf.DUMMYFUNCTION("""COMPUTED_VALUE"""),"f49860e4")</f>
        <v>f49860e4</v>
      </c>
      <c r="T2277" s="211" t="str">
        <f>IFERROR(__xludf.DUMMYFUNCTION("""COMPUTED_VALUE"""),"Mas Nur ( Jetis )")</f>
        <v>Mas Nur ( Jetis )</v>
      </c>
      <c r="U2277" s="215">
        <f>IFERROR(__xludf.DUMMYFUNCTION("""COMPUTED_VALUE"""),46039.498020833336)</f>
        <v>46039.49802</v>
      </c>
      <c r="V2277" s="211" t="str">
        <f>IFERROR(__xludf.DUMMYFUNCTION("""COMPUTED_VALUE"""),"HFVF+CCG, JL.Raya Jetis, jetis, Kec. Jetis Kabupaten Mojokerto Jawa Timur 61352")</f>
        <v>HFVF+CCG, JL.Raya Jetis, jetis, Kec. Jetis Kabupaten Mojokerto Jawa Timur 61352</v>
      </c>
      <c r="W2277" s="211" t="str">
        <f>IFERROR(__xludf.DUMMYFUNCTION("""COMPUTED_VALUE"""),"OUT")</f>
        <v>OUT</v>
      </c>
      <c r="X2277" s="211"/>
    </row>
    <row r="2278">
      <c r="A2278" s="210" t="str">
        <f>IFERROR(__xludf.DUMMYFUNCTION("""COMPUTED_VALUE"""),"1125181624")</f>
        <v>1125181624</v>
      </c>
      <c r="B2278" s="210" t="str">
        <f>IFERROR(__xludf.DUMMYFUNCTION("""COMPUTED_VALUE"""),"1125181624")</f>
        <v>1125181624</v>
      </c>
      <c r="C2278" s="213">
        <f>IFERROR(__xludf.DUMMYFUNCTION("""COMPUTED_VALUE"""),45966.658680555556)</f>
        <v>45966.65868</v>
      </c>
      <c r="D2278" s="211" t="str">
        <f>IFERROR(__xludf.DUMMYFUNCTION("""COMPUTED_VALUE"""),"4ec68cf6")</f>
        <v>4ec68cf6</v>
      </c>
      <c r="E2278" s="211" t="str">
        <f>IFERROR(__xludf.DUMMYFUNCTION("""COMPUTED_VALUE"""),"CV Sido Mukti Karya")</f>
        <v>CV Sido Mukti Karya</v>
      </c>
      <c r="F2278" s="211" t="str">
        <f>IFERROR(__xludf.DUMMYFUNCTION("""COMPUTED_VALUE"""),"ef306e54")</f>
        <v>ef306e54</v>
      </c>
      <c r="G2278" s="211" t="str">
        <f>IFERROR(__xludf.DUMMYFUNCTION("""COMPUTED_VALUE"""),"Karbondioksida")</f>
        <v>Karbondioksida</v>
      </c>
      <c r="H2278" s="211" t="str">
        <f>IFERROR(__xludf.DUMMYFUNCTION("""COMPUTED_VALUE"""),"OUT")</f>
        <v>OUT</v>
      </c>
      <c r="I2278" s="211" t="str">
        <f>IFERROR(__xludf.DUMMYFUNCTION("""COMPUTED_VALUE"""),"NORMAL")</f>
        <v>NORMAL</v>
      </c>
      <c r="J2278" s="211">
        <f>IFERROR(__xludf.DUMMYFUNCTION("""COMPUTED_VALUE"""),2.0)</f>
        <v>2</v>
      </c>
      <c r="K2278" s="210" t="str">
        <f>IFERROR(__xludf.DUMMYFUNCTION("""COMPUTED_VALUE"""),"13007 13034")</f>
        <v>13007 13034</v>
      </c>
      <c r="L2278" s="211">
        <f>IFERROR(__xludf.DUMMYFUNCTION("""COMPUTED_VALUE"""),170000.0)</f>
        <v>170000</v>
      </c>
      <c r="M2278" s="211"/>
      <c r="N2278" s="211"/>
      <c r="O2278" s="211"/>
      <c r="Q2278" s="210" t="str">
        <f>IFERROR(__xludf.DUMMYFUNCTION("""COMPUTED_VALUE"""),"0126142278")</f>
        <v>0126142278</v>
      </c>
      <c r="R2278" s="210" t="str">
        <f>IFERROR(__xludf.DUMMYFUNCTION("""COMPUTED_VALUE"""),"0126142278")</f>
        <v>0126142278</v>
      </c>
      <c r="S2278" s="211" t="str">
        <f>IFERROR(__xludf.DUMMYFUNCTION("""COMPUTED_VALUE"""),"eec2e801")</f>
        <v>eec2e801</v>
      </c>
      <c r="T2278" s="211" t="str">
        <f>IFERROR(__xludf.DUMMYFUNCTION("""COMPUTED_VALUE"""),"Mitra Wood Sejahtera")</f>
        <v>Mitra Wood Sejahtera</v>
      </c>
      <c r="U2278" s="215">
        <f>IFERROR(__xludf.DUMMYFUNCTION("""COMPUTED_VALUE"""),46039.49841435185)</f>
        <v>46039.49841</v>
      </c>
      <c r="V2278" s="211" t="str">
        <f>IFERROR(__xludf.DUMMYFUNCTION("""COMPUTED_VALUE"""),"Jl.cungkling, Jl. Tanggungan, Nanom Kidul, Lebaniwaras, Kec. Wringinanom, Kabupaten Gresik, Jawa Timur 61176")</f>
        <v>Jl.cungkling, Jl. Tanggungan, Nanom Kidul, Lebaniwaras, Kec. Wringinanom, Kabupaten Gresik, Jawa Timur 61176</v>
      </c>
      <c r="W2278" s="211" t="str">
        <f>IFERROR(__xludf.DUMMYFUNCTION("""COMPUTED_VALUE"""),"OUT")</f>
        <v>OUT</v>
      </c>
      <c r="X2278" s="211"/>
    </row>
    <row r="2279">
      <c r="A2279" s="210" t="str">
        <f>IFERROR(__xludf.DUMMYFUNCTION("""COMPUTED_VALUE"""),"1250753")</f>
        <v>1250753</v>
      </c>
      <c r="B2279" s="210" t="str">
        <f>IFERROR(__xludf.DUMMYFUNCTION("""COMPUTED_VALUE"""),"1250753")</f>
        <v>1250753</v>
      </c>
      <c r="C2279" s="213">
        <f>IFERROR(__xludf.DUMMYFUNCTION("""COMPUTED_VALUE"""),45966.694560185184)</f>
        <v>45966.69456</v>
      </c>
      <c r="D2279" s="211" t="str">
        <f>IFERROR(__xludf.DUMMYFUNCTION("""COMPUTED_VALUE"""),"eec2e801")</f>
        <v>eec2e801</v>
      </c>
      <c r="E2279" s="211" t="str">
        <f>IFERROR(__xludf.DUMMYFUNCTION("""COMPUTED_VALUE"""),"Mitra Wood Sejahtera")</f>
        <v>Mitra Wood Sejahtera</v>
      </c>
      <c r="F2279" s="211" t="str">
        <f>IFERROR(__xludf.DUMMYFUNCTION("""COMPUTED_VALUE"""),"be525f3b")</f>
        <v>be525f3b</v>
      </c>
      <c r="G2279" s="211" t="str">
        <f>IFERROR(__xludf.DUMMYFUNCTION("""COMPUTED_VALUE"""),"LPG 12kg")</f>
        <v>LPG 12kg</v>
      </c>
      <c r="H2279" s="211" t="str">
        <f>IFERROR(__xludf.DUMMYFUNCTION("""COMPUTED_VALUE"""),"IN")</f>
        <v>IN</v>
      </c>
      <c r="I2279" s="211" t="str">
        <f>IFERROR(__xludf.DUMMYFUNCTION("""COMPUTED_VALUE"""),"EMPTY")</f>
        <v>EMPTY</v>
      </c>
      <c r="J2279" s="211">
        <f>IFERROR(__xludf.DUMMYFUNCTION("""COMPUTED_VALUE"""),2.0)</f>
        <v>2</v>
      </c>
      <c r="K2279" s="210" t="str">
        <f>IFERROR(__xludf.DUMMYFUNCTION("""COMPUTED_VALUE"""),"01 02")</f>
        <v>01 02</v>
      </c>
      <c r="L2279" s="211">
        <f>IFERROR(__xludf.DUMMYFUNCTION("""COMPUTED_VALUE"""),0.0)</f>
        <v>0</v>
      </c>
      <c r="M2279" s="211"/>
      <c r="N2279" s="211"/>
      <c r="O2279" s="211"/>
      <c r="Q2279" s="210" t="str">
        <f>IFERROR(__xludf.DUMMYFUNCTION("""COMPUTED_VALUE"""),"0126102279")</f>
        <v>0126102279</v>
      </c>
      <c r="R2279" s="210" t="str">
        <f>IFERROR(__xludf.DUMMYFUNCTION("""COMPUTED_VALUE"""),"0126102279")</f>
        <v>0126102279</v>
      </c>
      <c r="S2279" s="211" t="str">
        <f>IFERROR(__xludf.DUMMYFUNCTION("""COMPUTED_VALUE"""),"17a8e612")</f>
        <v>17a8e612</v>
      </c>
      <c r="T2279" s="211" t="str">
        <f>IFERROR(__xludf.DUMMYFUNCTION("""COMPUTED_VALUE"""),"Flashtech Machinery")</f>
        <v>Flashtech Machinery</v>
      </c>
      <c r="U2279" s="215">
        <f>IFERROR(__xludf.DUMMYFUNCTION("""COMPUTED_VALUE"""),46039.50104166667)</f>
        <v>46039.50104</v>
      </c>
      <c r="V2279" s="211" t="str">
        <f>IFERROR(__xludf.DUMMYFUNCTION("""COMPUTED_VALUE"""),"Pergudangan Point Center blok A no.4, Kemangsen")</f>
        <v>Pergudangan Point Center blok A no.4, Kemangsen</v>
      </c>
      <c r="W2279" s="211" t="str">
        <f>IFERROR(__xludf.DUMMYFUNCTION("""COMPUTED_VALUE"""),"OUT")</f>
        <v>OUT</v>
      </c>
      <c r="X2279" s="211"/>
    </row>
    <row r="2280">
      <c r="A2280" s="210" t="str">
        <f>IFERROR(__xludf.DUMMYFUNCTION("""COMPUTED_VALUE"""),"1250753")</f>
        <v>1250753</v>
      </c>
      <c r="B2280" s="210" t="str">
        <f>IFERROR(__xludf.DUMMYFUNCTION("""COMPUTED_VALUE"""),"1250753")</f>
        <v>1250753</v>
      </c>
      <c r="C2280" s="213">
        <f>IFERROR(__xludf.DUMMYFUNCTION("""COMPUTED_VALUE"""),45966.694560185184)</f>
        <v>45966.69456</v>
      </c>
      <c r="D2280" s="211" t="str">
        <f>IFERROR(__xludf.DUMMYFUNCTION("""COMPUTED_VALUE"""),"eec2e801")</f>
        <v>eec2e801</v>
      </c>
      <c r="E2280" s="211" t="str">
        <f>IFERROR(__xludf.DUMMYFUNCTION("""COMPUTED_VALUE"""),"Mitra Wood Sejahtera")</f>
        <v>Mitra Wood Sejahtera</v>
      </c>
      <c r="F2280" s="211" t="str">
        <f>IFERROR(__xludf.DUMMYFUNCTION("""COMPUTED_VALUE"""),"8bdbe149")</f>
        <v>8bdbe149</v>
      </c>
      <c r="G2280" s="211" t="str">
        <f>IFERROR(__xludf.DUMMYFUNCTION("""COMPUTED_VALUE"""),"Oksigen 6m3")</f>
        <v>Oksigen 6m3</v>
      </c>
      <c r="H2280" s="211" t="str">
        <f>IFERROR(__xludf.DUMMYFUNCTION("""COMPUTED_VALUE"""),"IN")</f>
        <v>IN</v>
      </c>
      <c r="I2280" s="211" t="str">
        <f>IFERROR(__xludf.DUMMYFUNCTION("""COMPUTED_VALUE"""),"EMPTY")</f>
        <v>EMPTY</v>
      </c>
      <c r="J2280" s="211">
        <f>IFERROR(__xludf.DUMMYFUNCTION("""COMPUTED_VALUE"""),10.0)</f>
        <v>10</v>
      </c>
      <c r="K2280" s="210" t="str">
        <f>IFERROR(__xludf.DUMMYFUNCTION("""COMPUTED_VALUE"""),"11277 11119 1170 1107 11115 11239 11127 11269 11282 1185")</f>
        <v>11277 11119 1170 1107 11115 11239 11127 11269 11282 1185</v>
      </c>
      <c r="L2280" s="211">
        <f>IFERROR(__xludf.DUMMYFUNCTION("""COMPUTED_VALUE"""),0.0)</f>
        <v>0</v>
      </c>
      <c r="M2280" s="211"/>
      <c r="N2280" s="211"/>
      <c r="O2280" s="211"/>
      <c r="Q2280" s="210" t="str">
        <f>IFERROR(__xludf.DUMMYFUNCTION("""COMPUTED_VALUE"""),"0126102280")</f>
        <v>0126102280</v>
      </c>
      <c r="R2280" s="210" t="str">
        <f>IFERROR(__xludf.DUMMYFUNCTION("""COMPUTED_VALUE"""),"0126102280")</f>
        <v>0126102280</v>
      </c>
      <c r="S2280" s="211" t="str">
        <f>IFERROR(__xludf.DUMMYFUNCTION("""COMPUTED_VALUE"""),"440df1db")</f>
        <v>440df1db</v>
      </c>
      <c r="T2280" s="211" t="str">
        <f>IFERROR(__xludf.DUMMYFUNCTION("""COMPUTED_VALUE"""),"PT. Mecca Abadi Sejahtera")</f>
        <v>PT. Mecca Abadi Sejahtera</v>
      </c>
      <c r="U2280" s="215">
        <f>IFERROR(__xludf.DUMMYFUNCTION("""COMPUTED_VALUE"""),46039.53392361111)</f>
        <v>46039.53392</v>
      </c>
      <c r="V2280" s="211" t="str">
        <f>IFERROR(__xludf.DUMMYFUNCTION("""COMPUTED_VALUE"""),"Jl. Raya Sawocangkring, RT.006/RW.002, Sawo, Sawocangkring, Kec. Wonoayu, Kabupaten Sidoarjo, Jawa Timur 61261")</f>
        <v>Jl. Raya Sawocangkring, RT.006/RW.002, Sawo, Sawocangkring, Kec. Wonoayu, Kabupaten Sidoarjo, Jawa Timur 61261</v>
      </c>
      <c r="W2280" s="211" t="str">
        <f>IFERROR(__xludf.DUMMYFUNCTION("""COMPUTED_VALUE"""),"OUT")</f>
        <v>OUT</v>
      </c>
      <c r="X2280" s="211"/>
    </row>
    <row r="2281">
      <c r="A2281" s="211"/>
      <c r="B2281" s="211"/>
      <c r="C2281" s="211"/>
      <c r="D2281" s="211"/>
      <c r="E2281" s="211"/>
      <c r="F2281" s="211"/>
      <c r="G2281" s="211"/>
      <c r="H2281" s="211"/>
      <c r="I2281" s="211"/>
      <c r="J2281" s="211"/>
      <c r="K2281" s="211"/>
      <c r="L2281" s="211"/>
      <c r="M2281" s="211"/>
      <c r="N2281" s="211"/>
      <c r="O2281" s="211"/>
      <c r="Q2281" s="210" t="str">
        <f>IFERROR(__xludf.DUMMYFUNCTION("""COMPUTED_VALUE"""),"012682281")</f>
        <v>012682281</v>
      </c>
      <c r="R2281" s="210" t="str">
        <f>IFERROR(__xludf.DUMMYFUNCTION("""COMPUTED_VALUE"""),"012682281")</f>
        <v>012682281</v>
      </c>
      <c r="S2281" s="211" t="str">
        <f>IFERROR(__xludf.DUMMYFUNCTION("""COMPUTED_VALUE"""),"9b941888")</f>
        <v>9b941888</v>
      </c>
      <c r="T2281" s="211" t="str">
        <f>IFERROR(__xludf.DUMMYFUNCTION("""COMPUTED_VALUE"""),"Mas Devi ( Parengan )")</f>
        <v>Mas Devi ( Parengan )</v>
      </c>
      <c r="U2281" s="215">
        <f>IFERROR(__xludf.DUMMYFUNCTION("""COMPUTED_VALUE"""),46039.58224537037)</f>
        <v>46039.58225</v>
      </c>
      <c r="V2281" s="211" t="str">
        <f>IFERROR(__xludf.DUMMYFUNCTION("""COMPUTED_VALUE"""),"Kraton Krian Sidoarjo, ( sebelah tower listrik )")</f>
        <v>Kraton Krian Sidoarjo, ( sebelah tower listrik )</v>
      </c>
      <c r="W2281" s="211" t="str">
        <f>IFERROR(__xludf.DUMMYFUNCTION("""COMPUTED_VALUE"""),"OUT")</f>
        <v>OUT</v>
      </c>
      <c r="X2281" s="211"/>
    </row>
    <row r="2282">
      <c r="A2282" s="210" t="str">
        <f>IFERROR(__xludf.DUMMYFUNCTION("""COMPUTED_VALUE"""),"1125341631")</f>
        <v>1125341631</v>
      </c>
      <c r="B2282" s="210" t="str">
        <f>IFERROR(__xludf.DUMMYFUNCTION("""COMPUTED_VALUE"""),"1125341631")</f>
        <v>1125341631</v>
      </c>
      <c r="C2282" s="213">
        <f>IFERROR(__xludf.DUMMYFUNCTION("""COMPUTED_VALUE"""),45966.70618055556)</f>
        <v>45966.70618</v>
      </c>
      <c r="D2282" s="211" t="str">
        <f>IFERROR(__xludf.DUMMYFUNCTION("""COMPUTED_VALUE"""),"b2b5f2c5")</f>
        <v>b2b5f2c5</v>
      </c>
      <c r="E2282" s="211" t="str">
        <f>IFERROR(__xludf.DUMMYFUNCTION("""COMPUTED_VALUE"""),"Bengkel Las Bpk. Ari")</f>
        <v>Bengkel Las Bpk. Ari</v>
      </c>
      <c r="F2282" s="211" t="str">
        <f>IFERROR(__xludf.DUMMYFUNCTION("""COMPUTED_VALUE"""),"ef306e54")</f>
        <v>ef306e54</v>
      </c>
      <c r="G2282" s="211" t="str">
        <f>IFERROR(__xludf.DUMMYFUNCTION("""COMPUTED_VALUE"""),"Karbondioksida")</f>
        <v>Karbondioksida</v>
      </c>
      <c r="H2282" s="211" t="str">
        <f>IFERROR(__xludf.DUMMYFUNCTION("""COMPUTED_VALUE"""),"OUT")</f>
        <v>OUT</v>
      </c>
      <c r="I2282" s="211" t="str">
        <f>IFERROR(__xludf.DUMMYFUNCTION("""COMPUTED_VALUE"""),"NORMAL")</f>
        <v>NORMAL</v>
      </c>
      <c r="J2282" s="211">
        <f>IFERROR(__xludf.DUMMYFUNCTION("""COMPUTED_VALUE"""),2.0)</f>
        <v>2</v>
      </c>
      <c r="K2282" s="210" t="str">
        <f>IFERROR(__xludf.DUMMYFUNCTION("""COMPUTED_VALUE"""),"13006 13038")</f>
        <v>13006 13038</v>
      </c>
      <c r="L2282" s="211">
        <f>IFERROR(__xludf.DUMMYFUNCTION("""COMPUTED_VALUE"""),170000.0)</f>
        <v>170000</v>
      </c>
      <c r="M2282" s="211"/>
      <c r="N2282" s="211"/>
      <c r="O2282" s="211"/>
      <c r="Q2282" s="210" t="str">
        <f>IFERROR(__xludf.DUMMYFUNCTION("""COMPUTED_VALUE"""),"1261105")</f>
        <v>1261105</v>
      </c>
      <c r="R2282" s="210" t="str">
        <f>IFERROR(__xludf.DUMMYFUNCTION("""COMPUTED_VALUE"""),"1261105")</f>
        <v>1261105</v>
      </c>
      <c r="S2282" s="211" t="str">
        <f>IFERROR(__xludf.DUMMYFUNCTION("""COMPUTED_VALUE"""),"5f23ba17")</f>
        <v>5f23ba17</v>
      </c>
      <c r="T2282" s="211" t="str">
        <f>IFERROR(__xludf.DUMMYFUNCTION("""COMPUTED_VALUE"""),"Bpk. Joko (Gresik)")</f>
        <v>Bpk. Joko (Gresik)</v>
      </c>
      <c r="U2282" s="215">
        <f>IFERROR(__xludf.DUMMYFUNCTION("""COMPUTED_VALUE"""),46039.59584490741)</f>
        <v>46039.59584</v>
      </c>
      <c r="V2282" s="211" t="str">
        <f>IFERROR(__xludf.DUMMYFUNCTION("""COMPUTED_VALUE"""),"Tanggungan, Lebaniwaras, Kec. Wringinanom, Kabupaten Gresik, Jawa Timur")</f>
        <v>Tanggungan, Lebaniwaras, Kec. Wringinanom, Kabupaten Gresik, Jawa Timur</v>
      </c>
      <c r="W2282" s="211" t="str">
        <f>IFERROR(__xludf.DUMMYFUNCTION("""COMPUTED_VALUE"""),"IN")</f>
        <v>IN</v>
      </c>
      <c r="X2282" s="211"/>
    </row>
    <row r="2283">
      <c r="A2283" s="211"/>
      <c r="B2283" s="211"/>
      <c r="C2283" s="211"/>
      <c r="D2283" s="211"/>
      <c r="E2283" s="211"/>
      <c r="F2283" s="211"/>
      <c r="G2283" s="211"/>
      <c r="H2283" s="211"/>
      <c r="I2283" s="211"/>
      <c r="J2283" s="211"/>
      <c r="K2283" s="211"/>
      <c r="L2283" s="211"/>
      <c r="M2283" s="211"/>
      <c r="N2283" s="211"/>
      <c r="O2283" s="211"/>
      <c r="Q2283" s="210" t="str">
        <f>IFERROR(__xludf.DUMMYFUNCTION("""COMPUTED_VALUE"""),"1261104")</f>
        <v>1261104</v>
      </c>
      <c r="R2283" s="210" t="str">
        <f>IFERROR(__xludf.DUMMYFUNCTION("""COMPUTED_VALUE"""),"1261104")</f>
        <v>1261104</v>
      </c>
      <c r="S2283" s="211" t="str">
        <f>IFERROR(__xludf.DUMMYFUNCTION("""COMPUTED_VALUE"""),"f49860e4")</f>
        <v>f49860e4</v>
      </c>
      <c r="T2283" s="211" t="str">
        <f>IFERROR(__xludf.DUMMYFUNCTION("""COMPUTED_VALUE"""),"Mas Nur ( Jetis )")</f>
        <v>Mas Nur ( Jetis )</v>
      </c>
      <c r="U2283" s="215">
        <f>IFERROR(__xludf.DUMMYFUNCTION("""COMPUTED_VALUE"""),46039.59616898148)</f>
        <v>46039.59617</v>
      </c>
      <c r="V2283" s="211" t="str">
        <f>IFERROR(__xludf.DUMMYFUNCTION("""COMPUTED_VALUE"""),"HFVF+CCG, JL.Raya Jetis, jetis, Kec. Jetis Kabupaten Mojokerto Jawa Timur 61352")</f>
        <v>HFVF+CCG, JL.Raya Jetis, jetis, Kec. Jetis Kabupaten Mojokerto Jawa Timur 61352</v>
      </c>
      <c r="W2283" s="211" t="str">
        <f>IFERROR(__xludf.DUMMYFUNCTION("""COMPUTED_VALUE"""),"IN")</f>
        <v>IN</v>
      </c>
      <c r="X2283" s="211"/>
    </row>
    <row r="2284">
      <c r="A2284" s="210" t="str">
        <f>IFERROR(__xludf.DUMMYFUNCTION("""COMPUTED_VALUE"""),"1125341631")</f>
        <v>1125341631</v>
      </c>
      <c r="B2284" s="210" t="str">
        <f>IFERROR(__xludf.DUMMYFUNCTION("""COMPUTED_VALUE"""),"1125341631")</f>
        <v>1125341631</v>
      </c>
      <c r="C2284" s="213">
        <f>IFERROR(__xludf.DUMMYFUNCTION("""COMPUTED_VALUE"""),45966.70618055556)</f>
        <v>45966.70618</v>
      </c>
      <c r="D2284" s="211" t="str">
        <f>IFERROR(__xludf.DUMMYFUNCTION("""COMPUTED_VALUE"""),"b2b5f2c5")</f>
        <v>b2b5f2c5</v>
      </c>
      <c r="E2284" s="211" t="str">
        <f>IFERROR(__xludf.DUMMYFUNCTION("""COMPUTED_VALUE"""),"Bengkel Las Bpk. Ari")</f>
        <v>Bengkel Las Bpk. Ari</v>
      </c>
      <c r="F2284" s="211" t="str">
        <f>IFERROR(__xludf.DUMMYFUNCTION("""COMPUTED_VALUE"""),"8bdbe149")</f>
        <v>8bdbe149</v>
      </c>
      <c r="G2284" s="211" t="str">
        <f>IFERROR(__xludf.DUMMYFUNCTION("""COMPUTED_VALUE"""),"Oksigen 6m3")</f>
        <v>Oksigen 6m3</v>
      </c>
      <c r="H2284" s="211" t="str">
        <f>IFERROR(__xludf.DUMMYFUNCTION("""COMPUTED_VALUE"""),"OUT")</f>
        <v>OUT</v>
      </c>
      <c r="I2284" s="211" t="str">
        <f>IFERROR(__xludf.DUMMYFUNCTION("""COMPUTED_VALUE"""),"NORMAL")</f>
        <v>NORMAL</v>
      </c>
      <c r="J2284" s="211">
        <f>IFERROR(__xludf.DUMMYFUNCTION("""COMPUTED_VALUE"""),6.0)</f>
        <v>6</v>
      </c>
      <c r="K2284" s="210" t="str">
        <f>IFERROR(__xludf.DUMMYFUNCTION("""COMPUTED_VALUE"""),"1109 11118 11133 11114 11210 11270")</f>
        <v>1109 11118 11133 11114 11210 11270</v>
      </c>
      <c r="L2284" s="211">
        <f>IFERROR(__xludf.DUMMYFUNCTION("""COMPUTED_VALUE"""),60000.0)</f>
        <v>60000</v>
      </c>
      <c r="M2284" s="211"/>
      <c r="N2284" s="211"/>
      <c r="O2284" s="211"/>
      <c r="Q2284" s="210" t="str">
        <f>IFERROR(__xludf.DUMMYFUNCTION("""COMPUTED_VALUE"""),"4012622220")</f>
        <v>4012622220</v>
      </c>
      <c r="R2284" s="210" t="str">
        <f>IFERROR(__xludf.DUMMYFUNCTION("""COMPUTED_VALUE"""),"4012622220")</f>
        <v>4012622220</v>
      </c>
      <c r="S2284" s="211" t="str">
        <f>IFERROR(__xludf.DUMMYFUNCTION("""COMPUTED_VALUE"""),"be2c16c7")</f>
        <v>be2c16c7</v>
      </c>
      <c r="T2284" s="211" t="str">
        <f>IFERROR(__xludf.DUMMYFUNCTION("""COMPUTED_VALUE"""),"Toko Setya ( Mas Farid )")</f>
        <v>Toko Setya ( Mas Farid )</v>
      </c>
      <c r="U2284" s="215">
        <f>IFERROR(__xludf.DUMMYFUNCTION("""COMPUTED_VALUE"""),46041.34050925926)</f>
        <v>46041.34051</v>
      </c>
      <c r="V2284" s="211" t="str">
        <f>IFERROR(__xludf.DUMMYFUNCTION("""COMPUTED_VALUE"""),"JL. Rendi agung No 452 Kel. Urangagung, kec/kab. Sidoarjo")</f>
        <v>JL. Rendi agung No 452 Kel. Urangagung, kec/kab. Sidoarjo</v>
      </c>
      <c r="W2284" s="211" t="str">
        <f>IFERROR(__xludf.DUMMYFUNCTION("""COMPUTED_VALUE"""),"OTHER")</f>
        <v>OTHER</v>
      </c>
      <c r="X2284" s="211"/>
    </row>
    <row r="2285">
      <c r="A2285" s="210" t="str">
        <f>IFERROR(__xludf.DUMMYFUNCTION("""COMPUTED_VALUE"""),"1125661632")</f>
        <v>1125661632</v>
      </c>
      <c r="B2285" s="210" t="str">
        <f>IFERROR(__xludf.DUMMYFUNCTION("""COMPUTED_VALUE"""),"1125661632")</f>
        <v>1125661632</v>
      </c>
      <c r="C2285" s="213">
        <f>IFERROR(__xludf.DUMMYFUNCTION("""COMPUTED_VALUE"""),45967.34166666667)</f>
        <v>45967.34167</v>
      </c>
      <c r="D2285" s="211" t="str">
        <f>IFERROR(__xludf.DUMMYFUNCTION("""COMPUTED_VALUE"""),"e86baf3b")</f>
        <v>e86baf3b</v>
      </c>
      <c r="E2285" s="211" t="str">
        <f>IFERROR(__xludf.DUMMYFUNCTION("""COMPUTED_VALUE"""),"PT GEMILANG CIPTA WAWASAN")</f>
        <v>PT GEMILANG CIPTA WAWASAN</v>
      </c>
      <c r="F2285" s="211" t="str">
        <f>IFERROR(__xludf.DUMMYFUNCTION("""COMPUTED_VALUE"""),"66af7c72")</f>
        <v>66af7c72</v>
      </c>
      <c r="G2285" s="211" t="str">
        <f>IFERROR(__xludf.DUMMYFUNCTION("""COMPUTED_VALUE"""),"Argon 6m3")</f>
        <v>Argon 6m3</v>
      </c>
      <c r="H2285" s="211" t="str">
        <f>IFERROR(__xludf.DUMMYFUNCTION("""COMPUTED_VALUE"""),"OUT")</f>
        <v>OUT</v>
      </c>
      <c r="I2285" s="211" t="str">
        <f>IFERROR(__xludf.DUMMYFUNCTION("""COMPUTED_VALUE"""),"NORMAL")</f>
        <v>NORMAL</v>
      </c>
      <c r="J2285" s="211">
        <f>IFERROR(__xludf.DUMMYFUNCTION("""COMPUTED_VALUE"""),10.0)</f>
        <v>10</v>
      </c>
      <c r="K2285" s="210" t="str">
        <f>IFERROR(__xludf.DUMMYFUNCTION("""COMPUTED_VALUE"""),"12077 12019 12017 12078 12015 12048 12025 12020 12014 12013")</f>
        <v>12077 12019 12017 12078 12015 12048 12025 12020 12014 12013</v>
      </c>
      <c r="L2285" s="211">
        <f>IFERROR(__xludf.DUMMYFUNCTION("""COMPUTED_VALUE"""),185000.0)</f>
        <v>185000</v>
      </c>
      <c r="M2285" s="211"/>
      <c r="N2285" s="211"/>
      <c r="O2285" s="211"/>
      <c r="Q2285" s="210" t="str">
        <f>IFERROR(__xludf.DUMMYFUNCTION("""COMPUTED_VALUE"""),"1261097")</f>
        <v>1261097</v>
      </c>
      <c r="R2285" s="210" t="str">
        <f>IFERROR(__xludf.DUMMYFUNCTION("""COMPUTED_VALUE"""),"1261097")</f>
        <v>1261097</v>
      </c>
      <c r="S2285" s="211" t="str">
        <f>IFERROR(__xludf.DUMMYFUNCTION("""COMPUTED_VALUE"""),"1a1efff9")</f>
        <v>1a1efff9</v>
      </c>
      <c r="T2285" s="211" t="str">
        <f>IFERROR(__xludf.DUMMYFUNCTION("""COMPUTED_VALUE"""),"Bpk. Gito Mjs")</f>
        <v>Bpk. Gito Mjs</v>
      </c>
      <c r="U2285" s="215">
        <f>IFERROR(__xludf.DUMMYFUNCTION("""COMPUTED_VALUE"""),46039.672268518516)</f>
        <v>46039.67227</v>
      </c>
      <c r="V2285" s="211" t="str">
        <f>IFERROR(__xludf.DUMMYFUNCTION("""COMPUTED_VALUE"""),"FGRX+QQP, Kemloko, Jotangan, Kec. Mojosari, Kabupaten Mojokerto, Jawa Timur 61382")</f>
        <v>FGRX+QQP, Kemloko, Jotangan, Kec. Mojosari, Kabupaten Mojokerto, Jawa Timur 61382</v>
      </c>
      <c r="W2285" s="211" t="str">
        <f>IFERROR(__xludf.DUMMYFUNCTION("""COMPUTED_VALUE"""),"IN")</f>
        <v>IN</v>
      </c>
      <c r="X2285" s="211"/>
    </row>
    <row r="2286">
      <c r="A2286" s="210" t="str">
        <f>IFERROR(__xludf.DUMMYFUNCTION("""COMPUTED_VALUE"""),"1125191633")</f>
        <v>1125191633</v>
      </c>
      <c r="B2286" s="210" t="str">
        <f>IFERROR(__xludf.DUMMYFUNCTION("""COMPUTED_VALUE"""),"1125191633")</f>
        <v>1125191633</v>
      </c>
      <c r="C2286" s="213">
        <f>IFERROR(__xludf.DUMMYFUNCTION("""COMPUTED_VALUE"""),45967.357465277775)</f>
        <v>45967.35747</v>
      </c>
      <c r="D2286" s="211" t="str">
        <f>IFERROR(__xludf.DUMMYFUNCTION("""COMPUTED_VALUE"""),"3bcd7fe6")</f>
        <v>3bcd7fe6</v>
      </c>
      <c r="E2286" s="211" t="str">
        <f>IFERROR(__xludf.DUMMYFUNCTION("""COMPUTED_VALUE"""),"Bpk. Alvin (LB Group)")</f>
        <v>Bpk. Alvin (LB Group)</v>
      </c>
      <c r="F2286" s="211" t="str">
        <f>IFERROR(__xludf.DUMMYFUNCTION("""COMPUTED_VALUE"""),"7d2764f1")</f>
        <v>7d2764f1</v>
      </c>
      <c r="G2286" s="211" t="str">
        <f>IFERROR(__xludf.DUMMYFUNCTION("""COMPUTED_VALUE"""),"Oksigen 7m3")</f>
        <v>Oksigen 7m3</v>
      </c>
      <c r="H2286" s="211" t="str">
        <f>IFERROR(__xludf.DUMMYFUNCTION("""COMPUTED_VALUE"""),"OUT")</f>
        <v>OUT</v>
      </c>
      <c r="I2286" s="211" t="str">
        <f>IFERROR(__xludf.DUMMYFUNCTION("""COMPUTED_VALUE"""),"NORMAL")</f>
        <v>NORMAL</v>
      </c>
      <c r="J2286" s="211">
        <f>IFERROR(__xludf.DUMMYFUNCTION("""COMPUTED_VALUE"""),4.0)</f>
        <v>4</v>
      </c>
      <c r="K2286" s="210" t="str">
        <f>IFERROR(__xludf.DUMMYFUNCTION("""COMPUTED_VALUE"""),"11138 11147 11142 11228")</f>
        <v>11138 11147 11142 11228</v>
      </c>
      <c r="L2286" s="211">
        <f>IFERROR(__xludf.DUMMYFUNCTION("""COMPUTED_VALUE"""),55000.0)</f>
        <v>55000</v>
      </c>
      <c r="M2286" s="211"/>
      <c r="N2286" s="211"/>
      <c r="O2286" s="211"/>
      <c r="Q2286" s="210" t="str">
        <f>IFERROR(__xludf.DUMMYFUNCTION("""COMPUTED_VALUE"""),"1261096")</f>
        <v>1261096</v>
      </c>
      <c r="R2286" s="210" t="str">
        <f>IFERROR(__xludf.DUMMYFUNCTION("""COMPUTED_VALUE"""),"1261096")</f>
        <v>1261096</v>
      </c>
      <c r="S2286" s="211" t="str">
        <f>IFERROR(__xludf.DUMMYFUNCTION("""COMPUTED_VALUE"""),"440df1db")</f>
        <v>440df1db</v>
      </c>
      <c r="T2286" s="211" t="str">
        <f>IFERROR(__xludf.DUMMYFUNCTION("""COMPUTED_VALUE"""),"PT. Mecca Abadi Sejahtera")</f>
        <v>PT. Mecca Abadi Sejahtera</v>
      </c>
      <c r="U2286" s="215">
        <f>IFERROR(__xludf.DUMMYFUNCTION("""COMPUTED_VALUE"""),46039.67254629629)</f>
        <v>46039.67255</v>
      </c>
      <c r="V2286" s="211" t="str">
        <f>IFERROR(__xludf.DUMMYFUNCTION("""COMPUTED_VALUE"""),"Jl. Raya Sawocangkring, RT.006/RW.002, Sawo, Sawocangkring, Kec. Wonoayu, Kabupaten Sidoarjo, Jawa Timur 61261")</f>
        <v>Jl. Raya Sawocangkring, RT.006/RW.002, Sawo, Sawocangkring, Kec. Wonoayu, Kabupaten Sidoarjo, Jawa Timur 61261</v>
      </c>
      <c r="W2286" s="211" t="str">
        <f>IFERROR(__xludf.DUMMYFUNCTION("""COMPUTED_VALUE"""),"IN")</f>
        <v>IN</v>
      </c>
      <c r="X2286" s="211"/>
    </row>
    <row r="2287">
      <c r="A2287" s="210" t="str">
        <f>IFERROR(__xludf.DUMMYFUNCTION("""COMPUTED_VALUE"""),"1250764")</f>
        <v>1250764</v>
      </c>
      <c r="B2287" s="210" t="str">
        <f>IFERROR(__xludf.DUMMYFUNCTION("""COMPUTED_VALUE"""),"1250764")</f>
        <v>1250764</v>
      </c>
      <c r="C2287" s="213">
        <f>IFERROR(__xludf.DUMMYFUNCTION("""COMPUTED_VALUE"""),45967.51391203704)</f>
        <v>45967.51391</v>
      </c>
      <c r="D2287" s="211" t="str">
        <f>IFERROR(__xludf.DUMMYFUNCTION("""COMPUTED_VALUE"""),"b2b5f2c5")</f>
        <v>b2b5f2c5</v>
      </c>
      <c r="E2287" s="211" t="str">
        <f>IFERROR(__xludf.DUMMYFUNCTION("""COMPUTED_VALUE"""),"Bengkel Las Bpk. Ari")</f>
        <v>Bengkel Las Bpk. Ari</v>
      </c>
      <c r="F2287" s="211" t="str">
        <f>IFERROR(__xludf.DUMMYFUNCTION("""COMPUTED_VALUE"""),"ef306e54")</f>
        <v>ef306e54</v>
      </c>
      <c r="G2287" s="211" t="str">
        <f>IFERROR(__xludf.DUMMYFUNCTION("""COMPUTED_VALUE"""),"Karbondioksida")</f>
        <v>Karbondioksida</v>
      </c>
      <c r="H2287" s="211" t="str">
        <f>IFERROR(__xludf.DUMMYFUNCTION("""COMPUTED_VALUE"""),"IN")</f>
        <v>IN</v>
      </c>
      <c r="I2287" s="211" t="str">
        <f>IFERROR(__xludf.DUMMYFUNCTION("""COMPUTED_VALUE"""),"EMPTY")</f>
        <v>EMPTY</v>
      </c>
      <c r="J2287" s="211">
        <f>IFERROR(__xludf.DUMMYFUNCTION("""COMPUTED_VALUE"""),3.0)</f>
        <v>3</v>
      </c>
      <c r="K2287" s="210" t="str">
        <f>IFERROR(__xludf.DUMMYFUNCTION("""COMPUTED_VALUE"""),"13008 13020 13027")</f>
        <v>13008 13020 13027</v>
      </c>
      <c r="L2287" s="211">
        <f>IFERROR(__xludf.DUMMYFUNCTION("""COMPUTED_VALUE"""),0.0)</f>
        <v>0</v>
      </c>
      <c r="M2287" s="211"/>
      <c r="N2287" s="211"/>
      <c r="O2287" s="211"/>
      <c r="Q2287" s="210" t="str">
        <f>IFERROR(__xludf.DUMMYFUNCTION("""COMPUTED_VALUE"""),"1261095")</f>
        <v>1261095</v>
      </c>
      <c r="R2287" s="210" t="str">
        <f>IFERROR(__xludf.DUMMYFUNCTION("""COMPUTED_VALUE"""),"1261095")</f>
        <v>1261095</v>
      </c>
      <c r="S2287" s="211" t="str">
        <f>IFERROR(__xludf.DUMMYFUNCTION("""COMPUTED_VALUE"""),"17a8e612")</f>
        <v>17a8e612</v>
      </c>
      <c r="T2287" s="211" t="str">
        <f>IFERROR(__xludf.DUMMYFUNCTION("""COMPUTED_VALUE"""),"Flashtech Machinery")</f>
        <v>Flashtech Machinery</v>
      </c>
      <c r="U2287" s="215">
        <f>IFERROR(__xludf.DUMMYFUNCTION("""COMPUTED_VALUE"""),46039.672997685186)</f>
        <v>46039.673</v>
      </c>
      <c r="V2287" s="211" t="str">
        <f>IFERROR(__xludf.DUMMYFUNCTION("""COMPUTED_VALUE"""),"Pergudangan Point Center blok A no.4, Kemangsen")</f>
        <v>Pergudangan Point Center blok A no.4, Kemangsen</v>
      </c>
      <c r="W2287" s="211" t="str">
        <f>IFERROR(__xludf.DUMMYFUNCTION("""COMPUTED_VALUE"""),"IN")</f>
        <v>IN</v>
      </c>
      <c r="X2287" s="211"/>
    </row>
    <row r="2288">
      <c r="A2288" s="210" t="str">
        <f>IFERROR(__xludf.DUMMYFUNCTION("""COMPUTED_VALUE"""),"1250764")</f>
        <v>1250764</v>
      </c>
      <c r="B2288" s="210" t="str">
        <f>IFERROR(__xludf.DUMMYFUNCTION("""COMPUTED_VALUE"""),"1250764")</f>
        <v>1250764</v>
      </c>
      <c r="C2288" s="213">
        <f>IFERROR(__xludf.DUMMYFUNCTION("""COMPUTED_VALUE"""),45967.51391203704)</f>
        <v>45967.51391</v>
      </c>
      <c r="D2288" s="211" t="str">
        <f>IFERROR(__xludf.DUMMYFUNCTION("""COMPUTED_VALUE"""),"b2b5f2c5")</f>
        <v>b2b5f2c5</v>
      </c>
      <c r="E2288" s="211" t="str">
        <f>IFERROR(__xludf.DUMMYFUNCTION("""COMPUTED_VALUE"""),"Bengkel Las Bpk. Ari")</f>
        <v>Bengkel Las Bpk. Ari</v>
      </c>
      <c r="F2288" s="211" t="str">
        <f>IFERROR(__xludf.DUMMYFUNCTION("""COMPUTED_VALUE"""),"8bdbe149")</f>
        <v>8bdbe149</v>
      </c>
      <c r="G2288" s="211" t="str">
        <f>IFERROR(__xludf.DUMMYFUNCTION("""COMPUTED_VALUE"""),"Oksigen 6m3")</f>
        <v>Oksigen 6m3</v>
      </c>
      <c r="H2288" s="211" t="str">
        <f>IFERROR(__xludf.DUMMYFUNCTION("""COMPUTED_VALUE"""),"IN")</f>
        <v>IN</v>
      </c>
      <c r="I2288" s="211" t="str">
        <f>IFERROR(__xludf.DUMMYFUNCTION("""COMPUTED_VALUE"""),"EMPTY")</f>
        <v>EMPTY</v>
      </c>
      <c r="J2288" s="211">
        <f>IFERROR(__xludf.DUMMYFUNCTION("""COMPUTED_VALUE"""),4.0)</f>
        <v>4</v>
      </c>
      <c r="K2288" s="210" t="str">
        <f>IFERROR(__xludf.DUMMYFUNCTION("""COMPUTED_VALUE"""),"11181 1176 11290 11278")</f>
        <v>11181 1176 11290 11278</v>
      </c>
      <c r="L2288" s="211">
        <f>IFERROR(__xludf.DUMMYFUNCTION("""COMPUTED_VALUE"""),0.0)</f>
        <v>0</v>
      </c>
      <c r="M2288" s="211"/>
      <c r="N2288" s="211"/>
      <c r="O2288" s="211"/>
      <c r="Q2288" s="210" t="str">
        <f>IFERROR(__xludf.DUMMYFUNCTION("""COMPUTED_VALUE"""),"1261107")</f>
        <v>1261107</v>
      </c>
      <c r="R2288" s="210" t="str">
        <f>IFERROR(__xludf.DUMMYFUNCTION("""COMPUTED_VALUE"""),"1261107")</f>
        <v>1261107</v>
      </c>
      <c r="S2288" s="211" t="str">
        <f>IFERROR(__xludf.DUMMYFUNCTION("""COMPUTED_VALUE"""),"9b941888")</f>
        <v>9b941888</v>
      </c>
      <c r="T2288" s="211" t="str">
        <f>IFERROR(__xludf.DUMMYFUNCTION("""COMPUTED_VALUE"""),"Mas Devi ( Parengan )")</f>
        <v>Mas Devi ( Parengan )</v>
      </c>
      <c r="U2288" s="215">
        <f>IFERROR(__xludf.DUMMYFUNCTION("""COMPUTED_VALUE"""),46041.37489583333)</f>
        <v>46041.3749</v>
      </c>
      <c r="V2288" s="211" t="str">
        <f>IFERROR(__xludf.DUMMYFUNCTION("""COMPUTED_VALUE"""),"Kraton Krian Sidoarjo, ( sebelah tower listrik )")</f>
        <v>Kraton Krian Sidoarjo, ( sebelah tower listrik )</v>
      </c>
      <c r="W2288" s="211" t="str">
        <f>IFERROR(__xludf.DUMMYFUNCTION("""COMPUTED_VALUE"""),"IN")</f>
        <v>IN</v>
      </c>
      <c r="X2288" s="211"/>
    </row>
    <row r="2289">
      <c r="A2289" s="210" t="str">
        <f>IFERROR(__xludf.DUMMYFUNCTION("""COMPUTED_VALUE"""),"1125261634")</f>
        <v>1125261634</v>
      </c>
      <c r="B2289" s="210" t="str">
        <f>IFERROR(__xludf.DUMMYFUNCTION("""COMPUTED_VALUE"""),"1125261634")</f>
        <v>1125261634</v>
      </c>
      <c r="C2289" s="213">
        <f>IFERROR(__xludf.DUMMYFUNCTION("""COMPUTED_VALUE"""),45967.51675925926)</f>
        <v>45967.51676</v>
      </c>
      <c r="D2289" s="211" t="str">
        <f>IFERROR(__xludf.DUMMYFUNCTION("""COMPUTED_VALUE"""),"2d88931c")</f>
        <v>2d88931c</v>
      </c>
      <c r="E2289" s="211" t="str">
        <f>IFERROR(__xludf.DUMMYFUNCTION("""COMPUTED_VALUE"""),"PT Dunia Berkat Marga Mulya")</f>
        <v>PT Dunia Berkat Marga Mulya</v>
      </c>
      <c r="F2289" s="211" t="str">
        <f>IFERROR(__xludf.DUMMYFUNCTION("""COMPUTED_VALUE"""),"8bdbe149")</f>
        <v>8bdbe149</v>
      </c>
      <c r="G2289" s="211" t="str">
        <f>IFERROR(__xludf.DUMMYFUNCTION("""COMPUTED_VALUE"""),"Oksigen 6m3")</f>
        <v>Oksigen 6m3</v>
      </c>
      <c r="H2289" s="211" t="str">
        <f>IFERROR(__xludf.DUMMYFUNCTION("""COMPUTED_VALUE"""),"OUT")</f>
        <v>OUT</v>
      </c>
      <c r="I2289" s="211" t="str">
        <f>IFERROR(__xludf.DUMMYFUNCTION("""COMPUTED_VALUE"""),"NORMAL")</f>
        <v>NORMAL</v>
      </c>
      <c r="J2289" s="211">
        <f>IFERROR(__xludf.DUMMYFUNCTION("""COMPUTED_VALUE"""),5.0)</f>
        <v>5</v>
      </c>
      <c r="K2289" s="210" t="str">
        <f>IFERROR(__xludf.DUMMYFUNCTION("""COMPUTED_VALUE"""),"1147 1143 1136 11120 1110")</f>
        <v>1147 1143 1136 11120 1110</v>
      </c>
      <c r="L2289" s="211">
        <f>IFERROR(__xludf.DUMMYFUNCTION("""COMPUTED_VALUE"""),60000.0)</f>
        <v>60000</v>
      </c>
      <c r="M2289" s="211"/>
      <c r="N2289" s="211"/>
      <c r="O2289" s="211"/>
      <c r="Q2289" s="210" t="str">
        <f>IFERROR(__xludf.DUMMYFUNCTION("""COMPUTED_VALUE"""),"1261108")</f>
        <v>1261108</v>
      </c>
      <c r="R2289" s="210" t="str">
        <f>IFERROR(__xludf.DUMMYFUNCTION("""COMPUTED_VALUE"""),"1261108")</f>
        <v>1261108</v>
      </c>
      <c r="S2289" s="211" t="str">
        <f>IFERROR(__xludf.DUMMYFUNCTION("""COMPUTED_VALUE"""),"eec2e801")</f>
        <v>eec2e801</v>
      </c>
      <c r="T2289" s="211" t="str">
        <f>IFERROR(__xludf.DUMMYFUNCTION("""COMPUTED_VALUE"""),"Mitra Wood Sejahtera")</f>
        <v>Mitra Wood Sejahtera</v>
      </c>
      <c r="U2289" s="215">
        <f>IFERROR(__xludf.DUMMYFUNCTION("""COMPUTED_VALUE"""),46041.37520833333)</f>
        <v>46041.37521</v>
      </c>
      <c r="V2289" s="211" t="str">
        <f>IFERROR(__xludf.DUMMYFUNCTION("""COMPUTED_VALUE"""),"Jl.cungkling, Jl. Tanggungan, Nanom Kidul, Lebaniwaras, Kec. Wringinanom, Kabupaten Gresik, Jawa Timur 61176")</f>
        <v>Jl.cungkling, Jl. Tanggungan, Nanom Kidul, Lebaniwaras, Kec. Wringinanom, Kabupaten Gresik, Jawa Timur 61176</v>
      </c>
      <c r="W2289" s="211" t="str">
        <f>IFERROR(__xludf.DUMMYFUNCTION("""COMPUTED_VALUE"""),"IN")</f>
        <v>IN</v>
      </c>
      <c r="X2289" s="211"/>
    </row>
    <row r="2290">
      <c r="A2290" s="211"/>
      <c r="B2290" s="211"/>
      <c r="C2290" s="211"/>
      <c r="D2290" s="211"/>
      <c r="E2290" s="211"/>
      <c r="F2290" s="211"/>
      <c r="G2290" s="211"/>
      <c r="H2290" s="211"/>
      <c r="I2290" s="211"/>
      <c r="J2290" s="211"/>
      <c r="K2290" s="211"/>
      <c r="L2290" s="211"/>
      <c r="M2290" s="211"/>
      <c r="N2290" s="211"/>
      <c r="O2290" s="211"/>
      <c r="Q2290" s="210" t="str">
        <f>IFERROR(__xludf.DUMMYFUNCTION("""COMPUTED_VALUE"""),"0126732282")</f>
        <v>0126732282</v>
      </c>
      <c r="R2290" s="210" t="str">
        <f>IFERROR(__xludf.DUMMYFUNCTION("""COMPUTED_VALUE"""),"0126732282")</f>
        <v>0126732282</v>
      </c>
      <c r="S2290" s="211" t="str">
        <f>IFERROR(__xludf.DUMMYFUNCTION("""COMPUTED_VALUE"""),"b2b5f2c5")</f>
        <v>b2b5f2c5</v>
      </c>
      <c r="T2290" s="211" t="str">
        <f>IFERROR(__xludf.DUMMYFUNCTION("""COMPUTED_VALUE"""),"Bengkel Las Bpk. Ari")</f>
        <v>Bengkel Las Bpk. Ari</v>
      </c>
      <c r="U2290" s="215">
        <f>IFERROR(__xludf.DUMMYFUNCTION("""COMPUTED_VALUE"""),46041.37664351852)</f>
        <v>46041.37664</v>
      </c>
      <c r="V2290" s="211" t="str">
        <f>IFERROR(__xludf.DUMMYFUNCTION("""COMPUTED_VALUE"""),"Sumber Kembar, Wonodadi, Kec. Kutorejo, Kabupaten Mojokerto, Jawa Timur")</f>
        <v>Sumber Kembar, Wonodadi, Kec. Kutorejo, Kabupaten Mojokerto, Jawa Timur</v>
      </c>
      <c r="W2290" s="211" t="str">
        <f>IFERROR(__xludf.DUMMYFUNCTION("""COMPUTED_VALUE"""),"OUT")</f>
        <v>OUT</v>
      </c>
      <c r="X2290" s="211"/>
    </row>
    <row r="2291">
      <c r="A2291" s="210" t="str">
        <f>IFERROR(__xludf.DUMMYFUNCTION("""COMPUTED_VALUE"""),"1125181637")</f>
        <v>1125181637</v>
      </c>
      <c r="B2291" s="210" t="str">
        <f>IFERROR(__xludf.DUMMYFUNCTION("""COMPUTED_VALUE"""),"1125181637")</f>
        <v>1125181637</v>
      </c>
      <c r="C2291" s="213">
        <f>IFERROR(__xludf.DUMMYFUNCTION("""COMPUTED_VALUE"""),45967.526504629626)</f>
        <v>45967.5265</v>
      </c>
      <c r="D2291" s="211" t="str">
        <f>IFERROR(__xludf.DUMMYFUNCTION("""COMPUTED_VALUE"""),"e968afef")</f>
        <v>e968afef</v>
      </c>
      <c r="E2291" s="211" t="str">
        <f>IFERROR(__xludf.DUMMYFUNCTION("""COMPUTED_VALUE"""),"Bpk. Agus")</f>
        <v>Bpk. Agus</v>
      </c>
      <c r="F2291" s="211" t="str">
        <f>IFERROR(__xludf.DUMMYFUNCTION("""COMPUTED_VALUE"""),"8bdbe149")</f>
        <v>8bdbe149</v>
      </c>
      <c r="G2291" s="211" t="str">
        <f>IFERROR(__xludf.DUMMYFUNCTION("""COMPUTED_VALUE"""),"Oksigen 6m3")</f>
        <v>Oksigen 6m3</v>
      </c>
      <c r="H2291" s="211" t="str">
        <f>IFERROR(__xludf.DUMMYFUNCTION("""COMPUTED_VALUE"""),"OUT")</f>
        <v>OUT</v>
      </c>
      <c r="I2291" s="211" t="str">
        <f>IFERROR(__xludf.DUMMYFUNCTION("""COMPUTED_VALUE"""),"NORMAL")</f>
        <v>NORMAL</v>
      </c>
      <c r="J2291" s="211">
        <f>IFERROR(__xludf.DUMMYFUNCTION("""COMPUTED_VALUE"""),5.0)</f>
        <v>5</v>
      </c>
      <c r="K2291" s="210" t="str">
        <f>IFERROR(__xludf.DUMMYFUNCTION("""COMPUTED_VALUE"""),"1157 11278 11242 11181 1166")</f>
        <v>1157 11278 11242 11181 1166</v>
      </c>
      <c r="L2291" s="211">
        <f>IFERROR(__xludf.DUMMYFUNCTION("""COMPUTED_VALUE"""),60000.0)</f>
        <v>60000</v>
      </c>
      <c r="M2291" s="211"/>
      <c r="N2291" s="211"/>
      <c r="O2291" s="211"/>
      <c r="Q2291" s="210" t="str">
        <f>IFERROR(__xludf.DUMMYFUNCTION("""COMPUTED_VALUE"""),"0126102291")</f>
        <v>0126102291</v>
      </c>
      <c r="R2291" s="210" t="str">
        <f>IFERROR(__xludf.DUMMYFUNCTION("""COMPUTED_VALUE"""),"0126102291")</f>
        <v>0126102291</v>
      </c>
      <c r="S2291" s="211" t="str">
        <f>IFERROR(__xludf.DUMMYFUNCTION("""COMPUTED_VALUE"""),"dcdf8b31")</f>
        <v>dcdf8b31</v>
      </c>
      <c r="T2291" s="211" t="str">
        <f>IFERROR(__xludf.DUMMYFUNCTION("""COMPUTED_VALUE"""),"Bpk. Samsul (Jetis)")</f>
        <v>Bpk. Samsul (Jetis)</v>
      </c>
      <c r="U2291" s="215">
        <f>IFERROR(__xludf.DUMMYFUNCTION("""COMPUTED_VALUE"""),46041.37875)</f>
        <v>46041.37875</v>
      </c>
      <c r="V2291" s="211" t="str">
        <f>IFERROR(__xludf.DUMMYFUNCTION("""COMPUTED_VALUE"""),"HFWF+9FG, Sido Wangi, Paringan, Kec. Jetis, Kabupaten Mojokerto, Jawa Timur")</f>
        <v>HFWF+9FG, Sido Wangi, Paringan, Kec. Jetis, Kabupaten Mojokerto, Jawa Timur</v>
      </c>
      <c r="W2291" s="211" t="str">
        <f>IFERROR(__xludf.DUMMYFUNCTION("""COMPUTED_VALUE"""),"OUT")</f>
        <v>OUT</v>
      </c>
      <c r="X2291" s="211"/>
    </row>
    <row r="2292">
      <c r="A2292" s="211"/>
      <c r="B2292" s="211"/>
      <c r="C2292" s="211"/>
      <c r="D2292" s="211"/>
      <c r="E2292" s="211"/>
      <c r="F2292" s="211"/>
      <c r="G2292" s="211"/>
      <c r="H2292" s="211"/>
      <c r="I2292" s="211"/>
      <c r="J2292" s="211"/>
      <c r="K2292" s="211"/>
      <c r="L2292" s="211"/>
      <c r="M2292" s="211"/>
      <c r="N2292" s="211"/>
      <c r="O2292" s="211"/>
      <c r="Q2292" s="210" t="str">
        <f>IFERROR(__xludf.DUMMYFUNCTION("""COMPUTED_VALUE"""),"1261098")</f>
        <v>1261098</v>
      </c>
      <c r="R2292" s="210" t="str">
        <f>IFERROR(__xludf.DUMMYFUNCTION("""COMPUTED_VALUE"""),"1261098")</f>
        <v>1261098</v>
      </c>
      <c r="S2292" s="211" t="str">
        <f>IFERROR(__xludf.DUMMYFUNCTION("""COMPUTED_VALUE"""),"dcdf8b31")</f>
        <v>dcdf8b31</v>
      </c>
      <c r="T2292" s="211" t="str">
        <f>IFERROR(__xludf.DUMMYFUNCTION("""COMPUTED_VALUE"""),"Bpk. Samsul (Jetis)")</f>
        <v>Bpk. Samsul (Jetis)</v>
      </c>
      <c r="U2292" s="215">
        <f>IFERROR(__xludf.DUMMYFUNCTION("""COMPUTED_VALUE"""),46041.59645833333)</f>
        <v>46041.59646</v>
      </c>
      <c r="V2292" s="211" t="str">
        <f>IFERROR(__xludf.DUMMYFUNCTION("""COMPUTED_VALUE"""),"HFWF+9FG, Sido Wangi, Paringan, Kec. Jetis, Kabupaten Mojokerto, Jawa Timur")</f>
        <v>HFWF+9FG, Sido Wangi, Paringan, Kec. Jetis, Kabupaten Mojokerto, Jawa Timur</v>
      </c>
      <c r="W2292" s="211" t="str">
        <f>IFERROR(__xludf.DUMMYFUNCTION("""COMPUTED_VALUE"""),"IN")</f>
        <v>IN</v>
      </c>
      <c r="X2292" s="211"/>
    </row>
    <row r="2293">
      <c r="A2293" s="211"/>
      <c r="B2293" s="211"/>
      <c r="C2293" s="211"/>
      <c r="D2293" s="211"/>
      <c r="E2293" s="211"/>
      <c r="F2293" s="211"/>
      <c r="G2293" s="211"/>
      <c r="H2293" s="211"/>
      <c r="I2293" s="211"/>
      <c r="J2293" s="211"/>
      <c r="K2293" s="211"/>
      <c r="L2293" s="211"/>
      <c r="M2293" s="211"/>
      <c r="N2293" s="211"/>
      <c r="O2293" s="211"/>
      <c r="Q2293" s="210" t="str">
        <f>IFERROR(__xludf.DUMMYFUNCTION("""COMPUTED_VALUE"""),"1261099")</f>
        <v>1261099</v>
      </c>
      <c r="R2293" s="210" t="str">
        <f>IFERROR(__xludf.DUMMYFUNCTION("""COMPUTED_VALUE"""),"1261099")</f>
        <v>1261099</v>
      </c>
      <c r="S2293" s="211" t="str">
        <f>IFERROR(__xludf.DUMMYFUNCTION("""COMPUTED_VALUE"""),"3b04351a")</f>
        <v>3b04351a</v>
      </c>
      <c r="T2293" s="211" t="str">
        <f>IFERROR(__xludf.DUMMYFUNCTION("""COMPUTED_VALUE"""),"CV Usaha Logam Jaya ( Bpk Putra )")</f>
        <v>CV Usaha Logam Jaya ( Bpk Putra )</v>
      </c>
      <c r="U2293" s="215">
        <f>IFERROR(__xludf.DUMMYFUNCTION("""COMPUTED_VALUE"""),46041.5990625)</f>
        <v>46041.59906</v>
      </c>
      <c r="V2293" s="211" t="str">
        <f>IFERROR(__xludf.DUMMYFUNCTION("""COMPUTED_VALUE"""),"Jl. Raya Wringinanom, Sidomoro, Pasinan Lemahputih, Kec. Wringinanom, Kabupaten Gresik, Jawa Timur 61176")</f>
        <v>Jl. Raya Wringinanom, Sidomoro, Pasinan Lemahputih, Kec. Wringinanom, Kabupaten Gresik, Jawa Timur 61176</v>
      </c>
      <c r="W2293" s="211" t="str">
        <f>IFERROR(__xludf.DUMMYFUNCTION("""COMPUTED_VALUE"""),"IN")</f>
        <v>IN</v>
      </c>
      <c r="X2293" s="211"/>
    </row>
    <row r="2294">
      <c r="A2294" s="210" t="str">
        <f>IFERROR(__xludf.DUMMYFUNCTION("""COMPUTED_VALUE"""),"112511639")</f>
        <v>112511639</v>
      </c>
      <c r="B2294" s="210" t="str">
        <f>IFERROR(__xludf.DUMMYFUNCTION("""COMPUTED_VALUE"""),"112511639")</f>
        <v>112511639</v>
      </c>
      <c r="C2294" s="213">
        <f>IFERROR(__xludf.DUMMYFUNCTION("""COMPUTED_VALUE"""),45967.55252314815)</f>
        <v>45967.55252</v>
      </c>
      <c r="D2294" s="211" t="str">
        <f>IFERROR(__xludf.DUMMYFUNCTION("""COMPUTED_VALUE"""),"734c6d17")</f>
        <v>734c6d17</v>
      </c>
      <c r="E2294" s="211" t="str">
        <f>IFERROR(__xludf.DUMMYFUNCTION("""COMPUTED_VALUE"""),"Bapak Enol ( Bpk. Ibnu )")</f>
        <v>Bapak Enol ( Bpk. Ibnu )</v>
      </c>
      <c r="F2294" s="211" t="str">
        <f>IFERROR(__xludf.DUMMYFUNCTION("""COMPUTED_VALUE"""),"8bdbe149")</f>
        <v>8bdbe149</v>
      </c>
      <c r="G2294" s="211" t="str">
        <f>IFERROR(__xludf.DUMMYFUNCTION("""COMPUTED_VALUE"""),"Oksigen 6m3")</f>
        <v>Oksigen 6m3</v>
      </c>
      <c r="H2294" s="211" t="str">
        <f>IFERROR(__xludf.DUMMYFUNCTION("""COMPUTED_VALUE"""),"OUT")</f>
        <v>OUT</v>
      </c>
      <c r="I2294" s="211" t="str">
        <f>IFERROR(__xludf.DUMMYFUNCTION("""COMPUTED_VALUE"""),"NORMAL")</f>
        <v>NORMAL</v>
      </c>
      <c r="J2294" s="211">
        <f>IFERROR(__xludf.DUMMYFUNCTION("""COMPUTED_VALUE"""),2.0)</f>
        <v>2</v>
      </c>
      <c r="K2294" s="210" t="str">
        <f>IFERROR(__xludf.DUMMYFUNCTION("""COMPUTED_VALUE"""),"11258 11261")</f>
        <v>11258 11261</v>
      </c>
      <c r="L2294" s="211">
        <f>IFERROR(__xludf.DUMMYFUNCTION("""COMPUTED_VALUE"""),60000.0)</f>
        <v>60000</v>
      </c>
      <c r="M2294" s="211"/>
      <c r="N2294" s="211"/>
      <c r="O2294" s="211"/>
      <c r="Q2294" s="210" t="str">
        <f>IFERROR(__xludf.DUMMYFUNCTION("""COMPUTED_VALUE"""),"1261109")</f>
        <v>1261109</v>
      </c>
      <c r="R2294" s="210" t="str">
        <f>IFERROR(__xludf.DUMMYFUNCTION("""COMPUTED_VALUE"""),"1261109")</f>
        <v>1261109</v>
      </c>
      <c r="S2294" s="211" t="str">
        <f>IFERROR(__xludf.DUMMYFUNCTION("""COMPUTED_VALUE"""),"b2b5f2c5")</f>
        <v>b2b5f2c5</v>
      </c>
      <c r="T2294" s="211" t="str">
        <f>IFERROR(__xludf.DUMMYFUNCTION("""COMPUTED_VALUE"""),"Bengkel Las Bpk. Ari")</f>
        <v>Bengkel Las Bpk. Ari</v>
      </c>
      <c r="U2294" s="215">
        <f>IFERROR(__xludf.DUMMYFUNCTION("""COMPUTED_VALUE"""),46041.60016203704)</f>
        <v>46041.60016</v>
      </c>
      <c r="V2294" s="211" t="str">
        <f>IFERROR(__xludf.DUMMYFUNCTION("""COMPUTED_VALUE"""),"Sumber Kembar, Wonodadi, Kec. Kutorejo, Kabupaten Mojokerto, Jawa Timur")</f>
        <v>Sumber Kembar, Wonodadi, Kec. Kutorejo, Kabupaten Mojokerto, Jawa Timur</v>
      </c>
      <c r="W2294" s="211" t="str">
        <f>IFERROR(__xludf.DUMMYFUNCTION("""COMPUTED_VALUE"""),"IN")</f>
        <v>IN</v>
      </c>
      <c r="X2294" s="211"/>
    </row>
    <row r="2295">
      <c r="A2295" s="210" t="str">
        <f>IFERROR(__xludf.DUMMYFUNCTION("""COMPUTED_VALUE"""),"112531640")</f>
        <v>112531640</v>
      </c>
      <c r="B2295" s="210" t="str">
        <f>IFERROR(__xludf.DUMMYFUNCTION("""COMPUTED_VALUE"""),"112531640")</f>
        <v>112531640</v>
      </c>
      <c r="C2295" s="213">
        <f>IFERROR(__xludf.DUMMYFUNCTION("""COMPUTED_VALUE"""),45967.58736111111)</f>
        <v>45967.58736</v>
      </c>
      <c r="D2295" s="211" t="str">
        <f>IFERROR(__xludf.DUMMYFUNCTION("""COMPUTED_VALUE"""),"ba97d58d")</f>
        <v>ba97d58d</v>
      </c>
      <c r="E2295" s="211" t="str">
        <f>IFERROR(__xludf.DUMMYFUNCTION("""COMPUTED_VALUE"""),"Bengkel Citra Mojosari")</f>
        <v>Bengkel Citra Mojosari</v>
      </c>
      <c r="F2295" s="211" t="str">
        <f>IFERROR(__xludf.DUMMYFUNCTION("""COMPUTED_VALUE"""),"7d2764f1")</f>
        <v>7d2764f1</v>
      </c>
      <c r="G2295" s="211" t="str">
        <f>IFERROR(__xludf.DUMMYFUNCTION("""COMPUTED_VALUE"""),"Oksigen 7m3")</f>
        <v>Oksigen 7m3</v>
      </c>
      <c r="H2295" s="211" t="str">
        <f>IFERROR(__xludf.DUMMYFUNCTION("""COMPUTED_VALUE"""),"OUT")</f>
        <v>OUT</v>
      </c>
      <c r="I2295" s="211" t="str">
        <f>IFERROR(__xludf.DUMMYFUNCTION("""COMPUTED_VALUE"""),"NORMAL")</f>
        <v>NORMAL</v>
      </c>
      <c r="J2295" s="211">
        <f>IFERROR(__xludf.DUMMYFUNCTION("""COMPUTED_VALUE"""),3.0)</f>
        <v>3</v>
      </c>
      <c r="K2295" s="210" t="str">
        <f>IFERROR(__xludf.DUMMYFUNCTION("""COMPUTED_VALUE"""),"11160 11221 11146")</f>
        <v>11160 11221 11146</v>
      </c>
      <c r="L2295" s="211">
        <f>IFERROR(__xludf.DUMMYFUNCTION("""COMPUTED_VALUE"""),65000.0)</f>
        <v>65000</v>
      </c>
      <c r="M2295" s="211"/>
      <c r="N2295" s="211"/>
      <c r="O2295" s="211"/>
      <c r="Q2295" s="210" t="str">
        <f>IFERROR(__xludf.DUMMYFUNCTION("""COMPUTED_VALUE"""),"0126142292")</f>
        <v>0126142292</v>
      </c>
      <c r="R2295" s="210" t="str">
        <f>IFERROR(__xludf.DUMMYFUNCTION("""COMPUTED_VALUE"""),"0126142292")</f>
        <v>0126142292</v>
      </c>
      <c r="S2295" s="211" t="str">
        <f>IFERROR(__xludf.DUMMYFUNCTION("""COMPUTED_VALUE"""),"63fc688a")</f>
        <v>63fc688a</v>
      </c>
      <c r="T2295" s="211" t="str">
        <f>IFERROR(__xludf.DUMMYFUNCTION("""COMPUTED_VALUE"""),"CV Malik Nusantara")</f>
        <v>CV Malik Nusantara</v>
      </c>
      <c r="U2295" s="215">
        <f>IFERROR(__xludf.DUMMYFUNCTION("""COMPUTED_VALUE"""),46041.62751157407)</f>
        <v>46041.62751</v>
      </c>
      <c r="V2295" s="211" t="str">
        <f>IFERROR(__xludf.DUMMYFUNCTION("""COMPUTED_VALUE"""),"Jl. Raya Balongbendo No.12, Suwaluh Utara, Suwaluh, Kec. BalongBendo, Kabupaten Sidoarjo, Jawa Timur 61263")</f>
        <v>Jl. Raya Balongbendo No.12, Suwaluh Utara, Suwaluh, Kec. BalongBendo, Kabupaten Sidoarjo, Jawa Timur 61263</v>
      </c>
      <c r="W2295" s="211" t="str">
        <f>IFERROR(__xludf.DUMMYFUNCTION("""COMPUTED_VALUE"""),"OUT")</f>
        <v>OUT</v>
      </c>
      <c r="X2295" s="211"/>
    </row>
    <row r="2296">
      <c r="A2296" s="210" t="str">
        <f>IFERROR(__xludf.DUMMYFUNCTION("""COMPUTED_VALUE"""),"112531640")</f>
        <v>112531640</v>
      </c>
      <c r="B2296" s="210" t="str">
        <f>IFERROR(__xludf.DUMMYFUNCTION("""COMPUTED_VALUE"""),"112531640")</f>
        <v>112531640</v>
      </c>
      <c r="C2296" s="213">
        <f>IFERROR(__xludf.DUMMYFUNCTION("""COMPUTED_VALUE"""),45967.58736111111)</f>
        <v>45967.58736</v>
      </c>
      <c r="D2296" s="211" t="str">
        <f>IFERROR(__xludf.DUMMYFUNCTION("""COMPUTED_VALUE"""),"ba97d58d")</f>
        <v>ba97d58d</v>
      </c>
      <c r="E2296" s="211" t="str">
        <f>IFERROR(__xludf.DUMMYFUNCTION("""COMPUTED_VALUE"""),"Bengkel Citra Mojosari")</f>
        <v>Bengkel Citra Mojosari</v>
      </c>
      <c r="F2296" s="211" t="str">
        <f>IFERROR(__xludf.DUMMYFUNCTION("""COMPUTED_VALUE"""),"8bdbe149")</f>
        <v>8bdbe149</v>
      </c>
      <c r="G2296" s="211" t="str">
        <f>IFERROR(__xludf.DUMMYFUNCTION("""COMPUTED_VALUE"""),"Oksigen 6m3")</f>
        <v>Oksigen 6m3</v>
      </c>
      <c r="H2296" s="211" t="str">
        <f>IFERROR(__xludf.DUMMYFUNCTION("""COMPUTED_VALUE"""),"OUT")</f>
        <v>OUT</v>
      </c>
      <c r="I2296" s="211" t="str">
        <f>IFERROR(__xludf.DUMMYFUNCTION("""COMPUTED_VALUE"""),"NORMAL")</f>
        <v>NORMAL</v>
      </c>
      <c r="J2296" s="211">
        <f>IFERROR(__xludf.DUMMYFUNCTION("""COMPUTED_VALUE"""),1.0)</f>
        <v>1</v>
      </c>
      <c r="K2296" s="210" t="str">
        <f>IFERROR(__xludf.DUMMYFUNCTION("""COMPUTED_VALUE"""),"11124")</f>
        <v>11124</v>
      </c>
      <c r="L2296" s="211">
        <f>IFERROR(__xludf.DUMMYFUNCTION("""COMPUTED_VALUE"""),65000.0)</f>
        <v>65000</v>
      </c>
      <c r="M2296" s="211"/>
      <c r="N2296" s="211"/>
      <c r="O2296" s="211"/>
      <c r="Q2296" s="210" t="str">
        <f>IFERROR(__xludf.DUMMYFUNCTION("""COMPUTED_VALUE"""),"0126152296")</f>
        <v>0126152296</v>
      </c>
      <c r="R2296" s="210" t="str">
        <f>IFERROR(__xludf.DUMMYFUNCTION("""COMPUTED_VALUE"""),"0126152296")</f>
        <v>0126152296</v>
      </c>
      <c r="S2296" s="211" t="str">
        <f>IFERROR(__xludf.DUMMYFUNCTION("""COMPUTED_VALUE"""),"63fc688a")</f>
        <v>63fc688a</v>
      </c>
      <c r="T2296" s="211" t="str">
        <f>IFERROR(__xludf.DUMMYFUNCTION("""COMPUTED_VALUE"""),"CV Malik Nusantara")</f>
        <v>CV Malik Nusantara</v>
      </c>
      <c r="U2296" s="215">
        <f>IFERROR(__xludf.DUMMYFUNCTION("""COMPUTED_VALUE"""),46041.64635416667)</f>
        <v>46041.64635</v>
      </c>
      <c r="V2296" s="211" t="str">
        <f>IFERROR(__xludf.DUMMYFUNCTION("""COMPUTED_VALUE"""),"Jl. Raya Balongbendo No.12, Suwaluh Utara, Suwaluh, Kec. BalongBendo, Kabupaten Sidoarjo, Jawa Timur 61263")</f>
        <v>Jl. Raya Balongbendo No.12, Suwaluh Utara, Suwaluh, Kec. BalongBendo, Kabupaten Sidoarjo, Jawa Timur 61263</v>
      </c>
      <c r="W2296" s="211" t="str">
        <f>IFERROR(__xludf.DUMMYFUNCTION("""COMPUTED_VALUE"""),"OUT")</f>
        <v>OUT</v>
      </c>
      <c r="X2296" s="211"/>
    </row>
    <row r="2297">
      <c r="A2297" s="210" t="str">
        <f>IFERROR(__xludf.DUMMYFUNCTION("""COMPUTED_VALUE"""),"112541641")</f>
        <v>112541641</v>
      </c>
      <c r="B2297" s="210" t="str">
        <f>IFERROR(__xludf.DUMMYFUNCTION("""COMPUTED_VALUE"""),"112541641")</f>
        <v>112541641</v>
      </c>
      <c r="C2297" s="213">
        <f>IFERROR(__xludf.DUMMYFUNCTION("""COMPUTED_VALUE"""),45967.58876157407)</f>
        <v>45967.58876</v>
      </c>
      <c r="D2297" s="211" t="str">
        <f>IFERROR(__xludf.DUMMYFUNCTION("""COMPUTED_VALUE"""),"faf71ae5")</f>
        <v>faf71ae5</v>
      </c>
      <c r="E2297" s="211" t="str">
        <f>IFERROR(__xludf.DUMMYFUNCTION("""COMPUTED_VALUE"""),"Bpk. Sampurna")</f>
        <v>Bpk. Sampurna</v>
      </c>
      <c r="F2297" s="211" t="str">
        <f>IFERROR(__xludf.DUMMYFUNCTION("""COMPUTED_VALUE"""),"7d2764f1")</f>
        <v>7d2764f1</v>
      </c>
      <c r="G2297" s="211" t="str">
        <f>IFERROR(__xludf.DUMMYFUNCTION("""COMPUTED_VALUE"""),"Oksigen 7m3")</f>
        <v>Oksigen 7m3</v>
      </c>
      <c r="H2297" s="211" t="str">
        <f>IFERROR(__xludf.DUMMYFUNCTION("""COMPUTED_VALUE"""),"OUT")</f>
        <v>OUT</v>
      </c>
      <c r="I2297" s="211" t="str">
        <f>IFERROR(__xludf.DUMMYFUNCTION("""COMPUTED_VALUE"""),"NORMAL")</f>
        <v>NORMAL</v>
      </c>
      <c r="J2297" s="211">
        <f>IFERROR(__xludf.DUMMYFUNCTION("""COMPUTED_VALUE"""),1.0)</f>
        <v>1</v>
      </c>
      <c r="K2297" s="210" t="str">
        <f>IFERROR(__xludf.DUMMYFUNCTION("""COMPUTED_VALUE"""),"11135")</f>
        <v>11135</v>
      </c>
      <c r="L2297" s="211">
        <f>IFERROR(__xludf.DUMMYFUNCTION("""COMPUTED_VALUE"""),55000.0)</f>
        <v>55000</v>
      </c>
      <c r="M2297" s="211"/>
      <c r="N2297" s="211"/>
      <c r="O2297" s="211"/>
      <c r="Q2297" s="210" t="str">
        <f>IFERROR(__xludf.DUMMYFUNCTION("""COMPUTED_VALUE"""),"1261100")</f>
        <v>1261100</v>
      </c>
      <c r="R2297" s="210" t="str">
        <f>IFERROR(__xludf.DUMMYFUNCTION("""COMPUTED_VALUE"""),"1261100")</f>
        <v>1261100</v>
      </c>
      <c r="S2297" s="211" t="str">
        <f>IFERROR(__xludf.DUMMYFUNCTION("""COMPUTED_VALUE"""),"63fc688a")</f>
        <v>63fc688a</v>
      </c>
      <c r="T2297" s="211" t="str">
        <f>IFERROR(__xludf.DUMMYFUNCTION("""COMPUTED_VALUE"""),"CV Malik Nusantara")</f>
        <v>CV Malik Nusantara</v>
      </c>
      <c r="U2297" s="215">
        <f>IFERROR(__xludf.DUMMYFUNCTION("""COMPUTED_VALUE"""),46041.67884259259)</f>
        <v>46041.67884</v>
      </c>
      <c r="V2297" s="211" t="str">
        <f>IFERROR(__xludf.DUMMYFUNCTION("""COMPUTED_VALUE"""),"Jl. Raya Balongbendo No.12, Suwaluh Utara, Suwaluh, Kec. BalongBendo, Kabupaten Sidoarjo, Jawa Timur 61263")</f>
        <v>Jl. Raya Balongbendo No.12, Suwaluh Utara, Suwaluh, Kec. BalongBendo, Kabupaten Sidoarjo, Jawa Timur 61263</v>
      </c>
      <c r="W2297" s="211" t="str">
        <f>IFERROR(__xludf.DUMMYFUNCTION("""COMPUTED_VALUE"""),"IN")</f>
        <v>IN</v>
      </c>
      <c r="X2297" s="211"/>
    </row>
    <row r="2298">
      <c r="A2298" s="210" t="str">
        <f>IFERROR(__xludf.DUMMYFUNCTION("""COMPUTED_VALUE"""),"112541641")</f>
        <v>112541641</v>
      </c>
      <c r="B2298" s="210" t="str">
        <f>IFERROR(__xludf.DUMMYFUNCTION("""COMPUTED_VALUE"""),"112541641")</f>
        <v>112541641</v>
      </c>
      <c r="C2298" s="213">
        <f>IFERROR(__xludf.DUMMYFUNCTION("""COMPUTED_VALUE"""),45967.58876157407)</f>
        <v>45967.58876</v>
      </c>
      <c r="D2298" s="211" t="str">
        <f>IFERROR(__xludf.DUMMYFUNCTION("""COMPUTED_VALUE"""),"faf71ae5")</f>
        <v>faf71ae5</v>
      </c>
      <c r="E2298" s="211" t="str">
        <f>IFERROR(__xludf.DUMMYFUNCTION("""COMPUTED_VALUE"""),"Bpk. Sampurna")</f>
        <v>Bpk. Sampurna</v>
      </c>
      <c r="F2298" s="211" t="str">
        <f>IFERROR(__xludf.DUMMYFUNCTION("""COMPUTED_VALUE"""),"8bdbe149")</f>
        <v>8bdbe149</v>
      </c>
      <c r="G2298" s="211" t="str">
        <f>IFERROR(__xludf.DUMMYFUNCTION("""COMPUTED_VALUE"""),"Oksigen 6m3")</f>
        <v>Oksigen 6m3</v>
      </c>
      <c r="H2298" s="211" t="str">
        <f>IFERROR(__xludf.DUMMYFUNCTION("""COMPUTED_VALUE"""),"OUT")</f>
        <v>OUT</v>
      </c>
      <c r="I2298" s="211" t="str">
        <f>IFERROR(__xludf.DUMMYFUNCTION("""COMPUTED_VALUE"""),"NORMAL")</f>
        <v>NORMAL</v>
      </c>
      <c r="J2298" s="211">
        <f>IFERROR(__xludf.DUMMYFUNCTION("""COMPUTED_VALUE"""),14.0)</f>
        <v>14</v>
      </c>
      <c r="K2298" s="210" t="str">
        <f>IFERROR(__xludf.DUMMYFUNCTION("""COMPUTED_VALUE"""),"1187 11234 1176 11290 1170 11196 11289 11247 1195 1155 11177 048 11172 1156")</f>
        <v>1187 11234 1176 11290 1170 11196 11289 11247 1195 1155 11177 048 11172 1156</v>
      </c>
      <c r="L2298" s="211">
        <f>IFERROR(__xludf.DUMMYFUNCTION("""COMPUTED_VALUE"""),55000.0)</f>
        <v>55000</v>
      </c>
      <c r="M2298" s="211"/>
      <c r="N2298" s="211"/>
      <c r="O2298" s="211"/>
      <c r="Q2298" s="210" t="str">
        <f>IFERROR(__xludf.DUMMYFUNCTION("""COMPUTED_VALUE"""),"0126142297")</f>
        <v>0126142297</v>
      </c>
      <c r="R2298" s="210" t="str">
        <f>IFERROR(__xludf.DUMMYFUNCTION("""COMPUTED_VALUE"""),"0126142297")</f>
        <v>0126142297</v>
      </c>
      <c r="S2298" s="211" t="str">
        <f>IFERROR(__xludf.DUMMYFUNCTION("""COMPUTED_VALUE"""),"a0f0ad2d")</f>
        <v>a0f0ad2d</v>
      </c>
      <c r="T2298" s="211" t="str">
        <f>IFERROR(__xludf.DUMMYFUNCTION("""COMPUTED_VALUE"""),"CV. Yulie Jaya")</f>
        <v>CV. Yulie Jaya</v>
      </c>
      <c r="U2298" s="215">
        <f>IFERROR(__xludf.DUMMYFUNCTION("""COMPUTED_VALUE"""),46042.37199074074)</f>
        <v>46042.37199</v>
      </c>
      <c r="V2298" s="211" t="str">
        <f>IFERROR(__xludf.DUMMYFUNCTION("""COMPUTED_VALUE"""),"JJH4+6RV, Badas, Barengkrajan, Kec. Krian, Kabupaten Sidoarjo, Jawa Timur 61262")</f>
        <v>JJH4+6RV, Badas, Barengkrajan, Kec. Krian, Kabupaten Sidoarjo, Jawa Timur 61262</v>
      </c>
      <c r="W2298" s="211" t="str">
        <f>IFERROR(__xludf.DUMMYFUNCTION("""COMPUTED_VALUE"""),"OUT")</f>
        <v>OUT</v>
      </c>
      <c r="X2298" s="211"/>
    </row>
    <row r="2299">
      <c r="A2299" s="210" t="str">
        <f>IFERROR(__xludf.DUMMYFUNCTION("""COMPUTED_VALUE"""),"112541641")</f>
        <v>112541641</v>
      </c>
      <c r="B2299" s="210" t="str">
        <f>IFERROR(__xludf.DUMMYFUNCTION("""COMPUTED_VALUE"""),"112541641")</f>
        <v>112541641</v>
      </c>
      <c r="C2299" s="213">
        <f>IFERROR(__xludf.DUMMYFUNCTION("""COMPUTED_VALUE"""),45967.58876157407)</f>
        <v>45967.58876</v>
      </c>
      <c r="D2299" s="211" t="str">
        <f>IFERROR(__xludf.DUMMYFUNCTION("""COMPUTED_VALUE"""),"faf71ae5")</f>
        <v>faf71ae5</v>
      </c>
      <c r="E2299" s="211" t="str">
        <f>IFERROR(__xludf.DUMMYFUNCTION("""COMPUTED_VALUE"""),"Bpk. Sampurna")</f>
        <v>Bpk. Sampurna</v>
      </c>
      <c r="F2299" s="211" t="str">
        <f>IFERROR(__xludf.DUMMYFUNCTION("""COMPUTED_VALUE"""),"be525f3b")</f>
        <v>be525f3b</v>
      </c>
      <c r="G2299" s="211" t="str">
        <f>IFERROR(__xludf.DUMMYFUNCTION("""COMPUTED_VALUE"""),"LPG 12kg")</f>
        <v>LPG 12kg</v>
      </c>
      <c r="H2299" s="211" t="str">
        <f>IFERROR(__xludf.DUMMYFUNCTION("""COMPUTED_VALUE"""),"OUT")</f>
        <v>OUT</v>
      </c>
      <c r="I2299" s="211" t="str">
        <f>IFERROR(__xludf.DUMMYFUNCTION("""COMPUTED_VALUE"""),"NORMAL")</f>
        <v>NORMAL</v>
      </c>
      <c r="J2299" s="211">
        <f>IFERROR(__xludf.DUMMYFUNCTION("""COMPUTED_VALUE"""),3.0)</f>
        <v>3</v>
      </c>
      <c r="K2299" s="210" t="str">
        <f>IFERROR(__xludf.DUMMYFUNCTION("""COMPUTED_VALUE"""),"01 02 03")</f>
        <v>01 02 03</v>
      </c>
      <c r="L2299" s="211">
        <f>IFERROR(__xludf.DUMMYFUNCTION("""COMPUTED_VALUE"""),210000.0)</f>
        <v>210000</v>
      </c>
      <c r="M2299" s="211"/>
      <c r="N2299" s="211"/>
      <c r="O2299" s="211"/>
      <c r="Q2299" s="210" t="str">
        <f>IFERROR(__xludf.DUMMYFUNCTION("""COMPUTED_VALUE"""),"012652299")</f>
        <v>012652299</v>
      </c>
      <c r="R2299" s="210" t="str">
        <f>IFERROR(__xludf.DUMMYFUNCTION("""COMPUTED_VALUE"""),"012652299")</f>
        <v>012652299</v>
      </c>
      <c r="S2299" s="211" t="str">
        <f>IFERROR(__xludf.DUMMYFUNCTION("""COMPUTED_VALUE"""),"9828dfc5")</f>
        <v>9828dfc5</v>
      </c>
      <c r="T2299" s="211" t="str">
        <f>IFERROR(__xludf.DUMMYFUNCTION("""COMPUTED_VALUE"""),"Bpk. David")</f>
        <v>Bpk. David</v>
      </c>
      <c r="U2299" s="215">
        <f>IFERROR(__xludf.DUMMYFUNCTION("""COMPUTED_VALUE"""),46042.375763888886)</f>
        <v>46042.37576</v>
      </c>
      <c r="V2299" s="211" t="str">
        <f>IFERROR(__xludf.DUMMYFUNCTION("""COMPUTED_VALUE"""),"GHF3+R34, Jl. Kartini, Ngingas, Ngimbangan, Kec. Mojosari, Kabupaten Mojokerto, Jawa Timur 61382")</f>
        <v>GHF3+R34, Jl. Kartini, Ngingas, Ngimbangan, Kec. Mojosari, Kabupaten Mojokerto, Jawa Timur 61382</v>
      </c>
      <c r="W2299" s="211" t="str">
        <f>IFERROR(__xludf.DUMMYFUNCTION("""COMPUTED_VALUE"""),"OUT")</f>
        <v>OUT</v>
      </c>
      <c r="X2299" s="211"/>
    </row>
    <row r="2300">
      <c r="A2300" s="210" t="str">
        <f>IFERROR(__xludf.DUMMYFUNCTION("""COMPUTED_VALUE"""),"112541641")</f>
        <v>112541641</v>
      </c>
      <c r="B2300" s="210" t="str">
        <f>IFERROR(__xludf.DUMMYFUNCTION("""COMPUTED_VALUE"""),"112541641")</f>
        <v>112541641</v>
      </c>
      <c r="C2300" s="213">
        <f>IFERROR(__xludf.DUMMYFUNCTION("""COMPUTED_VALUE"""),45967.58876157407)</f>
        <v>45967.58876</v>
      </c>
      <c r="D2300" s="211" t="str">
        <f>IFERROR(__xludf.DUMMYFUNCTION("""COMPUTED_VALUE"""),"faf71ae5")</f>
        <v>faf71ae5</v>
      </c>
      <c r="E2300" s="211" t="str">
        <f>IFERROR(__xludf.DUMMYFUNCTION("""COMPUTED_VALUE"""),"Bpk. Sampurna")</f>
        <v>Bpk. Sampurna</v>
      </c>
      <c r="F2300" s="211" t="str">
        <f>IFERROR(__xludf.DUMMYFUNCTION("""COMPUTED_VALUE"""),"f13ba52f")</f>
        <v>f13ba52f</v>
      </c>
      <c r="G2300" s="211" t="str">
        <f>IFERROR(__xludf.DUMMYFUNCTION("""COMPUTED_VALUE"""),"Ongkos Kirim (Non PPN)")</f>
        <v>Ongkos Kirim (Non PPN)</v>
      </c>
      <c r="H2300" s="211" t="str">
        <f>IFERROR(__xludf.DUMMYFUNCTION("""COMPUTED_VALUE"""),"OUT")</f>
        <v>OUT</v>
      </c>
      <c r="I2300" s="211" t="str">
        <f>IFERROR(__xludf.DUMMYFUNCTION("""COMPUTED_VALUE"""),"NORMAL")</f>
        <v>NORMAL</v>
      </c>
      <c r="J2300" s="211">
        <f>IFERROR(__xludf.DUMMYFUNCTION("""COMPUTED_VALUE"""),1.0)</f>
        <v>1</v>
      </c>
      <c r="K2300" s="210" t="str">
        <f>IFERROR(__xludf.DUMMYFUNCTION("""COMPUTED_VALUE"""),"01")</f>
        <v>01</v>
      </c>
      <c r="L2300" s="211">
        <f>IFERROR(__xludf.DUMMYFUNCTION("""COMPUTED_VALUE"""),50000.0)</f>
        <v>50000</v>
      </c>
      <c r="M2300" s="211"/>
      <c r="N2300" s="211"/>
      <c r="O2300" s="211"/>
      <c r="Q2300" s="210" t="str">
        <f>IFERROR(__xludf.DUMMYFUNCTION("""COMPUTED_VALUE"""),"4012612285")</f>
        <v>4012612285</v>
      </c>
      <c r="R2300" s="210" t="str">
        <f>IFERROR(__xludf.DUMMYFUNCTION("""COMPUTED_VALUE"""),"4012612285")</f>
        <v>4012612285</v>
      </c>
      <c r="S2300" s="211" t="str">
        <f>IFERROR(__xludf.DUMMYFUNCTION("""COMPUTED_VALUE"""),"7b9d8eba")</f>
        <v>7b9d8eba</v>
      </c>
      <c r="T2300" s="211" t="str">
        <f>IFERROR(__xludf.DUMMYFUNCTION("""COMPUTED_VALUE"""),"PT PELANGI INDOKARYA")</f>
        <v>PT PELANGI INDOKARYA</v>
      </c>
      <c r="U2300" s="215">
        <f>IFERROR(__xludf.DUMMYFUNCTION("""COMPUTED_VALUE"""),46042.38454861111)</f>
        <v>46042.38455</v>
      </c>
      <c r="V2300"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300" s="211" t="str">
        <f>IFERROR(__xludf.DUMMYFUNCTION("""COMPUTED_VALUE"""),"OTHER")</f>
        <v>OTHER</v>
      </c>
      <c r="X2300" s="211"/>
    </row>
    <row r="2301">
      <c r="A2301" s="210" t="str">
        <f>IFERROR(__xludf.DUMMYFUNCTION("""COMPUTED_VALUE"""),"1250751")</f>
        <v>1250751</v>
      </c>
      <c r="B2301" s="210" t="str">
        <f>IFERROR(__xludf.DUMMYFUNCTION("""COMPUTED_VALUE"""),"1250751")</f>
        <v>1250751</v>
      </c>
      <c r="C2301" s="213">
        <f>IFERROR(__xludf.DUMMYFUNCTION("""COMPUTED_VALUE"""),45967.606828703705)</f>
        <v>45967.60683</v>
      </c>
      <c r="D2301" s="211" t="str">
        <f>IFERROR(__xludf.DUMMYFUNCTION("""COMPUTED_VALUE"""),"e86baf3b")</f>
        <v>e86baf3b</v>
      </c>
      <c r="E2301" s="211" t="str">
        <f>IFERROR(__xludf.DUMMYFUNCTION("""COMPUTED_VALUE"""),"PT GEMILANG CIPTA WAWASAN")</f>
        <v>PT GEMILANG CIPTA WAWASAN</v>
      </c>
      <c r="F2301" s="211" t="str">
        <f>IFERROR(__xludf.DUMMYFUNCTION("""COMPUTED_VALUE"""),"8bdbe149")</f>
        <v>8bdbe149</v>
      </c>
      <c r="G2301" s="211" t="str">
        <f>IFERROR(__xludf.DUMMYFUNCTION("""COMPUTED_VALUE"""),"Oksigen 6m3")</f>
        <v>Oksigen 6m3</v>
      </c>
      <c r="H2301" s="211" t="str">
        <f>IFERROR(__xludf.DUMMYFUNCTION("""COMPUTED_VALUE"""),"IN")</f>
        <v>IN</v>
      </c>
      <c r="I2301" s="211" t="str">
        <f>IFERROR(__xludf.DUMMYFUNCTION("""COMPUTED_VALUE"""),"EMPTY")</f>
        <v>EMPTY</v>
      </c>
      <c r="J2301" s="211">
        <f>IFERROR(__xludf.DUMMYFUNCTION("""COMPUTED_VALUE"""),4.0)</f>
        <v>4</v>
      </c>
      <c r="K2301" s="210" t="str">
        <f>IFERROR(__xludf.DUMMYFUNCTION("""COMPUTED_VALUE"""),"11262 11231 1116 11196")</f>
        <v>11262 11231 1116 11196</v>
      </c>
      <c r="L2301" s="211">
        <f>IFERROR(__xludf.DUMMYFUNCTION("""COMPUTED_VALUE"""),0.0)</f>
        <v>0</v>
      </c>
      <c r="M2301" s="211"/>
      <c r="N2301" s="211"/>
      <c r="O2301" s="211"/>
      <c r="Q2301" s="210" t="str">
        <f>IFERROR(__xludf.DUMMYFUNCTION("""COMPUTED_VALUE"""),"0126112300")</f>
        <v>0126112300</v>
      </c>
      <c r="R2301" s="210" t="str">
        <f>IFERROR(__xludf.DUMMYFUNCTION("""COMPUTED_VALUE"""),"0126112300")</f>
        <v>0126112300</v>
      </c>
      <c r="S2301" s="211" t="str">
        <f>IFERROR(__xludf.DUMMYFUNCTION("""COMPUTED_VALUE"""),"734c6d17")</f>
        <v>734c6d17</v>
      </c>
      <c r="T2301" s="211" t="str">
        <f>IFERROR(__xludf.DUMMYFUNCTION("""COMPUTED_VALUE"""),"Bapak Ainol Yaqin ( Bpk. Ibnu )")</f>
        <v>Bapak Ainol Yaqin ( Bpk. Ibnu )</v>
      </c>
      <c r="U2301" s="215">
        <f>IFERROR(__xludf.DUMMYFUNCTION("""COMPUTED_VALUE"""),46042.466099537036)</f>
        <v>46042.4661</v>
      </c>
      <c r="V2301" s="211" t="str">
        <f>IFERROR(__xludf.DUMMYFUNCTION("""COMPUTED_VALUE"""),"Tanggul Wetan, Tanggul, Kec. Wonoayu, Kabupaten Sidoarjo, Jawa Timur")</f>
        <v>Tanggul Wetan, Tanggul, Kec. Wonoayu, Kabupaten Sidoarjo, Jawa Timur</v>
      </c>
      <c r="W2301" s="211" t="str">
        <f>IFERROR(__xludf.DUMMYFUNCTION("""COMPUTED_VALUE"""),"OUT")</f>
        <v>OUT</v>
      </c>
      <c r="X2301" s="211"/>
    </row>
    <row r="2302">
      <c r="A2302" s="210" t="str">
        <f>IFERROR(__xludf.DUMMYFUNCTION("""COMPUTED_VALUE"""),"1250751")</f>
        <v>1250751</v>
      </c>
      <c r="B2302" s="210" t="str">
        <f>IFERROR(__xludf.DUMMYFUNCTION("""COMPUTED_VALUE"""),"1250751")</f>
        <v>1250751</v>
      </c>
      <c r="C2302" s="213">
        <f>IFERROR(__xludf.DUMMYFUNCTION("""COMPUTED_VALUE"""),45967.606828703705)</f>
        <v>45967.60683</v>
      </c>
      <c r="D2302" s="211" t="str">
        <f>IFERROR(__xludf.DUMMYFUNCTION("""COMPUTED_VALUE"""),"e86baf3b")</f>
        <v>e86baf3b</v>
      </c>
      <c r="E2302" s="211" t="str">
        <f>IFERROR(__xludf.DUMMYFUNCTION("""COMPUTED_VALUE"""),"PT GEMILANG CIPTA WAWASAN")</f>
        <v>PT GEMILANG CIPTA WAWASAN</v>
      </c>
      <c r="F2302" s="211" t="str">
        <f>IFERROR(__xludf.DUMMYFUNCTION("""COMPUTED_VALUE"""),"66af7c72")</f>
        <v>66af7c72</v>
      </c>
      <c r="G2302" s="211" t="str">
        <f>IFERROR(__xludf.DUMMYFUNCTION("""COMPUTED_VALUE"""),"Argon 6m3")</f>
        <v>Argon 6m3</v>
      </c>
      <c r="H2302" s="211" t="str">
        <f>IFERROR(__xludf.DUMMYFUNCTION("""COMPUTED_VALUE"""),"IN")</f>
        <v>IN</v>
      </c>
      <c r="I2302" s="211" t="str">
        <f>IFERROR(__xludf.DUMMYFUNCTION("""COMPUTED_VALUE"""),"EMPTY")</f>
        <v>EMPTY</v>
      </c>
      <c r="J2302" s="211">
        <f>IFERROR(__xludf.DUMMYFUNCTION("""COMPUTED_VALUE"""),9.0)</f>
        <v>9</v>
      </c>
      <c r="K2302" s="210" t="str">
        <f>IFERROR(__xludf.DUMMYFUNCTION("""COMPUTED_VALUE"""),"12042 12047 12018 12061 12029 12071 12044 12084 12073")</f>
        <v>12042 12047 12018 12061 12029 12071 12044 12084 12073</v>
      </c>
      <c r="L2302" s="211">
        <f>IFERROR(__xludf.DUMMYFUNCTION("""COMPUTED_VALUE"""),0.0)</f>
        <v>0</v>
      </c>
      <c r="M2302" s="211"/>
      <c r="N2302" s="211"/>
      <c r="O2302" s="211"/>
      <c r="Q2302" s="210" t="str">
        <f>IFERROR(__xludf.DUMMYFUNCTION("""COMPUTED_VALUE"""),"012692302")</f>
        <v>012692302</v>
      </c>
      <c r="R2302" s="210" t="str">
        <f>IFERROR(__xludf.DUMMYFUNCTION("""COMPUTED_VALUE"""),"012692302")</f>
        <v>012692302</v>
      </c>
      <c r="S2302" s="211" t="str">
        <f>IFERROR(__xludf.DUMMYFUNCTION("""COMPUTED_VALUE"""),"ba97d58d")</f>
        <v>ba97d58d</v>
      </c>
      <c r="T2302" s="211" t="str">
        <f>IFERROR(__xludf.DUMMYFUNCTION("""COMPUTED_VALUE"""),"Bengkel Citra Mojosari")</f>
        <v>Bengkel Citra Mojosari</v>
      </c>
      <c r="U2302" s="215">
        <f>IFERROR(__xludf.DUMMYFUNCTION("""COMPUTED_VALUE"""),46042.46690972222)</f>
        <v>46042.46691</v>
      </c>
      <c r="V2302" s="211" t="str">
        <f>IFERROR(__xludf.DUMMYFUNCTION("""COMPUTED_VALUE"""),"Jl. Raden Wijaya, Kemloko, Jotangan, Kec. Mojosari, Kabupaten Mojokerto, Jawa Timur 61382")</f>
        <v>Jl. Raden Wijaya, Kemloko, Jotangan, Kec. Mojosari, Kabupaten Mojokerto, Jawa Timur 61382</v>
      </c>
      <c r="W2302" s="211" t="str">
        <f>IFERROR(__xludf.DUMMYFUNCTION("""COMPUTED_VALUE"""),"OUT")</f>
        <v>OUT</v>
      </c>
      <c r="X2302" s="211"/>
    </row>
    <row r="2303">
      <c r="A2303" s="210" t="str">
        <f>IFERROR(__xludf.DUMMYFUNCTION("""COMPUTED_VALUE"""),"1250751")</f>
        <v>1250751</v>
      </c>
      <c r="B2303" s="210" t="str">
        <f>IFERROR(__xludf.DUMMYFUNCTION("""COMPUTED_VALUE"""),"1250751")</f>
        <v>1250751</v>
      </c>
      <c r="C2303" s="213">
        <f>IFERROR(__xludf.DUMMYFUNCTION("""COMPUTED_VALUE"""),45967.606828703705)</f>
        <v>45967.60683</v>
      </c>
      <c r="D2303" s="211" t="str">
        <f>IFERROR(__xludf.DUMMYFUNCTION("""COMPUTED_VALUE"""),"e86baf3b")</f>
        <v>e86baf3b</v>
      </c>
      <c r="E2303" s="211" t="str">
        <f>IFERROR(__xludf.DUMMYFUNCTION("""COMPUTED_VALUE"""),"PT GEMILANG CIPTA WAWASAN")</f>
        <v>PT GEMILANG CIPTA WAWASAN</v>
      </c>
      <c r="F2303" s="211" t="str">
        <f>IFERROR(__xludf.DUMMYFUNCTION("""COMPUTED_VALUE"""),"7d2764f1")</f>
        <v>7d2764f1</v>
      </c>
      <c r="G2303" s="211" t="str">
        <f>IFERROR(__xludf.DUMMYFUNCTION("""COMPUTED_VALUE"""),"Oksigen 7m3")</f>
        <v>Oksigen 7m3</v>
      </c>
      <c r="H2303" s="211" t="str">
        <f>IFERROR(__xludf.DUMMYFUNCTION("""COMPUTED_VALUE"""),"IN")</f>
        <v>IN</v>
      </c>
      <c r="I2303" s="211" t="str">
        <f>IFERROR(__xludf.DUMMYFUNCTION("""COMPUTED_VALUE"""),"EMPTY")</f>
        <v>EMPTY</v>
      </c>
      <c r="J2303" s="211">
        <f>IFERROR(__xludf.DUMMYFUNCTION("""COMPUTED_VALUE"""),2.0)</f>
        <v>2</v>
      </c>
      <c r="K2303" s="210" t="str">
        <f>IFERROR(__xludf.DUMMYFUNCTION("""COMPUTED_VALUE"""),"11212 11166")</f>
        <v>11212 11166</v>
      </c>
      <c r="L2303" s="211">
        <f>IFERROR(__xludf.DUMMYFUNCTION("""COMPUTED_VALUE"""),0.0)</f>
        <v>0</v>
      </c>
      <c r="M2303" s="211"/>
      <c r="N2303" s="211"/>
      <c r="O2303" s="211"/>
      <c r="Q2303" s="210" t="str">
        <f>IFERROR(__xludf.DUMMYFUNCTION("""COMPUTED_VALUE"""),"1261118")</f>
        <v>1261118</v>
      </c>
      <c r="R2303" s="210" t="str">
        <f>IFERROR(__xludf.DUMMYFUNCTION("""COMPUTED_VALUE"""),"1261118")</f>
        <v>1261118</v>
      </c>
      <c r="S2303" s="211" t="str">
        <f>IFERROR(__xludf.DUMMYFUNCTION("""COMPUTED_VALUE"""),"a0f0ad2d")</f>
        <v>a0f0ad2d</v>
      </c>
      <c r="T2303" s="211" t="str">
        <f>IFERROR(__xludf.DUMMYFUNCTION("""COMPUTED_VALUE"""),"CV. Yulie Jaya")</f>
        <v>CV. Yulie Jaya</v>
      </c>
      <c r="U2303" s="215">
        <f>IFERROR(__xludf.DUMMYFUNCTION("""COMPUTED_VALUE"""),46042.473275462966)</f>
        <v>46042.47328</v>
      </c>
      <c r="V2303" s="211" t="str">
        <f>IFERROR(__xludf.DUMMYFUNCTION("""COMPUTED_VALUE"""),"JJH4+6RV, Badas, Barengkrajan, Kec. Krian, Kabupaten Sidoarjo, Jawa Timur 61262")</f>
        <v>JJH4+6RV, Badas, Barengkrajan, Kec. Krian, Kabupaten Sidoarjo, Jawa Timur 61262</v>
      </c>
      <c r="W2303" s="211" t="str">
        <f>IFERROR(__xludf.DUMMYFUNCTION("""COMPUTED_VALUE"""),"IN")</f>
        <v>IN</v>
      </c>
      <c r="X2303" s="211"/>
    </row>
    <row r="2304">
      <c r="A2304" s="210" t="str">
        <f>IFERROR(__xludf.DUMMYFUNCTION("""COMPUTED_VALUE"""),"1250752")</f>
        <v>1250752</v>
      </c>
      <c r="B2304" s="210" t="str">
        <f>IFERROR(__xludf.DUMMYFUNCTION("""COMPUTED_VALUE"""),"1250752")</f>
        <v>1250752</v>
      </c>
      <c r="C2304" s="213">
        <f>IFERROR(__xludf.DUMMYFUNCTION("""COMPUTED_VALUE"""),45967.61241898148)</f>
        <v>45967.61242</v>
      </c>
      <c r="D2304" s="211" t="str">
        <f>IFERROR(__xludf.DUMMYFUNCTION("""COMPUTED_VALUE"""),"3bcd7fe6")</f>
        <v>3bcd7fe6</v>
      </c>
      <c r="E2304" s="211" t="str">
        <f>IFERROR(__xludf.DUMMYFUNCTION("""COMPUTED_VALUE"""),"Bpk. Alvin (LB Group)")</f>
        <v>Bpk. Alvin (LB Group)</v>
      </c>
      <c r="F2304" s="211" t="str">
        <f>IFERROR(__xludf.DUMMYFUNCTION("""COMPUTED_VALUE"""),"8bdbe149")</f>
        <v>8bdbe149</v>
      </c>
      <c r="G2304" s="211" t="str">
        <f>IFERROR(__xludf.DUMMYFUNCTION("""COMPUTED_VALUE"""),"Oksigen 6m3")</f>
        <v>Oksigen 6m3</v>
      </c>
      <c r="H2304" s="211" t="str">
        <f>IFERROR(__xludf.DUMMYFUNCTION("""COMPUTED_VALUE"""),"IN")</f>
        <v>IN</v>
      </c>
      <c r="I2304" s="211" t="str">
        <f>IFERROR(__xludf.DUMMYFUNCTION("""COMPUTED_VALUE"""),"EMPTY")</f>
        <v>EMPTY</v>
      </c>
      <c r="J2304" s="211">
        <f>IFERROR(__xludf.DUMMYFUNCTION("""COMPUTED_VALUE"""),5.0)</f>
        <v>5</v>
      </c>
      <c r="K2304" s="210" t="str">
        <f>IFERROR(__xludf.DUMMYFUNCTION("""COMPUTED_VALUE"""),"1146 1142 1129 11109 1192")</f>
        <v>1146 1142 1129 11109 1192</v>
      </c>
      <c r="L2304" s="211">
        <f>IFERROR(__xludf.DUMMYFUNCTION("""COMPUTED_VALUE"""),0.0)</f>
        <v>0</v>
      </c>
      <c r="M2304" s="211"/>
      <c r="N2304" s="211"/>
      <c r="O2304" s="211"/>
      <c r="Q2304" s="210" t="str">
        <f>IFERROR(__xludf.DUMMYFUNCTION("""COMPUTED_VALUE"""),"1261110")</f>
        <v>1261110</v>
      </c>
      <c r="R2304" s="210" t="str">
        <f>IFERROR(__xludf.DUMMYFUNCTION("""COMPUTED_VALUE"""),"1261110")</f>
        <v>1261110</v>
      </c>
      <c r="S2304" s="211" t="str">
        <f>IFERROR(__xludf.DUMMYFUNCTION("""COMPUTED_VALUE"""),"9828dfc5")</f>
        <v>9828dfc5</v>
      </c>
      <c r="T2304" s="211" t="str">
        <f>IFERROR(__xludf.DUMMYFUNCTION("""COMPUTED_VALUE"""),"Bpk. David")</f>
        <v>Bpk. David</v>
      </c>
      <c r="U2304" s="215">
        <f>IFERROR(__xludf.DUMMYFUNCTION("""COMPUTED_VALUE"""),46042.53135416667)</f>
        <v>46042.53135</v>
      </c>
      <c r="V2304" s="211" t="str">
        <f>IFERROR(__xludf.DUMMYFUNCTION("""COMPUTED_VALUE"""),"GHF3+R34, Jl. Kartini, Ngingas, Ngimbangan, Kec. Mojosari, Kabupaten Mojokerto, Jawa Timur 61382")</f>
        <v>GHF3+R34, Jl. Kartini, Ngingas, Ngimbangan, Kec. Mojosari, Kabupaten Mojokerto, Jawa Timur 61382</v>
      </c>
      <c r="W2304" s="211" t="str">
        <f>IFERROR(__xludf.DUMMYFUNCTION("""COMPUTED_VALUE"""),"IN")</f>
        <v>IN</v>
      </c>
      <c r="X2304" s="211"/>
    </row>
    <row r="2305">
      <c r="A2305" s="210" t="str">
        <f>IFERROR(__xludf.DUMMYFUNCTION("""COMPUTED_VALUE"""),"1250752")</f>
        <v>1250752</v>
      </c>
      <c r="B2305" s="210" t="str">
        <f>IFERROR(__xludf.DUMMYFUNCTION("""COMPUTED_VALUE"""),"1250752")</f>
        <v>1250752</v>
      </c>
      <c r="C2305" s="213">
        <f>IFERROR(__xludf.DUMMYFUNCTION("""COMPUTED_VALUE"""),45967.61241898148)</f>
        <v>45967.61242</v>
      </c>
      <c r="D2305" s="211" t="str">
        <f>IFERROR(__xludf.DUMMYFUNCTION("""COMPUTED_VALUE"""),"3bcd7fe6")</f>
        <v>3bcd7fe6</v>
      </c>
      <c r="E2305" s="211" t="str">
        <f>IFERROR(__xludf.DUMMYFUNCTION("""COMPUTED_VALUE"""),"Bpk. Alvin (LB Group)")</f>
        <v>Bpk. Alvin (LB Group)</v>
      </c>
      <c r="F2305" s="211" t="str">
        <f>IFERROR(__xludf.DUMMYFUNCTION("""COMPUTED_VALUE"""),"f6aab7a9")</f>
        <v>f6aab7a9</v>
      </c>
      <c r="G2305" s="211" t="str">
        <f>IFERROR(__xludf.DUMMYFUNCTION("""COMPUTED_VALUE"""),"Oksigen 6m3 MR")</f>
        <v>Oksigen 6m3 MR</v>
      </c>
      <c r="H2305" s="211" t="str">
        <f>IFERROR(__xludf.DUMMYFUNCTION("""COMPUTED_VALUE"""),"IN")</f>
        <v>IN</v>
      </c>
      <c r="I2305" s="211" t="str">
        <f>IFERROR(__xludf.DUMMYFUNCTION("""COMPUTED_VALUE"""),"EMPTY")</f>
        <v>EMPTY</v>
      </c>
      <c r="J2305" s="211">
        <f>IFERROR(__xludf.DUMMYFUNCTION("""COMPUTED_VALUE"""),1.0)</f>
        <v>1</v>
      </c>
      <c r="K2305" s="210" t="str">
        <f>IFERROR(__xludf.DUMMYFUNCTION("""COMPUTED_VALUE"""),"01")</f>
        <v>01</v>
      </c>
      <c r="L2305" s="211">
        <f>IFERROR(__xludf.DUMMYFUNCTION("""COMPUTED_VALUE"""),0.0)</f>
        <v>0</v>
      </c>
      <c r="M2305" s="211"/>
      <c r="N2305" s="211"/>
      <c r="O2305" s="211"/>
      <c r="Q2305" s="210" t="str">
        <f>IFERROR(__xludf.DUMMYFUNCTION("""COMPUTED_VALUE"""),"1261113")</f>
        <v>1261113</v>
      </c>
      <c r="R2305" s="210" t="str">
        <f>IFERROR(__xludf.DUMMYFUNCTION("""COMPUTED_VALUE"""),"1261113")</f>
        <v>1261113</v>
      </c>
      <c r="S2305" s="211" t="str">
        <f>IFERROR(__xludf.DUMMYFUNCTION("""COMPUTED_VALUE"""),"01158be1")</f>
        <v>01158be1</v>
      </c>
      <c r="T2305" s="211" t="str">
        <f>IFERROR(__xludf.DUMMYFUNCTION("""COMPUTED_VALUE"""),"GYF")</f>
        <v>GYF</v>
      </c>
      <c r="U2305" s="215">
        <f>IFERROR(__xludf.DUMMYFUNCTION("""COMPUTED_VALUE"""),46042.532222222224)</f>
        <v>46042.53222</v>
      </c>
      <c r="V2305" s="211" t="str">
        <f>IFERROR(__xludf.DUMMYFUNCTION("""COMPUTED_VALUE"""),"Kangkungan, Lengkong, Kec. Mojoanyar, Kabupaten Mojokerto, Jawa Timur")</f>
        <v>Kangkungan, Lengkong, Kec. Mojoanyar, Kabupaten Mojokerto, Jawa Timur</v>
      </c>
      <c r="W2305" s="211" t="str">
        <f>IFERROR(__xludf.DUMMYFUNCTION("""COMPUTED_VALUE"""),"IN")</f>
        <v>IN</v>
      </c>
      <c r="X2305" s="211"/>
    </row>
    <row r="2306">
      <c r="A2306" s="210" t="str">
        <f>IFERROR(__xludf.DUMMYFUNCTION("""COMPUTED_VALUE"""),"1250765")</f>
        <v>1250765</v>
      </c>
      <c r="B2306" s="210" t="str">
        <f>IFERROR(__xludf.DUMMYFUNCTION("""COMPUTED_VALUE"""),"1250765")</f>
        <v>1250765</v>
      </c>
      <c r="C2306" s="213">
        <f>IFERROR(__xludf.DUMMYFUNCTION("""COMPUTED_VALUE"""),45967.615069444444)</f>
        <v>45967.61507</v>
      </c>
      <c r="D2306" s="211" t="str">
        <f>IFERROR(__xludf.DUMMYFUNCTION("""COMPUTED_VALUE"""),"2d88931c")</f>
        <v>2d88931c</v>
      </c>
      <c r="E2306" s="211" t="str">
        <f>IFERROR(__xludf.DUMMYFUNCTION("""COMPUTED_VALUE"""),"PT Dunia Berkat Marga Mulya")</f>
        <v>PT Dunia Berkat Marga Mulya</v>
      </c>
      <c r="F2306" s="211" t="str">
        <f>IFERROR(__xludf.DUMMYFUNCTION("""COMPUTED_VALUE"""),"8bdbe149")</f>
        <v>8bdbe149</v>
      </c>
      <c r="G2306" s="211" t="str">
        <f>IFERROR(__xludf.DUMMYFUNCTION("""COMPUTED_VALUE"""),"Oksigen 6m3")</f>
        <v>Oksigen 6m3</v>
      </c>
      <c r="H2306" s="211" t="str">
        <f>IFERROR(__xludf.DUMMYFUNCTION("""COMPUTED_VALUE"""),"IN")</f>
        <v>IN</v>
      </c>
      <c r="I2306" s="211" t="str">
        <f>IFERROR(__xludf.DUMMYFUNCTION("""COMPUTED_VALUE"""),"EMPTY")</f>
        <v>EMPTY</v>
      </c>
      <c r="J2306" s="211">
        <f>IFERROR(__xludf.DUMMYFUNCTION("""COMPUTED_VALUE"""),3.0)</f>
        <v>3</v>
      </c>
      <c r="K2306" s="210" t="str">
        <f>IFERROR(__xludf.DUMMYFUNCTION("""COMPUTED_VALUE"""),"11193 11113 11237")</f>
        <v>11193 11113 11237</v>
      </c>
      <c r="L2306" s="211">
        <f>IFERROR(__xludf.DUMMYFUNCTION("""COMPUTED_VALUE"""),0.0)</f>
        <v>0</v>
      </c>
      <c r="M2306" s="211"/>
      <c r="N2306" s="211"/>
      <c r="O2306" s="211"/>
      <c r="Q2306" s="210" t="str">
        <f>IFERROR(__xludf.DUMMYFUNCTION("""COMPUTED_VALUE"""),"012622303")</f>
        <v>012622303</v>
      </c>
      <c r="R2306" s="210" t="str">
        <f>IFERROR(__xludf.DUMMYFUNCTION("""COMPUTED_VALUE"""),"012622303")</f>
        <v>012622303</v>
      </c>
      <c r="S2306" s="211" t="str">
        <f>IFERROR(__xludf.DUMMYFUNCTION("""COMPUTED_VALUE"""),"1c4d5e93")</f>
        <v>1c4d5e93</v>
      </c>
      <c r="T2306" s="211" t="str">
        <f>IFERROR(__xludf.DUMMYFUNCTION("""COMPUTED_VALUE"""),"Karoseri Cipta Mitra Sukses")</f>
        <v>Karoseri Cipta Mitra Sukses</v>
      </c>
      <c r="U2306" s="215">
        <f>IFERROR(__xludf.DUMMYFUNCTION("""COMPUTED_VALUE"""),46042.57813657408)</f>
        <v>46042.57814</v>
      </c>
      <c r="V2306" s="211" t="str">
        <f>IFERROR(__xludf.DUMMYFUNCTION("""COMPUTED_VALUE"""),"JL. Bypass Krian No. 7800, Blok B No 11. Barengkrajan, Kec. Krian, Kabupaten Sidoarjo, Jawa Timur  61262")</f>
        <v>JL. Bypass Krian No. 7800, Blok B No 11. Barengkrajan, Kec. Krian, Kabupaten Sidoarjo, Jawa Timur  61262</v>
      </c>
      <c r="W2306" s="211" t="str">
        <f>IFERROR(__xludf.DUMMYFUNCTION("""COMPUTED_VALUE"""),"OUT")</f>
        <v>OUT</v>
      </c>
      <c r="X2306" s="211"/>
    </row>
    <row r="2307">
      <c r="A2307" s="210" t="str">
        <f>IFERROR(__xludf.DUMMYFUNCTION("""COMPUTED_VALUE"""),"1250766")</f>
        <v>1250766</v>
      </c>
      <c r="B2307" s="210" t="str">
        <f>IFERROR(__xludf.DUMMYFUNCTION("""COMPUTED_VALUE"""),"1250766")</f>
        <v>1250766</v>
      </c>
      <c r="C2307" s="213">
        <f>IFERROR(__xludf.DUMMYFUNCTION("""COMPUTED_VALUE"""),45967.6156712963)</f>
        <v>45967.61567</v>
      </c>
      <c r="D2307" s="211" t="str">
        <f>IFERROR(__xludf.DUMMYFUNCTION("""COMPUTED_VALUE"""),"e968afef")</f>
        <v>e968afef</v>
      </c>
      <c r="E2307" s="211" t="str">
        <f>IFERROR(__xludf.DUMMYFUNCTION("""COMPUTED_VALUE"""),"Bpk. Agus")</f>
        <v>Bpk. Agus</v>
      </c>
      <c r="F2307" s="211" t="str">
        <f>IFERROR(__xludf.DUMMYFUNCTION("""COMPUTED_VALUE"""),"8bdbe149")</f>
        <v>8bdbe149</v>
      </c>
      <c r="G2307" s="211" t="str">
        <f>IFERROR(__xludf.DUMMYFUNCTION("""COMPUTED_VALUE"""),"Oksigen 6m3")</f>
        <v>Oksigen 6m3</v>
      </c>
      <c r="H2307" s="211" t="str">
        <f>IFERROR(__xludf.DUMMYFUNCTION("""COMPUTED_VALUE"""),"IN")</f>
        <v>IN</v>
      </c>
      <c r="I2307" s="211" t="str">
        <f>IFERROR(__xludf.DUMMYFUNCTION("""COMPUTED_VALUE"""),"EMPTY")</f>
        <v>EMPTY</v>
      </c>
      <c r="J2307" s="211">
        <f>IFERROR(__xludf.DUMMYFUNCTION("""COMPUTED_VALUE"""),6.0)</f>
        <v>6</v>
      </c>
      <c r="K2307" s="210" t="str">
        <f>IFERROR(__xludf.DUMMYFUNCTION("""COMPUTED_VALUE"""),"11206 11105 11205 11132 76 01")</f>
        <v>11206 11105 11205 11132 76 01</v>
      </c>
      <c r="L2307" s="211">
        <f>IFERROR(__xludf.DUMMYFUNCTION("""COMPUTED_VALUE"""),0.0)</f>
        <v>0</v>
      </c>
      <c r="M2307" s="211"/>
      <c r="N2307" s="211"/>
      <c r="O2307" s="211"/>
      <c r="Q2307" s="210" t="str">
        <f>IFERROR(__xludf.DUMMYFUNCTION("""COMPUTED_VALUE"""),"1261115")</f>
        <v>1261115</v>
      </c>
      <c r="R2307" s="210" t="str">
        <f>IFERROR(__xludf.DUMMYFUNCTION("""COMPUTED_VALUE"""),"1261115")</f>
        <v>1261115</v>
      </c>
      <c r="S2307" s="211" t="str">
        <f>IFERROR(__xludf.DUMMYFUNCTION("""COMPUTED_VALUE"""),"2d88931c")</f>
        <v>2d88931c</v>
      </c>
      <c r="T2307" s="211" t="str">
        <f>IFERROR(__xludf.DUMMYFUNCTION("""COMPUTED_VALUE"""),"PT Dunia Berkat Marga Mulya")</f>
        <v>PT Dunia Berkat Marga Mulya</v>
      </c>
      <c r="U2307" s="215">
        <f>IFERROR(__xludf.DUMMYFUNCTION("""COMPUTED_VALUE"""),46042.62614583333)</f>
        <v>46042.62615</v>
      </c>
      <c r="V2307" s="211" t="str">
        <f>IFERROR(__xludf.DUMMYFUNCTION("""COMPUTED_VALUE"""),"JL JABARAN, WATESARI, BALONGBENDO, SIDOARJO, JAWA TIMUR")</f>
        <v>JL JABARAN, WATESARI, BALONGBENDO, SIDOARJO, JAWA TIMUR</v>
      </c>
      <c r="W2307" s="211" t="str">
        <f>IFERROR(__xludf.DUMMYFUNCTION("""COMPUTED_VALUE"""),"IN")</f>
        <v>IN</v>
      </c>
      <c r="X2307" s="211"/>
    </row>
    <row r="2308">
      <c r="A2308" s="210" t="str">
        <f>IFERROR(__xludf.DUMMYFUNCTION("""COMPUTED_VALUE"""),"1250767")</f>
        <v>1250767</v>
      </c>
      <c r="B2308" s="210" t="str">
        <f>IFERROR(__xludf.DUMMYFUNCTION("""COMPUTED_VALUE"""),"1250767")</f>
        <v>1250767</v>
      </c>
      <c r="C2308" s="213">
        <f>IFERROR(__xludf.DUMMYFUNCTION("""COMPUTED_VALUE"""),45967.692824074074)</f>
        <v>45967.69282</v>
      </c>
      <c r="D2308" s="211" t="str">
        <f>IFERROR(__xludf.DUMMYFUNCTION("""COMPUTED_VALUE"""),"ba97d58d")</f>
        <v>ba97d58d</v>
      </c>
      <c r="E2308" s="211" t="str">
        <f>IFERROR(__xludf.DUMMYFUNCTION("""COMPUTED_VALUE"""),"Bengkel Citra Mojosari")</f>
        <v>Bengkel Citra Mojosari</v>
      </c>
      <c r="F2308" s="211" t="str">
        <f>IFERROR(__xludf.DUMMYFUNCTION("""COMPUTED_VALUE"""),"7d2764f1")</f>
        <v>7d2764f1</v>
      </c>
      <c r="G2308" s="211" t="str">
        <f>IFERROR(__xludf.DUMMYFUNCTION("""COMPUTED_VALUE"""),"Oksigen 7m3")</f>
        <v>Oksigen 7m3</v>
      </c>
      <c r="H2308" s="211" t="str">
        <f>IFERROR(__xludf.DUMMYFUNCTION("""COMPUTED_VALUE"""),"IN")</f>
        <v>IN</v>
      </c>
      <c r="I2308" s="211" t="str">
        <f>IFERROR(__xludf.DUMMYFUNCTION("""COMPUTED_VALUE"""),"EMPTY")</f>
        <v>EMPTY</v>
      </c>
      <c r="J2308" s="211">
        <f>IFERROR(__xludf.DUMMYFUNCTION("""COMPUTED_VALUE"""),2.0)</f>
        <v>2</v>
      </c>
      <c r="K2308" s="210" t="str">
        <f>IFERROR(__xludf.DUMMYFUNCTION("""COMPUTED_VALUE"""),"11140 11143")</f>
        <v>11140 11143</v>
      </c>
      <c r="L2308" s="211">
        <f>IFERROR(__xludf.DUMMYFUNCTION("""COMPUTED_VALUE"""),0.0)</f>
        <v>0</v>
      </c>
      <c r="M2308" s="211"/>
      <c r="N2308" s="211"/>
      <c r="O2308" s="211"/>
      <c r="Q2308" s="210" t="str">
        <f>IFERROR(__xludf.DUMMYFUNCTION("""COMPUTED_VALUE"""),"1261114")</f>
        <v>1261114</v>
      </c>
      <c r="R2308" s="210" t="str">
        <f>IFERROR(__xludf.DUMMYFUNCTION("""COMPUTED_VALUE"""),"1261114")</f>
        <v>1261114</v>
      </c>
      <c r="S2308" s="211" t="str">
        <f>IFERROR(__xludf.DUMMYFUNCTION("""COMPUTED_VALUE"""),"b218b89b")</f>
        <v>b218b89b</v>
      </c>
      <c r="T2308" s="211" t="str">
        <f>IFERROR(__xludf.DUMMYFUNCTION("""COMPUTED_VALUE"""),"PT Harapan Sentosa")</f>
        <v>PT Harapan Sentosa</v>
      </c>
      <c r="U2308" s="215">
        <f>IFERROR(__xludf.DUMMYFUNCTION("""COMPUTED_VALUE"""),46042.62648148148)</f>
        <v>46042.62648</v>
      </c>
      <c r="V2308" s="211" t="str">
        <f>IFERROR(__xludf.DUMMYFUNCTION("""COMPUTED_VALUE"""),"Seketi, Jl. Purboyo II Selatan, RT.02/RW.02, Seketi, Kec. BalongBendo, Kabupaten Sidoarjo, Jawa Timur 61263")</f>
        <v>Seketi, Jl. Purboyo II Selatan, RT.02/RW.02, Seketi, Kec. BalongBendo, Kabupaten Sidoarjo, Jawa Timur 61263</v>
      </c>
      <c r="W2308" s="211" t="str">
        <f>IFERROR(__xludf.DUMMYFUNCTION("""COMPUTED_VALUE"""),"IN")</f>
        <v>IN</v>
      </c>
      <c r="X2308" s="211"/>
    </row>
    <row r="2309">
      <c r="A2309" s="210" t="str">
        <f>IFERROR(__xludf.DUMMYFUNCTION("""COMPUTED_VALUE"""),"1250750")</f>
        <v>1250750</v>
      </c>
      <c r="B2309" s="210" t="str">
        <f>IFERROR(__xludf.DUMMYFUNCTION("""COMPUTED_VALUE"""),"1250750")</f>
        <v>1250750</v>
      </c>
      <c r="C2309" s="213">
        <f>IFERROR(__xludf.DUMMYFUNCTION("""COMPUTED_VALUE"""),45967.71277777778)</f>
        <v>45967.71278</v>
      </c>
      <c r="D2309" s="211" t="str">
        <f>IFERROR(__xludf.DUMMYFUNCTION("""COMPUTED_VALUE"""),"faf71ae5")</f>
        <v>faf71ae5</v>
      </c>
      <c r="E2309" s="211" t="str">
        <f>IFERROR(__xludf.DUMMYFUNCTION("""COMPUTED_VALUE"""),"Bpk. Sampurna")</f>
        <v>Bpk. Sampurna</v>
      </c>
      <c r="F2309" s="211" t="str">
        <f>IFERROR(__xludf.DUMMYFUNCTION("""COMPUTED_VALUE"""),"8bdbe149")</f>
        <v>8bdbe149</v>
      </c>
      <c r="G2309" s="211" t="str">
        <f>IFERROR(__xludf.DUMMYFUNCTION("""COMPUTED_VALUE"""),"Oksigen 6m3")</f>
        <v>Oksigen 6m3</v>
      </c>
      <c r="H2309" s="211" t="str">
        <f>IFERROR(__xludf.DUMMYFUNCTION("""COMPUTED_VALUE"""),"IN")</f>
        <v>IN</v>
      </c>
      <c r="I2309" s="211" t="str">
        <f>IFERROR(__xludf.DUMMYFUNCTION("""COMPUTED_VALUE"""),"EMPTY")</f>
        <v>EMPTY</v>
      </c>
      <c r="J2309" s="211">
        <f>IFERROR(__xludf.DUMMYFUNCTION("""COMPUTED_VALUE"""),13.0)</f>
        <v>13</v>
      </c>
      <c r="K2309" s="210" t="str">
        <f>IFERROR(__xludf.DUMMYFUNCTION("""COMPUTED_VALUE"""),"11106 1126 11260 1140 11245 11251 1115 11279 11130 11180 1181 11185 11108")</f>
        <v>11106 1126 11260 1140 11245 11251 1115 11279 11130 11180 1181 11185 11108</v>
      </c>
      <c r="L2309" s="211">
        <f>IFERROR(__xludf.DUMMYFUNCTION("""COMPUTED_VALUE"""),0.0)</f>
        <v>0</v>
      </c>
      <c r="M2309" s="211"/>
      <c r="N2309" s="211"/>
      <c r="O2309" s="211"/>
      <c r="Q2309" s="210" t="str">
        <f>IFERROR(__xludf.DUMMYFUNCTION("""COMPUTED_VALUE"""),"1261120")</f>
        <v>1261120</v>
      </c>
      <c r="R2309" s="210" t="str">
        <f>IFERROR(__xludf.DUMMYFUNCTION("""COMPUTED_VALUE"""),"1261120")</f>
        <v>1261120</v>
      </c>
      <c r="S2309" s="211" t="str">
        <f>IFERROR(__xludf.DUMMYFUNCTION("""COMPUTED_VALUE"""),"b2b5f2c5")</f>
        <v>b2b5f2c5</v>
      </c>
      <c r="T2309" s="211" t="str">
        <f>IFERROR(__xludf.DUMMYFUNCTION("""COMPUTED_VALUE"""),"Bengkel Las Bpk. Ari")</f>
        <v>Bengkel Las Bpk. Ari</v>
      </c>
      <c r="U2309" s="215">
        <f>IFERROR(__xludf.DUMMYFUNCTION("""COMPUTED_VALUE"""),46042.672789351855)</f>
        <v>46042.67279</v>
      </c>
      <c r="V2309" s="211" t="str">
        <f>IFERROR(__xludf.DUMMYFUNCTION("""COMPUTED_VALUE"""),"Sumber Kembar, Wonodadi, Kec. Kutorejo, Kabupaten Mojokerto, Jawa Timur")</f>
        <v>Sumber Kembar, Wonodadi, Kec. Kutorejo, Kabupaten Mojokerto, Jawa Timur</v>
      </c>
      <c r="W2309" s="211" t="str">
        <f>IFERROR(__xludf.DUMMYFUNCTION("""COMPUTED_VALUE"""),"IN")</f>
        <v>IN</v>
      </c>
      <c r="X2309" s="211"/>
    </row>
    <row r="2310">
      <c r="A2310" s="210" t="str">
        <f>IFERROR(__xludf.DUMMYFUNCTION("""COMPUTED_VALUE"""),"1250750")</f>
        <v>1250750</v>
      </c>
      <c r="B2310" s="210" t="str">
        <f>IFERROR(__xludf.DUMMYFUNCTION("""COMPUTED_VALUE"""),"1250750")</f>
        <v>1250750</v>
      </c>
      <c r="C2310" s="213">
        <f>IFERROR(__xludf.DUMMYFUNCTION("""COMPUTED_VALUE"""),45967.71277777778)</f>
        <v>45967.71278</v>
      </c>
      <c r="D2310" s="211" t="str">
        <f>IFERROR(__xludf.DUMMYFUNCTION("""COMPUTED_VALUE"""),"faf71ae5")</f>
        <v>faf71ae5</v>
      </c>
      <c r="E2310" s="211" t="str">
        <f>IFERROR(__xludf.DUMMYFUNCTION("""COMPUTED_VALUE"""),"Bpk. Sampurna")</f>
        <v>Bpk. Sampurna</v>
      </c>
      <c r="F2310" s="211" t="str">
        <f>IFERROR(__xludf.DUMMYFUNCTION("""COMPUTED_VALUE"""),"be525f3b")</f>
        <v>be525f3b</v>
      </c>
      <c r="G2310" s="211" t="str">
        <f>IFERROR(__xludf.DUMMYFUNCTION("""COMPUTED_VALUE"""),"LPG 12kg")</f>
        <v>LPG 12kg</v>
      </c>
      <c r="H2310" s="211" t="str">
        <f>IFERROR(__xludf.DUMMYFUNCTION("""COMPUTED_VALUE"""),"IN")</f>
        <v>IN</v>
      </c>
      <c r="I2310" s="211" t="str">
        <f>IFERROR(__xludf.DUMMYFUNCTION("""COMPUTED_VALUE"""),"EMPTY")</f>
        <v>EMPTY</v>
      </c>
      <c r="J2310" s="211">
        <f>IFERROR(__xludf.DUMMYFUNCTION("""COMPUTED_VALUE"""),1.0)</f>
        <v>1</v>
      </c>
      <c r="K2310" s="210" t="str">
        <f>IFERROR(__xludf.DUMMYFUNCTION("""COMPUTED_VALUE"""),"01")</f>
        <v>01</v>
      </c>
      <c r="L2310" s="211">
        <f>IFERROR(__xludf.DUMMYFUNCTION("""COMPUTED_VALUE"""),0.0)</f>
        <v>0</v>
      </c>
      <c r="M2310" s="211"/>
      <c r="N2310" s="211"/>
      <c r="O2310" s="211"/>
      <c r="Q2310" s="210" t="str">
        <f>IFERROR(__xludf.DUMMYFUNCTION("""COMPUTED_VALUE"""),"1261119")</f>
        <v>1261119</v>
      </c>
      <c r="R2310" s="210" t="str">
        <f>IFERROR(__xludf.DUMMYFUNCTION("""COMPUTED_VALUE"""),"1261119")</f>
        <v>1261119</v>
      </c>
      <c r="S2310" s="211" t="str">
        <f>IFERROR(__xludf.DUMMYFUNCTION("""COMPUTED_VALUE"""),"ba97d58d")</f>
        <v>ba97d58d</v>
      </c>
      <c r="T2310" s="211" t="str">
        <f>IFERROR(__xludf.DUMMYFUNCTION("""COMPUTED_VALUE"""),"Bengkel Citra Mojosari")</f>
        <v>Bengkel Citra Mojosari</v>
      </c>
      <c r="U2310" s="215">
        <f>IFERROR(__xludf.DUMMYFUNCTION("""COMPUTED_VALUE"""),46042.681550925925)</f>
        <v>46042.68155</v>
      </c>
      <c r="V2310" s="211" t="str">
        <f>IFERROR(__xludf.DUMMYFUNCTION("""COMPUTED_VALUE"""),"Jl. Raden Wijaya, Kemloko, Jotangan, Kec. Mojosari, Kabupaten Mojokerto, Jawa Timur 61382")</f>
        <v>Jl. Raden Wijaya, Kemloko, Jotangan, Kec. Mojosari, Kabupaten Mojokerto, Jawa Timur 61382</v>
      </c>
      <c r="W2310" s="211" t="str">
        <f>IFERROR(__xludf.DUMMYFUNCTION("""COMPUTED_VALUE"""),"IN")</f>
        <v>IN</v>
      </c>
      <c r="X2310" s="211"/>
    </row>
    <row r="2311">
      <c r="A2311" s="210" t="str">
        <f>IFERROR(__xludf.DUMMYFUNCTION("""COMPUTED_VALUE"""),"1125351642")</f>
        <v>1125351642</v>
      </c>
      <c r="B2311" s="210" t="str">
        <f>IFERROR(__xludf.DUMMYFUNCTION("""COMPUTED_VALUE"""),"1125351642")</f>
        <v>1125351642</v>
      </c>
      <c r="C2311" s="213">
        <f>IFERROR(__xludf.DUMMYFUNCTION("""COMPUTED_VALUE"""),45968.39582175926)</f>
        <v>45968.39582</v>
      </c>
      <c r="D2311" s="211" t="str">
        <f>IFERROR(__xludf.DUMMYFUNCTION("""COMPUTED_VALUE"""),"b2b5f2c5")</f>
        <v>b2b5f2c5</v>
      </c>
      <c r="E2311" s="211" t="str">
        <f>IFERROR(__xludf.DUMMYFUNCTION("""COMPUTED_VALUE"""),"Bengkel Las Bpk. Ari")</f>
        <v>Bengkel Las Bpk. Ari</v>
      </c>
      <c r="F2311" s="211" t="str">
        <f>IFERROR(__xludf.DUMMYFUNCTION("""COMPUTED_VALUE"""),"8bdbe149")</f>
        <v>8bdbe149</v>
      </c>
      <c r="G2311" s="211" t="str">
        <f>IFERROR(__xludf.DUMMYFUNCTION("""COMPUTED_VALUE"""),"Oksigen 6m3")</f>
        <v>Oksigen 6m3</v>
      </c>
      <c r="H2311" s="211" t="str">
        <f>IFERROR(__xludf.DUMMYFUNCTION("""COMPUTED_VALUE"""),"OUT")</f>
        <v>OUT</v>
      </c>
      <c r="I2311" s="211" t="str">
        <f>IFERROR(__xludf.DUMMYFUNCTION("""COMPUTED_VALUE"""),"NORMAL")</f>
        <v>NORMAL</v>
      </c>
      <c r="J2311" s="211">
        <f>IFERROR(__xludf.DUMMYFUNCTION("""COMPUTED_VALUE"""),5.0)</f>
        <v>5</v>
      </c>
      <c r="K2311" s="210" t="str">
        <f>IFERROR(__xludf.DUMMYFUNCTION("""COMPUTED_VALUE"""),"11196 11231 1116 1146 1129")</f>
        <v>11196 11231 1116 1146 1129</v>
      </c>
      <c r="L2311" s="211">
        <f>IFERROR(__xludf.DUMMYFUNCTION("""COMPUTED_VALUE"""),60000.0)</f>
        <v>60000</v>
      </c>
      <c r="M2311" s="211"/>
      <c r="N2311" s="211"/>
      <c r="O2311" s="211"/>
      <c r="Q2311" s="210" t="str">
        <f>IFERROR(__xludf.DUMMYFUNCTION("""COMPUTED_VALUE"""),"0126432307")</f>
        <v>0126432307</v>
      </c>
      <c r="R2311" s="210" t="str">
        <f>IFERROR(__xludf.DUMMYFUNCTION("""COMPUTED_VALUE"""),"0126432307")</f>
        <v>0126432307</v>
      </c>
      <c r="S2311" s="211" t="str">
        <f>IFERROR(__xludf.DUMMYFUNCTION("""COMPUTED_VALUE"""),"5f23ba17")</f>
        <v>5f23ba17</v>
      </c>
      <c r="T2311" s="211" t="str">
        <f>IFERROR(__xludf.DUMMYFUNCTION("""COMPUTED_VALUE"""),"Bpk. Joko (Gresik)")</f>
        <v>Bpk. Joko (Gresik)</v>
      </c>
      <c r="U2311" s="215">
        <f>IFERROR(__xludf.DUMMYFUNCTION("""COMPUTED_VALUE"""),46043.37229166667)</f>
        <v>46043.37229</v>
      </c>
      <c r="V2311" s="211" t="str">
        <f>IFERROR(__xludf.DUMMYFUNCTION("""COMPUTED_VALUE"""),"Tanggungan, Lebaniwaras, Kec. Wringinanom, Kabupaten Gresik, Jawa Timur")</f>
        <v>Tanggungan, Lebaniwaras, Kec. Wringinanom, Kabupaten Gresik, Jawa Timur</v>
      </c>
      <c r="W2311" s="211" t="str">
        <f>IFERROR(__xludf.DUMMYFUNCTION("""COMPUTED_VALUE"""),"OUT")</f>
        <v>OUT</v>
      </c>
      <c r="X2311" s="211"/>
    </row>
    <row r="2312">
      <c r="A2312" s="210" t="str">
        <f>IFERROR(__xludf.DUMMYFUNCTION("""COMPUTED_VALUE"""),"1125351642")</f>
        <v>1125351642</v>
      </c>
      <c r="B2312" s="210" t="str">
        <f>IFERROR(__xludf.DUMMYFUNCTION("""COMPUTED_VALUE"""),"1125351642")</f>
        <v>1125351642</v>
      </c>
      <c r="C2312" s="213">
        <f>IFERROR(__xludf.DUMMYFUNCTION("""COMPUTED_VALUE"""),45968.39582175926)</f>
        <v>45968.39582</v>
      </c>
      <c r="D2312" s="211" t="str">
        <f>IFERROR(__xludf.DUMMYFUNCTION("""COMPUTED_VALUE"""),"b2b5f2c5")</f>
        <v>b2b5f2c5</v>
      </c>
      <c r="E2312" s="211" t="str">
        <f>IFERROR(__xludf.DUMMYFUNCTION("""COMPUTED_VALUE"""),"Bengkel Las Bpk. Ari")</f>
        <v>Bengkel Las Bpk. Ari</v>
      </c>
      <c r="F2312" s="211" t="str">
        <f>IFERROR(__xludf.DUMMYFUNCTION("""COMPUTED_VALUE"""),"ef306e54")</f>
        <v>ef306e54</v>
      </c>
      <c r="G2312" s="211" t="str">
        <f>IFERROR(__xludf.DUMMYFUNCTION("""COMPUTED_VALUE"""),"Karbondioksida")</f>
        <v>Karbondioksida</v>
      </c>
      <c r="H2312" s="211" t="str">
        <f>IFERROR(__xludf.DUMMYFUNCTION("""COMPUTED_VALUE"""),"OUT")</f>
        <v>OUT</v>
      </c>
      <c r="I2312" s="211" t="str">
        <f>IFERROR(__xludf.DUMMYFUNCTION("""COMPUTED_VALUE"""),"NORMAL")</f>
        <v>NORMAL</v>
      </c>
      <c r="J2312" s="211">
        <f>IFERROR(__xludf.DUMMYFUNCTION("""COMPUTED_VALUE"""),2.0)</f>
        <v>2</v>
      </c>
      <c r="K2312" s="210" t="str">
        <f>IFERROR(__xludf.DUMMYFUNCTION("""COMPUTED_VALUE"""),"13008 13027")</f>
        <v>13008 13027</v>
      </c>
      <c r="L2312" s="211">
        <f>IFERROR(__xludf.DUMMYFUNCTION("""COMPUTED_VALUE"""),170000.0)</f>
        <v>170000</v>
      </c>
      <c r="M2312" s="211"/>
      <c r="N2312" s="211"/>
      <c r="O2312" s="211"/>
      <c r="Q2312" s="210" t="str">
        <f>IFERROR(__xludf.DUMMYFUNCTION("""COMPUTED_VALUE"""),"0126742312")</f>
        <v>0126742312</v>
      </c>
      <c r="R2312" s="210" t="str">
        <f>IFERROR(__xludf.DUMMYFUNCTION("""COMPUTED_VALUE"""),"0126742312")</f>
        <v>0126742312</v>
      </c>
      <c r="S2312" s="211" t="str">
        <f>IFERROR(__xludf.DUMMYFUNCTION("""COMPUTED_VALUE"""),"b2b5f2c5")</f>
        <v>b2b5f2c5</v>
      </c>
      <c r="T2312" s="211" t="str">
        <f>IFERROR(__xludf.DUMMYFUNCTION("""COMPUTED_VALUE"""),"Bengkel Las Bpk. Ari")</f>
        <v>Bengkel Las Bpk. Ari</v>
      </c>
      <c r="U2312" s="215">
        <f>IFERROR(__xludf.DUMMYFUNCTION("""COMPUTED_VALUE"""),46043.39255787037)</f>
        <v>46043.39256</v>
      </c>
      <c r="V2312" s="211" t="str">
        <f>IFERROR(__xludf.DUMMYFUNCTION("""COMPUTED_VALUE"""),"Sumber Kembar, Wonodadi, Kec. Kutorejo, Kabupaten Mojokerto, Jawa Timur")</f>
        <v>Sumber Kembar, Wonodadi, Kec. Kutorejo, Kabupaten Mojokerto, Jawa Timur</v>
      </c>
      <c r="W2312" s="211" t="str">
        <f>IFERROR(__xludf.DUMMYFUNCTION("""COMPUTED_VALUE"""),"OUT")</f>
        <v>OUT</v>
      </c>
      <c r="X2312" s="211"/>
    </row>
    <row r="2313">
      <c r="A2313" s="210" t="str">
        <f>IFERROR(__xludf.DUMMYFUNCTION("""COMPUTED_VALUE"""),"1250768")</f>
        <v>1250768</v>
      </c>
      <c r="B2313" s="210" t="str">
        <f>IFERROR(__xludf.DUMMYFUNCTION("""COMPUTED_VALUE"""),"1250768")</f>
        <v>1250768</v>
      </c>
      <c r="C2313" s="213">
        <f>IFERROR(__xludf.DUMMYFUNCTION("""COMPUTED_VALUE"""),45968.549375)</f>
        <v>45968.54938</v>
      </c>
      <c r="D2313" s="211" t="str">
        <f>IFERROR(__xludf.DUMMYFUNCTION("""COMPUTED_VALUE"""),"4ec68cf6")</f>
        <v>4ec68cf6</v>
      </c>
      <c r="E2313" s="211" t="str">
        <f>IFERROR(__xludf.DUMMYFUNCTION("""COMPUTED_VALUE"""),"CV Sido Mukti Karya")</f>
        <v>CV Sido Mukti Karya</v>
      </c>
      <c r="F2313" s="211" t="str">
        <f>IFERROR(__xludf.DUMMYFUNCTION("""COMPUTED_VALUE"""),"7d2764f1")</f>
        <v>7d2764f1</v>
      </c>
      <c r="G2313" s="211" t="str">
        <f>IFERROR(__xludf.DUMMYFUNCTION("""COMPUTED_VALUE"""),"Oksigen 7m3")</f>
        <v>Oksigen 7m3</v>
      </c>
      <c r="H2313" s="211" t="str">
        <f>IFERROR(__xludf.DUMMYFUNCTION("""COMPUTED_VALUE"""),"IN")</f>
        <v>IN</v>
      </c>
      <c r="I2313" s="211" t="str">
        <f>IFERROR(__xludf.DUMMYFUNCTION("""COMPUTED_VALUE"""),"EMPTY")</f>
        <v>EMPTY</v>
      </c>
      <c r="J2313" s="211">
        <f>IFERROR(__xludf.DUMMYFUNCTION("""COMPUTED_VALUE"""),1.0)</f>
        <v>1</v>
      </c>
      <c r="K2313" s="210" t="str">
        <f>IFERROR(__xludf.DUMMYFUNCTION("""COMPUTED_VALUE"""),"11141")</f>
        <v>11141</v>
      </c>
      <c r="L2313" s="211">
        <f>IFERROR(__xludf.DUMMYFUNCTION("""COMPUTED_VALUE"""),0.0)</f>
        <v>0</v>
      </c>
      <c r="M2313" s="211"/>
      <c r="N2313" s="211"/>
      <c r="O2313" s="211"/>
      <c r="Q2313" s="210" t="str">
        <f>IFERROR(__xludf.DUMMYFUNCTION("""COMPUTED_VALUE"""),"012682313")</f>
        <v>012682313</v>
      </c>
      <c r="R2313" s="210" t="str">
        <f>IFERROR(__xludf.DUMMYFUNCTION("""COMPUTED_VALUE"""),"012682313")</f>
        <v>012682313</v>
      </c>
      <c r="S2313" s="211" t="str">
        <f>IFERROR(__xludf.DUMMYFUNCTION("""COMPUTED_VALUE"""),"196b24da")</f>
        <v>196b24da</v>
      </c>
      <c r="T2313" s="211" t="str">
        <f>IFERROR(__xludf.DUMMYFUNCTION("""COMPUTED_VALUE"""),"PT Samudra Cipta Enjineering")</f>
        <v>PT Samudra Cipta Enjineering</v>
      </c>
      <c r="U2313" s="215">
        <f>IFERROR(__xludf.DUMMYFUNCTION("""COMPUTED_VALUE"""),46043.498402777775)</f>
        <v>46043.4984</v>
      </c>
      <c r="V2313" s="211" t="str">
        <f>IFERROR(__xludf.DUMMYFUNCTION("""COMPUTED_VALUE"""),"Pergudangan Center Point Blok C4   Ds. Kemangsen  Balongbendo")</f>
        <v>Pergudangan Center Point Blok C4   Ds. Kemangsen  Balongbendo</v>
      </c>
      <c r="W2313" s="211" t="str">
        <f>IFERROR(__xludf.DUMMYFUNCTION("""COMPUTED_VALUE"""),"OUT")</f>
        <v>OUT</v>
      </c>
      <c r="X2313" s="211"/>
    </row>
    <row r="2314">
      <c r="A2314" s="210" t="str">
        <f>IFERROR(__xludf.DUMMYFUNCTION("""COMPUTED_VALUE"""),"1250820")</f>
        <v>1250820</v>
      </c>
      <c r="B2314" s="210" t="str">
        <f>IFERROR(__xludf.DUMMYFUNCTION("""COMPUTED_VALUE"""),"1250820")</f>
        <v>1250820</v>
      </c>
      <c r="C2314" s="213">
        <f>IFERROR(__xludf.DUMMYFUNCTION("""COMPUTED_VALUE"""),45968.550462962965)</f>
        <v>45968.55046</v>
      </c>
      <c r="D2314" s="211" t="str">
        <f>IFERROR(__xludf.DUMMYFUNCTION("""COMPUTED_VALUE"""),"b2b5f2c5")</f>
        <v>b2b5f2c5</v>
      </c>
      <c r="E2314" s="211" t="str">
        <f>IFERROR(__xludf.DUMMYFUNCTION("""COMPUTED_VALUE"""),"Bengkel Las Bpk. Ari")</f>
        <v>Bengkel Las Bpk. Ari</v>
      </c>
      <c r="F2314" s="211" t="str">
        <f>IFERROR(__xludf.DUMMYFUNCTION("""COMPUTED_VALUE"""),"ef306e54")</f>
        <v>ef306e54</v>
      </c>
      <c r="G2314" s="211" t="str">
        <f>IFERROR(__xludf.DUMMYFUNCTION("""COMPUTED_VALUE"""),"Karbondioksida")</f>
        <v>Karbondioksida</v>
      </c>
      <c r="H2314" s="211" t="str">
        <f>IFERROR(__xludf.DUMMYFUNCTION("""COMPUTED_VALUE"""),"IN")</f>
        <v>IN</v>
      </c>
      <c r="I2314" s="211" t="str">
        <f>IFERROR(__xludf.DUMMYFUNCTION("""COMPUTED_VALUE"""),"EMPTY")</f>
        <v>EMPTY</v>
      </c>
      <c r="J2314" s="211">
        <f>IFERROR(__xludf.DUMMYFUNCTION("""COMPUTED_VALUE"""),1.0)</f>
        <v>1</v>
      </c>
      <c r="K2314" s="210" t="str">
        <f>IFERROR(__xludf.DUMMYFUNCTION("""COMPUTED_VALUE"""),"13039")</f>
        <v>13039</v>
      </c>
      <c r="L2314" s="211">
        <f>IFERROR(__xludf.DUMMYFUNCTION("""COMPUTED_VALUE"""),0.0)</f>
        <v>0</v>
      </c>
      <c r="M2314" s="211"/>
      <c r="N2314" s="211"/>
      <c r="O2314" s="211"/>
      <c r="Q2314" s="210" t="str">
        <f>IFERROR(__xludf.DUMMYFUNCTION("""COMPUTED_VALUE"""),"0126382314")</f>
        <v>0126382314</v>
      </c>
      <c r="R2314" s="210" t="str">
        <f>IFERROR(__xludf.DUMMYFUNCTION("""COMPUTED_VALUE"""),"0126382314")</f>
        <v>0126382314</v>
      </c>
      <c r="S2314" s="211" t="str">
        <f>IFERROR(__xludf.DUMMYFUNCTION("""COMPUTED_VALUE"""),"ec231cc9")</f>
        <v>ec231cc9</v>
      </c>
      <c r="T2314" s="211" t="str">
        <f>IFERROR(__xludf.DUMMYFUNCTION("""COMPUTED_VALUE"""),"Bpk. Kohir (Maintenance Velg)")</f>
        <v>Bpk. Kohir (Maintenance Velg)</v>
      </c>
      <c r="U2314" s="215">
        <f>IFERROR(__xludf.DUMMYFUNCTION("""COMPUTED_VALUE"""),46043.50679398148)</f>
        <v>46043.50679</v>
      </c>
      <c r="V2314" s="211" t="str">
        <f>IFERROR(__xludf.DUMMYFUNCTION("""COMPUTED_VALUE"""),"Jl. Lkr. Bypass Krian Timur, Sidogolong, Watugolong, Kec. Krian, Kabupaten Sidoarjo, Jawa Timur 61262")</f>
        <v>Jl. Lkr. Bypass Krian Timur, Sidogolong, Watugolong, Kec. Krian, Kabupaten Sidoarjo, Jawa Timur 61262</v>
      </c>
      <c r="W2314" s="211" t="str">
        <f>IFERROR(__xludf.DUMMYFUNCTION("""COMPUTED_VALUE"""),"OUT")</f>
        <v>OUT</v>
      </c>
      <c r="X2314" s="211"/>
    </row>
    <row r="2315">
      <c r="A2315" s="210" t="str">
        <f>IFERROR(__xludf.DUMMYFUNCTION("""COMPUTED_VALUE"""),"1250820")</f>
        <v>1250820</v>
      </c>
      <c r="B2315" s="210" t="str">
        <f>IFERROR(__xludf.DUMMYFUNCTION("""COMPUTED_VALUE"""),"1250820")</f>
        <v>1250820</v>
      </c>
      <c r="C2315" s="213">
        <f>IFERROR(__xludf.DUMMYFUNCTION("""COMPUTED_VALUE"""),45968.550462962965)</f>
        <v>45968.55046</v>
      </c>
      <c r="D2315" s="211" t="str">
        <f>IFERROR(__xludf.DUMMYFUNCTION("""COMPUTED_VALUE"""),"b2b5f2c5")</f>
        <v>b2b5f2c5</v>
      </c>
      <c r="E2315" s="211" t="str">
        <f>IFERROR(__xludf.DUMMYFUNCTION("""COMPUTED_VALUE"""),"Bengkel Las Bpk. Ari")</f>
        <v>Bengkel Las Bpk. Ari</v>
      </c>
      <c r="F2315" s="211" t="str">
        <f>IFERROR(__xludf.DUMMYFUNCTION("""COMPUTED_VALUE"""),"8bdbe149")</f>
        <v>8bdbe149</v>
      </c>
      <c r="G2315" s="211" t="str">
        <f>IFERROR(__xludf.DUMMYFUNCTION("""COMPUTED_VALUE"""),"Oksigen 6m3")</f>
        <v>Oksigen 6m3</v>
      </c>
      <c r="H2315" s="211" t="str">
        <f>IFERROR(__xludf.DUMMYFUNCTION("""COMPUTED_VALUE"""),"IN")</f>
        <v>IN</v>
      </c>
      <c r="I2315" s="211" t="str">
        <f>IFERROR(__xludf.DUMMYFUNCTION("""COMPUTED_VALUE"""),"EMPTY")</f>
        <v>EMPTY</v>
      </c>
      <c r="J2315" s="211">
        <f>IFERROR(__xludf.DUMMYFUNCTION("""COMPUTED_VALUE"""),4.0)</f>
        <v>4</v>
      </c>
      <c r="K2315" s="210" t="str">
        <f>IFERROR(__xludf.DUMMYFUNCTION("""COMPUTED_VALUE"""),"11249 11255 1128 11272")</f>
        <v>11249 11255 1128 11272</v>
      </c>
      <c r="L2315" s="211">
        <f>IFERROR(__xludf.DUMMYFUNCTION("""COMPUTED_VALUE"""),0.0)</f>
        <v>0</v>
      </c>
      <c r="M2315" s="211"/>
      <c r="N2315" s="211"/>
      <c r="O2315" s="211"/>
      <c r="Q2315" s="210" t="str">
        <f>IFERROR(__xludf.DUMMYFUNCTION("""COMPUTED_VALUE"""),"012612315")</f>
        <v>012612315</v>
      </c>
      <c r="R2315" s="210" t="str">
        <f>IFERROR(__xludf.DUMMYFUNCTION("""COMPUTED_VALUE"""),"012612315")</f>
        <v>012612315</v>
      </c>
      <c r="S2315" s="211" t="str">
        <f>IFERROR(__xludf.DUMMYFUNCTION("""COMPUTED_VALUE"""),"de41c3e8")</f>
        <v>de41c3e8</v>
      </c>
      <c r="T2315" s="211" t="str">
        <f>IFERROR(__xludf.DUMMYFUNCTION("""COMPUTED_VALUE"""),"Bpk. Eko Mianto")</f>
        <v>Bpk. Eko Mianto</v>
      </c>
      <c r="U2315" s="215">
        <f>IFERROR(__xludf.DUMMYFUNCTION("""COMPUTED_VALUE"""),46043.50753472222)</f>
        <v>46043.50753</v>
      </c>
      <c r="V2315" s="211" t="str">
        <f>IFERROR(__xludf.DUMMYFUNCTION("""COMPUTED_VALUE"""),"The Graha Residen, Blok D4 No 33. Tropodo, Kec Krian, Kabupaten Sidaorjo, Jawa Timur 61262")</f>
        <v>The Graha Residen, Blok D4 No 33. Tropodo, Kec Krian, Kabupaten Sidaorjo, Jawa Timur 61262</v>
      </c>
      <c r="W2315" s="211" t="str">
        <f>IFERROR(__xludf.DUMMYFUNCTION("""COMPUTED_VALUE"""),"OUT")</f>
        <v>OUT</v>
      </c>
      <c r="X2315" s="211"/>
    </row>
    <row r="2316">
      <c r="A2316" s="210" t="str">
        <f>IFERROR(__xludf.DUMMYFUNCTION("""COMPUTED_VALUE"""),"112511649")</f>
        <v>112511649</v>
      </c>
      <c r="B2316" s="210" t="str">
        <f>IFERROR(__xludf.DUMMYFUNCTION("""COMPUTED_VALUE"""),"112511649")</f>
        <v>112511649</v>
      </c>
      <c r="C2316" s="213">
        <f>IFERROR(__xludf.DUMMYFUNCTION("""COMPUTED_VALUE"""),45968.60333333333)</f>
        <v>45968.60333</v>
      </c>
      <c r="D2316" s="211" t="str">
        <f>IFERROR(__xludf.DUMMYFUNCTION("""COMPUTED_VALUE"""),"9e66ced9")</f>
        <v>9e66ced9</v>
      </c>
      <c r="E2316" s="211" t="str">
        <f>IFERROR(__xludf.DUMMYFUNCTION("""COMPUTED_VALUE"""),"Bapak Angga")</f>
        <v>Bapak Angga</v>
      </c>
      <c r="F2316" s="211" t="str">
        <f>IFERROR(__xludf.DUMMYFUNCTION("""COMPUTED_VALUE"""),"8bdbe149")</f>
        <v>8bdbe149</v>
      </c>
      <c r="G2316" s="211" t="str">
        <f>IFERROR(__xludf.DUMMYFUNCTION("""COMPUTED_VALUE"""),"Oksigen 6m3")</f>
        <v>Oksigen 6m3</v>
      </c>
      <c r="H2316" s="211" t="str">
        <f>IFERROR(__xludf.DUMMYFUNCTION("""COMPUTED_VALUE"""),"OUT")</f>
        <v>OUT</v>
      </c>
      <c r="I2316" s="211" t="str">
        <f>IFERROR(__xludf.DUMMYFUNCTION("""COMPUTED_VALUE"""),"NORMAL")</f>
        <v>NORMAL</v>
      </c>
      <c r="J2316" s="211">
        <f>IFERROR(__xludf.DUMMYFUNCTION("""COMPUTED_VALUE"""),10.0)</f>
        <v>10</v>
      </c>
      <c r="K2316" s="210" t="str">
        <f>IFERROR(__xludf.DUMMYFUNCTION("""COMPUTED_VALUE"""),"11286 11274 11107 11202 11134 11253 1196 11192 11293 11294")</f>
        <v>11286 11274 11107 11202 11134 11253 1196 11192 11293 11294</v>
      </c>
      <c r="L2316" s="211">
        <f>IFERROR(__xludf.DUMMYFUNCTION("""COMPUTED_VALUE"""),50000.0)</f>
        <v>50000</v>
      </c>
      <c r="M2316" s="211"/>
      <c r="N2316" s="211"/>
      <c r="O2316" s="211"/>
      <c r="Q2316" s="210" t="str">
        <f>IFERROR(__xludf.DUMMYFUNCTION("""COMPUTED_VALUE"""),"0126112316")</f>
        <v>0126112316</v>
      </c>
      <c r="R2316" s="210" t="str">
        <f>IFERROR(__xludf.DUMMYFUNCTION("""COMPUTED_VALUE"""),"0126112316")</f>
        <v>0126112316</v>
      </c>
      <c r="S2316" s="211" t="str">
        <f>IFERROR(__xludf.DUMMYFUNCTION("""COMPUTED_VALUE"""),"17a8e612")</f>
        <v>17a8e612</v>
      </c>
      <c r="T2316" s="211" t="str">
        <f>IFERROR(__xludf.DUMMYFUNCTION("""COMPUTED_VALUE"""),"Flashtech Machinery")</f>
        <v>Flashtech Machinery</v>
      </c>
      <c r="U2316" s="215">
        <f>IFERROR(__xludf.DUMMYFUNCTION("""COMPUTED_VALUE"""),46043.50797453704)</f>
        <v>46043.50797</v>
      </c>
      <c r="V2316" s="211" t="str">
        <f>IFERROR(__xludf.DUMMYFUNCTION("""COMPUTED_VALUE"""),"Pergudangan Point Center blok A no.4, Kemangsen")</f>
        <v>Pergudangan Point Center blok A no.4, Kemangsen</v>
      </c>
      <c r="W2316" s="211" t="str">
        <f>IFERROR(__xludf.DUMMYFUNCTION("""COMPUTED_VALUE"""),"OUT")</f>
        <v>OUT</v>
      </c>
      <c r="X2316" s="211"/>
    </row>
    <row r="2317">
      <c r="A2317" s="210" t="str">
        <f>IFERROR(__xludf.DUMMYFUNCTION("""COMPUTED_VALUE"""),"112541652")</f>
        <v>112541652</v>
      </c>
      <c r="B2317" s="210" t="str">
        <f>IFERROR(__xludf.DUMMYFUNCTION("""COMPUTED_VALUE"""),"112541652")</f>
        <v>112541652</v>
      </c>
      <c r="C2317" s="213">
        <f>IFERROR(__xludf.DUMMYFUNCTION("""COMPUTED_VALUE"""),45968.668761574074)</f>
        <v>45968.66876</v>
      </c>
      <c r="D2317" s="211" t="str">
        <f>IFERROR(__xludf.DUMMYFUNCTION("""COMPUTED_VALUE"""),"b0735da4")</f>
        <v>b0735da4</v>
      </c>
      <c r="E2317" s="211" t="str">
        <f>IFERROR(__xludf.DUMMYFUNCTION("""COMPUTED_VALUE"""),"Bpk. Amer Ciro")</f>
        <v>Bpk. Amer Ciro</v>
      </c>
      <c r="F2317" s="211" t="str">
        <f>IFERROR(__xludf.DUMMYFUNCTION("""COMPUTED_VALUE"""),"7d2764f1")</f>
        <v>7d2764f1</v>
      </c>
      <c r="G2317" s="211" t="str">
        <f>IFERROR(__xludf.DUMMYFUNCTION("""COMPUTED_VALUE"""),"Oksigen 7m3")</f>
        <v>Oksigen 7m3</v>
      </c>
      <c r="H2317" s="211" t="str">
        <f>IFERROR(__xludf.DUMMYFUNCTION("""COMPUTED_VALUE"""),"OUT")</f>
        <v>OUT</v>
      </c>
      <c r="I2317" s="211" t="str">
        <f>IFERROR(__xludf.DUMMYFUNCTION("""COMPUTED_VALUE"""),"NORMAL")</f>
        <v>NORMAL</v>
      </c>
      <c r="J2317" s="211">
        <f>IFERROR(__xludf.DUMMYFUNCTION("""COMPUTED_VALUE"""),2.0)</f>
        <v>2</v>
      </c>
      <c r="K2317" s="210" t="str">
        <f>IFERROR(__xludf.DUMMYFUNCTION("""COMPUTED_VALUE"""),"11143 11140")</f>
        <v>11143 11140</v>
      </c>
      <c r="L2317" s="211">
        <f>IFERROR(__xludf.DUMMYFUNCTION("""COMPUTED_VALUE"""),65000.0)</f>
        <v>65000</v>
      </c>
      <c r="M2317" s="211"/>
      <c r="N2317" s="211"/>
      <c r="O2317" s="211"/>
      <c r="Q2317" s="210" t="str">
        <f>IFERROR(__xludf.DUMMYFUNCTION("""COMPUTED_VALUE"""),"1261116")</f>
        <v>1261116</v>
      </c>
      <c r="R2317" s="210" t="str">
        <f>IFERROR(__xludf.DUMMYFUNCTION("""COMPUTED_VALUE"""),"1261116")</f>
        <v>1261116</v>
      </c>
      <c r="S2317" s="211" t="str">
        <f>IFERROR(__xludf.DUMMYFUNCTION("""COMPUTED_VALUE"""),"e86baf3b")</f>
        <v>e86baf3b</v>
      </c>
      <c r="T2317" s="211" t="str">
        <f>IFERROR(__xludf.DUMMYFUNCTION("""COMPUTED_VALUE"""),"PT GEMILANG CIPTA WAWASAN")</f>
        <v>PT GEMILANG CIPTA WAWASAN</v>
      </c>
      <c r="U2317" s="215">
        <f>IFERROR(__xludf.DUMMYFUNCTION("""COMPUTED_VALUE"""),46043.527407407404)</f>
        <v>46043.52741</v>
      </c>
      <c r="V2317" s="211" t="str">
        <f>IFERROR(__xludf.DUMMYFUNCTION("""COMPUTED_VALUE"""),"JL TEBET RAYA, 2A, TEBET BARAT, TEBET, KOTA ADM, JAKARTA SELATAN, DKI JAKARTA")</f>
        <v>JL TEBET RAYA, 2A, TEBET BARAT, TEBET, KOTA ADM, JAKARTA SELATAN, DKI JAKARTA</v>
      </c>
      <c r="W2317" s="211" t="str">
        <f>IFERROR(__xludf.DUMMYFUNCTION("""COMPUTED_VALUE"""),"IN")</f>
        <v>IN</v>
      </c>
      <c r="X2317" s="211"/>
    </row>
    <row r="2318">
      <c r="A2318" s="210" t="str">
        <f>IFERROR(__xludf.DUMMYFUNCTION("""COMPUTED_VALUE"""),"112541652")</f>
        <v>112541652</v>
      </c>
      <c r="B2318" s="210" t="str">
        <f>IFERROR(__xludf.DUMMYFUNCTION("""COMPUTED_VALUE"""),"112541652")</f>
        <v>112541652</v>
      </c>
      <c r="C2318" s="213">
        <f>IFERROR(__xludf.DUMMYFUNCTION("""COMPUTED_VALUE"""),45968.668761574074)</f>
        <v>45968.66876</v>
      </c>
      <c r="D2318" s="211" t="str">
        <f>IFERROR(__xludf.DUMMYFUNCTION("""COMPUTED_VALUE"""),"b0735da4")</f>
        <v>b0735da4</v>
      </c>
      <c r="E2318" s="211" t="str">
        <f>IFERROR(__xludf.DUMMYFUNCTION("""COMPUTED_VALUE"""),"Bpk. Amer Ciro")</f>
        <v>Bpk. Amer Ciro</v>
      </c>
      <c r="F2318" s="211" t="str">
        <f>IFERROR(__xludf.DUMMYFUNCTION("""COMPUTED_VALUE"""),"f13ba52f")</f>
        <v>f13ba52f</v>
      </c>
      <c r="G2318" s="211" t="str">
        <f>IFERROR(__xludf.DUMMYFUNCTION("""COMPUTED_VALUE"""),"Ongkos Kirim (Non PPN)")</f>
        <v>Ongkos Kirim (Non PPN)</v>
      </c>
      <c r="H2318" s="211" t="str">
        <f>IFERROR(__xludf.DUMMYFUNCTION("""COMPUTED_VALUE"""),"OUT")</f>
        <v>OUT</v>
      </c>
      <c r="I2318" s="211" t="str">
        <f>IFERROR(__xludf.DUMMYFUNCTION("""COMPUTED_VALUE"""),"NORMAL")</f>
        <v>NORMAL</v>
      </c>
      <c r="J2318" s="211">
        <f>IFERROR(__xludf.DUMMYFUNCTION("""COMPUTED_VALUE"""),1.0)</f>
        <v>1</v>
      </c>
      <c r="K2318" s="211"/>
      <c r="L2318" s="211">
        <f>IFERROR(__xludf.DUMMYFUNCTION("""COMPUTED_VALUE"""),50000.0)</f>
        <v>50000</v>
      </c>
      <c r="M2318" s="211"/>
      <c r="N2318" s="211"/>
      <c r="O2318" s="211"/>
      <c r="Q2318" s="210" t="str">
        <f>IFERROR(__xludf.DUMMYFUNCTION("""COMPUTED_VALUE"""),"1261112")</f>
        <v>1261112</v>
      </c>
      <c r="R2318" s="210" t="str">
        <f>IFERROR(__xludf.DUMMYFUNCTION("""COMPUTED_VALUE"""),"1261112")</f>
        <v>1261112</v>
      </c>
      <c r="S2318" s="211" t="str">
        <f>IFERROR(__xludf.DUMMYFUNCTION("""COMPUTED_VALUE"""),"b2b5f2c5")</f>
        <v>b2b5f2c5</v>
      </c>
      <c r="T2318" s="211" t="str">
        <f>IFERROR(__xludf.DUMMYFUNCTION("""COMPUTED_VALUE"""),"Bengkel Las Bpk. Ari")</f>
        <v>Bengkel Las Bpk. Ari</v>
      </c>
      <c r="U2318" s="215">
        <f>IFERROR(__xludf.DUMMYFUNCTION("""COMPUTED_VALUE"""),46043.537673611114)</f>
        <v>46043.53767</v>
      </c>
      <c r="V2318" s="211" t="str">
        <f>IFERROR(__xludf.DUMMYFUNCTION("""COMPUTED_VALUE"""),"Sumber Kembar, Wonodadi, Kec. Kutorejo, Kabupaten Mojokerto, Jawa Timur")</f>
        <v>Sumber Kembar, Wonodadi, Kec. Kutorejo, Kabupaten Mojokerto, Jawa Timur</v>
      </c>
      <c r="W2318" s="211" t="str">
        <f>IFERROR(__xludf.DUMMYFUNCTION("""COMPUTED_VALUE"""),"IN")</f>
        <v>IN</v>
      </c>
      <c r="X2318" s="211"/>
    </row>
    <row r="2319">
      <c r="A2319" s="210" t="str">
        <f>IFERROR(__xludf.DUMMYFUNCTION("""COMPUTED_VALUE"""),"112521653")</f>
        <v>112521653</v>
      </c>
      <c r="B2319" s="210" t="str">
        <f>IFERROR(__xludf.DUMMYFUNCTION("""COMPUTED_VALUE"""),"112521653")</f>
        <v>112521653</v>
      </c>
      <c r="C2319" s="213">
        <f>IFERROR(__xludf.DUMMYFUNCTION("""COMPUTED_VALUE"""),45969.34925925926)</f>
        <v>45969.34926</v>
      </c>
      <c r="D2319" s="211" t="str">
        <f>IFERROR(__xludf.DUMMYFUNCTION("""COMPUTED_VALUE"""),"f8a982a4")</f>
        <v>f8a982a4</v>
      </c>
      <c r="E2319" s="211" t="str">
        <f>IFERROR(__xludf.DUMMYFUNCTION("""COMPUTED_VALUE"""),"Bpk. Nasir")</f>
        <v>Bpk. Nasir</v>
      </c>
      <c r="F2319" s="211" t="str">
        <f>IFERROR(__xludf.DUMMYFUNCTION("""COMPUTED_VALUE"""),"8bdbe149")</f>
        <v>8bdbe149</v>
      </c>
      <c r="G2319" s="211" t="str">
        <f>IFERROR(__xludf.DUMMYFUNCTION("""COMPUTED_VALUE"""),"Oksigen 6m3")</f>
        <v>Oksigen 6m3</v>
      </c>
      <c r="H2319" s="211" t="str">
        <f>IFERROR(__xludf.DUMMYFUNCTION("""COMPUTED_VALUE"""),"OUT")</f>
        <v>OUT</v>
      </c>
      <c r="I2319" s="211" t="str">
        <f>IFERROR(__xludf.DUMMYFUNCTION("""COMPUTED_VALUE"""),"NORMAL")</f>
        <v>NORMAL</v>
      </c>
      <c r="J2319" s="211">
        <f>IFERROR(__xludf.DUMMYFUNCTION("""COMPUTED_VALUE"""),7.0)</f>
        <v>7</v>
      </c>
      <c r="K2319" s="210" t="str">
        <f>IFERROR(__xludf.DUMMYFUNCTION("""COMPUTED_VALUE"""),"1142 11255 1128 11105 11249 1192 11290")</f>
        <v>1142 11255 1128 11105 11249 1192 11290</v>
      </c>
      <c r="L2319" s="211">
        <f>IFERROR(__xludf.DUMMYFUNCTION("""COMPUTED_VALUE"""),70000.0)</f>
        <v>70000</v>
      </c>
      <c r="M2319" s="211"/>
      <c r="N2319" s="211"/>
      <c r="O2319" s="211"/>
      <c r="Q2319" s="210" t="str">
        <f>IFERROR(__xludf.DUMMYFUNCTION("""COMPUTED_VALUE"""),"0126342317")</f>
        <v>0126342317</v>
      </c>
      <c r="R2319" s="210" t="str">
        <f>IFERROR(__xludf.DUMMYFUNCTION("""COMPUTED_VALUE"""),"0126342317")</f>
        <v>0126342317</v>
      </c>
      <c r="S2319" s="211" t="str">
        <f>IFERROR(__xludf.DUMMYFUNCTION("""COMPUTED_VALUE"""),"8f5ebaea")</f>
        <v>8f5ebaea</v>
      </c>
      <c r="T2319" s="211" t="str">
        <f>IFERROR(__xludf.DUMMYFUNCTION("""COMPUTED_VALUE"""),"PT Hua Zong Mesindo")</f>
        <v>PT Hua Zong Mesindo</v>
      </c>
      <c r="U2319" s="215">
        <f>IFERROR(__xludf.DUMMYFUNCTION("""COMPUTED_VALUE"""),46043.608831018515)</f>
        <v>46043.60883</v>
      </c>
      <c r="V2319" s="211" t="str">
        <f>IFERROR(__xludf.DUMMYFUNCTION("""COMPUTED_VALUE"""),"Jl. Bypass Krian, Sidotemo, Sidomulyo, Kec. Krian, Kabupaten Sidoarjo, Jawa Timur 61262")</f>
        <v>Jl. Bypass Krian, Sidotemo, Sidomulyo, Kec. Krian, Kabupaten Sidoarjo, Jawa Timur 61262</v>
      </c>
      <c r="W2319" s="211" t="str">
        <f>IFERROR(__xludf.DUMMYFUNCTION("""COMPUTED_VALUE"""),"OUT")</f>
        <v>OUT</v>
      </c>
      <c r="X2319" s="211"/>
    </row>
    <row r="2320">
      <c r="A2320" s="210" t="str">
        <f>IFERROR(__xludf.DUMMYFUNCTION("""COMPUTED_VALUE"""),"1250769")</f>
        <v>1250769</v>
      </c>
      <c r="B2320" s="210" t="str">
        <f>IFERROR(__xludf.DUMMYFUNCTION("""COMPUTED_VALUE"""),"1250769")</f>
        <v>1250769</v>
      </c>
      <c r="C2320" s="213">
        <f>IFERROR(__xludf.DUMMYFUNCTION("""COMPUTED_VALUE"""),45969.352002314816)</f>
        <v>45969.352</v>
      </c>
      <c r="D2320" s="211" t="str">
        <f>IFERROR(__xludf.DUMMYFUNCTION("""COMPUTED_VALUE"""),"b0735da4")</f>
        <v>b0735da4</v>
      </c>
      <c r="E2320" s="211" t="str">
        <f>IFERROR(__xludf.DUMMYFUNCTION("""COMPUTED_VALUE"""),"Bpk. Amer Ciro")</f>
        <v>Bpk. Amer Ciro</v>
      </c>
      <c r="F2320" s="211" t="str">
        <f>IFERROR(__xludf.DUMMYFUNCTION("""COMPUTED_VALUE"""),"7d2764f1")</f>
        <v>7d2764f1</v>
      </c>
      <c r="G2320" s="211" t="str">
        <f>IFERROR(__xludf.DUMMYFUNCTION("""COMPUTED_VALUE"""),"Oksigen 7m3")</f>
        <v>Oksigen 7m3</v>
      </c>
      <c r="H2320" s="211" t="str">
        <f>IFERROR(__xludf.DUMMYFUNCTION("""COMPUTED_VALUE"""),"IN")</f>
        <v>IN</v>
      </c>
      <c r="I2320" s="211" t="str">
        <f>IFERROR(__xludf.DUMMYFUNCTION("""COMPUTED_VALUE"""),"EMPTY")</f>
        <v>EMPTY</v>
      </c>
      <c r="J2320" s="211">
        <f>IFERROR(__xludf.DUMMYFUNCTION("""COMPUTED_VALUE"""),2.0)</f>
        <v>2</v>
      </c>
      <c r="K2320" s="210" t="str">
        <f>IFERROR(__xludf.DUMMYFUNCTION("""COMPUTED_VALUE"""),"11213 11215")</f>
        <v>11213 11215</v>
      </c>
      <c r="L2320" s="211">
        <f>IFERROR(__xludf.DUMMYFUNCTION("""COMPUTED_VALUE"""),0.0)</f>
        <v>0</v>
      </c>
      <c r="M2320" s="211"/>
      <c r="N2320" s="211"/>
      <c r="O2320" s="211"/>
      <c r="Q2320" s="210" t="str">
        <f>IFERROR(__xludf.DUMMYFUNCTION("""COMPUTED_VALUE"""),"1261131")</f>
        <v>1261131</v>
      </c>
      <c r="R2320" s="210" t="str">
        <f>IFERROR(__xludf.DUMMYFUNCTION("""COMPUTED_VALUE"""),"1261131")</f>
        <v>1261131</v>
      </c>
      <c r="S2320" s="211" t="str">
        <f>IFERROR(__xludf.DUMMYFUNCTION("""COMPUTED_VALUE"""),"ec231cc9")</f>
        <v>ec231cc9</v>
      </c>
      <c r="T2320" s="211" t="str">
        <f>IFERROR(__xludf.DUMMYFUNCTION("""COMPUTED_VALUE"""),"Bpk. Kohir (Maintenance Velg)")</f>
        <v>Bpk. Kohir (Maintenance Velg)</v>
      </c>
      <c r="U2320" s="215">
        <f>IFERROR(__xludf.DUMMYFUNCTION("""COMPUTED_VALUE"""),46043.610497685186)</f>
        <v>46043.6105</v>
      </c>
      <c r="V2320" s="211" t="str">
        <f>IFERROR(__xludf.DUMMYFUNCTION("""COMPUTED_VALUE"""),"Jl. Lkr. Bypass Krian Timur, Sidogolong, Watugolong, Kec. Krian, Kabupaten Sidoarjo, Jawa Timur 61262")</f>
        <v>Jl. Lkr. Bypass Krian Timur, Sidogolong, Watugolong, Kec. Krian, Kabupaten Sidoarjo, Jawa Timur 61262</v>
      </c>
      <c r="W2320" s="211" t="str">
        <f>IFERROR(__xludf.DUMMYFUNCTION("""COMPUTED_VALUE"""),"IN")</f>
        <v>IN</v>
      </c>
      <c r="X2320" s="211"/>
    </row>
    <row r="2321">
      <c r="A2321" s="210" t="str">
        <f>IFERROR(__xludf.DUMMYFUNCTION("""COMPUTED_VALUE"""),"1125361654")</f>
        <v>1125361654</v>
      </c>
      <c r="B2321" s="210" t="str">
        <f>IFERROR(__xludf.DUMMYFUNCTION("""COMPUTED_VALUE"""),"1125361654")</f>
        <v>1125361654</v>
      </c>
      <c r="C2321" s="213">
        <f>IFERROR(__xludf.DUMMYFUNCTION("""COMPUTED_VALUE"""),45969.465092592596)</f>
        <v>45969.46509</v>
      </c>
      <c r="D2321" s="211" t="str">
        <f>IFERROR(__xludf.DUMMYFUNCTION("""COMPUTED_VALUE"""),"b2b5f2c5")</f>
        <v>b2b5f2c5</v>
      </c>
      <c r="E2321" s="211" t="str">
        <f>IFERROR(__xludf.DUMMYFUNCTION("""COMPUTED_VALUE"""),"Bengkel Las Bpk. Ari")</f>
        <v>Bengkel Las Bpk. Ari</v>
      </c>
      <c r="F2321" s="211" t="str">
        <f>IFERROR(__xludf.DUMMYFUNCTION("""COMPUTED_VALUE"""),"8bdbe149")</f>
        <v>8bdbe149</v>
      </c>
      <c r="G2321" s="211" t="str">
        <f>IFERROR(__xludf.DUMMYFUNCTION("""COMPUTED_VALUE"""),"Oksigen 6m3")</f>
        <v>Oksigen 6m3</v>
      </c>
      <c r="H2321" s="211" t="str">
        <f>IFERROR(__xludf.DUMMYFUNCTION("""COMPUTED_VALUE"""),"OUT")</f>
        <v>OUT</v>
      </c>
      <c r="I2321" s="211" t="str">
        <f>IFERROR(__xludf.DUMMYFUNCTION("""COMPUTED_VALUE"""),"NORMAL")</f>
        <v>NORMAL</v>
      </c>
      <c r="J2321" s="211">
        <f>IFERROR(__xludf.DUMMYFUNCTION("""COMPUTED_VALUE"""),4.0)</f>
        <v>4</v>
      </c>
      <c r="K2321" s="210" t="str">
        <f>IFERROR(__xludf.DUMMYFUNCTION("""COMPUTED_VALUE"""),"11206 11205 11237 11132")</f>
        <v>11206 11205 11237 11132</v>
      </c>
      <c r="L2321" s="211">
        <f>IFERROR(__xludf.DUMMYFUNCTION("""COMPUTED_VALUE"""),60000.0)</f>
        <v>60000</v>
      </c>
      <c r="M2321" s="211"/>
      <c r="N2321" s="211"/>
      <c r="O2321" s="211"/>
      <c r="Q2321" s="210" t="str">
        <f>IFERROR(__xludf.DUMMYFUNCTION("""COMPUTED_VALUE"""),"1261117")</f>
        <v>1261117</v>
      </c>
      <c r="R2321" s="210" t="str">
        <f>IFERROR(__xludf.DUMMYFUNCTION("""COMPUTED_VALUE"""),"1261117")</f>
        <v>1261117</v>
      </c>
      <c r="S2321" s="211" t="str">
        <f>IFERROR(__xludf.DUMMYFUNCTION("""COMPUTED_VALUE"""),"196b24da")</f>
        <v>196b24da</v>
      </c>
      <c r="T2321" s="211" t="str">
        <f>IFERROR(__xludf.DUMMYFUNCTION("""COMPUTED_VALUE"""),"PT Samudra Cipta Enjineering")</f>
        <v>PT Samudra Cipta Enjineering</v>
      </c>
      <c r="U2321" s="215">
        <f>IFERROR(__xludf.DUMMYFUNCTION("""COMPUTED_VALUE"""),46043.61127314815)</f>
        <v>46043.61127</v>
      </c>
      <c r="V2321" s="211" t="str">
        <f>IFERROR(__xludf.DUMMYFUNCTION("""COMPUTED_VALUE"""),"Pergudangan Center Point Blok C4   Ds. Kemangsen  Balongbendo")</f>
        <v>Pergudangan Center Point Blok C4   Ds. Kemangsen  Balongbendo</v>
      </c>
      <c r="W2321" s="211" t="str">
        <f>IFERROR(__xludf.DUMMYFUNCTION("""COMPUTED_VALUE"""),"IN")</f>
        <v>IN</v>
      </c>
      <c r="X2321" s="211"/>
    </row>
    <row r="2322">
      <c r="A2322" s="210" t="str">
        <f>IFERROR(__xludf.DUMMYFUNCTION("""COMPUTED_VALUE"""),"1125361654")</f>
        <v>1125361654</v>
      </c>
      <c r="B2322" s="210" t="str">
        <f>IFERROR(__xludf.DUMMYFUNCTION("""COMPUTED_VALUE"""),"1125361654")</f>
        <v>1125361654</v>
      </c>
      <c r="C2322" s="213">
        <f>IFERROR(__xludf.DUMMYFUNCTION("""COMPUTED_VALUE"""),45969.465092592596)</f>
        <v>45969.46509</v>
      </c>
      <c r="D2322" s="211" t="str">
        <f>IFERROR(__xludf.DUMMYFUNCTION("""COMPUTED_VALUE"""),"b2b5f2c5")</f>
        <v>b2b5f2c5</v>
      </c>
      <c r="E2322" s="211" t="str">
        <f>IFERROR(__xludf.DUMMYFUNCTION("""COMPUTED_VALUE"""),"Bengkel Las Bpk. Ari")</f>
        <v>Bengkel Las Bpk. Ari</v>
      </c>
      <c r="F2322" s="211" t="str">
        <f>IFERROR(__xludf.DUMMYFUNCTION("""COMPUTED_VALUE"""),"ef306e54")</f>
        <v>ef306e54</v>
      </c>
      <c r="G2322" s="211" t="str">
        <f>IFERROR(__xludf.DUMMYFUNCTION("""COMPUTED_VALUE"""),"Karbondioksida")</f>
        <v>Karbondioksida</v>
      </c>
      <c r="H2322" s="211" t="str">
        <f>IFERROR(__xludf.DUMMYFUNCTION("""COMPUTED_VALUE"""),"OUT")</f>
        <v>OUT</v>
      </c>
      <c r="I2322" s="211" t="str">
        <f>IFERROR(__xludf.DUMMYFUNCTION("""COMPUTED_VALUE"""),"NORMAL")</f>
        <v>NORMAL</v>
      </c>
      <c r="J2322" s="211">
        <f>IFERROR(__xludf.DUMMYFUNCTION("""COMPUTED_VALUE"""),3.0)</f>
        <v>3</v>
      </c>
      <c r="K2322" s="210" t="str">
        <f>IFERROR(__xludf.DUMMYFUNCTION("""COMPUTED_VALUE"""),"13031 13029 13037")</f>
        <v>13031 13029 13037</v>
      </c>
      <c r="L2322" s="211">
        <f>IFERROR(__xludf.DUMMYFUNCTION("""COMPUTED_VALUE"""),170000.0)</f>
        <v>170000</v>
      </c>
      <c r="M2322" s="211"/>
      <c r="N2322" s="211"/>
      <c r="O2322" s="211"/>
      <c r="Q2322" s="210" t="str">
        <f>IFERROR(__xludf.DUMMYFUNCTION("""COMPUTED_VALUE"""),"1261121")</f>
        <v>1261121</v>
      </c>
      <c r="R2322" s="210" t="str">
        <f>IFERROR(__xludf.DUMMYFUNCTION("""COMPUTED_VALUE"""),"1261121")</f>
        <v>1261121</v>
      </c>
      <c r="S2322" s="211" t="str">
        <f>IFERROR(__xludf.DUMMYFUNCTION("""COMPUTED_VALUE"""),"17a8e612")</f>
        <v>17a8e612</v>
      </c>
      <c r="T2322" s="211" t="str">
        <f>IFERROR(__xludf.DUMMYFUNCTION("""COMPUTED_VALUE"""),"Flashtech Machinery")</f>
        <v>Flashtech Machinery</v>
      </c>
      <c r="U2322" s="215">
        <f>IFERROR(__xludf.DUMMYFUNCTION("""COMPUTED_VALUE"""),46043.6475462963)</f>
        <v>46043.64755</v>
      </c>
      <c r="V2322" s="211" t="str">
        <f>IFERROR(__xludf.DUMMYFUNCTION("""COMPUTED_VALUE"""),"Pergudangan Point Center blok A no.4, Kemangsen")</f>
        <v>Pergudangan Point Center blok A no.4, Kemangsen</v>
      </c>
      <c r="W2322" s="211" t="str">
        <f>IFERROR(__xludf.DUMMYFUNCTION("""COMPUTED_VALUE"""),"IN")</f>
        <v>IN</v>
      </c>
      <c r="X2322" s="211"/>
    </row>
    <row r="2323">
      <c r="A2323" s="210" t="str">
        <f>IFERROR(__xludf.DUMMYFUNCTION("""COMPUTED_VALUE"""),"112521656")</f>
        <v>112521656</v>
      </c>
      <c r="B2323" s="210" t="str">
        <f>IFERROR(__xludf.DUMMYFUNCTION("""COMPUTED_VALUE"""),"112521656")</f>
        <v>112521656</v>
      </c>
      <c r="C2323" s="213">
        <f>IFERROR(__xludf.DUMMYFUNCTION("""COMPUTED_VALUE"""),45969.47990740741)</f>
        <v>45969.47991</v>
      </c>
      <c r="D2323" s="211" t="str">
        <f>IFERROR(__xludf.DUMMYFUNCTION("""COMPUTED_VALUE"""),"9e5d8274")</f>
        <v>9e5d8274</v>
      </c>
      <c r="E2323" s="211" t="str">
        <f>IFERROR(__xludf.DUMMYFUNCTION("""COMPUTED_VALUE"""),"Bpk. Erry ( Lik Trosobo )")</f>
        <v>Bpk. Erry ( Lik Trosobo )</v>
      </c>
      <c r="F2323" s="211" t="str">
        <f>IFERROR(__xludf.DUMMYFUNCTION("""COMPUTED_VALUE"""),"8bdbe149")</f>
        <v>8bdbe149</v>
      </c>
      <c r="G2323" s="211" t="str">
        <f>IFERROR(__xludf.DUMMYFUNCTION("""COMPUTED_VALUE"""),"Oksigen 6m3")</f>
        <v>Oksigen 6m3</v>
      </c>
      <c r="H2323" s="211" t="str">
        <f>IFERROR(__xludf.DUMMYFUNCTION("""COMPUTED_VALUE"""),"OUT")</f>
        <v>OUT</v>
      </c>
      <c r="I2323" s="211" t="str">
        <f>IFERROR(__xludf.DUMMYFUNCTION("""COMPUTED_VALUE"""),"NORMAL")</f>
        <v>NORMAL</v>
      </c>
      <c r="J2323" s="211">
        <f>IFERROR(__xludf.DUMMYFUNCTION("""COMPUTED_VALUE"""),2.0)</f>
        <v>2</v>
      </c>
      <c r="K2323" s="210" t="str">
        <f>IFERROR(__xludf.DUMMYFUNCTION("""COMPUTED_VALUE"""),"11296 11295")</f>
        <v>11296 11295</v>
      </c>
      <c r="L2323" s="211">
        <f>IFERROR(__xludf.DUMMYFUNCTION("""COMPUTED_VALUE"""),65000.0)</f>
        <v>65000</v>
      </c>
      <c r="M2323" s="211"/>
      <c r="N2323" s="211"/>
      <c r="O2323" s="211"/>
      <c r="Q2323" s="210" t="str">
        <f>IFERROR(__xludf.DUMMYFUNCTION("""COMPUTED_VALUE"""),"1261132")</f>
        <v>1261132</v>
      </c>
      <c r="R2323" s="210" t="str">
        <f>IFERROR(__xludf.DUMMYFUNCTION("""COMPUTED_VALUE"""),"1261132")</f>
        <v>1261132</v>
      </c>
      <c r="S2323" s="211" t="str">
        <f>IFERROR(__xludf.DUMMYFUNCTION("""COMPUTED_VALUE"""),"8f5ebaea")</f>
        <v>8f5ebaea</v>
      </c>
      <c r="T2323" s="211" t="str">
        <f>IFERROR(__xludf.DUMMYFUNCTION("""COMPUTED_VALUE"""),"PT Hua Zong Mesindo")</f>
        <v>PT Hua Zong Mesindo</v>
      </c>
      <c r="U2323" s="215">
        <f>IFERROR(__xludf.DUMMYFUNCTION("""COMPUTED_VALUE"""),46043.68813657408)</f>
        <v>46043.68814</v>
      </c>
      <c r="V2323" s="211" t="str">
        <f>IFERROR(__xludf.DUMMYFUNCTION("""COMPUTED_VALUE"""),"Jl. Bypass Krian, Sidotemo, Sidomulyo, Kec. Krian, Kabupaten Sidoarjo, Jawa Timur 61262")</f>
        <v>Jl. Bypass Krian, Sidotemo, Sidomulyo, Kec. Krian, Kabupaten Sidoarjo, Jawa Timur 61262</v>
      </c>
      <c r="W2323" s="211" t="str">
        <f>IFERROR(__xludf.DUMMYFUNCTION("""COMPUTED_VALUE"""),"IN")</f>
        <v>IN</v>
      </c>
      <c r="X2323" s="211"/>
    </row>
    <row r="2324">
      <c r="A2324" s="210" t="str">
        <f>IFERROR(__xludf.DUMMYFUNCTION("""COMPUTED_VALUE"""),"1250821")</f>
        <v>1250821</v>
      </c>
      <c r="B2324" s="210" t="str">
        <f>IFERROR(__xludf.DUMMYFUNCTION("""COMPUTED_VALUE"""),"1250821")</f>
        <v>1250821</v>
      </c>
      <c r="C2324" s="213">
        <f>IFERROR(__xludf.DUMMYFUNCTION("""COMPUTED_VALUE"""),45969.48795138889)</f>
        <v>45969.48795</v>
      </c>
      <c r="D2324" s="211" t="str">
        <f>IFERROR(__xludf.DUMMYFUNCTION("""COMPUTED_VALUE"""),"dcdf8b31")</f>
        <v>dcdf8b31</v>
      </c>
      <c r="E2324" s="211" t="str">
        <f>IFERROR(__xludf.DUMMYFUNCTION("""COMPUTED_VALUE"""),"Bpk. Samsul (Jetis)")</f>
        <v>Bpk. Samsul (Jetis)</v>
      </c>
      <c r="F2324" s="211" t="str">
        <f>IFERROR(__xludf.DUMMYFUNCTION("""COMPUTED_VALUE"""),"7d2764f1")</f>
        <v>7d2764f1</v>
      </c>
      <c r="G2324" s="211" t="str">
        <f>IFERROR(__xludf.DUMMYFUNCTION("""COMPUTED_VALUE"""),"Oksigen 7m3")</f>
        <v>Oksigen 7m3</v>
      </c>
      <c r="H2324" s="211" t="str">
        <f>IFERROR(__xludf.DUMMYFUNCTION("""COMPUTED_VALUE"""),"IN")</f>
        <v>IN</v>
      </c>
      <c r="I2324" s="211" t="str">
        <f>IFERROR(__xludf.DUMMYFUNCTION("""COMPUTED_VALUE"""),"EMPTY")</f>
        <v>EMPTY</v>
      </c>
      <c r="J2324" s="211">
        <f>IFERROR(__xludf.DUMMYFUNCTION("""COMPUTED_VALUE"""),2.0)</f>
        <v>2</v>
      </c>
      <c r="K2324" s="210" t="str">
        <f>IFERROR(__xludf.DUMMYFUNCTION("""COMPUTED_VALUE"""),"11223 11219")</f>
        <v>11223 11219</v>
      </c>
      <c r="L2324" s="211">
        <f>IFERROR(__xludf.DUMMYFUNCTION("""COMPUTED_VALUE"""),0.0)</f>
        <v>0</v>
      </c>
      <c r="M2324" s="211"/>
      <c r="N2324" s="211"/>
      <c r="O2324" s="211"/>
      <c r="Q2324" s="210" t="str">
        <f>IFERROR(__xludf.DUMMYFUNCTION("""COMPUTED_VALUE"""),"012662320")</f>
        <v>012662320</v>
      </c>
      <c r="R2324" s="210" t="str">
        <f>IFERROR(__xludf.DUMMYFUNCTION("""COMPUTED_VALUE"""),"012662320")</f>
        <v>012662320</v>
      </c>
      <c r="S2324" s="211" t="str">
        <f>IFERROR(__xludf.DUMMYFUNCTION("""COMPUTED_VALUE"""),"1d018c98")</f>
        <v>1d018c98</v>
      </c>
      <c r="T2324" s="211" t="str">
        <f>IFERROR(__xludf.DUMMYFUNCTION("""COMPUTED_VALUE"""),"Mbak Angel")</f>
        <v>Mbak Angel</v>
      </c>
      <c r="U2324" s="215">
        <f>IFERROR(__xludf.DUMMYFUNCTION("""COMPUTED_VALUE"""),46043.71974537037)</f>
        <v>46043.71975</v>
      </c>
      <c r="V2324" s="211" t="str">
        <f>IFERROR(__xludf.DUMMYFUNCTION("""COMPUTED_VALUE"""),"Penambangan Krajan RT 02 RW 01 Balongbendo")</f>
        <v>Penambangan Krajan RT 02 RW 01 Balongbendo</v>
      </c>
      <c r="W2324" s="211" t="str">
        <f>IFERROR(__xludf.DUMMYFUNCTION("""COMPUTED_VALUE"""),"OUT")</f>
        <v>OUT</v>
      </c>
      <c r="X2324" s="211"/>
    </row>
    <row r="2325">
      <c r="A2325" s="210" t="str">
        <f>IFERROR(__xludf.DUMMYFUNCTION("""COMPUTED_VALUE"""),"1250771")</f>
        <v>1250771</v>
      </c>
      <c r="B2325" s="210" t="str">
        <f>IFERROR(__xludf.DUMMYFUNCTION("""COMPUTED_VALUE"""),"1250771")</f>
        <v>1250771</v>
      </c>
      <c r="C2325" s="213">
        <f>IFERROR(__xludf.DUMMYFUNCTION("""COMPUTED_VALUE"""),45969.61)</f>
        <v>45969.61</v>
      </c>
      <c r="D2325" s="211" t="str">
        <f>IFERROR(__xludf.DUMMYFUNCTION("""COMPUTED_VALUE"""),"b2b5f2c5")</f>
        <v>b2b5f2c5</v>
      </c>
      <c r="E2325" s="211" t="str">
        <f>IFERROR(__xludf.DUMMYFUNCTION("""COMPUTED_VALUE"""),"Bengkel Las Bpk. Ari")</f>
        <v>Bengkel Las Bpk. Ari</v>
      </c>
      <c r="F2325" s="211" t="str">
        <f>IFERROR(__xludf.DUMMYFUNCTION("""COMPUTED_VALUE"""),"8bdbe149")</f>
        <v>8bdbe149</v>
      </c>
      <c r="G2325" s="211" t="str">
        <f>IFERROR(__xludf.DUMMYFUNCTION("""COMPUTED_VALUE"""),"Oksigen 6m3")</f>
        <v>Oksigen 6m3</v>
      </c>
      <c r="H2325" s="211" t="str">
        <f>IFERROR(__xludf.DUMMYFUNCTION("""COMPUTED_VALUE"""),"IN")</f>
        <v>IN</v>
      </c>
      <c r="I2325" s="211" t="str">
        <f>IFERROR(__xludf.DUMMYFUNCTION("""COMPUTED_VALUE"""),"EMPTY")</f>
        <v>EMPTY</v>
      </c>
      <c r="J2325" s="211">
        <f>IFERROR(__xludf.DUMMYFUNCTION("""COMPUTED_VALUE"""),4.0)</f>
        <v>4</v>
      </c>
      <c r="K2325" s="210" t="str">
        <f>IFERROR(__xludf.DUMMYFUNCTION("""COMPUTED_VALUE"""),"11270 1102 11252 11228")</f>
        <v>11270 1102 11252 11228</v>
      </c>
      <c r="L2325" s="211">
        <f>IFERROR(__xludf.DUMMYFUNCTION("""COMPUTED_VALUE"""),0.0)</f>
        <v>0</v>
      </c>
      <c r="M2325" s="211"/>
      <c r="N2325" s="211"/>
      <c r="O2325" s="211"/>
      <c r="Q2325" s="210" t="str">
        <f>IFERROR(__xludf.DUMMYFUNCTION("""COMPUTED_VALUE"""),"012692325")</f>
        <v>012692325</v>
      </c>
      <c r="R2325" s="210" t="str">
        <f>IFERROR(__xludf.DUMMYFUNCTION("""COMPUTED_VALUE"""),"012692325")</f>
        <v>012692325</v>
      </c>
      <c r="S2325" s="211" t="str">
        <f>IFERROR(__xludf.DUMMYFUNCTION("""COMPUTED_VALUE"""),"9b941888")</f>
        <v>9b941888</v>
      </c>
      <c r="T2325" s="211" t="str">
        <f>IFERROR(__xludf.DUMMYFUNCTION("""COMPUTED_VALUE"""),"Mas Devi ( Parengan )")</f>
        <v>Mas Devi ( Parengan )</v>
      </c>
      <c r="U2325" s="215">
        <f>IFERROR(__xludf.DUMMYFUNCTION("""COMPUTED_VALUE"""),46044.34984953704)</f>
        <v>46044.34985</v>
      </c>
      <c r="V2325" s="211" t="str">
        <f>IFERROR(__xludf.DUMMYFUNCTION("""COMPUTED_VALUE"""),"Kraton Krian Sidoarjo, ( sebelah tower listrik )")</f>
        <v>Kraton Krian Sidoarjo, ( sebelah tower listrik )</v>
      </c>
      <c r="W2325" s="211" t="str">
        <f>IFERROR(__xludf.DUMMYFUNCTION("""COMPUTED_VALUE"""),"OUT")</f>
        <v>OUT</v>
      </c>
      <c r="X2325" s="211"/>
    </row>
    <row r="2326">
      <c r="A2326" s="210" t="str">
        <f>IFERROR(__xludf.DUMMYFUNCTION("""COMPUTED_VALUE"""),"1250771")</f>
        <v>1250771</v>
      </c>
      <c r="B2326" s="210" t="str">
        <f>IFERROR(__xludf.DUMMYFUNCTION("""COMPUTED_VALUE"""),"1250771")</f>
        <v>1250771</v>
      </c>
      <c r="C2326" s="213">
        <f>IFERROR(__xludf.DUMMYFUNCTION("""COMPUTED_VALUE"""),45969.61)</f>
        <v>45969.61</v>
      </c>
      <c r="D2326" s="211" t="str">
        <f>IFERROR(__xludf.DUMMYFUNCTION("""COMPUTED_VALUE"""),"b2b5f2c5")</f>
        <v>b2b5f2c5</v>
      </c>
      <c r="E2326" s="211" t="str">
        <f>IFERROR(__xludf.DUMMYFUNCTION("""COMPUTED_VALUE"""),"Bengkel Las Bpk. Ari")</f>
        <v>Bengkel Las Bpk. Ari</v>
      </c>
      <c r="F2326" s="211" t="str">
        <f>IFERROR(__xludf.DUMMYFUNCTION("""COMPUTED_VALUE"""),"ef306e54")</f>
        <v>ef306e54</v>
      </c>
      <c r="G2326" s="211" t="str">
        <f>IFERROR(__xludf.DUMMYFUNCTION("""COMPUTED_VALUE"""),"Karbondioksida")</f>
        <v>Karbondioksida</v>
      </c>
      <c r="H2326" s="211" t="str">
        <f>IFERROR(__xludf.DUMMYFUNCTION("""COMPUTED_VALUE"""),"IN")</f>
        <v>IN</v>
      </c>
      <c r="I2326" s="211" t="str">
        <f>IFERROR(__xludf.DUMMYFUNCTION("""COMPUTED_VALUE"""),"EMPTY")</f>
        <v>EMPTY</v>
      </c>
      <c r="J2326" s="211">
        <f>IFERROR(__xludf.DUMMYFUNCTION("""COMPUTED_VALUE"""),2.0)</f>
        <v>2</v>
      </c>
      <c r="K2326" s="210" t="str">
        <f>IFERROR(__xludf.DUMMYFUNCTION("""COMPUTED_VALUE"""),"13012 13038")</f>
        <v>13012 13038</v>
      </c>
      <c r="L2326" s="211">
        <f>IFERROR(__xludf.DUMMYFUNCTION("""COMPUTED_VALUE"""),0.0)</f>
        <v>0</v>
      </c>
      <c r="M2326" s="211"/>
      <c r="N2326" s="211"/>
      <c r="O2326" s="211"/>
      <c r="Q2326" s="210" t="str">
        <f>IFERROR(__xludf.DUMMYFUNCTION("""COMPUTED_VALUE"""),"012662326")</f>
        <v>012662326</v>
      </c>
      <c r="R2326" s="210" t="str">
        <f>IFERROR(__xludf.DUMMYFUNCTION("""COMPUTED_VALUE"""),"012662326")</f>
        <v>012662326</v>
      </c>
      <c r="S2326" s="211" t="str">
        <f>IFERROR(__xludf.DUMMYFUNCTION("""COMPUTED_VALUE"""),"b89c20a1")</f>
        <v>b89c20a1</v>
      </c>
      <c r="T2326" s="211" t="str">
        <f>IFERROR(__xludf.DUMMYFUNCTION("""COMPUTED_VALUE"""),"Harini dini")</f>
        <v>Harini dini</v>
      </c>
      <c r="U2326" s="215">
        <f>IFERROR(__xludf.DUMMYFUNCTION("""COMPUTED_VALUE"""),46044.35273148148)</f>
        <v>46044.35273</v>
      </c>
      <c r="V2326" s="211" t="str">
        <f>IFERROR(__xludf.DUMMYFUNCTION("""COMPUTED_VALUE"""),"Kraton RT 15 RW 03  Kraton Krian Sidoarjo")</f>
        <v>Kraton RT 15 RW 03  Kraton Krian Sidoarjo</v>
      </c>
      <c r="W2326" s="211" t="str">
        <f>IFERROR(__xludf.DUMMYFUNCTION("""COMPUTED_VALUE"""),"OUT")</f>
        <v>OUT</v>
      </c>
      <c r="X2326" s="211"/>
    </row>
    <row r="2327">
      <c r="A2327" s="210" t="str">
        <f>IFERROR(__xludf.DUMMYFUNCTION("""COMPUTED_VALUE"""),"1250770")</f>
        <v>1250770</v>
      </c>
      <c r="B2327" s="210" t="str">
        <f>IFERROR(__xludf.DUMMYFUNCTION("""COMPUTED_VALUE"""),"1250770")</f>
        <v>1250770</v>
      </c>
      <c r="C2327" s="213">
        <f>IFERROR(__xludf.DUMMYFUNCTION("""COMPUTED_VALUE"""),45969.6112037037)</f>
        <v>45969.6112</v>
      </c>
      <c r="D2327" s="211" t="str">
        <f>IFERROR(__xludf.DUMMYFUNCTION("""COMPUTED_VALUE"""),"f8a982a4")</f>
        <v>f8a982a4</v>
      </c>
      <c r="E2327" s="211" t="str">
        <f>IFERROR(__xludf.DUMMYFUNCTION("""COMPUTED_VALUE"""),"Bpk. Nasir")</f>
        <v>Bpk. Nasir</v>
      </c>
      <c r="F2327" s="211" t="str">
        <f>IFERROR(__xludf.DUMMYFUNCTION("""COMPUTED_VALUE"""),"7d2764f1")</f>
        <v>7d2764f1</v>
      </c>
      <c r="G2327" s="211" t="str">
        <f>IFERROR(__xludf.DUMMYFUNCTION("""COMPUTED_VALUE"""),"Oksigen 7m3")</f>
        <v>Oksigen 7m3</v>
      </c>
      <c r="H2327" s="211" t="str">
        <f>IFERROR(__xludf.DUMMYFUNCTION("""COMPUTED_VALUE"""),"IN")</f>
        <v>IN</v>
      </c>
      <c r="I2327" s="211" t="str">
        <f>IFERROR(__xludf.DUMMYFUNCTION("""COMPUTED_VALUE"""),"EMPTY")</f>
        <v>EMPTY</v>
      </c>
      <c r="J2327" s="211">
        <f>IFERROR(__xludf.DUMMYFUNCTION("""COMPUTED_VALUE"""),4.0)</f>
        <v>4</v>
      </c>
      <c r="K2327" s="210" t="str">
        <f>IFERROR(__xludf.DUMMYFUNCTION("""COMPUTED_VALUE"""),"11153 11168 1165 11150")</f>
        <v>11153 11168 1165 11150</v>
      </c>
      <c r="L2327" s="211">
        <f>IFERROR(__xludf.DUMMYFUNCTION("""COMPUTED_VALUE"""),0.0)</f>
        <v>0</v>
      </c>
      <c r="M2327" s="211"/>
      <c r="N2327" s="211"/>
      <c r="O2327" s="211"/>
      <c r="Q2327" s="210" t="str">
        <f>IFERROR(__xludf.DUMMYFUNCTION("""COMPUTED_VALUE"""),"1261122")</f>
        <v>1261122</v>
      </c>
      <c r="R2327" s="210" t="str">
        <f>IFERROR(__xludf.DUMMYFUNCTION("""COMPUTED_VALUE"""),"1261122")</f>
        <v>1261122</v>
      </c>
      <c r="S2327" s="211" t="str">
        <f>IFERROR(__xludf.DUMMYFUNCTION("""COMPUTED_VALUE"""),"1d018c98")</f>
        <v>1d018c98</v>
      </c>
      <c r="T2327" s="211" t="str">
        <f>IFERROR(__xludf.DUMMYFUNCTION("""COMPUTED_VALUE"""),"Mbak Angel")</f>
        <v>Mbak Angel</v>
      </c>
      <c r="U2327" s="215">
        <f>IFERROR(__xludf.DUMMYFUNCTION("""COMPUTED_VALUE"""),46044.369155092594)</f>
        <v>46044.36916</v>
      </c>
      <c r="V2327" s="211" t="str">
        <f>IFERROR(__xludf.DUMMYFUNCTION("""COMPUTED_VALUE"""),"Penambangan Krajan RT 02 RW 01 Balongbendo")</f>
        <v>Penambangan Krajan RT 02 RW 01 Balongbendo</v>
      </c>
      <c r="W2327" s="211" t="str">
        <f>IFERROR(__xludf.DUMMYFUNCTION("""COMPUTED_VALUE"""),"IN")</f>
        <v>IN</v>
      </c>
      <c r="X2327" s="211"/>
    </row>
    <row r="2328">
      <c r="A2328" s="210" t="str">
        <f>IFERROR(__xludf.DUMMYFUNCTION("""COMPUTED_VALUE"""),"1250822")</f>
        <v>1250822</v>
      </c>
      <c r="B2328" s="210" t="str">
        <f>IFERROR(__xludf.DUMMYFUNCTION("""COMPUTED_VALUE"""),"1250822")</f>
        <v>1250822</v>
      </c>
      <c r="C2328" s="213">
        <f>IFERROR(__xludf.DUMMYFUNCTION("""COMPUTED_VALUE"""),45969.63728009259)</f>
        <v>45969.63728</v>
      </c>
      <c r="D2328" s="211" t="str">
        <f>IFERROR(__xludf.DUMMYFUNCTION("""COMPUTED_VALUE"""),"9e5d8274")</f>
        <v>9e5d8274</v>
      </c>
      <c r="E2328" s="211" t="str">
        <f>IFERROR(__xludf.DUMMYFUNCTION("""COMPUTED_VALUE"""),"Bpk. Erry ( Lik Trosobo )")</f>
        <v>Bpk. Erry ( Lik Trosobo )</v>
      </c>
      <c r="F2328" s="211" t="str">
        <f>IFERROR(__xludf.DUMMYFUNCTION("""COMPUTED_VALUE"""),"7d2764f1")</f>
        <v>7d2764f1</v>
      </c>
      <c r="G2328" s="211" t="str">
        <f>IFERROR(__xludf.DUMMYFUNCTION("""COMPUTED_VALUE"""),"Oksigen 7m3")</f>
        <v>Oksigen 7m3</v>
      </c>
      <c r="H2328" s="211" t="str">
        <f>IFERROR(__xludf.DUMMYFUNCTION("""COMPUTED_VALUE"""),"IN")</f>
        <v>IN</v>
      </c>
      <c r="I2328" s="211" t="str">
        <f>IFERROR(__xludf.DUMMYFUNCTION("""COMPUTED_VALUE"""),"EMPTY")</f>
        <v>EMPTY</v>
      </c>
      <c r="J2328" s="211">
        <f>IFERROR(__xludf.DUMMYFUNCTION("""COMPUTED_VALUE"""),1.0)</f>
        <v>1</v>
      </c>
      <c r="K2328" s="210" t="str">
        <f>IFERROR(__xludf.DUMMYFUNCTION("""COMPUTED_VALUE"""),"11214")</f>
        <v>11214</v>
      </c>
      <c r="L2328" s="211">
        <f>IFERROR(__xludf.DUMMYFUNCTION("""COMPUTED_VALUE"""),0.0)</f>
        <v>0</v>
      </c>
      <c r="M2328" s="211"/>
      <c r="N2328" s="211"/>
      <c r="O2328" s="211"/>
      <c r="Q2328" s="210" t="str">
        <f>IFERROR(__xludf.DUMMYFUNCTION("""COMPUTED_VALUE"""),"1261123")</f>
        <v>1261123</v>
      </c>
      <c r="R2328" s="210" t="str">
        <f>IFERROR(__xludf.DUMMYFUNCTION("""COMPUTED_VALUE"""),"1261123")</f>
        <v>1261123</v>
      </c>
      <c r="S2328" s="211" t="str">
        <f>IFERROR(__xludf.DUMMYFUNCTION("""COMPUTED_VALUE"""),"b89c20a1")</f>
        <v>b89c20a1</v>
      </c>
      <c r="T2328" s="211" t="str">
        <f>IFERROR(__xludf.DUMMYFUNCTION("""COMPUTED_VALUE"""),"Harini dini")</f>
        <v>Harini dini</v>
      </c>
      <c r="U2328" s="215">
        <f>IFERROR(__xludf.DUMMYFUNCTION("""COMPUTED_VALUE"""),46044.3875)</f>
        <v>46044.3875</v>
      </c>
      <c r="V2328" s="211" t="str">
        <f>IFERROR(__xludf.DUMMYFUNCTION("""COMPUTED_VALUE"""),"Kraton RT 15 RW 03  Kraton Krian Sidoarjo")</f>
        <v>Kraton RT 15 RW 03  Kraton Krian Sidoarjo</v>
      </c>
      <c r="W2328" s="211" t="str">
        <f>IFERROR(__xludf.DUMMYFUNCTION("""COMPUTED_VALUE"""),"IN")</f>
        <v>IN</v>
      </c>
      <c r="X2328" s="211"/>
    </row>
    <row r="2329">
      <c r="A2329" s="210" t="str">
        <f>IFERROR(__xludf.DUMMYFUNCTION("""COMPUTED_VALUE"""),"112551657")</f>
        <v>112551657</v>
      </c>
      <c r="B2329" s="210" t="str">
        <f>IFERROR(__xludf.DUMMYFUNCTION("""COMPUTED_VALUE"""),"112551657")</f>
        <v>112551657</v>
      </c>
      <c r="C2329" s="213">
        <f>IFERROR(__xludf.DUMMYFUNCTION("""COMPUTED_VALUE"""),45971.35695601852)</f>
        <v>45971.35696</v>
      </c>
      <c r="D2329" s="211" t="str">
        <f>IFERROR(__xludf.DUMMYFUNCTION("""COMPUTED_VALUE"""),"faf71ae5")</f>
        <v>faf71ae5</v>
      </c>
      <c r="E2329" s="211" t="str">
        <f>IFERROR(__xludf.DUMMYFUNCTION("""COMPUTED_VALUE"""),"Bpk. Sampurna")</f>
        <v>Bpk. Sampurna</v>
      </c>
      <c r="F2329" s="211" t="str">
        <f>IFERROR(__xludf.DUMMYFUNCTION("""COMPUTED_VALUE"""),"8bdbe149")</f>
        <v>8bdbe149</v>
      </c>
      <c r="G2329" s="211" t="str">
        <f>IFERROR(__xludf.DUMMYFUNCTION("""COMPUTED_VALUE"""),"Oksigen 6m3")</f>
        <v>Oksigen 6m3</v>
      </c>
      <c r="H2329" s="211" t="str">
        <f>IFERROR(__xludf.DUMMYFUNCTION("""COMPUTED_VALUE"""),"OUT")</f>
        <v>OUT</v>
      </c>
      <c r="I2329" s="211" t="str">
        <f>IFERROR(__xludf.DUMMYFUNCTION("""COMPUTED_VALUE"""),"NORMAL")</f>
        <v>NORMAL</v>
      </c>
      <c r="J2329" s="211">
        <f>IFERROR(__xludf.DUMMYFUNCTION("""COMPUTED_VALUE"""),9.0)</f>
        <v>9</v>
      </c>
      <c r="K2329" s="210" t="str">
        <f>IFERROR(__xludf.DUMMYFUNCTION("""COMPUTED_VALUE"""),"11228 1102 11193 11113 11252 11272 11262 11270 11109")</f>
        <v>11228 1102 11193 11113 11252 11272 11262 11270 11109</v>
      </c>
      <c r="L2329" s="211">
        <f>IFERROR(__xludf.DUMMYFUNCTION("""COMPUTED_VALUE"""),55000.0)</f>
        <v>55000</v>
      </c>
      <c r="M2329" s="211"/>
      <c r="N2329" s="211"/>
      <c r="O2329" s="211"/>
      <c r="Q2329" s="210" t="str">
        <f>IFERROR(__xludf.DUMMYFUNCTION("""COMPUTED_VALUE"""),"012612327")</f>
        <v>012612327</v>
      </c>
      <c r="R2329" s="210" t="str">
        <f>IFERROR(__xludf.DUMMYFUNCTION("""COMPUTED_VALUE"""),"012612327")</f>
        <v>012612327</v>
      </c>
      <c r="S2329" s="211" t="str">
        <f>IFERROR(__xludf.DUMMYFUNCTION("""COMPUTED_VALUE"""),"98c84274")</f>
        <v>98c84274</v>
      </c>
      <c r="T2329" s="211" t="str">
        <f>IFERROR(__xludf.DUMMYFUNCTION("""COMPUTED_VALUE"""),"Bengkel SBM (Pak Hari)")</f>
        <v>Bengkel SBM (Pak Hari)</v>
      </c>
      <c r="U2329" s="215">
        <f>IFERROR(__xludf.DUMMYFUNCTION("""COMPUTED_VALUE"""),46044.391122685185)</f>
        <v>46044.39112</v>
      </c>
      <c r="V232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329" s="211" t="str">
        <f>IFERROR(__xludf.DUMMYFUNCTION("""COMPUTED_VALUE"""),"OUT")</f>
        <v>OUT</v>
      </c>
      <c r="X2329" s="211"/>
    </row>
    <row r="2330">
      <c r="A2330" s="211"/>
      <c r="B2330" s="211"/>
      <c r="C2330" s="211"/>
      <c r="D2330" s="211"/>
      <c r="E2330" s="211"/>
      <c r="F2330" s="211"/>
      <c r="G2330" s="211"/>
      <c r="H2330" s="211"/>
      <c r="I2330" s="211"/>
      <c r="J2330" s="211"/>
      <c r="K2330" s="211"/>
      <c r="L2330" s="211"/>
      <c r="M2330" s="211"/>
      <c r="N2330" s="211"/>
      <c r="O2330" s="211"/>
      <c r="Q2330" s="210" t="str">
        <f>IFERROR(__xludf.DUMMYFUNCTION("""COMPUTED_VALUE"""),"012622330")</f>
        <v>012622330</v>
      </c>
      <c r="R2330" s="210" t="str">
        <f>IFERROR(__xludf.DUMMYFUNCTION("""COMPUTED_VALUE"""),"012622330")</f>
        <v>012622330</v>
      </c>
      <c r="S2330" s="211" t="str">
        <f>IFERROR(__xludf.DUMMYFUNCTION("""COMPUTED_VALUE"""),"98c84274")</f>
        <v>98c84274</v>
      </c>
      <c r="T2330" s="211" t="str">
        <f>IFERROR(__xludf.DUMMYFUNCTION("""COMPUTED_VALUE"""),"Bengkel SBM (Pak Hari)")</f>
        <v>Bengkel SBM (Pak Hari)</v>
      </c>
      <c r="U2330" s="215">
        <f>IFERROR(__xludf.DUMMYFUNCTION("""COMPUTED_VALUE"""),46044.39665509259)</f>
        <v>46044.39666</v>
      </c>
      <c r="V2330"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330" s="211" t="str">
        <f>IFERROR(__xludf.DUMMYFUNCTION("""COMPUTED_VALUE"""),"OUT")</f>
        <v>OUT</v>
      </c>
      <c r="X2330" s="211"/>
    </row>
    <row r="2331">
      <c r="A2331" s="210" t="str">
        <f>IFERROR(__xludf.DUMMYFUNCTION("""COMPUTED_VALUE"""),"112551657")</f>
        <v>112551657</v>
      </c>
      <c r="B2331" s="210" t="str">
        <f>IFERROR(__xludf.DUMMYFUNCTION("""COMPUTED_VALUE"""),"112551657")</f>
        <v>112551657</v>
      </c>
      <c r="C2331" s="213">
        <f>IFERROR(__xludf.DUMMYFUNCTION("""COMPUTED_VALUE"""),45971.35695601852)</f>
        <v>45971.35696</v>
      </c>
      <c r="D2331" s="211" t="str">
        <f>IFERROR(__xludf.DUMMYFUNCTION("""COMPUTED_VALUE"""),"faf71ae5")</f>
        <v>faf71ae5</v>
      </c>
      <c r="E2331" s="211" t="str">
        <f>IFERROR(__xludf.DUMMYFUNCTION("""COMPUTED_VALUE"""),"Bpk. Sampurna")</f>
        <v>Bpk. Sampurna</v>
      </c>
      <c r="F2331" s="211" t="str">
        <f>IFERROR(__xludf.DUMMYFUNCTION("""COMPUTED_VALUE"""),"be525f3b")</f>
        <v>be525f3b</v>
      </c>
      <c r="G2331" s="211" t="str">
        <f>IFERROR(__xludf.DUMMYFUNCTION("""COMPUTED_VALUE"""),"LPG 12kg")</f>
        <v>LPG 12kg</v>
      </c>
      <c r="H2331" s="211" t="str">
        <f>IFERROR(__xludf.DUMMYFUNCTION("""COMPUTED_VALUE"""),"OUT")</f>
        <v>OUT</v>
      </c>
      <c r="I2331" s="211" t="str">
        <f>IFERROR(__xludf.DUMMYFUNCTION("""COMPUTED_VALUE"""),"NORMAL")</f>
        <v>NORMAL</v>
      </c>
      <c r="J2331" s="211">
        <f>IFERROR(__xludf.DUMMYFUNCTION("""COMPUTED_VALUE"""),1.0)</f>
        <v>1</v>
      </c>
      <c r="K2331" s="211"/>
      <c r="L2331" s="211">
        <f>IFERROR(__xludf.DUMMYFUNCTION("""COMPUTED_VALUE"""),100000.0)</f>
        <v>100000</v>
      </c>
      <c r="M2331" s="211"/>
      <c r="N2331" s="211"/>
      <c r="O2331" s="211"/>
      <c r="Q2331" s="210" t="str">
        <f>IFERROR(__xludf.DUMMYFUNCTION("""COMPUTED_VALUE"""),"012632331")</f>
        <v>012632331</v>
      </c>
      <c r="R2331" s="210" t="str">
        <f>IFERROR(__xludf.DUMMYFUNCTION("""COMPUTED_VALUE"""),"012632331")</f>
        <v>012632331</v>
      </c>
      <c r="S2331" s="211" t="str">
        <f>IFERROR(__xludf.DUMMYFUNCTION("""COMPUTED_VALUE"""),"d46989c9")</f>
        <v>d46989c9</v>
      </c>
      <c r="T2331" s="211" t="str">
        <f>IFERROR(__xludf.DUMMYFUNCTION("""COMPUTED_VALUE"""),"UD. Alin Jaya")</f>
        <v>UD. Alin Jaya</v>
      </c>
      <c r="U2331" s="215">
        <f>IFERROR(__xludf.DUMMYFUNCTION("""COMPUTED_VALUE"""),46044.43340277778)</f>
        <v>46044.4334</v>
      </c>
      <c r="V2331"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331" s="211" t="str">
        <f>IFERROR(__xludf.DUMMYFUNCTION("""COMPUTED_VALUE"""),"OUT")</f>
        <v>OUT</v>
      </c>
      <c r="X2331" s="211"/>
    </row>
    <row r="2332">
      <c r="A2332" s="210" t="str">
        <f>IFERROR(__xludf.DUMMYFUNCTION("""COMPUTED_VALUE"""),"112551657")</f>
        <v>112551657</v>
      </c>
      <c r="B2332" s="210" t="str">
        <f>IFERROR(__xludf.DUMMYFUNCTION("""COMPUTED_VALUE"""),"112551657")</f>
        <v>112551657</v>
      </c>
      <c r="C2332" s="213">
        <f>IFERROR(__xludf.DUMMYFUNCTION("""COMPUTED_VALUE"""),45971.35695601852)</f>
        <v>45971.35696</v>
      </c>
      <c r="D2332" s="211" t="str">
        <f>IFERROR(__xludf.DUMMYFUNCTION("""COMPUTED_VALUE"""),"faf71ae5")</f>
        <v>faf71ae5</v>
      </c>
      <c r="E2332" s="211" t="str">
        <f>IFERROR(__xludf.DUMMYFUNCTION("""COMPUTED_VALUE"""),"Bpk. Sampurna")</f>
        <v>Bpk. Sampurna</v>
      </c>
      <c r="F2332" s="211" t="str">
        <f>IFERROR(__xludf.DUMMYFUNCTION("""COMPUTED_VALUE"""),"7d2764f1")</f>
        <v>7d2764f1</v>
      </c>
      <c r="G2332" s="211" t="str">
        <f>IFERROR(__xludf.DUMMYFUNCTION("""COMPUTED_VALUE"""),"Oksigen 7m3")</f>
        <v>Oksigen 7m3</v>
      </c>
      <c r="H2332" s="211" t="str">
        <f>IFERROR(__xludf.DUMMYFUNCTION("""COMPUTED_VALUE"""),"OUT")</f>
        <v>OUT</v>
      </c>
      <c r="I2332" s="211" t="str">
        <f>IFERROR(__xludf.DUMMYFUNCTION("""COMPUTED_VALUE"""),"NORMAL")</f>
        <v>NORMAL</v>
      </c>
      <c r="J2332" s="211">
        <f>IFERROR(__xludf.DUMMYFUNCTION("""COMPUTED_VALUE"""),6.0)</f>
        <v>6</v>
      </c>
      <c r="K2332" s="210" t="str">
        <f>IFERROR(__xludf.DUMMYFUNCTION("""COMPUTED_VALUE"""),"11141 11166 11168 11150 11153 01")</f>
        <v>11141 11166 11168 11150 11153 01</v>
      </c>
      <c r="L2332" s="211">
        <f>IFERROR(__xludf.DUMMYFUNCTION("""COMPUTED_VALUE"""),55000.0)</f>
        <v>55000</v>
      </c>
      <c r="M2332" s="211"/>
      <c r="N2332" s="211"/>
      <c r="O2332" s="211"/>
      <c r="Q2332" s="210" t="str">
        <f>IFERROR(__xludf.DUMMYFUNCTION("""COMPUTED_VALUE"""),"0126752332")</f>
        <v>0126752332</v>
      </c>
      <c r="R2332" s="210" t="str">
        <f>IFERROR(__xludf.DUMMYFUNCTION("""COMPUTED_VALUE"""),"0126752332")</f>
        <v>0126752332</v>
      </c>
      <c r="S2332" s="211" t="str">
        <f>IFERROR(__xludf.DUMMYFUNCTION("""COMPUTED_VALUE"""),"e86baf3b")</f>
        <v>e86baf3b</v>
      </c>
      <c r="T2332" s="211" t="str">
        <f>IFERROR(__xludf.DUMMYFUNCTION("""COMPUTED_VALUE"""),"PT GEMILANG CIPTA WAWASAN")</f>
        <v>PT GEMILANG CIPTA WAWASAN</v>
      </c>
      <c r="U2332" s="215">
        <f>IFERROR(__xludf.DUMMYFUNCTION("""COMPUTED_VALUE"""),46044.433703703704)</f>
        <v>46044.4337</v>
      </c>
      <c r="V2332" s="211" t="str">
        <f>IFERROR(__xludf.DUMMYFUNCTION("""COMPUTED_VALUE"""),"JL TEBET RAYA, 2A, TEBET BARAT, TEBET, KOTA ADM, JAKARTA SELATAN, DKI JAKARTA")</f>
        <v>JL TEBET RAYA, 2A, TEBET BARAT, TEBET, KOTA ADM, JAKARTA SELATAN, DKI JAKARTA</v>
      </c>
      <c r="W2332" s="211" t="str">
        <f>IFERROR(__xludf.DUMMYFUNCTION("""COMPUTED_VALUE"""),"OUT")</f>
        <v>OUT</v>
      </c>
      <c r="X2332" s="211"/>
    </row>
    <row r="2333">
      <c r="A2333" s="210" t="str">
        <f>IFERROR(__xludf.DUMMYFUNCTION("""COMPUTED_VALUE"""),"112551657")</f>
        <v>112551657</v>
      </c>
      <c r="B2333" s="210" t="str">
        <f>IFERROR(__xludf.DUMMYFUNCTION("""COMPUTED_VALUE"""),"112551657")</f>
        <v>112551657</v>
      </c>
      <c r="C2333" s="213">
        <f>IFERROR(__xludf.DUMMYFUNCTION("""COMPUTED_VALUE"""),45971.35695601852)</f>
        <v>45971.35696</v>
      </c>
      <c r="D2333" s="211" t="str">
        <f>IFERROR(__xludf.DUMMYFUNCTION("""COMPUTED_VALUE"""),"faf71ae5")</f>
        <v>faf71ae5</v>
      </c>
      <c r="E2333" s="211" t="str">
        <f>IFERROR(__xludf.DUMMYFUNCTION("""COMPUTED_VALUE"""),"Bpk. Sampurna")</f>
        <v>Bpk. Sampurna</v>
      </c>
      <c r="F2333" s="211" t="str">
        <f>IFERROR(__xludf.DUMMYFUNCTION("""COMPUTED_VALUE"""),"f13ba52f")</f>
        <v>f13ba52f</v>
      </c>
      <c r="G2333" s="211" t="str">
        <f>IFERROR(__xludf.DUMMYFUNCTION("""COMPUTED_VALUE"""),"Ongkos Kirim (Non PPN)")</f>
        <v>Ongkos Kirim (Non PPN)</v>
      </c>
      <c r="H2333" s="211" t="str">
        <f>IFERROR(__xludf.DUMMYFUNCTION("""COMPUTED_VALUE"""),"OUT")</f>
        <v>OUT</v>
      </c>
      <c r="I2333" s="211" t="str">
        <f>IFERROR(__xludf.DUMMYFUNCTION("""COMPUTED_VALUE"""),"NORMAL")</f>
        <v>NORMAL</v>
      </c>
      <c r="J2333" s="211">
        <f>IFERROR(__xludf.DUMMYFUNCTION("""COMPUTED_VALUE"""),1.0)</f>
        <v>1</v>
      </c>
      <c r="K2333" s="211"/>
      <c r="L2333" s="211">
        <f>IFERROR(__xludf.DUMMYFUNCTION("""COMPUTED_VALUE"""),50000.0)</f>
        <v>50000</v>
      </c>
      <c r="M2333" s="211"/>
      <c r="N2333" s="211"/>
      <c r="O2333" s="211"/>
      <c r="Q2333" s="210" t="str">
        <f>IFERROR(__xludf.DUMMYFUNCTION("""COMPUTED_VALUE"""),"0126752333")</f>
        <v>0126752333</v>
      </c>
      <c r="R2333" s="210" t="str">
        <f>IFERROR(__xludf.DUMMYFUNCTION("""COMPUTED_VALUE"""),"0126752333")</f>
        <v>0126752333</v>
      </c>
      <c r="S2333" s="211" t="str">
        <f>IFERROR(__xludf.DUMMYFUNCTION("""COMPUTED_VALUE"""),"b2b5f2c5")</f>
        <v>b2b5f2c5</v>
      </c>
      <c r="T2333" s="211" t="str">
        <f>IFERROR(__xludf.DUMMYFUNCTION("""COMPUTED_VALUE"""),"Bengkel Las Bpk. Ari")</f>
        <v>Bengkel Las Bpk. Ari</v>
      </c>
      <c r="U2333" s="215">
        <f>IFERROR(__xludf.DUMMYFUNCTION("""COMPUTED_VALUE"""),46044.44074074074)</f>
        <v>46044.44074</v>
      </c>
      <c r="V2333" s="211" t="str">
        <f>IFERROR(__xludf.DUMMYFUNCTION("""COMPUTED_VALUE"""),"Sumber Kembar, Wonodadi, Kec. Kutorejo, Kabupaten Mojokerto, Jawa Timur")</f>
        <v>Sumber Kembar, Wonodadi, Kec. Kutorejo, Kabupaten Mojokerto, Jawa Timur</v>
      </c>
      <c r="W2333" s="211" t="str">
        <f>IFERROR(__xludf.DUMMYFUNCTION("""COMPUTED_VALUE"""),"OUT")</f>
        <v>OUT</v>
      </c>
      <c r="X2333" s="211"/>
    </row>
    <row r="2334">
      <c r="A2334" s="210" t="str">
        <f>IFERROR(__xludf.DUMMYFUNCTION("""COMPUTED_VALUE"""),"4112521546")</f>
        <v>4112521546</v>
      </c>
      <c r="B2334" s="210" t="str">
        <f>IFERROR(__xludf.DUMMYFUNCTION("""COMPUTED_VALUE"""),"4112521546")</f>
        <v>4112521546</v>
      </c>
      <c r="C2334" s="213">
        <f>IFERROR(__xludf.DUMMYFUNCTION("""COMPUTED_VALUE"""),45971.36813657408)</f>
        <v>45971.36814</v>
      </c>
      <c r="D2334" s="211" t="str">
        <f>IFERROR(__xludf.DUMMYFUNCTION("""COMPUTED_VALUE"""),"4ec68cf6")</f>
        <v>4ec68cf6</v>
      </c>
      <c r="E2334" s="211" t="str">
        <f>IFERROR(__xludf.DUMMYFUNCTION("""COMPUTED_VALUE"""),"CV Sido Mukti Karya")</f>
        <v>CV Sido Mukti Karya</v>
      </c>
      <c r="F2334" s="211" t="str">
        <f>IFERROR(__xludf.DUMMYFUNCTION("""COMPUTED_VALUE"""),"ef306e54")</f>
        <v>ef306e54</v>
      </c>
      <c r="G2334" s="211" t="str">
        <f>IFERROR(__xludf.DUMMYFUNCTION("""COMPUTED_VALUE"""),"Karbondioksida")</f>
        <v>Karbondioksida</v>
      </c>
      <c r="H2334" s="211" t="str">
        <f>IFERROR(__xludf.DUMMYFUNCTION("""COMPUTED_VALUE"""),"OTHER")</f>
        <v>OTHER</v>
      </c>
      <c r="I2334" s="211" t="str">
        <f>IFERROR(__xludf.DUMMYFUNCTION("""COMPUTED_VALUE"""),"RETUR CLAIM")</f>
        <v>RETUR CLAIM</v>
      </c>
      <c r="J2334" s="211">
        <f>IFERROR(__xludf.DUMMYFUNCTION("""COMPUTED_VALUE"""),1.0)</f>
        <v>1</v>
      </c>
      <c r="K2334" s="210" t="str">
        <f>IFERROR(__xludf.DUMMYFUNCTION("""COMPUTED_VALUE"""),"13040")</f>
        <v>13040</v>
      </c>
      <c r="L2334" s="211">
        <f>IFERROR(__xludf.DUMMYFUNCTION("""COMPUTED_VALUE"""),0.0)</f>
        <v>0</v>
      </c>
      <c r="M2334" s="211"/>
      <c r="N2334" s="211"/>
      <c r="O2334" s="211"/>
      <c r="Q2334" s="210" t="str">
        <f>IFERROR(__xludf.DUMMYFUNCTION("""COMPUTED_VALUE"""),"1261133")</f>
        <v>1261133</v>
      </c>
      <c r="R2334" s="210" t="str">
        <f>IFERROR(__xludf.DUMMYFUNCTION("""COMPUTED_VALUE"""),"1261133")</f>
        <v>1261133</v>
      </c>
      <c r="S2334" s="211" t="str">
        <f>IFERROR(__xludf.DUMMYFUNCTION("""COMPUTED_VALUE"""),"a0f0ad2d")</f>
        <v>a0f0ad2d</v>
      </c>
      <c r="T2334" s="211" t="str">
        <f>IFERROR(__xludf.DUMMYFUNCTION("""COMPUTED_VALUE"""),"CV. Yulie Jaya")</f>
        <v>CV. Yulie Jaya</v>
      </c>
      <c r="U2334" s="215">
        <f>IFERROR(__xludf.DUMMYFUNCTION("""COMPUTED_VALUE"""),46044.58099537037)</f>
        <v>46044.581</v>
      </c>
      <c r="V2334" s="211" t="str">
        <f>IFERROR(__xludf.DUMMYFUNCTION("""COMPUTED_VALUE"""),"JJH4+6RV, Badas, Barengkrajan, Kec. Krian, Kabupaten Sidoarjo, Jawa Timur 61262")</f>
        <v>JJH4+6RV, Badas, Barengkrajan, Kec. Krian, Kabupaten Sidoarjo, Jawa Timur 61262</v>
      </c>
      <c r="W2334" s="211" t="str">
        <f>IFERROR(__xludf.DUMMYFUNCTION("""COMPUTED_VALUE"""),"IN")</f>
        <v>IN</v>
      </c>
      <c r="X2334" s="211"/>
    </row>
    <row r="2335">
      <c r="A2335" s="210" t="str">
        <f>IFERROR(__xludf.DUMMYFUNCTION("""COMPUTED_VALUE"""),"3fa935b9")</f>
        <v>3fa935b9</v>
      </c>
      <c r="B2335" s="210" t="str">
        <f>IFERROR(__xludf.DUMMYFUNCTION("""COMPUTED_VALUE"""),"3fa935b9")</f>
        <v>3fa935b9</v>
      </c>
      <c r="C2335" s="213">
        <f>IFERROR(__xludf.DUMMYFUNCTION("""COMPUTED_VALUE"""),45766.4875)</f>
        <v>45766.4875</v>
      </c>
      <c r="D2335" s="211" t="str">
        <f>IFERROR(__xludf.DUMMYFUNCTION("""COMPUTED_VALUE"""),"ed2cc96a")</f>
        <v>ed2cc96a</v>
      </c>
      <c r="E2335" s="211" t="str">
        <f>IFERROR(__xludf.DUMMYFUNCTION("""COMPUTED_VALUE"""),"Bengkel Dian Jaya")</f>
        <v>Bengkel Dian Jaya</v>
      </c>
      <c r="F2335" s="211" t="str">
        <f>IFERROR(__xludf.DUMMYFUNCTION("""COMPUTED_VALUE"""),"be525f3b")</f>
        <v>be525f3b</v>
      </c>
      <c r="G2335" s="211" t="str">
        <f>IFERROR(__xludf.DUMMYFUNCTION("""COMPUTED_VALUE"""),"LPG 12kg")</f>
        <v>LPG 12kg</v>
      </c>
      <c r="H2335" s="211" t="str">
        <f>IFERROR(__xludf.DUMMYFUNCTION("""COMPUTED_VALUE"""),"IN")</f>
        <v>IN</v>
      </c>
      <c r="I2335" s="211" t="str">
        <f>IFERROR(__xludf.DUMMYFUNCTION("""COMPUTED_VALUE"""),"EMPTY")</f>
        <v>EMPTY</v>
      </c>
      <c r="J2335" s="211">
        <f>IFERROR(__xludf.DUMMYFUNCTION("""COMPUTED_VALUE"""),1.0)</f>
        <v>1</v>
      </c>
      <c r="K2335" s="211"/>
      <c r="L2335" s="211">
        <f>IFERROR(__xludf.DUMMYFUNCTION("""COMPUTED_VALUE"""),0.0)</f>
        <v>0</v>
      </c>
      <c r="M2335" s="211"/>
      <c r="N2335" s="211"/>
      <c r="O2335" s="211"/>
      <c r="Q2335" s="210" t="str">
        <f>IFERROR(__xludf.DUMMYFUNCTION("""COMPUTED_VALUE"""),"1261135")</f>
        <v>1261135</v>
      </c>
      <c r="R2335" s="210" t="str">
        <f>IFERROR(__xludf.DUMMYFUNCTION("""COMPUTED_VALUE"""),"1261135")</f>
        <v>1261135</v>
      </c>
      <c r="S2335" s="211" t="str">
        <f>IFERROR(__xludf.DUMMYFUNCTION("""COMPUTED_VALUE"""),"b2b5f2c5")</f>
        <v>b2b5f2c5</v>
      </c>
      <c r="T2335" s="211" t="str">
        <f>IFERROR(__xludf.DUMMYFUNCTION("""COMPUTED_VALUE"""),"Bengkel Las Bpk. Ari")</f>
        <v>Bengkel Las Bpk. Ari</v>
      </c>
      <c r="U2335" s="215">
        <f>IFERROR(__xludf.DUMMYFUNCTION("""COMPUTED_VALUE"""),46044.58162037037)</f>
        <v>46044.58162</v>
      </c>
      <c r="V2335" s="211" t="str">
        <f>IFERROR(__xludf.DUMMYFUNCTION("""COMPUTED_VALUE"""),"Sumber Kembar, Wonodadi, Kec. Kutorejo, Kabupaten Mojokerto, Jawa Timur")</f>
        <v>Sumber Kembar, Wonodadi, Kec. Kutorejo, Kabupaten Mojokerto, Jawa Timur</v>
      </c>
      <c r="W2335" s="211" t="str">
        <f>IFERROR(__xludf.DUMMYFUNCTION("""COMPUTED_VALUE"""),"IN")</f>
        <v>IN</v>
      </c>
      <c r="X2335" s="211"/>
    </row>
    <row r="2336">
      <c r="A2336" s="210" t="str">
        <f>IFERROR(__xludf.DUMMYFUNCTION("""COMPUTED_VALUE"""),"1250772")</f>
        <v>1250772</v>
      </c>
      <c r="B2336" s="210" t="str">
        <f>IFERROR(__xludf.DUMMYFUNCTION("""COMPUTED_VALUE"""),"1250772")</f>
        <v>1250772</v>
      </c>
      <c r="C2336" s="213">
        <f>IFERROR(__xludf.DUMMYFUNCTION("""COMPUTED_VALUE"""),45971.389560185184)</f>
        <v>45971.38956</v>
      </c>
      <c r="D2336" s="211" t="str">
        <f>IFERROR(__xludf.DUMMYFUNCTION("""COMPUTED_VALUE"""),"4ec68cf6")</f>
        <v>4ec68cf6</v>
      </c>
      <c r="E2336" s="211" t="str">
        <f>IFERROR(__xludf.DUMMYFUNCTION("""COMPUTED_VALUE"""),"CV Sido Mukti Karya")</f>
        <v>CV Sido Mukti Karya</v>
      </c>
      <c r="F2336" s="211" t="str">
        <f>IFERROR(__xludf.DUMMYFUNCTION("""COMPUTED_VALUE"""),"7d2764f1")</f>
        <v>7d2764f1</v>
      </c>
      <c r="G2336" s="211" t="str">
        <f>IFERROR(__xludf.DUMMYFUNCTION("""COMPUTED_VALUE"""),"Oksigen 7m3")</f>
        <v>Oksigen 7m3</v>
      </c>
      <c r="H2336" s="211" t="str">
        <f>IFERROR(__xludf.DUMMYFUNCTION("""COMPUTED_VALUE"""),"IN")</f>
        <v>IN</v>
      </c>
      <c r="I2336" s="211" t="str">
        <f>IFERROR(__xludf.DUMMYFUNCTION("""COMPUTED_VALUE"""),"EMPTY")</f>
        <v>EMPTY</v>
      </c>
      <c r="J2336" s="211">
        <f>IFERROR(__xludf.DUMMYFUNCTION("""COMPUTED_VALUE"""),1.0)</f>
        <v>1</v>
      </c>
      <c r="K2336" s="210" t="str">
        <f>IFERROR(__xludf.DUMMYFUNCTION("""COMPUTED_VALUE"""),"11162")</f>
        <v>11162</v>
      </c>
      <c r="L2336" s="211">
        <f>IFERROR(__xludf.DUMMYFUNCTION("""COMPUTED_VALUE"""),0.0)</f>
        <v>0</v>
      </c>
      <c r="M2336" s="211"/>
      <c r="N2336" s="211"/>
      <c r="O2336" s="211"/>
      <c r="Q2336" s="210" t="str">
        <f>IFERROR(__xludf.DUMMYFUNCTION("""COMPUTED_VALUE"""),"1261134")</f>
        <v>1261134</v>
      </c>
      <c r="R2336" s="210" t="str">
        <f>IFERROR(__xludf.DUMMYFUNCTION("""COMPUTED_VALUE"""),"1261134")</f>
        <v>1261134</v>
      </c>
      <c r="S2336" s="211" t="str">
        <f>IFERROR(__xludf.DUMMYFUNCTION("""COMPUTED_VALUE"""),"9828dfc5")</f>
        <v>9828dfc5</v>
      </c>
      <c r="T2336" s="211" t="str">
        <f>IFERROR(__xludf.DUMMYFUNCTION("""COMPUTED_VALUE"""),"Bpk. David")</f>
        <v>Bpk. David</v>
      </c>
      <c r="U2336" s="215">
        <f>IFERROR(__xludf.DUMMYFUNCTION("""COMPUTED_VALUE"""),46044.58211805556)</f>
        <v>46044.58212</v>
      </c>
      <c r="V2336" s="211" t="str">
        <f>IFERROR(__xludf.DUMMYFUNCTION("""COMPUTED_VALUE"""),"GHF3+R34, Jl. Kartini, Ngingas, Ngimbangan, Kec. Mojosari, Kabupaten Mojokerto, Jawa Timur 61382")</f>
        <v>GHF3+R34, Jl. Kartini, Ngingas, Ngimbangan, Kec. Mojosari, Kabupaten Mojokerto, Jawa Timur 61382</v>
      </c>
      <c r="W2336" s="211" t="str">
        <f>IFERROR(__xludf.DUMMYFUNCTION("""COMPUTED_VALUE"""),"IN")</f>
        <v>IN</v>
      </c>
      <c r="X2336" s="211"/>
    </row>
    <row r="2337">
      <c r="A2337" s="211"/>
      <c r="B2337" s="211"/>
      <c r="C2337" s="211"/>
      <c r="D2337" s="211"/>
      <c r="E2337" s="211"/>
      <c r="F2337" s="211"/>
      <c r="G2337" s="211"/>
      <c r="H2337" s="211"/>
      <c r="I2337" s="211"/>
      <c r="J2337" s="211"/>
      <c r="K2337" s="211"/>
      <c r="L2337" s="211"/>
      <c r="M2337" s="211"/>
      <c r="N2337" s="211"/>
      <c r="O2337" s="211"/>
      <c r="Q2337" s="210" t="str">
        <f>IFERROR(__xludf.DUMMYFUNCTION("""COMPUTED_VALUE"""),"0126162334")</f>
        <v>0126162334</v>
      </c>
      <c r="R2337" s="210" t="str">
        <f>IFERROR(__xludf.DUMMYFUNCTION("""COMPUTED_VALUE"""),"0126162334")</f>
        <v>0126162334</v>
      </c>
      <c r="S2337" s="211" t="str">
        <f>IFERROR(__xludf.DUMMYFUNCTION("""COMPUTED_VALUE"""),"63fc688a")</f>
        <v>63fc688a</v>
      </c>
      <c r="T2337" s="211" t="str">
        <f>IFERROR(__xludf.DUMMYFUNCTION("""COMPUTED_VALUE"""),"CV Malik Nusantara")</f>
        <v>CV Malik Nusantara</v>
      </c>
      <c r="U2337" s="215">
        <f>IFERROR(__xludf.DUMMYFUNCTION("""COMPUTED_VALUE"""),46044.61096064815)</f>
        <v>46044.61096</v>
      </c>
      <c r="V2337" s="211" t="str">
        <f>IFERROR(__xludf.DUMMYFUNCTION("""COMPUTED_VALUE"""),"Jl. Raya Balongbendo No.12, Suwaluh Utara, Suwaluh, Kec. BalongBendo, Kabupaten Sidoarjo, Jawa Timur 61263")</f>
        <v>Jl. Raya Balongbendo No.12, Suwaluh Utara, Suwaluh, Kec. BalongBendo, Kabupaten Sidoarjo, Jawa Timur 61263</v>
      </c>
      <c r="W2337" s="211" t="str">
        <f>IFERROR(__xludf.DUMMYFUNCTION("""COMPUTED_VALUE"""),"OUT")</f>
        <v>OUT</v>
      </c>
      <c r="X2337" s="211"/>
    </row>
    <row r="2338">
      <c r="A2338" s="210" t="str">
        <f>IFERROR(__xludf.DUMMYFUNCTION("""COMPUTED_VALUE"""),"1250772")</f>
        <v>1250772</v>
      </c>
      <c r="B2338" s="210" t="str">
        <f>IFERROR(__xludf.DUMMYFUNCTION("""COMPUTED_VALUE"""),"1250772")</f>
        <v>1250772</v>
      </c>
      <c r="C2338" s="213">
        <f>IFERROR(__xludf.DUMMYFUNCTION("""COMPUTED_VALUE"""),45971.389560185184)</f>
        <v>45971.38956</v>
      </c>
      <c r="D2338" s="211" t="str">
        <f>IFERROR(__xludf.DUMMYFUNCTION("""COMPUTED_VALUE"""),"4ec68cf6")</f>
        <v>4ec68cf6</v>
      </c>
      <c r="E2338" s="211" t="str">
        <f>IFERROR(__xludf.DUMMYFUNCTION("""COMPUTED_VALUE"""),"CV Sido Mukti Karya")</f>
        <v>CV Sido Mukti Karya</v>
      </c>
      <c r="F2338" s="211" t="str">
        <f>IFERROR(__xludf.DUMMYFUNCTION("""COMPUTED_VALUE"""),"ef306e54")</f>
        <v>ef306e54</v>
      </c>
      <c r="G2338" s="211" t="str">
        <f>IFERROR(__xludf.DUMMYFUNCTION("""COMPUTED_VALUE"""),"Karbondioksida")</f>
        <v>Karbondioksida</v>
      </c>
      <c r="H2338" s="211" t="str">
        <f>IFERROR(__xludf.DUMMYFUNCTION("""COMPUTED_VALUE"""),"IN")</f>
        <v>IN</v>
      </c>
      <c r="I2338" s="211" t="str">
        <f>IFERROR(__xludf.DUMMYFUNCTION("""COMPUTED_VALUE"""),"EMPTY")</f>
        <v>EMPTY</v>
      </c>
      <c r="J2338" s="211">
        <f>IFERROR(__xludf.DUMMYFUNCTION("""COMPUTED_VALUE"""),2.0)</f>
        <v>2</v>
      </c>
      <c r="K2338" s="210" t="str">
        <f>IFERROR(__xludf.DUMMYFUNCTION("""COMPUTED_VALUE"""),"13003 13010")</f>
        <v>13003 13010</v>
      </c>
      <c r="L2338" s="211">
        <f>IFERROR(__xludf.DUMMYFUNCTION("""COMPUTED_VALUE"""),0.0)</f>
        <v>0</v>
      </c>
      <c r="M2338" s="211"/>
      <c r="N2338" s="211"/>
      <c r="O2338" s="211"/>
      <c r="Q2338" s="210" t="str">
        <f>IFERROR(__xludf.DUMMYFUNCTION("""COMPUTED_VALUE"""),"1261124")</f>
        <v>1261124</v>
      </c>
      <c r="R2338" s="210" t="str">
        <f>IFERROR(__xludf.DUMMYFUNCTION("""COMPUTED_VALUE"""),"1261124")</f>
        <v>1261124</v>
      </c>
      <c r="S2338" s="211" t="str">
        <f>IFERROR(__xludf.DUMMYFUNCTION("""COMPUTED_VALUE"""),"d46989c9")</f>
        <v>d46989c9</v>
      </c>
      <c r="T2338" s="211" t="str">
        <f>IFERROR(__xludf.DUMMYFUNCTION("""COMPUTED_VALUE"""),"UD. Alin Jaya")</f>
        <v>UD. Alin Jaya</v>
      </c>
      <c r="U2338" s="215">
        <f>IFERROR(__xludf.DUMMYFUNCTION("""COMPUTED_VALUE"""),46044.619988425926)</f>
        <v>46044.61999</v>
      </c>
      <c r="V2338"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338" s="211" t="str">
        <f>IFERROR(__xludf.DUMMYFUNCTION("""COMPUTED_VALUE"""),"IN")</f>
        <v>IN</v>
      </c>
      <c r="X2338" s="211"/>
    </row>
    <row r="2339">
      <c r="A2339" s="210" t="str">
        <f>IFERROR(__xludf.DUMMYFUNCTION("""COMPUTED_VALUE"""),"1250772")</f>
        <v>1250772</v>
      </c>
      <c r="B2339" s="210" t="str">
        <f>IFERROR(__xludf.DUMMYFUNCTION("""COMPUTED_VALUE"""),"1250772")</f>
        <v>1250772</v>
      </c>
      <c r="C2339" s="213">
        <f>IFERROR(__xludf.DUMMYFUNCTION("""COMPUTED_VALUE"""),45971.389560185184)</f>
        <v>45971.38956</v>
      </c>
      <c r="D2339" s="211" t="str">
        <f>IFERROR(__xludf.DUMMYFUNCTION("""COMPUTED_VALUE"""),"4ec68cf6")</f>
        <v>4ec68cf6</v>
      </c>
      <c r="E2339" s="211" t="str">
        <f>IFERROR(__xludf.DUMMYFUNCTION("""COMPUTED_VALUE"""),"CV Sido Mukti Karya")</f>
        <v>CV Sido Mukti Karya</v>
      </c>
      <c r="F2339" s="211" t="str">
        <f>IFERROR(__xludf.DUMMYFUNCTION("""COMPUTED_VALUE"""),"ef306e54")</f>
        <v>ef306e54</v>
      </c>
      <c r="G2339" s="211" t="str">
        <f>IFERROR(__xludf.DUMMYFUNCTION("""COMPUTED_VALUE"""),"Karbondioksida")</f>
        <v>Karbondioksida</v>
      </c>
      <c r="H2339" s="211" t="str">
        <f>IFERROR(__xludf.DUMMYFUNCTION("""COMPUTED_VALUE"""),"IN")</f>
        <v>IN</v>
      </c>
      <c r="I2339" s="211" t="str">
        <f>IFERROR(__xludf.DUMMYFUNCTION("""COMPUTED_VALUE"""),"CLAIM")</f>
        <v>CLAIM</v>
      </c>
      <c r="J2339" s="211">
        <f>IFERROR(__xludf.DUMMYFUNCTION("""COMPUTED_VALUE"""),1.0)</f>
        <v>1</v>
      </c>
      <c r="K2339" s="210" t="str">
        <f>IFERROR(__xludf.DUMMYFUNCTION("""COMPUTED_VALUE"""),"13034")</f>
        <v>13034</v>
      </c>
      <c r="L2339" s="211">
        <f>IFERROR(__xludf.DUMMYFUNCTION("""COMPUTED_VALUE"""),0.0)</f>
        <v>0</v>
      </c>
      <c r="M2339" s="211"/>
      <c r="N2339" s="211"/>
      <c r="O2339" s="211"/>
      <c r="Q2339" s="210" t="str">
        <f>IFERROR(__xludf.DUMMYFUNCTION("""COMPUTED_VALUE"""),"1261125")</f>
        <v>1261125</v>
      </c>
      <c r="R2339" s="210" t="str">
        <f>IFERROR(__xludf.DUMMYFUNCTION("""COMPUTED_VALUE"""),"1261125")</f>
        <v>1261125</v>
      </c>
      <c r="S2339" s="211" t="str">
        <f>IFERROR(__xludf.DUMMYFUNCTION("""COMPUTED_VALUE"""),"01158be1")</f>
        <v>01158be1</v>
      </c>
      <c r="T2339" s="211" t="str">
        <f>IFERROR(__xludf.DUMMYFUNCTION("""COMPUTED_VALUE"""),"GYF")</f>
        <v>GYF</v>
      </c>
      <c r="U2339" s="215">
        <f>IFERROR(__xludf.DUMMYFUNCTION("""COMPUTED_VALUE"""),46044.62055555556)</f>
        <v>46044.62056</v>
      </c>
      <c r="V2339" s="211" t="str">
        <f>IFERROR(__xludf.DUMMYFUNCTION("""COMPUTED_VALUE"""),"Kangkungan, Lengkong, Kec. Mojoanyar, Kabupaten Mojokerto, Jawa Timur")</f>
        <v>Kangkungan, Lengkong, Kec. Mojoanyar, Kabupaten Mojokerto, Jawa Timur</v>
      </c>
      <c r="W2339" s="211" t="str">
        <f>IFERROR(__xludf.DUMMYFUNCTION("""COMPUTED_VALUE"""),"IN")</f>
        <v>IN</v>
      </c>
      <c r="X2339" s="211"/>
    </row>
    <row r="2340">
      <c r="A2340" s="210" t="str">
        <f>IFERROR(__xludf.DUMMYFUNCTION("""COMPUTED_VALUE"""),"112521662")</f>
        <v>112521662</v>
      </c>
      <c r="B2340" s="210" t="str">
        <f>IFERROR(__xludf.DUMMYFUNCTION("""COMPUTED_VALUE"""),"112521662")</f>
        <v>112521662</v>
      </c>
      <c r="C2340" s="213">
        <f>IFERROR(__xludf.DUMMYFUNCTION("""COMPUTED_VALUE"""),45971.38550925926)</f>
        <v>45971.38551</v>
      </c>
      <c r="D2340" s="211" t="str">
        <f>IFERROR(__xludf.DUMMYFUNCTION("""COMPUTED_VALUE"""),"ca4876e2")</f>
        <v>ca4876e2</v>
      </c>
      <c r="E2340" s="211" t="str">
        <f>IFERROR(__xludf.DUMMYFUNCTION("""COMPUTED_VALUE"""),"Bengkel Mustika Mojosari")</f>
        <v>Bengkel Mustika Mojosari</v>
      </c>
      <c r="F2340" s="211" t="str">
        <f>IFERROR(__xludf.DUMMYFUNCTION("""COMPUTED_VALUE"""),"7d2764f1")</f>
        <v>7d2764f1</v>
      </c>
      <c r="G2340" s="211" t="str">
        <f>IFERROR(__xludf.DUMMYFUNCTION("""COMPUTED_VALUE"""),"Oksigen 7m3")</f>
        <v>Oksigen 7m3</v>
      </c>
      <c r="H2340" s="211" t="str">
        <f>IFERROR(__xludf.DUMMYFUNCTION("""COMPUTED_VALUE"""),"OUT")</f>
        <v>OUT</v>
      </c>
      <c r="I2340" s="211" t="str">
        <f>IFERROR(__xludf.DUMMYFUNCTION("""COMPUTED_VALUE"""),"NORMAL")</f>
        <v>NORMAL</v>
      </c>
      <c r="J2340" s="211">
        <f>IFERROR(__xludf.DUMMYFUNCTION("""COMPUTED_VALUE"""),2.0)</f>
        <v>2</v>
      </c>
      <c r="K2340" s="210" t="str">
        <f>IFERROR(__xludf.DUMMYFUNCTION("""COMPUTED_VALUE"""),"11215 1165")</f>
        <v>11215 1165</v>
      </c>
      <c r="L2340" s="211">
        <f>IFERROR(__xludf.DUMMYFUNCTION("""COMPUTED_VALUE"""),65000.0)</f>
        <v>65000</v>
      </c>
      <c r="M2340" s="211"/>
      <c r="N2340" s="211"/>
      <c r="O2340" s="211"/>
      <c r="Q2340" s="210" t="str">
        <f>IFERROR(__xludf.DUMMYFUNCTION("""COMPUTED_VALUE"""),"1261136")</f>
        <v>1261136</v>
      </c>
      <c r="R2340" s="210" t="str">
        <f>IFERROR(__xludf.DUMMYFUNCTION("""COMPUTED_VALUE"""),"1261136")</f>
        <v>1261136</v>
      </c>
      <c r="S2340" s="211" t="str">
        <f>IFERROR(__xludf.DUMMYFUNCTION("""COMPUTED_VALUE"""),"63fc688a")</f>
        <v>63fc688a</v>
      </c>
      <c r="T2340" s="211" t="str">
        <f>IFERROR(__xludf.DUMMYFUNCTION("""COMPUTED_VALUE"""),"CV Malik Nusantara")</f>
        <v>CV Malik Nusantara</v>
      </c>
      <c r="U2340" s="215">
        <f>IFERROR(__xludf.DUMMYFUNCTION("""COMPUTED_VALUE"""),46044.64876157408)</f>
        <v>46044.64876</v>
      </c>
      <c r="V2340" s="211" t="str">
        <f>IFERROR(__xludf.DUMMYFUNCTION("""COMPUTED_VALUE"""),"Jl. Raya Balongbendo No.12, Suwaluh Utara, Suwaluh, Kec. BalongBendo, Kabupaten Sidoarjo, Jawa Timur 61263")</f>
        <v>Jl. Raya Balongbendo No.12, Suwaluh Utara, Suwaluh, Kec. BalongBendo, Kabupaten Sidoarjo, Jawa Timur 61263</v>
      </c>
      <c r="W2340" s="211" t="str">
        <f>IFERROR(__xludf.DUMMYFUNCTION("""COMPUTED_VALUE"""),"IN")</f>
        <v>IN</v>
      </c>
      <c r="X2340" s="211"/>
    </row>
    <row r="2341">
      <c r="A2341" s="210" t="str">
        <f>IFERROR(__xludf.DUMMYFUNCTION("""COMPUTED_VALUE"""),"1250823")</f>
        <v>1250823</v>
      </c>
      <c r="B2341" s="210" t="str">
        <f>IFERROR(__xludf.DUMMYFUNCTION("""COMPUTED_VALUE"""),"1250823")</f>
        <v>1250823</v>
      </c>
      <c r="C2341" s="213">
        <f>IFERROR(__xludf.DUMMYFUNCTION("""COMPUTED_VALUE"""),45971.49912037037)</f>
        <v>45971.49912</v>
      </c>
      <c r="D2341" s="211" t="str">
        <f>IFERROR(__xludf.DUMMYFUNCTION("""COMPUTED_VALUE"""),"faf71ae5")</f>
        <v>faf71ae5</v>
      </c>
      <c r="E2341" s="211" t="str">
        <f>IFERROR(__xludf.DUMMYFUNCTION("""COMPUTED_VALUE"""),"Bpk. Sampurna")</f>
        <v>Bpk. Sampurna</v>
      </c>
      <c r="F2341" s="211" t="str">
        <f>IFERROR(__xludf.DUMMYFUNCTION("""COMPUTED_VALUE"""),"be525f3b")</f>
        <v>be525f3b</v>
      </c>
      <c r="G2341" s="211" t="str">
        <f>IFERROR(__xludf.DUMMYFUNCTION("""COMPUTED_VALUE"""),"LPG 12kg")</f>
        <v>LPG 12kg</v>
      </c>
      <c r="H2341" s="211" t="str">
        <f>IFERROR(__xludf.DUMMYFUNCTION("""COMPUTED_VALUE"""),"IN")</f>
        <v>IN</v>
      </c>
      <c r="I2341" s="211" t="str">
        <f>IFERROR(__xludf.DUMMYFUNCTION("""COMPUTED_VALUE"""),"EMPTY")</f>
        <v>EMPTY</v>
      </c>
      <c r="J2341" s="211">
        <f>IFERROR(__xludf.DUMMYFUNCTION("""COMPUTED_VALUE"""),1.0)</f>
        <v>1</v>
      </c>
      <c r="K2341" s="211"/>
      <c r="L2341" s="211">
        <f>IFERROR(__xludf.DUMMYFUNCTION("""COMPUTED_VALUE"""),0.0)</f>
        <v>0</v>
      </c>
      <c r="M2341" s="211"/>
      <c r="N2341" s="211"/>
      <c r="O2341" s="211"/>
      <c r="Q2341" s="210" t="str">
        <f>IFERROR(__xludf.DUMMYFUNCTION("""COMPUTED_VALUE"""),"0126392338")</f>
        <v>0126392338</v>
      </c>
      <c r="R2341" s="210" t="str">
        <f>IFERROR(__xludf.DUMMYFUNCTION("""COMPUTED_VALUE"""),"0126392338")</f>
        <v>0126392338</v>
      </c>
      <c r="S2341" s="211" t="str">
        <f>IFERROR(__xludf.DUMMYFUNCTION("""COMPUTED_VALUE"""),"ec231cc9")</f>
        <v>ec231cc9</v>
      </c>
      <c r="T2341" s="211" t="str">
        <f>IFERROR(__xludf.DUMMYFUNCTION("""COMPUTED_VALUE"""),"Bpk. Kohir (Maintenance Velg)")</f>
        <v>Bpk. Kohir (Maintenance Velg)</v>
      </c>
      <c r="U2341" s="215">
        <f>IFERROR(__xludf.DUMMYFUNCTION("""COMPUTED_VALUE"""),46045.378912037035)</f>
        <v>46045.37891</v>
      </c>
      <c r="V2341" s="211" t="str">
        <f>IFERROR(__xludf.DUMMYFUNCTION("""COMPUTED_VALUE"""),"Jl. Lkr. Bypass Krian Timur, Sidogolong, Watugolong, Kec. Krian, Kabupaten Sidoarjo, Jawa Timur 61262")</f>
        <v>Jl. Lkr. Bypass Krian Timur, Sidogolong, Watugolong, Kec. Krian, Kabupaten Sidoarjo, Jawa Timur 61262</v>
      </c>
      <c r="W2341" s="211" t="str">
        <f>IFERROR(__xludf.DUMMYFUNCTION("""COMPUTED_VALUE"""),"OUT")</f>
        <v>OUT</v>
      </c>
      <c r="X2341" s="211"/>
    </row>
    <row r="2342">
      <c r="A2342" s="210" t="str">
        <f>IFERROR(__xludf.DUMMYFUNCTION("""COMPUTED_VALUE"""),"1250823")</f>
        <v>1250823</v>
      </c>
      <c r="B2342" s="210" t="str">
        <f>IFERROR(__xludf.DUMMYFUNCTION("""COMPUTED_VALUE"""),"1250823")</f>
        <v>1250823</v>
      </c>
      <c r="C2342" s="213">
        <f>IFERROR(__xludf.DUMMYFUNCTION("""COMPUTED_VALUE"""),45971.49912037037)</f>
        <v>45971.49912</v>
      </c>
      <c r="D2342" s="211" t="str">
        <f>IFERROR(__xludf.DUMMYFUNCTION("""COMPUTED_VALUE"""),"faf71ae5")</f>
        <v>faf71ae5</v>
      </c>
      <c r="E2342" s="211" t="str">
        <f>IFERROR(__xludf.DUMMYFUNCTION("""COMPUTED_VALUE"""),"Bpk. Sampurna")</f>
        <v>Bpk. Sampurna</v>
      </c>
      <c r="F2342" s="211" t="str">
        <f>IFERROR(__xludf.DUMMYFUNCTION("""COMPUTED_VALUE"""),"8bdbe149")</f>
        <v>8bdbe149</v>
      </c>
      <c r="G2342" s="211" t="str">
        <f>IFERROR(__xludf.DUMMYFUNCTION("""COMPUTED_VALUE"""),"Oksigen 6m3")</f>
        <v>Oksigen 6m3</v>
      </c>
      <c r="H2342" s="211" t="str">
        <f>IFERROR(__xludf.DUMMYFUNCTION("""COMPUTED_VALUE"""),"IN")</f>
        <v>IN</v>
      </c>
      <c r="I2342" s="211" t="str">
        <f>IFERROR(__xludf.DUMMYFUNCTION("""COMPUTED_VALUE"""),"EMPTY")</f>
        <v>EMPTY</v>
      </c>
      <c r="J2342" s="211">
        <f>IFERROR(__xludf.DUMMYFUNCTION("""COMPUTED_VALUE"""),13.0)</f>
        <v>13</v>
      </c>
      <c r="K2342" s="210" t="str">
        <f>IFERROR(__xludf.DUMMYFUNCTION("""COMPUTED_VALUE"""),"11129 11165 11250 1155 11125 1170 11177 1187 11289 1156 11196 11127 048")</f>
        <v>11129 11165 11250 1155 11125 1170 11177 1187 11289 1156 11196 11127 048</v>
      </c>
      <c r="L2342" s="211">
        <f>IFERROR(__xludf.DUMMYFUNCTION("""COMPUTED_VALUE"""),0.0)</f>
        <v>0</v>
      </c>
      <c r="M2342" s="211"/>
      <c r="N2342" s="211"/>
      <c r="O2342" s="211"/>
      <c r="Q2342" s="210" t="str">
        <f>IFERROR(__xludf.DUMMYFUNCTION("""COMPUTED_VALUE"""),"1261127")</f>
        <v>1261127</v>
      </c>
      <c r="R2342" s="210" t="str">
        <f>IFERROR(__xludf.DUMMYFUNCTION("""COMPUTED_VALUE"""),"1261127")</f>
        <v>1261127</v>
      </c>
      <c r="S2342" s="211" t="str">
        <f>IFERROR(__xludf.DUMMYFUNCTION("""COMPUTED_VALUE"""),"ec231cc9")</f>
        <v>ec231cc9</v>
      </c>
      <c r="T2342" s="211" t="str">
        <f>IFERROR(__xludf.DUMMYFUNCTION("""COMPUTED_VALUE"""),"Bpk. Kohir (Maintenance Velg)")</f>
        <v>Bpk. Kohir (Maintenance Velg)</v>
      </c>
      <c r="U2342" s="215">
        <f>IFERROR(__xludf.DUMMYFUNCTION("""COMPUTED_VALUE"""),46045.47346064815)</f>
        <v>46045.47346</v>
      </c>
      <c r="V2342" s="211" t="str">
        <f>IFERROR(__xludf.DUMMYFUNCTION("""COMPUTED_VALUE"""),"Jl. Lkr. Bypass Krian Timur, Sidogolong, Watugolong, Kec. Krian, Kabupaten Sidoarjo, Jawa Timur 61262")</f>
        <v>Jl. Lkr. Bypass Krian Timur, Sidogolong, Watugolong, Kec. Krian, Kabupaten Sidoarjo, Jawa Timur 61262</v>
      </c>
      <c r="W2342" s="211" t="str">
        <f>IFERROR(__xludf.DUMMYFUNCTION("""COMPUTED_VALUE"""),"IN")</f>
        <v>IN</v>
      </c>
      <c r="X2342" s="211"/>
    </row>
    <row r="2343">
      <c r="A2343" s="210" t="str">
        <f>IFERROR(__xludf.DUMMYFUNCTION("""COMPUTED_VALUE"""),"1125191664")</f>
        <v>1125191664</v>
      </c>
      <c r="B2343" s="210" t="str">
        <f>IFERROR(__xludf.DUMMYFUNCTION("""COMPUTED_VALUE"""),"1125191664")</f>
        <v>1125191664</v>
      </c>
      <c r="C2343" s="213">
        <f>IFERROR(__xludf.DUMMYFUNCTION("""COMPUTED_VALUE"""),45971.50270833333)</f>
        <v>45971.50271</v>
      </c>
      <c r="D2343" s="211" t="str">
        <f>IFERROR(__xludf.DUMMYFUNCTION("""COMPUTED_VALUE"""),"e968afef")</f>
        <v>e968afef</v>
      </c>
      <c r="E2343" s="211" t="str">
        <f>IFERROR(__xludf.DUMMYFUNCTION("""COMPUTED_VALUE"""),"Bpk. Agus")</f>
        <v>Bpk. Agus</v>
      </c>
      <c r="F2343" s="211" t="str">
        <f>IFERROR(__xludf.DUMMYFUNCTION("""COMPUTED_VALUE"""),"be525f3b")</f>
        <v>be525f3b</v>
      </c>
      <c r="G2343" s="211" t="str">
        <f>IFERROR(__xludf.DUMMYFUNCTION("""COMPUTED_VALUE"""),"LPG 12kg")</f>
        <v>LPG 12kg</v>
      </c>
      <c r="H2343" s="211" t="str">
        <f>IFERROR(__xludf.DUMMYFUNCTION("""COMPUTED_VALUE"""),"OUT")</f>
        <v>OUT</v>
      </c>
      <c r="I2343" s="211" t="str">
        <f>IFERROR(__xludf.DUMMYFUNCTION("""COMPUTED_VALUE"""),"NORMAL")</f>
        <v>NORMAL</v>
      </c>
      <c r="J2343" s="211">
        <f>IFERROR(__xludf.DUMMYFUNCTION("""COMPUTED_VALUE"""),1.0)</f>
        <v>1</v>
      </c>
      <c r="K2343" s="210" t="str">
        <f>IFERROR(__xludf.DUMMYFUNCTION("""COMPUTED_VALUE"""),"01")</f>
        <v>01</v>
      </c>
      <c r="L2343" s="211">
        <f>IFERROR(__xludf.DUMMYFUNCTION("""COMPUTED_VALUE"""),210000.0)</f>
        <v>210000</v>
      </c>
      <c r="M2343" s="211"/>
      <c r="N2343" s="211"/>
      <c r="O2343" s="211"/>
      <c r="Q2343" s="210" t="str">
        <f>IFERROR(__xludf.DUMMYFUNCTION("""COMPUTED_VALUE"""),"0126102342")</f>
        <v>0126102342</v>
      </c>
      <c r="R2343" s="210" t="str">
        <f>IFERROR(__xludf.DUMMYFUNCTION("""COMPUTED_VALUE"""),"0126102342")</f>
        <v>0126102342</v>
      </c>
      <c r="S2343" s="211" t="str">
        <f>IFERROR(__xludf.DUMMYFUNCTION("""COMPUTED_VALUE"""),"9b941888")</f>
        <v>9b941888</v>
      </c>
      <c r="T2343" s="211" t="str">
        <f>IFERROR(__xludf.DUMMYFUNCTION("""COMPUTED_VALUE"""),"Mas Devi ( Parengan )")</f>
        <v>Mas Devi ( Parengan )</v>
      </c>
      <c r="U2343" s="215">
        <f>IFERROR(__xludf.DUMMYFUNCTION("""COMPUTED_VALUE"""),46045.55484953704)</f>
        <v>46045.55485</v>
      </c>
      <c r="V2343" s="211" t="str">
        <f>IFERROR(__xludf.DUMMYFUNCTION("""COMPUTED_VALUE"""),"Kraton Krian Sidoarjo, ( sebelah tower listrik )")</f>
        <v>Kraton Krian Sidoarjo, ( sebelah tower listrik )</v>
      </c>
      <c r="W2343" s="211" t="str">
        <f>IFERROR(__xludf.DUMMYFUNCTION("""COMPUTED_VALUE"""),"OUT")</f>
        <v>OUT</v>
      </c>
      <c r="X2343" s="211"/>
    </row>
    <row r="2344">
      <c r="A2344" s="210" t="str">
        <f>IFERROR(__xludf.DUMMYFUNCTION("""COMPUTED_VALUE"""),"1125191664")</f>
        <v>1125191664</v>
      </c>
      <c r="B2344" s="210" t="str">
        <f>IFERROR(__xludf.DUMMYFUNCTION("""COMPUTED_VALUE"""),"1125191664")</f>
        <v>1125191664</v>
      </c>
      <c r="C2344" s="213">
        <f>IFERROR(__xludf.DUMMYFUNCTION("""COMPUTED_VALUE"""),45971.50270833333)</f>
        <v>45971.50271</v>
      </c>
      <c r="D2344" s="211" t="str">
        <f>IFERROR(__xludf.DUMMYFUNCTION("""COMPUTED_VALUE"""),"e968afef")</f>
        <v>e968afef</v>
      </c>
      <c r="E2344" s="211" t="str">
        <f>IFERROR(__xludf.DUMMYFUNCTION("""COMPUTED_VALUE"""),"Bpk. Agus")</f>
        <v>Bpk. Agus</v>
      </c>
      <c r="F2344" s="211" t="str">
        <f>IFERROR(__xludf.DUMMYFUNCTION("""COMPUTED_VALUE"""),"8bdbe149")</f>
        <v>8bdbe149</v>
      </c>
      <c r="G2344" s="211" t="str">
        <f>IFERROR(__xludf.DUMMYFUNCTION("""COMPUTED_VALUE"""),"Oksigen 6m3")</f>
        <v>Oksigen 6m3</v>
      </c>
      <c r="H2344" s="211" t="str">
        <f>IFERROR(__xludf.DUMMYFUNCTION("""COMPUTED_VALUE"""),"OUT")</f>
        <v>OUT</v>
      </c>
      <c r="I2344" s="211" t="str">
        <f>IFERROR(__xludf.DUMMYFUNCTION("""COMPUTED_VALUE"""),"NORMAL")</f>
        <v>NORMAL</v>
      </c>
      <c r="J2344" s="211">
        <f>IFERROR(__xludf.DUMMYFUNCTION("""COMPUTED_VALUE"""),7.0)</f>
        <v>7</v>
      </c>
      <c r="K2344" s="210" t="str">
        <f>IFERROR(__xludf.DUMMYFUNCTION("""COMPUTED_VALUE"""),"1181 11185 11180 1115 11106 1140 1107")</f>
        <v>1181 11185 11180 1115 11106 1140 1107</v>
      </c>
      <c r="L2344" s="211">
        <f>IFERROR(__xludf.DUMMYFUNCTION("""COMPUTED_VALUE"""),60000.0)</f>
        <v>60000</v>
      </c>
      <c r="M2344" s="211"/>
      <c r="N2344" s="211"/>
      <c r="O2344" s="211"/>
      <c r="Q2344" s="210" t="str">
        <f>IFERROR(__xludf.DUMMYFUNCTION("""COMPUTED_VALUE"""),"1261126")</f>
        <v>1261126</v>
      </c>
      <c r="R2344" s="210" t="str">
        <f>IFERROR(__xludf.DUMMYFUNCTION("""COMPUTED_VALUE"""),"1261126")</f>
        <v>1261126</v>
      </c>
      <c r="S2344" s="211" t="str">
        <f>IFERROR(__xludf.DUMMYFUNCTION("""COMPUTED_VALUE"""),"b2b5f2c5")</f>
        <v>b2b5f2c5</v>
      </c>
      <c r="T2344" s="211" t="str">
        <f>IFERROR(__xludf.DUMMYFUNCTION("""COMPUTED_VALUE"""),"Bengkel Las Bpk. Ari")</f>
        <v>Bengkel Las Bpk. Ari</v>
      </c>
      <c r="U2344" s="215">
        <f>IFERROR(__xludf.DUMMYFUNCTION("""COMPUTED_VALUE"""),46045.55994212963)</f>
        <v>46045.55994</v>
      </c>
      <c r="V2344" s="211" t="str">
        <f>IFERROR(__xludf.DUMMYFUNCTION("""COMPUTED_VALUE"""),"Sumber Kembar, Wonodadi, Kec. Kutorejo, Kabupaten Mojokerto, Jawa Timur")</f>
        <v>Sumber Kembar, Wonodadi, Kec. Kutorejo, Kabupaten Mojokerto, Jawa Timur</v>
      </c>
      <c r="W2344" s="211" t="str">
        <f>IFERROR(__xludf.DUMMYFUNCTION("""COMPUTED_VALUE"""),"IN")</f>
        <v>IN</v>
      </c>
      <c r="X2344" s="211"/>
    </row>
    <row r="2345">
      <c r="A2345" s="210" t="str">
        <f>IFERROR(__xludf.DUMMYFUNCTION("""COMPUTED_VALUE"""),"1250823")</f>
        <v>1250823</v>
      </c>
      <c r="B2345" s="210" t="str">
        <f>IFERROR(__xludf.DUMMYFUNCTION("""COMPUTED_VALUE"""),"1250823")</f>
        <v>1250823</v>
      </c>
      <c r="C2345" s="213">
        <f>IFERROR(__xludf.DUMMYFUNCTION("""COMPUTED_VALUE"""),45971.49912037037)</f>
        <v>45971.49912</v>
      </c>
      <c r="D2345" s="211" t="str">
        <f>IFERROR(__xludf.DUMMYFUNCTION("""COMPUTED_VALUE"""),"faf71ae5")</f>
        <v>faf71ae5</v>
      </c>
      <c r="E2345" s="211" t="str">
        <f>IFERROR(__xludf.DUMMYFUNCTION("""COMPUTED_VALUE"""),"Bpk. Sampurna")</f>
        <v>Bpk. Sampurna</v>
      </c>
      <c r="F2345" s="211" t="str">
        <f>IFERROR(__xludf.DUMMYFUNCTION("""COMPUTED_VALUE"""),"7d2764f1")</f>
        <v>7d2764f1</v>
      </c>
      <c r="G2345" s="211" t="str">
        <f>IFERROR(__xludf.DUMMYFUNCTION("""COMPUTED_VALUE"""),"Oksigen 7m3")</f>
        <v>Oksigen 7m3</v>
      </c>
      <c r="H2345" s="211" t="str">
        <f>IFERROR(__xludf.DUMMYFUNCTION("""COMPUTED_VALUE"""),"IN")</f>
        <v>IN</v>
      </c>
      <c r="I2345" s="211" t="str">
        <f>IFERROR(__xludf.DUMMYFUNCTION("""COMPUTED_VALUE"""),"EMPTY")</f>
        <v>EMPTY</v>
      </c>
      <c r="J2345" s="211">
        <f>IFERROR(__xludf.DUMMYFUNCTION("""COMPUTED_VALUE"""),2.0)</f>
        <v>2</v>
      </c>
      <c r="K2345" s="210" t="str">
        <f>IFERROR(__xludf.DUMMYFUNCTION("""COMPUTED_VALUE"""),"02 11135")</f>
        <v>02 11135</v>
      </c>
      <c r="L2345" s="211">
        <f>IFERROR(__xludf.DUMMYFUNCTION("""COMPUTED_VALUE"""),0.0)</f>
        <v>0</v>
      </c>
      <c r="M2345" s="211"/>
      <c r="N2345" s="211"/>
      <c r="O2345" s="211"/>
      <c r="Q2345" s="210" t="str">
        <f>IFERROR(__xludf.DUMMYFUNCTION("""COMPUTED_VALUE"""),"1261128")</f>
        <v>1261128</v>
      </c>
      <c r="R2345" s="210" t="str">
        <f>IFERROR(__xludf.DUMMYFUNCTION("""COMPUTED_VALUE"""),"1261128")</f>
        <v>1261128</v>
      </c>
      <c r="S2345" s="211" t="str">
        <f>IFERROR(__xludf.DUMMYFUNCTION("""COMPUTED_VALUE"""),"9b941888")</f>
        <v>9b941888</v>
      </c>
      <c r="T2345" s="211" t="str">
        <f>IFERROR(__xludf.DUMMYFUNCTION("""COMPUTED_VALUE"""),"Mas Devi ( Parengan )")</f>
        <v>Mas Devi ( Parengan )</v>
      </c>
      <c r="U2345" s="215">
        <f>IFERROR(__xludf.DUMMYFUNCTION("""COMPUTED_VALUE"""),46045.59480324074)</f>
        <v>46045.5948</v>
      </c>
      <c r="V2345" s="211" t="str">
        <f>IFERROR(__xludf.DUMMYFUNCTION("""COMPUTED_VALUE"""),"Kraton Krian Sidoarjo, ( sebelah tower listrik )")</f>
        <v>Kraton Krian Sidoarjo, ( sebelah tower listrik )</v>
      </c>
      <c r="W2345" s="211" t="str">
        <f>IFERROR(__xludf.DUMMYFUNCTION("""COMPUTED_VALUE"""),"IN")</f>
        <v>IN</v>
      </c>
      <c r="X2345" s="211"/>
    </row>
    <row r="2346">
      <c r="A2346" s="210" t="str">
        <f>IFERROR(__xludf.DUMMYFUNCTION("""COMPUTED_VALUE"""),"1250824")</f>
        <v>1250824</v>
      </c>
      <c r="B2346" s="210" t="str">
        <f>IFERROR(__xludf.DUMMYFUNCTION("""COMPUTED_VALUE"""),"1250824")</f>
        <v>1250824</v>
      </c>
      <c r="C2346" s="213">
        <f>IFERROR(__xludf.DUMMYFUNCTION("""COMPUTED_VALUE"""),45971.58252314815)</f>
        <v>45971.58252</v>
      </c>
      <c r="D2346" s="211" t="str">
        <f>IFERROR(__xludf.DUMMYFUNCTION("""COMPUTED_VALUE"""),"e968afef")</f>
        <v>e968afef</v>
      </c>
      <c r="E2346" s="211" t="str">
        <f>IFERROR(__xludf.DUMMYFUNCTION("""COMPUTED_VALUE"""),"Bpk. Agus")</f>
        <v>Bpk. Agus</v>
      </c>
      <c r="F2346" s="211" t="str">
        <f>IFERROR(__xludf.DUMMYFUNCTION("""COMPUTED_VALUE"""),"8bdbe149")</f>
        <v>8bdbe149</v>
      </c>
      <c r="G2346" s="211" t="str">
        <f>IFERROR(__xludf.DUMMYFUNCTION("""COMPUTED_VALUE"""),"Oksigen 6m3")</f>
        <v>Oksigen 6m3</v>
      </c>
      <c r="H2346" s="211" t="str">
        <f>IFERROR(__xludf.DUMMYFUNCTION("""COMPUTED_VALUE"""),"IN")</f>
        <v>IN</v>
      </c>
      <c r="I2346" s="211" t="str">
        <f>IFERROR(__xludf.DUMMYFUNCTION("""COMPUTED_VALUE"""),"EMPTY")</f>
        <v>EMPTY</v>
      </c>
      <c r="J2346" s="211">
        <f>IFERROR(__xludf.DUMMYFUNCTION("""COMPUTED_VALUE"""),4.0)</f>
        <v>4</v>
      </c>
      <c r="K2346" s="210" t="str">
        <f>IFERROR(__xludf.DUMMYFUNCTION("""COMPUTED_VALUE"""),"11244 11278 11242 1157")</f>
        <v>11244 11278 11242 1157</v>
      </c>
      <c r="L2346" s="211">
        <f>IFERROR(__xludf.DUMMYFUNCTION("""COMPUTED_VALUE"""),0.0)</f>
        <v>0</v>
      </c>
      <c r="M2346" s="211"/>
      <c r="N2346" s="211"/>
      <c r="O2346" s="211"/>
      <c r="Q2346" s="210" t="str">
        <f>IFERROR(__xludf.DUMMYFUNCTION("""COMPUTED_VALUE"""),"0126152344")</f>
        <v>0126152344</v>
      </c>
      <c r="R2346" s="210" t="str">
        <f>IFERROR(__xludf.DUMMYFUNCTION("""COMPUTED_VALUE"""),"0126152344")</f>
        <v>0126152344</v>
      </c>
      <c r="S2346" s="211" t="str">
        <f>IFERROR(__xludf.DUMMYFUNCTION("""COMPUTED_VALUE"""),"a0f0ad2d")</f>
        <v>a0f0ad2d</v>
      </c>
      <c r="T2346" s="211" t="str">
        <f>IFERROR(__xludf.DUMMYFUNCTION("""COMPUTED_VALUE"""),"CV. Yulie Jaya")</f>
        <v>CV. Yulie Jaya</v>
      </c>
      <c r="U2346" s="215">
        <f>IFERROR(__xludf.DUMMYFUNCTION("""COMPUTED_VALUE"""),46046.362291666665)</f>
        <v>46046.36229</v>
      </c>
      <c r="V2346" s="211" t="str">
        <f>IFERROR(__xludf.DUMMYFUNCTION("""COMPUTED_VALUE"""),"JJH4+6RV, Badas, Barengkrajan, Kec. Krian, Kabupaten Sidoarjo, Jawa Timur 61262")</f>
        <v>JJH4+6RV, Badas, Barengkrajan, Kec. Krian, Kabupaten Sidoarjo, Jawa Timur 61262</v>
      </c>
      <c r="W2346" s="211" t="str">
        <f>IFERROR(__xludf.DUMMYFUNCTION("""COMPUTED_VALUE"""),"OUT")</f>
        <v>OUT</v>
      </c>
      <c r="X2346" s="211"/>
    </row>
    <row r="2347">
      <c r="A2347" s="210" t="str">
        <f>IFERROR(__xludf.DUMMYFUNCTION("""COMPUTED_VALUE"""),"112581667")</f>
        <v>112581667</v>
      </c>
      <c r="B2347" s="210" t="str">
        <f>IFERROR(__xludf.DUMMYFUNCTION("""COMPUTED_VALUE"""),"112581667")</f>
        <v>112581667</v>
      </c>
      <c r="C2347" s="213">
        <f>IFERROR(__xludf.DUMMYFUNCTION("""COMPUTED_VALUE"""),45971.58299768518)</f>
        <v>45971.583</v>
      </c>
      <c r="D2347" s="211" t="str">
        <f>IFERROR(__xludf.DUMMYFUNCTION("""COMPUTED_VALUE"""),"8ea74d81")</f>
        <v>8ea74d81</v>
      </c>
      <c r="E2347" s="211" t="str">
        <f>IFERROR(__xludf.DUMMYFUNCTION("""COMPUTED_VALUE"""),"Bengkel Adi Putra")</f>
        <v>Bengkel Adi Putra</v>
      </c>
      <c r="F2347" s="211" t="str">
        <f>IFERROR(__xludf.DUMMYFUNCTION("""COMPUTED_VALUE"""),"ef306e54")</f>
        <v>ef306e54</v>
      </c>
      <c r="G2347" s="211" t="str">
        <f>IFERROR(__xludf.DUMMYFUNCTION("""COMPUTED_VALUE"""),"Karbondioksida")</f>
        <v>Karbondioksida</v>
      </c>
      <c r="H2347" s="211" t="str">
        <f>IFERROR(__xludf.DUMMYFUNCTION("""COMPUTED_VALUE"""),"OUT")</f>
        <v>OUT</v>
      </c>
      <c r="I2347" s="211" t="str">
        <f>IFERROR(__xludf.DUMMYFUNCTION("""COMPUTED_VALUE"""),"NORMAL")</f>
        <v>NORMAL</v>
      </c>
      <c r="J2347" s="211">
        <f>IFERROR(__xludf.DUMMYFUNCTION("""COMPUTED_VALUE"""),2.0)</f>
        <v>2</v>
      </c>
      <c r="K2347" s="210" t="str">
        <f>IFERROR(__xludf.DUMMYFUNCTION("""COMPUTED_VALUE"""),"13012 13039")</f>
        <v>13012 13039</v>
      </c>
      <c r="L2347" s="211">
        <f>IFERROR(__xludf.DUMMYFUNCTION("""COMPUTED_VALUE"""),180000.0)</f>
        <v>180000</v>
      </c>
      <c r="M2347" s="211"/>
      <c r="N2347" s="211"/>
      <c r="O2347" s="211"/>
      <c r="Q2347" s="210" t="str">
        <f>IFERROR(__xludf.DUMMYFUNCTION("""COMPUTED_VALUE"""),"0126762347")</f>
        <v>0126762347</v>
      </c>
      <c r="R2347" s="210" t="str">
        <f>IFERROR(__xludf.DUMMYFUNCTION("""COMPUTED_VALUE"""),"0126762347")</f>
        <v>0126762347</v>
      </c>
      <c r="S2347" s="211" t="str">
        <f>IFERROR(__xludf.DUMMYFUNCTION("""COMPUTED_VALUE"""),"b2b5f2c5")</f>
        <v>b2b5f2c5</v>
      </c>
      <c r="T2347" s="211" t="str">
        <f>IFERROR(__xludf.DUMMYFUNCTION("""COMPUTED_VALUE"""),"Bengkel Las Bpk. Ari")</f>
        <v>Bengkel Las Bpk. Ari</v>
      </c>
      <c r="U2347" s="215">
        <f>IFERROR(__xludf.DUMMYFUNCTION("""COMPUTED_VALUE"""),46046.37181712963)</f>
        <v>46046.37182</v>
      </c>
      <c r="V2347" s="211" t="str">
        <f>IFERROR(__xludf.DUMMYFUNCTION("""COMPUTED_VALUE"""),"Sumber Kembar, Wonodadi, Kec. Kutorejo, Kabupaten Mojokerto, Jawa Timur")</f>
        <v>Sumber Kembar, Wonodadi, Kec. Kutorejo, Kabupaten Mojokerto, Jawa Timur</v>
      </c>
      <c r="W2347" s="211" t="str">
        <f>IFERROR(__xludf.DUMMYFUNCTION("""COMPUTED_VALUE"""),"OUT")</f>
        <v>OUT</v>
      </c>
      <c r="X2347" s="211"/>
    </row>
    <row r="2348">
      <c r="A2348" s="210" t="str">
        <f>IFERROR(__xludf.DUMMYFUNCTION("""COMPUTED_VALUE"""),"1125671669")</f>
        <v>1125671669</v>
      </c>
      <c r="B2348" s="210" t="str">
        <f>IFERROR(__xludf.DUMMYFUNCTION("""COMPUTED_VALUE"""),"1125671669")</f>
        <v>1125671669</v>
      </c>
      <c r="C2348" s="213">
        <f>IFERROR(__xludf.DUMMYFUNCTION("""COMPUTED_VALUE"""),45971.583449074074)</f>
        <v>45971.58345</v>
      </c>
      <c r="D2348" s="211" t="str">
        <f>IFERROR(__xludf.DUMMYFUNCTION("""COMPUTED_VALUE"""),"e86baf3b")</f>
        <v>e86baf3b</v>
      </c>
      <c r="E2348" s="211" t="str">
        <f>IFERROR(__xludf.DUMMYFUNCTION("""COMPUTED_VALUE"""),"PT GEMILANG CIPTA WAWASAN")</f>
        <v>PT GEMILANG CIPTA WAWASAN</v>
      </c>
      <c r="F2348" s="211" t="str">
        <f>IFERROR(__xludf.DUMMYFUNCTION("""COMPUTED_VALUE"""),"66af7c72")</f>
        <v>66af7c72</v>
      </c>
      <c r="G2348" s="211" t="str">
        <f>IFERROR(__xludf.DUMMYFUNCTION("""COMPUTED_VALUE"""),"Argon 6m3")</f>
        <v>Argon 6m3</v>
      </c>
      <c r="H2348" s="211" t="str">
        <f>IFERROR(__xludf.DUMMYFUNCTION("""COMPUTED_VALUE"""),"OUT")</f>
        <v>OUT</v>
      </c>
      <c r="I2348" s="211" t="str">
        <f>IFERROR(__xludf.DUMMYFUNCTION("""COMPUTED_VALUE"""),"NORMAL")</f>
        <v>NORMAL</v>
      </c>
      <c r="J2348" s="211">
        <f>IFERROR(__xludf.DUMMYFUNCTION("""COMPUTED_VALUE"""),8.0)</f>
        <v>8</v>
      </c>
      <c r="K2348" s="210" t="str">
        <f>IFERROR(__xludf.DUMMYFUNCTION("""COMPUTED_VALUE"""),"12050 12074 12063 12037 12045 12036 12009 12043")</f>
        <v>12050 12074 12063 12037 12045 12036 12009 12043</v>
      </c>
      <c r="L2348" s="211">
        <f>IFERROR(__xludf.DUMMYFUNCTION("""COMPUTED_VALUE"""),185000.0)</f>
        <v>185000</v>
      </c>
      <c r="M2348" s="211"/>
      <c r="N2348" s="211"/>
      <c r="O2348" s="211"/>
      <c r="Q2348" s="210" t="str">
        <f>IFERROR(__xludf.DUMMYFUNCTION("""COMPUTED_VALUE"""),"0126122348")</f>
        <v>0126122348</v>
      </c>
      <c r="R2348" s="210" t="str">
        <f>IFERROR(__xludf.DUMMYFUNCTION("""COMPUTED_VALUE"""),"0126122348")</f>
        <v>0126122348</v>
      </c>
      <c r="S2348" s="211" t="str">
        <f>IFERROR(__xludf.DUMMYFUNCTION("""COMPUTED_VALUE"""),"734c6d17")</f>
        <v>734c6d17</v>
      </c>
      <c r="T2348" s="211" t="str">
        <f>IFERROR(__xludf.DUMMYFUNCTION("""COMPUTED_VALUE"""),"Bapak Ainol Yaqin ( Bpk. Ibnu )")</f>
        <v>Bapak Ainol Yaqin ( Bpk. Ibnu )</v>
      </c>
      <c r="U2348" s="215">
        <f>IFERROR(__xludf.DUMMYFUNCTION("""COMPUTED_VALUE"""),46046.40924768519)</f>
        <v>46046.40925</v>
      </c>
      <c r="V2348" s="211" t="str">
        <f>IFERROR(__xludf.DUMMYFUNCTION("""COMPUTED_VALUE"""),"Tanggul Wetan, Tanggul, Kec. Wonoayu, Kabupaten Sidoarjo, Jawa Timur")</f>
        <v>Tanggul Wetan, Tanggul, Kec. Wonoayu, Kabupaten Sidoarjo, Jawa Timur</v>
      </c>
      <c r="W2348" s="211" t="str">
        <f>IFERROR(__xludf.DUMMYFUNCTION("""COMPUTED_VALUE"""),"OUT")</f>
        <v>OUT</v>
      </c>
      <c r="X2348" s="211"/>
    </row>
    <row r="2349">
      <c r="A2349" s="210" t="str">
        <f>IFERROR(__xludf.DUMMYFUNCTION("""COMPUTED_VALUE"""),"1250773")</f>
        <v>1250773</v>
      </c>
      <c r="B2349" s="210" t="str">
        <f>IFERROR(__xludf.DUMMYFUNCTION("""COMPUTED_VALUE"""),"1250773")</f>
        <v>1250773</v>
      </c>
      <c r="C2349" s="213">
        <f>IFERROR(__xludf.DUMMYFUNCTION("""COMPUTED_VALUE"""),45971.59909722222)</f>
        <v>45971.5991</v>
      </c>
      <c r="D2349" s="211" t="str">
        <f>IFERROR(__xludf.DUMMYFUNCTION("""COMPUTED_VALUE"""),"b2b5f2c5")</f>
        <v>b2b5f2c5</v>
      </c>
      <c r="E2349" s="211" t="str">
        <f>IFERROR(__xludf.DUMMYFUNCTION("""COMPUTED_VALUE"""),"Bengkel Las Bpk. Ari")</f>
        <v>Bengkel Las Bpk. Ari</v>
      </c>
      <c r="F2349" s="211" t="str">
        <f>IFERROR(__xludf.DUMMYFUNCTION("""COMPUTED_VALUE"""),"8bdbe149")</f>
        <v>8bdbe149</v>
      </c>
      <c r="G2349" s="211" t="str">
        <f>IFERROR(__xludf.DUMMYFUNCTION("""COMPUTED_VALUE"""),"Oksigen 6m3")</f>
        <v>Oksigen 6m3</v>
      </c>
      <c r="H2349" s="211" t="str">
        <f>IFERROR(__xludf.DUMMYFUNCTION("""COMPUTED_VALUE"""),"IN")</f>
        <v>IN</v>
      </c>
      <c r="I2349" s="211" t="str">
        <f>IFERROR(__xludf.DUMMYFUNCTION("""COMPUTED_VALUE"""),"EMPTY")</f>
        <v>EMPTY</v>
      </c>
      <c r="J2349" s="211">
        <f>IFERROR(__xludf.DUMMYFUNCTION("""COMPUTED_VALUE"""),5.0)</f>
        <v>5</v>
      </c>
      <c r="K2349" s="210" t="str">
        <f>IFERROR(__xludf.DUMMYFUNCTION("""COMPUTED_VALUE"""),"1109 11118 11133 11114 11210")</f>
        <v>1109 11118 11133 11114 11210</v>
      </c>
      <c r="L2349" s="211">
        <f>IFERROR(__xludf.DUMMYFUNCTION("""COMPUTED_VALUE"""),0.0)</f>
        <v>0</v>
      </c>
      <c r="M2349" s="211"/>
      <c r="N2349" s="211"/>
      <c r="O2349" s="211"/>
      <c r="Q2349" s="210" t="str">
        <f>IFERROR(__xludf.DUMMYFUNCTION("""COMPUTED_VALUE"""),"012652349")</f>
        <v>012652349</v>
      </c>
      <c r="R2349" s="210" t="str">
        <f>IFERROR(__xludf.DUMMYFUNCTION("""COMPUTED_VALUE"""),"012652349")</f>
        <v>012652349</v>
      </c>
      <c r="S2349" s="211" t="str">
        <f>IFERROR(__xludf.DUMMYFUNCTION("""COMPUTED_VALUE"""),"ca4876e2")</f>
        <v>ca4876e2</v>
      </c>
      <c r="T2349" s="211" t="str">
        <f>IFERROR(__xludf.DUMMYFUNCTION("""COMPUTED_VALUE"""),"Bengkel Mustika Mojosari")</f>
        <v>Bengkel Mustika Mojosari</v>
      </c>
      <c r="U2349" s="215">
        <f>IFERROR(__xludf.DUMMYFUNCTION("""COMPUTED_VALUE"""),46046.409895833334)</f>
        <v>46046.4099</v>
      </c>
      <c r="V2349" s="211" t="str">
        <f>IFERROR(__xludf.DUMMYFUNCTION("""COMPUTED_VALUE"""),"Jl. Kusuma Bangsa, Bulanan, Randubango, Kec. Mojosari, Kabupaten Mojokerto, Jawa Timur 61382")</f>
        <v>Jl. Kusuma Bangsa, Bulanan, Randubango, Kec. Mojosari, Kabupaten Mojokerto, Jawa Timur 61382</v>
      </c>
      <c r="W2349" s="211" t="str">
        <f>IFERROR(__xludf.DUMMYFUNCTION("""COMPUTED_VALUE"""),"OUT")</f>
        <v>OUT</v>
      </c>
      <c r="X2349" s="211"/>
    </row>
    <row r="2350">
      <c r="A2350" s="210" t="str">
        <f>IFERROR(__xludf.DUMMYFUNCTION("""COMPUTED_VALUE"""),"1250779")</f>
        <v>1250779</v>
      </c>
      <c r="B2350" s="210" t="str">
        <f>IFERROR(__xludf.DUMMYFUNCTION("""COMPUTED_VALUE"""),"1250779")</f>
        <v>1250779</v>
      </c>
      <c r="C2350" s="213">
        <f>IFERROR(__xludf.DUMMYFUNCTION("""COMPUTED_VALUE"""),45971.664930555555)</f>
        <v>45971.66493</v>
      </c>
      <c r="D2350" s="211" t="str">
        <f>IFERROR(__xludf.DUMMYFUNCTION("""COMPUTED_VALUE"""),"e86baf3b")</f>
        <v>e86baf3b</v>
      </c>
      <c r="E2350" s="211" t="str">
        <f>IFERROR(__xludf.DUMMYFUNCTION("""COMPUTED_VALUE"""),"PT GEMILANG CIPTA WAWASAN")</f>
        <v>PT GEMILANG CIPTA WAWASAN</v>
      </c>
      <c r="F2350" s="211" t="str">
        <f>IFERROR(__xludf.DUMMYFUNCTION("""COMPUTED_VALUE"""),"8bdbe149")</f>
        <v>8bdbe149</v>
      </c>
      <c r="G2350" s="211" t="str">
        <f>IFERROR(__xludf.DUMMYFUNCTION("""COMPUTED_VALUE"""),"Oksigen 6m3")</f>
        <v>Oksigen 6m3</v>
      </c>
      <c r="H2350" s="211" t="str">
        <f>IFERROR(__xludf.DUMMYFUNCTION("""COMPUTED_VALUE"""),"IN")</f>
        <v>IN</v>
      </c>
      <c r="I2350" s="211" t="str">
        <f>IFERROR(__xludf.DUMMYFUNCTION("""COMPUTED_VALUE"""),"EMPTY")</f>
        <v>EMPTY</v>
      </c>
      <c r="J2350" s="211">
        <f>IFERROR(__xludf.DUMMYFUNCTION("""COMPUTED_VALUE"""),3.0)</f>
        <v>3</v>
      </c>
      <c r="K2350" s="210" t="str">
        <f>IFERROR(__xludf.DUMMYFUNCTION("""COMPUTED_VALUE"""),"1154 1184 1106")</f>
        <v>1154 1184 1106</v>
      </c>
      <c r="L2350" s="211">
        <f>IFERROR(__xludf.DUMMYFUNCTION("""COMPUTED_VALUE"""),0.0)</f>
        <v>0</v>
      </c>
      <c r="M2350" s="211"/>
      <c r="N2350" s="211"/>
      <c r="O2350" s="211"/>
      <c r="Q2350" s="210" t="str">
        <f>IFERROR(__xludf.DUMMYFUNCTION("""COMPUTED_VALUE"""),"1261129")</f>
        <v>1261129</v>
      </c>
      <c r="R2350" s="210" t="str">
        <f>IFERROR(__xludf.DUMMYFUNCTION("""COMPUTED_VALUE"""),"1261129")</f>
        <v>1261129</v>
      </c>
      <c r="S2350" s="211" t="str">
        <f>IFERROR(__xludf.DUMMYFUNCTION("""COMPUTED_VALUE"""),"a0f0ad2d")</f>
        <v>a0f0ad2d</v>
      </c>
      <c r="T2350" s="211" t="str">
        <f>IFERROR(__xludf.DUMMYFUNCTION("""COMPUTED_VALUE"""),"CV. Yulie Jaya")</f>
        <v>CV. Yulie Jaya</v>
      </c>
      <c r="U2350" s="215">
        <f>IFERROR(__xludf.DUMMYFUNCTION("""COMPUTED_VALUE"""),46046.439155092594)</f>
        <v>46046.43916</v>
      </c>
      <c r="V2350" s="211" t="str">
        <f>IFERROR(__xludf.DUMMYFUNCTION("""COMPUTED_VALUE"""),"JJH4+6RV, Badas, Barengkrajan, Kec. Krian, Kabupaten Sidoarjo, Jawa Timur 61262")</f>
        <v>JJH4+6RV, Badas, Barengkrajan, Kec. Krian, Kabupaten Sidoarjo, Jawa Timur 61262</v>
      </c>
      <c r="W2350" s="211" t="str">
        <f>IFERROR(__xludf.DUMMYFUNCTION("""COMPUTED_VALUE"""),"IN")</f>
        <v>IN</v>
      </c>
      <c r="X2350" s="211"/>
    </row>
    <row r="2351">
      <c r="A2351" s="210" t="str">
        <f>IFERROR(__xludf.DUMMYFUNCTION("""COMPUTED_VALUE"""),"1250779")</f>
        <v>1250779</v>
      </c>
      <c r="B2351" s="210" t="str">
        <f>IFERROR(__xludf.DUMMYFUNCTION("""COMPUTED_VALUE"""),"1250779")</f>
        <v>1250779</v>
      </c>
      <c r="C2351" s="213">
        <f>IFERROR(__xludf.DUMMYFUNCTION("""COMPUTED_VALUE"""),45971.664930555555)</f>
        <v>45971.66493</v>
      </c>
      <c r="D2351" s="211" t="str">
        <f>IFERROR(__xludf.DUMMYFUNCTION("""COMPUTED_VALUE"""),"e86baf3b")</f>
        <v>e86baf3b</v>
      </c>
      <c r="E2351" s="211" t="str">
        <f>IFERROR(__xludf.DUMMYFUNCTION("""COMPUTED_VALUE"""),"PT GEMILANG CIPTA WAWASAN")</f>
        <v>PT GEMILANG CIPTA WAWASAN</v>
      </c>
      <c r="F2351" s="211" t="str">
        <f>IFERROR(__xludf.DUMMYFUNCTION("""COMPUTED_VALUE"""),"66af7c72")</f>
        <v>66af7c72</v>
      </c>
      <c r="G2351" s="211" t="str">
        <f>IFERROR(__xludf.DUMMYFUNCTION("""COMPUTED_VALUE"""),"Argon 6m3")</f>
        <v>Argon 6m3</v>
      </c>
      <c r="H2351" s="211" t="str">
        <f>IFERROR(__xludf.DUMMYFUNCTION("""COMPUTED_VALUE"""),"IN")</f>
        <v>IN</v>
      </c>
      <c r="I2351" s="211" t="str">
        <f>IFERROR(__xludf.DUMMYFUNCTION("""COMPUTED_VALUE"""),"EMPTY")</f>
        <v>EMPTY</v>
      </c>
      <c r="J2351" s="211">
        <f>IFERROR(__xludf.DUMMYFUNCTION("""COMPUTED_VALUE"""),7.0)</f>
        <v>7</v>
      </c>
      <c r="K2351" s="210" t="str">
        <f>IFERROR(__xludf.DUMMYFUNCTION("""COMPUTED_VALUE"""),"12010 12033 12005 12001 12041 12034 12068")</f>
        <v>12010 12033 12005 12001 12041 12034 12068</v>
      </c>
      <c r="L2351" s="211">
        <f>IFERROR(__xludf.DUMMYFUNCTION("""COMPUTED_VALUE"""),0.0)</f>
        <v>0</v>
      </c>
      <c r="M2351" s="211"/>
      <c r="N2351" s="211"/>
      <c r="O2351" s="211"/>
      <c r="Q2351" s="210" t="str">
        <f>IFERROR(__xludf.DUMMYFUNCTION("""COMPUTED_VALUE"""),"0126112350")</f>
        <v>0126112350</v>
      </c>
      <c r="R2351" s="210" t="str">
        <f>IFERROR(__xludf.DUMMYFUNCTION("""COMPUTED_VALUE"""),"0126112350")</f>
        <v>0126112350</v>
      </c>
      <c r="S2351" s="211" t="str">
        <f>IFERROR(__xludf.DUMMYFUNCTION("""COMPUTED_VALUE"""),"f8a982a4")</f>
        <v>f8a982a4</v>
      </c>
      <c r="T2351" s="211" t="str">
        <f>IFERROR(__xludf.DUMMYFUNCTION("""COMPUTED_VALUE"""),"Bpk. Nasir")</f>
        <v>Bpk. Nasir</v>
      </c>
      <c r="U2351" s="215">
        <f>IFERROR(__xludf.DUMMYFUNCTION("""COMPUTED_VALUE"""),46046.47008101852)</f>
        <v>46046.47008</v>
      </c>
      <c r="V2351" s="211" t="str">
        <f>IFERROR(__xludf.DUMMYFUNCTION("""COMPUTED_VALUE"""),"JL Raya Pacet, Dsn. Janti Ds. Jatilangkung RT.01 RW. 04. Kabupaten. Mojokerto Pungging, Jawa Timur")</f>
        <v>JL Raya Pacet, Dsn. Janti Ds. Jatilangkung RT.01 RW. 04. Kabupaten. Mojokerto Pungging, Jawa Timur</v>
      </c>
      <c r="W2351" s="211" t="str">
        <f>IFERROR(__xludf.DUMMYFUNCTION("""COMPUTED_VALUE"""),"OUT")</f>
        <v>OUT</v>
      </c>
      <c r="X2351" s="211"/>
    </row>
    <row r="2352">
      <c r="A2352" s="210" t="str">
        <f>IFERROR(__xludf.DUMMYFUNCTION("""COMPUTED_VALUE"""),"1125371670")</f>
        <v>1125371670</v>
      </c>
      <c r="B2352" s="210" t="str">
        <f>IFERROR(__xludf.DUMMYFUNCTION("""COMPUTED_VALUE"""),"1125371670")</f>
        <v>1125371670</v>
      </c>
      <c r="C2352" s="213">
        <f>IFERROR(__xludf.DUMMYFUNCTION("""COMPUTED_VALUE"""),45972.34324074074)</f>
        <v>45972.34324</v>
      </c>
      <c r="D2352" s="211" t="str">
        <f>IFERROR(__xludf.DUMMYFUNCTION("""COMPUTED_VALUE"""),"b2b5f2c5")</f>
        <v>b2b5f2c5</v>
      </c>
      <c r="E2352" s="211" t="str">
        <f>IFERROR(__xludf.DUMMYFUNCTION("""COMPUTED_VALUE"""),"Bengkel Las Bpk. Ari")</f>
        <v>Bengkel Las Bpk. Ari</v>
      </c>
      <c r="F2352" s="211" t="str">
        <f>IFERROR(__xludf.DUMMYFUNCTION("""COMPUTED_VALUE"""),"ef306e54")</f>
        <v>ef306e54</v>
      </c>
      <c r="G2352" s="211" t="str">
        <f>IFERROR(__xludf.DUMMYFUNCTION("""COMPUTED_VALUE"""),"Karbondioksida")</f>
        <v>Karbondioksida</v>
      </c>
      <c r="H2352" s="211" t="str">
        <f>IFERROR(__xludf.DUMMYFUNCTION("""COMPUTED_VALUE"""),"OUT")</f>
        <v>OUT</v>
      </c>
      <c r="I2352" s="211" t="str">
        <f>IFERROR(__xludf.DUMMYFUNCTION("""COMPUTED_VALUE"""),"NORMAL")</f>
        <v>NORMAL</v>
      </c>
      <c r="J2352" s="211">
        <f>IFERROR(__xludf.DUMMYFUNCTION("""COMPUTED_VALUE"""),3.0)</f>
        <v>3</v>
      </c>
      <c r="K2352" s="210" t="str">
        <f>IFERROR(__xludf.DUMMYFUNCTION("""COMPUTED_VALUE"""),"13010 13034 13038")</f>
        <v>13010 13034 13038</v>
      </c>
      <c r="L2352" s="211">
        <f>IFERROR(__xludf.DUMMYFUNCTION("""COMPUTED_VALUE"""),170000.0)</f>
        <v>170000</v>
      </c>
      <c r="M2352" s="211"/>
      <c r="N2352" s="211"/>
      <c r="O2352" s="211"/>
      <c r="Q2352" s="210" t="str">
        <f>IFERROR(__xludf.DUMMYFUNCTION("""COMPUTED_VALUE"""),"1261137")</f>
        <v>1261137</v>
      </c>
      <c r="R2352" s="210" t="str">
        <f>IFERROR(__xludf.DUMMYFUNCTION("""COMPUTED_VALUE"""),"1261137")</f>
        <v>1261137</v>
      </c>
      <c r="S2352" s="211" t="str">
        <f>IFERROR(__xludf.DUMMYFUNCTION("""COMPUTED_VALUE"""),"b2b5f2c5")</f>
        <v>b2b5f2c5</v>
      </c>
      <c r="T2352" s="211" t="str">
        <f>IFERROR(__xludf.DUMMYFUNCTION("""COMPUTED_VALUE"""),"Bengkel Las Bpk. Ari")</f>
        <v>Bengkel Las Bpk. Ari</v>
      </c>
      <c r="U2352" s="215">
        <f>IFERROR(__xludf.DUMMYFUNCTION("""COMPUTED_VALUE"""),46046.49056712963)</f>
        <v>46046.49057</v>
      </c>
      <c r="V2352" s="211" t="str">
        <f>IFERROR(__xludf.DUMMYFUNCTION("""COMPUTED_VALUE"""),"Sumber Kembar, Wonodadi, Kec. Kutorejo, Kabupaten Mojokerto, Jawa Timur")</f>
        <v>Sumber Kembar, Wonodadi, Kec. Kutorejo, Kabupaten Mojokerto, Jawa Timur</v>
      </c>
      <c r="W2352" s="211" t="str">
        <f>IFERROR(__xludf.DUMMYFUNCTION("""COMPUTED_VALUE"""),"IN")</f>
        <v>IN</v>
      </c>
      <c r="X2352" s="211"/>
    </row>
    <row r="2353">
      <c r="A2353" s="210" t="str">
        <f>IFERROR(__xludf.DUMMYFUNCTION("""COMPUTED_VALUE"""),"1125371670")</f>
        <v>1125371670</v>
      </c>
      <c r="B2353" s="210" t="str">
        <f>IFERROR(__xludf.DUMMYFUNCTION("""COMPUTED_VALUE"""),"1125371670")</f>
        <v>1125371670</v>
      </c>
      <c r="C2353" s="213">
        <f>IFERROR(__xludf.DUMMYFUNCTION("""COMPUTED_VALUE"""),45972.34324074074)</f>
        <v>45972.34324</v>
      </c>
      <c r="D2353" s="211" t="str">
        <f>IFERROR(__xludf.DUMMYFUNCTION("""COMPUTED_VALUE"""),"b2b5f2c5")</f>
        <v>b2b5f2c5</v>
      </c>
      <c r="E2353" s="211" t="str">
        <f>IFERROR(__xludf.DUMMYFUNCTION("""COMPUTED_VALUE"""),"Bengkel Las Bpk. Ari")</f>
        <v>Bengkel Las Bpk. Ari</v>
      </c>
      <c r="F2353" s="211" t="str">
        <f>IFERROR(__xludf.DUMMYFUNCTION("""COMPUTED_VALUE"""),"8bdbe149")</f>
        <v>8bdbe149</v>
      </c>
      <c r="G2353" s="211" t="str">
        <f>IFERROR(__xludf.DUMMYFUNCTION("""COMPUTED_VALUE"""),"Oksigen 6m3")</f>
        <v>Oksigen 6m3</v>
      </c>
      <c r="H2353" s="211" t="str">
        <f>IFERROR(__xludf.DUMMYFUNCTION("""COMPUTED_VALUE"""),"OUT")</f>
        <v>OUT</v>
      </c>
      <c r="I2353" s="211" t="str">
        <f>IFERROR(__xludf.DUMMYFUNCTION("""COMPUTED_VALUE"""),"NORMAL")</f>
        <v>NORMAL</v>
      </c>
      <c r="J2353" s="211">
        <f>IFERROR(__xludf.DUMMYFUNCTION("""COMPUTED_VALUE"""),8.0)</f>
        <v>8</v>
      </c>
      <c r="K2353" s="210" t="str">
        <f>IFERROR(__xludf.DUMMYFUNCTION("""COMPUTED_VALUE"""),"11210 11118 11130 11114 11269 11251 11245 1158")</f>
        <v>11210 11118 11130 11114 11269 11251 11245 1158</v>
      </c>
      <c r="L2353" s="211">
        <f>IFERROR(__xludf.DUMMYFUNCTION("""COMPUTED_VALUE"""),60000.0)</f>
        <v>60000</v>
      </c>
      <c r="M2353" s="211"/>
      <c r="N2353" s="211"/>
      <c r="O2353" s="211"/>
      <c r="Q2353" s="210" t="str">
        <f>IFERROR(__xludf.DUMMYFUNCTION("""COMPUTED_VALUE"""),"1261138")</f>
        <v>1261138</v>
      </c>
      <c r="R2353" s="210" t="str">
        <f>IFERROR(__xludf.DUMMYFUNCTION("""COMPUTED_VALUE"""),"1261138")</f>
        <v>1261138</v>
      </c>
      <c r="S2353" s="211" t="str">
        <f>IFERROR(__xludf.DUMMYFUNCTION("""COMPUTED_VALUE"""),"ca4876e2")</f>
        <v>ca4876e2</v>
      </c>
      <c r="T2353" s="211" t="str">
        <f>IFERROR(__xludf.DUMMYFUNCTION("""COMPUTED_VALUE"""),"Bengkel Mustika Mojosari")</f>
        <v>Bengkel Mustika Mojosari</v>
      </c>
      <c r="U2353" s="215">
        <f>IFERROR(__xludf.DUMMYFUNCTION("""COMPUTED_VALUE"""),46046.601493055554)</f>
        <v>46046.60149</v>
      </c>
      <c r="V2353" s="211" t="str">
        <f>IFERROR(__xludf.DUMMYFUNCTION("""COMPUTED_VALUE"""),"Jl. Kusuma Bangsa, Bulanan, Randubango, Kec. Mojosari, Kabupaten Mojokerto, Jawa Timur 61382")</f>
        <v>Jl. Kusuma Bangsa, Bulanan, Randubango, Kec. Mojosari, Kabupaten Mojokerto, Jawa Timur 61382</v>
      </c>
      <c r="W2353" s="211" t="str">
        <f>IFERROR(__xludf.DUMMYFUNCTION("""COMPUTED_VALUE"""),"IN")</f>
        <v>IN</v>
      </c>
      <c r="X2353" s="211"/>
    </row>
    <row r="2354">
      <c r="A2354" s="210" t="str">
        <f>IFERROR(__xludf.DUMMYFUNCTION("""COMPUTED_VALUE"""),"112551673")</f>
        <v>112551673</v>
      </c>
      <c r="B2354" s="210" t="str">
        <f>IFERROR(__xludf.DUMMYFUNCTION("""COMPUTED_VALUE"""),"112551673")</f>
        <v>112551673</v>
      </c>
      <c r="C2354" s="213">
        <f>IFERROR(__xludf.DUMMYFUNCTION("""COMPUTED_VALUE"""),45972.34755787037)</f>
        <v>45972.34756</v>
      </c>
      <c r="D2354" s="211" t="str">
        <f>IFERROR(__xludf.DUMMYFUNCTION("""COMPUTED_VALUE"""),"b0735da4")</f>
        <v>b0735da4</v>
      </c>
      <c r="E2354" s="211" t="str">
        <f>IFERROR(__xludf.DUMMYFUNCTION("""COMPUTED_VALUE"""),"Bpk. Amer Ciro")</f>
        <v>Bpk. Amer Ciro</v>
      </c>
      <c r="F2354" s="211" t="str">
        <f>IFERROR(__xludf.DUMMYFUNCTION("""COMPUTED_VALUE"""),"7d2764f1")</f>
        <v>7d2764f1</v>
      </c>
      <c r="G2354" s="211" t="str">
        <f>IFERROR(__xludf.DUMMYFUNCTION("""COMPUTED_VALUE"""),"Oksigen 7m3")</f>
        <v>Oksigen 7m3</v>
      </c>
      <c r="H2354" s="211" t="str">
        <f>IFERROR(__xludf.DUMMYFUNCTION("""COMPUTED_VALUE"""),"OUT")</f>
        <v>OUT</v>
      </c>
      <c r="I2354" s="211" t="str">
        <f>IFERROR(__xludf.DUMMYFUNCTION("""COMPUTED_VALUE"""),"NORMAL")</f>
        <v>NORMAL</v>
      </c>
      <c r="J2354" s="211">
        <f>IFERROR(__xludf.DUMMYFUNCTION("""COMPUTED_VALUE"""),2.0)</f>
        <v>2</v>
      </c>
      <c r="K2354" s="210" t="str">
        <f>IFERROR(__xludf.DUMMYFUNCTION("""COMPUTED_VALUE"""),"11162 11212")</f>
        <v>11162 11212</v>
      </c>
      <c r="L2354" s="211">
        <f>IFERROR(__xludf.DUMMYFUNCTION("""COMPUTED_VALUE"""),65000.0)</f>
        <v>65000</v>
      </c>
      <c r="M2354" s="211"/>
      <c r="N2354" s="211"/>
      <c r="O2354" s="211"/>
      <c r="Q2354" s="210" t="str">
        <f>IFERROR(__xludf.DUMMYFUNCTION("""COMPUTED_VALUE"""),"1261130")</f>
        <v>1261130</v>
      </c>
      <c r="R2354" s="210" t="str">
        <f>IFERROR(__xludf.DUMMYFUNCTION("""COMPUTED_VALUE"""),"1261130")</f>
        <v>1261130</v>
      </c>
      <c r="S2354" s="211" t="str">
        <f>IFERROR(__xludf.DUMMYFUNCTION("""COMPUTED_VALUE"""),"f8a982a4")</f>
        <v>f8a982a4</v>
      </c>
      <c r="T2354" s="211" t="str">
        <f>IFERROR(__xludf.DUMMYFUNCTION("""COMPUTED_VALUE"""),"Bpk. Nasir")</f>
        <v>Bpk. Nasir</v>
      </c>
      <c r="U2354" s="215">
        <f>IFERROR(__xludf.DUMMYFUNCTION("""COMPUTED_VALUE"""),46046.61597222222)</f>
        <v>46046.61597</v>
      </c>
      <c r="V2354" s="211" t="str">
        <f>IFERROR(__xludf.DUMMYFUNCTION("""COMPUTED_VALUE"""),"JL Raya Pacet, Dsn. Janti Ds. Jatilangkung RT.01 RW. 04. Kabupaten. Mojokerto Pungging, Jawa Timur")</f>
        <v>JL Raya Pacet, Dsn. Janti Ds. Jatilangkung RT.01 RW. 04. Kabupaten. Mojokerto Pungging, Jawa Timur</v>
      </c>
      <c r="W2354" s="211" t="str">
        <f>IFERROR(__xludf.DUMMYFUNCTION("""COMPUTED_VALUE"""),"IN")</f>
        <v>IN</v>
      </c>
      <c r="X2354" s="211"/>
    </row>
    <row r="2355">
      <c r="A2355" s="210" t="str">
        <f>IFERROR(__xludf.DUMMYFUNCTION("""COMPUTED_VALUE"""),"1125201674")</f>
        <v>1125201674</v>
      </c>
      <c r="B2355" s="210" t="str">
        <f>IFERROR(__xludf.DUMMYFUNCTION("""COMPUTED_VALUE"""),"1125201674")</f>
        <v>1125201674</v>
      </c>
      <c r="C2355" s="213">
        <f>IFERROR(__xludf.DUMMYFUNCTION("""COMPUTED_VALUE"""),45972.412939814814)</f>
        <v>45972.41294</v>
      </c>
      <c r="D2355" s="211" t="str">
        <f>IFERROR(__xludf.DUMMYFUNCTION("""COMPUTED_VALUE"""),"3bcd7fe6")</f>
        <v>3bcd7fe6</v>
      </c>
      <c r="E2355" s="211" t="str">
        <f>IFERROR(__xludf.DUMMYFUNCTION("""COMPUTED_VALUE"""),"Bpk. Alvin (LB Group)")</f>
        <v>Bpk. Alvin (LB Group)</v>
      </c>
      <c r="F2355" s="211" t="str">
        <f>IFERROR(__xludf.DUMMYFUNCTION("""COMPUTED_VALUE"""),"7d2764f1")</f>
        <v>7d2764f1</v>
      </c>
      <c r="G2355" s="211" t="str">
        <f>IFERROR(__xludf.DUMMYFUNCTION("""COMPUTED_VALUE"""),"Oksigen 7m3")</f>
        <v>Oksigen 7m3</v>
      </c>
      <c r="H2355" s="211" t="str">
        <f>IFERROR(__xludf.DUMMYFUNCTION("""COMPUTED_VALUE"""),"OUT")</f>
        <v>OUT</v>
      </c>
      <c r="I2355" s="211" t="str">
        <f>IFERROR(__xludf.DUMMYFUNCTION("""COMPUTED_VALUE"""),"NORMAL")</f>
        <v>NORMAL</v>
      </c>
      <c r="J2355" s="211">
        <f>IFERROR(__xludf.DUMMYFUNCTION("""COMPUTED_VALUE"""),4.0)</f>
        <v>4</v>
      </c>
      <c r="K2355" s="210" t="str">
        <f>IFERROR(__xludf.DUMMYFUNCTION("""COMPUTED_VALUE"""),"11223 11214 11219 11213")</f>
        <v>11223 11214 11219 11213</v>
      </c>
      <c r="L2355" s="211">
        <f>IFERROR(__xludf.DUMMYFUNCTION("""COMPUTED_VALUE"""),55000.0)</f>
        <v>55000</v>
      </c>
      <c r="M2355" s="211"/>
      <c r="N2355" s="211"/>
      <c r="O2355" s="211"/>
      <c r="Q2355" s="210" t="str">
        <f>IFERROR(__xludf.DUMMYFUNCTION("""COMPUTED_VALUE"""),"0126112352")</f>
        <v>0126112352</v>
      </c>
      <c r="R2355" s="210" t="str">
        <f>IFERROR(__xludf.DUMMYFUNCTION("""COMPUTED_VALUE"""),"0126112352")</f>
        <v>0126112352</v>
      </c>
      <c r="S2355" s="211" t="str">
        <f>IFERROR(__xludf.DUMMYFUNCTION("""COMPUTED_VALUE"""),"9b941888")</f>
        <v>9b941888</v>
      </c>
      <c r="T2355" s="211" t="str">
        <f>IFERROR(__xludf.DUMMYFUNCTION("""COMPUTED_VALUE"""),"Mas Devi ( Parengan )")</f>
        <v>Mas Devi ( Parengan )</v>
      </c>
      <c r="U2355" s="215">
        <f>IFERROR(__xludf.DUMMYFUNCTION("""COMPUTED_VALUE"""),46047.52648148148)</f>
        <v>46047.52648</v>
      </c>
      <c r="V2355" s="211" t="str">
        <f>IFERROR(__xludf.DUMMYFUNCTION("""COMPUTED_VALUE"""),"Kraton Krian Sidoarjo, ( sebelah tower listrik )")</f>
        <v>Kraton Krian Sidoarjo, ( sebelah tower listrik )</v>
      </c>
      <c r="W2355" s="211" t="str">
        <f>IFERROR(__xludf.DUMMYFUNCTION("""COMPUTED_VALUE"""),"OUT")</f>
        <v>OUT</v>
      </c>
      <c r="X2355" s="211"/>
    </row>
    <row r="2356">
      <c r="A2356" s="210" t="str">
        <f>IFERROR(__xludf.DUMMYFUNCTION("""COMPUTED_VALUE"""),"1125201674")</f>
        <v>1125201674</v>
      </c>
      <c r="B2356" s="210" t="str">
        <f>IFERROR(__xludf.DUMMYFUNCTION("""COMPUTED_VALUE"""),"1125201674")</f>
        <v>1125201674</v>
      </c>
      <c r="C2356" s="213">
        <f>IFERROR(__xludf.DUMMYFUNCTION("""COMPUTED_VALUE"""),45972.412939814814)</f>
        <v>45972.41294</v>
      </c>
      <c r="D2356" s="211" t="str">
        <f>IFERROR(__xludf.DUMMYFUNCTION("""COMPUTED_VALUE"""),"3bcd7fe6")</f>
        <v>3bcd7fe6</v>
      </c>
      <c r="E2356" s="211" t="str">
        <f>IFERROR(__xludf.DUMMYFUNCTION("""COMPUTED_VALUE"""),"Bpk. Alvin (LB Group)")</f>
        <v>Bpk. Alvin (LB Group)</v>
      </c>
      <c r="F2356" s="211" t="str">
        <f>IFERROR(__xludf.DUMMYFUNCTION("""COMPUTED_VALUE"""),"f6aab7a9")</f>
        <v>f6aab7a9</v>
      </c>
      <c r="G2356" s="211" t="str">
        <f>IFERROR(__xludf.DUMMYFUNCTION("""COMPUTED_VALUE"""),"Oksigen 6m3 MR")</f>
        <v>Oksigen 6m3 MR</v>
      </c>
      <c r="H2356" s="211" t="str">
        <f>IFERROR(__xludf.DUMMYFUNCTION("""COMPUTED_VALUE"""),"OUT")</f>
        <v>OUT</v>
      </c>
      <c r="I2356" s="211" t="str">
        <f>IFERROR(__xludf.DUMMYFUNCTION("""COMPUTED_VALUE"""),"NORMAL")</f>
        <v>NORMAL</v>
      </c>
      <c r="J2356" s="211">
        <f>IFERROR(__xludf.DUMMYFUNCTION("""COMPUTED_VALUE"""),1.0)</f>
        <v>1</v>
      </c>
      <c r="K2356" s="210" t="str">
        <f>IFERROR(__xludf.DUMMYFUNCTION("""COMPUTED_VALUE"""),"01")</f>
        <v>01</v>
      </c>
      <c r="L2356" s="211">
        <f>IFERROR(__xludf.DUMMYFUNCTION("""COMPUTED_VALUE"""),50000.0)</f>
        <v>50000</v>
      </c>
      <c r="M2356" s="211"/>
      <c r="N2356" s="211"/>
      <c r="O2356" s="211"/>
      <c r="Q2356" s="210" t="str">
        <f>IFERROR(__xludf.DUMMYFUNCTION("""COMPUTED_VALUE"""),"1261139")</f>
        <v>1261139</v>
      </c>
      <c r="R2356" s="210" t="str">
        <f>IFERROR(__xludf.DUMMYFUNCTION("""COMPUTED_VALUE"""),"1261139")</f>
        <v>1261139</v>
      </c>
      <c r="S2356" s="211" t="str">
        <f>IFERROR(__xludf.DUMMYFUNCTION("""COMPUTED_VALUE"""),"9b941888")</f>
        <v>9b941888</v>
      </c>
      <c r="T2356" s="211" t="str">
        <f>IFERROR(__xludf.DUMMYFUNCTION("""COMPUTED_VALUE"""),"Mas Devi ( Parengan )")</f>
        <v>Mas Devi ( Parengan )</v>
      </c>
      <c r="U2356" s="215">
        <f>IFERROR(__xludf.DUMMYFUNCTION("""COMPUTED_VALUE"""),46048.346597222226)</f>
        <v>46048.3466</v>
      </c>
      <c r="V2356" s="211" t="str">
        <f>IFERROR(__xludf.DUMMYFUNCTION("""COMPUTED_VALUE"""),"Kraton Krian Sidoarjo, ( sebelah tower listrik )")</f>
        <v>Kraton Krian Sidoarjo, ( sebelah tower listrik )</v>
      </c>
      <c r="W2356" s="211" t="str">
        <f>IFERROR(__xludf.DUMMYFUNCTION("""COMPUTED_VALUE"""),"IN")</f>
        <v>IN</v>
      </c>
      <c r="X2356" s="211"/>
    </row>
    <row r="2357">
      <c r="A2357" s="210" t="str">
        <f>IFERROR(__xludf.DUMMYFUNCTION("""COMPUTED_VALUE"""),"1250778")</f>
        <v>1250778</v>
      </c>
      <c r="B2357" s="210" t="str">
        <f>IFERROR(__xludf.DUMMYFUNCTION("""COMPUTED_VALUE"""),"1250778")</f>
        <v>1250778</v>
      </c>
      <c r="C2357" s="213">
        <f>IFERROR(__xludf.DUMMYFUNCTION("""COMPUTED_VALUE"""),45972.541655092595)</f>
        <v>45972.54166</v>
      </c>
      <c r="D2357" s="211" t="str">
        <f>IFERROR(__xludf.DUMMYFUNCTION("""COMPUTED_VALUE"""),"3bcd7fe6")</f>
        <v>3bcd7fe6</v>
      </c>
      <c r="E2357" s="211" t="str">
        <f>IFERROR(__xludf.DUMMYFUNCTION("""COMPUTED_VALUE"""),"Bpk. Alvin (LB Group)")</f>
        <v>Bpk. Alvin (LB Group)</v>
      </c>
      <c r="F2357" s="211" t="str">
        <f>IFERROR(__xludf.DUMMYFUNCTION("""COMPUTED_VALUE"""),"7d2764f1")</f>
        <v>7d2764f1</v>
      </c>
      <c r="G2357" s="211" t="str">
        <f>IFERROR(__xludf.DUMMYFUNCTION("""COMPUTED_VALUE"""),"Oksigen 7m3")</f>
        <v>Oksigen 7m3</v>
      </c>
      <c r="H2357" s="211" t="str">
        <f>IFERROR(__xludf.DUMMYFUNCTION("""COMPUTED_VALUE"""),"IN")</f>
        <v>IN</v>
      </c>
      <c r="I2357" s="211" t="str">
        <f>IFERROR(__xludf.DUMMYFUNCTION("""COMPUTED_VALUE"""),"EMPTY")</f>
        <v>EMPTY</v>
      </c>
      <c r="J2357" s="211">
        <f>IFERROR(__xludf.DUMMYFUNCTION("""COMPUTED_VALUE"""),4.0)</f>
        <v>4</v>
      </c>
      <c r="K2357" s="210" t="str">
        <f>IFERROR(__xludf.DUMMYFUNCTION("""COMPUTED_VALUE"""),"11218 11229 11228 11142")</f>
        <v>11218 11229 11228 11142</v>
      </c>
      <c r="L2357" s="211">
        <f>IFERROR(__xludf.DUMMYFUNCTION("""COMPUTED_VALUE"""),0.0)</f>
        <v>0</v>
      </c>
      <c r="M2357" s="211"/>
      <c r="N2357" s="211"/>
      <c r="O2357" s="211"/>
      <c r="Q2357" s="210" t="str">
        <f>IFERROR(__xludf.DUMMYFUNCTION("""COMPUTED_VALUE"""),"0126172356")</f>
        <v>0126172356</v>
      </c>
      <c r="R2357" s="210" t="str">
        <f>IFERROR(__xludf.DUMMYFUNCTION("""COMPUTED_VALUE"""),"0126172356")</f>
        <v>0126172356</v>
      </c>
      <c r="S2357" s="211" t="str">
        <f>IFERROR(__xludf.DUMMYFUNCTION("""COMPUTED_VALUE"""),"63fc688a")</f>
        <v>63fc688a</v>
      </c>
      <c r="T2357" s="211" t="str">
        <f>IFERROR(__xludf.DUMMYFUNCTION("""COMPUTED_VALUE"""),"CV Malik Nusantara")</f>
        <v>CV Malik Nusantara</v>
      </c>
      <c r="U2357" s="215">
        <f>IFERROR(__xludf.DUMMYFUNCTION("""COMPUTED_VALUE"""),46048.47519675926)</f>
        <v>46048.4752</v>
      </c>
      <c r="V2357" s="211" t="str">
        <f>IFERROR(__xludf.DUMMYFUNCTION("""COMPUTED_VALUE"""),"Jl. Raya Balongbendo No.12, Suwaluh Utara, Suwaluh, Kec. BalongBendo, Kabupaten Sidoarjo, Jawa Timur 61263")</f>
        <v>Jl. Raya Balongbendo No.12, Suwaluh Utara, Suwaluh, Kec. BalongBendo, Kabupaten Sidoarjo, Jawa Timur 61263</v>
      </c>
      <c r="W2357" s="211" t="str">
        <f>IFERROR(__xludf.DUMMYFUNCTION("""COMPUTED_VALUE"""),"OUT")</f>
        <v>OUT</v>
      </c>
      <c r="X2357" s="211"/>
    </row>
    <row r="2358">
      <c r="A2358" s="210" t="str">
        <f>IFERROR(__xludf.DUMMYFUNCTION("""COMPUTED_VALUE"""),"1250778")</f>
        <v>1250778</v>
      </c>
      <c r="B2358" s="210" t="str">
        <f>IFERROR(__xludf.DUMMYFUNCTION("""COMPUTED_VALUE"""),"1250778")</f>
        <v>1250778</v>
      </c>
      <c r="C2358" s="213">
        <f>IFERROR(__xludf.DUMMYFUNCTION("""COMPUTED_VALUE"""),45972.541655092595)</f>
        <v>45972.54166</v>
      </c>
      <c r="D2358" s="211" t="str">
        <f>IFERROR(__xludf.DUMMYFUNCTION("""COMPUTED_VALUE"""),"3bcd7fe6")</f>
        <v>3bcd7fe6</v>
      </c>
      <c r="E2358" s="211" t="str">
        <f>IFERROR(__xludf.DUMMYFUNCTION("""COMPUTED_VALUE"""),"Bpk. Alvin (LB Group)")</f>
        <v>Bpk. Alvin (LB Group)</v>
      </c>
      <c r="F2358" s="211" t="str">
        <f>IFERROR(__xludf.DUMMYFUNCTION("""COMPUTED_VALUE"""),"f6aab7a9")</f>
        <v>f6aab7a9</v>
      </c>
      <c r="G2358" s="211" t="str">
        <f>IFERROR(__xludf.DUMMYFUNCTION("""COMPUTED_VALUE"""),"Oksigen 6m3 MR")</f>
        <v>Oksigen 6m3 MR</v>
      </c>
      <c r="H2358" s="211" t="str">
        <f>IFERROR(__xludf.DUMMYFUNCTION("""COMPUTED_VALUE"""),"IN")</f>
        <v>IN</v>
      </c>
      <c r="I2358" s="211" t="str">
        <f>IFERROR(__xludf.DUMMYFUNCTION("""COMPUTED_VALUE"""),"EMPTY")</f>
        <v>EMPTY</v>
      </c>
      <c r="J2358" s="211">
        <f>IFERROR(__xludf.DUMMYFUNCTION("""COMPUTED_VALUE"""),1.0)</f>
        <v>1</v>
      </c>
      <c r="K2358" s="210" t="str">
        <f>IFERROR(__xludf.DUMMYFUNCTION("""COMPUTED_VALUE"""),"01")</f>
        <v>01</v>
      </c>
      <c r="L2358" s="211">
        <f>IFERROR(__xludf.DUMMYFUNCTION("""COMPUTED_VALUE"""),0.0)</f>
        <v>0</v>
      </c>
      <c r="M2358" s="211"/>
      <c r="N2358" s="211"/>
      <c r="O2358" s="211"/>
      <c r="Q2358" s="210" t="str">
        <f>IFERROR(__xludf.DUMMYFUNCTION("""COMPUTED_VALUE"""),"1261141")</f>
        <v>1261141</v>
      </c>
      <c r="R2358" s="210" t="str">
        <f>IFERROR(__xludf.DUMMYFUNCTION("""COMPUTED_VALUE"""),"1261141")</f>
        <v>1261141</v>
      </c>
      <c r="S2358" s="211" t="str">
        <f>IFERROR(__xludf.DUMMYFUNCTION("""COMPUTED_VALUE"""),"63fc688a")</f>
        <v>63fc688a</v>
      </c>
      <c r="T2358" s="211" t="str">
        <f>IFERROR(__xludf.DUMMYFUNCTION("""COMPUTED_VALUE"""),"CV Malik Nusantara")</f>
        <v>CV Malik Nusantara</v>
      </c>
      <c r="U2358" s="215">
        <f>IFERROR(__xludf.DUMMYFUNCTION("""COMPUTED_VALUE"""),46048.47767361111)</f>
        <v>46048.47767</v>
      </c>
      <c r="V2358" s="211" t="str">
        <f>IFERROR(__xludf.DUMMYFUNCTION("""COMPUTED_VALUE"""),"Jl. Raya Balongbendo No.12, Suwaluh Utara, Suwaluh, Kec. BalongBendo, Kabupaten Sidoarjo, Jawa Timur 61263")</f>
        <v>Jl. Raya Balongbendo No.12, Suwaluh Utara, Suwaluh, Kec. BalongBendo, Kabupaten Sidoarjo, Jawa Timur 61263</v>
      </c>
      <c r="W2358" s="211" t="str">
        <f>IFERROR(__xludf.DUMMYFUNCTION("""COMPUTED_VALUE"""),"IN")</f>
        <v>IN</v>
      </c>
      <c r="X2358" s="211"/>
    </row>
    <row r="2359">
      <c r="A2359" s="210" t="str">
        <f>IFERROR(__xludf.DUMMYFUNCTION("""COMPUTED_VALUE"""),"112531675")</f>
        <v>112531675</v>
      </c>
      <c r="B2359" s="210" t="str">
        <f>IFERROR(__xludf.DUMMYFUNCTION("""COMPUTED_VALUE"""),"112531675")</f>
        <v>112531675</v>
      </c>
      <c r="C2359" s="213">
        <f>IFERROR(__xludf.DUMMYFUNCTION("""COMPUTED_VALUE"""),45972.542349537034)</f>
        <v>45972.54235</v>
      </c>
      <c r="D2359" s="211" t="str">
        <f>IFERROR(__xludf.DUMMYFUNCTION("""COMPUTED_VALUE"""),"f8a982a4")</f>
        <v>f8a982a4</v>
      </c>
      <c r="E2359" s="211" t="str">
        <f>IFERROR(__xludf.DUMMYFUNCTION("""COMPUTED_VALUE"""),"Bpk. Nasir")</f>
        <v>Bpk. Nasir</v>
      </c>
      <c r="F2359" s="211" t="str">
        <f>IFERROR(__xludf.DUMMYFUNCTION("""COMPUTED_VALUE"""),"8bdbe149")</f>
        <v>8bdbe149</v>
      </c>
      <c r="G2359" s="211" t="str">
        <f>IFERROR(__xludf.DUMMYFUNCTION("""COMPUTED_VALUE"""),"Oksigen 6m3")</f>
        <v>Oksigen 6m3</v>
      </c>
      <c r="H2359" s="211" t="str">
        <f>IFERROR(__xludf.DUMMYFUNCTION("""COMPUTED_VALUE"""),"OUT")</f>
        <v>OUT</v>
      </c>
      <c r="I2359" s="211" t="str">
        <f>IFERROR(__xludf.DUMMYFUNCTION("""COMPUTED_VALUE"""),"NORMAL")</f>
        <v>NORMAL</v>
      </c>
      <c r="J2359" s="211">
        <f>IFERROR(__xludf.DUMMYFUNCTION("""COMPUTED_VALUE"""),2.0)</f>
        <v>2</v>
      </c>
      <c r="K2359" s="210" t="str">
        <f>IFERROR(__xludf.DUMMYFUNCTION("""COMPUTED_VALUE"""),"11108 11115")</f>
        <v>11108 11115</v>
      </c>
      <c r="L2359" s="211">
        <f>IFERROR(__xludf.DUMMYFUNCTION("""COMPUTED_VALUE"""),70000.0)</f>
        <v>70000</v>
      </c>
      <c r="M2359" s="211"/>
      <c r="N2359" s="211"/>
      <c r="O2359" s="211"/>
      <c r="Q2359" s="210" t="str">
        <f>IFERROR(__xludf.DUMMYFUNCTION("""COMPUTED_VALUE"""),"1261140")</f>
        <v>1261140</v>
      </c>
      <c r="R2359" s="210" t="str">
        <f>IFERROR(__xludf.DUMMYFUNCTION("""COMPUTED_VALUE"""),"1261140")</f>
        <v>1261140</v>
      </c>
      <c r="S2359" s="211" t="str">
        <f>IFERROR(__xludf.DUMMYFUNCTION("""COMPUTED_VALUE"""),"8f5ebaea")</f>
        <v>8f5ebaea</v>
      </c>
      <c r="T2359" s="211" t="str">
        <f>IFERROR(__xludf.DUMMYFUNCTION("""COMPUTED_VALUE"""),"PT Hua Zong Mesindo")</f>
        <v>PT Hua Zong Mesindo</v>
      </c>
      <c r="U2359" s="215">
        <f>IFERROR(__xludf.DUMMYFUNCTION("""COMPUTED_VALUE"""),46048.61618055555)</f>
        <v>46048.61618</v>
      </c>
      <c r="V2359" s="211" t="str">
        <f>IFERROR(__xludf.DUMMYFUNCTION("""COMPUTED_VALUE"""),"Jl. Bypass Krian, Sidotemo, Sidomulyo, Kec. Krian, Kabupaten Sidoarjo, Jawa Timur 61262")</f>
        <v>Jl. Bypass Krian, Sidotemo, Sidomulyo, Kec. Krian, Kabupaten Sidoarjo, Jawa Timur 61262</v>
      </c>
      <c r="W2359" s="211" t="str">
        <f>IFERROR(__xludf.DUMMYFUNCTION("""COMPUTED_VALUE"""),"IN")</f>
        <v>IN</v>
      </c>
      <c r="X2359" s="211"/>
    </row>
    <row r="2360">
      <c r="A2360" s="210" t="str">
        <f>IFERROR(__xludf.DUMMYFUNCTION("""COMPUTED_VALUE"""),"112561677")</f>
        <v>112561677</v>
      </c>
      <c r="B2360" s="210" t="str">
        <f>IFERROR(__xludf.DUMMYFUNCTION("""COMPUTED_VALUE"""),"112561677")</f>
        <v>112561677</v>
      </c>
      <c r="C2360" s="213">
        <f>IFERROR(__xludf.DUMMYFUNCTION("""COMPUTED_VALUE"""),45972.59868055556)</f>
        <v>45972.59868</v>
      </c>
      <c r="D2360" s="211" t="str">
        <f>IFERROR(__xludf.DUMMYFUNCTION("""COMPUTED_VALUE"""),"faf71ae5")</f>
        <v>faf71ae5</v>
      </c>
      <c r="E2360" s="211" t="str">
        <f>IFERROR(__xludf.DUMMYFUNCTION("""COMPUTED_VALUE"""),"Bpk. Sampurna")</f>
        <v>Bpk. Sampurna</v>
      </c>
      <c r="F2360" s="211" t="str">
        <f>IFERROR(__xludf.DUMMYFUNCTION("""COMPUTED_VALUE"""),"8bdbe149")</f>
        <v>8bdbe149</v>
      </c>
      <c r="G2360" s="211" t="str">
        <f>IFERROR(__xludf.DUMMYFUNCTION("""COMPUTED_VALUE"""),"Oksigen 6m3")</f>
        <v>Oksigen 6m3</v>
      </c>
      <c r="H2360" s="211" t="str">
        <f>IFERROR(__xludf.DUMMYFUNCTION("""COMPUTED_VALUE"""),"OUT")</f>
        <v>OUT</v>
      </c>
      <c r="I2360" s="211" t="str">
        <f>IFERROR(__xludf.DUMMYFUNCTION("""COMPUTED_VALUE"""),"NORMAL")</f>
        <v>NORMAL</v>
      </c>
      <c r="J2360" s="211">
        <f>IFERROR(__xludf.DUMMYFUNCTION("""COMPUTED_VALUE"""),15.0)</f>
        <v>15</v>
      </c>
      <c r="K2360" s="210" t="str">
        <f>IFERROR(__xludf.DUMMYFUNCTION("""COMPUTED_VALUE"""),"1170 1156 11196 11177 11260 11282 11250 11239 1187 11133 11125 11279 1109 11119 1155")</f>
        <v>1170 1156 11196 11177 11260 11282 11250 11239 1187 11133 11125 11279 1109 11119 1155</v>
      </c>
      <c r="L2360" s="211">
        <f>IFERROR(__xludf.DUMMYFUNCTION("""COMPUTED_VALUE"""),55000.0)</f>
        <v>55000</v>
      </c>
      <c r="M2360" s="211"/>
      <c r="N2360" s="211"/>
      <c r="O2360" s="211"/>
      <c r="Q2360" s="210" t="str">
        <f>IFERROR(__xludf.DUMMYFUNCTION("""COMPUTED_VALUE"""),"1261152")</f>
        <v>1261152</v>
      </c>
      <c r="R2360" s="210" t="str">
        <f>IFERROR(__xludf.DUMMYFUNCTION("""COMPUTED_VALUE"""),"1261152")</f>
        <v>1261152</v>
      </c>
      <c r="S2360" s="211" t="str">
        <f>IFERROR(__xludf.DUMMYFUNCTION("""COMPUTED_VALUE"""),"ec231cc9")</f>
        <v>ec231cc9</v>
      </c>
      <c r="T2360" s="211" t="str">
        <f>IFERROR(__xludf.DUMMYFUNCTION("""COMPUTED_VALUE"""),"Bpk. Kohir (Maintenance Velg)")</f>
        <v>Bpk. Kohir (Maintenance Velg)</v>
      </c>
      <c r="U2360" s="215">
        <f>IFERROR(__xludf.DUMMYFUNCTION("""COMPUTED_VALUE"""),46048.62605324074)</f>
        <v>46048.62605</v>
      </c>
      <c r="V2360" s="211" t="str">
        <f>IFERROR(__xludf.DUMMYFUNCTION("""COMPUTED_VALUE"""),"Jl. Lkr. Bypass Krian Timur, Sidogolong, Watugolong, Kec. Krian, Kabupaten Sidoarjo, Jawa Timur 61262")</f>
        <v>Jl. Lkr. Bypass Krian Timur, Sidogolong, Watugolong, Kec. Krian, Kabupaten Sidoarjo, Jawa Timur 61262</v>
      </c>
      <c r="W2360" s="211" t="str">
        <f>IFERROR(__xludf.DUMMYFUNCTION("""COMPUTED_VALUE"""),"IN")</f>
        <v>IN</v>
      </c>
      <c r="X2360" s="211"/>
    </row>
    <row r="2361">
      <c r="A2361" s="210" t="str">
        <f>IFERROR(__xludf.DUMMYFUNCTION("""COMPUTED_VALUE"""),"112561677")</f>
        <v>112561677</v>
      </c>
      <c r="B2361" s="210" t="str">
        <f>IFERROR(__xludf.DUMMYFUNCTION("""COMPUTED_VALUE"""),"112561677")</f>
        <v>112561677</v>
      </c>
      <c r="C2361" s="213">
        <f>IFERROR(__xludf.DUMMYFUNCTION("""COMPUTED_VALUE"""),45972.59868055556)</f>
        <v>45972.59868</v>
      </c>
      <c r="D2361" s="211" t="str">
        <f>IFERROR(__xludf.DUMMYFUNCTION("""COMPUTED_VALUE"""),"faf71ae5")</f>
        <v>faf71ae5</v>
      </c>
      <c r="E2361" s="211" t="str">
        <f>IFERROR(__xludf.DUMMYFUNCTION("""COMPUTED_VALUE"""),"Bpk. Sampurna")</f>
        <v>Bpk. Sampurna</v>
      </c>
      <c r="F2361" s="211" t="str">
        <f>IFERROR(__xludf.DUMMYFUNCTION("""COMPUTED_VALUE"""),"f13ba52f")</f>
        <v>f13ba52f</v>
      </c>
      <c r="G2361" s="211" t="str">
        <f>IFERROR(__xludf.DUMMYFUNCTION("""COMPUTED_VALUE"""),"Ongkos Kirim (Non PPN)")</f>
        <v>Ongkos Kirim (Non PPN)</v>
      </c>
      <c r="H2361" s="211" t="str">
        <f>IFERROR(__xludf.DUMMYFUNCTION("""COMPUTED_VALUE"""),"OUT")</f>
        <v>OUT</v>
      </c>
      <c r="I2361" s="211" t="str">
        <f>IFERROR(__xludf.DUMMYFUNCTION("""COMPUTED_VALUE"""),"NORMAL")</f>
        <v>NORMAL</v>
      </c>
      <c r="J2361" s="211">
        <f>IFERROR(__xludf.DUMMYFUNCTION("""COMPUTED_VALUE"""),1.0)</f>
        <v>1</v>
      </c>
      <c r="K2361" s="211"/>
      <c r="L2361" s="211">
        <f>IFERROR(__xludf.DUMMYFUNCTION("""COMPUTED_VALUE"""),50000.0)</f>
        <v>50000</v>
      </c>
      <c r="M2361" s="211"/>
      <c r="N2361" s="211"/>
      <c r="O2361" s="211"/>
      <c r="Q2361" s="210" t="str">
        <f>IFERROR(__xludf.DUMMYFUNCTION("""COMPUTED_VALUE"""),"1261151")</f>
        <v>1261151</v>
      </c>
      <c r="R2361" s="210" t="str">
        <f>IFERROR(__xludf.DUMMYFUNCTION("""COMPUTED_VALUE"""),"1261151")</f>
        <v>1261151</v>
      </c>
      <c r="S2361" s="211" t="str">
        <f>IFERROR(__xludf.DUMMYFUNCTION("""COMPUTED_VALUE"""),"a0f0ad2d")</f>
        <v>a0f0ad2d</v>
      </c>
      <c r="T2361" s="211" t="str">
        <f>IFERROR(__xludf.DUMMYFUNCTION("""COMPUTED_VALUE"""),"CV. Yulie Jaya")</f>
        <v>CV. Yulie Jaya</v>
      </c>
      <c r="U2361" s="215">
        <f>IFERROR(__xludf.DUMMYFUNCTION("""COMPUTED_VALUE"""),46048.62657407407)</f>
        <v>46048.62657</v>
      </c>
      <c r="V2361" s="211" t="str">
        <f>IFERROR(__xludf.DUMMYFUNCTION("""COMPUTED_VALUE"""),"JJH4+6RV, Badas, Barengkrajan, Kec. Krian, Kabupaten Sidoarjo, Jawa Timur 61262")</f>
        <v>JJH4+6RV, Badas, Barengkrajan, Kec. Krian, Kabupaten Sidoarjo, Jawa Timur 61262</v>
      </c>
      <c r="W2361" s="211" t="str">
        <f>IFERROR(__xludf.DUMMYFUNCTION("""COMPUTED_VALUE"""),"IN")</f>
        <v>IN</v>
      </c>
      <c r="X2361" s="211"/>
    </row>
    <row r="2362">
      <c r="A2362" s="210" t="str">
        <f>IFERROR(__xludf.DUMMYFUNCTION("""COMPUTED_VALUE"""),"1250825")</f>
        <v>1250825</v>
      </c>
      <c r="B2362" s="210" t="str">
        <f>IFERROR(__xludf.DUMMYFUNCTION("""COMPUTED_VALUE"""),"1250825")</f>
        <v>1250825</v>
      </c>
      <c r="C2362" s="213">
        <f>IFERROR(__xludf.DUMMYFUNCTION("""COMPUTED_VALUE"""),45972.60775462963)</f>
        <v>45972.60775</v>
      </c>
      <c r="D2362" s="211" t="str">
        <f>IFERROR(__xludf.DUMMYFUNCTION("""COMPUTED_VALUE"""),"b0735da4")</f>
        <v>b0735da4</v>
      </c>
      <c r="E2362" s="211" t="str">
        <f>IFERROR(__xludf.DUMMYFUNCTION("""COMPUTED_VALUE"""),"Bpk. Amer Ciro")</f>
        <v>Bpk. Amer Ciro</v>
      </c>
      <c r="F2362" s="211" t="str">
        <f>IFERROR(__xludf.DUMMYFUNCTION("""COMPUTED_VALUE"""),"7d2764f1")</f>
        <v>7d2764f1</v>
      </c>
      <c r="G2362" s="211" t="str">
        <f>IFERROR(__xludf.DUMMYFUNCTION("""COMPUTED_VALUE"""),"Oksigen 7m3")</f>
        <v>Oksigen 7m3</v>
      </c>
      <c r="H2362" s="211" t="str">
        <f>IFERROR(__xludf.DUMMYFUNCTION("""COMPUTED_VALUE"""),"IN")</f>
        <v>IN</v>
      </c>
      <c r="I2362" s="211" t="str">
        <f>IFERROR(__xludf.DUMMYFUNCTION("""COMPUTED_VALUE"""),"EMPTY")</f>
        <v>EMPTY</v>
      </c>
      <c r="J2362" s="211">
        <f>IFERROR(__xludf.DUMMYFUNCTION("""COMPUTED_VALUE"""),1.0)</f>
        <v>1</v>
      </c>
      <c r="K2362" s="210" t="str">
        <f>IFERROR(__xludf.DUMMYFUNCTION("""COMPUTED_VALUE"""),"11169")</f>
        <v>11169</v>
      </c>
      <c r="L2362" s="211">
        <f>IFERROR(__xludf.DUMMYFUNCTION("""COMPUTED_VALUE"""),0.0)</f>
        <v>0</v>
      </c>
      <c r="M2362" s="211"/>
      <c r="N2362" s="211"/>
      <c r="O2362" s="211"/>
      <c r="Q2362" s="210" t="str">
        <f>IFERROR(__xludf.DUMMYFUNCTION("""COMPUTED_VALUE"""),"1261142")</f>
        <v>1261142</v>
      </c>
      <c r="R2362" s="210" t="str">
        <f>IFERROR(__xludf.DUMMYFUNCTION("""COMPUTED_VALUE"""),"1261142")</f>
        <v>1261142</v>
      </c>
      <c r="S2362" s="211" t="str">
        <f>IFERROR(__xludf.DUMMYFUNCTION("""COMPUTED_VALUE"""),"b2b5f2c5")</f>
        <v>b2b5f2c5</v>
      </c>
      <c r="T2362" s="211" t="str">
        <f>IFERROR(__xludf.DUMMYFUNCTION("""COMPUTED_VALUE"""),"Bengkel Las Bpk. Ari")</f>
        <v>Bengkel Las Bpk. Ari</v>
      </c>
      <c r="U2362" s="215">
        <f>IFERROR(__xludf.DUMMYFUNCTION("""COMPUTED_VALUE"""),46048.68990740741)</f>
        <v>46048.68991</v>
      </c>
      <c r="V2362" s="211" t="str">
        <f>IFERROR(__xludf.DUMMYFUNCTION("""COMPUTED_VALUE"""),"Sumber Kembar, Wonodadi, Kec. Kutorejo, Kabupaten Mojokerto, Jawa Timur")</f>
        <v>Sumber Kembar, Wonodadi, Kec. Kutorejo, Kabupaten Mojokerto, Jawa Timur</v>
      </c>
      <c r="W2362" s="211" t="str">
        <f>IFERROR(__xludf.DUMMYFUNCTION("""COMPUTED_VALUE"""),"IN")</f>
        <v>IN</v>
      </c>
      <c r="X2362" s="211"/>
    </row>
    <row r="2363">
      <c r="A2363" s="210" t="str">
        <f>IFERROR(__xludf.DUMMYFUNCTION("""COMPUTED_VALUE"""),"1250827")</f>
        <v>1250827</v>
      </c>
      <c r="B2363" s="210" t="str">
        <f>IFERROR(__xludf.DUMMYFUNCTION("""COMPUTED_VALUE"""),"1250827")</f>
        <v>1250827</v>
      </c>
      <c r="C2363" s="213">
        <f>IFERROR(__xludf.DUMMYFUNCTION("""COMPUTED_VALUE"""),45972.60917824074)</f>
        <v>45972.60918</v>
      </c>
      <c r="D2363" s="211" t="str">
        <f>IFERROR(__xludf.DUMMYFUNCTION("""COMPUTED_VALUE"""),"b218b89b")</f>
        <v>b218b89b</v>
      </c>
      <c r="E2363" s="211" t="str">
        <f>IFERROR(__xludf.DUMMYFUNCTION("""COMPUTED_VALUE"""),"PT Harapan Sentosa")</f>
        <v>PT Harapan Sentosa</v>
      </c>
      <c r="F2363" s="211" t="str">
        <f>IFERROR(__xludf.DUMMYFUNCTION("""COMPUTED_VALUE"""),"8bdbe149")</f>
        <v>8bdbe149</v>
      </c>
      <c r="G2363" s="211" t="str">
        <f>IFERROR(__xludf.DUMMYFUNCTION("""COMPUTED_VALUE"""),"Oksigen 6m3")</f>
        <v>Oksigen 6m3</v>
      </c>
      <c r="H2363" s="211" t="str">
        <f>IFERROR(__xludf.DUMMYFUNCTION("""COMPUTED_VALUE"""),"IN")</f>
        <v>IN</v>
      </c>
      <c r="I2363" s="211" t="str">
        <f>IFERROR(__xludf.DUMMYFUNCTION("""COMPUTED_VALUE"""),"EMPTY")</f>
        <v>EMPTY</v>
      </c>
      <c r="J2363" s="211">
        <f>IFERROR(__xludf.DUMMYFUNCTION("""COMPUTED_VALUE"""),1.0)</f>
        <v>1</v>
      </c>
      <c r="K2363" s="210" t="str">
        <f>IFERROR(__xludf.DUMMYFUNCTION("""COMPUTED_VALUE"""),"11101")</f>
        <v>11101</v>
      </c>
      <c r="L2363" s="211">
        <f>IFERROR(__xludf.DUMMYFUNCTION("""COMPUTED_VALUE"""),0.0)</f>
        <v>0</v>
      </c>
      <c r="M2363" s="211"/>
      <c r="N2363" s="211"/>
      <c r="O2363" s="211"/>
      <c r="Q2363" s="210" t="str">
        <f>IFERROR(__xludf.DUMMYFUNCTION("""COMPUTED_VALUE"""),"012682358")</f>
        <v>012682358</v>
      </c>
      <c r="R2363" s="210" t="str">
        <f>IFERROR(__xludf.DUMMYFUNCTION("""COMPUTED_VALUE"""),"012682358")</f>
        <v>012682358</v>
      </c>
      <c r="S2363" s="211" t="str">
        <f>IFERROR(__xludf.DUMMYFUNCTION("""COMPUTED_VALUE"""),"bdb5baf3")</f>
        <v>bdb5baf3</v>
      </c>
      <c r="T2363" s="211" t="str">
        <f>IFERROR(__xludf.DUMMYFUNCTION("""COMPUTED_VALUE"""),"Bpk. Abdul")</f>
        <v>Bpk. Abdul</v>
      </c>
      <c r="U2363" s="215">
        <f>IFERROR(__xludf.DUMMYFUNCTION("""COMPUTED_VALUE"""),46049.35649305556)</f>
        <v>46049.35649</v>
      </c>
      <c r="V2363" s="211" t="str">
        <f>IFERROR(__xludf.DUMMYFUNCTION("""COMPUTED_VALUE"""),"Bypass Krian")</f>
        <v>Bypass Krian</v>
      </c>
      <c r="W2363" s="211" t="str">
        <f>IFERROR(__xludf.DUMMYFUNCTION("""COMPUTED_VALUE"""),"OUT")</f>
        <v>OUT</v>
      </c>
      <c r="X2363" s="211"/>
    </row>
    <row r="2364">
      <c r="A2364" s="210" t="str">
        <f>IFERROR(__xludf.DUMMYFUNCTION("""COMPUTED_VALUE"""),"1250826")</f>
        <v>1250826</v>
      </c>
      <c r="B2364" s="210" t="str">
        <f>IFERROR(__xludf.DUMMYFUNCTION("""COMPUTED_VALUE"""),"1250826")</f>
        <v>1250826</v>
      </c>
      <c r="C2364" s="213">
        <f>IFERROR(__xludf.DUMMYFUNCTION("""COMPUTED_VALUE"""),45972.60975694445)</f>
        <v>45972.60976</v>
      </c>
      <c r="D2364" s="211" t="str">
        <f>IFERROR(__xludf.DUMMYFUNCTION("""COMPUTED_VALUE"""),"b2b5f2c5")</f>
        <v>b2b5f2c5</v>
      </c>
      <c r="E2364" s="211" t="str">
        <f>IFERROR(__xludf.DUMMYFUNCTION("""COMPUTED_VALUE"""),"Bengkel Las Bpk. Ari")</f>
        <v>Bengkel Las Bpk. Ari</v>
      </c>
      <c r="F2364" s="211" t="str">
        <f>IFERROR(__xludf.DUMMYFUNCTION("""COMPUTED_VALUE"""),"ef306e54")</f>
        <v>ef306e54</v>
      </c>
      <c r="G2364" s="211" t="str">
        <f>IFERROR(__xludf.DUMMYFUNCTION("""COMPUTED_VALUE"""),"Karbondioksida")</f>
        <v>Karbondioksida</v>
      </c>
      <c r="H2364" s="211" t="str">
        <f>IFERROR(__xludf.DUMMYFUNCTION("""COMPUTED_VALUE"""),"IN")</f>
        <v>IN</v>
      </c>
      <c r="I2364" s="211" t="str">
        <f>IFERROR(__xludf.DUMMYFUNCTION("""COMPUTED_VALUE"""),"EMPTY")</f>
        <v>EMPTY</v>
      </c>
      <c r="J2364" s="211">
        <f>IFERROR(__xludf.DUMMYFUNCTION("""COMPUTED_VALUE"""),2.0)</f>
        <v>2</v>
      </c>
      <c r="K2364" s="210" t="str">
        <f>IFERROR(__xludf.DUMMYFUNCTION("""COMPUTED_VALUE"""),"13006 13027")</f>
        <v>13006 13027</v>
      </c>
      <c r="L2364" s="211">
        <f>IFERROR(__xludf.DUMMYFUNCTION("""COMPUTED_VALUE"""),0.0)</f>
        <v>0</v>
      </c>
      <c r="M2364" s="211"/>
      <c r="N2364" s="211"/>
      <c r="O2364" s="211"/>
      <c r="Q2364" s="210" t="str">
        <f>IFERROR(__xludf.DUMMYFUNCTION("""COMPUTED_VALUE"""),"1261153")</f>
        <v>1261153</v>
      </c>
      <c r="R2364" s="210" t="str">
        <f>IFERROR(__xludf.DUMMYFUNCTION("""COMPUTED_VALUE"""),"1261153")</f>
        <v>1261153</v>
      </c>
      <c r="S2364" s="211" t="str">
        <f>IFERROR(__xludf.DUMMYFUNCTION("""COMPUTED_VALUE"""),"bdb5baf3")</f>
        <v>bdb5baf3</v>
      </c>
      <c r="T2364" s="211" t="str">
        <f>IFERROR(__xludf.DUMMYFUNCTION("""COMPUTED_VALUE"""),"Bpk. Abdul")</f>
        <v>Bpk. Abdul</v>
      </c>
      <c r="U2364" s="215">
        <f>IFERROR(__xludf.DUMMYFUNCTION("""COMPUTED_VALUE"""),46049.36927083333)</f>
        <v>46049.36927</v>
      </c>
      <c r="V2364" s="211" t="str">
        <f>IFERROR(__xludf.DUMMYFUNCTION("""COMPUTED_VALUE"""),"Bypass Krian")</f>
        <v>Bypass Krian</v>
      </c>
      <c r="W2364" s="211" t="str">
        <f>IFERROR(__xludf.DUMMYFUNCTION("""COMPUTED_VALUE"""),"IN")</f>
        <v>IN</v>
      </c>
      <c r="X2364" s="211"/>
    </row>
    <row r="2365">
      <c r="A2365" s="210" t="str">
        <f>IFERROR(__xludf.DUMMYFUNCTION("""COMPUTED_VALUE"""),"1250826")</f>
        <v>1250826</v>
      </c>
      <c r="B2365" s="210" t="str">
        <f>IFERROR(__xludf.DUMMYFUNCTION("""COMPUTED_VALUE"""),"1250826")</f>
        <v>1250826</v>
      </c>
      <c r="C2365" s="213">
        <f>IFERROR(__xludf.DUMMYFUNCTION("""COMPUTED_VALUE"""),45972.60975694445)</f>
        <v>45972.60976</v>
      </c>
      <c r="D2365" s="211" t="str">
        <f>IFERROR(__xludf.DUMMYFUNCTION("""COMPUTED_VALUE"""),"b2b5f2c5")</f>
        <v>b2b5f2c5</v>
      </c>
      <c r="E2365" s="211" t="str">
        <f>IFERROR(__xludf.DUMMYFUNCTION("""COMPUTED_VALUE"""),"Bengkel Las Bpk. Ari")</f>
        <v>Bengkel Las Bpk. Ari</v>
      </c>
      <c r="F2365" s="211" t="str">
        <f>IFERROR(__xludf.DUMMYFUNCTION("""COMPUTED_VALUE"""),"8bdbe149")</f>
        <v>8bdbe149</v>
      </c>
      <c r="G2365" s="211" t="str">
        <f>IFERROR(__xludf.DUMMYFUNCTION("""COMPUTED_VALUE"""),"Oksigen 6m3")</f>
        <v>Oksigen 6m3</v>
      </c>
      <c r="H2365" s="211" t="str">
        <f>IFERROR(__xludf.DUMMYFUNCTION("""COMPUTED_VALUE"""),"IN")</f>
        <v>IN</v>
      </c>
      <c r="I2365" s="211" t="str">
        <f>IFERROR(__xludf.DUMMYFUNCTION("""COMPUTED_VALUE"""),"EMPTY")</f>
        <v>EMPTY</v>
      </c>
      <c r="J2365" s="211">
        <f>IFERROR(__xludf.DUMMYFUNCTION("""COMPUTED_VALUE"""),2.0)</f>
        <v>2</v>
      </c>
      <c r="K2365" s="210" t="str">
        <f>IFERROR(__xludf.DUMMYFUNCTION("""COMPUTED_VALUE"""),"1146 11196")</f>
        <v>1146 11196</v>
      </c>
      <c r="L2365" s="211">
        <f>IFERROR(__xludf.DUMMYFUNCTION("""COMPUTED_VALUE"""),0.0)</f>
        <v>0</v>
      </c>
      <c r="M2365" s="211"/>
      <c r="N2365" s="211"/>
      <c r="O2365" s="211"/>
      <c r="Q2365" s="210" t="str">
        <f>IFERROR(__xludf.DUMMYFUNCTION("""COMPUTED_VALUE"""),"0126162364")</f>
        <v>0126162364</v>
      </c>
      <c r="R2365" s="210" t="str">
        <f>IFERROR(__xludf.DUMMYFUNCTION("""COMPUTED_VALUE"""),"0126162364")</f>
        <v>0126162364</v>
      </c>
      <c r="S2365" s="211" t="str">
        <f>IFERROR(__xludf.DUMMYFUNCTION("""COMPUTED_VALUE"""),"8ea74d81")</f>
        <v>8ea74d81</v>
      </c>
      <c r="T2365" s="211" t="str">
        <f>IFERROR(__xludf.DUMMYFUNCTION("""COMPUTED_VALUE"""),"Bengkel Adi Putra")</f>
        <v>Bengkel Adi Putra</v>
      </c>
      <c r="U2365" s="215">
        <f>IFERROR(__xludf.DUMMYFUNCTION("""COMPUTED_VALUE"""),46049.37813657407)</f>
        <v>46049.37814</v>
      </c>
      <c r="V2365" s="211" t="str">
        <f>IFERROR(__xludf.DUMMYFUNCTION("""COMPUTED_VALUE"""),"Bypass Balongbendo")</f>
        <v>Bypass Balongbendo</v>
      </c>
      <c r="W2365" s="211" t="str">
        <f>IFERROR(__xludf.DUMMYFUNCTION("""COMPUTED_VALUE"""),"OUT")</f>
        <v>OUT</v>
      </c>
      <c r="X2365" s="211"/>
    </row>
    <row r="2366">
      <c r="A2366" s="210" t="str">
        <f>IFERROR(__xludf.DUMMYFUNCTION("""COMPUTED_VALUE"""),"1025151404")</f>
        <v>1025151404</v>
      </c>
      <c r="B2366" s="210" t="str">
        <f>IFERROR(__xludf.DUMMYFUNCTION("""COMPUTED_VALUE"""),"1025151404")</f>
        <v>1025151404</v>
      </c>
      <c r="C2366" s="213">
        <f>IFERROR(__xludf.DUMMYFUNCTION("""COMPUTED_VALUE"""),45938.36178240741)</f>
        <v>45938.36178</v>
      </c>
      <c r="D2366" s="211" t="str">
        <f>IFERROR(__xludf.DUMMYFUNCTION("""COMPUTED_VALUE"""),"182fb0fe")</f>
        <v>182fb0fe</v>
      </c>
      <c r="E2366" s="211" t="str">
        <f>IFERROR(__xludf.DUMMYFUNCTION("""COMPUTED_VALUE"""),"PT Amtech")</f>
        <v>PT Amtech</v>
      </c>
      <c r="F2366" s="211" t="str">
        <f>IFERROR(__xludf.DUMMYFUNCTION("""COMPUTED_VALUE"""),"f13ba52f")</f>
        <v>f13ba52f</v>
      </c>
      <c r="G2366" s="211" t="str">
        <f>IFERROR(__xludf.DUMMYFUNCTION("""COMPUTED_VALUE"""),"Ongkos Kirim (Non PPN)")</f>
        <v>Ongkos Kirim (Non PPN)</v>
      </c>
      <c r="H2366" s="211" t="str">
        <f>IFERROR(__xludf.DUMMYFUNCTION("""COMPUTED_VALUE"""),"OUT")</f>
        <v>OUT</v>
      </c>
      <c r="I2366" s="211" t="str">
        <f>IFERROR(__xludf.DUMMYFUNCTION("""COMPUTED_VALUE"""),"NORMAL")</f>
        <v>NORMAL</v>
      </c>
      <c r="J2366" s="211">
        <f>IFERROR(__xludf.DUMMYFUNCTION("""COMPUTED_VALUE"""),1.0)</f>
        <v>1</v>
      </c>
      <c r="K2366" s="211"/>
      <c r="L2366" s="211">
        <f>IFERROR(__xludf.DUMMYFUNCTION("""COMPUTED_VALUE"""),100000.0)</f>
        <v>100000</v>
      </c>
      <c r="M2366" s="211"/>
      <c r="N2366" s="211"/>
      <c r="O2366" s="211"/>
      <c r="Q2366" s="210" t="str">
        <f>IFERROR(__xludf.DUMMYFUNCTION("""COMPUTED_VALUE"""),"0126442366")</f>
        <v>0126442366</v>
      </c>
      <c r="R2366" s="210" t="str">
        <f>IFERROR(__xludf.DUMMYFUNCTION("""COMPUTED_VALUE"""),"0126442366")</f>
        <v>0126442366</v>
      </c>
      <c r="S2366" s="211" t="str">
        <f>IFERROR(__xludf.DUMMYFUNCTION("""COMPUTED_VALUE"""),"01158be1")</f>
        <v>01158be1</v>
      </c>
      <c r="T2366" s="211" t="str">
        <f>IFERROR(__xludf.DUMMYFUNCTION("""COMPUTED_VALUE"""),"GYF")</f>
        <v>GYF</v>
      </c>
      <c r="U2366" s="215">
        <f>IFERROR(__xludf.DUMMYFUNCTION("""COMPUTED_VALUE"""),46049.38143518518)</f>
        <v>46049.38144</v>
      </c>
      <c r="V2366" s="211" t="str">
        <f>IFERROR(__xludf.DUMMYFUNCTION("""COMPUTED_VALUE"""),"Kangkungan, Lengkong, Kec. Mojoanyar, Kabupaten Mojokerto, Jawa Timur")</f>
        <v>Kangkungan, Lengkong, Kec. Mojoanyar, Kabupaten Mojokerto, Jawa Timur</v>
      </c>
      <c r="W2366" s="211" t="str">
        <f>IFERROR(__xludf.DUMMYFUNCTION("""COMPUTED_VALUE"""),"OUT")</f>
        <v>OUT</v>
      </c>
      <c r="X2366" s="211"/>
    </row>
    <row r="2367">
      <c r="A2367" s="210" t="str">
        <f>IFERROR(__xludf.DUMMYFUNCTION("""COMPUTED_VALUE"""),"1250777")</f>
        <v>1250777</v>
      </c>
      <c r="B2367" s="210" t="str">
        <f>IFERROR(__xludf.DUMMYFUNCTION("""COMPUTED_VALUE"""),"1250777")</f>
        <v>1250777</v>
      </c>
      <c r="C2367" s="213">
        <f>IFERROR(__xludf.DUMMYFUNCTION("""COMPUTED_VALUE"""),45972.65744212963)</f>
        <v>45972.65744</v>
      </c>
      <c r="D2367" s="211" t="str">
        <f>IFERROR(__xludf.DUMMYFUNCTION("""COMPUTED_VALUE"""),"f8a982a4")</f>
        <v>f8a982a4</v>
      </c>
      <c r="E2367" s="211" t="str">
        <f>IFERROR(__xludf.DUMMYFUNCTION("""COMPUTED_VALUE"""),"Bpk. Nasir")</f>
        <v>Bpk. Nasir</v>
      </c>
      <c r="F2367" s="211" t="str">
        <f>IFERROR(__xludf.DUMMYFUNCTION("""COMPUTED_VALUE"""),"8bdbe149")</f>
        <v>8bdbe149</v>
      </c>
      <c r="G2367" s="211" t="str">
        <f>IFERROR(__xludf.DUMMYFUNCTION("""COMPUTED_VALUE"""),"Oksigen 6m3")</f>
        <v>Oksigen 6m3</v>
      </c>
      <c r="H2367" s="211" t="str">
        <f>IFERROR(__xludf.DUMMYFUNCTION("""COMPUTED_VALUE"""),"IN")</f>
        <v>IN</v>
      </c>
      <c r="I2367" s="211" t="str">
        <f>IFERROR(__xludf.DUMMYFUNCTION("""COMPUTED_VALUE"""),"EMPTY")</f>
        <v>EMPTY</v>
      </c>
      <c r="J2367" s="211">
        <f>IFERROR(__xludf.DUMMYFUNCTION("""COMPUTED_VALUE"""),6.0)</f>
        <v>6</v>
      </c>
      <c r="K2367" s="210" t="str">
        <f>IFERROR(__xludf.DUMMYFUNCTION("""COMPUTED_VALUE"""),"11105 1128 11249 1142 1192 11255")</f>
        <v>11105 1128 11249 1142 1192 11255</v>
      </c>
      <c r="L2367" s="211">
        <f>IFERROR(__xludf.DUMMYFUNCTION("""COMPUTED_VALUE"""),0.0)</f>
        <v>0</v>
      </c>
      <c r="M2367" s="211"/>
      <c r="N2367" s="211"/>
      <c r="O2367" s="211"/>
      <c r="Q2367" s="210" t="str">
        <f>IFERROR(__xludf.DUMMYFUNCTION("""COMPUTED_VALUE"""),"0126162367")</f>
        <v>0126162367</v>
      </c>
      <c r="R2367" s="210" t="str">
        <f>IFERROR(__xludf.DUMMYFUNCTION("""COMPUTED_VALUE"""),"0126162367")</f>
        <v>0126162367</v>
      </c>
      <c r="S2367" s="211" t="str">
        <f>IFERROR(__xludf.DUMMYFUNCTION("""COMPUTED_VALUE"""),"a0f0ad2d")</f>
        <v>a0f0ad2d</v>
      </c>
      <c r="T2367" s="211" t="str">
        <f>IFERROR(__xludf.DUMMYFUNCTION("""COMPUTED_VALUE"""),"CV. Yulie Jaya")</f>
        <v>CV. Yulie Jaya</v>
      </c>
      <c r="U2367" s="215">
        <f>IFERROR(__xludf.DUMMYFUNCTION("""COMPUTED_VALUE"""),46049.38591435185)</f>
        <v>46049.38591</v>
      </c>
      <c r="V2367" s="211" t="str">
        <f>IFERROR(__xludf.DUMMYFUNCTION("""COMPUTED_VALUE"""),"JJH4+6RV, Badas, Barengkrajan, Kec. Krian, Kabupaten Sidoarjo, Jawa Timur 61262")</f>
        <v>JJH4+6RV, Badas, Barengkrajan, Kec. Krian, Kabupaten Sidoarjo, Jawa Timur 61262</v>
      </c>
      <c r="W2367" s="211" t="str">
        <f>IFERROR(__xludf.DUMMYFUNCTION("""COMPUTED_VALUE"""),"OUT")</f>
        <v>OUT</v>
      </c>
      <c r="X2367" s="211"/>
    </row>
    <row r="2368">
      <c r="A2368" s="210" t="str">
        <f>IFERROR(__xludf.DUMMYFUNCTION("""COMPUTED_VALUE"""),"1250828")</f>
        <v>1250828</v>
      </c>
      <c r="B2368" s="210" t="str">
        <f>IFERROR(__xludf.DUMMYFUNCTION("""COMPUTED_VALUE"""),"1250828")</f>
        <v>1250828</v>
      </c>
      <c r="C2368" s="213">
        <f>IFERROR(__xludf.DUMMYFUNCTION("""COMPUTED_VALUE"""),45973.357766203706)</f>
        <v>45973.35777</v>
      </c>
      <c r="D2368" s="211" t="str">
        <f>IFERROR(__xludf.DUMMYFUNCTION("""COMPUTED_VALUE"""),"faf71ae5")</f>
        <v>faf71ae5</v>
      </c>
      <c r="E2368" s="211" t="str">
        <f>IFERROR(__xludf.DUMMYFUNCTION("""COMPUTED_VALUE"""),"Bpk. Sampurna")</f>
        <v>Bpk. Sampurna</v>
      </c>
      <c r="F2368" s="211" t="str">
        <f>IFERROR(__xludf.DUMMYFUNCTION("""COMPUTED_VALUE"""),"be525f3b")</f>
        <v>be525f3b</v>
      </c>
      <c r="G2368" s="211" t="str">
        <f>IFERROR(__xludf.DUMMYFUNCTION("""COMPUTED_VALUE"""),"LPG 12kg")</f>
        <v>LPG 12kg</v>
      </c>
      <c r="H2368" s="211" t="str">
        <f>IFERROR(__xludf.DUMMYFUNCTION("""COMPUTED_VALUE"""),"IN")</f>
        <v>IN</v>
      </c>
      <c r="I2368" s="211" t="str">
        <f>IFERROR(__xludf.DUMMYFUNCTION("""COMPUTED_VALUE"""),"EMPTY")</f>
        <v>EMPTY</v>
      </c>
      <c r="J2368" s="211">
        <f>IFERROR(__xludf.DUMMYFUNCTION("""COMPUTED_VALUE"""),2.0)</f>
        <v>2</v>
      </c>
      <c r="K2368" s="211"/>
      <c r="L2368" s="211">
        <f>IFERROR(__xludf.DUMMYFUNCTION("""COMPUTED_VALUE"""),0.0)</f>
        <v>0</v>
      </c>
      <c r="M2368" s="211"/>
      <c r="N2368" s="211"/>
      <c r="O2368" s="211"/>
      <c r="Q2368" s="210" t="str">
        <f>IFERROR(__xludf.DUMMYFUNCTION("""COMPUTED_VALUE"""),"0126772368")</f>
        <v>0126772368</v>
      </c>
      <c r="R2368" s="210" t="str">
        <f>IFERROR(__xludf.DUMMYFUNCTION("""COMPUTED_VALUE"""),"0126772368")</f>
        <v>0126772368</v>
      </c>
      <c r="S2368" s="211" t="str">
        <f>IFERROR(__xludf.DUMMYFUNCTION("""COMPUTED_VALUE"""),"b2b5f2c5")</f>
        <v>b2b5f2c5</v>
      </c>
      <c r="T2368" s="211" t="str">
        <f>IFERROR(__xludf.DUMMYFUNCTION("""COMPUTED_VALUE"""),"Bengkel Las Bpk. Ari")</f>
        <v>Bengkel Las Bpk. Ari</v>
      </c>
      <c r="U2368" s="215">
        <f>IFERROR(__xludf.DUMMYFUNCTION("""COMPUTED_VALUE"""),46049.40972222222)</f>
        <v>46049.40972</v>
      </c>
      <c r="V2368" s="211" t="str">
        <f>IFERROR(__xludf.DUMMYFUNCTION("""COMPUTED_VALUE"""),"Sumber Kembar, Wonodadi, Kec. Kutorejo, Kabupaten Mojokerto, Jawa Timur")</f>
        <v>Sumber Kembar, Wonodadi, Kec. Kutorejo, Kabupaten Mojokerto, Jawa Timur</v>
      </c>
      <c r="W2368" s="211" t="str">
        <f>IFERROR(__xludf.DUMMYFUNCTION("""COMPUTED_VALUE"""),"OUT")</f>
        <v>OUT</v>
      </c>
      <c r="X2368" s="211"/>
    </row>
    <row r="2369">
      <c r="A2369" s="210" t="str">
        <f>IFERROR(__xludf.DUMMYFUNCTION("""COMPUTED_VALUE"""),"1250828")</f>
        <v>1250828</v>
      </c>
      <c r="B2369" s="210" t="str">
        <f>IFERROR(__xludf.DUMMYFUNCTION("""COMPUTED_VALUE"""),"1250828")</f>
        <v>1250828</v>
      </c>
      <c r="C2369" s="213">
        <f>IFERROR(__xludf.DUMMYFUNCTION("""COMPUTED_VALUE"""),45973.357766203706)</f>
        <v>45973.35777</v>
      </c>
      <c r="D2369" s="211" t="str">
        <f>IFERROR(__xludf.DUMMYFUNCTION("""COMPUTED_VALUE"""),"faf71ae5")</f>
        <v>faf71ae5</v>
      </c>
      <c r="E2369" s="211" t="str">
        <f>IFERROR(__xludf.DUMMYFUNCTION("""COMPUTED_VALUE"""),"Bpk. Sampurna")</f>
        <v>Bpk. Sampurna</v>
      </c>
      <c r="F2369" s="211" t="str">
        <f>IFERROR(__xludf.DUMMYFUNCTION("""COMPUTED_VALUE"""),"8bdbe149")</f>
        <v>8bdbe149</v>
      </c>
      <c r="G2369" s="211" t="str">
        <f>IFERROR(__xludf.DUMMYFUNCTION("""COMPUTED_VALUE"""),"Oksigen 6m3")</f>
        <v>Oksigen 6m3</v>
      </c>
      <c r="H2369" s="211" t="str">
        <f>IFERROR(__xludf.DUMMYFUNCTION("""COMPUTED_VALUE"""),"IN")</f>
        <v>IN</v>
      </c>
      <c r="I2369" s="211" t="str">
        <f>IFERROR(__xludf.DUMMYFUNCTION("""COMPUTED_VALUE"""),"EMPTY")</f>
        <v>EMPTY</v>
      </c>
      <c r="J2369" s="211">
        <f>IFERROR(__xludf.DUMMYFUNCTION("""COMPUTED_VALUE"""),11.0)</f>
        <v>11</v>
      </c>
      <c r="K2369" s="210" t="str">
        <f>IFERROR(__xludf.DUMMYFUNCTION("""COMPUTED_VALUE"""),"11252 11234 11109 1176 11247 11270 11272 11262 1195 11228 01")</f>
        <v>11252 11234 11109 1176 11247 11270 11272 11262 1195 11228 01</v>
      </c>
      <c r="L2369" s="211">
        <f>IFERROR(__xludf.DUMMYFUNCTION("""COMPUTED_VALUE"""),0.0)</f>
        <v>0</v>
      </c>
      <c r="M2369" s="211"/>
      <c r="N2369" s="211"/>
      <c r="O2369" s="211"/>
      <c r="Q2369" s="210" t="str">
        <f>IFERROR(__xludf.DUMMYFUNCTION("""COMPUTED_VALUE"""),"1261144")</f>
        <v>1261144</v>
      </c>
      <c r="R2369" s="210" t="str">
        <f>IFERROR(__xludf.DUMMYFUNCTION("""COMPUTED_VALUE"""),"1261144")</f>
        <v>1261144</v>
      </c>
      <c r="S2369" s="211" t="str">
        <f>IFERROR(__xludf.DUMMYFUNCTION("""COMPUTED_VALUE"""),"a0f0ad2d")</f>
        <v>a0f0ad2d</v>
      </c>
      <c r="T2369" s="211" t="str">
        <f>IFERROR(__xludf.DUMMYFUNCTION("""COMPUTED_VALUE"""),"CV. Yulie Jaya")</f>
        <v>CV. Yulie Jaya</v>
      </c>
      <c r="U2369" s="215">
        <f>IFERROR(__xludf.DUMMYFUNCTION("""COMPUTED_VALUE"""),46049.47534722222)</f>
        <v>46049.47535</v>
      </c>
      <c r="V2369" s="211" t="str">
        <f>IFERROR(__xludf.DUMMYFUNCTION("""COMPUTED_VALUE"""),"JJH4+6RV, Badas, Barengkrajan, Kec. Krian, Kabupaten Sidoarjo, Jawa Timur 61262")</f>
        <v>JJH4+6RV, Badas, Barengkrajan, Kec. Krian, Kabupaten Sidoarjo, Jawa Timur 61262</v>
      </c>
      <c r="W2369" s="211" t="str">
        <f>IFERROR(__xludf.DUMMYFUNCTION("""COMPUTED_VALUE"""),"IN")</f>
        <v>IN</v>
      </c>
      <c r="X2369" s="211"/>
    </row>
    <row r="2370">
      <c r="A2370" s="210" t="str">
        <f>IFERROR(__xludf.DUMMYFUNCTION("""COMPUTED_VALUE"""),"1250828")</f>
        <v>1250828</v>
      </c>
      <c r="B2370" s="210" t="str">
        <f>IFERROR(__xludf.DUMMYFUNCTION("""COMPUTED_VALUE"""),"1250828")</f>
        <v>1250828</v>
      </c>
      <c r="C2370" s="213">
        <f>IFERROR(__xludf.DUMMYFUNCTION("""COMPUTED_VALUE"""),45973.357766203706)</f>
        <v>45973.35777</v>
      </c>
      <c r="D2370" s="211" t="str">
        <f>IFERROR(__xludf.DUMMYFUNCTION("""COMPUTED_VALUE"""),"faf71ae5")</f>
        <v>faf71ae5</v>
      </c>
      <c r="E2370" s="211" t="str">
        <f>IFERROR(__xludf.DUMMYFUNCTION("""COMPUTED_VALUE"""),"Bpk. Sampurna")</f>
        <v>Bpk. Sampurna</v>
      </c>
      <c r="F2370" s="211" t="str">
        <f>IFERROR(__xludf.DUMMYFUNCTION("""COMPUTED_VALUE"""),"7d2764f1")</f>
        <v>7d2764f1</v>
      </c>
      <c r="G2370" s="211" t="str">
        <f>IFERROR(__xludf.DUMMYFUNCTION("""COMPUTED_VALUE"""),"Oksigen 7m3")</f>
        <v>Oksigen 7m3</v>
      </c>
      <c r="H2370" s="211" t="str">
        <f>IFERROR(__xludf.DUMMYFUNCTION("""COMPUTED_VALUE"""),"IN")</f>
        <v>IN</v>
      </c>
      <c r="I2370" s="211" t="str">
        <f>IFERROR(__xludf.DUMMYFUNCTION("""COMPUTED_VALUE"""),"EMPTY")</f>
        <v>EMPTY</v>
      </c>
      <c r="J2370" s="211">
        <f>IFERROR(__xludf.DUMMYFUNCTION("""COMPUTED_VALUE"""),2.0)</f>
        <v>2</v>
      </c>
      <c r="K2370" s="210" t="str">
        <f>IFERROR(__xludf.DUMMYFUNCTION("""COMPUTED_VALUE"""),"11166 11141")</f>
        <v>11166 11141</v>
      </c>
      <c r="L2370" s="211">
        <f>IFERROR(__xludf.DUMMYFUNCTION("""COMPUTED_VALUE"""),0.0)</f>
        <v>0</v>
      </c>
      <c r="M2370" s="211"/>
      <c r="N2370" s="211"/>
      <c r="O2370" s="211"/>
      <c r="Q2370" s="210" t="str">
        <f>IFERROR(__xludf.DUMMYFUNCTION("""COMPUTED_VALUE"""),"1261143")</f>
        <v>1261143</v>
      </c>
      <c r="R2370" s="210" t="str">
        <f>IFERROR(__xludf.DUMMYFUNCTION("""COMPUTED_VALUE"""),"1261143")</f>
        <v>1261143</v>
      </c>
      <c r="S2370" s="211" t="str">
        <f>IFERROR(__xludf.DUMMYFUNCTION("""COMPUTED_VALUE"""),"8ea74d81")</f>
        <v>8ea74d81</v>
      </c>
      <c r="T2370" s="211" t="str">
        <f>IFERROR(__xludf.DUMMYFUNCTION("""COMPUTED_VALUE"""),"Bengkel Adi Putra")</f>
        <v>Bengkel Adi Putra</v>
      </c>
      <c r="U2370" s="215">
        <f>IFERROR(__xludf.DUMMYFUNCTION("""COMPUTED_VALUE"""),46049.47619212963)</f>
        <v>46049.47619</v>
      </c>
      <c r="V2370" s="211" t="str">
        <f>IFERROR(__xludf.DUMMYFUNCTION("""COMPUTED_VALUE"""),"Bypass Balongbendo")</f>
        <v>Bypass Balongbendo</v>
      </c>
      <c r="W2370" s="211" t="str">
        <f>IFERROR(__xludf.DUMMYFUNCTION("""COMPUTED_VALUE"""),"IN")</f>
        <v>IN</v>
      </c>
      <c r="X2370" s="211"/>
    </row>
    <row r="2371">
      <c r="A2371" s="210" t="str">
        <f>IFERROR(__xludf.DUMMYFUNCTION("""COMPUTED_VALUE"""),"1125681678")</f>
        <v>1125681678</v>
      </c>
      <c r="B2371" s="210" t="str">
        <f>IFERROR(__xludf.DUMMYFUNCTION("""COMPUTED_VALUE"""),"1125681678")</f>
        <v>1125681678</v>
      </c>
      <c r="C2371" s="213">
        <f>IFERROR(__xludf.DUMMYFUNCTION("""COMPUTED_VALUE"""),45973.36148148148)</f>
        <v>45973.36148</v>
      </c>
      <c r="D2371" s="211" t="str">
        <f>IFERROR(__xludf.DUMMYFUNCTION("""COMPUTED_VALUE"""),"e86baf3b")</f>
        <v>e86baf3b</v>
      </c>
      <c r="E2371" s="211" t="str">
        <f>IFERROR(__xludf.DUMMYFUNCTION("""COMPUTED_VALUE"""),"PT GEMILANG CIPTA WAWASAN")</f>
        <v>PT GEMILANG CIPTA WAWASAN</v>
      </c>
      <c r="F2371" s="211" t="str">
        <f>IFERROR(__xludf.DUMMYFUNCTION("""COMPUTED_VALUE"""),"8bdbe149")</f>
        <v>8bdbe149</v>
      </c>
      <c r="G2371" s="211" t="str">
        <f>IFERROR(__xludf.DUMMYFUNCTION("""COMPUTED_VALUE"""),"Oksigen 6m3")</f>
        <v>Oksigen 6m3</v>
      </c>
      <c r="H2371" s="211" t="str">
        <f>IFERROR(__xludf.DUMMYFUNCTION("""COMPUTED_VALUE"""),"OUT")</f>
        <v>OUT</v>
      </c>
      <c r="I2371" s="211" t="str">
        <f>IFERROR(__xludf.DUMMYFUNCTION("""COMPUTED_VALUE"""),"NORMAL")</f>
        <v>NORMAL</v>
      </c>
      <c r="J2371" s="211">
        <f>IFERROR(__xludf.DUMMYFUNCTION("""COMPUTED_VALUE"""),5.0)</f>
        <v>5</v>
      </c>
      <c r="K2371" s="210" t="str">
        <f>IFERROR(__xludf.DUMMYFUNCTION("""COMPUTED_VALUE"""),"11105 11255 11277 11249 1192")</f>
        <v>11105 11255 11277 11249 1192</v>
      </c>
      <c r="L2371" s="211">
        <f>IFERROR(__xludf.DUMMYFUNCTION("""COMPUTED_VALUE"""),60000.0)</f>
        <v>60000</v>
      </c>
      <c r="M2371" s="211"/>
      <c r="N2371" s="211"/>
      <c r="O2371" s="211"/>
      <c r="Q2371" s="210" t="str">
        <f>IFERROR(__xludf.DUMMYFUNCTION("""COMPUTED_VALUE"""),"1261154")</f>
        <v>1261154</v>
      </c>
      <c r="R2371" s="210" t="str">
        <f>IFERROR(__xludf.DUMMYFUNCTION("""COMPUTED_VALUE"""),"1261154")</f>
        <v>1261154</v>
      </c>
      <c r="S2371" s="211" t="str">
        <f>IFERROR(__xludf.DUMMYFUNCTION("""COMPUTED_VALUE"""),"01158be1")</f>
        <v>01158be1</v>
      </c>
      <c r="T2371" s="211" t="str">
        <f>IFERROR(__xludf.DUMMYFUNCTION("""COMPUTED_VALUE"""),"GYF")</f>
        <v>GYF</v>
      </c>
      <c r="U2371" s="215">
        <f>IFERROR(__xludf.DUMMYFUNCTION("""COMPUTED_VALUE"""),46049.68667824074)</f>
        <v>46049.68668</v>
      </c>
      <c r="V2371" s="211" t="str">
        <f>IFERROR(__xludf.DUMMYFUNCTION("""COMPUTED_VALUE"""),"Kangkungan, Lengkong, Kec. Mojoanyar, Kabupaten Mojokerto, Jawa Timur")</f>
        <v>Kangkungan, Lengkong, Kec. Mojoanyar, Kabupaten Mojokerto, Jawa Timur</v>
      </c>
      <c r="W2371" s="211" t="str">
        <f>IFERROR(__xludf.DUMMYFUNCTION("""COMPUTED_VALUE"""),"IN")</f>
        <v>IN</v>
      </c>
      <c r="X2371" s="211"/>
    </row>
    <row r="2372">
      <c r="A2372" s="210" t="str">
        <f>IFERROR(__xludf.DUMMYFUNCTION("""COMPUTED_VALUE"""),"112581684")</f>
        <v>112581684</v>
      </c>
      <c r="B2372" s="210" t="str">
        <f>IFERROR(__xludf.DUMMYFUNCTION("""COMPUTED_VALUE"""),"112581684")</f>
        <v>112581684</v>
      </c>
      <c r="C2372" s="213">
        <f>IFERROR(__xludf.DUMMYFUNCTION("""COMPUTED_VALUE"""),45973.36194444444)</f>
        <v>45973.36194</v>
      </c>
      <c r="D2372" s="211" t="str">
        <f>IFERROR(__xludf.DUMMYFUNCTION("""COMPUTED_VALUE"""),"dcdf8b31")</f>
        <v>dcdf8b31</v>
      </c>
      <c r="E2372" s="211" t="str">
        <f>IFERROR(__xludf.DUMMYFUNCTION("""COMPUTED_VALUE"""),"Bpk. Samsul (Jetis)")</f>
        <v>Bpk. Samsul (Jetis)</v>
      </c>
      <c r="F2372" s="211" t="str">
        <f>IFERROR(__xludf.DUMMYFUNCTION("""COMPUTED_VALUE"""),"8bdbe149")</f>
        <v>8bdbe149</v>
      </c>
      <c r="G2372" s="211" t="str">
        <f>IFERROR(__xludf.DUMMYFUNCTION("""COMPUTED_VALUE"""),"Oksigen 6m3")</f>
        <v>Oksigen 6m3</v>
      </c>
      <c r="H2372" s="211" t="str">
        <f>IFERROR(__xludf.DUMMYFUNCTION("""COMPUTED_VALUE"""),"OUT")</f>
        <v>OUT</v>
      </c>
      <c r="I2372" s="211" t="str">
        <f>IFERROR(__xludf.DUMMYFUNCTION("""COMPUTED_VALUE"""),"NORMAL")</f>
        <v>NORMAL</v>
      </c>
      <c r="J2372" s="211">
        <f>IFERROR(__xludf.DUMMYFUNCTION("""COMPUTED_VALUE"""),3.0)</f>
        <v>3</v>
      </c>
      <c r="K2372" s="210" t="str">
        <f>IFERROR(__xludf.DUMMYFUNCTION("""COMPUTED_VALUE"""),"11165 11129 1126")</f>
        <v>11165 11129 1126</v>
      </c>
      <c r="L2372" s="211">
        <f>IFERROR(__xludf.DUMMYFUNCTION("""COMPUTED_VALUE"""),70000.0)</f>
        <v>70000</v>
      </c>
      <c r="M2372" s="211"/>
      <c r="N2372" s="211"/>
      <c r="O2372" s="211"/>
      <c r="Q2372" s="210" t="str">
        <f>IFERROR(__xludf.DUMMYFUNCTION("""COMPUTED_VALUE"""),"012612369")</f>
        <v>012612369</v>
      </c>
      <c r="R2372" s="210" t="str">
        <f>IFERROR(__xludf.DUMMYFUNCTION("""COMPUTED_VALUE"""),"012612369")</f>
        <v>012612369</v>
      </c>
      <c r="S2372" s="211" t="str">
        <f>IFERROR(__xludf.DUMMYFUNCTION("""COMPUTED_VALUE"""),"89d46c39")</f>
        <v>89d46c39</v>
      </c>
      <c r="T2372" s="211" t="str">
        <f>IFERROR(__xludf.DUMMYFUNCTION("""COMPUTED_VALUE"""),"PT Cakar Baja Persada")</f>
        <v>PT Cakar Baja Persada</v>
      </c>
      <c r="U2372" s="215">
        <f>IFERROR(__xludf.DUMMYFUNCTION("""COMPUTED_VALUE"""),46050.36010416667)</f>
        <v>46050.3601</v>
      </c>
      <c r="V2372" s="211" t="str">
        <f>IFERROR(__xludf.DUMMYFUNCTION("""COMPUTED_VALUE"""),"Pergudangan Jaya Park Blok E.02,  JI. Mayjen Yono Sungkono, Watesari, Balongbendo, Sidoarjo")</f>
        <v>Pergudangan Jaya Park Blok E.02,  JI. Mayjen Yono Sungkono, Watesari, Balongbendo, Sidoarjo</v>
      </c>
      <c r="W2372" s="211" t="str">
        <f>IFERROR(__xludf.DUMMYFUNCTION("""COMPUTED_VALUE"""),"OUT")</f>
        <v>OUT</v>
      </c>
      <c r="X2372" s="211"/>
    </row>
    <row r="2373">
      <c r="A2373" s="210" t="str">
        <f>IFERROR(__xludf.DUMMYFUNCTION("""COMPUTED_VALUE"""),"112581684")</f>
        <v>112581684</v>
      </c>
      <c r="B2373" s="210" t="str">
        <f>IFERROR(__xludf.DUMMYFUNCTION("""COMPUTED_VALUE"""),"112581684")</f>
        <v>112581684</v>
      </c>
      <c r="C2373" s="213">
        <f>IFERROR(__xludf.DUMMYFUNCTION("""COMPUTED_VALUE"""),45973.36194444444)</f>
        <v>45973.36194</v>
      </c>
      <c r="D2373" s="211" t="str">
        <f>IFERROR(__xludf.DUMMYFUNCTION("""COMPUTED_VALUE"""),"dcdf8b31")</f>
        <v>dcdf8b31</v>
      </c>
      <c r="E2373" s="211" t="str">
        <f>IFERROR(__xludf.DUMMYFUNCTION("""COMPUTED_VALUE"""),"Bpk. Samsul (Jetis)")</f>
        <v>Bpk. Samsul (Jetis)</v>
      </c>
      <c r="F2373" s="211" t="str">
        <f>IFERROR(__xludf.DUMMYFUNCTION("""COMPUTED_VALUE"""),"be525f3b")</f>
        <v>be525f3b</v>
      </c>
      <c r="G2373" s="211" t="str">
        <f>IFERROR(__xludf.DUMMYFUNCTION("""COMPUTED_VALUE"""),"LPG 12kg")</f>
        <v>LPG 12kg</v>
      </c>
      <c r="H2373" s="211" t="str">
        <f>IFERROR(__xludf.DUMMYFUNCTION("""COMPUTED_VALUE"""),"OUT")</f>
        <v>OUT</v>
      </c>
      <c r="I2373" s="211" t="str">
        <f>IFERROR(__xludf.DUMMYFUNCTION("""COMPUTED_VALUE"""),"NORMAL")</f>
        <v>NORMAL</v>
      </c>
      <c r="J2373" s="211">
        <f>IFERROR(__xludf.DUMMYFUNCTION("""COMPUTED_VALUE"""),1.0)</f>
        <v>1</v>
      </c>
      <c r="K2373" s="211"/>
      <c r="L2373" s="211">
        <f>IFERROR(__xludf.DUMMYFUNCTION("""COMPUTED_VALUE"""),200000.0)</f>
        <v>200000</v>
      </c>
      <c r="M2373" s="211"/>
      <c r="N2373" s="211"/>
      <c r="O2373" s="211"/>
      <c r="Q2373" s="210" t="str">
        <f>IFERROR(__xludf.DUMMYFUNCTION("""COMPUTED_VALUE"""),"0126292373")</f>
        <v>0126292373</v>
      </c>
      <c r="R2373" s="210" t="str">
        <f>IFERROR(__xludf.DUMMYFUNCTION("""COMPUTED_VALUE"""),"0126292373")</f>
        <v>0126292373</v>
      </c>
      <c r="S2373" s="211" t="str">
        <f>IFERROR(__xludf.DUMMYFUNCTION("""COMPUTED_VALUE"""),"2d88931c")</f>
        <v>2d88931c</v>
      </c>
      <c r="T2373" s="211" t="str">
        <f>IFERROR(__xludf.DUMMYFUNCTION("""COMPUTED_VALUE"""),"PT Dunia Berkat Marga Mulya")</f>
        <v>PT Dunia Berkat Marga Mulya</v>
      </c>
      <c r="U2373" s="215">
        <f>IFERROR(__xludf.DUMMYFUNCTION("""COMPUTED_VALUE"""),46050.36048611111)</f>
        <v>46050.36049</v>
      </c>
      <c r="V2373" s="211" t="str">
        <f>IFERROR(__xludf.DUMMYFUNCTION("""COMPUTED_VALUE"""),"JL JABARAN, WATESARI, BALONGBENDO, SIDOARJO, JAWA TIMUR")</f>
        <v>JL JABARAN, WATESARI, BALONGBENDO, SIDOARJO, JAWA TIMUR</v>
      </c>
      <c r="W2373" s="211" t="str">
        <f>IFERROR(__xludf.DUMMYFUNCTION("""COMPUTED_VALUE"""),"OUT")</f>
        <v>OUT</v>
      </c>
      <c r="X2373" s="211"/>
    </row>
    <row r="2374">
      <c r="A2374" s="210" t="str">
        <f>IFERROR(__xludf.DUMMYFUNCTION("""COMPUTED_VALUE"""),"1125381685")</f>
        <v>1125381685</v>
      </c>
      <c r="B2374" s="210" t="str">
        <f>IFERROR(__xludf.DUMMYFUNCTION("""COMPUTED_VALUE"""),"1125381685")</f>
        <v>1125381685</v>
      </c>
      <c r="C2374" s="213">
        <f>IFERROR(__xludf.DUMMYFUNCTION("""COMPUTED_VALUE"""),45973.36615740741)</f>
        <v>45973.36616</v>
      </c>
      <c r="D2374" s="211" t="str">
        <f>IFERROR(__xludf.DUMMYFUNCTION("""COMPUTED_VALUE"""),"b2b5f2c5")</f>
        <v>b2b5f2c5</v>
      </c>
      <c r="E2374" s="211" t="str">
        <f>IFERROR(__xludf.DUMMYFUNCTION("""COMPUTED_VALUE"""),"Bengkel Las Bpk. Ari")</f>
        <v>Bengkel Las Bpk. Ari</v>
      </c>
      <c r="F2374" s="211" t="str">
        <f>IFERROR(__xludf.DUMMYFUNCTION("""COMPUTED_VALUE"""),"8bdbe149")</f>
        <v>8bdbe149</v>
      </c>
      <c r="G2374" s="211" t="str">
        <f>IFERROR(__xludf.DUMMYFUNCTION("""COMPUTED_VALUE"""),"Oksigen 6m3")</f>
        <v>Oksigen 6m3</v>
      </c>
      <c r="H2374" s="211" t="str">
        <f>IFERROR(__xludf.DUMMYFUNCTION("""COMPUTED_VALUE"""),"OUT")</f>
        <v>OUT</v>
      </c>
      <c r="I2374" s="211" t="str">
        <f>IFERROR(__xludf.DUMMYFUNCTION("""COMPUTED_VALUE"""),"NORMAL")</f>
        <v>NORMAL</v>
      </c>
      <c r="J2374" s="211">
        <f>IFERROR(__xludf.DUMMYFUNCTION("""COMPUTED_VALUE"""),6.0)</f>
        <v>6</v>
      </c>
      <c r="K2374" s="210" t="str">
        <f>IFERROR(__xludf.DUMMYFUNCTION("""COMPUTED_VALUE"""),"1146 1142 11127 11196 1128 11297")</f>
        <v>1146 1142 11127 11196 1128 11297</v>
      </c>
      <c r="L2374" s="211">
        <f>IFERROR(__xludf.DUMMYFUNCTION("""COMPUTED_VALUE"""),60000.0)</f>
        <v>60000</v>
      </c>
      <c r="M2374" s="211"/>
      <c r="N2374" s="211"/>
      <c r="O2374" s="211"/>
      <c r="Q2374" s="210" t="str">
        <f>IFERROR(__xludf.DUMMYFUNCTION("""COMPUTED_VALUE"""),"0126402374")</f>
        <v>0126402374</v>
      </c>
      <c r="R2374" s="210" t="str">
        <f>IFERROR(__xludf.DUMMYFUNCTION("""COMPUTED_VALUE"""),"0126402374")</f>
        <v>0126402374</v>
      </c>
      <c r="S2374" s="211" t="str">
        <f>IFERROR(__xludf.DUMMYFUNCTION("""COMPUTED_VALUE"""),"ec231cc9")</f>
        <v>ec231cc9</v>
      </c>
      <c r="T2374" s="211" t="str">
        <f>IFERROR(__xludf.DUMMYFUNCTION("""COMPUTED_VALUE"""),"Bpk. Kohir (Maintenance Velg)")</f>
        <v>Bpk. Kohir (Maintenance Velg)</v>
      </c>
      <c r="U2374" s="215">
        <f>IFERROR(__xludf.DUMMYFUNCTION("""COMPUTED_VALUE"""),46050.3618287037)</f>
        <v>46050.36183</v>
      </c>
      <c r="V2374" s="211" t="str">
        <f>IFERROR(__xludf.DUMMYFUNCTION("""COMPUTED_VALUE"""),"Jl. Lkr. Bypass Krian Timur, Sidogolong, Watugolong, Kec. Krian, Kabupaten Sidoarjo, Jawa Timur 61262")</f>
        <v>Jl. Lkr. Bypass Krian Timur, Sidogolong, Watugolong, Kec. Krian, Kabupaten Sidoarjo, Jawa Timur 61262</v>
      </c>
      <c r="W2374" s="211" t="str">
        <f>IFERROR(__xludf.DUMMYFUNCTION("""COMPUTED_VALUE"""),"OUT")</f>
        <v>OUT</v>
      </c>
      <c r="X2374" s="211"/>
    </row>
    <row r="2375">
      <c r="A2375" s="210" t="str">
        <f>IFERROR(__xludf.DUMMYFUNCTION("""COMPUTED_VALUE"""),"1250776")</f>
        <v>1250776</v>
      </c>
      <c r="B2375" s="210" t="str">
        <f>IFERROR(__xludf.DUMMYFUNCTION("""COMPUTED_VALUE"""),"1250776")</f>
        <v>1250776</v>
      </c>
      <c r="C2375" s="213">
        <f>IFERROR(__xludf.DUMMYFUNCTION("""COMPUTED_VALUE"""),45973.444918981484)</f>
        <v>45973.44492</v>
      </c>
      <c r="D2375" s="211" t="str">
        <f>IFERROR(__xludf.DUMMYFUNCTION("""COMPUTED_VALUE"""),"dcdf8b31")</f>
        <v>dcdf8b31</v>
      </c>
      <c r="E2375" s="211" t="str">
        <f>IFERROR(__xludf.DUMMYFUNCTION("""COMPUTED_VALUE"""),"Bpk. Samsul (Jetis)")</f>
        <v>Bpk. Samsul (Jetis)</v>
      </c>
      <c r="F2375" s="211" t="str">
        <f>IFERROR(__xludf.DUMMYFUNCTION("""COMPUTED_VALUE"""),"7d2764f1")</f>
        <v>7d2764f1</v>
      </c>
      <c r="G2375" s="211" t="str">
        <f>IFERROR(__xludf.DUMMYFUNCTION("""COMPUTED_VALUE"""),"Oksigen 7m3")</f>
        <v>Oksigen 7m3</v>
      </c>
      <c r="H2375" s="211" t="str">
        <f>IFERROR(__xludf.DUMMYFUNCTION("""COMPUTED_VALUE"""),"IN")</f>
        <v>IN</v>
      </c>
      <c r="I2375" s="211" t="str">
        <f>IFERROR(__xludf.DUMMYFUNCTION("""COMPUTED_VALUE"""),"EMPTY")</f>
        <v>EMPTY</v>
      </c>
      <c r="J2375" s="211">
        <f>IFERROR(__xludf.DUMMYFUNCTION("""COMPUTED_VALUE"""),1.0)</f>
        <v>1</v>
      </c>
      <c r="K2375" s="210" t="str">
        <f>IFERROR(__xludf.DUMMYFUNCTION("""COMPUTED_VALUE"""),"1161")</f>
        <v>1161</v>
      </c>
      <c r="L2375" s="211">
        <f>IFERROR(__xludf.DUMMYFUNCTION("""COMPUTED_VALUE"""),0.0)</f>
        <v>0</v>
      </c>
      <c r="M2375" s="211"/>
      <c r="N2375" s="211"/>
      <c r="O2375" s="211"/>
      <c r="Q2375" s="210" t="str">
        <f>IFERROR(__xludf.DUMMYFUNCTION("""COMPUTED_VALUE"""),"0126382375")</f>
        <v>0126382375</v>
      </c>
      <c r="R2375" s="210" t="str">
        <f>IFERROR(__xludf.DUMMYFUNCTION("""COMPUTED_VALUE"""),"0126382375")</f>
        <v>0126382375</v>
      </c>
      <c r="S2375" s="211" t="str">
        <f>IFERROR(__xludf.DUMMYFUNCTION("""COMPUTED_VALUE"""),"ce83e171")</f>
        <v>ce83e171</v>
      </c>
      <c r="T2375" s="211" t="str">
        <f>IFERROR(__xludf.DUMMYFUNCTION("""COMPUTED_VALUE"""),"Bpk. Sulaiman")</f>
        <v>Bpk. Sulaiman</v>
      </c>
      <c r="U2375" s="215">
        <f>IFERROR(__xludf.DUMMYFUNCTION("""COMPUTED_VALUE"""),46050.367256944446)</f>
        <v>46050.36726</v>
      </c>
      <c r="V2375" s="211" t="str">
        <f>IFERROR(__xludf.DUMMYFUNCTION("""COMPUTED_VALUE"""),"Jl. Raya Kramat Temenggung No.43, Kramat, Kramat Temenggung, Kec. Tarik, Kabupaten Sidoarjo, Jawa Timur 61265")</f>
        <v>Jl. Raya Kramat Temenggung No.43, Kramat, Kramat Temenggung, Kec. Tarik, Kabupaten Sidoarjo, Jawa Timur 61265</v>
      </c>
      <c r="W2375" s="211" t="str">
        <f>IFERROR(__xludf.DUMMYFUNCTION("""COMPUTED_VALUE"""),"OUT")</f>
        <v>OUT</v>
      </c>
      <c r="X2375" s="211"/>
    </row>
    <row r="2376">
      <c r="A2376" s="210" t="str">
        <f>IFERROR(__xludf.DUMMYFUNCTION("""COMPUTED_VALUE"""),"1250776")</f>
        <v>1250776</v>
      </c>
      <c r="B2376" s="210" t="str">
        <f>IFERROR(__xludf.DUMMYFUNCTION("""COMPUTED_VALUE"""),"1250776")</f>
        <v>1250776</v>
      </c>
      <c r="C2376" s="213">
        <f>IFERROR(__xludf.DUMMYFUNCTION("""COMPUTED_VALUE"""),45973.444918981484)</f>
        <v>45973.44492</v>
      </c>
      <c r="D2376" s="211" t="str">
        <f>IFERROR(__xludf.DUMMYFUNCTION("""COMPUTED_VALUE"""),"dcdf8b31")</f>
        <v>dcdf8b31</v>
      </c>
      <c r="E2376" s="211" t="str">
        <f>IFERROR(__xludf.DUMMYFUNCTION("""COMPUTED_VALUE"""),"Bpk. Samsul (Jetis)")</f>
        <v>Bpk. Samsul (Jetis)</v>
      </c>
      <c r="F2376" s="211" t="str">
        <f>IFERROR(__xludf.DUMMYFUNCTION("""COMPUTED_VALUE"""),"be525f3b")</f>
        <v>be525f3b</v>
      </c>
      <c r="G2376" s="211" t="str">
        <f>IFERROR(__xludf.DUMMYFUNCTION("""COMPUTED_VALUE"""),"LPG 12kg")</f>
        <v>LPG 12kg</v>
      </c>
      <c r="H2376" s="211" t="str">
        <f>IFERROR(__xludf.DUMMYFUNCTION("""COMPUTED_VALUE"""),"IN")</f>
        <v>IN</v>
      </c>
      <c r="I2376" s="211" t="str">
        <f>IFERROR(__xludf.DUMMYFUNCTION("""COMPUTED_VALUE"""),"EMPTY")</f>
        <v>EMPTY</v>
      </c>
      <c r="J2376" s="211">
        <f>IFERROR(__xludf.DUMMYFUNCTION("""COMPUTED_VALUE"""),1.0)</f>
        <v>1</v>
      </c>
      <c r="K2376" s="211"/>
      <c r="L2376" s="211">
        <f>IFERROR(__xludf.DUMMYFUNCTION("""COMPUTED_VALUE"""),0.0)</f>
        <v>0</v>
      </c>
      <c r="M2376" s="211"/>
      <c r="N2376" s="211"/>
      <c r="O2376" s="211"/>
      <c r="Q2376" s="210" t="str">
        <f>IFERROR(__xludf.DUMMYFUNCTION("""COMPUTED_VALUE"""),"0126172376")</f>
        <v>0126172376</v>
      </c>
      <c r="R2376" s="210" t="str">
        <f>IFERROR(__xludf.DUMMYFUNCTION("""COMPUTED_VALUE"""),"0126172376")</f>
        <v>0126172376</v>
      </c>
      <c r="S2376" s="211" t="str">
        <f>IFERROR(__xludf.DUMMYFUNCTION("""COMPUTED_VALUE"""),"8ea74d81")</f>
        <v>8ea74d81</v>
      </c>
      <c r="T2376" s="211" t="str">
        <f>IFERROR(__xludf.DUMMYFUNCTION("""COMPUTED_VALUE"""),"Bengkel Adi Putra")</f>
        <v>Bengkel Adi Putra</v>
      </c>
      <c r="U2376" s="215">
        <f>IFERROR(__xludf.DUMMYFUNCTION("""COMPUTED_VALUE"""),46050.37126157407)</f>
        <v>46050.37126</v>
      </c>
      <c r="V2376" s="211" t="str">
        <f>IFERROR(__xludf.DUMMYFUNCTION("""COMPUTED_VALUE"""),"Bypass Balongbendo")</f>
        <v>Bypass Balongbendo</v>
      </c>
      <c r="W2376" s="211" t="str">
        <f>IFERROR(__xludf.DUMMYFUNCTION("""COMPUTED_VALUE"""),"OUT")</f>
        <v>OUT</v>
      </c>
      <c r="X2376" s="211"/>
    </row>
    <row r="2377">
      <c r="A2377" s="210" t="str">
        <f>IFERROR(__xludf.DUMMYFUNCTION("""COMPUTED_VALUE"""),"1250829")</f>
        <v>1250829</v>
      </c>
      <c r="B2377" s="210" t="str">
        <f>IFERROR(__xludf.DUMMYFUNCTION("""COMPUTED_VALUE"""),"1250829")</f>
        <v>1250829</v>
      </c>
      <c r="C2377" s="213">
        <f>IFERROR(__xludf.DUMMYFUNCTION("""COMPUTED_VALUE"""),45973.495092592595)</f>
        <v>45973.49509</v>
      </c>
      <c r="D2377" s="211" t="str">
        <f>IFERROR(__xludf.DUMMYFUNCTION("""COMPUTED_VALUE"""),"b2b5f2c5")</f>
        <v>b2b5f2c5</v>
      </c>
      <c r="E2377" s="211" t="str">
        <f>IFERROR(__xludf.DUMMYFUNCTION("""COMPUTED_VALUE"""),"Bengkel Las Bpk. Ari")</f>
        <v>Bengkel Las Bpk. Ari</v>
      </c>
      <c r="F2377" s="211" t="str">
        <f>IFERROR(__xludf.DUMMYFUNCTION("""COMPUTED_VALUE"""),"8bdbe149")</f>
        <v>8bdbe149</v>
      </c>
      <c r="G2377" s="211" t="str">
        <f>IFERROR(__xludf.DUMMYFUNCTION("""COMPUTED_VALUE"""),"Oksigen 6m3")</f>
        <v>Oksigen 6m3</v>
      </c>
      <c r="H2377" s="211" t="str">
        <f>IFERROR(__xludf.DUMMYFUNCTION("""COMPUTED_VALUE"""),"IN")</f>
        <v>IN</v>
      </c>
      <c r="I2377" s="211" t="str">
        <f>IFERROR(__xludf.DUMMYFUNCTION("""COMPUTED_VALUE"""),"EMPTY")</f>
        <v>EMPTY</v>
      </c>
      <c r="J2377" s="211">
        <f>IFERROR(__xludf.DUMMYFUNCTION("""COMPUTED_VALUE"""),5.0)</f>
        <v>5</v>
      </c>
      <c r="K2377" s="210" t="str">
        <f>IFERROR(__xludf.DUMMYFUNCTION("""COMPUTED_VALUE"""),"1116 11206 11132 11231 11205")</f>
        <v>1116 11206 11132 11231 11205</v>
      </c>
      <c r="L2377" s="211">
        <f>IFERROR(__xludf.DUMMYFUNCTION("""COMPUTED_VALUE"""),0.0)</f>
        <v>0</v>
      </c>
      <c r="M2377" s="211"/>
      <c r="N2377" s="211"/>
      <c r="O2377" s="211"/>
      <c r="Q2377" s="210" t="str">
        <f>IFERROR(__xludf.DUMMYFUNCTION("""COMPUTED_VALUE"""),"1261145")</f>
        <v>1261145</v>
      </c>
      <c r="R2377" s="210" t="str">
        <f>IFERROR(__xludf.DUMMYFUNCTION("""COMPUTED_VALUE"""),"1261145")</f>
        <v>1261145</v>
      </c>
      <c r="S2377" s="211" t="str">
        <f>IFERROR(__xludf.DUMMYFUNCTION("""COMPUTED_VALUE"""),"b2b5f2c5")</f>
        <v>b2b5f2c5</v>
      </c>
      <c r="T2377" s="211" t="str">
        <f>IFERROR(__xludf.DUMMYFUNCTION("""COMPUTED_VALUE"""),"Bengkel Las Bpk. Ari")</f>
        <v>Bengkel Las Bpk. Ari</v>
      </c>
      <c r="U2377" s="215">
        <f>IFERROR(__xludf.DUMMYFUNCTION("""COMPUTED_VALUE"""),46050.3996875)</f>
        <v>46050.39969</v>
      </c>
      <c r="V2377" s="211" t="str">
        <f>IFERROR(__xludf.DUMMYFUNCTION("""COMPUTED_VALUE"""),"Sumber Kembar, Wonodadi, Kec. Kutorejo, Kabupaten Mojokerto, Jawa Timur")</f>
        <v>Sumber Kembar, Wonodadi, Kec. Kutorejo, Kabupaten Mojokerto, Jawa Timur</v>
      </c>
      <c r="W2377" s="211" t="str">
        <f>IFERROR(__xludf.DUMMYFUNCTION("""COMPUTED_VALUE"""),"IN")</f>
        <v>IN</v>
      </c>
      <c r="X2377" s="211"/>
    </row>
    <row r="2378">
      <c r="A2378" s="210" t="str">
        <f>IFERROR(__xludf.DUMMYFUNCTION("""COMPUTED_VALUE"""),"1250829")</f>
        <v>1250829</v>
      </c>
      <c r="B2378" s="210" t="str">
        <f>IFERROR(__xludf.DUMMYFUNCTION("""COMPUTED_VALUE"""),"1250829")</f>
        <v>1250829</v>
      </c>
      <c r="C2378" s="213">
        <f>IFERROR(__xludf.DUMMYFUNCTION("""COMPUTED_VALUE"""),45973.495092592595)</f>
        <v>45973.49509</v>
      </c>
      <c r="D2378" s="211" t="str">
        <f>IFERROR(__xludf.DUMMYFUNCTION("""COMPUTED_VALUE"""),"b2b5f2c5")</f>
        <v>b2b5f2c5</v>
      </c>
      <c r="E2378" s="211" t="str">
        <f>IFERROR(__xludf.DUMMYFUNCTION("""COMPUTED_VALUE"""),"Bengkel Las Bpk. Ari")</f>
        <v>Bengkel Las Bpk. Ari</v>
      </c>
      <c r="F2378" s="211" t="str">
        <f>IFERROR(__xludf.DUMMYFUNCTION("""COMPUTED_VALUE"""),"ef306e54")</f>
        <v>ef306e54</v>
      </c>
      <c r="G2378" s="211" t="str">
        <f>IFERROR(__xludf.DUMMYFUNCTION("""COMPUTED_VALUE"""),"Karbondioksida")</f>
        <v>Karbondioksida</v>
      </c>
      <c r="H2378" s="211" t="str">
        <f>IFERROR(__xludf.DUMMYFUNCTION("""COMPUTED_VALUE"""),"IN")</f>
        <v>IN</v>
      </c>
      <c r="I2378" s="211" t="str">
        <f>IFERROR(__xludf.DUMMYFUNCTION("""COMPUTED_VALUE"""),"EMPTY")</f>
        <v>EMPTY</v>
      </c>
      <c r="J2378" s="211">
        <f>IFERROR(__xludf.DUMMYFUNCTION("""COMPUTED_VALUE"""),1.0)</f>
        <v>1</v>
      </c>
      <c r="K2378" s="210" t="str">
        <f>IFERROR(__xludf.DUMMYFUNCTION("""COMPUTED_VALUE"""),"13029")</f>
        <v>13029</v>
      </c>
      <c r="L2378" s="211">
        <f>IFERROR(__xludf.DUMMYFUNCTION("""COMPUTED_VALUE"""),0.0)</f>
        <v>0</v>
      </c>
      <c r="M2378" s="211"/>
      <c r="N2378" s="211"/>
      <c r="O2378" s="211"/>
      <c r="Q2378" s="210" t="str">
        <f>IFERROR(__xludf.DUMMYFUNCTION("""COMPUTED_VALUE"""),"012662377")</f>
        <v>012662377</v>
      </c>
      <c r="R2378" s="210" t="str">
        <f>IFERROR(__xludf.DUMMYFUNCTION("""COMPUTED_VALUE"""),"012662377")</f>
        <v>012662377</v>
      </c>
      <c r="S2378" s="211" t="str">
        <f>IFERROR(__xludf.DUMMYFUNCTION("""COMPUTED_VALUE"""),"9828dfc5")</f>
        <v>9828dfc5</v>
      </c>
      <c r="T2378" s="211" t="str">
        <f>IFERROR(__xludf.DUMMYFUNCTION("""COMPUTED_VALUE"""),"Bpk. David")</f>
        <v>Bpk. David</v>
      </c>
      <c r="U2378" s="215">
        <f>IFERROR(__xludf.DUMMYFUNCTION("""COMPUTED_VALUE"""),46050.40107638889)</f>
        <v>46050.40108</v>
      </c>
      <c r="V2378" s="211" t="str">
        <f>IFERROR(__xludf.DUMMYFUNCTION("""COMPUTED_VALUE"""),"GHF3+R34, Jl. Kartini, Ngingas, Ngimbangan, Kec. Mojosari, Kabupaten Mojokerto, Jawa Timur 61382")</f>
        <v>GHF3+R34, Jl. Kartini, Ngingas, Ngimbangan, Kec. Mojosari, Kabupaten Mojokerto, Jawa Timur 61382</v>
      </c>
      <c r="W2378" s="211" t="str">
        <f>IFERROR(__xludf.DUMMYFUNCTION("""COMPUTED_VALUE"""),"OUT")</f>
        <v>OUT</v>
      </c>
      <c r="X2378" s="211"/>
    </row>
    <row r="2379">
      <c r="A2379" s="211"/>
      <c r="B2379" s="211"/>
      <c r="C2379" s="211"/>
      <c r="D2379" s="211"/>
      <c r="E2379" s="211"/>
      <c r="F2379" s="211"/>
      <c r="G2379" s="211"/>
      <c r="H2379" s="211"/>
      <c r="I2379" s="211"/>
      <c r="J2379" s="211"/>
      <c r="K2379" s="211"/>
      <c r="L2379" s="211"/>
      <c r="M2379" s="211"/>
      <c r="N2379" s="211"/>
      <c r="O2379" s="211"/>
      <c r="Q2379" s="210" t="str">
        <f>IFERROR(__xludf.DUMMYFUNCTION("""COMPUTED_VALUE"""),"012632379")</f>
        <v>012632379</v>
      </c>
      <c r="R2379" s="210" t="str">
        <f>IFERROR(__xludf.DUMMYFUNCTION("""COMPUTED_VALUE"""),"012632379")</f>
        <v>012632379</v>
      </c>
      <c r="S2379" s="211" t="str">
        <f>IFERROR(__xludf.DUMMYFUNCTION("""COMPUTED_VALUE"""),"98c84274")</f>
        <v>98c84274</v>
      </c>
      <c r="T2379" s="211" t="str">
        <f>IFERROR(__xludf.DUMMYFUNCTION("""COMPUTED_VALUE"""),"Bengkel SBM (Pak Hari)")</f>
        <v>Bengkel SBM (Pak Hari)</v>
      </c>
      <c r="U2379" s="215">
        <f>IFERROR(__xludf.DUMMYFUNCTION("""COMPUTED_VALUE"""),46050.4031712963)</f>
        <v>46050.40317</v>
      </c>
      <c r="V237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379" s="211" t="str">
        <f>IFERROR(__xludf.DUMMYFUNCTION("""COMPUTED_VALUE"""),"OUT")</f>
        <v>OUT</v>
      </c>
      <c r="X2379" s="211"/>
    </row>
    <row r="2380">
      <c r="A2380" s="211"/>
      <c r="B2380" s="211"/>
      <c r="C2380" s="211"/>
      <c r="D2380" s="211"/>
      <c r="E2380" s="211"/>
      <c r="F2380" s="211"/>
      <c r="G2380" s="211"/>
      <c r="H2380" s="211"/>
      <c r="I2380" s="211"/>
      <c r="J2380" s="211"/>
      <c r="K2380" s="211"/>
      <c r="L2380" s="211"/>
      <c r="M2380" s="211"/>
      <c r="N2380" s="211"/>
      <c r="O2380" s="211"/>
      <c r="Q2380" s="210" t="str">
        <f>IFERROR(__xludf.DUMMYFUNCTION("""COMPUTED_VALUE"""),"0126202380")</f>
        <v>0126202380</v>
      </c>
      <c r="R2380" s="210" t="str">
        <f>IFERROR(__xludf.DUMMYFUNCTION("""COMPUTED_VALUE"""),"0126202380")</f>
        <v>0126202380</v>
      </c>
      <c r="S2380" s="211" t="str">
        <f>IFERROR(__xludf.DUMMYFUNCTION("""COMPUTED_VALUE"""),"182fb0fe")</f>
        <v>182fb0fe</v>
      </c>
      <c r="T2380" s="211" t="str">
        <f>IFERROR(__xludf.DUMMYFUNCTION("""COMPUTED_VALUE"""),"PT Amtech")</f>
        <v>PT Amtech</v>
      </c>
      <c r="U2380" s="215">
        <f>IFERROR(__xludf.DUMMYFUNCTION("""COMPUTED_VALUE"""),46050.41837962963)</f>
        <v>46050.41838</v>
      </c>
      <c r="V2380"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2380" s="211" t="str">
        <f>IFERROR(__xludf.DUMMYFUNCTION("""COMPUTED_VALUE"""),"OUT")</f>
        <v>OUT</v>
      </c>
      <c r="X2380" s="211"/>
    </row>
    <row r="2381">
      <c r="A2381" s="211"/>
      <c r="B2381" s="211"/>
      <c r="C2381" s="211"/>
      <c r="D2381" s="211"/>
      <c r="E2381" s="211"/>
      <c r="F2381" s="211"/>
      <c r="G2381" s="211"/>
      <c r="H2381" s="211"/>
      <c r="I2381" s="211"/>
      <c r="J2381" s="211"/>
      <c r="K2381" s="211"/>
      <c r="L2381" s="211"/>
      <c r="M2381" s="211"/>
      <c r="N2381" s="211"/>
      <c r="O2381" s="211"/>
      <c r="Q2381" s="210" t="str">
        <f>IFERROR(__xludf.DUMMYFUNCTION("""COMPUTED_VALUE"""),"0126222381")</f>
        <v>0126222381</v>
      </c>
      <c r="R2381" s="210" t="str">
        <f>IFERROR(__xludf.DUMMYFUNCTION("""COMPUTED_VALUE"""),"0126222381")</f>
        <v>0126222381</v>
      </c>
      <c r="S2381" s="211" t="str">
        <f>IFERROR(__xludf.DUMMYFUNCTION("""COMPUTED_VALUE"""),"4ec68cf6")</f>
        <v>4ec68cf6</v>
      </c>
      <c r="T2381" s="211" t="str">
        <f>IFERROR(__xludf.DUMMYFUNCTION("""COMPUTED_VALUE"""),"CV Sido Mukti Karya")</f>
        <v>CV Sido Mukti Karya</v>
      </c>
      <c r="U2381" s="215">
        <f>IFERROR(__xludf.DUMMYFUNCTION("""COMPUTED_VALUE"""),46050.433229166665)</f>
        <v>46050.43323</v>
      </c>
      <c r="V2381" s="211" t="str">
        <f>IFERROR(__xludf.DUMMYFUNCTION("""COMPUTED_VALUE"""),"Pergudangan Center Point no A3, Kemangsen")</f>
        <v>Pergudangan Center Point no A3, Kemangsen</v>
      </c>
      <c r="W2381" s="211" t="str">
        <f>IFERROR(__xludf.DUMMYFUNCTION("""COMPUTED_VALUE"""),"OUT")</f>
        <v>OUT</v>
      </c>
      <c r="X2381" s="211"/>
    </row>
    <row r="2382">
      <c r="A2382" s="211"/>
      <c r="B2382" s="211"/>
      <c r="C2382" s="211"/>
      <c r="D2382" s="211"/>
      <c r="E2382" s="211"/>
      <c r="F2382" s="211"/>
      <c r="G2382" s="211"/>
      <c r="H2382" s="211"/>
      <c r="I2382" s="211"/>
      <c r="J2382" s="211"/>
      <c r="K2382" s="211"/>
      <c r="L2382" s="211"/>
      <c r="M2382" s="211"/>
      <c r="N2382" s="211"/>
      <c r="O2382" s="211"/>
      <c r="Q2382" s="210" t="str">
        <f>IFERROR(__xludf.DUMMYFUNCTION("""COMPUTED_VALUE"""),"1261146")</f>
        <v>1261146</v>
      </c>
      <c r="R2382" s="210" t="str">
        <f>IFERROR(__xludf.DUMMYFUNCTION("""COMPUTED_VALUE"""),"1261146")</f>
        <v>1261146</v>
      </c>
      <c r="S2382" s="211" t="str">
        <f>IFERROR(__xludf.DUMMYFUNCTION("""COMPUTED_VALUE"""),"4ec68cf6")</f>
        <v>4ec68cf6</v>
      </c>
      <c r="T2382" s="211" t="str">
        <f>IFERROR(__xludf.DUMMYFUNCTION("""COMPUTED_VALUE"""),"CV Sido Mukti Karya")</f>
        <v>CV Sido Mukti Karya</v>
      </c>
      <c r="U2382" s="215">
        <f>IFERROR(__xludf.DUMMYFUNCTION("""COMPUTED_VALUE"""),46050.49862268518)</f>
        <v>46050.49862</v>
      </c>
      <c r="V2382" s="211" t="str">
        <f>IFERROR(__xludf.DUMMYFUNCTION("""COMPUTED_VALUE"""),"Pergudangan Center Point no A3, Kemangsen")</f>
        <v>Pergudangan Center Point no A3, Kemangsen</v>
      </c>
      <c r="W2382" s="211" t="str">
        <f>IFERROR(__xludf.DUMMYFUNCTION("""COMPUTED_VALUE"""),"IN")</f>
        <v>IN</v>
      </c>
      <c r="X2382" s="211"/>
    </row>
    <row r="2383">
      <c r="A2383" s="210" t="str">
        <f>IFERROR(__xludf.DUMMYFUNCTION("""COMPUTED_VALUE"""),"1125191689")</f>
        <v>1125191689</v>
      </c>
      <c r="B2383" s="210" t="str">
        <f>IFERROR(__xludf.DUMMYFUNCTION("""COMPUTED_VALUE"""),"1125191689")</f>
        <v>1125191689</v>
      </c>
      <c r="C2383" s="213">
        <f>IFERROR(__xludf.DUMMYFUNCTION("""COMPUTED_VALUE"""),45973.630844907406)</f>
        <v>45973.63084</v>
      </c>
      <c r="D2383" s="211" t="str">
        <f>IFERROR(__xludf.DUMMYFUNCTION("""COMPUTED_VALUE"""),"4ec68cf6")</f>
        <v>4ec68cf6</v>
      </c>
      <c r="E2383" s="211" t="str">
        <f>IFERROR(__xludf.DUMMYFUNCTION("""COMPUTED_VALUE"""),"CV Sido Mukti Karya")</f>
        <v>CV Sido Mukti Karya</v>
      </c>
      <c r="F2383" s="211" t="str">
        <f>IFERROR(__xludf.DUMMYFUNCTION("""COMPUTED_VALUE"""),"ef306e54")</f>
        <v>ef306e54</v>
      </c>
      <c r="G2383" s="211" t="str">
        <f>IFERROR(__xludf.DUMMYFUNCTION("""COMPUTED_VALUE"""),"Karbondioksida")</f>
        <v>Karbondioksida</v>
      </c>
      <c r="H2383" s="211" t="str">
        <f>IFERROR(__xludf.DUMMYFUNCTION("""COMPUTED_VALUE"""),"OUT")</f>
        <v>OUT</v>
      </c>
      <c r="I2383" s="211" t="str">
        <f>IFERROR(__xludf.DUMMYFUNCTION("""COMPUTED_VALUE"""),"NORMAL")</f>
        <v>NORMAL</v>
      </c>
      <c r="J2383" s="211">
        <f>IFERROR(__xludf.DUMMYFUNCTION("""COMPUTED_VALUE"""),3.0)</f>
        <v>3</v>
      </c>
      <c r="K2383" s="210" t="str">
        <f>IFERROR(__xludf.DUMMYFUNCTION("""COMPUTED_VALUE"""),"13003 13006 13027")</f>
        <v>13003 13006 13027</v>
      </c>
      <c r="L2383" s="211">
        <f>IFERROR(__xludf.DUMMYFUNCTION("""COMPUTED_VALUE"""),170000.0)</f>
        <v>170000</v>
      </c>
      <c r="M2383" s="211"/>
      <c r="N2383" s="211"/>
      <c r="O2383" s="211"/>
      <c r="Q2383" s="210" t="str">
        <f>IFERROR(__xludf.DUMMYFUNCTION("""COMPUTED_VALUE"""),"1261147")</f>
        <v>1261147</v>
      </c>
      <c r="R2383" s="210" t="str">
        <f>IFERROR(__xludf.DUMMYFUNCTION("""COMPUTED_VALUE"""),"1261147")</f>
        <v>1261147</v>
      </c>
      <c r="S2383" s="211" t="str">
        <f>IFERROR(__xludf.DUMMYFUNCTION("""COMPUTED_VALUE"""),"182fb0fe")</f>
        <v>182fb0fe</v>
      </c>
      <c r="T2383" s="211" t="str">
        <f>IFERROR(__xludf.DUMMYFUNCTION("""COMPUTED_VALUE"""),"PT Amtech")</f>
        <v>PT Amtech</v>
      </c>
      <c r="U2383" s="215">
        <f>IFERROR(__xludf.DUMMYFUNCTION("""COMPUTED_VALUE"""),46050.49940972222)</f>
        <v>46050.49941</v>
      </c>
      <c r="V2383"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2383" s="211" t="str">
        <f>IFERROR(__xludf.DUMMYFUNCTION("""COMPUTED_VALUE"""),"IN")</f>
        <v>IN</v>
      </c>
      <c r="X2383" s="211"/>
    </row>
    <row r="2384">
      <c r="A2384" s="210" t="str">
        <f>IFERROR(__xludf.DUMMYFUNCTION("""COMPUTED_VALUE"""),"1250775")</f>
        <v>1250775</v>
      </c>
      <c r="B2384" s="210" t="str">
        <f>IFERROR(__xludf.DUMMYFUNCTION("""COMPUTED_VALUE"""),"1250775")</f>
        <v>1250775</v>
      </c>
      <c r="C2384" s="213">
        <f>IFERROR(__xludf.DUMMYFUNCTION("""COMPUTED_VALUE"""),45973.66840277778)</f>
        <v>45973.6684</v>
      </c>
      <c r="D2384" s="211" t="str">
        <f>IFERROR(__xludf.DUMMYFUNCTION("""COMPUTED_VALUE"""),"4ec68cf6")</f>
        <v>4ec68cf6</v>
      </c>
      <c r="E2384" s="211" t="str">
        <f>IFERROR(__xludf.DUMMYFUNCTION("""COMPUTED_VALUE"""),"CV Sido Mukti Karya")</f>
        <v>CV Sido Mukti Karya</v>
      </c>
      <c r="F2384" s="211" t="str">
        <f>IFERROR(__xludf.DUMMYFUNCTION("""COMPUTED_VALUE"""),"7d2764f1")</f>
        <v>7d2764f1</v>
      </c>
      <c r="G2384" s="211" t="str">
        <f>IFERROR(__xludf.DUMMYFUNCTION("""COMPUTED_VALUE"""),"Oksigen 7m3")</f>
        <v>Oksigen 7m3</v>
      </c>
      <c r="H2384" s="211" t="str">
        <f>IFERROR(__xludf.DUMMYFUNCTION("""COMPUTED_VALUE"""),"IN")</f>
        <v>IN</v>
      </c>
      <c r="I2384" s="211" t="str">
        <f>IFERROR(__xludf.DUMMYFUNCTION("""COMPUTED_VALUE"""),"EMPTY")</f>
        <v>EMPTY</v>
      </c>
      <c r="J2384" s="211">
        <f>IFERROR(__xludf.DUMMYFUNCTION("""COMPUTED_VALUE"""),1.0)</f>
        <v>1</v>
      </c>
      <c r="K2384" s="210" t="str">
        <f>IFERROR(__xludf.DUMMYFUNCTION("""COMPUTED_VALUE"""),"11164")</f>
        <v>11164</v>
      </c>
      <c r="L2384" s="211">
        <f>IFERROR(__xludf.DUMMYFUNCTION("""COMPUTED_VALUE"""),0.0)</f>
        <v>0</v>
      </c>
      <c r="M2384" s="211"/>
      <c r="N2384" s="211"/>
      <c r="O2384" s="211"/>
      <c r="Q2384" s="210" t="str">
        <f>IFERROR(__xludf.DUMMYFUNCTION("""COMPUTED_VALUE"""),"1261157")</f>
        <v>1261157</v>
      </c>
      <c r="R2384" s="210" t="str">
        <f>IFERROR(__xludf.DUMMYFUNCTION("""COMPUTED_VALUE"""),"1261157")</f>
        <v>1261157</v>
      </c>
      <c r="S2384" s="211" t="str">
        <f>IFERROR(__xludf.DUMMYFUNCTION("""COMPUTED_VALUE"""),"ce83e171")</f>
        <v>ce83e171</v>
      </c>
      <c r="T2384" s="211" t="str">
        <f>IFERROR(__xludf.DUMMYFUNCTION("""COMPUTED_VALUE"""),"Bpk. Sulaiman")</f>
        <v>Bpk. Sulaiman</v>
      </c>
      <c r="U2384" s="215">
        <f>IFERROR(__xludf.DUMMYFUNCTION("""COMPUTED_VALUE"""),46050.50751157408)</f>
        <v>46050.50751</v>
      </c>
      <c r="V2384" s="211" t="str">
        <f>IFERROR(__xludf.DUMMYFUNCTION("""COMPUTED_VALUE"""),"Jl. Raya Kramat Temenggung No.43, Kramat, Kramat Temenggung, Kec. Tarik, Kabupaten Sidoarjo, Jawa Timur 61265")</f>
        <v>Jl. Raya Kramat Temenggung No.43, Kramat, Kramat Temenggung, Kec. Tarik, Kabupaten Sidoarjo, Jawa Timur 61265</v>
      </c>
      <c r="W2384" s="211" t="str">
        <f>IFERROR(__xludf.DUMMYFUNCTION("""COMPUTED_VALUE"""),"IN")</f>
        <v>IN</v>
      </c>
      <c r="X2384" s="211"/>
    </row>
    <row r="2385">
      <c r="A2385" s="210" t="str">
        <f>IFERROR(__xludf.DUMMYFUNCTION("""COMPUTED_VALUE"""),"1250775")</f>
        <v>1250775</v>
      </c>
      <c r="B2385" s="210" t="str">
        <f>IFERROR(__xludf.DUMMYFUNCTION("""COMPUTED_VALUE"""),"1250775")</f>
        <v>1250775</v>
      </c>
      <c r="C2385" s="213">
        <f>IFERROR(__xludf.DUMMYFUNCTION("""COMPUTED_VALUE"""),45973.66840277778)</f>
        <v>45973.6684</v>
      </c>
      <c r="D2385" s="211" t="str">
        <f>IFERROR(__xludf.DUMMYFUNCTION("""COMPUTED_VALUE"""),"4ec68cf6")</f>
        <v>4ec68cf6</v>
      </c>
      <c r="E2385" s="211" t="str">
        <f>IFERROR(__xludf.DUMMYFUNCTION("""COMPUTED_VALUE"""),"CV Sido Mukti Karya")</f>
        <v>CV Sido Mukti Karya</v>
      </c>
      <c r="F2385" s="211" t="str">
        <f>IFERROR(__xludf.DUMMYFUNCTION("""COMPUTED_VALUE"""),"ef306e54")</f>
        <v>ef306e54</v>
      </c>
      <c r="G2385" s="211" t="str">
        <f>IFERROR(__xludf.DUMMYFUNCTION("""COMPUTED_VALUE"""),"Karbondioksida")</f>
        <v>Karbondioksida</v>
      </c>
      <c r="H2385" s="211" t="str">
        <f>IFERROR(__xludf.DUMMYFUNCTION("""COMPUTED_VALUE"""),"IN")</f>
        <v>IN</v>
      </c>
      <c r="I2385" s="211" t="str">
        <f>IFERROR(__xludf.DUMMYFUNCTION("""COMPUTED_VALUE"""),"EMPTY")</f>
        <v>EMPTY</v>
      </c>
      <c r="J2385" s="211">
        <f>IFERROR(__xludf.DUMMYFUNCTION("""COMPUTED_VALUE"""),2.0)</f>
        <v>2</v>
      </c>
      <c r="K2385" s="210" t="str">
        <f>IFERROR(__xludf.DUMMYFUNCTION("""COMPUTED_VALUE"""),"13007 13040")</f>
        <v>13007 13040</v>
      </c>
      <c r="L2385" s="211">
        <f>IFERROR(__xludf.DUMMYFUNCTION("""COMPUTED_VALUE"""),0.0)</f>
        <v>0</v>
      </c>
      <c r="M2385" s="211"/>
      <c r="N2385" s="211"/>
      <c r="O2385" s="211"/>
      <c r="Q2385" s="210" t="str">
        <f>IFERROR(__xludf.DUMMYFUNCTION("""COMPUTED_VALUE"""),"1261156")</f>
        <v>1261156</v>
      </c>
      <c r="R2385" s="210" t="str">
        <f>IFERROR(__xludf.DUMMYFUNCTION("""COMPUTED_VALUE"""),"1261156")</f>
        <v>1261156</v>
      </c>
      <c r="S2385" s="211" t="str">
        <f>IFERROR(__xludf.DUMMYFUNCTION("""COMPUTED_VALUE"""),"ec231cc9")</f>
        <v>ec231cc9</v>
      </c>
      <c r="T2385" s="211" t="str">
        <f>IFERROR(__xludf.DUMMYFUNCTION("""COMPUTED_VALUE"""),"Bpk. Kohir (Maintenance Velg)")</f>
        <v>Bpk. Kohir (Maintenance Velg)</v>
      </c>
      <c r="U2385" s="215">
        <f>IFERROR(__xludf.DUMMYFUNCTION("""COMPUTED_VALUE"""),46050.508564814816)</f>
        <v>46050.50856</v>
      </c>
      <c r="V2385" s="211" t="str">
        <f>IFERROR(__xludf.DUMMYFUNCTION("""COMPUTED_VALUE"""),"Jl. Lkr. Bypass Krian Timur, Sidogolong, Watugolong, Kec. Krian, Kabupaten Sidoarjo, Jawa Timur 61262")</f>
        <v>Jl. Lkr. Bypass Krian Timur, Sidogolong, Watugolong, Kec. Krian, Kabupaten Sidoarjo, Jawa Timur 61262</v>
      </c>
      <c r="W2385" s="211" t="str">
        <f>IFERROR(__xludf.DUMMYFUNCTION("""COMPUTED_VALUE"""),"IN")</f>
        <v>IN</v>
      </c>
      <c r="X2385" s="211"/>
    </row>
    <row r="2386">
      <c r="A2386" s="210" t="str">
        <f>IFERROR(__xludf.DUMMYFUNCTION("""COMPUTED_VALUE"""),"112571690")</f>
        <v>112571690</v>
      </c>
      <c r="B2386" s="210" t="str">
        <f>IFERROR(__xludf.DUMMYFUNCTION("""COMPUTED_VALUE"""),"112571690")</f>
        <v>112571690</v>
      </c>
      <c r="C2386" s="213">
        <f>IFERROR(__xludf.DUMMYFUNCTION("""COMPUTED_VALUE"""),45973.67659722222)</f>
        <v>45973.6766</v>
      </c>
      <c r="D2386" s="211" t="str">
        <f>IFERROR(__xludf.DUMMYFUNCTION("""COMPUTED_VALUE"""),"faf71ae5")</f>
        <v>faf71ae5</v>
      </c>
      <c r="E2386" s="211" t="str">
        <f>IFERROR(__xludf.DUMMYFUNCTION("""COMPUTED_VALUE"""),"Bpk. Sampurna")</f>
        <v>Bpk. Sampurna</v>
      </c>
      <c r="F2386" s="211" t="str">
        <f>IFERROR(__xludf.DUMMYFUNCTION("""COMPUTED_VALUE"""),"be525f3b")</f>
        <v>be525f3b</v>
      </c>
      <c r="G2386" s="211" t="str">
        <f>IFERROR(__xludf.DUMMYFUNCTION("""COMPUTED_VALUE"""),"LPG 12kg")</f>
        <v>LPG 12kg</v>
      </c>
      <c r="H2386" s="211" t="str">
        <f>IFERROR(__xludf.DUMMYFUNCTION("""COMPUTED_VALUE"""),"OUT")</f>
        <v>OUT</v>
      </c>
      <c r="I2386" s="211" t="str">
        <f>IFERROR(__xludf.DUMMYFUNCTION("""COMPUTED_VALUE"""),"NORMAL")</f>
        <v>NORMAL</v>
      </c>
      <c r="J2386" s="211">
        <f>IFERROR(__xludf.DUMMYFUNCTION("""COMPUTED_VALUE"""),1.0)</f>
        <v>1</v>
      </c>
      <c r="K2386" s="211"/>
      <c r="L2386" s="211">
        <f>IFERROR(__xludf.DUMMYFUNCTION("""COMPUTED_VALUE"""),210000.0)</f>
        <v>210000</v>
      </c>
      <c r="M2386" s="211"/>
      <c r="N2386" s="211"/>
      <c r="O2386" s="211"/>
      <c r="Q2386" s="210" t="str">
        <f>IFERROR(__xludf.DUMMYFUNCTION("""COMPUTED_VALUE"""),"1261155")</f>
        <v>1261155</v>
      </c>
      <c r="R2386" s="210" t="str">
        <f>IFERROR(__xludf.DUMMYFUNCTION("""COMPUTED_VALUE"""),"1261155")</f>
        <v>1261155</v>
      </c>
      <c r="S2386" s="211" t="str">
        <f>IFERROR(__xludf.DUMMYFUNCTION("""COMPUTED_VALUE"""),"8ea74d81")</f>
        <v>8ea74d81</v>
      </c>
      <c r="T2386" s="211" t="str">
        <f>IFERROR(__xludf.DUMMYFUNCTION("""COMPUTED_VALUE"""),"Bengkel Adi Putra")</f>
        <v>Bengkel Adi Putra</v>
      </c>
      <c r="U2386" s="215">
        <f>IFERROR(__xludf.DUMMYFUNCTION("""COMPUTED_VALUE"""),46050.50894675926)</f>
        <v>46050.50895</v>
      </c>
      <c r="V2386" s="211" t="str">
        <f>IFERROR(__xludf.DUMMYFUNCTION("""COMPUTED_VALUE"""),"Bypass Balongbendo")</f>
        <v>Bypass Balongbendo</v>
      </c>
      <c r="W2386" s="211" t="str">
        <f>IFERROR(__xludf.DUMMYFUNCTION("""COMPUTED_VALUE"""),"IN")</f>
        <v>IN</v>
      </c>
      <c r="X2386" s="211"/>
    </row>
    <row r="2387">
      <c r="A2387" s="210" t="str">
        <f>IFERROR(__xludf.DUMMYFUNCTION("""COMPUTED_VALUE"""),"112571690")</f>
        <v>112571690</v>
      </c>
      <c r="B2387" s="210" t="str">
        <f>IFERROR(__xludf.DUMMYFUNCTION("""COMPUTED_VALUE"""),"112571690")</f>
        <v>112571690</v>
      </c>
      <c r="C2387" s="213">
        <f>IFERROR(__xludf.DUMMYFUNCTION("""COMPUTED_VALUE"""),45973.67659722222)</f>
        <v>45973.6766</v>
      </c>
      <c r="D2387" s="211" t="str">
        <f>IFERROR(__xludf.DUMMYFUNCTION("""COMPUTED_VALUE"""),"faf71ae5")</f>
        <v>faf71ae5</v>
      </c>
      <c r="E2387" s="211" t="str">
        <f>IFERROR(__xludf.DUMMYFUNCTION("""COMPUTED_VALUE"""),"Bpk. Sampurna")</f>
        <v>Bpk. Sampurna</v>
      </c>
      <c r="F2387" s="211" t="str">
        <f>IFERROR(__xludf.DUMMYFUNCTION("""COMPUTED_VALUE"""),"f13ba52f")</f>
        <v>f13ba52f</v>
      </c>
      <c r="G2387" s="211" t="str">
        <f>IFERROR(__xludf.DUMMYFUNCTION("""COMPUTED_VALUE"""),"Ongkos Kirim (Non PPN)")</f>
        <v>Ongkos Kirim (Non PPN)</v>
      </c>
      <c r="H2387" s="211" t="str">
        <f>IFERROR(__xludf.DUMMYFUNCTION("""COMPUTED_VALUE"""),"OUT")</f>
        <v>OUT</v>
      </c>
      <c r="I2387" s="211" t="str">
        <f>IFERROR(__xludf.DUMMYFUNCTION("""COMPUTED_VALUE"""),"NORMAL")</f>
        <v>NORMAL</v>
      </c>
      <c r="J2387" s="211">
        <f>IFERROR(__xludf.DUMMYFUNCTION("""COMPUTED_VALUE"""),1.0)</f>
        <v>1</v>
      </c>
      <c r="K2387" s="211"/>
      <c r="L2387" s="211">
        <f>IFERROR(__xludf.DUMMYFUNCTION("""COMPUTED_VALUE"""),50000.0)</f>
        <v>50000</v>
      </c>
      <c r="M2387" s="211"/>
      <c r="N2387" s="211"/>
      <c r="O2387" s="211"/>
      <c r="Q2387" s="210" t="str">
        <f>IFERROR(__xludf.DUMMYFUNCTION("""COMPUTED_VALUE"""),"1261148")</f>
        <v>1261148</v>
      </c>
      <c r="R2387" s="210" t="str">
        <f>IFERROR(__xludf.DUMMYFUNCTION("""COMPUTED_VALUE"""),"1261148")</f>
        <v>1261148</v>
      </c>
      <c r="S2387" s="211" t="str">
        <f>IFERROR(__xludf.DUMMYFUNCTION("""COMPUTED_VALUE"""),"9828dfc5")</f>
        <v>9828dfc5</v>
      </c>
      <c r="T2387" s="211" t="str">
        <f>IFERROR(__xludf.DUMMYFUNCTION("""COMPUTED_VALUE"""),"Bpk. David")</f>
        <v>Bpk. David</v>
      </c>
      <c r="U2387" s="215">
        <f>IFERROR(__xludf.DUMMYFUNCTION("""COMPUTED_VALUE"""),46050.65574074074)</f>
        <v>46050.65574</v>
      </c>
      <c r="V2387" s="211" t="str">
        <f>IFERROR(__xludf.DUMMYFUNCTION("""COMPUTED_VALUE"""),"GHF3+R34, Jl. Kartini, Ngingas, Ngimbangan, Kec. Mojosari, Kabupaten Mojokerto, Jawa Timur 61382")</f>
        <v>GHF3+R34, Jl. Kartini, Ngingas, Ngimbangan, Kec. Mojosari, Kabupaten Mojokerto, Jawa Timur 61382</v>
      </c>
      <c r="W2387" s="211" t="str">
        <f>IFERROR(__xludf.DUMMYFUNCTION("""COMPUTED_VALUE"""),"IN")</f>
        <v>IN</v>
      </c>
      <c r="X2387" s="211"/>
    </row>
    <row r="2388">
      <c r="A2388" s="210" t="str">
        <f>IFERROR(__xludf.DUMMYFUNCTION("""COMPUTED_VALUE"""),"1250780")</f>
        <v>1250780</v>
      </c>
      <c r="B2388" s="210" t="str">
        <f>IFERROR(__xludf.DUMMYFUNCTION("""COMPUTED_VALUE"""),"1250780")</f>
        <v>1250780</v>
      </c>
      <c r="C2388" s="213">
        <f>IFERROR(__xludf.DUMMYFUNCTION("""COMPUTED_VALUE"""),45973.678819444445)</f>
        <v>45973.67882</v>
      </c>
      <c r="D2388" s="211" t="str">
        <f>IFERROR(__xludf.DUMMYFUNCTION("""COMPUTED_VALUE"""),"faf71ae5")</f>
        <v>faf71ae5</v>
      </c>
      <c r="E2388" s="211" t="str">
        <f>IFERROR(__xludf.DUMMYFUNCTION("""COMPUTED_VALUE"""),"Bpk. Sampurna")</f>
        <v>Bpk. Sampurna</v>
      </c>
      <c r="F2388" s="211" t="str">
        <f>IFERROR(__xludf.DUMMYFUNCTION("""COMPUTED_VALUE"""),"7d2764f1")</f>
        <v>7d2764f1</v>
      </c>
      <c r="G2388" s="211" t="str">
        <f>IFERROR(__xludf.DUMMYFUNCTION("""COMPUTED_VALUE"""),"Oksigen 7m3")</f>
        <v>Oksigen 7m3</v>
      </c>
      <c r="H2388" s="211" t="str">
        <f>IFERROR(__xludf.DUMMYFUNCTION("""COMPUTED_VALUE"""),"IN")</f>
        <v>IN</v>
      </c>
      <c r="I2388" s="211" t="str">
        <f>IFERROR(__xludf.DUMMYFUNCTION("""COMPUTED_VALUE"""),"EMPTY")</f>
        <v>EMPTY</v>
      </c>
      <c r="J2388" s="211">
        <f>IFERROR(__xludf.DUMMYFUNCTION("""COMPUTED_VALUE"""),2.0)</f>
        <v>2</v>
      </c>
      <c r="K2388" s="210" t="str">
        <f>IFERROR(__xludf.DUMMYFUNCTION("""COMPUTED_VALUE"""),"11153 11168")</f>
        <v>11153 11168</v>
      </c>
      <c r="L2388" s="211">
        <f>IFERROR(__xludf.DUMMYFUNCTION("""COMPUTED_VALUE"""),0.0)</f>
        <v>0</v>
      </c>
      <c r="M2388" s="211"/>
      <c r="N2388" s="211"/>
      <c r="O2388" s="211"/>
      <c r="Q2388" s="210" t="str">
        <f>IFERROR(__xludf.DUMMYFUNCTION("""COMPUTED_VALUE"""),"1261149")</f>
        <v>1261149</v>
      </c>
      <c r="R2388" s="210" t="str">
        <f>IFERROR(__xludf.DUMMYFUNCTION("""COMPUTED_VALUE"""),"1261149")</f>
        <v>1261149</v>
      </c>
      <c r="S2388" s="211" t="str">
        <f>IFERROR(__xludf.DUMMYFUNCTION("""COMPUTED_VALUE"""),"98c84274")</f>
        <v>98c84274</v>
      </c>
      <c r="T2388" s="211" t="str">
        <f>IFERROR(__xludf.DUMMYFUNCTION("""COMPUTED_VALUE"""),"Bengkel SBM (Pak Hari)")</f>
        <v>Bengkel SBM (Pak Hari)</v>
      </c>
      <c r="U2388" s="215">
        <f>IFERROR(__xludf.DUMMYFUNCTION("""COMPUTED_VALUE"""),46050.65626157408)</f>
        <v>46050.65626</v>
      </c>
      <c r="V2388"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388" s="211" t="str">
        <f>IFERROR(__xludf.DUMMYFUNCTION("""COMPUTED_VALUE"""),"IN")</f>
        <v>IN</v>
      </c>
      <c r="X2388" s="211"/>
    </row>
    <row r="2389">
      <c r="A2389" s="210" t="str">
        <f>IFERROR(__xludf.DUMMYFUNCTION("""COMPUTED_VALUE"""),"1250780")</f>
        <v>1250780</v>
      </c>
      <c r="B2389" s="210" t="str">
        <f>IFERROR(__xludf.DUMMYFUNCTION("""COMPUTED_VALUE"""),"1250780")</f>
        <v>1250780</v>
      </c>
      <c r="C2389" s="213">
        <f>IFERROR(__xludf.DUMMYFUNCTION("""COMPUTED_VALUE"""),45973.678819444445)</f>
        <v>45973.67882</v>
      </c>
      <c r="D2389" s="211" t="str">
        <f>IFERROR(__xludf.DUMMYFUNCTION("""COMPUTED_VALUE"""),"faf71ae5")</f>
        <v>faf71ae5</v>
      </c>
      <c r="E2389" s="211" t="str">
        <f>IFERROR(__xludf.DUMMYFUNCTION("""COMPUTED_VALUE"""),"Bpk. Sampurna")</f>
        <v>Bpk. Sampurna</v>
      </c>
      <c r="F2389" s="211" t="str">
        <f>IFERROR(__xludf.DUMMYFUNCTION("""COMPUTED_VALUE"""),"8bdbe149")</f>
        <v>8bdbe149</v>
      </c>
      <c r="G2389" s="211" t="str">
        <f>IFERROR(__xludf.DUMMYFUNCTION("""COMPUTED_VALUE"""),"Oksigen 6m3")</f>
        <v>Oksigen 6m3</v>
      </c>
      <c r="H2389" s="211" t="str">
        <f>IFERROR(__xludf.DUMMYFUNCTION("""COMPUTED_VALUE"""),"IN")</f>
        <v>IN</v>
      </c>
      <c r="I2389" s="211" t="str">
        <f>IFERROR(__xludf.DUMMYFUNCTION("""COMPUTED_VALUE"""),"EMPTY")</f>
        <v>EMPTY</v>
      </c>
      <c r="J2389" s="211">
        <f>IFERROR(__xludf.DUMMYFUNCTION("""COMPUTED_VALUE"""),5.0)</f>
        <v>5</v>
      </c>
      <c r="K2389" s="210" t="str">
        <f>IFERROR(__xludf.DUMMYFUNCTION("""COMPUTED_VALUE"""),"11193 1102 11177 11113 11119")</f>
        <v>11193 1102 11177 11113 11119</v>
      </c>
      <c r="L2389" s="211">
        <f>IFERROR(__xludf.DUMMYFUNCTION("""COMPUTED_VALUE"""),0.0)</f>
        <v>0</v>
      </c>
      <c r="M2389" s="211"/>
      <c r="N2389" s="211"/>
      <c r="O2389" s="211"/>
      <c r="Q2389" s="210" t="str">
        <f>IFERROR(__xludf.DUMMYFUNCTION("""COMPUTED_VALUE"""),"0126182382")</f>
        <v>0126182382</v>
      </c>
      <c r="R2389" s="210" t="str">
        <f>IFERROR(__xludf.DUMMYFUNCTION("""COMPUTED_VALUE"""),"0126182382")</f>
        <v>0126182382</v>
      </c>
      <c r="S2389" s="211" t="str">
        <f>IFERROR(__xludf.DUMMYFUNCTION("""COMPUTED_VALUE"""),"8ea74d81")</f>
        <v>8ea74d81</v>
      </c>
      <c r="T2389" s="211" t="str">
        <f>IFERROR(__xludf.DUMMYFUNCTION("""COMPUTED_VALUE"""),"Bengkel Adi Putra")</f>
        <v>Bengkel Adi Putra</v>
      </c>
      <c r="U2389" s="215">
        <f>IFERROR(__xludf.DUMMYFUNCTION("""COMPUTED_VALUE"""),46050.659097222226)</f>
        <v>46050.6591</v>
      </c>
      <c r="V2389" s="211" t="str">
        <f>IFERROR(__xludf.DUMMYFUNCTION("""COMPUTED_VALUE"""),"Bypass Balongbendo")</f>
        <v>Bypass Balongbendo</v>
      </c>
      <c r="W2389" s="211" t="str">
        <f>IFERROR(__xludf.DUMMYFUNCTION("""COMPUTED_VALUE"""),"OUT")</f>
        <v>OUT</v>
      </c>
      <c r="X2389" s="211"/>
    </row>
    <row r="2390">
      <c r="A2390" s="210" t="str">
        <f>IFERROR(__xludf.DUMMYFUNCTION("""COMPUTED_VALUE"""),"112521692")</f>
        <v>112521692</v>
      </c>
      <c r="B2390" s="210" t="str">
        <f>IFERROR(__xludf.DUMMYFUNCTION("""COMPUTED_VALUE"""),"112521692")</f>
        <v>112521692</v>
      </c>
      <c r="C2390" s="213">
        <f>IFERROR(__xludf.DUMMYFUNCTION("""COMPUTED_VALUE"""),45974.345671296294)</f>
        <v>45974.34567</v>
      </c>
      <c r="D2390" s="211" t="str">
        <f>IFERROR(__xludf.DUMMYFUNCTION("""COMPUTED_VALUE"""),"734c6d17")</f>
        <v>734c6d17</v>
      </c>
      <c r="E2390" s="211" t="str">
        <f>IFERROR(__xludf.DUMMYFUNCTION("""COMPUTED_VALUE"""),"Bapak Ainol Yaqin ( Bpk. Ibnu )")</f>
        <v>Bapak Ainol Yaqin ( Bpk. Ibnu )</v>
      </c>
      <c r="F2390" s="211" t="str">
        <f>IFERROR(__xludf.DUMMYFUNCTION("""COMPUTED_VALUE"""),"7d2764f1")</f>
        <v>7d2764f1</v>
      </c>
      <c r="G2390" s="211" t="str">
        <f>IFERROR(__xludf.DUMMYFUNCTION("""COMPUTED_VALUE"""),"Oksigen 7m3")</f>
        <v>Oksigen 7m3</v>
      </c>
      <c r="H2390" s="211" t="str">
        <f>IFERROR(__xludf.DUMMYFUNCTION("""COMPUTED_VALUE"""),"OUT")</f>
        <v>OUT</v>
      </c>
      <c r="I2390" s="211" t="str">
        <f>IFERROR(__xludf.DUMMYFUNCTION("""COMPUTED_VALUE"""),"NORMAL")</f>
        <v>NORMAL</v>
      </c>
      <c r="J2390" s="211">
        <f>IFERROR(__xludf.DUMMYFUNCTION("""COMPUTED_VALUE"""),1.0)</f>
        <v>1</v>
      </c>
      <c r="K2390" s="210" t="str">
        <f>IFERROR(__xludf.DUMMYFUNCTION("""COMPUTED_VALUE"""),"11135")</f>
        <v>11135</v>
      </c>
      <c r="L2390" s="211">
        <f>IFERROR(__xludf.DUMMYFUNCTION("""COMPUTED_VALUE"""),60000.0)</f>
        <v>60000</v>
      </c>
      <c r="M2390" s="211"/>
      <c r="N2390" s="211"/>
      <c r="O2390" s="211"/>
      <c r="Q2390" s="210" t="str">
        <f>IFERROR(__xludf.DUMMYFUNCTION("""COMPUTED_VALUE"""),"012672390")</f>
        <v>012672390</v>
      </c>
      <c r="R2390" s="210" t="str">
        <f>IFERROR(__xludf.DUMMYFUNCTION("""COMPUTED_VALUE"""),"012672390")</f>
        <v>012672390</v>
      </c>
      <c r="S2390" s="211" t="str">
        <f>IFERROR(__xludf.DUMMYFUNCTION("""COMPUTED_VALUE"""),"1d018c98")</f>
        <v>1d018c98</v>
      </c>
      <c r="T2390" s="211" t="str">
        <f>IFERROR(__xludf.DUMMYFUNCTION("""COMPUTED_VALUE"""),"Mbak Angel")</f>
        <v>Mbak Angel</v>
      </c>
      <c r="U2390" s="215">
        <f>IFERROR(__xludf.DUMMYFUNCTION("""COMPUTED_VALUE"""),46050.66721064815)</f>
        <v>46050.66721</v>
      </c>
      <c r="V2390" s="211" t="str">
        <f>IFERROR(__xludf.DUMMYFUNCTION("""COMPUTED_VALUE"""),"Penambangan Krajan RT 02 RW 01 Balongbendo")</f>
        <v>Penambangan Krajan RT 02 RW 01 Balongbendo</v>
      </c>
      <c r="W2390" s="211" t="str">
        <f>IFERROR(__xludf.DUMMYFUNCTION("""COMPUTED_VALUE"""),"OUT")</f>
        <v>OUT</v>
      </c>
      <c r="X2390" s="211"/>
    </row>
    <row r="2391">
      <c r="A2391" s="210" t="str">
        <f>IFERROR(__xludf.DUMMYFUNCTION("""COMPUTED_VALUE"""),"1125271694")</f>
        <v>1125271694</v>
      </c>
      <c r="B2391" s="210" t="str">
        <f>IFERROR(__xludf.DUMMYFUNCTION("""COMPUTED_VALUE"""),"1125271694")</f>
        <v>1125271694</v>
      </c>
      <c r="C2391" s="213">
        <f>IFERROR(__xludf.DUMMYFUNCTION("""COMPUTED_VALUE"""),45974.35978009259)</f>
        <v>45974.35978</v>
      </c>
      <c r="D2391" s="211" t="str">
        <f>IFERROR(__xludf.DUMMYFUNCTION("""COMPUTED_VALUE"""),"8f5ebaea")</f>
        <v>8f5ebaea</v>
      </c>
      <c r="E2391" s="211" t="str">
        <f>IFERROR(__xludf.DUMMYFUNCTION("""COMPUTED_VALUE"""),"PT Hua Zong Mesindo")</f>
        <v>PT Hua Zong Mesindo</v>
      </c>
      <c r="F2391" s="211" t="str">
        <f>IFERROR(__xludf.DUMMYFUNCTION("""COMPUTED_VALUE"""),"8bdbe149")</f>
        <v>8bdbe149</v>
      </c>
      <c r="G2391" s="211" t="str">
        <f>IFERROR(__xludf.DUMMYFUNCTION("""COMPUTED_VALUE"""),"Oksigen 6m3")</f>
        <v>Oksigen 6m3</v>
      </c>
      <c r="H2391" s="211" t="str">
        <f>IFERROR(__xludf.DUMMYFUNCTION("""COMPUTED_VALUE"""),"OUT")</f>
        <v>OUT</v>
      </c>
      <c r="I2391" s="211" t="str">
        <f>IFERROR(__xludf.DUMMYFUNCTION("""COMPUTED_VALUE"""),"NORMAL")</f>
        <v>NORMAL</v>
      </c>
      <c r="J2391" s="211">
        <f>IFERROR(__xludf.DUMMYFUNCTION("""COMPUTED_VALUE"""),3.0)</f>
        <v>3</v>
      </c>
      <c r="K2391" s="210" t="str">
        <f>IFERROR(__xludf.DUMMYFUNCTION("""COMPUTED_VALUE"""),"1154 11278 1106")</f>
        <v>1154 11278 1106</v>
      </c>
      <c r="L2391" s="211">
        <f>IFERROR(__xludf.DUMMYFUNCTION("""COMPUTED_VALUE"""),60000.0)</f>
        <v>60000</v>
      </c>
      <c r="M2391" s="211"/>
      <c r="N2391" s="211"/>
      <c r="O2391" s="211"/>
      <c r="Q2391" s="210" t="str">
        <f>IFERROR(__xludf.DUMMYFUNCTION("""COMPUTED_VALUE"""),"1261158")</f>
        <v>1261158</v>
      </c>
      <c r="R2391" s="210" t="str">
        <f>IFERROR(__xludf.DUMMYFUNCTION("""COMPUTED_VALUE"""),"1261158")</f>
        <v>1261158</v>
      </c>
      <c r="S2391" s="211" t="str">
        <f>IFERROR(__xludf.DUMMYFUNCTION("""COMPUTED_VALUE"""),"e86baf3b")</f>
        <v>e86baf3b</v>
      </c>
      <c r="T2391" s="211" t="str">
        <f>IFERROR(__xludf.DUMMYFUNCTION("""COMPUTED_VALUE"""),"PT GEMILANG CIPTA WAWASAN")</f>
        <v>PT GEMILANG CIPTA WAWASAN</v>
      </c>
      <c r="U2391" s="215">
        <f>IFERROR(__xludf.DUMMYFUNCTION("""COMPUTED_VALUE"""),46050.69231481481)</f>
        <v>46050.69231</v>
      </c>
      <c r="V2391" s="211" t="str">
        <f>IFERROR(__xludf.DUMMYFUNCTION("""COMPUTED_VALUE"""),"JL TEBET RAYA, 2A, TEBET BARAT, TEBET, KOTA ADM, JAKARTA SELATAN, DKI JAKARTA")</f>
        <v>JL TEBET RAYA, 2A, TEBET BARAT, TEBET, KOTA ADM, JAKARTA SELATAN, DKI JAKARTA</v>
      </c>
      <c r="W2391" s="211" t="str">
        <f>IFERROR(__xludf.DUMMYFUNCTION("""COMPUTED_VALUE"""),"IN")</f>
        <v>IN</v>
      </c>
      <c r="X2391" s="211"/>
    </row>
    <row r="2392">
      <c r="A2392" s="210" t="str">
        <f>IFERROR(__xludf.DUMMYFUNCTION("""COMPUTED_VALUE"""),"1125271694")</f>
        <v>1125271694</v>
      </c>
      <c r="B2392" s="210" t="str">
        <f>IFERROR(__xludf.DUMMYFUNCTION("""COMPUTED_VALUE"""),"1125271694")</f>
        <v>1125271694</v>
      </c>
      <c r="C2392" s="213">
        <f>IFERROR(__xludf.DUMMYFUNCTION("""COMPUTED_VALUE"""),45974.35978009259)</f>
        <v>45974.35978</v>
      </c>
      <c r="D2392" s="211" t="str">
        <f>IFERROR(__xludf.DUMMYFUNCTION("""COMPUTED_VALUE"""),"8f5ebaea")</f>
        <v>8f5ebaea</v>
      </c>
      <c r="E2392" s="211" t="str">
        <f>IFERROR(__xludf.DUMMYFUNCTION("""COMPUTED_VALUE"""),"PT Hua Zong Mesindo")</f>
        <v>PT Hua Zong Mesindo</v>
      </c>
      <c r="F2392" s="211" t="str">
        <f>IFERROR(__xludf.DUMMYFUNCTION("""COMPUTED_VALUE"""),"66af7c72")</f>
        <v>66af7c72</v>
      </c>
      <c r="G2392" s="211" t="str">
        <f>IFERROR(__xludf.DUMMYFUNCTION("""COMPUTED_VALUE"""),"Argon 6m3")</f>
        <v>Argon 6m3</v>
      </c>
      <c r="H2392" s="211" t="str">
        <f>IFERROR(__xludf.DUMMYFUNCTION("""COMPUTED_VALUE"""),"OUT")</f>
        <v>OUT</v>
      </c>
      <c r="I2392" s="211" t="str">
        <f>IFERROR(__xludf.DUMMYFUNCTION("""COMPUTED_VALUE"""),"NORMAL")</f>
        <v>NORMAL</v>
      </c>
      <c r="J2392" s="211">
        <f>IFERROR(__xludf.DUMMYFUNCTION("""COMPUTED_VALUE"""),3.0)</f>
        <v>3</v>
      </c>
      <c r="K2392" s="210" t="str">
        <f>IFERROR(__xludf.DUMMYFUNCTION("""COMPUTED_VALUE"""),"12084 12018 12071")</f>
        <v>12084 12018 12071</v>
      </c>
      <c r="L2392" s="211">
        <f>IFERROR(__xludf.DUMMYFUNCTION("""COMPUTED_VALUE"""),190000.0)</f>
        <v>190000</v>
      </c>
      <c r="M2392" s="211"/>
      <c r="N2392" s="211"/>
      <c r="O2392" s="211"/>
      <c r="Q2392" s="210" t="str">
        <f>IFERROR(__xludf.DUMMYFUNCTION("""COMPUTED_VALUE"""),"012632391")</f>
        <v>012632391</v>
      </c>
      <c r="R2392" s="210" t="str">
        <f>IFERROR(__xludf.DUMMYFUNCTION("""COMPUTED_VALUE"""),"012632391")</f>
        <v>012632391</v>
      </c>
      <c r="S2392" s="211" t="str">
        <f>IFERROR(__xludf.DUMMYFUNCTION("""COMPUTED_VALUE"""),"1c4d5e93")</f>
        <v>1c4d5e93</v>
      </c>
      <c r="T2392" s="211" t="str">
        <f>IFERROR(__xludf.DUMMYFUNCTION("""COMPUTED_VALUE"""),"Karoseri Cipta Mitra Sukses")</f>
        <v>Karoseri Cipta Mitra Sukses</v>
      </c>
      <c r="U2392" s="215">
        <f>IFERROR(__xludf.DUMMYFUNCTION("""COMPUTED_VALUE"""),46051.357407407406)</f>
        <v>46051.35741</v>
      </c>
      <c r="V2392" s="211" t="str">
        <f>IFERROR(__xludf.DUMMYFUNCTION("""COMPUTED_VALUE"""),"JL. Bypass Krian No. 7800, Blok B No 11. Barengkrajan, Kec. Krian, Kabupaten Sidoarjo, Jawa Timur  61262")</f>
        <v>JL. Bypass Krian No. 7800, Blok B No 11. Barengkrajan, Kec. Krian, Kabupaten Sidoarjo, Jawa Timur  61262</v>
      </c>
      <c r="W2392" s="211" t="str">
        <f>IFERROR(__xludf.DUMMYFUNCTION("""COMPUTED_VALUE"""),"OUT")</f>
        <v>OUT</v>
      </c>
      <c r="X2392" s="211"/>
    </row>
    <row r="2393">
      <c r="A2393" s="210" t="str">
        <f>IFERROR(__xludf.DUMMYFUNCTION("""COMPUTED_VALUE"""),"112591695")</f>
        <v>112591695</v>
      </c>
      <c r="B2393" s="210" t="str">
        <f>IFERROR(__xludf.DUMMYFUNCTION("""COMPUTED_VALUE"""),"112591695")</f>
        <v>112591695</v>
      </c>
      <c r="C2393" s="213">
        <f>IFERROR(__xludf.DUMMYFUNCTION("""COMPUTED_VALUE"""),45974.360300925924)</f>
        <v>45974.3603</v>
      </c>
      <c r="D2393" s="211" t="str">
        <f>IFERROR(__xludf.DUMMYFUNCTION("""COMPUTED_VALUE"""),"8ea74d81")</f>
        <v>8ea74d81</v>
      </c>
      <c r="E2393" s="211" t="str">
        <f>IFERROR(__xludf.DUMMYFUNCTION("""COMPUTED_VALUE"""),"Bengkel Adi Putra")</f>
        <v>Bengkel Adi Putra</v>
      </c>
      <c r="F2393" s="211" t="str">
        <f>IFERROR(__xludf.DUMMYFUNCTION("""COMPUTED_VALUE"""),"8bdbe149")</f>
        <v>8bdbe149</v>
      </c>
      <c r="G2393" s="211" t="str">
        <f>IFERROR(__xludf.DUMMYFUNCTION("""COMPUTED_VALUE"""),"Oksigen 6m3")</f>
        <v>Oksigen 6m3</v>
      </c>
      <c r="H2393" s="211" t="str">
        <f>IFERROR(__xludf.DUMMYFUNCTION("""COMPUTED_VALUE"""),"OUT")</f>
        <v>OUT</v>
      </c>
      <c r="I2393" s="211" t="str">
        <f>IFERROR(__xludf.DUMMYFUNCTION("""COMPUTED_VALUE"""),"NORMAL")</f>
        <v>NORMAL</v>
      </c>
      <c r="J2393" s="211">
        <f>IFERROR(__xludf.DUMMYFUNCTION("""COMPUTED_VALUE"""),2.0)</f>
        <v>2</v>
      </c>
      <c r="K2393" s="210" t="str">
        <f>IFERROR(__xludf.DUMMYFUNCTION("""COMPUTED_VALUE"""),"11234 11242")</f>
        <v>11234 11242</v>
      </c>
      <c r="L2393" s="211">
        <f>IFERROR(__xludf.DUMMYFUNCTION("""COMPUTED_VALUE"""),70000.0)</f>
        <v>70000</v>
      </c>
      <c r="M2393" s="211"/>
      <c r="N2393" s="211"/>
      <c r="O2393" s="211"/>
      <c r="Q2393" s="210" t="str">
        <f>IFERROR(__xludf.DUMMYFUNCTION("""COMPUTED_VALUE"""),"1261150")</f>
        <v>1261150</v>
      </c>
      <c r="R2393" s="210" t="str">
        <f>IFERROR(__xludf.DUMMYFUNCTION("""COMPUTED_VALUE"""),"1261150")</f>
        <v>1261150</v>
      </c>
      <c r="S2393" s="211" t="str">
        <f>IFERROR(__xludf.DUMMYFUNCTION("""COMPUTED_VALUE"""),"1d018c98")</f>
        <v>1d018c98</v>
      </c>
      <c r="T2393" s="211" t="str">
        <f>IFERROR(__xludf.DUMMYFUNCTION("""COMPUTED_VALUE"""),"Mbak Angel")</f>
        <v>Mbak Angel</v>
      </c>
      <c r="U2393" s="215">
        <f>IFERROR(__xludf.DUMMYFUNCTION("""COMPUTED_VALUE"""),46051.361354166664)</f>
        <v>46051.36135</v>
      </c>
      <c r="V2393" s="211" t="str">
        <f>IFERROR(__xludf.DUMMYFUNCTION("""COMPUTED_VALUE"""),"Penambangan Krajan RT 02 RW 01 Balongbendo")</f>
        <v>Penambangan Krajan RT 02 RW 01 Balongbendo</v>
      </c>
      <c r="W2393" s="211" t="str">
        <f>IFERROR(__xludf.DUMMYFUNCTION("""COMPUTED_VALUE"""),"IN")</f>
        <v>IN</v>
      </c>
      <c r="X2393" s="211"/>
    </row>
    <row r="2394">
      <c r="A2394" s="210" t="str">
        <f>IFERROR(__xludf.DUMMYFUNCTION("""COMPUTED_VALUE"""),"112521696")</f>
        <v>112521696</v>
      </c>
      <c r="B2394" s="210" t="str">
        <f>IFERROR(__xludf.DUMMYFUNCTION("""COMPUTED_VALUE"""),"112521696")</f>
        <v>112521696</v>
      </c>
      <c r="C2394" s="213">
        <f>IFERROR(__xludf.DUMMYFUNCTION("""COMPUTED_VALUE"""),45974.36552083334)</f>
        <v>45974.36552</v>
      </c>
      <c r="D2394" s="211" t="str">
        <f>IFERROR(__xludf.DUMMYFUNCTION("""COMPUTED_VALUE"""),"9e66ced9")</f>
        <v>9e66ced9</v>
      </c>
      <c r="E2394" s="211" t="str">
        <f>IFERROR(__xludf.DUMMYFUNCTION("""COMPUTED_VALUE"""),"Bapak Angga")</f>
        <v>Bapak Angga</v>
      </c>
      <c r="F2394" s="211" t="str">
        <f>IFERROR(__xludf.DUMMYFUNCTION("""COMPUTED_VALUE"""),"7d2764f1")</f>
        <v>7d2764f1</v>
      </c>
      <c r="G2394" s="211" t="str">
        <f>IFERROR(__xludf.DUMMYFUNCTION("""COMPUTED_VALUE"""),"Oksigen 7m3")</f>
        <v>Oksigen 7m3</v>
      </c>
      <c r="H2394" s="211" t="str">
        <f>IFERROR(__xludf.DUMMYFUNCTION("""COMPUTED_VALUE"""),"OUT")</f>
        <v>OUT</v>
      </c>
      <c r="I2394" s="211" t="str">
        <f>IFERROR(__xludf.DUMMYFUNCTION("""COMPUTED_VALUE"""),"NORMAL")</f>
        <v>NORMAL</v>
      </c>
      <c r="J2394" s="211">
        <f>IFERROR(__xludf.DUMMYFUNCTION("""COMPUTED_VALUE"""),10.0)</f>
        <v>10</v>
      </c>
      <c r="K2394" s="210" t="str">
        <f>IFERROR(__xludf.DUMMYFUNCTION("""COMPUTED_VALUE"""),"11305 11304 11301 11303 11307 11306 11302 11298 11300 11299")</f>
        <v>11305 11304 11301 11303 11307 11306 11302 11298 11300 11299</v>
      </c>
      <c r="L2394" s="211">
        <f>IFERROR(__xludf.DUMMYFUNCTION("""COMPUTED_VALUE"""),50000.0)</f>
        <v>50000</v>
      </c>
      <c r="M2394" s="211"/>
      <c r="N2394" s="211"/>
      <c r="O2394" s="211"/>
      <c r="Q2394" s="210" t="str">
        <f>IFERROR(__xludf.DUMMYFUNCTION("""COMPUTED_VALUE"""),"012642393")</f>
        <v>012642393</v>
      </c>
      <c r="R2394" s="210" t="str">
        <f>IFERROR(__xludf.DUMMYFUNCTION("""COMPUTED_VALUE"""),"012642393")</f>
        <v>012642393</v>
      </c>
      <c r="S2394" s="211" t="str">
        <f>IFERROR(__xludf.DUMMYFUNCTION("""COMPUTED_VALUE"""),"a1508027")</f>
        <v>a1508027</v>
      </c>
      <c r="T2394" s="211" t="str">
        <f>IFERROR(__xludf.DUMMYFUNCTION("""COMPUTED_VALUE"""),"Agus Budiono")</f>
        <v>Agus Budiono</v>
      </c>
      <c r="U2394" s="215">
        <f>IFERROR(__xludf.DUMMYFUNCTION("""COMPUTED_VALUE"""),46051.36586805555)</f>
        <v>46051.36587</v>
      </c>
      <c r="V2394" s="211" t="str">
        <f>IFERROR(__xludf.DUMMYFUNCTION("""COMPUTED_VALUE"""),"Kraton RT.13 RW. 03 Kraton Krian Sidoarjo")</f>
        <v>Kraton RT.13 RW. 03 Kraton Krian Sidoarjo</v>
      </c>
      <c r="W2394" s="211" t="str">
        <f>IFERROR(__xludf.DUMMYFUNCTION("""COMPUTED_VALUE"""),"OUT")</f>
        <v>OUT</v>
      </c>
      <c r="X2394" s="211"/>
    </row>
    <row r="2395">
      <c r="A2395" s="210" t="str">
        <f>IFERROR(__xludf.DUMMYFUNCTION("""COMPUTED_VALUE"""),"1250774")</f>
        <v>1250774</v>
      </c>
      <c r="B2395" s="210" t="str">
        <f>IFERROR(__xludf.DUMMYFUNCTION("""COMPUTED_VALUE"""),"1250774")</f>
        <v>1250774</v>
      </c>
      <c r="C2395" s="213">
        <f>IFERROR(__xludf.DUMMYFUNCTION("""COMPUTED_VALUE"""),45974.44081018519)</f>
        <v>45974.44081</v>
      </c>
      <c r="D2395" s="211" t="str">
        <f>IFERROR(__xludf.DUMMYFUNCTION("""COMPUTED_VALUE"""),"9e66ced9")</f>
        <v>9e66ced9</v>
      </c>
      <c r="E2395" s="211" t="str">
        <f>IFERROR(__xludf.DUMMYFUNCTION("""COMPUTED_VALUE"""),"Bapak Angga")</f>
        <v>Bapak Angga</v>
      </c>
      <c r="F2395" s="211" t="str">
        <f>IFERROR(__xludf.DUMMYFUNCTION("""COMPUTED_VALUE"""),"8bdbe149")</f>
        <v>8bdbe149</v>
      </c>
      <c r="G2395" s="211" t="str">
        <f>IFERROR(__xludf.DUMMYFUNCTION("""COMPUTED_VALUE"""),"Oksigen 6m3")</f>
        <v>Oksigen 6m3</v>
      </c>
      <c r="H2395" s="211" t="str">
        <f>IFERROR(__xludf.DUMMYFUNCTION("""COMPUTED_VALUE"""),"IN")</f>
        <v>IN</v>
      </c>
      <c r="I2395" s="211" t="str">
        <f>IFERROR(__xludf.DUMMYFUNCTION("""COMPUTED_VALUE"""),"EMPTY")</f>
        <v>EMPTY</v>
      </c>
      <c r="J2395" s="211">
        <f>IFERROR(__xludf.DUMMYFUNCTION("""COMPUTED_VALUE"""),7.0)</f>
        <v>7</v>
      </c>
      <c r="K2395" s="210" t="str">
        <f>IFERROR(__xludf.DUMMYFUNCTION("""COMPUTED_VALUE"""),"11286 11134 11107 11202 11253 11293 11294")</f>
        <v>11286 11134 11107 11202 11253 11293 11294</v>
      </c>
      <c r="L2395" s="211">
        <f>IFERROR(__xludf.DUMMYFUNCTION("""COMPUTED_VALUE"""),0.0)</f>
        <v>0</v>
      </c>
      <c r="M2395" s="211"/>
      <c r="N2395" s="211"/>
      <c r="O2395" s="211"/>
      <c r="Q2395" s="211"/>
      <c r="R2395" s="211"/>
      <c r="S2395" s="211"/>
      <c r="T2395" s="211"/>
      <c r="U2395" s="211"/>
      <c r="V2395" s="211"/>
      <c r="W2395" s="211"/>
      <c r="X2395" s="211"/>
    </row>
    <row r="2396">
      <c r="A2396" s="210" t="str">
        <f>IFERROR(__xludf.DUMMYFUNCTION("""COMPUTED_VALUE"""),"1250790")</f>
        <v>1250790</v>
      </c>
      <c r="B2396" s="210" t="str">
        <f>IFERROR(__xludf.DUMMYFUNCTION("""COMPUTED_VALUE"""),"1250790")</f>
        <v>1250790</v>
      </c>
      <c r="C2396" s="213">
        <f>IFERROR(__xludf.DUMMYFUNCTION("""COMPUTED_VALUE"""),45974.44159722222)</f>
        <v>45974.4416</v>
      </c>
      <c r="D2396" s="211" t="str">
        <f>IFERROR(__xludf.DUMMYFUNCTION("""COMPUTED_VALUE"""),"8ea74d81")</f>
        <v>8ea74d81</v>
      </c>
      <c r="E2396" s="211" t="str">
        <f>IFERROR(__xludf.DUMMYFUNCTION("""COMPUTED_VALUE"""),"Bengkel Adi Putra")</f>
        <v>Bengkel Adi Putra</v>
      </c>
      <c r="F2396" s="211" t="str">
        <f>IFERROR(__xludf.DUMMYFUNCTION("""COMPUTED_VALUE"""),"8bdbe149")</f>
        <v>8bdbe149</v>
      </c>
      <c r="G2396" s="211" t="str">
        <f>IFERROR(__xludf.DUMMYFUNCTION("""COMPUTED_VALUE"""),"Oksigen 6m3")</f>
        <v>Oksigen 6m3</v>
      </c>
      <c r="H2396" s="211" t="str">
        <f>IFERROR(__xludf.DUMMYFUNCTION("""COMPUTED_VALUE"""),"IN")</f>
        <v>IN</v>
      </c>
      <c r="I2396" s="211" t="str">
        <f>IFERROR(__xludf.DUMMYFUNCTION("""COMPUTED_VALUE"""),"EMPTY")</f>
        <v>EMPTY</v>
      </c>
      <c r="J2396" s="211">
        <f>IFERROR(__xludf.DUMMYFUNCTION("""COMPUTED_VALUE"""),1.0)</f>
        <v>1</v>
      </c>
      <c r="K2396" s="210" t="str">
        <f>IFERROR(__xludf.DUMMYFUNCTION("""COMPUTED_VALUE"""),"1191")</f>
        <v>1191</v>
      </c>
      <c r="L2396" s="211">
        <f>IFERROR(__xludf.DUMMYFUNCTION("""COMPUTED_VALUE"""),0.0)</f>
        <v>0</v>
      </c>
      <c r="M2396" s="211"/>
      <c r="N2396" s="211"/>
      <c r="O2396" s="211"/>
      <c r="Q2396" s="210" t="str">
        <f>IFERROR(__xludf.DUMMYFUNCTION("""COMPUTED_VALUE"""),"0126122396")</f>
        <v>0126122396</v>
      </c>
      <c r="R2396" s="210" t="str">
        <f>IFERROR(__xludf.DUMMYFUNCTION("""COMPUTED_VALUE"""),"0126122396")</f>
        <v>0126122396</v>
      </c>
      <c r="S2396" s="211" t="str">
        <f>IFERROR(__xludf.DUMMYFUNCTION("""COMPUTED_VALUE"""),"9b941888")</f>
        <v>9b941888</v>
      </c>
      <c r="T2396" s="211" t="str">
        <f>IFERROR(__xludf.DUMMYFUNCTION("""COMPUTED_VALUE"""),"Mas Devi ( Parengan )")</f>
        <v>Mas Devi ( Parengan )</v>
      </c>
      <c r="U2396" s="215">
        <f>IFERROR(__xludf.DUMMYFUNCTION("""COMPUTED_VALUE"""),46051.45300925926)</f>
        <v>46051.45301</v>
      </c>
      <c r="V2396" s="211" t="str">
        <f>IFERROR(__xludf.DUMMYFUNCTION("""COMPUTED_VALUE"""),"Kraton Krian Sidoarjo, ( sebelah tower listrik )")</f>
        <v>Kraton Krian Sidoarjo, ( sebelah tower listrik )</v>
      </c>
      <c r="W2396" s="211" t="str">
        <f>IFERROR(__xludf.DUMMYFUNCTION("""COMPUTED_VALUE"""),"OUT")</f>
        <v>OUT</v>
      </c>
      <c r="X2396" s="211"/>
    </row>
    <row r="2397">
      <c r="A2397" s="210" t="str">
        <f>IFERROR(__xludf.DUMMYFUNCTION("""COMPUTED_VALUE"""),"1250791")</f>
        <v>1250791</v>
      </c>
      <c r="B2397" s="210" t="str">
        <f>IFERROR(__xludf.DUMMYFUNCTION("""COMPUTED_VALUE"""),"1250791")</f>
        <v>1250791</v>
      </c>
      <c r="C2397" s="213">
        <f>IFERROR(__xludf.DUMMYFUNCTION("""COMPUTED_VALUE"""),45974.44189814815)</f>
        <v>45974.4419</v>
      </c>
      <c r="D2397" s="211" t="str">
        <f>IFERROR(__xludf.DUMMYFUNCTION("""COMPUTED_VALUE"""),"8f5ebaea")</f>
        <v>8f5ebaea</v>
      </c>
      <c r="E2397" s="211" t="str">
        <f>IFERROR(__xludf.DUMMYFUNCTION("""COMPUTED_VALUE"""),"PT Hua Zong Mesindo")</f>
        <v>PT Hua Zong Mesindo</v>
      </c>
      <c r="F2397" s="211" t="str">
        <f>IFERROR(__xludf.DUMMYFUNCTION("""COMPUTED_VALUE"""),"8bdbe149")</f>
        <v>8bdbe149</v>
      </c>
      <c r="G2397" s="211" t="str">
        <f>IFERROR(__xludf.DUMMYFUNCTION("""COMPUTED_VALUE"""),"Oksigen 6m3")</f>
        <v>Oksigen 6m3</v>
      </c>
      <c r="H2397" s="211" t="str">
        <f>IFERROR(__xludf.DUMMYFUNCTION("""COMPUTED_VALUE"""),"IN")</f>
        <v>IN</v>
      </c>
      <c r="I2397" s="211" t="str">
        <f>IFERROR(__xludf.DUMMYFUNCTION("""COMPUTED_VALUE"""),"EMPTY")</f>
        <v>EMPTY</v>
      </c>
      <c r="J2397" s="211">
        <f>IFERROR(__xludf.DUMMYFUNCTION("""COMPUTED_VALUE"""),2.0)</f>
        <v>2</v>
      </c>
      <c r="K2397" s="210" t="str">
        <f>IFERROR(__xludf.DUMMYFUNCTION("""COMPUTED_VALUE"""),"11104 1112")</f>
        <v>11104 1112</v>
      </c>
      <c r="L2397" s="211">
        <f>IFERROR(__xludf.DUMMYFUNCTION("""COMPUTED_VALUE"""),0.0)</f>
        <v>0</v>
      </c>
      <c r="M2397" s="211"/>
      <c r="N2397" s="211"/>
      <c r="O2397" s="211"/>
      <c r="Q2397" s="210" t="str">
        <f>IFERROR(__xludf.DUMMYFUNCTION("""COMPUTED_VALUE"""),"1261171")</f>
        <v>1261171</v>
      </c>
      <c r="R2397" s="210" t="str">
        <f>IFERROR(__xludf.DUMMYFUNCTION("""COMPUTED_VALUE"""),"1261171")</f>
        <v>1261171</v>
      </c>
      <c r="S2397" s="211" t="str">
        <f>IFERROR(__xludf.DUMMYFUNCTION("""COMPUTED_VALUE"""),"1c4d5e93")</f>
        <v>1c4d5e93</v>
      </c>
      <c r="T2397" s="211" t="str">
        <f>IFERROR(__xludf.DUMMYFUNCTION("""COMPUTED_VALUE"""),"Karoseri Cipta Mitra Sukses")</f>
        <v>Karoseri Cipta Mitra Sukses</v>
      </c>
      <c r="U2397" s="215">
        <f>IFERROR(__xludf.DUMMYFUNCTION("""COMPUTED_VALUE"""),46051.49167824074)</f>
        <v>46051.49168</v>
      </c>
      <c r="V2397" s="211" t="str">
        <f>IFERROR(__xludf.DUMMYFUNCTION("""COMPUTED_VALUE"""),"JL. Bypass Krian No. 7800, Blok B No 11. Barengkrajan, Kec. Krian, Kabupaten Sidoarjo, Jawa Timur  61262")</f>
        <v>JL. Bypass Krian No. 7800, Blok B No 11. Barengkrajan, Kec. Krian, Kabupaten Sidoarjo, Jawa Timur  61262</v>
      </c>
      <c r="W2397" s="211" t="str">
        <f>IFERROR(__xludf.DUMMYFUNCTION("""COMPUTED_VALUE"""),"IN")</f>
        <v>IN</v>
      </c>
      <c r="X2397" s="211"/>
    </row>
    <row r="2398">
      <c r="A2398" s="210" t="str">
        <f>IFERROR(__xludf.DUMMYFUNCTION("""COMPUTED_VALUE"""),"1250791")</f>
        <v>1250791</v>
      </c>
      <c r="B2398" s="210" t="str">
        <f>IFERROR(__xludf.DUMMYFUNCTION("""COMPUTED_VALUE"""),"1250791")</f>
        <v>1250791</v>
      </c>
      <c r="C2398" s="213">
        <f>IFERROR(__xludf.DUMMYFUNCTION("""COMPUTED_VALUE"""),45974.44189814815)</f>
        <v>45974.4419</v>
      </c>
      <c r="D2398" s="211" t="str">
        <f>IFERROR(__xludf.DUMMYFUNCTION("""COMPUTED_VALUE"""),"8f5ebaea")</f>
        <v>8f5ebaea</v>
      </c>
      <c r="E2398" s="211" t="str">
        <f>IFERROR(__xludf.DUMMYFUNCTION("""COMPUTED_VALUE"""),"PT Hua Zong Mesindo")</f>
        <v>PT Hua Zong Mesindo</v>
      </c>
      <c r="F2398" s="211" t="str">
        <f>IFERROR(__xludf.DUMMYFUNCTION("""COMPUTED_VALUE"""),"66af7c72")</f>
        <v>66af7c72</v>
      </c>
      <c r="G2398" s="211" t="str">
        <f>IFERROR(__xludf.DUMMYFUNCTION("""COMPUTED_VALUE"""),"Argon 6m3")</f>
        <v>Argon 6m3</v>
      </c>
      <c r="H2398" s="211" t="str">
        <f>IFERROR(__xludf.DUMMYFUNCTION("""COMPUTED_VALUE"""),"IN")</f>
        <v>IN</v>
      </c>
      <c r="I2398" s="211" t="str">
        <f>IFERROR(__xludf.DUMMYFUNCTION("""COMPUTED_VALUE"""),"EMPTY")</f>
        <v>EMPTY</v>
      </c>
      <c r="J2398" s="211">
        <f>IFERROR(__xludf.DUMMYFUNCTION("""COMPUTED_VALUE"""),2.0)</f>
        <v>2</v>
      </c>
      <c r="K2398" s="210" t="str">
        <f>IFERROR(__xludf.DUMMYFUNCTION("""COMPUTED_VALUE"""),"12057 12075")</f>
        <v>12057 12075</v>
      </c>
      <c r="L2398" s="211">
        <f>IFERROR(__xludf.DUMMYFUNCTION("""COMPUTED_VALUE"""),0.0)</f>
        <v>0</v>
      </c>
      <c r="M2398" s="211"/>
      <c r="N2398" s="211"/>
      <c r="O2398" s="211"/>
      <c r="Q2398" s="210" t="str">
        <f>IFERROR(__xludf.DUMMYFUNCTION("""COMPUTED_VALUE"""),"1261173")</f>
        <v>1261173</v>
      </c>
      <c r="R2398" s="210" t="str">
        <f>IFERROR(__xludf.DUMMYFUNCTION("""COMPUTED_VALUE"""),"1261173")</f>
        <v>1261173</v>
      </c>
      <c r="S2398" s="211" t="str">
        <f>IFERROR(__xludf.DUMMYFUNCTION("""COMPUTED_VALUE"""),"eec2e801")</f>
        <v>eec2e801</v>
      </c>
      <c r="T2398" s="211" t="str">
        <f>IFERROR(__xludf.DUMMYFUNCTION("""COMPUTED_VALUE"""),"Mitra Wood Sejahtera")</f>
        <v>Mitra Wood Sejahtera</v>
      </c>
      <c r="U2398" s="215">
        <f>IFERROR(__xludf.DUMMYFUNCTION("""COMPUTED_VALUE"""),46051.492210648146)</f>
        <v>46051.49221</v>
      </c>
      <c r="V2398" s="211" t="str">
        <f>IFERROR(__xludf.DUMMYFUNCTION("""COMPUTED_VALUE"""),"Jl.cungkling, Jl. Tanggungan, Nanom Kidul, Lebaniwaras, Kec. Wringinanom, Kabupaten Gresik, Jawa Timur 61176")</f>
        <v>Jl.cungkling, Jl. Tanggungan, Nanom Kidul, Lebaniwaras, Kec. Wringinanom, Kabupaten Gresik, Jawa Timur 61176</v>
      </c>
      <c r="W2398" s="211" t="str">
        <f>IFERROR(__xludf.DUMMYFUNCTION("""COMPUTED_VALUE"""),"IN")</f>
        <v>IN</v>
      </c>
      <c r="X2398" s="211"/>
    </row>
    <row r="2399">
      <c r="A2399" s="210" t="str">
        <f>IFERROR(__xludf.DUMMYFUNCTION("""COMPUTED_VALUE"""),"112581697")</f>
        <v>112581697</v>
      </c>
      <c r="B2399" s="210" t="str">
        <f>IFERROR(__xludf.DUMMYFUNCTION("""COMPUTED_VALUE"""),"112581697")</f>
        <v>112581697</v>
      </c>
      <c r="C2399" s="213">
        <f>IFERROR(__xludf.DUMMYFUNCTION("""COMPUTED_VALUE"""),45974.45353009259)</f>
        <v>45974.45353</v>
      </c>
      <c r="D2399" s="211" t="str">
        <f>IFERROR(__xludf.DUMMYFUNCTION("""COMPUTED_VALUE"""),"faf71ae5")</f>
        <v>faf71ae5</v>
      </c>
      <c r="E2399" s="211" t="str">
        <f>IFERROR(__xludf.DUMMYFUNCTION("""COMPUTED_VALUE"""),"Bpk. Sampurna")</f>
        <v>Bpk. Sampurna</v>
      </c>
      <c r="F2399" s="211" t="str">
        <f>IFERROR(__xludf.DUMMYFUNCTION("""COMPUTED_VALUE"""),"8bdbe149")</f>
        <v>8bdbe149</v>
      </c>
      <c r="G2399" s="211" t="str">
        <f>IFERROR(__xludf.DUMMYFUNCTION("""COMPUTED_VALUE"""),"Oksigen 6m3")</f>
        <v>Oksigen 6m3</v>
      </c>
      <c r="H2399" s="211" t="str">
        <f>IFERROR(__xludf.DUMMYFUNCTION("""COMPUTED_VALUE"""),"OUT")</f>
        <v>OUT</v>
      </c>
      <c r="I2399" s="211" t="str">
        <f>IFERROR(__xludf.DUMMYFUNCTION("""COMPUTED_VALUE"""),"NORMAL")</f>
        <v>NORMAL</v>
      </c>
      <c r="J2399" s="211">
        <f>IFERROR(__xludf.DUMMYFUNCTION("""COMPUTED_VALUE"""),10.0)</f>
        <v>10</v>
      </c>
      <c r="K2399" s="210" t="str">
        <f>IFERROR(__xludf.DUMMYFUNCTION("""COMPUTED_VALUE"""),"1176 11228 1184 11252 11244 11289 11270 11262 11247 11272")</f>
        <v>1176 11228 1184 11252 11244 11289 11270 11262 11247 11272</v>
      </c>
      <c r="L2399" s="211">
        <f>IFERROR(__xludf.DUMMYFUNCTION("""COMPUTED_VALUE"""),55000.0)</f>
        <v>55000</v>
      </c>
      <c r="M2399" s="211"/>
      <c r="N2399" s="211"/>
      <c r="O2399" s="211"/>
      <c r="Q2399" s="210" t="str">
        <f>IFERROR(__xludf.DUMMYFUNCTION("""COMPUTED_VALUE"""),"1261172")</f>
        <v>1261172</v>
      </c>
      <c r="R2399" s="210" t="str">
        <f>IFERROR(__xludf.DUMMYFUNCTION("""COMPUTED_VALUE"""),"1261172")</f>
        <v>1261172</v>
      </c>
      <c r="S2399" s="211" t="str">
        <f>IFERROR(__xludf.DUMMYFUNCTION("""COMPUTED_VALUE"""),"3b04351a")</f>
        <v>3b04351a</v>
      </c>
      <c r="T2399" s="211" t="str">
        <f>IFERROR(__xludf.DUMMYFUNCTION("""COMPUTED_VALUE"""),"CV Usaha Logam Jaya ( Bpk Putra )")</f>
        <v>CV Usaha Logam Jaya ( Bpk Putra )</v>
      </c>
      <c r="U2399" s="215">
        <f>IFERROR(__xludf.DUMMYFUNCTION("""COMPUTED_VALUE"""),46051.49783564815)</f>
        <v>46051.49784</v>
      </c>
      <c r="V2399" s="211" t="str">
        <f>IFERROR(__xludf.DUMMYFUNCTION("""COMPUTED_VALUE"""),"Jl. Raya Wringinanom, Sidomoro, Pasinan Lemahputih, Kec. Wringinanom, Kabupaten Gresik, Jawa Timur 61176")</f>
        <v>Jl. Raya Wringinanom, Sidomoro, Pasinan Lemahputih, Kec. Wringinanom, Kabupaten Gresik, Jawa Timur 61176</v>
      </c>
      <c r="W2399" s="211" t="str">
        <f>IFERROR(__xludf.DUMMYFUNCTION("""COMPUTED_VALUE"""),"IN")</f>
        <v>IN</v>
      </c>
      <c r="X2399" s="211"/>
    </row>
    <row r="2400">
      <c r="A2400" s="210" t="str">
        <f>IFERROR(__xludf.DUMMYFUNCTION("""COMPUTED_VALUE"""),"112581697")</f>
        <v>112581697</v>
      </c>
      <c r="B2400" s="210" t="str">
        <f>IFERROR(__xludf.DUMMYFUNCTION("""COMPUTED_VALUE"""),"112581697")</f>
        <v>112581697</v>
      </c>
      <c r="C2400" s="213">
        <f>IFERROR(__xludf.DUMMYFUNCTION("""COMPUTED_VALUE"""),45974.45353009259)</f>
        <v>45974.45353</v>
      </c>
      <c r="D2400" s="211" t="str">
        <f>IFERROR(__xludf.DUMMYFUNCTION("""COMPUTED_VALUE"""),"faf71ae5")</f>
        <v>faf71ae5</v>
      </c>
      <c r="E2400" s="211" t="str">
        <f>IFERROR(__xludf.DUMMYFUNCTION("""COMPUTED_VALUE"""),"Bpk. Sampurna")</f>
        <v>Bpk. Sampurna</v>
      </c>
      <c r="F2400" s="211" t="str">
        <f>IFERROR(__xludf.DUMMYFUNCTION("""COMPUTED_VALUE"""),"be525f3b")</f>
        <v>be525f3b</v>
      </c>
      <c r="G2400" s="211" t="str">
        <f>IFERROR(__xludf.DUMMYFUNCTION("""COMPUTED_VALUE"""),"LPG 12kg")</f>
        <v>LPG 12kg</v>
      </c>
      <c r="H2400" s="211" t="str">
        <f>IFERROR(__xludf.DUMMYFUNCTION("""COMPUTED_VALUE"""),"OUT")</f>
        <v>OUT</v>
      </c>
      <c r="I2400" s="211" t="str">
        <f>IFERROR(__xludf.DUMMYFUNCTION("""COMPUTED_VALUE"""),"NORMAL")</f>
        <v>NORMAL</v>
      </c>
      <c r="J2400" s="211">
        <f>IFERROR(__xludf.DUMMYFUNCTION("""COMPUTED_VALUE"""),1.0)</f>
        <v>1</v>
      </c>
      <c r="K2400" s="211"/>
      <c r="L2400" s="211">
        <f>IFERROR(__xludf.DUMMYFUNCTION("""COMPUTED_VALUE"""),210000.0)</f>
        <v>210000</v>
      </c>
      <c r="M2400" s="211"/>
      <c r="N2400" s="211"/>
      <c r="O2400" s="211"/>
      <c r="Q2400" s="210" t="str">
        <f>IFERROR(__xludf.DUMMYFUNCTION("""COMPUTED_VALUE"""),"1261174")</f>
        <v>1261174</v>
      </c>
      <c r="R2400" s="210" t="str">
        <f>IFERROR(__xludf.DUMMYFUNCTION("""COMPUTED_VALUE"""),"1261174")</f>
        <v>1261174</v>
      </c>
      <c r="S2400" s="211" t="str">
        <f>IFERROR(__xludf.DUMMYFUNCTION("""COMPUTED_VALUE"""),"9b941888")</f>
        <v>9b941888</v>
      </c>
      <c r="T2400" s="211" t="str">
        <f>IFERROR(__xludf.DUMMYFUNCTION("""COMPUTED_VALUE"""),"Mas Devi ( Parengan )")</f>
        <v>Mas Devi ( Parengan )</v>
      </c>
      <c r="U2400" s="215">
        <f>IFERROR(__xludf.DUMMYFUNCTION("""COMPUTED_VALUE"""),46051.52417824074)</f>
        <v>46051.52418</v>
      </c>
      <c r="V2400" s="211" t="str">
        <f>IFERROR(__xludf.DUMMYFUNCTION("""COMPUTED_VALUE"""),"Kraton Krian Sidoarjo, ( sebelah tower listrik )")</f>
        <v>Kraton Krian Sidoarjo, ( sebelah tower listrik )</v>
      </c>
      <c r="W2400" s="211" t="str">
        <f>IFERROR(__xludf.DUMMYFUNCTION("""COMPUTED_VALUE"""),"IN")</f>
        <v>IN</v>
      </c>
      <c r="X2400" s="211"/>
    </row>
    <row r="2401">
      <c r="A2401" s="210" t="str">
        <f>IFERROR(__xludf.DUMMYFUNCTION("""COMPUTED_VALUE"""),"1125271701")</f>
        <v>1125271701</v>
      </c>
      <c r="B2401" s="210" t="str">
        <f>IFERROR(__xludf.DUMMYFUNCTION("""COMPUTED_VALUE"""),"1125271701")</f>
        <v>1125271701</v>
      </c>
      <c r="C2401" s="213">
        <f>IFERROR(__xludf.DUMMYFUNCTION("""COMPUTED_VALUE"""),45974.552719907406)</f>
        <v>45974.55272</v>
      </c>
      <c r="D2401" s="211" t="str">
        <f>IFERROR(__xludf.DUMMYFUNCTION("""COMPUTED_VALUE"""),"ec231cc9")</f>
        <v>ec231cc9</v>
      </c>
      <c r="E2401" s="211" t="str">
        <f>IFERROR(__xludf.DUMMYFUNCTION("""COMPUTED_VALUE"""),"Bpk. Kohir (Maintenance Velg)")</f>
        <v>Bpk. Kohir (Maintenance Velg)</v>
      </c>
      <c r="F2401" s="211" t="str">
        <f>IFERROR(__xludf.DUMMYFUNCTION("""COMPUTED_VALUE"""),"ef306e54")</f>
        <v>ef306e54</v>
      </c>
      <c r="G2401" s="211" t="str">
        <f>IFERROR(__xludf.DUMMYFUNCTION("""COMPUTED_VALUE"""),"Karbondioksida")</f>
        <v>Karbondioksida</v>
      </c>
      <c r="H2401" s="211" t="str">
        <f>IFERROR(__xludf.DUMMYFUNCTION("""COMPUTED_VALUE"""),"OUT")</f>
        <v>OUT</v>
      </c>
      <c r="I2401" s="211" t="str">
        <f>IFERROR(__xludf.DUMMYFUNCTION("""COMPUTED_VALUE"""),"NORMAL")</f>
        <v>NORMAL</v>
      </c>
      <c r="J2401" s="211">
        <f>IFERROR(__xludf.DUMMYFUNCTION("""COMPUTED_VALUE"""),2.0)</f>
        <v>2</v>
      </c>
      <c r="K2401" s="210" t="str">
        <f>IFERROR(__xludf.DUMMYFUNCTION("""COMPUTED_VALUE"""),"13029 13007")</f>
        <v>13029 13007</v>
      </c>
      <c r="L2401" s="211">
        <f>IFERROR(__xludf.DUMMYFUNCTION("""COMPUTED_VALUE"""),165000.0)</f>
        <v>165000</v>
      </c>
      <c r="M2401" s="211"/>
      <c r="N2401" s="211"/>
      <c r="O2401" s="211"/>
      <c r="Q2401" s="210" t="str">
        <f>IFERROR(__xludf.DUMMYFUNCTION("""COMPUTED_VALUE"""),"1261159")</f>
        <v>1261159</v>
      </c>
      <c r="R2401" s="210" t="str">
        <f>IFERROR(__xludf.DUMMYFUNCTION("""COMPUTED_VALUE"""),"1261159")</f>
        <v>1261159</v>
      </c>
      <c r="S2401" s="211" t="str">
        <f>IFERROR(__xludf.DUMMYFUNCTION("""COMPUTED_VALUE"""),"b2b5f2c5")</f>
        <v>b2b5f2c5</v>
      </c>
      <c r="T2401" s="211" t="str">
        <f>IFERROR(__xludf.DUMMYFUNCTION("""COMPUTED_VALUE"""),"Bengkel Las Bpk. Ari")</f>
        <v>Bengkel Las Bpk. Ari</v>
      </c>
      <c r="U2401" s="215">
        <f>IFERROR(__xludf.DUMMYFUNCTION("""COMPUTED_VALUE"""),46051.535949074074)</f>
        <v>46051.53595</v>
      </c>
      <c r="V2401" s="211" t="str">
        <f>IFERROR(__xludf.DUMMYFUNCTION("""COMPUTED_VALUE"""),"Sumber Kembar, Wonodadi, Kec. Kutorejo, Kabupaten Mojokerto, Jawa Timur")</f>
        <v>Sumber Kembar, Wonodadi, Kec. Kutorejo, Kabupaten Mojokerto, Jawa Timur</v>
      </c>
      <c r="W2401" s="211" t="str">
        <f>IFERROR(__xludf.DUMMYFUNCTION("""COMPUTED_VALUE"""),"IN")</f>
        <v>IN</v>
      </c>
      <c r="X2401" s="211"/>
    </row>
    <row r="2402">
      <c r="A2402" s="210" t="str">
        <f>IFERROR(__xludf.DUMMYFUNCTION("""COMPUTED_VALUE"""),"1125271701")</f>
        <v>1125271701</v>
      </c>
      <c r="B2402" s="210" t="str">
        <f>IFERROR(__xludf.DUMMYFUNCTION("""COMPUTED_VALUE"""),"1125271701")</f>
        <v>1125271701</v>
      </c>
      <c r="C2402" s="213">
        <f>IFERROR(__xludf.DUMMYFUNCTION("""COMPUTED_VALUE"""),45974.552719907406)</f>
        <v>45974.55272</v>
      </c>
      <c r="D2402" s="211" t="str">
        <f>IFERROR(__xludf.DUMMYFUNCTION("""COMPUTED_VALUE"""),"ec231cc9")</f>
        <v>ec231cc9</v>
      </c>
      <c r="E2402" s="211" t="str">
        <f>IFERROR(__xludf.DUMMYFUNCTION("""COMPUTED_VALUE"""),"Bpk. Kohir (Maintenance Velg)")</f>
        <v>Bpk. Kohir (Maintenance Velg)</v>
      </c>
      <c r="F2402" s="211" t="str">
        <f>IFERROR(__xludf.DUMMYFUNCTION("""COMPUTED_VALUE"""),"8bdbe149")</f>
        <v>8bdbe149</v>
      </c>
      <c r="G2402" s="211" t="str">
        <f>IFERROR(__xludf.DUMMYFUNCTION("""COMPUTED_VALUE"""),"Oksigen 6m3")</f>
        <v>Oksigen 6m3</v>
      </c>
      <c r="H2402" s="211" t="str">
        <f>IFERROR(__xludf.DUMMYFUNCTION("""COMPUTED_VALUE"""),"OUT")</f>
        <v>OUT</v>
      </c>
      <c r="I2402" s="211" t="str">
        <f>IFERROR(__xludf.DUMMYFUNCTION("""COMPUTED_VALUE"""),"NORMAL")</f>
        <v>NORMAL</v>
      </c>
      <c r="J2402" s="211">
        <f>IFERROR(__xludf.DUMMYFUNCTION("""COMPUTED_VALUE"""),4.0)</f>
        <v>4</v>
      </c>
      <c r="K2402" s="210" t="str">
        <f>IFERROR(__xludf.DUMMYFUNCTION("""COMPUTED_VALUE"""),"11193 11231 11113 11119")</f>
        <v>11193 11231 11113 11119</v>
      </c>
      <c r="L2402" s="211">
        <f>IFERROR(__xludf.DUMMYFUNCTION("""COMPUTED_VALUE"""),55000.0)</f>
        <v>55000</v>
      </c>
      <c r="M2402" s="211"/>
      <c r="N2402" s="211"/>
      <c r="O2402" s="211"/>
      <c r="Q2402" s="210" t="str">
        <f>IFERROR(__xludf.DUMMYFUNCTION("""COMPUTED_VALUE"""),"0126182397")</f>
        <v>0126182397</v>
      </c>
      <c r="R2402" s="210" t="str">
        <f>IFERROR(__xludf.DUMMYFUNCTION("""COMPUTED_VALUE"""),"0126182397")</f>
        <v>0126182397</v>
      </c>
      <c r="S2402" s="211" t="str">
        <f>IFERROR(__xludf.DUMMYFUNCTION("""COMPUTED_VALUE"""),"63fc688a")</f>
        <v>63fc688a</v>
      </c>
      <c r="T2402" s="211" t="str">
        <f>IFERROR(__xludf.DUMMYFUNCTION("""COMPUTED_VALUE"""),"CV Malik Nusantara")</f>
        <v>CV Malik Nusantara</v>
      </c>
      <c r="U2402" s="215">
        <f>IFERROR(__xludf.DUMMYFUNCTION("""COMPUTED_VALUE"""),46051.54100694445)</f>
        <v>46051.54101</v>
      </c>
      <c r="V2402" s="211" t="str">
        <f>IFERROR(__xludf.DUMMYFUNCTION("""COMPUTED_VALUE"""),"Jl. Raya Balongbendo No.12, Suwaluh Utara, Suwaluh, Kec. BalongBendo, Kabupaten Sidoarjo, Jawa Timur 61263")</f>
        <v>Jl. Raya Balongbendo No.12, Suwaluh Utara, Suwaluh, Kec. BalongBendo, Kabupaten Sidoarjo, Jawa Timur 61263</v>
      </c>
      <c r="W2402" s="211" t="str">
        <f>IFERROR(__xludf.DUMMYFUNCTION("""COMPUTED_VALUE"""),"OUT")</f>
        <v>OUT</v>
      </c>
      <c r="X2402" s="211"/>
    </row>
    <row r="2403">
      <c r="A2403" s="210" t="str">
        <f>IFERROR(__xludf.DUMMYFUNCTION("""COMPUTED_VALUE"""),"1250781")</f>
        <v>1250781</v>
      </c>
      <c r="B2403" s="210" t="str">
        <f>IFERROR(__xludf.DUMMYFUNCTION("""COMPUTED_VALUE"""),"1250781")</f>
        <v>1250781</v>
      </c>
      <c r="C2403" s="213">
        <f>IFERROR(__xludf.DUMMYFUNCTION("""COMPUTED_VALUE"""),45974.554027777776)</f>
        <v>45974.55403</v>
      </c>
      <c r="D2403" s="211" t="str">
        <f>IFERROR(__xludf.DUMMYFUNCTION("""COMPUTED_VALUE"""),"734c6d17")</f>
        <v>734c6d17</v>
      </c>
      <c r="E2403" s="211" t="str">
        <f>IFERROR(__xludf.DUMMYFUNCTION("""COMPUTED_VALUE"""),"Bapak Ainol Yaqin ( Bpk. Ibnu )")</f>
        <v>Bapak Ainol Yaqin ( Bpk. Ibnu )</v>
      </c>
      <c r="F2403" s="211" t="str">
        <f>IFERROR(__xludf.DUMMYFUNCTION("""COMPUTED_VALUE"""),"8bdbe149")</f>
        <v>8bdbe149</v>
      </c>
      <c r="G2403" s="211" t="str">
        <f>IFERROR(__xludf.DUMMYFUNCTION("""COMPUTED_VALUE"""),"Oksigen 6m3")</f>
        <v>Oksigen 6m3</v>
      </c>
      <c r="H2403" s="211" t="str">
        <f>IFERROR(__xludf.DUMMYFUNCTION("""COMPUTED_VALUE"""),"IN")</f>
        <v>IN</v>
      </c>
      <c r="I2403" s="211" t="str">
        <f>IFERROR(__xludf.DUMMYFUNCTION("""COMPUTED_VALUE"""),"EMPTY")</f>
        <v>EMPTY</v>
      </c>
      <c r="J2403" s="211">
        <f>IFERROR(__xludf.DUMMYFUNCTION("""COMPUTED_VALUE"""),1.0)</f>
        <v>1</v>
      </c>
      <c r="K2403" s="210" t="str">
        <f>IFERROR(__xludf.DUMMYFUNCTION("""COMPUTED_VALUE"""),"11258")</f>
        <v>11258</v>
      </c>
      <c r="L2403" s="211">
        <f>IFERROR(__xludf.DUMMYFUNCTION("""COMPUTED_VALUE"""),0.0)</f>
        <v>0</v>
      </c>
      <c r="M2403" s="211"/>
      <c r="N2403" s="211"/>
      <c r="O2403" s="211"/>
      <c r="Q2403" s="210" t="str">
        <f>IFERROR(__xludf.DUMMYFUNCTION("""COMPUTED_VALUE"""),"0126352403")</f>
        <v>0126352403</v>
      </c>
      <c r="R2403" s="210" t="str">
        <f>IFERROR(__xludf.DUMMYFUNCTION("""COMPUTED_VALUE"""),"0126352403")</f>
        <v>0126352403</v>
      </c>
      <c r="S2403" s="211" t="str">
        <f>IFERROR(__xludf.DUMMYFUNCTION("""COMPUTED_VALUE"""),"8f5ebaea")</f>
        <v>8f5ebaea</v>
      </c>
      <c r="T2403" s="211" t="str">
        <f>IFERROR(__xludf.DUMMYFUNCTION("""COMPUTED_VALUE"""),"PT Hua Zong Mesindo")</f>
        <v>PT Hua Zong Mesindo</v>
      </c>
      <c r="U2403" s="215">
        <f>IFERROR(__xludf.DUMMYFUNCTION("""COMPUTED_VALUE"""),46051.61923611111)</f>
        <v>46051.61924</v>
      </c>
      <c r="V2403" s="211" t="str">
        <f>IFERROR(__xludf.DUMMYFUNCTION("""COMPUTED_VALUE"""),"Jl. Bypass Krian, Sidotemo, Sidomulyo, Kec. Krian, Kabupaten Sidoarjo, Jawa Timur 61262")</f>
        <v>Jl. Bypass Krian, Sidotemo, Sidomulyo, Kec. Krian, Kabupaten Sidoarjo, Jawa Timur 61262</v>
      </c>
      <c r="W2403" s="211" t="str">
        <f>IFERROR(__xludf.DUMMYFUNCTION("""COMPUTED_VALUE"""),"OUT")</f>
        <v>OUT</v>
      </c>
      <c r="X2403" s="211"/>
    </row>
    <row r="2404">
      <c r="A2404" s="210" t="str">
        <f>IFERROR(__xludf.DUMMYFUNCTION("""COMPUTED_VALUE"""),"1125281702")</f>
        <v>1125281702</v>
      </c>
      <c r="B2404" s="210" t="str">
        <f>IFERROR(__xludf.DUMMYFUNCTION("""COMPUTED_VALUE"""),"1125281702")</f>
        <v>1125281702</v>
      </c>
      <c r="C2404" s="213">
        <f>IFERROR(__xludf.DUMMYFUNCTION("""COMPUTED_VALUE"""),45974.59086805556)</f>
        <v>45974.59087</v>
      </c>
      <c r="D2404" s="211" t="str">
        <f>IFERROR(__xludf.DUMMYFUNCTION("""COMPUTED_VALUE"""),"8f5ebaea")</f>
        <v>8f5ebaea</v>
      </c>
      <c r="E2404" s="211" t="str">
        <f>IFERROR(__xludf.DUMMYFUNCTION("""COMPUTED_VALUE"""),"PT Hua Zong Mesindo")</f>
        <v>PT Hua Zong Mesindo</v>
      </c>
      <c r="F2404" s="211" t="str">
        <f>IFERROR(__xludf.DUMMYFUNCTION("""COMPUTED_VALUE"""),"f3208f5d")</f>
        <v>f3208f5d</v>
      </c>
      <c r="G2404" s="211" t="str">
        <f>IFERROR(__xludf.DUMMYFUNCTION("""COMPUTED_VALUE"""),"Tabung 6m3 + O2")</f>
        <v>Tabung 6m3 + O2</v>
      </c>
      <c r="H2404" s="211" t="str">
        <f>IFERROR(__xludf.DUMMYFUNCTION("""COMPUTED_VALUE"""),"OUT")</f>
        <v>OUT</v>
      </c>
      <c r="I2404" s="211" t="str">
        <f>IFERROR(__xludf.DUMMYFUNCTION("""COMPUTED_VALUE"""),"NORMAL")</f>
        <v>NORMAL</v>
      </c>
      <c r="J2404" s="211">
        <f>IFERROR(__xludf.DUMMYFUNCTION("""COMPUTED_VALUE"""),2.0)</f>
        <v>2</v>
      </c>
      <c r="K2404" s="211"/>
      <c r="L2404" s="211">
        <f>IFERROR(__xludf.DUMMYFUNCTION("""COMPUTED_VALUE"""),2000000.0)</f>
        <v>2000000</v>
      </c>
      <c r="M2404" s="211"/>
      <c r="N2404" s="211" t="str">
        <f>IFERROR(__xludf.DUMMYFUNCTION("""COMPUTED_VALUE"""),"Ganti rugi tabung hilang")</f>
        <v>Ganti rugi tabung hilang</v>
      </c>
      <c r="O2404" s="211"/>
      <c r="Q2404" s="210" t="str">
        <f>IFERROR(__xludf.DUMMYFUNCTION("""COMPUTED_VALUE"""),"1261160")</f>
        <v>1261160</v>
      </c>
      <c r="R2404" s="210" t="str">
        <f>IFERROR(__xludf.DUMMYFUNCTION("""COMPUTED_VALUE"""),"1261160")</f>
        <v>1261160</v>
      </c>
      <c r="S2404" s="211" t="str">
        <f>IFERROR(__xludf.DUMMYFUNCTION("""COMPUTED_VALUE"""),"63fc688a")</f>
        <v>63fc688a</v>
      </c>
      <c r="T2404" s="211" t="str">
        <f>IFERROR(__xludf.DUMMYFUNCTION("""COMPUTED_VALUE"""),"CV Malik Nusantara")</f>
        <v>CV Malik Nusantara</v>
      </c>
      <c r="U2404" s="215">
        <f>IFERROR(__xludf.DUMMYFUNCTION("""COMPUTED_VALUE"""),46051.649409722224)</f>
        <v>46051.64941</v>
      </c>
      <c r="V2404" s="211" t="str">
        <f>IFERROR(__xludf.DUMMYFUNCTION("""COMPUTED_VALUE"""),"Jl. Raya Balongbendo No.12, Suwaluh Utara, Suwaluh, Kec. BalongBendo, Kabupaten Sidoarjo, Jawa Timur 61263")</f>
        <v>Jl. Raya Balongbendo No.12, Suwaluh Utara, Suwaluh, Kec. BalongBendo, Kabupaten Sidoarjo, Jawa Timur 61263</v>
      </c>
      <c r="W2404" s="211" t="str">
        <f>IFERROR(__xludf.DUMMYFUNCTION("""COMPUTED_VALUE"""),"IN")</f>
        <v>IN</v>
      </c>
      <c r="X2404" s="211"/>
    </row>
    <row r="2405">
      <c r="A2405" s="210" t="str">
        <f>IFERROR(__xludf.DUMMYFUNCTION("""COMPUTED_VALUE"""),"1250792")</f>
        <v>1250792</v>
      </c>
      <c r="B2405" s="210" t="str">
        <f>IFERROR(__xludf.DUMMYFUNCTION("""COMPUTED_VALUE"""),"1250792")</f>
        <v>1250792</v>
      </c>
      <c r="C2405" s="213">
        <f>IFERROR(__xludf.DUMMYFUNCTION("""COMPUTED_VALUE"""),45974.62777777778)</f>
        <v>45974.62778</v>
      </c>
      <c r="D2405" s="211" t="str">
        <f>IFERROR(__xludf.DUMMYFUNCTION("""COMPUTED_VALUE"""),"ce83e171")</f>
        <v>ce83e171</v>
      </c>
      <c r="E2405" s="211" t="str">
        <f>IFERROR(__xludf.DUMMYFUNCTION("""COMPUTED_VALUE"""),"Bpk. Sulaiman")</f>
        <v>Bpk. Sulaiman</v>
      </c>
      <c r="F2405" s="211" t="str">
        <f>IFERROR(__xludf.DUMMYFUNCTION("""COMPUTED_VALUE"""),"7d2764f1")</f>
        <v>7d2764f1</v>
      </c>
      <c r="G2405" s="211" t="str">
        <f>IFERROR(__xludf.DUMMYFUNCTION("""COMPUTED_VALUE"""),"Oksigen 7m3")</f>
        <v>Oksigen 7m3</v>
      </c>
      <c r="H2405" s="211" t="str">
        <f>IFERROR(__xludf.DUMMYFUNCTION("""COMPUTED_VALUE"""),"IN")</f>
        <v>IN</v>
      </c>
      <c r="I2405" s="211" t="str">
        <f>IFERROR(__xludf.DUMMYFUNCTION("""COMPUTED_VALUE"""),"EMPTY")</f>
        <v>EMPTY</v>
      </c>
      <c r="J2405" s="211">
        <f>IFERROR(__xludf.DUMMYFUNCTION("""COMPUTED_VALUE"""),2.0)</f>
        <v>2</v>
      </c>
      <c r="K2405" s="210" t="str">
        <f>IFERROR(__xludf.DUMMYFUNCTION("""COMPUTED_VALUE"""),"11137 11174")</f>
        <v>11137 11174</v>
      </c>
      <c r="L2405" s="211">
        <f>IFERROR(__xludf.DUMMYFUNCTION("""COMPUTED_VALUE"""),0.0)</f>
        <v>0</v>
      </c>
      <c r="M2405" s="211"/>
      <c r="N2405" s="211"/>
      <c r="O2405" s="211"/>
      <c r="Q2405" s="210" t="str">
        <f>IFERROR(__xludf.DUMMYFUNCTION("""COMPUTED_VALUE"""),"1261175")</f>
        <v>1261175</v>
      </c>
      <c r="R2405" s="210" t="str">
        <f>IFERROR(__xludf.DUMMYFUNCTION("""COMPUTED_VALUE"""),"1261175")</f>
        <v>1261175</v>
      </c>
      <c r="S2405" s="211" t="str">
        <f>IFERROR(__xludf.DUMMYFUNCTION("""COMPUTED_VALUE"""),"8f5ebaea")</f>
        <v>8f5ebaea</v>
      </c>
      <c r="T2405" s="211" t="str">
        <f>IFERROR(__xludf.DUMMYFUNCTION("""COMPUTED_VALUE"""),"PT Hua Zong Mesindo")</f>
        <v>PT Hua Zong Mesindo</v>
      </c>
      <c r="U2405" s="215">
        <f>IFERROR(__xludf.DUMMYFUNCTION("""COMPUTED_VALUE"""),46051.66018518519)</f>
        <v>46051.66019</v>
      </c>
      <c r="V2405" s="211" t="str">
        <f>IFERROR(__xludf.DUMMYFUNCTION("""COMPUTED_VALUE"""),"Jl. Bypass Krian, Sidotemo, Sidomulyo, Kec. Krian, Kabupaten Sidoarjo, Jawa Timur 61262")</f>
        <v>Jl. Bypass Krian, Sidotemo, Sidomulyo, Kec. Krian, Kabupaten Sidoarjo, Jawa Timur 61262</v>
      </c>
      <c r="W2405" s="211" t="str">
        <f>IFERROR(__xludf.DUMMYFUNCTION("""COMPUTED_VALUE"""),"IN")</f>
        <v>IN</v>
      </c>
      <c r="X2405" s="211"/>
    </row>
    <row r="2406">
      <c r="A2406" s="210" t="str">
        <f>IFERROR(__xludf.DUMMYFUNCTION("""COMPUTED_VALUE"""),"1250792")</f>
        <v>1250792</v>
      </c>
      <c r="B2406" s="210" t="str">
        <f>IFERROR(__xludf.DUMMYFUNCTION("""COMPUTED_VALUE"""),"1250792")</f>
        <v>1250792</v>
      </c>
      <c r="C2406" s="213">
        <f>IFERROR(__xludf.DUMMYFUNCTION("""COMPUTED_VALUE"""),45974.62777777778)</f>
        <v>45974.62778</v>
      </c>
      <c r="D2406" s="211" t="str">
        <f>IFERROR(__xludf.DUMMYFUNCTION("""COMPUTED_VALUE"""),"ce83e171")</f>
        <v>ce83e171</v>
      </c>
      <c r="E2406" s="211" t="str">
        <f>IFERROR(__xludf.DUMMYFUNCTION("""COMPUTED_VALUE"""),"Bpk. Sulaiman")</f>
        <v>Bpk. Sulaiman</v>
      </c>
      <c r="F2406" s="211" t="str">
        <f>IFERROR(__xludf.DUMMYFUNCTION("""COMPUTED_VALUE"""),"f6aab7a9")</f>
        <v>f6aab7a9</v>
      </c>
      <c r="G2406" s="211" t="str">
        <f>IFERROR(__xludf.DUMMYFUNCTION("""COMPUTED_VALUE"""),"Oksigen 6m3 MR")</f>
        <v>Oksigen 6m3 MR</v>
      </c>
      <c r="H2406" s="211" t="str">
        <f>IFERROR(__xludf.DUMMYFUNCTION("""COMPUTED_VALUE"""),"IN")</f>
        <v>IN</v>
      </c>
      <c r="I2406" s="211" t="str">
        <f>IFERROR(__xludf.DUMMYFUNCTION("""COMPUTED_VALUE"""),"EMPTY")</f>
        <v>EMPTY</v>
      </c>
      <c r="J2406" s="211">
        <f>IFERROR(__xludf.DUMMYFUNCTION("""COMPUTED_VALUE"""),1.0)</f>
        <v>1</v>
      </c>
      <c r="K2406" s="210" t="str">
        <f>IFERROR(__xludf.DUMMYFUNCTION("""COMPUTED_VALUE"""),"01")</f>
        <v>01</v>
      </c>
      <c r="L2406" s="211">
        <f>IFERROR(__xludf.DUMMYFUNCTION("""COMPUTED_VALUE"""),0.0)</f>
        <v>0</v>
      </c>
      <c r="M2406" s="211"/>
      <c r="N2406" s="211"/>
      <c r="O2406" s="211"/>
      <c r="Q2406" s="210" t="str">
        <f>IFERROR(__xludf.DUMMYFUNCTION("""COMPUTED_VALUE"""),"0126152404")</f>
        <v>0126152404</v>
      </c>
      <c r="R2406" s="210" t="str">
        <f>IFERROR(__xludf.DUMMYFUNCTION("""COMPUTED_VALUE"""),"0126152404")</f>
        <v>0126152404</v>
      </c>
      <c r="S2406" s="211" t="str">
        <f>IFERROR(__xludf.DUMMYFUNCTION("""COMPUTED_VALUE"""),"eec2e801")</f>
        <v>eec2e801</v>
      </c>
      <c r="T2406" s="211" t="str">
        <f>IFERROR(__xludf.DUMMYFUNCTION("""COMPUTED_VALUE"""),"Mitra Wood Sejahtera")</f>
        <v>Mitra Wood Sejahtera</v>
      </c>
      <c r="U2406" s="215">
        <f>IFERROR(__xludf.DUMMYFUNCTION("""COMPUTED_VALUE"""),46052.374930555554)</f>
        <v>46052.37493</v>
      </c>
      <c r="V2406" s="211" t="str">
        <f>IFERROR(__xludf.DUMMYFUNCTION("""COMPUTED_VALUE"""),"Jl.cungkling, Jl. Tanggungan, Nanom Kidul, Lebaniwaras, Kec. Wringinanom, Kabupaten Gresik, Jawa Timur 61176")</f>
        <v>Jl.cungkling, Jl. Tanggungan, Nanom Kidul, Lebaniwaras, Kec. Wringinanom, Kabupaten Gresik, Jawa Timur 61176</v>
      </c>
      <c r="W2406" s="211" t="str">
        <f>IFERROR(__xludf.DUMMYFUNCTION("""COMPUTED_VALUE"""),"OUT")</f>
        <v>OUT</v>
      </c>
      <c r="X2406" s="211"/>
    </row>
    <row r="2407">
      <c r="A2407" s="210" t="str">
        <f>IFERROR(__xludf.DUMMYFUNCTION("""COMPUTED_VALUE"""),"1250793")</f>
        <v>1250793</v>
      </c>
      <c r="B2407" s="210" t="str">
        <f>IFERROR(__xludf.DUMMYFUNCTION("""COMPUTED_VALUE"""),"1250793")</f>
        <v>1250793</v>
      </c>
      <c r="C2407" s="213">
        <f>IFERROR(__xludf.DUMMYFUNCTION("""COMPUTED_VALUE"""),45974.628969907404)</f>
        <v>45974.62897</v>
      </c>
      <c r="D2407" s="211" t="str">
        <f>IFERROR(__xludf.DUMMYFUNCTION("""COMPUTED_VALUE"""),"01158be1")</f>
        <v>01158be1</v>
      </c>
      <c r="E2407" s="211" t="str">
        <f>IFERROR(__xludf.DUMMYFUNCTION("""COMPUTED_VALUE"""),"GYF")</f>
        <v>GYF</v>
      </c>
      <c r="F2407" s="211" t="str">
        <f>IFERROR(__xludf.DUMMYFUNCTION("""COMPUTED_VALUE"""),"8bdbe149")</f>
        <v>8bdbe149</v>
      </c>
      <c r="G2407" s="211" t="str">
        <f>IFERROR(__xludf.DUMMYFUNCTION("""COMPUTED_VALUE"""),"Oksigen 6m3")</f>
        <v>Oksigen 6m3</v>
      </c>
      <c r="H2407" s="211" t="str">
        <f>IFERROR(__xludf.DUMMYFUNCTION("""COMPUTED_VALUE"""),"IN")</f>
        <v>IN</v>
      </c>
      <c r="I2407" s="211" t="str">
        <f>IFERROR(__xludf.DUMMYFUNCTION("""COMPUTED_VALUE"""),"EMPTY")</f>
        <v>EMPTY</v>
      </c>
      <c r="J2407" s="211">
        <f>IFERROR(__xludf.DUMMYFUNCTION("""COMPUTED_VALUE"""),3.0)</f>
        <v>3</v>
      </c>
      <c r="K2407" s="210" t="str">
        <f>IFERROR(__xludf.DUMMYFUNCTION("""COMPUTED_VALUE"""),"11207 1152 11121")</f>
        <v>11207 1152 11121</v>
      </c>
      <c r="L2407" s="211">
        <f>IFERROR(__xludf.DUMMYFUNCTION("""COMPUTED_VALUE"""),0.0)</f>
        <v>0</v>
      </c>
      <c r="M2407" s="211"/>
      <c r="N2407" s="211"/>
      <c r="O2407" s="211"/>
      <c r="Q2407" s="210" t="str">
        <f>IFERROR(__xludf.DUMMYFUNCTION("""COMPUTED_VALUE"""),"0126782407")</f>
        <v>0126782407</v>
      </c>
      <c r="R2407" s="210" t="str">
        <f>IFERROR(__xludf.DUMMYFUNCTION("""COMPUTED_VALUE"""),"0126782407")</f>
        <v>0126782407</v>
      </c>
      <c r="S2407" s="211" t="str">
        <f>IFERROR(__xludf.DUMMYFUNCTION("""COMPUTED_VALUE"""),"b2b5f2c5")</f>
        <v>b2b5f2c5</v>
      </c>
      <c r="T2407" s="211" t="str">
        <f>IFERROR(__xludf.DUMMYFUNCTION("""COMPUTED_VALUE"""),"Bengkel Las Bpk. Ari")</f>
        <v>Bengkel Las Bpk. Ari</v>
      </c>
      <c r="U2407" s="215">
        <f>IFERROR(__xludf.DUMMYFUNCTION("""COMPUTED_VALUE"""),46052.4025)</f>
        <v>46052.4025</v>
      </c>
      <c r="V2407" s="211" t="str">
        <f>IFERROR(__xludf.DUMMYFUNCTION("""COMPUTED_VALUE"""),"Sumber Kembar, Wonodadi, Kec. Kutorejo, Kabupaten Mojokerto, Jawa Timur")</f>
        <v>Sumber Kembar, Wonodadi, Kec. Kutorejo, Kabupaten Mojokerto, Jawa Timur</v>
      </c>
      <c r="W2407" s="211" t="str">
        <f>IFERROR(__xludf.DUMMYFUNCTION("""COMPUTED_VALUE"""),"OUT")</f>
        <v>OUT</v>
      </c>
      <c r="X2407" s="211"/>
    </row>
    <row r="2408">
      <c r="A2408" s="210" t="str">
        <f>IFERROR(__xludf.DUMMYFUNCTION("""COMPUTED_VALUE"""),"1250793")</f>
        <v>1250793</v>
      </c>
      <c r="B2408" s="210" t="str">
        <f>IFERROR(__xludf.DUMMYFUNCTION("""COMPUTED_VALUE"""),"1250793")</f>
        <v>1250793</v>
      </c>
      <c r="C2408" s="213">
        <f>IFERROR(__xludf.DUMMYFUNCTION("""COMPUTED_VALUE"""),45974.628969907404)</f>
        <v>45974.62897</v>
      </c>
      <c r="D2408" s="211" t="str">
        <f>IFERROR(__xludf.DUMMYFUNCTION("""COMPUTED_VALUE"""),"01158be1")</f>
        <v>01158be1</v>
      </c>
      <c r="E2408" s="211" t="str">
        <f>IFERROR(__xludf.DUMMYFUNCTION("""COMPUTED_VALUE"""),"GYF")</f>
        <v>GYF</v>
      </c>
      <c r="F2408" s="211" t="str">
        <f>IFERROR(__xludf.DUMMYFUNCTION("""COMPUTED_VALUE"""),"7d2764f1")</f>
        <v>7d2764f1</v>
      </c>
      <c r="G2408" s="211" t="str">
        <f>IFERROR(__xludf.DUMMYFUNCTION("""COMPUTED_VALUE"""),"Oksigen 7m3")</f>
        <v>Oksigen 7m3</v>
      </c>
      <c r="H2408" s="211" t="str">
        <f>IFERROR(__xludf.DUMMYFUNCTION("""COMPUTED_VALUE"""),"IN")</f>
        <v>IN</v>
      </c>
      <c r="I2408" s="211" t="str">
        <f>IFERROR(__xludf.DUMMYFUNCTION("""COMPUTED_VALUE"""),"EMPTY")</f>
        <v>EMPTY</v>
      </c>
      <c r="J2408" s="211">
        <f>IFERROR(__xludf.DUMMYFUNCTION("""COMPUTED_VALUE"""),3.0)</f>
        <v>3</v>
      </c>
      <c r="K2408" s="210" t="str">
        <f>IFERROR(__xludf.DUMMYFUNCTION("""COMPUTED_VALUE"""),"11149 11178 11227")</f>
        <v>11149 11178 11227</v>
      </c>
      <c r="L2408" s="211">
        <f>IFERROR(__xludf.DUMMYFUNCTION("""COMPUTED_VALUE"""),0.0)</f>
        <v>0</v>
      </c>
      <c r="M2408" s="211"/>
      <c r="N2408" s="211"/>
      <c r="O2408" s="211"/>
      <c r="Q2408" s="210" t="str">
        <f>IFERROR(__xludf.DUMMYFUNCTION("""COMPUTED_VALUE"""),"0126102408")</f>
        <v>0126102408</v>
      </c>
      <c r="R2408" s="210" t="str">
        <f>IFERROR(__xludf.DUMMYFUNCTION("""COMPUTED_VALUE"""),"0126102408")</f>
        <v>0126102408</v>
      </c>
      <c r="S2408" s="211" t="str">
        <f>IFERROR(__xludf.DUMMYFUNCTION("""COMPUTED_VALUE"""),"ba97d58d")</f>
        <v>ba97d58d</v>
      </c>
      <c r="T2408" s="211" t="str">
        <f>IFERROR(__xludf.DUMMYFUNCTION("""COMPUTED_VALUE"""),"Bengkel Citra Mojosari")</f>
        <v>Bengkel Citra Mojosari</v>
      </c>
      <c r="U2408" s="215">
        <f>IFERROR(__xludf.DUMMYFUNCTION("""COMPUTED_VALUE"""),46052.40484953704)</f>
        <v>46052.40485</v>
      </c>
      <c r="V2408" s="211" t="str">
        <f>IFERROR(__xludf.DUMMYFUNCTION("""COMPUTED_VALUE"""),"Jl. Raden Wijaya, Kemloko, Jotangan, Kec. Mojosari, Kabupaten Mojokerto, Jawa Timur 61382")</f>
        <v>Jl. Raden Wijaya, Kemloko, Jotangan, Kec. Mojosari, Kabupaten Mojokerto, Jawa Timur 61382</v>
      </c>
      <c r="W2408" s="211" t="str">
        <f>IFERROR(__xludf.DUMMYFUNCTION("""COMPUTED_VALUE"""),"OUT")</f>
        <v>OUT</v>
      </c>
      <c r="X2408" s="211"/>
    </row>
    <row r="2409">
      <c r="A2409" s="210" t="str">
        <f>IFERROR(__xludf.DUMMYFUNCTION("""COMPUTED_VALUE"""),"1250782")</f>
        <v>1250782</v>
      </c>
      <c r="B2409" s="210" t="str">
        <f>IFERROR(__xludf.DUMMYFUNCTION("""COMPUTED_VALUE"""),"1250782")</f>
        <v>1250782</v>
      </c>
      <c r="C2409" s="213">
        <f>IFERROR(__xludf.DUMMYFUNCTION("""COMPUTED_VALUE"""),45974.65892361111)</f>
        <v>45974.65892</v>
      </c>
      <c r="D2409" s="211" t="str">
        <f>IFERROR(__xludf.DUMMYFUNCTION("""COMPUTED_VALUE"""),"ec231cc9")</f>
        <v>ec231cc9</v>
      </c>
      <c r="E2409" s="211" t="str">
        <f>IFERROR(__xludf.DUMMYFUNCTION("""COMPUTED_VALUE"""),"Bpk. Kohir (Maintenance Velg)")</f>
        <v>Bpk. Kohir (Maintenance Velg)</v>
      </c>
      <c r="F2409" s="211" t="str">
        <f>IFERROR(__xludf.DUMMYFUNCTION("""COMPUTED_VALUE"""),"8bdbe149")</f>
        <v>8bdbe149</v>
      </c>
      <c r="G2409" s="211" t="str">
        <f>IFERROR(__xludf.DUMMYFUNCTION("""COMPUTED_VALUE"""),"Oksigen 6m3")</f>
        <v>Oksigen 6m3</v>
      </c>
      <c r="H2409" s="211" t="str">
        <f>IFERROR(__xludf.DUMMYFUNCTION("""COMPUTED_VALUE"""),"IN")</f>
        <v>IN</v>
      </c>
      <c r="I2409" s="211" t="str">
        <f>IFERROR(__xludf.DUMMYFUNCTION("""COMPUTED_VALUE"""),"EMPTY")</f>
        <v>EMPTY</v>
      </c>
      <c r="J2409" s="211">
        <f>IFERROR(__xludf.DUMMYFUNCTION("""COMPUTED_VALUE"""),1.0)</f>
        <v>1</v>
      </c>
      <c r="K2409" s="210" t="str">
        <f>IFERROR(__xludf.DUMMYFUNCTION("""COMPUTED_VALUE"""),"11194")</f>
        <v>11194</v>
      </c>
      <c r="L2409" s="211">
        <f>IFERROR(__xludf.DUMMYFUNCTION("""COMPUTED_VALUE"""),0.0)</f>
        <v>0</v>
      </c>
      <c r="M2409" s="211"/>
      <c r="N2409" s="211"/>
      <c r="O2409" s="211"/>
      <c r="Q2409" s="210" t="str">
        <f>IFERROR(__xludf.DUMMYFUNCTION("""COMPUTED_VALUE"""),"1261177")</f>
        <v>1261177</v>
      </c>
      <c r="R2409" s="210" t="str">
        <f>IFERROR(__xludf.DUMMYFUNCTION("""COMPUTED_VALUE"""),"1261177")</f>
        <v>1261177</v>
      </c>
      <c r="S2409" s="211" t="str">
        <f>IFERROR(__xludf.DUMMYFUNCTION("""COMPUTED_VALUE"""),"057b6b99")</f>
        <v>057b6b99</v>
      </c>
      <c r="T2409" s="211" t="str">
        <f>IFERROR(__xludf.DUMMYFUNCTION("""COMPUTED_VALUE"""),"PT Anuta Utama Transport")</f>
        <v>PT Anuta Utama Transport</v>
      </c>
      <c r="U2409" s="215">
        <f>IFERROR(__xludf.DUMMYFUNCTION("""COMPUTED_VALUE"""),46052.44626157408)</f>
        <v>46052.44626</v>
      </c>
      <c r="V2409" s="211" t="str">
        <f>IFERROR(__xludf.DUMMYFUNCTION("""COMPUTED_VALUE"""),"Jl Raya ketimang KM 10, Kec. Wonoayu, Kab. Sidoarjo, Jawa Timur")</f>
        <v>Jl Raya ketimang KM 10, Kec. Wonoayu, Kab. Sidoarjo, Jawa Timur</v>
      </c>
      <c r="W2409" s="211" t="str">
        <f>IFERROR(__xludf.DUMMYFUNCTION("""COMPUTED_VALUE"""),"IN")</f>
        <v>IN</v>
      </c>
      <c r="X2409" s="211"/>
    </row>
    <row r="2410">
      <c r="A2410" s="210" t="str">
        <f>IFERROR(__xludf.DUMMYFUNCTION("""COMPUTED_VALUE"""),"1250782")</f>
        <v>1250782</v>
      </c>
      <c r="B2410" s="210" t="str">
        <f>IFERROR(__xludf.DUMMYFUNCTION("""COMPUTED_VALUE"""),"1250782")</f>
        <v>1250782</v>
      </c>
      <c r="C2410" s="213">
        <f>IFERROR(__xludf.DUMMYFUNCTION("""COMPUTED_VALUE"""),45974.65892361111)</f>
        <v>45974.65892</v>
      </c>
      <c r="D2410" s="211" t="str">
        <f>IFERROR(__xludf.DUMMYFUNCTION("""COMPUTED_VALUE"""),"ec231cc9")</f>
        <v>ec231cc9</v>
      </c>
      <c r="E2410" s="211" t="str">
        <f>IFERROR(__xludf.DUMMYFUNCTION("""COMPUTED_VALUE"""),"Bpk. Kohir (Maintenance Velg)")</f>
        <v>Bpk. Kohir (Maintenance Velg)</v>
      </c>
      <c r="F2410" s="211" t="str">
        <f>IFERROR(__xludf.DUMMYFUNCTION("""COMPUTED_VALUE"""),"ef306e54")</f>
        <v>ef306e54</v>
      </c>
      <c r="G2410" s="211" t="str">
        <f>IFERROR(__xludf.DUMMYFUNCTION("""COMPUTED_VALUE"""),"Karbondioksida")</f>
        <v>Karbondioksida</v>
      </c>
      <c r="H2410" s="211" t="str">
        <f>IFERROR(__xludf.DUMMYFUNCTION("""COMPUTED_VALUE"""),"IN")</f>
        <v>IN</v>
      </c>
      <c r="I2410" s="211" t="str">
        <f>IFERROR(__xludf.DUMMYFUNCTION("""COMPUTED_VALUE"""),"EMPTY")</f>
        <v>EMPTY</v>
      </c>
      <c r="J2410" s="211">
        <f>IFERROR(__xludf.DUMMYFUNCTION("""COMPUTED_VALUE"""),1.0)</f>
        <v>1</v>
      </c>
      <c r="K2410" s="210" t="str">
        <f>IFERROR(__xludf.DUMMYFUNCTION("""COMPUTED_VALUE"""),"13032")</f>
        <v>13032</v>
      </c>
      <c r="L2410" s="211">
        <f>IFERROR(__xludf.DUMMYFUNCTION("""COMPUTED_VALUE"""),0.0)</f>
        <v>0</v>
      </c>
      <c r="M2410" s="211"/>
      <c r="N2410" s="211"/>
      <c r="O2410" s="211"/>
      <c r="Q2410" s="210" t="str">
        <f>IFERROR(__xludf.DUMMYFUNCTION("""COMPUTED_VALUE"""),"1261176")</f>
        <v>1261176</v>
      </c>
      <c r="R2410" s="210" t="str">
        <f>IFERROR(__xludf.DUMMYFUNCTION("""COMPUTED_VALUE"""),"1261176")</f>
        <v>1261176</v>
      </c>
      <c r="S2410" s="211" t="str">
        <f>IFERROR(__xludf.DUMMYFUNCTION("""COMPUTED_VALUE"""),"440df1db")</f>
        <v>440df1db</v>
      </c>
      <c r="T2410" s="211" t="str">
        <f>IFERROR(__xludf.DUMMYFUNCTION("""COMPUTED_VALUE"""),"PT. Mecca Abadi Sejahtera")</f>
        <v>PT. Mecca Abadi Sejahtera</v>
      </c>
      <c r="U2410" s="215">
        <f>IFERROR(__xludf.DUMMYFUNCTION("""COMPUTED_VALUE"""),46052.44724537037)</f>
        <v>46052.44725</v>
      </c>
      <c r="V2410" s="211" t="str">
        <f>IFERROR(__xludf.DUMMYFUNCTION("""COMPUTED_VALUE"""),"Jl. Raya Sawocangkring, RT.006/RW.002, Sawo, Sawocangkring, Kec. Wonoayu, Kabupaten Sidoarjo, Jawa Timur 61261")</f>
        <v>Jl. Raya Sawocangkring, RT.006/RW.002, Sawo, Sawocangkring, Kec. Wonoayu, Kabupaten Sidoarjo, Jawa Timur 61261</v>
      </c>
      <c r="W2410" s="211" t="str">
        <f>IFERROR(__xludf.DUMMYFUNCTION("""COMPUTED_VALUE"""),"IN")</f>
        <v>IN</v>
      </c>
      <c r="X2410" s="211"/>
    </row>
    <row r="2411">
      <c r="A2411" s="210" t="str">
        <f>IFERROR(__xludf.DUMMYFUNCTION("""COMPUTED_VALUE"""),"1125391704")</f>
        <v>1125391704</v>
      </c>
      <c r="B2411" s="210" t="str">
        <f>IFERROR(__xludf.DUMMYFUNCTION("""COMPUTED_VALUE"""),"1125391704")</f>
        <v>1125391704</v>
      </c>
      <c r="C2411" s="213">
        <f>IFERROR(__xludf.DUMMYFUNCTION("""COMPUTED_VALUE"""),45974.68707175926)</f>
        <v>45974.68707</v>
      </c>
      <c r="D2411" s="211" t="str">
        <f>IFERROR(__xludf.DUMMYFUNCTION("""COMPUTED_VALUE"""),"b2b5f2c5")</f>
        <v>b2b5f2c5</v>
      </c>
      <c r="E2411" s="211" t="str">
        <f>IFERROR(__xludf.DUMMYFUNCTION("""COMPUTED_VALUE"""),"Bengkel Las Bpk. Ari")</f>
        <v>Bengkel Las Bpk. Ari</v>
      </c>
      <c r="F2411" s="211" t="str">
        <f>IFERROR(__xludf.DUMMYFUNCTION("""COMPUTED_VALUE"""),"ef306e54")</f>
        <v>ef306e54</v>
      </c>
      <c r="G2411" s="211" t="str">
        <f>IFERROR(__xludf.DUMMYFUNCTION("""COMPUTED_VALUE"""),"Karbondioksida")</f>
        <v>Karbondioksida</v>
      </c>
      <c r="H2411" s="211" t="str">
        <f>IFERROR(__xludf.DUMMYFUNCTION("""COMPUTED_VALUE"""),"OUT")</f>
        <v>OUT</v>
      </c>
      <c r="I2411" s="211" t="str">
        <f>IFERROR(__xludf.DUMMYFUNCTION("""COMPUTED_VALUE"""),"NORMAL")</f>
        <v>NORMAL</v>
      </c>
      <c r="J2411" s="211">
        <f>IFERROR(__xludf.DUMMYFUNCTION("""COMPUTED_VALUE"""),2.0)</f>
        <v>2</v>
      </c>
      <c r="K2411" s="210" t="str">
        <f>IFERROR(__xludf.DUMMYFUNCTION("""COMPUTED_VALUE"""),"13020 13040")</f>
        <v>13020 13040</v>
      </c>
      <c r="L2411" s="211">
        <f>IFERROR(__xludf.DUMMYFUNCTION("""COMPUTED_VALUE"""),170000.0)</f>
        <v>170000</v>
      </c>
      <c r="M2411" s="211"/>
      <c r="N2411" s="211"/>
      <c r="O2411" s="211"/>
      <c r="Q2411" s="210" t="str">
        <f>IFERROR(__xludf.DUMMYFUNCTION("""COMPUTED_VALUE"""),"0126412409")</f>
        <v>0126412409</v>
      </c>
      <c r="R2411" s="210" t="str">
        <f>IFERROR(__xludf.DUMMYFUNCTION("""COMPUTED_VALUE"""),"0126412409")</f>
        <v>0126412409</v>
      </c>
      <c r="S2411" s="211" t="str">
        <f>IFERROR(__xludf.DUMMYFUNCTION("""COMPUTED_VALUE"""),"ec231cc9")</f>
        <v>ec231cc9</v>
      </c>
      <c r="T2411" s="211" t="str">
        <f>IFERROR(__xludf.DUMMYFUNCTION("""COMPUTED_VALUE"""),"Bpk. Kohir (Maintenance Velg)")</f>
        <v>Bpk. Kohir (Maintenance Velg)</v>
      </c>
      <c r="U2411" s="215">
        <f>IFERROR(__xludf.DUMMYFUNCTION("""COMPUTED_VALUE"""),46052.5399537037)</f>
        <v>46052.53995</v>
      </c>
      <c r="V2411" s="211" t="str">
        <f>IFERROR(__xludf.DUMMYFUNCTION("""COMPUTED_VALUE"""),"Jl. Lkr. Bypass Krian Timur, Sidogolong, Watugolong, Kec. Krian, Kabupaten Sidoarjo, Jawa Timur 61262")</f>
        <v>Jl. Lkr. Bypass Krian Timur, Sidogolong, Watugolong, Kec. Krian, Kabupaten Sidoarjo, Jawa Timur 61262</v>
      </c>
      <c r="W2411" s="211" t="str">
        <f>IFERROR(__xludf.DUMMYFUNCTION("""COMPUTED_VALUE"""),"OUT")</f>
        <v>OUT</v>
      </c>
      <c r="X2411" s="211"/>
    </row>
    <row r="2412">
      <c r="A2412" s="210" t="str">
        <f>IFERROR(__xludf.DUMMYFUNCTION("""COMPUTED_VALUE"""),"1125391704")</f>
        <v>1125391704</v>
      </c>
      <c r="B2412" s="210" t="str">
        <f>IFERROR(__xludf.DUMMYFUNCTION("""COMPUTED_VALUE"""),"1125391704")</f>
        <v>1125391704</v>
      </c>
      <c r="C2412" s="213">
        <f>IFERROR(__xludf.DUMMYFUNCTION("""COMPUTED_VALUE"""),45975.34027777778)</f>
        <v>45975.34028</v>
      </c>
      <c r="D2412" s="211" t="str">
        <f>IFERROR(__xludf.DUMMYFUNCTION("""COMPUTED_VALUE"""),"b2b5f2c5")</f>
        <v>b2b5f2c5</v>
      </c>
      <c r="E2412" s="211" t="str">
        <f>IFERROR(__xludf.DUMMYFUNCTION("""COMPUTED_VALUE"""),"Bengkel Las Bpk. Ari")</f>
        <v>Bengkel Las Bpk. Ari</v>
      </c>
      <c r="F2412" s="211" t="str">
        <f>IFERROR(__xludf.DUMMYFUNCTION("""COMPUTED_VALUE"""),"8bdbe149")</f>
        <v>8bdbe149</v>
      </c>
      <c r="G2412" s="211" t="str">
        <f>IFERROR(__xludf.DUMMYFUNCTION("""COMPUTED_VALUE"""),"Oksigen 6m3")</f>
        <v>Oksigen 6m3</v>
      </c>
      <c r="H2412" s="211" t="str">
        <f>IFERROR(__xludf.DUMMYFUNCTION("""COMPUTED_VALUE"""),"OUT")</f>
        <v>OUT</v>
      </c>
      <c r="I2412" s="211" t="str">
        <f>IFERROR(__xludf.DUMMYFUNCTION("""COMPUTED_VALUE"""),"NORMAL")</f>
        <v>NORMAL</v>
      </c>
      <c r="J2412" s="211">
        <f>IFERROR(__xludf.DUMMYFUNCTION("""COMPUTED_VALUE"""),8.0)</f>
        <v>8</v>
      </c>
      <c r="K2412" s="210" t="str">
        <f>IFERROR(__xludf.DUMMYFUNCTION("""COMPUTED_VALUE"""),"1102 1116 11104 1157 11132 11205 11258 11206")</f>
        <v>1102 1116 11104 1157 11132 11205 11258 11206</v>
      </c>
      <c r="L2412" s="211">
        <f>IFERROR(__xludf.DUMMYFUNCTION("""COMPUTED_VALUE"""),60000.0)</f>
        <v>60000</v>
      </c>
      <c r="M2412" s="211"/>
      <c r="N2412" s="211"/>
      <c r="O2412" s="211"/>
      <c r="Q2412" s="210" t="str">
        <f>IFERROR(__xludf.DUMMYFUNCTION("""COMPUTED_VALUE"""),"012612412")</f>
        <v>012612412</v>
      </c>
      <c r="R2412" s="210" t="str">
        <f>IFERROR(__xludf.DUMMYFUNCTION("""COMPUTED_VALUE"""),"012612412")</f>
        <v>012612412</v>
      </c>
      <c r="S2412" s="211" t="str">
        <f>IFERROR(__xludf.DUMMYFUNCTION("""COMPUTED_VALUE"""),"cac4449f")</f>
        <v>cac4449f</v>
      </c>
      <c r="T2412" s="211" t="str">
        <f>IFERROR(__xludf.DUMMYFUNCTION("""COMPUTED_VALUE"""),"Bpk. Agus Yahya")</f>
        <v>Bpk. Agus Yahya</v>
      </c>
      <c r="U2412" s="215">
        <f>IFERROR(__xludf.DUMMYFUNCTION("""COMPUTED_VALUE"""),46052.589479166665)</f>
        <v>46052.58948</v>
      </c>
      <c r="V2412" s="211" t="str">
        <f>IFERROR(__xludf.DUMMYFUNCTION("""COMPUTED_VALUE"""),"Ds. Kendalsari 03/02 Sumobito Jombang Jawa Timur")</f>
        <v>Ds. Kendalsari 03/02 Sumobito Jombang Jawa Timur</v>
      </c>
      <c r="W2412" s="211" t="str">
        <f>IFERROR(__xludf.DUMMYFUNCTION("""COMPUTED_VALUE"""),"OUT")</f>
        <v>OUT</v>
      </c>
      <c r="X2412" s="211"/>
    </row>
    <row r="2413">
      <c r="A2413" s="210" t="str">
        <f>IFERROR(__xludf.DUMMYFUNCTION("""COMPUTED_VALUE"""),"112511708")</f>
        <v>112511708</v>
      </c>
      <c r="B2413" s="210" t="str">
        <f>IFERROR(__xludf.DUMMYFUNCTION("""COMPUTED_VALUE"""),"112511708")</f>
        <v>112511708</v>
      </c>
      <c r="C2413" s="213">
        <f>IFERROR(__xludf.DUMMYFUNCTION("""COMPUTED_VALUE"""),45975.36054398148)</f>
        <v>45975.36054</v>
      </c>
      <c r="D2413" s="211" t="str">
        <f>IFERROR(__xludf.DUMMYFUNCTION("""COMPUTED_VALUE"""),"58b72e0c")</f>
        <v>58b72e0c</v>
      </c>
      <c r="E2413" s="211" t="str">
        <f>IFERROR(__xludf.DUMMYFUNCTION("""COMPUTED_VALUE"""),"UD. Ais Jaya")</f>
        <v>UD. Ais Jaya</v>
      </c>
      <c r="F2413" s="211" t="str">
        <f>IFERROR(__xludf.DUMMYFUNCTION("""COMPUTED_VALUE"""),"7d2764f1")</f>
        <v>7d2764f1</v>
      </c>
      <c r="G2413" s="211" t="str">
        <f>IFERROR(__xludf.DUMMYFUNCTION("""COMPUTED_VALUE"""),"Oksigen 7m3")</f>
        <v>Oksigen 7m3</v>
      </c>
      <c r="H2413" s="211" t="str">
        <f>IFERROR(__xludf.DUMMYFUNCTION("""COMPUTED_VALUE"""),"OUT")</f>
        <v>OUT</v>
      </c>
      <c r="I2413" s="211" t="str">
        <f>IFERROR(__xludf.DUMMYFUNCTION("""COMPUTED_VALUE"""),"NORMAL")</f>
        <v>NORMAL</v>
      </c>
      <c r="J2413" s="211">
        <f>IFERROR(__xludf.DUMMYFUNCTION("""COMPUTED_VALUE"""),2.0)</f>
        <v>2</v>
      </c>
      <c r="K2413" s="210" t="str">
        <f>IFERROR(__xludf.DUMMYFUNCTION("""COMPUTED_VALUE"""),"11142 11168")</f>
        <v>11142 11168</v>
      </c>
      <c r="L2413" s="211">
        <f>IFERROR(__xludf.DUMMYFUNCTION("""COMPUTED_VALUE"""),60000.0)</f>
        <v>60000</v>
      </c>
      <c r="M2413" s="211"/>
      <c r="N2413" s="211"/>
      <c r="O2413" s="211"/>
      <c r="Q2413" s="210" t="str">
        <f>IFERROR(__xludf.DUMMYFUNCTION("""COMPUTED_VALUE"""),"1261179")</f>
        <v>1261179</v>
      </c>
      <c r="R2413" s="210" t="str">
        <f>IFERROR(__xludf.DUMMYFUNCTION("""COMPUTED_VALUE"""),"1261179")</f>
        <v>1261179</v>
      </c>
      <c r="S2413" s="211" t="str">
        <f>IFERROR(__xludf.DUMMYFUNCTION("""COMPUTED_VALUE"""),"b2b5f2c5")</f>
        <v>b2b5f2c5</v>
      </c>
      <c r="T2413" s="211" t="str">
        <f>IFERROR(__xludf.DUMMYFUNCTION("""COMPUTED_VALUE"""),"Bengkel Las Bpk. Ari")</f>
        <v>Bengkel Las Bpk. Ari</v>
      </c>
      <c r="U2413" s="215">
        <f>IFERROR(__xludf.DUMMYFUNCTION("""COMPUTED_VALUE"""),46052.66863425926)</f>
        <v>46052.66863</v>
      </c>
      <c r="V2413" s="211" t="str">
        <f>IFERROR(__xludf.DUMMYFUNCTION("""COMPUTED_VALUE"""),"Sumber Kembar, Wonodadi, Kec. Kutorejo, Kabupaten Mojokerto, Jawa Timur")</f>
        <v>Sumber Kembar, Wonodadi, Kec. Kutorejo, Kabupaten Mojokerto, Jawa Timur</v>
      </c>
      <c r="W2413" s="211" t="str">
        <f>IFERROR(__xludf.DUMMYFUNCTION("""COMPUTED_VALUE"""),"IN")</f>
        <v>IN</v>
      </c>
      <c r="X2413" s="211"/>
    </row>
    <row r="2414">
      <c r="A2414" s="210" t="str">
        <f>IFERROR(__xludf.DUMMYFUNCTION("""COMPUTED_VALUE"""),"112541709")</f>
        <v>112541709</v>
      </c>
      <c r="B2414" s="210" t="str">
        <f>IFERROR(__xludf.DUMMYFUNCTION("""COMPUTED_VALUE"""),"112541709")</f>
        <v>112541709</v>
      </c>
      <c r="C2414" s="213">
        <f>IFERROR(__xludf.DUMMYFUNCTION("""COMPUTED_VALUE"""),45975.36082175926)</f>
        <v>45975.36082</v>
      </c>
      <c r="D2414" s="211" t="str">
        <f>IFERROR(__xludf.DUMMYFUNCTION("""COMPUTED_VALUE"""),"45d814b4")</f>
        <v>45d814b4</v>
      </c>
      <c r="E2414" s="211" t="str">
        <f>IFERROR(__xludf.DUMMYFUNCTION("""COMPUTED_VALUE"""),"Bpk. Joko (Ponokawan)")</f>
        <v>Bpk. Joko (Ponokawan)</v>
      </c>
      <c r="F2414" s="211" t="str">
        <f>IFERROR(__xludf.DUMMYFUNCTION("""COMPUTED_VALUE"""),"8bdbe149")</f>
        <v>8bdbe149</v>
      </c>
      <c r="G2414" s="211" t="str">
        <f>IFERROR(__xludf.DUMMYFUNCTION("""COMPUTED_VALUE"""),"Oksigen 6m3")</f>
        <v>Oksigen 6m3</v>
      </c>
      <c r="H2414" s="211" t="str">
        <f>IFERROR(__xludf.DUMMYFUNCTION("""COMPUTED_VALUE"""),"OUT")</f>
        <v>OUT</v>
      </c>
      <c r="I2414" s="211" t="str">
        <f>IFERROR(__xludf.DUMMYFUNCTION("""COMPUTED_VALUE"""),"NORMAL")</f>
        <v>NORMAL</v>
      </c>
      <c r="J2414" s="211">
        <f>IFERROR(__xludf.DUMMYFUNCTION("""COMPUTED_VALUE"""),1.0)</f>
        <v>1</v>
      </c>
      <c r="K2414" s="210" t="str">
        <f>IFERROR(__xludf.DUMMYFUNCTION("""COMPUTED_VALUE"""),"1194")</f>
        <v>1194</v>
      </c>
      <c r="L2414" s="211">
        <f>IFERROR(__xludf.DUMMYFUNCTION("""COMPUTED_VALUE"""),60000.0)</f>
        <v>60000</v>
      </c>
      <c r="M2414" s="211"/>
      <c r="N2414" s="211"/>
      <c r="O2414" s="211"/>
      <c r="Q2414" s="210" t="str">
        <f>IFERROR(__xludf.DUMMYFUNCTION("""COMPUTED_VALUE"""),"1261178")</f>
        <v>1261178</v>
      </c>
      <c r="R2414" s="210" t="str">
        <f>IFERROR(__xludf.DUMMYFUNCTION("""COMPUTED_VALUE"""),"1261178")</f>
        <v>1261178</v>
      </c>
      <c r="S2414" s="211" t="str">
        <f>IFERROR(__xludf.DUMMYFUNCTION("""COMPUTED_VALUE"""),"ba97d58d")</f>
        <v>ba97d58d</v>
      </c>
      <c r="T2414" s="211" t="str">
        <f>IFERROR(__xludf.DUMMYFUNCTION("""COMPUTED_VALUE"""),"Bengkel Citra Mojosari")</f>
        <v>Bengkel Citra Mojosari</v>
      </c>
      <c r="U2414" s="215">
        <f>IFERROR(__xludf.DUMMYFUNCTION("""COMPUTED_VALUE"""),46052.66952546296)</f>
        <v>46052.66953</v>
      </c>
      <c r="V2414" s="211" t="str">
        <f>IFERROR(__xludf.DUMMYFUNCTION("""COMPUTED_VALUE"""),"Jl. Raden Wijaya, Kemloko, Jotangan, Kec. Mojosari, Kabupaten Mojokerto, Jawa Timur 61382")</f>
        <v>Jl. Raden Wijaya, Kemloko, Jotangan, Kec. Mojosari, Kabupaten Mojokerto, Jawa Timur 61382</v>
      </c>
      <c r="W2414" s="211" t="str">
        <f>IFERROR(__xludf.DUMMYFUNCTION("""COMPUTED_VALUE"""),"IN")</f>
        <v>IN</v>
      </c>
      <c r="X2414" s="211"/>
    </row>
    <row r="2415">
      <c r="A2415" s="210" t="str">
        <f>IFERROR(__xludf.DUMMYFUNCTION("""COMPUTED_VALUE"""),"1125221710")</f>
        <v>1125221710</v>
      </c>
      <c r="B2415" s="210" t="str">
        <f>IFERROR(__xludf.DUMMYFUNCTION("""COMPUTED_VALUE"""),"1125221710")</f>
        <v>1125221710</v>
      </c>
      <c r="C2415" s="213">
        <f>IFERROR(__xludf.DUMMYFUNCTION("""COMPUTED_VALUE"""),45975.36162037037)</f>
        <v>45975.36162</v>
      </c>
      <c r="D2415" s="211" t="str">
        <f>IFERROR(__xludf.DUMMYFUNCTION("""COMPUTED_VALUE"""),"7b9d8eba")</f>
        <v>7b9d8eba</v>
      </c>
      <c r="E2415" s="211" t="str">
        <f>IFERROR(__xludf.DUMMYFUNCTION("""COMPUTED_VALUE"""),"PT PELANGI INDOKARYA")</f>
        <v>PT PELANGI INDOKARYA</v>
      </c>
      <c r="F2415" s="211" t="str">
        <f>IFERROR(__xludf.DUMMYFUNCTION("""COMPUTED_VALUE"""),"8bdbe149")</f>
        <v>8bdbe149</v>
      </c>
      <c r="G2415" s="211" t="str">
        <f>IFERROR(__xludf.DUMMYFUNCTION("""COMPUTED_VALUE"""),"Oksigen 6m3")</f>
        <v>Oksigen 6m3</v>
      </c>
      <c r="H2415" s="211" t="str">
        <f>IFERROR(__xludf.DUMMYFUNCTION("""COMPUTED_VALUE"""),"OUT")</f>
        <v>OUT</v>
      </c>
      <c r="I2415" s="211" t="str">
        <f>IFERROR(__xludf.DUMMYFUNCTION("""COMPUTED_VALUE"""),"NORMAL")</f>
        <v>NORMAL</v>
      </c>
      <c r="J2415" s="211">
        <f>IFERROR(__xludf.DUMMYFUNCTION("""COMPUTED_VALUE"""),3.0)</f>
        <v>3</v>
      </c>
      <c r="K2415" s="210" t="str">
        <f>IFERROR(__xludf.DUMMYFUNCTION("""COMPUTED_VALUE"""),"11202 1191 1112")</f>
        <v>11202 1191 1112</v>
      </c>
      <c r="L2415" s="211">
        <f>IFERROR(__xludf.DUMMYFUNCTION("""COMPUTED_VALUE"""),60000.0)</f>
        <v>60000</v>
      </c>
      <c r="M2415" s="211"/>
      <c r="N2415" s="211"/>
      <c r="O2415" s="211"/>
      <c r="Q2415" s="210" t="str">
        <f>IFERROR(__xludf.DUMMYFUNCTION("""COMPUTED_VALUE"""),"0126392413")</f>
        <v>0126392413</v>
      </c>
      <c r="R2415" s="210" t="str">
        <f>IFERROR(__xludf.DUMMYFUNCTION("""COMPUTED_VALUE"""),"0126392413")</f>
        <v>0126392413</v>
      </c>
      <c r="S2415" s="211" t="str">
        <f>IFERROR(__xludf.DUMMYFUNCTION("""COMPUTED_VALUE"""),"ce83e171")</f>
        <v>ce83e171</v>
      </c>
      <c r="T2415" s="211" t="str">
        <f>IFERROR(__xludf.DUMMYFUNCTION("""COMPUTED_VALUE"""),"Bpk. Sulaiman")</f>
        <v>Bpk. Sulaiman</v>
      </c>
      <c r="U2415" s="215">
        <f>IFERROR(__xludf.DUMMYFUNCTION("""COMPUTED_VALUE"""),46053.33771990741)</f>
        <v>46053.33772</v>
      </c>
      <c r="V2415" s="211" t="str">
        <f>IFERROR(__xludf.DUMMYFUNCTION("""COMPUTED_VALUE"""),"Jl. Raya Kramat Temenggung No.43, Kramat, Kramat Temenggung, Kec. Tarik, Kabupaten Sidoarjo, Jawa Timur 61265")</f>
        <v>Jl. Raya Kramat Temenggung No.43, Kramat, Kramat Temenggung, Kec. Tarik, Kabupaten Sidoarjo, Jawa Timur 61265</v>
      </c>
      <c r="W2415" s="211" t="str">
        <f>IFERROR(__xludf.DUMMYFUNCTION("""COMPUTED_VALUE"""),"OUT")</f>
        <v>OUT</v>
      </c>
      <c r="X2415" s="211"/>
    </row>
    <row r="2416">
      <c r="A2416" s="210" t="str">
        <f>IFERROR(__xludf.DUMMYFUNCTION("""COMPUTED_VALUE"""),"1250794")</f>
        <v>1250794</v>
      </c>
      <c r="B2416" s="210" t="str">
        <f>IFERROR(__xludf.DUMMYFUNCTION("""COMPUTED_VALUE"""),"1250794")</f>
        <v>1250794</v>
      </c>
      <c r="C2416" s="213">
        <f>IFERROR(__xludf.DUMMYFUNCTION("""COMPUTED_VALUE"""),45975.42219907408)</f>
        <v>45975.4222</v>
      </c>
      <c r="D2416" s="211" t="str">
        <f>IFERROR(__xludf.DUMMYFUNCTION("""COMPUTED_VALUE"""),"7b9d8eba")</f>
        <v>7b9d8eba</v>
      </c>
      <c r="E2416" s="211" t="str">
        <f>IFERROR(__xludf.DUMMYFUNCTION("""COMPUTED_VALUE"""),"PT PELANGI INDOKARYA")</f>
        <v>PT PELANGI INDOKARYA</v>
      </c>
      <c r="F2416" s="211" t="str">
        <f>IFERROR(__xludf.DUMMYFUNCTION("""COMPUTED_VALUE"""),"8bdbe149")</f>
        <v>8bdbe149</v>
      </c>
      <c r="G2416" s="211" t="str">
        <f>IFERROR(__xludf.DUMMYFUNCTION("""COMPUTED_VALUE"""),"Oksigen 6m3")</f>
        <v>Oksigen 6m3</v>
      </c>
      <c r="H2416" s="211" t="str">
        <f>IFERROR(__xludf.DUMMYFUNCTION("""COMPUTED_VALUE"""),"IN")</f>
        <v>IN</v>
      </c>
      <c r="I2416" s="211" t="str">
        <f>IFERROR(__xludf.DUMMYFUNCTION("""COMPUTED_VALUE"""),"EMPTY")</f>
        <v>EMPTY</v>
      </c>
      <c r="J2416" s="211">
        <f>IFERROR(__xludf.DUMMYFUNCTION("""COMPUTED_VALUE"""),2.0)</f>
        <v>2</v>
      </c>
      <c r="K2416" s="210" t="str">
        <f>IFERROR(__xludf.DUMMYFUNCTION("""COMPUTED_VALUE"""),"1125 1127")</f>
        <v>1125 1127</v>
      </c>
      <c r="L2416" s="211">
        <f>IFERROR(__xludf.DUMMYFUNCTION("""COMPUTED_VALUE"""),0.0)</f>
        <v>0</v>
      </c>
      <c r="M2416" s="211"/>
      <c r="N2416" s="211"/>
      <c r="O2416" s="211"/>
      <c r="Q2416" s="210" t="str">
        <f>IFERROR(__xludf.DUMMYFUNCTION("""COMPUTED_VALUE"""),"0126422416")</f>
        <v>0126422416</v>
      </c>
      <c r="R2416" s="210" t="str">
        <f>IFERROR(__xludf.DUMMYFUNCTION("""COMPUTED_VALUE"""),"0126422416")</f>
        <v>0126422416</v>
      </c>
      <c r="S2416" s="211" t="str">
        <f>IFERROR(__xludf.DUMMYFUNCTION("""COMPUTED_VALUE"""),"ec231cc9")</f>
        <v>ec231cc9</v>
      </c>
      <c r="T2416" s="211" t="str">
        <f>IFERROR(__xludf.DUMMYFUNCTION("""COMPUTED_VALUE"""),"Bpk. Kohir (Maintenance Velg)")</f>
        <v>Bpk. Kohir (Maintenance Velg)</v>
      </c>
      <c r="U2416" s="215">
        <f>IFERROR(__xludf.DUMMYFUNCTION("""COMPUTED_VALUE"""),46053.338113425925)</f>
        <v>46053.33811</v>
      </c>
      <c r="V2416" s="211" t="str">
        <f>IFERROR(__xludf.DUMMYFUNCTION("""COMPUTED_VALUE"""),"Jl. Lkr. Bypass Krian Timur, Sidogolong, Watugolong, Kec. Krian, Kabupaten Sidoarjo, Jawa Timur 61262")</f>
        <v>Jl. Lkr. Bypass Krian Timur, Sidogolong, Watugolong, Kec. Krian, Kabupaten Sidoarjo, Jawa Timur 61262</v>
      </c>
      <c r="W2416" s="211" t="str">
        <f>IFERROR(__xludf.DUMMYFUNCTION("""COMPUTED_VALUE"""),"OUT")</f>
        <v>OUT</v>
      </c>
      <c r="X2416" s="211"/>
    </row>
    <row r="2417">
      <c r="A2417" s="210" t="str">
        <f>IFERROR(__xludf.DUMMYFUNCTION("""COMPUTED_VALUE"""),"1250795")</f>
        <v>1250795</v>
      </c>
      <c r="B2417" s="210" t="str">
        <f>IFERROR(__xludf.DUMMYFUNCTION("""COMPUTED_VALUE"""),"1250795")</f>
        <v>1250795</v>
      </c>
      <c r="C2417" s="213">
        <f>IFERROR(__xludf.DUMMYFUNCTION("""COMPUTED_VALUE"""),45975.42320601852)</f>
        <v>45975.42321</v>
      </c>
      <c r="D2417" s="211" t="str">
        <f>IFERROR(__xludf.DUMMYFUNCTION("""COMPUTED_VALUE"""),"45d814b4")</f>
        <v>45d814b4</v>
      </c>
      <c r="E2417" s="211" t="str">
        <f>IFERROR(__xludf.DUMMYFUNCTION("""COMPUTED_VALUE"""),"Bpk. Joko (Ponokawan)")</f>
        <v>Bpk. Joko (Ponokawan)</v>
      </c>
      <c r="F2417" s="211" t="str">
        <f>IFERROR(__xludf.DUMMYFUNCTION("""COMPUTED_VALUE"""),"8bdbe149")</f>
        <v>8bdbe149</v>
      </c>
      <c r="G2417" s="211" t="str">
        <f>IFERROR(__xludf.DUMMYFUNCTION("""COMPUTED_VALUE"""),"Oksigen 6m3")</f>
        <v>Oksigen 6m3</v>
      </c>
      <c r="H2417" s="211" t="str">
        <f>IFERROR(__xludf.DUMMYFUNCTION("""COMPUTED_VALUE"""),"IN")</f>
        <v>IN</v>
      </c>
      <c r="I2417" s="211" t="str">
        <f>IFERROR(__xludf.DUMMYFUNCTION("""COMPUTED_VALUE"""),"EMPTY")</f>
        <v>EMPTY</v>
      </c>
      <c r="J2417" s="211">
        <f>IFERROR(__xludf.DUMMYFUNCTION("""COMPUTED_VALUE"""),1.0)</f>
        <v>1</v>
      </c>
      <c r="K2417" s="210" t="str">
        <f>IFERROR(__xludf.DUMMYFUNCTION("""COMPUTED_VALUE"""),"11184")</f>
        <v>11184</v>
      </c>
      <c r="L2417" s="211">
        <f>IFERROR(__xludf.DUMMYFUNCTION("""COMPUTED_VALUE"""),0.0)</f>
        <v>0</v>
      </c>
      <c r="M2417" s="211"/>
      <c r="N2417" s="211"/>
      <c r="O2417" s="211"/>
      <c r="Q2417" s="210" t="str">
        <f>IFERROR(__xludf.DUMMYFUNCTION("""COMPUTED_VALUE"""),"012672417")</f>
        <v>012672417</v>
      </c>
      <c r="R2417" s="210" t="str">
        <f>IFERROR(__xludf.DUMMYFUNCTION("""COMPUTED_VALUE"""),"012672417")</f>
        <v>012672417</v>
      </c>
      <c r="S2417" s="211" t="str">
        <f>IFERROR(__xludf.DUMMYFUNCTION("""COMPUTED_VALUE"""),"45d814b4")</f>
        <v>45d814b4</v>
      </c>
      <c r="T2417" s="211" t="str">
        <f>IFERROR(__xludf.DUMMYFUNCTION("""COMPUTED_VALUE"""),"Bpk. Joko (Ponokawan)")</f>
        <v>Bpk. Joko (Ponokawan)</v>
      </c>
      <c r="U2417" s="215">
        <f>IFERROR(__xludf.DUMMYFUNCTION("""COMPUTED_VALUE"""),46053.33898148148)</f>
        <v>46053.33898</v>
      </c>
      <c r="V2417" s="211" t="str">
        <f>IFERROR(__xludf.DUMMYFUNCTION("""COMPUTED_VALUE"""),"Ponokawan, Krian")</f>
        <v>Ponokawan, Krian</v>
      </c>
      <c r="W2417" s="211" t="str">
        <f>IFERROR(__xludf.DUMMYFUNCTION("""COMPUTED_VALUE"""),"OUT")</f>
        <v>OUT</v>
      </c>
      <c r="X2417" s="211"/>
    </row>
    <row r="2418">
      <c r="A2418" s="210" t="str">
        <f>IFERROR(__xludf.DUMMYFUNCTION("""COMPUTED_VALUE"""),"1250783")</f>
        <v>1250783</v>
      </c>
      <c r="B2418" s="210" t="str">
        <f>IFERROR(__xludf.DUMMYFUNCTION("""COMPUTED_VALUE"""),"1250783")</f>
        <v>1250783</v>
      </c>
      <c r="C2418" s="213">
        <f>IFERROR(__xludf.DUMMYFUNCTION("""COMPUTED_VALUE"""),45975.444768518515)</f>
        <v>45975.44477</v>
      </c>
      <c r="D2418" s="211" t="str">
        <f>IFERROR(__xludf.DUMMYFUNCTION("""COMPUTED_VALUE"""),"b2b5f2c5")</f>
        <v>b2b5f2c5</v>
      </c>
      <c r="E2418" s="211" t="str">
        <f>IFERROR(__xludf.DUMMYFUNCTION("""COMPUTED_VALUE"""),"Bengkel Las Bpk. Ari")</f>
        <v>Bengkel Las Bpk. Ari</v>
      </c>
      <c r="F2418" s="211" t="str">
        <f>IFERROR(__xludf.DUMMYFUNCTION("""COMPUTED_VALUE"""),"ef306e54")</f>
        <v>ef306e54</v>
      </c>
      <c r="G2418" s="211" t="str">
        <f>IFERROR(__xludf.DUMMYFUNCTION("""COMPUTED_VALUE"""),"Karbondioksida")</f>
        <v>Karbondioksida</v>
      </c>
      <c r="H2418" s="211" t="str">
        <f>IFERROR(__xludf.DUMMYFUNCTION("""COMPUTED_VALUE"""),"IN")</f>
        <v>IN</v>
      </c>
      <c r="I2418" s="211" t="str">
        <f>IFERROR(__xludf.DUMMYFUNCTION("""COMPUTED_VALUE"""),"EMPTY")</f>
        <v>EMPTY</v>
      </c>
      <c r="J2418" s="211">
        <f>IFERROR(__xludf.DUMMYFUNCTION("""COMPUTED_VALUE"""),3.0)</f>
        <v>3</v>
      </c>
      <c r="K2418" s="210" t="str">
        <f>IFERROR(__xludf.DUMMYFUNCTION("""COMPUTED_VALUE"""),"13037 13031 13008")</f>
        <v>13037 13031 13008</v>
      </c>
      <c r="L2418" s="211">
        <f>IFERROR(__xludf.DUMMYFUNCTION("""COMPUTED_VALUE"""),0.0)</f>
        <v>0</v>
      </c>
      <c r="M2418" s="211"/>
      <c r="N2418" s="211"/>
      <c r="O2418" s="211"/>
      <c r="Q2418" s="210" t="str">
        <f>IFERROR(__xludf.DUMMYFUNCTION("""COMPUTED_VALUE"""),"0126792418")</f>
        <v>0126792418</v>
      </c>
      <c r="R2418" s="210" t="str">
        <f>IFERROR(__xludf.DUMMYFUNCTION("""COMPUTED_VALUE"""),"0126792418")</f>
        <v>0126792418</v>
      </c>
      <c r="S2418" s="211" t="str">
        <f>IFERROR(__xludf.DUMMYFUNCTION("""COMPUTED_VALUE"""),"b2b5f2c5")</f>
        <v>b2b5f2c5</v>
      </c>
      <c r="T2418" s="211" t="str">
        <f>IFERROR(__xludf.DUMMYFUNCTION("""COMPUTED_VALUE"""),"Bengkel Las Bpk. Ari")</f>
        <v>Bengkel Las Bpk. Ari</v>
      </c>
      <c r="U2418" s="215">
        <f>IFERROR(__xludf.DUMMYFUNCTION("""COMPUTED_VALUE"""),46053.40253472222)</f>
        <v>46053.40253</v>
      </c>
      <c r="V2418" s="211" t="str">
        <f>IFERROR(__xludf.DUMMYFUNCTION("""COMPUTED_VALUE"""),"Sumber Kembar, Wonodadi, Kec. Kutorejo, Kabupaten Mojokerto, Jawa Timur")</f>
        <v>Sumber Kembar, Wonodadi, Kec. Kutorejo, Kabupaten Mojokerto, Jawa Timur</v>
      </c>
      <c r="W2418" s="211" t="str">
        <f>IFERROR(__xludf.DUMMYFUNCTION("""COMPUTED_VALUE"""),"OUT")</f>
        <v>OUT</v>
      </c>
      <c r="X2418" s="211"/>
    </row>
    <row r="2419">
      <c r="A2419" s="210" t="str">
        <f>IFERROR(__xludf.DUMMYFUNCTION("""COMPUTED_VALUE"""),"1250783")</f>
        <v>1250783</v>
      </c>
      <c r="B2419" s="210" t="str">
        <f>IFERROR(__xludf.DUMMYFUNCTION("""COMPUTED_VALUE"""),"1250783")</f>
        <v>1250783</v>
      </c>
      <c r="C2419" s="213">
        <f>IFERROR(__xludf.DUMMYFUNCTION("""COMPUTED_VALUE"""),45975.444768518515)</f>
        <v>45975.44477</v>
      </c>
      <c r="D2419" s="211" t="str">
        <f>IFERROR(__xludf.DUMMYFUNCTION("""COMPUTED_VALUE"""),"b2b5f2c5")</f>
        <v>b2b5f2c5</v>
      </c>
      <c r="E2419" s="211" t="str">
        <f>IFERROR(__xludf.DUMMYFUNCTION("""COMPUTED_VALUE"""),"Bengkel Las Bpk. Ari")</f>
        <v>Bengkel Las Bpk. Ari</v>
      </c>
      <c r="F2419" s="211" t="str">
        <f>IFERROR(__xludf.DUMMYFUNCTION("""COMPUTED_VALUE"""),"8bdbe149")</f>
        <v>8bdbe149</v>
      </c>
      <c r="G2419" s="211" t="str">
        <f>IFERROR(__xludf.DUMMYFUNCTION("""COMPUTED_VALUE"""),"Oksigen 6m3")</f>
        <v>Oksigen 6m3</v>
      </c>
      <c r="H2419" s="211" t="str">
        <f>IFERROR(__xludf.DUMMYFUNCTION("""COMPUTED_VALUE"""),"IN")</f>
        <v>IN</v>
      </c>
      <c r="I2419" s="211" t="str">
        <f>IFERROR(__xludf.DUMMYFUNCTION("""COMPUTED_VALUE"""),"EMPTY")</f>
        <v>EMPTY</v>
      </c>
      <c r="J2419" s="211">
        <f>IFERROR(__xludf.DUMMYFUNCTION("""COMPUTED_VALUE"""),5.0)</f>
        <v>5</v>
      </c>
      <c r="K2419" s="210" t="str">
        <f>IFERROR(__xludf.DUMMYFUNCTION("""COMPUTED_VALUE"""),"11114 11251 1129 11232 1158")</f>
        <v>11114 11251 1129 11232 1158</v>
      </c>
      <c r="L2419" s="211">
        <f>IFERROR(__xludf.DUMMYFUNCTION("""COMPUTED_VALUE"""),0.0)</f>
        <v>0</v>
      </c>
      <c r="M2419" s="211"/>
      <c r="N2419" s="211"/>
      <c r="O2419" s="211"/>
      <c r="Q2419" s="210" t="str">
        <f>IFERROR(__xludf.DUMMYFUNCTION("""COMPUTED_VALUE"""),"1261162")</f>
        <v>1261162</v>
      </c>
      <c r="R2419" s="210" t="str">
        <f>IFERROR(__xludf.DUMMYFUNCTION("""COMPUTED_VALUE"""),"1261162")</f>
        <v>1261162</v>
      </c>
      <c r="S2419" s="211" t="str">
        <f>IFERROR(__xludf.DUMMYFUNCTION("""COMPUTED_VALUE"""),"ce83e171")</f>
        <v>ce83e171</v>
      </c>
      <c r="T2419" s="211" t="str">
        <f>IFERROR(__xludf.DUMMYFUNCTION("""COMPUTED_VALUE"""),"Bpk. Sulaiman")</f>
        <v>Bpk. Sulaiman</v>
      </c>
      <c r="U2419" s="215">
        <f>IFERROR(__xludf.DUMMYFUNCTION("""COMPUTED_VALUE"""),46053.41415509259)</f>
        <v>46053.41416</v>
      </c>
      <c r="V2419" s="211" t="str">
        <f>IFERROR(__xludf.DUMMYFUNCTION("""COMPUTED_VALUE"""),"Jl. Raya Kramat Temenggung No.43, Kramat, Kramat Temenggung, Kec. Tarik, Kabupaten Sidoarjo, Jawa Timur 61265")</f>
        <v>Jl. Raya Kramat Temenggung No.43, Kramat, Kramat Temenggung, Kec. Tarik, Kabupaten Sidoarjo, Jawa Timur 61265</v>
      </c>
      <c r="W2419" s="211" t="str">
        <f>IFERROR(__xludf.DUMMYFUNCTION("""COMPUTED_VALUE"""),"IN")</f>
        <v>IN</v>
      </c>
      <c r="X2419" s="211"/>
    </row>
    <row r="2420">
      <c r="A2420" s="210" t="str">
        <f>IFERROR(__xludf.DUMMYFUNCTION("""COMPUTED_VALUE"""),"1250783")</f>
        <v>1250783</v>
      </c>
      <c r="B2420" s="210" t="str">
        <f>IFERROR(__xludf.DUMMYFUNCTION("""COMPUTED_VALUE"""),"1250783")</f>
        <v>1250783</v>
      </c>
      <c r="C2420" s="213">
        <f>IFERROR(__xludf.DUMMYFUNCTION("""COMPUTED_VALUE"""),45975.444768518515)</f>
        <v>45975.44477</v>
      </c>
      <c r="D2420" s="211" t="str">
        <f>IFERROR(__xludf.DUMMYFUNCTION("""COMPUTED_VALUE"""),"b2b5f2c5")</f>
        <v>b2b5f2c5</v>
      </c>
      <c r="E2420" s="211" t="str">
        <f>IFERROR(__xludf.DUMMYFUNCTION("""COMPUTED_VALUE"""),"Bengkel Las Bpk. Ari")</f>
        <v>Bengkel Las Bpk. Ari</v>
      </c>
      <c r="F2420" s="211" t="str">
        <f>IFERROR(__xludf.DUMMYFUNCTION("""COMPUTED_VALUE"""),"7d2764f1")</f>
        <v>7d2764f1</v>
      </c>
      <c r="G2420" s="211" t="str">
        <f>IFERROR(__xludf.DUMMYFUNCTION("""COMPUTED_VALUE"""),"Oksigen 7m3")</f>
        <v>Oksigen 7m3</v>
      </c>
      <c r="H2420" s="211" t="str">
        <f>IFERROR(__xludf.DUMMYFUNCTION("""COMPUTED_VALUE"""),"IN")</f>
        <v>IN</v>
      </c>
      <c r="I2420" s="211" t="str">
        <f>IFERROR(__xludf.DUMMYFUNCTION("""COMPUTED_VALUE"""),"EMPTY")</f>
        <v>EMPTY</v>
      </c>
      <c r="J2420" s="211">
        <f>IFERROR(__xludf.DUMMYFUNCTION("""COMPUTED_VALUE"""),1.0)</f>
        <v>1</v>
      </c>
      <c r="K2420" s="210" t="str">
        <f>IFERROR(__xludf.DUMMYFUNCTION("""COMPUTED_VALUE"""),"11144")</f>
        <v>11144</v>
      </c>
      <c r="L2420" s="211">
        <f>IFERROR(__xludf.DUMMYFUNCTION("""COMPUTED_VALUE"""),0.0)</f>
        <v>0</v>
      </c>
      <c r="M2420" s="211"/>
      <c r="N2420" s="211"/>
      <c r="O2420" s="211"/>
      <c r="Q2420" s="210" t="str">
        <f>IFERROR(__xludf.DUMMYFUNCTION("""COMPUTED_VALUE"""),"1261161")</f>
        <v>1261161</v>
      </c>
      <c r="R2420" s="210" t="str">
        <f>IFERROR(__xludf.DUMMYFUNCTION("""COMPUTED_VALUE"""),"1261161")</f>
        <v>1261161</v>
      </c>
      <c r="S2420" s="211" t="str">
        <f>IFERROR(__xludf.DUMMYFUNCTION("""COMPUTED_VALUE"""),"45d814b4")</f>
        <v>45d814b4</v>
      </c>
      <c r="T2420" s="211" t="str">
        <f>IFERROR(__xludf.DUMMYFUNCTION("""COMPUTED_VALUE"""),"Bpk. Joko (Ponokawan)")</f>
        <v>Bpk. Joko (Ponokawan)</v>
      </c>
      <c r="U2420" s="215">
        <f>IFERROR(__xludf.DUMMYFUNCTION("""COMPUTED_VALUE"""),46053.414675925924)</f>
        <v>46053.41468</v>
      </c>
      <c r="V2420" s="211" t="str">
        <f>IFERROR(__xludf.DUMMYFUNCTION("""COMPUTED_VALUE"""),"Ponokawan, Krian")</f>
        <v>Ponokawan, Krian</v>
      </c>
      <c r="W2420" s="211" t="str">
        <f>IFERROR(__xludf.DUMMYFUNCTION("""COMPUTED_VALUE"""),"IN")</f>
        <v>IN</v>
      </c>
      <c r="X2420" s="211"/>
    </row>
    <row r="2421">
      <c r="A2421" s="210" t="str">
        <f>IFERROR(__xludf.DUMMYFUNCTION("""COMPUTED_VALUE"""),"112551711")</f>
        <v>112551711</v>
      </c>
      <c r="B2421" s="210" t="str">
        <f>IFERROR(__xludf.DUMMYFUNCTION("""COMPUTED_VALUE"""),"112551711")</f>
        <v>112551711</v>
      </c>
      <c r="C2421" s="213">
        <f>IFERROR(__xludf.DUMMYFUNCTION("""COMPUTED_VALUE"""),45975.58423611111)</f>
        <v>45975.58424</v>
      </c>
      <c r="D2421" s="211" t="str">
        <f>IFERROR(__xludf.DUMMYFUNCTION("""COMPUTED_VALUE"""),"440df1db")</f>
        <v>440df1db</v>
      </c>
      <c r="E2421" s="211" t="str">
        <f>IFERROR(__xludf.DUMMYFUNCTION("""COMPUTED_VALUE"""),"PT. Mecca Abadi Sejahtera")</f>
        <v>PT. Mecca Abadi Sejahtera</v>
      </c>
      <c r="F2421" s="211" t="str">
        <f>IFERROR(__xludf.DUMMYFUNCTION("""COMPUTED_VALUE"""),"ef306e54")</f>
        <v>ef306e54</v>
      </c>
      <c r="G2421" s="211" t="str">
        <f>IFERROR(__xludf.DUMMYFUNCTION("""COMPUTED_VALUE"""),"Karbondioksida")</f>
        <v>Karbondioksida</v>
      </c>
      <c r="H2421" s="211" t="str">
        <f>IFERROR(__xludf.DUMMYFUNCTION("""COMPUTED_VALUE"""),"OUT")</f>
        <v>OUT</v>
      </c>
      <c r="I2421" s="211" t="str">
        <f>IFERROR(__xludf.DUMMYFUNCTION("""COMPUTED_VALUE"""),"NORMAL")</f>
        <v>NORMAL</v>
      </c>
      <c r="J2421" s="211">
        <f>IFERROR(__xludf.DUMMYFUNCTION("""COMPUTED_VALUE"""),3.0)</f>
        <v>3</v>
      </c>
      <c r="K2421" s="210" t="str">
        <f>IFERROR(__xludf.DUMMYFUNCTION("""COMPUTED_VALUE"""),"13008 13031 13037")</f>
        <v>13008 13031 13037</v>
      </c>
      <c r="L2421" s="211">
        <f>IFERROR(__xludf.DUMMYFUNCTION("""COMPUTED_VALUE"""),180000.0)</f>
        <v>180000</v>
      </c>
      <c r="M2421" s="211"/>
      <c r="N2421" s="211"/>
      <c r="O2421" s="211"/>
      <c r="Q2421" s="210" t="str">
        <f>IFERROR(__xludf.DUMMYFUNCTION("""COMPUTED_VALUE"""),"0126132419")</f>
        <v>0126132419</v>
      </c>
      <c r="R2421" s="210" t="str">
        <f>IFERROR(__xludf.DUMMYFUNCTION("""COMPUTED_VALUE"""),"0126132419")</f>
        <v>0126132419</v>
      </c>
      <c r="S2421" s="211" t="str">
        <f>IFERROR(__xludf.DUMMYFUNCTION("""COMPUTED_VALUE"""),"9b941888")</f>
        <v>9b941888</v>
      </c>
      <c r="T2421" s="211" t="str">
        <f>IFERROR(__xludf.DUMMYFUNCTION("""COMPUTED_VALUE"""),"Mas Devi ( Parengan )")</f>
        <v>Mas Devi ( Parengan )</v>
      </c>
      <c r="U2421" s="215">
        <f>IFERROR(__xludf.DUMMYFUNCTION("""COMPUTED_VALUE"""),46053.42626157407)</f>
        <v>46053.42626</v>
      </c>
      <c r="V2421" s="211" t="str">
        <f>IFERROR(__xludf.DUMMYFUNCTION("""COMPUTED_VALUE"""),"Kraton Krian Sidoarjo, ( sebelah tower listrik )")</f>
        <v>Kraton Krian Sidoarjo, ( sebelah tower listrik )</v>
      </c>
      <c r="W2421" s="211" t="str">
        <f>IFERROR(__xludf.DUMMYFUNCTION("""COMPUTED_VALUE"""),"OUT")</f>
        <v>OUT</v>
      </c>
      <c r="X2421" s="211"/>
    </row>
    <row r="2422">
      <c r="A2422" s="210" t="str">
        <f>IFERROR(__xludf.DUMMYFUNCTION("""COMPUTED_VALUE"""),"1125321715")</f>
        <v>1125321715</v>
      </c>
      <c r="B2422" s="210" t="str">
        <f>IFERROR(__xludf.DUMMYFUNCTION("""COMPUTED_VALUE"""),"1125321715")</f>
        <v>1125321715</v>
      </c>
      <c r="C2422" s="213">
        <f>IFERROR(__xludf.DUMMYFUNCTION("""COMPUTED_VALUE"""),45975.5853125)</f>
        <v>45975.58531</v>
      </c>
      <c r="D2422" s="211" t="str">
        <f>IFERROR(__xludf.DUMMYFUNCTION("""COMPUTED_VALUE"""),"5f23ba17")</f>
        <v>5f23ba17</v>
      </c>
      <c r="E2422" s="211" t="str">
        <f>IFERROR(__xludf.DUMMYFUNCTION("""COMPUTED_VALUE"""),"Bpk. Joko (Gresik)")</f>
        <v>Bpk. Joko (Gresik)</v>
      </c>
      <c r="F2422" s="211" t="str">
        <f>IFERROR(__xludf.DUMMYFUNCTION("""COMPUTED_VALUE"""),"ef306e54")</f>
        <v>ef306e54</v>
      </c>
      <c r="G2422" s="211" t="str">
        <f>IFERROR(__xludf.DUMMYFUNCTION("""COMPUTED_VALUE"""),"Karbondioksida")</f>
        <v>Karbondioksida</v>
      </c>
      <c r="H2422" s="211" t="str">
        <f>IFERROR(__xludf.DUMMYFUNCTION("""COMPUTED_VALUE"""),"OUT")</f>
        <v>OUT</v>
      </c>
      <c r="I2422" s="211" t="str">
        <f>IFERROR(__xludf.DUMMYFUNCTION("""COMPUTED_VALUE"""),"NORMAL")</f>
        <v>NORMAL</v>
      </c>
      <c r="J2422" s="211">
        <f>IFERROR(__xludf.DUMMYFUNCTION("""COMPUTED_VALUE"""),2.0)</f>
        <v>2</v>
      </c>
      <c r="K2422" s="210" t="str">
        <f>IFERROR(__xludf.DUMMYFUNCTION("""COMPUTED_VALUE"""),"1127 1125")</f>
        <v>1127 1125</v>
      </c>
      <c r="L2422" s="211">
        <f>IFERROR(__xludf.DUMMYFUNCTION("""COMPUTED_VALUE"""),160000.0)</f>
        <v>160000</v>
      </c>
      <c r="M2422" s="211"/>
      <c r="N2422" s="211"/>
      <c r="O2422" s="211"/>
      <c r="Q2422" s="210" t="str">
        <f>IFERROR(__xludf.DUMMYFUNCTION("""COMPUTED_VALUE"""),"1261163")</f>
        <v>1261163</v>
      </c>
      <c r="R2422" s="210" t="str">
        <f>IFERROR(__xludf.DUMMYFUNCTION("""COMPUTED_VALUE"""),"1261163")</f>
        <v>1261163</v>
      </c>
      <c r="S2422" s="211" t="str">
        <f>IFERROR(__xludf.DUMMYFUNCTION("""COMPUTED_VALUE"""),"9b941888")</f>
        <v>9b941888</v>
      </c>
      <c r="T2422" s="211" t="str">
        <f>IFERROR(__xludf.DUMMYFUNCTION("""COMPUTED_VALUE"""),"Mas Devi ( Parengan )")</f>
        <v>Mas Devi ( Parengan )</v>
      </c>
      <c r="U2422" s="215">
        <f>IFERROR(__xludf.DUMMYFUNCTION("""COMPUTED_VALUE"""),46053.480474537035)</f>
        <v>46053.48047</v>
      </c>
      <c r="V2422" s="211" t="str">
        <f>IFERROR(__xludf.DUMMYFUNCTION("""COMPUTED_VALUE"""),"Kraton Krian Sidoarjo, ( sebelah tower listrik )")</f>
        <v>Kraton Krian Sidoarjo, ( sebelah tower listrik )</v>
      </c>
      <c r="W2422" s="211" t="str">
        <f>IFERROR(__xludf.DUMMYFUNCTION("""COMPUTED_VALUE"""),"IN")</f>
        <v>IN</v>
      </c>
      <c r="X2422" s="211"/>
    </row>
    <row r="2423">
      <c r="A2423" s="210" t="str">
        <f>IFERROR(__xludf.DUMMYFUNCTION("""COMPUTED_VALUE"""),"1250797")</f>
        <v>1250797</v>
      </c>
      <c r="B2423" s="210" t="str">
        <f>IFERROR(__xludf.DUMMYFUNCTION("""COMPUTED_VALUE"""),"1250797")</f>
        <v>1250797</v>
      </c>
      <c r="C2423" s="213">
        <f>IFERROR(__xludf.DUMMYFUNCTION("""COMPUTED_VALUE"""),45975.639861111114)</f>
        <v>45975.63986</v>
      </c>
      <c r="D2423" s="211" t="str">
        <f>IFERROR(__xludf.DUMMYFUNCTION("""COMPUTED_VALUE"""),"440df1db")</f>
        <v>440df1db</v>
      </c>
      <c r="E2423" s="211" t="str">
        <f>IFERROR(__xludf.DUMMYFUNCTION("""COMPUTED_VALUE"""),"PT. Mecca Abadi Sejahtera")</f>
        <v>PT. Mecca Abadi Sejahtera</v>
      </c>
      <c r="F2423" s="211" t="str">
        <f>IFERROR(__xludf.DUMMYFUNCTION("""COMPUTED_VALUE"""),"ef306e54")</f>
        <v>ef306e54</v>
      </c>
      <c r="G2423" s="211" t="str">
        <f>IFERROR(__xludf.DUMMYFUNCTION("""COMPUTED_VALUE"""),"Karbondioksida")</f>
        <v>Karbondioksida</v>
      </c>
      <c r="H2423" s="211" t="str">
        <f>IFERROR(__xludf.DUMMYFUNCTION("""COMPUTED_VALUE"""),"IN")</f>
        <v>IN</v>
      </c>
      <c r="I2423" s="211" t="str">
        <f>IFERROR(__xludf.DUMMYFUNCTION("""COMPUTED_VALUE"""),"EMPTY")</f>
        <v>EMPTY</v>
      </c>
      <c r="J2423" s="211">
        <f>IFERROR(__xludf.DUMMYFUNCTION("""COMPUTED_VALUE"""),3.0)</f>
        <v>3</v>
      </c>
      <c r="K2423" s="210" t="str">
        <f>IFERROR(__xludf.DUMMYFUNCTION("""COMPUTED_VALUE"""),"13035 13017 13014")</f>
        <v>13035 13017 13014</v>
      </c>
      <c r="L2423" s="211">
        <f>IFERROR(__xludf.DUMMYFUNCTION("""COMPUTED_VALUE"""),0.0)</f>
        <v>0</v>
      </c>
      <c r="M2423" s="211"/>
      <c r="N2423" s="211"/>
      <c r="O2423" s="211"/>
      <c r="Q2423" s="210" t="str">
        <f>IFERROR(__xludf.DUMMYFUNCTION("""COMPUTED_VALUE"""),"012642422")</f>
        <v>012642422</v>
      </c>
      <c r="R2423" s="210" t="str">
        <f>IFERROR(__xludf.DUMMYFUNCTION("""COMPUTED_VALUE"""),"012642422")</f>
        <v>012642422</v>
      </c>
      <c r="S2423" s="211" t="str">
        <f>IFERROR(__xludf.DUMMYFUNCTION("""COMPUTED_VALUE"""),"98c84274")</f>
        <v>98c84274</v>
      </c>
      <c r="T2423" s="211" t="str">
        <f>IFERROR(__xludf.DUMMYFUNCTION("""COMPUTED_VALUE"""),"Bengkel SBM (Pak Hari)")</f>
        <v>Bengkel SBM (Pak Hari)</v>
      </c>
      <c r="U2423" s="215">
        <f>IFERROR(__xludf.DUMMYFUNCTION("""COMPUTED_VALUE"""),46053.54571759259)</f>
        <v>46053.54572</v>
      </c>
      <c r="V242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423" s="211" t="str">
        <f>IFERROR(__xludf.DUMMYFUNCTION("""COMPUTED_VALUE"""),"OUT")</f>
        <v>OUT</v>
      </c>
      <c r="X2423" s="211"/>
    </row>
    <row r="2424">
      <c r="A2424" s="210" t="str">
        <f>IFERROR(__xludf.DUMMYFUNCTION("""COMPUTED_VALUE"""),"112511711")</f>
        <v>112511711</v>
      </c>
      <c r="B2424" s="210" t="str">
        <f>IFERROR(__xludf.DUMMYFUNCTION("""COMPUTED_VALUE"""),"112511711")</f>
        <v>112511711</v>
      </c>
      <c r="C2424" s="213">
        <f>IFERROR(__xludf.DUMMYFUNCTION("""COMPUTED_VALUE"""),45975.64539351852)</f>
        <v>45975.64539</v>
      </c>
      <c r="D2424" s="211" t="str">
        <f>IFERROR(__xludf.DUMMYFUNCTION("""COMPUTED_VALUE"""),"9828dfc5")</f>
        <v>9828dfc5</v>
      </c>
      <c r="E2424" s="211" t="str">
        <f>IFERROR(__xludf.DUMMYFUNCTION("""COMPUTED_VALUE"""),"Bpk. David")</f>
        <v>Bpk. David</v>
      </c>
      <c r="F2424" s="211" t="str">
        <f>IFERROR(__xludf.DUMMYFUNCTION("""COMPUTED_VALUE"""),"8bdbe149")</f>
        <v>8bdbe149</v>
      </c>
      <c r="G2424" s="211" t="str">
        <f>IFERROR(__xludf.DUMMYFUNCTION("""COMPUTED_VALUE"""),"Oksigen 6m3")</f>
        <v>Oksigen 6m3</v>
      </c>
      <c r="H2424" s="211" t="str">
        <f>IFERROR(__xludf.DUMMYFUNCTION("""COMPUTED_VALUE"""),"OUT")</f>
        <v>OUT</v>
      </c>
      <c r="I2424" s="211" t="str">
        <f>IFERROR(__xludf.DUMMYFUNCTION("""COMPUTED_VALUE"""),"NORMAL")</f>
        <v>NORMAL</v>
      </c>
      <c r="J2424" s="211">
        <f>IFERROR(__xludf.DUMMYFUNCTION("""COMPUTED_VALUE"""),5.0)</f>
        <v>5</v>
      </c>
      <c r="K2424" s="210" t="str">
        <f>IFERROR(__xludf.DUMMYFUNCTION("""COMPUTED_VALUE"""),"11294 1129 1152 11114 11121")</f>
        <v>11294 1129 1152 11114 11121</v>
      </c>
      <c r="L2424" s="211">
        <f>IFERROR(__xludf.DUMMYFUNCTION("""COMPUTED_VALUE"""),60000.0)</f>
        <v>60000</v>
      </c>
      <c r="M2424" s="211"/>
      <c r="N2424" s="211"/>
      <c r="O2424" s="211"/>
      <c r="Q2424" s="210" t="str">
        <f>IFERROR(__xludf.DUMMYFUNCTION("""COMPUTED_VALUE"""),"0126192424")</f>
        <v>0126192424</v>
      </c>
      <c r="R2424" s="210" t="str">
        <f>IFERROR(__xludf.DUMMYFUNCTION("""COMPUTED_VALUE"""),"0126192424")</f>
        <v>0126192424</v>
      </c>
      <c r="S2424" s="211" t="str">
        <f>IFERROR(__xludf.DUMMYFUNCTION("""COMPUTED_VALUE"""),"8ea74d81")</f>
        <v>8ea74d81</v>
      </c>
      <c r="T2424" s="211" t="str">
        <f>IFERROR(__xludf.DUMMYFUNCTION("""COMPUTED_VALUE"""),"Bengkel Adi Putra")</f>
        <v>Bengkel Adi Putra</v>
      </c>
      <c r="U2424" s="215">
        <f>IFERROR(__xludf.DUMMYFUNCTION("""COMPUTED_VALUE"""),46053.57362268519)</f>
        <v>46053.57362</v>
      </c>
      <c r="V2424" s="211" t="str">
        <f>IFERROR(__xludf.DUMMYFUNCTION("""COMPUTED_VALUE"""),"Bypass Balongbendo")</f>
        <v>Bypass Balongbendo</v>
      </c>
      <c r="W2424" s="211" t="str">
        <f>IFERROR(__xludf.DUMMYFUNCTION("""COMPUTED_VALUE"""),"OUT")</f>
        <v>OUT</v>
      </c>
      <c r="X2424" s="211"/>
    </row>
    <row r="2425">
      <c r="A2425" s="210" t="str">
        <f>IFERROR(__xludf.DUMMYFUNCTION("""COMPUTED_VALUE"""),"1250784")</f>
        <v>1250784</v>
      </c>
      <c r="B2425" s="210" t="str">
        <f>IFERROR(__xludf.DUMMYFUNCTION("""COMPUTED_VALUE"""),"1250784")</f>
        <v>1250784</v>
      </c>
      <c r="C2425" s="213">
        <f>IFERROR(__xludf.DUMMYFUNCTION("""COMPUTED_VALUE"""),45975.67866898148)</f>
        <v>45975.67867</v>
      </c>
      <c r="D2425" s="211" t="str">
        <f>IFERROR(__xludf.DUMMYFUNCTION("""COMPUTED_VALUE"""),"5f23ba17")</f>
        <v>5f23ba17</v>
      </c>
      <c r="E2425" s="211" t="str">
        <f>IFERROR(__xludf.DUMMYFUNCTION("""COMPUTED_VALUE"""),"Bpk. Joko (Gresik)")</f>
        <v>Bpk. Joko (Gresik)</v>
      </c>
      <c r="F2425" s="211" t="str">
        <f>IFERROR(__xludf.DUMMYFUNCTION("""COMPUTED_VALUE"""),"ef306e54")</f>
        <v>ef306e54</v>
      </c>
      <c r="G2425" s="211" t="str">
        <f>IFERROR(__xludf.DUMMYFUNCTION("""COMPUTED_VALUE"""),"Karbondioksida")</f>
        <v>Karbondioksida</v>
      </c>
      <c r="H2425" s="211" t="str">
        <f>IFERROR(__xludf.DUMMYFUNCTION("""COMPUTED_VALUE"""),"IN")</f>
        <v>IN</v>
      </c>
      <c r="I2425" s="211" t="str">
        <f>IFERROR(__xludf.DUMMYFUNCTION("""COMPUTED_VALUE"""),"EMPTY")</f>
        <v>EMPTY</v>
      </c>
      <c r="J2425" s="211">
        <f>IFERROR(__xludf.DUMMYFUNCTION("""COMPUTED_VALUE"""),1.0)</f>
        <v>1</v>
      </c>
      <c r="K2425" s="210" t="str">
        <f>IFERROR(__xludf.DUMMYFUNCTION("""COMPUTED_VALUE"""),"13026")</f>
        <v>13026</v>
      </c>
      <c r="L2425" s="211">
        <f>IFERROR(__xludf.DUMMYFUNCTION("""COMPUTED_VALUE"""),0.0)</f>
        <v>0</v>
      </c>
      <c r="M2425" s="211"/>
      <c r="N2425" s="211"/>
      <c r="O2425" s="211"/>
      <c r="Q2425" s="210" t="str">
        <f>IFERROR(__xludf.DUMMYFUNCTION("""COMPUTED_VALUE"""),"1261180")</f>
        <v>1261180</v>
      </c>
      <c r="R2425" s="210" t="str">
        <f>IFERROR(__xludf.DUMMYFUNCTION("""COMPUTED_VALUE"""),"1261180")</f>
        <v>1261180</v>
      </c>
      <c r="S2425" s="211" t="str">
        <f>IFERROR(__xludf.DUMMYFUNCTION("""COMPUTED_VALUE"""),"b2b5f2c5")</f>
        <v>b2b5f2c5</v>
      </c>
      <c r="T2425" s="211" t="str">
        <f>IFERROR(__xludf.DUMMYFUNCTION("""COMPUTED_VALUE"""),"Bengkel Las Bpk. Ari")</f>
        <v>Bengkel Las Bpk. Ari</v>
      </c>
      <c r="U2425" s="215">
        <f>IFERROR(__xludf.DUMMYFUNCTION("""COMPUTED_VALUE"""),46053.57460648148)</f>
        <v>46053.57461</v>
      </c>
      <c r="V2425" s="211" t="str">
        <f>IFERROR(__xludf.DUMMYFUNCTION("""COMPUTED_VALUE"""),"Sumber Kembar, Wonodadi, Kec. Kutorejo, Kabupaten Mojokerto, Jawa Timur")</f>
        <v>Sumber Kembar, Wonodadi, Kec. Kutorejo, Kabupaten Mojokerto, Jawa Timur</v>
      </c>
      <c r="W2425" s="211" t="str">
        <f>IFERROR(__xludf.DUMMYFUNCTION("""COMPUTED_VALUE"""),"IN")</f>
        <v>IN</v>
      </c>
      <c r="X2425" s="211"/>
    </row>
    <row r="2426">
      <c r="A2426" s="210" t="str">
        <f>IFERROR(__xludf.DUMMYFUNCTION("""COMPUTED_VALUE"""),"1250784")</f>
        <v>1250784</v>
      </c>
      <c r="B2426" s="210" t="str">
        <f>IFERROR(__xludf.DUMMYFUNCTION("""COMPUTED_VALUE"""),"1250784")</f>
        <v>1250784</v>
      </c>
      <c r="C2426" s="213">
        <f>IFERROR(__xludf.DUMMYFUNCTION("""COMPUTED_VALUE"""),45975.67866898148)</f>
        <v>45975.67867</v>
      </c>
      <c r="D2426" s="211" t="str">
        <f>IFERROR(__xludf.DUMMYFUNCTION("""COMPUTED_VALUE"""),"5f23ba17")</f>
        <v>5f23ba17</v>
      </c>
      <c r="E2426" s="211" t="str">
        <f>IFERROR(__xludf.DUMMYFUNCTION("""COMPUTED_VALUE"""),"Bpk. Joko (Gresik)")</f>
        <v>Bpk. Joko (Gresik)</v>
      </c>
      <c r="F2426" s="211" t="str">
        <f>IFERROR(__xludf.DUMMYFUNCTION("""COMPUTED_VALUE"""),"439cf836")</f>
        <v>439cf836</v>
      </c>
      <c r="G2426" s="211" t="str">
        <f>IFERROR(__xludf.DUMMYFUNCTION("""COMPUTED_VALUE"""),"Karbondioksida MR")</f>
        <v>Karbondioksida MR</v>
      </c>
      <c r="H2426" s="211" t="str">
        <f>IFERROR(__xludf.DUMMYFUNCTION("""COMPUTED_VALUE"""),"IN")</f>
        <v>IN</v>
      </c>
      <c r="I2426" s="211" t="str">
        <f>IFERROR(__xludf.DUMMYFUNCTION("""COMPUTED_VALUE"""),"EMPTY")</f>
        <v>EMPTY</v>
      </c>
      <c r="J2426" s="211">
        <f>IFERROR(__xludf.DUMMYFUNCTION("""COMPUTED_VALUE"""),1.0)</f>
        <v>1</v>
      </c>
      <c r="K2426" s="210" t="str">
        <f>IFERROR(__xludf.DUMMYFUNCTION("""COMPUTED_VALUE"""),"16284")</f>
        <v>16284</v>
      </c>
      <c r="L2426" s="211">
        <f>IFERROR(__xludf.DUMMYFUNCTION("""COMPUTED_VALUE"""),0.0)</f>
        <v>0</v>
      </c>
      <c r="M2426" s="211"/>
      <c r="N2426" s="211"/>
      <c r="O2426" s="211"/>
      <c r="Q2426" s="210" t="str">
        <f>IFERROR(__xludf.DUMMYFUNCTION("""COMPUTED_VALUE"""),"1261164")</f>
        <v>1261164</v>
      </c>
      <c r="R2426" s="210" t="str">
        <f>IFERROR(__xludf.DUMMYFUNCTION("""COMPUTED_VALUE"""),"1261164")</f>
        <v>1261164</v>
      </c>
      <c r="S2426" s="211" t="str">
        <f>IFERROR(__xludf.DUMMYFUNCTION("""COMPUTED_VALUE"""),"01158be1")</f>
        <v>01158be1</v>
      </c>
      <c r="T2426" s="211" t="str">
        <f>IFERROR(__xludf.DUMMYFUNCTION("""COMPUTED_VALUE"""),"GYF")</f>
        <v>GYF</v>
      </c>
      <c r="U2426" s="215">
        <f>IFERROR(__xludf.DUMMYFUNCTION("""COMPUTED_VALUE"""),46053.605787037035)</f>
        <v>46053.60579</v>
      </c>
      <c r="V2426" s="211" t="str">
        <f>IFERROR(__xludf.DUMMYFUNCTION("""COMPUTED_VALUE"""),"Kangkungan, Lengkong, Kec. Mojoanyar, Kabupaten Mojokerto, Jawa Timur")</f>
        <v>Kangkungan, Lengkong, Kec. Mojoanyar, Kabupaten Mojokerto, Jawa Timur</v>
      </c>
      <c r="W2426" s="211" t="str">
        <f>IFERROR(__xludf.DUMMYFUNCTION("""COMPUTED_VALUE"""),"IN")</f>
        <v>IN</v>
      </c>
      <c r="X2426" s="211"/>
    </row>
    <row r="2427">
      <c r="A2427" s="210" t="str">
        <f>IFERROR(__xludf.DUMMYFUNCTION("""COMPUTED_VALUE"""),"1250784")</f>
        <v>1250784</v>
      </c>
      <c r="B2427" s="210" t="str">
        <f>IFERROR(__xludf.DUMMYFUNCTION("""COMPUTED_VALUE"""),"1250784")</f>
        <v>1250784</v>
      </c>
      <c r="C2427" s="213">
        <f>IFERROR(__xludf.DUMMYFUNCTION("""COMPUTED_VALUE"""),45975.67866898148)</f>
        <v>45975.67867</v>
      </c>
      <c r="D2427" s="211" t="str">
        <f>IFERROR(__xludf.DUMMYFUNCTION("""COMPUTED_VALUE"""),"5f23ba17")</f>
        <v>5f23ba17</v>
      </c>
      <c r="E2427" s="211" t="str">
        <f>IFERROR(__xludf.DUMMYFUNCTION("""COMPUTED_VALUE"""),"Bpk. Joko (Gresik)")</f>
        <v>Bpk. Joko (Gresik)</v>
      </c>
      <c r="F2427" s="211" t="str">
        <f>IFERROR(__xludf.DUMMYFUNCTION("""COMPUTED_VALUE"""),"f6aab7a9")</f>
        <v>f6aab7a9</v>
      </c>
      <c r="G2427" s="211" t="str">
        <f>IFERROR(__xludf.DUMMYFUNCTION("""COMPUTED_VALUE"""),"Oksigen 6m3 MR")</f>
        <v>Oksigen 6m3 MR</v>
      </c>
      <c r="H2427" s="211" t="str">
        <f>IFERROR(__xludf.DUMMYFUNCTION("""COMPUTED_VALUE"""),"IN")</f>
        <v>IN</v>
      </c>
      <c r="I2427" s="211" t="str">
        <f>IFERROR(__xludf.DUMMYFUNCTION("""COMPUTED_VALUE"""),"EMPTY")</f>
        <v>EMPTY</v>
      </c>
      <c r="J2427" s="211">
        <f>IFERROR(__xludf.DUMMYFUNCTION("""COMPUTED_VALUE"""),15.0)</f>
        <v>15</v>
      </c>
      <c r="K2427" s="211"/>
      <c r="L2427" s="211">
        <f>IFERROR(__xludf.DUMMYFUNCTION("""COMPUTED_VALUE"""),0.0)</f>
        <v>0</v>
      </c>
      <c r="M2427" s="211"/>
      <c r="N2427" s="211"/>
      <c r="O2427" s="211"/>
      <c r="Q2427" s="210" t="str">
        <f>IFERROR(__xludf.DUMMYFUNCTION("""COMPUTED_VALUE"""),"0226132425")</f>
        <v>0226132425</v>
      </c>
      <c r="R2427" s="210" t="str">
        <f>IFERROR(__xludf.DUMMYFUNCTION("""COMPUTED_VALUE"""),"0226132425")</f>
        <v>0226132425</v>
      </c>
      <c r="S2427" s="211" t="str">
        <f>IFERROR(__xludf.DUMMYFUNCTION("""COMPUTED_VALUE"""),"734c6d17")</f>
        <v>734c6d17</v>
      </c>
      <c r="T2427" s="211" t="str">
        <f>IFERROR(__xludf.DUMMYFUNCTION("""COMPUTED_VALUE"""),"Bapak Ainol Yaqin ( Bpk. Ibnu )")</f>
        <v>Bapak Ainol Yaqin ( Bpk. Ibnu )</v>
      </c>
      <c r="U2427" s="215">
        <f>IFERROR(__xludf.DUMMYFUNCTION("""COMPUTED_VALUE"""),46055.37028935185)</f>
        <v>46055.37029</v>
      </c>
      <c r="V2427" s="211" t="str">
        <f>IFERROR(__xludf.DUMMYFUNCTION("""COMPUTED_VALUE"""),"Tanggul Wetan, Tanggul, Kec. Wonoayu, Kabupaten Sidoarjo, Jawa Timur")</f>
        <v>Tanggul Wetan, Tanggul, Kec. Wonoayu, Kabupaten Sidoarjo, Jawa Timur</v>
      </c>
      <c r="W2427" s="211" t="str">
        <f>IFERROR(__xludf.DUMMYFUNCTION("""COMPUTED_VALUE"""),"OUT")</f>
        <v>OUT</v>
      </c>
      <c r="X2427" s="211"/>
    </row>
    <row r="2428">
      <c r="A2428" s="210" t="str">
        <f>IFERROR(__xludf.DUMMYFUNCTION("""COMPUTED_VALUE"""),"112571718")</f>
        <v>112571718</v>
      </c>
      <c r="B2428" s="210" t="str">
        <f>IFERROR(__xludf.DUMMYFUNCTION("""COMPUTED_VALUE"""),"112571718")</f>
        <v>112571718</v>
      </c>
      <c r="C2428" s="213">
        <f>IFERROR(__xludf.DUMMYFUNCTION("""COMPUTED_VALUE"""),45976.3721875)</f>
        <v>45976.37219</v>
      </c>
      <c r="D2428" s="211" t="str">
        <f>IFERROR(__xludf.DUMMYFUNCTION("""COMPUTED_VALUE"""),"9e31e9f4")</f>
        <v>9e31e9f4</v>
      </c>
      <c r="E2428" s="211" t="str">
        <f>IFERROR(__xludf.DUMMYFUNCTION("""COMPUTED_VALUE"""),"Bpk. Eko Iswantoro")</f>
        <v>Bpk. Eko Iswantoro</v>
      </c>
      <c r="F2428" s="211" t="str">
        <f>IFERROR(__xludf.DUMMYFUNCTION("""COMPUTED_VALUE"""),"8bdbe149")</f>
        <v>8bdbe149</v>
      </c>
      <c r="G2428" s="211" t="str">
        <f>IFERROR(__xludf.DUMMYFUNCTION("""COMPUTED_VALUE"""),"Oksigen 6m3")</f>
        <v>Oksigen 6m3</v>
      </c>
      <c r="H2428" s="211" t="str">
        <f>IFERROR(__xludf.DUMMYFUNCTION("""COMPUTED_VALUE"""),"OUT")</f>
        <v>OUT</v>
      </c>
      <c r="I2428" s="211" t="str">
        <f>IFERROR(__xludf.DUMMYFUNCTION("""COMPUTED_VALUE"""),"NORMAL")</f>
        <v>NORMAL</v>
      </c>
      <c r="J2428" s="211">
        <f>IFERROR(__xludf.DUMMYFUNCTION("""COMPUTED_VALUE"""),4.0)</f>
        <v>4</v>
      </c>
      <c r="K2428" s="210" t="str">
        <f>IFERROR(__xludf.DUMMYFUNCTION("""COMPUTED_VALUE"""),"11107 11134 11286 11293")</f>
        <v>11107 11134 11286 11293</v>
      </c>
      <c r="L2428" s="211">
        <f>IFERROR(__xludf.DUMMYFUNCTION("""COMPUTED_VALUE"""),70000.0)</f>
        <v>70000</v>
      </c>
      <c r="M2428" s="211"/>
      <c r="N2428" s="211"/>
      <c r="O2428" s="211"/>
      <c r="Q2428" s="210" t="str">
        <f>IFERROR(__xludf.DUMMYFUNCTION("""COMPUTED_VALUE"""),"0226192428")</f>
        <v>0226192428</v>
      </c>
      <c r="R2428" s="210" t="str">
        <f>IFERROR(__xludf.DUMMYFUNCTION("""COMPUTED_VALUE"""),"0226192428")</f>
        <v>0226192428</v>
      </c>
      <c r="S2428" s="211" t="str">
        <f>IFERROR(__xludf.DUMMYFUNCTION("""COMPUTED_VALUE"""),"63fc688a")</f>
        <v>63fc688a</v>
      </c>
      <c r="T2428" s="211" t="str">
        <f>IFERROR(__xludf.DUMMYFUNCTION("""COMPUTED_VALUE"""),"CV Malik Nusantara")</f>
        <v>CV Malik Nusantara</v>
      </c>
      <c r="U2428" s="215">
        <f>IFERROR(__xludf.DUMMYFUNCTION("""COMPUTED_VALUE"""),46055.39603009259)</f>
        <v>46055.39603</v>
      </c>
      <c r="V2428" s="211" t="str">
        <f>IFERROR(__xludf.DUMMYFUNCTION("""COMPUTED_VALUE"""),"Jl. Raya Balongbendo No.12, Suwaluh Utara, Suwaluh, Kec. BalongBendo, Kabupaten Sidoarjo, Jawa Timur 61263")</f>
        <v>Jl. Raya Balongbendo No.12, Suwaluh Utara, Suwaluh, Kec. BalongBendo, Kabupaten Sidoarjo, Jawa Timur 61263</v>
      </c>
      <c r="W2428" s="211" t="str">
        <f>IFERROR(__xludf.DUMMYFUNCTION("""COMPUTED_VALUE"""),"OUT")</f>
        <v>OUT</v>
      </c>
      <c r="X2428" s="211"/>
    </row>
    <row r="2429">
      <c r="A2429" s="210" t="str">
        <f>IFERROR(__xludf.DUMMYFUNCTION("""COMPUTED_VALUE"""),"1125691720")</f>
        <v>1125691720</v>
      </c>
      <c r="B2429" s="210" t="str">
        <f>IFERROR(__xludf.DUMMYFUNCTION("""COMPUTED_VALUE"""),"1125691720")</f>
        <v>1125691720</v>
      </c>
      <c r="C2429" s="213">
        <f>IFERROR(__xludf.DUMMYFUNCTION("""COMPUTED_VALUE"""),45976.37732638889)</f>
        <v>45976.37733</v>
      </c>
      <c r="D2429" s="211" t="str">
        <f>IFERROR(__xludf.DUMMYFUNCTION("""COMPUTED_VALUE"""),"e86baf3b")</f>
        <v>e86baf3b</v>
      </c>
      <c r="E2429" s="211" t="str">
        <f>IFERROR(__xludf.DUMMYFUNCTION("""COMPUTED_VALUE"""),"PT GEMILANG CIPTA WAWASAN")</f>
        <v>PT GEMILANG CIPTA WAWASAN</v>
      </c>
      <c r="F2429" s="211" t="str">
        <f>IFERROR(__xludf.DUMMYFUNCTION("""COMPUTED_VALUE"""),"66af7c72")</f>
        <v>66af7c72</v>
      </c>
      <c r="G2429" s="211" t="str">
        <f>IFERROR(__xludf.DUMMYFUNCTION("""COMPUTED_VALUE"""),"Argon 6m3")</f>
        <v>Argon 6m3</v>
      </c>
      <c r="H2429" s="211" t="str">
        <f>IFERROR(__xludf.DUMMYFUNCTION("""COMPUTED_VALUE"""),"OUT")</f>
        <v>OUT</v>
      </c>
      <c r="I2429" s="211" t="str">
        <f>IFERROR(__xludf.DUMMYFUNCTION("""COMPUTED_VALUE"""),"NORMAL")</f>
        <v>NORMAL</v>
      </c>
      <c r="J2429" s="211">
        <f>IFERROR(__xludf.DUMMYFUNCTION("""COMPUTED_VALUE"""),10.0)</f>
        <v>10</v>
      </c>
      <c r="K2429" s="210" t="str">
        <f>IFERROR(__xludf.DUMMYFUNCTION("""COMPUTED_VALUE"""),"12004 12047 12054 12034 12033 12010 12005 12001 12042 12044")</f>
        <v>12004 12047 12054 12034 12033 12010 12005 12001 12042 12044</v>
      </c>
      <c r="L2429" s="211">
        <f>IFERROR(__xludf.DUMMYFUNCTION("""COMPUTED_VALUE"""),185000.0)</f>
        <v>185000</v>
      </c>
      <c r="M2429" s="211"/>
      <c r="N2429" s="211"/>
      <c r="O2429" s="211"/>
      <c r="Q2429" s="210" t="str">
        <f>IFERROR(__xludf.DUMMYFUNCTION("""COMPUTED_VALUE"""),"0226802429")</f>
        <v>0226802429</v>
      </c>
      <c r="R2429" s="210" t="str">
        <f>IFERROR(__xludf.DUMMYFUNCTION("""COMPUTED_VALUE"""),"0226802429")</f>
        <v>0226802429</v>
      </c>
      <c r="S2429" s="211" t="str">
        <f>IFERROR(__xludf.DUMMYFUNCTION("""COMPUTED_VALUE"""),"b2b5f2c5")</f>
        <v>b2b5f2c5</v>
      </c>
      <c r="T2429" s="211" t="str">
        <f>IFERROR(__xludf.DUMMYFUNCTION("""COMPUTED_VALUE"""),"Bengkel Las Bpk. Ari")</f>
        <v>Bengkel Las Bpk. Ari</v>
      </c>
      <c r="U2429" s="215">
        <f>IFERROR(__xludf.DUMMYFUNCTION("""COMPUTED_VALUE"""),46055.430868055555)</f>
        <v>46055.43087</v>
      </c>
      <c r="V2429" s="211" t="str">
        <f>IFERROR(__xludf.DUMMYFUNCTION("""COMPUTED_VALUE"""),"Sumber Kembar, Wonodadi, Kec. Kutorejo, Kabupaten Mojokerto, Jawa Timur")</f>
        <v>Sumber Kembar, Wonodadi, Kec. Kutorejo, Kabupaten Mojokerto, Jawa Timur</v>
      </c>
      <c r="W2429" s="211" t="str">
        <f>IFERROR(__xludf.DUMMYFUNCTION("""COMPUTED_VALUE"""),"OUT")</f>
        <v>OUT</v>
      </c>
      <c r="X2429" s="211"/>
    </row>
    <row r="2430">
      <c r="A2430" s="210" t="str">
        <f>IFERROR(__xludf.DUMMYFUNCTION("""COMPUTED_VALUE"""),"1125331721")</f>
        <v>1125331721</v>
      </c>
      <c r="B2430" s="210" t="str">
        <f>IFERROR(__xludf.DUMMYFUNCTION("""COMPUTED_VALUE"""),"1125331721")</f>
        <v>1125331721</v>
      </c>
      <c r="C2430" s="213">
        <f>IFERROR(__xludf.DUMMYFUNCTION("""COMPUTED_VALUE"""),45976.378217592595)</f>
        <v>45976.37822</v>
      </c>
      <c r="D2430" s="211" t="str">
        <f>IFERROR(__xludf.DUMMYFUNCTION("""COMPUTED_VALUE"""),"5f23ba17")</f>
        <v>5f23ba17</v>
      </c>
      <c r="E2430" s="211" t="str">
        <f>IFERROR(__xludf.DUMMYFUNCTION("""COMPUTED_VALUE"""),"Bpk. Joko (Gresik)")</f>
        <v>Bpk. Joko (Gresik)</v>
      </c>
      <c r="F2430" s="211" t="str">
        <f>IFERROR(__xludf.DUMMYFUNCTION("""COMPUTED_VALUE"""),"f6aab7a9")</f>
        <v>f6aab7a9</v>
      </c>
      <c r="G2430" s="211" t="str">
        <f>IFERROR(__xludf.DUMMYFUNCTION("""COMPUTED_VALUE"""),"Oksigen 6m3 MR")</f>
        <v>Oksigen 6m3 MR</v>
      </c>
      <c r="H2430" s="211" t="str">
        <f>IFERROR(__xludf.DUMMYFUNCTION("""COMPUTED_VALUE"""),"OUT")</f>
        <v>OUT</v>
      </c>
      <c r="I2430" s="211" t="str">
        <f>IFERROR(__xludf.DUMMYFUNCTION("""COMPUTED_VALUE"""),"NORMAL")</f>
        <v>NORMAL</v>
      </c>
      <c r="J2430" s="211">
        <f>IFERROR(__xludf.DUMMYFUNCTION("""COMPUTED_VALUE"""),14.0)</f>
        <v>14</v>
      </c>
      <c r="K2430" s="211"/>
      <c r="L2430" s="211">
        <f>IFERROR(__xludf.DUMMYFUNCTION("""COMPUTED_VALUE"""),55000.0)</f>
        <v>55000</v>
      </c>
      <c r="M2430" s="211"/>
      <c r="N2430" s="211"/>
      <c r="O2430" s="211"/>
      <c r="Q2430" s="210" t="str">
        <f>IFERROR(__xludf.DUMMYFUNCTION("""COMPUTED_VALUE"""),"1261181")</f>
        <v>1261181</v>
      </c>
      <c r="R2430" s="210" t="str">
        <f>IFERROR(__xludf.DUMMYFUNCTION("""COMPUTED_VALUE"""),"1261181")</f>
        <v>1261181</v>
      </c>
      <c r="S2430" s="211" t="str">
        <f>IFERROR(__xludf.DUMMYFUNCTION("""COMPUTED_VALUE"""),"734c6d17")</f>
        <v>734c6d17</v>
      </c>
      <c r="T2430" s="211" t="str">
        <f>IFERROR(__xludf.DUMMYFUNCTION("""COMPUTED_VALUE"""),"Bapak Ainol Yaqin ( Bpk. Ibnu )")</f>
        <v>Bapak Ainol Yaqin ( Bpk. Ibnu )</v>
      </c>
      <c r="U2430" s="215">
        <f>IFERROR(__xludf.DUMMYFUNCTION("""COMPUTED_VALUE"""),46055.440613425926)</f>
        <v>46055.44061</v>
      </c>
      <c r="V2430" s="211" t="str">
        <f>IFERROR(__xludf.DUMMYFUNCTION("""COMPUTED_VALUE"""),"Tanggul Wetan, Tanggul, Kec. Wonoayu, Kabupaten Sidoarjo, Jawa Timur")</f>
        <v>Tanggul Wetan, Tanggul, Kec. Wonoayu, Kabupaten Sidoarjo, Jawa Timur</v>
      </c>
      <c r="W2430" s="211" t="str">
        <f>IFERROR(__xludf.DUMMYFUNCTION("""COMPUTED_VALUE"""),"IN")</f>
        <v>IN</v>
      </c>
      <c r="X2430" s="211"/>
    </row>
    <row r="2431">
      <c r="A2431" s="210" t="str">
        <f>IFERROR(__xludf.DUMMYFUNCTION("""COMPUTED_VALUE"""),"1125401722")</f>
        <v>1125401722</v>
      </c>
      <c r="B2431" s="210" t="str">
        <f>IFERROR(__xludf.DUMMYFUNCTION("""COMPUTED_VALUE"""),"1125401722")</f>
        <v>1125401722</v>
      </c>
      <c r="C2431" s="213">
        <f>IFERROR(__xludf.DUMMYFUNCTION("""COMPUTED_VALUE"""),45976.43341435185)</f>
        <v>45976.43341</v>
      </c>
      <c r="D2431" s="211" t="str">
        <f>IFERROR(__xludf.DUMMYFUNCTION("""COMPUTED_VALUE"""),"b2b5f2c5")</f>
        <v>b2b5f2c5</v>
      </c>
      <c r="E2431" s="211" t="str">
        <f>IFERROR(__xludf.DUMMYFUNCTION("""COMPUTED_VALUE"""),"Bengkel Las Bpk. Ari")</f>
        <v>Bengkel Las Bpk. Ari</v>
      </c>
      <c r="F2431" s="211" t="str">
        <f>IFERROR(__xludf.DUMMYFUNCTION("""COMPUTED_VALUE"""),"8bdbe149")</f>
        <v>8bdbe149</v>
      </c>
      <c r="G2431" s="211" t="str">
        <f>IFERROR(__xludf.DUMMYFUNCTION("""COMPUTED_VALUE"""),"Oksigen 6m3")</f>
        <v>Oksigen 6m3</v>
      </c>
      <c r="H2431" s="211" t="str">
        <f>IFERROR(__xludf.DUMMYFUNCTION("""COMPUTED_VALUE"""),"OUT")</f>
        <v>OUT</v>
      </c>
      <c r="I2431" s="211" t="str">
        <f>IFERROR(__xludf.DUMMYFUNCTION("""COMPUTED_VALUE"""),"NORMAL")</f>
        <v>NORMAL</v>
      </c>
      <c r="J2431" s="211">
        <f>IFERROR(__xludf.DUMMYFUNCTION("""COMPUTED_VALUE"""),6.0)</f>
        <v>6</v>
      </c>
      <c r="K2431" s="210" t="str">
        <f>IFERROR(__xludf.DUMMYFUNCTION("""COMPUTED_VALUE"""),"1158 11101 1195 11232 11207 11251")</f>
        <v>1158 11101 1195 11232 11207 11251</v>
      </c>
      <c r="L2431" s="211">
        <f>IFERROR(__xludf.DUMMYFUNCTION("""COMPUTED_VALUE"""),60000.0)</f>
        <v>60000</v>
      </c>
      <c r="M2431" s="211"/>
      <c r="N2431" s="211"/>
      <c r="O2431" s="211"/>
      <c r="Q2431" s="210" t="str">
        <f>IFERROR(__xludf.DUMMYFUNCTION("""COMPUTED_VALUE"""),"1261166")</f>
        <v>1261166</v>
      </c>
      <c r="R2431" s="210" t="str">
        <f>IFERROR(__xludf.DUMMYFUNCTION("""COMPUTED_VALUE"""),"1261166")</f>
        <v>1261166</v>
      </c>
      <c r="S2431" s="211" t="str">
        <f>IFERROR(__xludf.DUMMYFUNCTION("""COMPUTED_VALUE"""),"8f5ebaea")</f>
        <v>8f5ebaea</v>
      </c>
      <c r="T2431" s="211" t="str">
        <f>IFERROR(__xludf.DUMMYFUNCTION("""COMPUTED_VALUE"""),"PT Hua Zong Mesindo")</f>
        <v>PT Hua Zong Mesindo</v>
      </c>
      <c r="U2431" s="215">
        <f>IFERROR(__xludf.DUMMYFUNCTION("""COMPUTED_VALUE"""),46055.520324074074)</f>
        <v>46055.52032</v>
      </c>
      <c r="V2431" s="211" t="str">
        <f>IFERROR(__xludf.DUMMYFUNCTION("""COMPUTED_VALUE"""),"Jl. Bypass Krian, Sidotemo, Sidomulyo, Kec. Krian, Kabupaten Sidoarjo, Jawa Timur 61262")</f>
        <v>Jl. Bypass Krian, Sidotemo, Sidomulyo, Kec. Krian, Kabupaten Sidoarjo, Jawa Timur 61262</v>
      </c>
      <c r="W2431" s="211" t="str">
        <f>IFERROR(__xludf.DUMMYFUNCTION("""COMPUTED_VALUE"""),"IN")</f>
        <v>IN</v>
      </c>
      <c r="X2431" s="211"/>
    </row>
    <row r="2432">
      <c r="A2432" s="210" t="str">
        <f>IFERROR(__xludf.DUMMYFUNCTION("""COMPUTED_VALUE"""),"1125401722")</f>
        <v>1125401722</v>
      </c>
      <c r="B2432" s="210" t="str">
        <f>IFERROR(__xludf.DUMMYFUNCTION("""COMPUTED_VALUE"""),"1125401722")</f>
        <v>1125401722</v>
      </c>
      <c r="C2432" s="213">
        <f>IFERROR(__xludf.DUMMYFUNCTION("""COMPUTED_VALUE"""),45976.43341435185)</f>
        <v>45976.43341</v>
      </c>
      <c r="D2432" s="211" t="str">
        <f>IFERROR(__xludf.DUMMYFUNCTION("""COMPUTED_VALUE"""),"b2b5f2c5")</f>
        <v>b2b5f2c5</v>
      </c>
      <c r="E2432" s="211" t="str">
        <f>IFERROR(__xludf.DUMMYFUNCTION("""COMPUTED_VALUE"""),"Bengkel Las Bpk. Ari")</f>
        <v>Bengkel Las Bpk. Ari</v>
      </c>
      <c r="F2432" s="211" t="str">
        <f>IFERROR(__xludf.DUMMYFUNCTION("""COMPUTED_VALUE"""),"ef306e54")</f>
        <v>ef306e54</v>
      </c>
      <c r="G2432" s="211" t="str">
        <f>IFERROR(__xludf.DUMMYFUNCTION("""COMPUTED_VALUE"""),"Karbondioksida")</f>
        <v>Karbondioksida</v>
      </c>
      <c r="H2432" s="211" t="str">
        <f>IFERROR(__xludf.DUMMYFUNCTION("""COMPUTED_VALUE"""),"OUT")</f>
        <v>OUT</v>
      </c>
      <c r="I2432" s="211" t="str">
        <f>IFERROR(__xludf.DUMMYFUNCTION("""COMPUTED_VALUE"""),"NORMAL")</f>
        <v>NORMAL</v>
      </c>
      <c r="J2432" s="211">
        <f>IFERROR(__xludf.DUMMYFUNCTION("""COMPUTED_VALUE"""),4.0)</f>
        <v>4</v>
      </c>
      <c r="K2432" s="210" t="str">
        <f>IFERROR(__xludf.DUMMYFUNCTION("""COMPUTED_VALUE"""),"13014 13017 13026 13035")</f>
        <v>13014 13017 13026 13035</v>
      </c>
      <c r="L2432" s="211">
        <f>IFERROR(__xludf.DUMMYFUNCTION("""COMPUTED_VALUE"""),170000.0)</f>
        <v>170000</v>
      </c>
      <c r="M2432" s="211"/>
      <c r="N2432" s="211"/>
      <c r="O2432" s="211"/>
      <c r="Q2432" s="210" t="str">
        <f>IFERROR(__xludf.DUMMYFUNCTION("""COMPUTED_VALUE"""),"1261165")</f>
        <v>1261165</v>
      </c>
      <c r="R2432" s="210" t="str">
        <f>IFERROR(__xludf.DUMMYFUNCTION("""COMPUTED_VALUE"""),"1261165")</f>
        <v>1261165</v>
      </c>
      <c r="S2432" s="211" t="str">
        <f>IFERROR(__xludf.DUMMYFUNCTION("""COMPUTED_VALUE"""),"63fc688a")</f>
        <v>63fc688a</v>
      </c>
      <c r="T2432" s="211" t="str">
        <f>IFERROR(__xludf.DUMMYFUNCTION("""COMPUTED_VALUE"""),"CV Malik Nusantara")</f>
        <v>CV Malik Nusantara</v>
      </c>
      <c r="U2432" s="215">
        <f>IFERROR(__xludf.DUMMYFUNCTION("""COMPUTED_VALUE"""),46055.52092592593)</f>
        <v>46055.52093</v>
      </c>
      <c r="V2432" s="211" t="str">
        <f>IFERROR(__xludf.DUMMYFUNCTION("""COMPUTED_VALUE"""),"Jl. Raya Balongbendo No.12, Suwaluh Utara, Suwaluh, Kec. BalongBendo, Kabupaten Sidoarjo, Jawa Timur 61263")</f>
        <v>Jl. Raya Balongbendo No.12, Suwaluh Utara, Suwaluh, Kec. BalongBendo, Kabupaten Sidoarjo, Jawa Timur 61263</v>
      </c>
      <c r="W2432" s="211" t="str">
        <f>IFERROR(__xludf.DUMMYFUNCTION("""COMPUTED_VALUE"""),"IN")</f>
        <v>IN</v>
      </c>
      <c r="X2432" s="211"/>
    </row>
    <row r="2433">
      <c r="A2433" s="210" t="str">
        <f>IFERROR(__xludf.DUMMYFUNCTION("""COMPUTED_VALUE"""),"1250785")</f>
        <v>1250785</v>
      </c>
      <c r="B2433" s="210" t="str">
        <f>IFERROR(__xludf.DUMMYFUNCTION("""COMPUTED_VALUE"""),"1250785")</f>
        <v>1250785</v>
      </c>
      <c r="C2433" s="213">
        <f>IFERROR(__xludf.DUMMYFUNCTION("""COMPUTED_VALUE"""),45976.49833333334)</f>
        <v>45976.49833</v>
      </c>
      <c r="D2433" s="211" t="str">
        <f>IFERROR(__xludf.DUMMYFUNCTION("""COMPUTED_VALUE"""),"e86baf3b")</f>
        <v>e86baf3b</v>
      </c>
      <c r="E2433" s="211" t="str">
        <f>IFERROR(__xludf.DUMMYFUNCTION("""COMPUTED_VALUE"""),"PT GEMILANG CIPTA WAWASAN")</f>
        <v>PT GEMILANG CIPTA WAWASAN</v>
      </c>
      <c r="F2433" s="211" t="str">
        <f>IFERROR(__xludf.DUMMYFUNCTION("""COMPUTED_VALUE"""),"8bdbe149")</f>
        <v>8bdbe149</v>
      </c>
      <c r="G2433" s="211" t="str">
        <f>IFERROR(__xludf.DUMMYFUNCTION("""COMPUTED_VALUE"""),"Oksigen 6m3")</f>
        <v>Oksigen 6m3</v>
      </c>
      <c r="H2433" s="211" t="str">
        <f>IFERROR(__xludf.DUMMYFUNCTION("""COMPUTED_VALUE"""),"IN")</f>
        <v>IN</v>
      </c>
      <c r="I2433" s="211" t="str">
        <f>IFERROR(__xludf.DUMMYFUNCTION("""COMPUTED_VALUE"""),"EMPTY")</f>
        <v>EMPTY</v>
      </c>
      <c r="J2433" s="211">
        <f>IFERROR(__xludf.DUMMYFUNCTION("""COMPUTED_VALUE"""),1.0)</f>
        <v>1</v>
      </c>
      <c r="K2433" s="210" t="str">
        <f>IFERROR(__xludf.DUMMYFUNCTION("""COMPUTED_VALUE"""),"11187")</f>
        <v>11187</v>
      </c>
      <c r="L2433" s="211">
        <f>IFERROR(__xludf.DUMMYFUNCTION("""COMPUTED_VALUE"""),0.0)</f>
        <v>0</v>
      </c>
      <c r="M2433" s="211"/>
      <c r="N2433" s="211"/>
      <c r="O2433" s="211"/>
      <c r="Q2433" s="210" t="str">
        <f>IFERROR(__xludf.DUMMYFUNCTION("""COMPUTED_VALUE"""),"1261167")</f>
        <v>1261167</v>
      </c>
      <c r="R2433" s="210" t="str">
        <f>IFERROR(__xludf.DUMMYFUNCTION("""COMPUTED_VALUE"""),"1261167")</f>
        <v>1261167</v>
      </c>
      <c r="S2433" s="211" t="str">
        <f>IFERROR(__xludf.DUMMYFUNCTION("""COMPUTED_VALUE"""),"b218b89b")</f>
        <v>b218b89b</v>
      </c>
      <c r="T2433" s="211" t="str">
        <f>IFERROR(__xludf.DUMMYFUNCTION("""COMPUTED_VALUE"""),"PT Harapan Sentosa")</f>
        <v>PT Harapan Sentosa</v>
      </c>
      <c r="U2433" s="215">
        <f>IFERROR(__xludf.DUMMYFUNCTION("""COMPUTED_VALUE"""),46055.52150462963)</f>
        <v>46055.5215</v>
      </c>
      <c r="V2433" s="211" t="str">
        <f>IFERROR(__xludf.DUMMYFUNCTION("""COMPUTED_VALUE"""),"Seketi, Jl. Purboyo II Selatan, RT.02/RW.02, Seketi, Kec. BalongBendo, Kabupaten Sidoarjo, Jawa Timur 61263")</f>
        <v>Seketi, Jl. Purboyo II Selatan, RT.02/RW.02, Seketi, Kec. BalongBendo, Kabupaten Sidoarjo, Jawa Timur 61263</v>
      </c>
      <c r="W2433" s="211" t="str">
        <f>IFERROR(__xludf.DUMMYFUNCTION("""COMPUTED_VALUE"""),"IN")</f>
        <v>IN</v>
      </c>
      <c r="X2433" s="211"/>
    </row>
    <row r="2434">
      <c r="A2434" s="210" t="str">
        <f>IFERROR(__xludf.DUMMYFUNCTION("""COMPUTED_VALUE"""),"1250785")</f>
        <v>1250785</v>
      </c>
      <c r="B2434" s="210" t="str">
        <f>IFERROR(__xludf.DUMMYFUNCTION("""COMPUTED_VALUE"""),"1250785")</f>
        <v>1250785</v>
      </c>
      <c r="C2434" s="213">
        <f>IFERROR(__xludf.DUMMYFUNCTION("""COMPUTED_VALUE"""),45976.49833333334)</f>
        <v>45976.49833</v>
      </c>
      <c r="D2434" s="211" t="str">
        <f>IFERROR(__xludf.DUMMYFUNCTION("""COMPUTED_VALUE"""),"e86baf3b")</f>
        <v>e86baf3b</v>
      </c>
      <c r="E2434" s="211" t="str">
        <f>IFERROR(__xludf.DUMMYFUNCTION("""COMPUTED_VALUE"""),"PT GEMILANG CIPTA WAWASAN")</f>
        <v>PT GEMILANG CIPTA WAWASAN</v>
      </c>
      <c r="F2434" s="211" t="str">
        <f>IFERROR(__xludf.DUMMYFUNCTION("""COMPUTED_VALUE"""),"7d2764f1")</f>
        <v>7d2764f1</v>
      </c>
      <c r="G2434" s="211" t="str">
        <f>IFERROR(__xludf.DUMMYFUNCTION("""COMPUTED_VALUE"""),"Oksigen 7m3")</f>
        <v>Oksigen 7m3</v>
      </c>
      <c r="H2434" s="211" t="str">
        <f>IFERROR(__xludf.DUMMYFUNCTION("""COMPUTED_VALUE"""),"IN")</f>
        <v>IN</v>
      </c>
      <c r="I2434" s="211" t="str">
        <f>IFERROR(__xludf.DUMMYFUNCTION("""COMPUTED_VALUE"""),"EMPTY")</f>
        <v>EMPTY</v>
      </c>
      <c r="J2434" s="211">
        <f>IFERROR(__xludf.DUMMYFUNCTION("""COMPUTED_VALUE"""),1.0)</f>
        <v>1</v>
      </c>
      <c r="K2434" s="210" t="str">
        <f>IFERROR(__xludf.DUMMYFUNCTION("""COMPUTED_VALUE"""),"11155")</f>
        <v>11155</v>
      </c>
      <c r="L2434" s="211">
        <f>IFERROR(__xludf.DUMMYFUNCTION("""COMPUTED_VALUE"""),0.0)</f>
        <v>0</v>
      </c>
      <c r="M2434" s="211"/>
      <c r="N2434" s="211"/>
      <c r="O2434" s="211"/>
      <c r="Q2434" s="210" t="str">
        <f>IFERROR(__xludf.DUMMYFUNCTION("""COMPUTED_VALUE"""),"4022632301")</f>
        <v>4022632301</v>
      </c>
      <c r="R2434" s="210" t="str">
        <f>IFERROR(__xludf.DUMMYFUNCTION("""COMPUTED_VALUE"""),"4022632301")</f>
        <v>4022632301</v>
      </c>
      <c r="S2434" s="211" t="str">
        <f>IFERROR(__xludf.DUMMYFUNCTION("""COMPUTED_VALUE"""),"be2c16c7")</f>
        <v>be2c16c7</v>
      </c>
      <c r="T2434" s="211" t="str">
        <f>IFERROR(__xludf.DUMMYFUNCTION("""COMPUTED_VALUE"""),"Toko Setya ( Mas Farid )")</f>
        <v>Toko Setya ( Mas Farid )</v>
      </c>
      <c r="U2434" s="215">
        <f>IFERROR(__xludf.DUMMYFUNCTION("""COMPUTED_VALUE"""),46055.53538194444)</f>
        <v>46055.53538</v>
      </c>
      <c r="V2434" s="211" t="str">
        <f>IFERROR(__xludf.DUMMYFUNCTION("""COMPUTED_VALUE"""),"JL. Rendi agung No 452 Kel. Urangagung, kec/kab. Sidoarjo")</f>
        <v>JL. Rendi agung No 452 Kel. Urangagung, kec/kab. Sidoarjo</v>
      </c>
      <c r="W2434" s="211" t="str">
        <f>IFERROR(__xludf.DUMMYFUNCTION("""COMPUTED_VALUE"""),"OTHER")</f>
        <v>OTHER</v>
      </c>
      <c r="X2434" s="211"/>
    </row>
    <row r="2435">
      <c r="A2435" s="210" t="str">
        <f>IFERROR(__xludf.DUMMYFUNCTION("""COMPUTED_VALUE"""),"1250785")</f>
        <v>1250785</v>
      </c>
      <c r="B2435" s="210" t="str">
        <f>IFERROR(__xludf.DUMMYFUNCTION("""COMPUTED_VALUE"""),"1250785")</f>
        <v>1250785</v>
      </c>
      <c r="C2435" s="213">
        <f>IFERROR(__xludf.DUMMYFUNCTION("""COMPUTED_VALUE"""),45976.49833333334)</f>
        <v>45976.49833</v>
      </c>
      <c r="D2435" s="211" t="str">
        <f>IFERROR(__xludf.DUMMYFUNCTION("""COMPUTED_VALUE"""),"e86baf3b")</f>
        <v>e86baf3b</v>
      </c>
      <c r="E2435" s="211" t="str">
        <f>IFERROR(__xludf.DUMMYFUNCTION("""COMPUTED_VALUE"""),"PT GEMILANG CIPTA WAWASAN")</f>
        <v>PT GEMILANG CIPTA WAWASAN</v>
      </c>
      <c r="F2435" s="211" t="str">
        <f>IFERROR(__xludf.DUMMYFUNCTION("""COMPUTED_VALUE"""),"66af7c72")</f>
        <v>66af7c72</v>
      </c>
      <c r="G2435" s="211" t="str">
        <f>IFERROR(__xludf.DUMMYFUNCTION("""COMPUTED_VALUE"""),"Argon 6m3")</f>
        <v>Argon 6m3</v>
      </c>
      <c r="H2435" s="211" t="str">
        <f>IFERROR(__xludf.DUMMYFUNCTION("""COMPUTED_VALUE"""),"IN")</f>
        <v>IN</v>
      </c>
      <c r="I2435" s="211" t="str">
        <f>IFERROR(__xludf.DUMMYFUNCTION("""COMPUTED_VALUE"""),"EMPTY")</f>
        <v>EMPTY</v>
      </c>
      <c r="J2435" s="211">
        <f>IFERROR(__xludf.DUMMYFUNCTION("""COMPUTED_VALUE"""),19.0)</f>
        <v>19</v>
      </c>
      <c r="K2435" s="210" t="str">
        <f>IFERROR(__xludf.DUMMYFUNCTION("""COMPUTED_VALUE"""),"12014 12020 12053 12066 12015 12076 12064 12077 12039 12031 12026 12038 12083 12013 12032 12046 12080 12019 12048")</f>
        <v>12014 12020 12053 12066 12015 12076 12064 12077 12039 12031 12026 12038 12083 12013 12032 12046 12080 12019 12048</v>
      </c>
      <c r="L2435" s="211">
        <f>IFERROR(__xludf.DUMMYFUNCTION("""COMPUTED_VALUE"""),0.0)</f>
        <v>0</v>
      </c>
      <c r="M2435" s="211"/>
      <c r="N2435" s="211"/>
      <c r="O2435" s="211"/>
      <c r="Q2435" s="210" t="str">
        <f>IFERROR(__xludf.DUMMYFUNCTION("""COMPUTED_VALUE"""),"1261182")</f>
        <v>1261182</v>
      </c>
      <c r="R2435" s="210" t="str">
        <f>IFERROR(__xludf.DUMMYFUNCTION("""COMPUTED_VALUE"""),"1261182")</f>
        <v>1261182</v>
      </c>
      <c r="S2435" s="211" t="str">
        <f>IFERROR(__xludf.DUMMYFUNCTION("""COMPUTED_VALUE"""),"b2b5f2c5")</f>
        <v>b2b5f2c5</v>
      </c>
      <c r="T2435" s="211" t="str">
        <f>IFERROR(__xludf.DUMMYFUNCTION("""COMPUTED_VALUE"""),"Bengkel Las Bpk. Ari")</f>
        <v>Bengkel Las Bpk. Ari</v>
      </c>
      <c r="U2435" s="215">
        <f>IFERROR(__xludf.DUMMYFUNCTION("""COMPUTED_VALUE"""),46055.62872685185)</f>
        <v>46055.62873</v>
      </c>
      <c r="V2435" s="211" t="str">
        <f>IFERROR(__xludf.DUMMYFUNCTION("""COMPUTED_VALUE"""),"Sumber Kembar, Wonodadi, Kec. Kutorejo, Kabupaten Mojokerto, Jawa Timur")</f>
        <v>Sumber Kembar, Wonodadi, Kec. Kutorejo, Kabupaten Mojokerto, Jawa Timur</v>
      </c>
      <c r="W2435" s="211" t="str">
        <f>IFERROR(__xludf.DUMMYFUNCTION("""COMPUTED_VALUE"""),"IN")</f>
        <v>IN</v>
      </c>
      <c r="X2435" s="211"/>
    </row>
    <row r="2436">
      <c r="A2436" s="210" t="str">
        <f>IFERROR(__xludf.DUMMYFUNCTION("""COMPUTED_VALUE"""),"112531718")</f>
        <v>112531718</v>
      </c>
      <c r="B2436" s="210" t="str">
        <f>IFERROR(__xludf.DUMMYFUNCTION("""COMPUTED_VALUE"""),"112531718")</f>
        <v>112531718</v>
      </c>
      <c r="C2436" s="213">
        <f>IFERROR(__xludf.DUMMYFUNCTION("""COMPUTED_VALUE"""),45976.535520833335)</f>
        <v>45976.53552</v>
      </c>
      <c r="D2436" s="211" t="str">
        <f>IFERROR(__xludf.DUMMYFUNCTION("""COMPUTED_VALUE"""),"9e66ced9")</f>
        <v>9e66ced9</v>
      </c>
      <c r="E2436" s="211" t="str">
        <f>IFERROR(__xludf.DUMMYFUNCTION("""COMPUTED_VALUE"""),"Bapak Angga")</f>
        <v>Bapak Angga</v>
      </c>
      <c r="F2436" s="211" t="str">
        <f>IFERROR(__xludf.DUMMYFUNCTION("""COMPUTED_VALUE"""),"ef306e54")</f>
        <v>ef306e54</v>
      </c>
      <c r="G2436" s="211" t="str">
        <f>IFERROR(__xludf.DUMMYFUNCTION("""COMPUTED_VALUE"""),"Karbondioksida")</f>
        <v>Karbondioksida</v>
      </c>
      <c r="H2436" s="211" t="str">
        <f>IFERROR(__xludf.DUMMYFUNCTION("""COMPUTED_VALUE"""),"OUT")</f>
        <v>OUT</v>
      </c>
      <c r="I2436" s="211" t="str">
        <f>IFERROR(__xludf.DUMMYFUNCTION("""COMPUTED_VALUE"""),"NORMAL")</f>
        <v>NORMAL</v>
      </c>
      <c r="J2436" s="211">
        <f>IFERROR(__xludf.DUMMYFUNCTION("""COMPUTED_VALUE"""),3.0)</f>
        <v>3</v>
      </c>
      <c r="K2436" s="210" t="str">
        <f>IFERROR(__xludf.DUMMYFUNCTION("""COMPUTED_VALUE"""),"13042 13032 13041")</f>
        <v>13042 13032 13041</v>
      </c>
      <c r="L2436" s="211">
        <f>IFERROR(__xludf.DUMMYFUNCTION("""COMPUTED_VALUE"""),155000.0)</f>
        <v>155000</v>
      </c>
      <c r="M2436" s="211"/>
      <c r="N2436" s="211"/>
      <c r="O2436" s="211"/>
      <c r="Q2436" s="210" t="str">
        <f>IFERROR(__xludf.DUMMYFUNCTION("""COMPUTED_VALUE"""),"1261184")</f>
        <v>1261184</v>
      </c>
      <c r="R2436" s="210" t="str">
        <f>IFERROR(__xludf.DUMMYFUNCTION("""COMPUTED_VALUE"""),"1261184")</f>
        <v>1261184</v>
      </c>
      <c r="S2436" s="211" t="str">
        <f>IFERROR(__xludf.DUMMYFUNCTION("""COMPUTED_VALUE"""),"9828dfc5")</f>
        <v>9828dfc5</v>
      </c>
      <c r="T2436" s="211" t="str">
        <f>IFERROR(__xludf.DUMMYFUNCTION("""COMPUTED_VALUE"""),"Bpk. David")</f>
        <v>Bpk. David</v>
      </c>
      <c r="U2436" s="215">
        <f>IFERROR(__xludf.DUMMYFUNCTION("""COMPUTED_VALUE"""),46055.63930555555)</f>
        <v>46055.63931</v>
      </c>
      <c r="V2436" s="211" t="str">
        <f>IFERROR(__xludf.DUMMYFUNCTION("""COMPUTED_VALUE"""),"GHF3+R34, Jl. Kartini, Ngingas, Ngimbangan, Kec. Mojosari, Kabupaten Mojokerto, Jawa Timur 61382")</f>
        <v>GHF3+R34, Jl. Kartini, Ngingas, Ngimbangan, Kec. Mojosari, Kabupaten Mojokerto, Jawa Timur 61382</v>
      </c>
      <c r="W2436" s="211" t="str">
        <f>IFERROR(__xludf.DUMMYFUNCTION("""COMPUTED_VALUE"""),"IN")</f>
        <v>IN</v>
      </c>
      <c r="X2436" s="211"/>
    </row>
    <row r="2437">
      <c r="A2437" s="210" t="str">
        <f>IFERROR(__xludf.DUMMYFUNCTION("""COMPUTED_VALUE"""),"1250798")</f>
        <v>1250798</v>
      </c>
      <c r="B2437" s="210" t="str">
        <f>IFERROR(__xludf.DUMMYFUNCTION("""COMPUTED_VALUE"""),"1250798")</f>
        <v>1250798</v>
      </c>
      <c r="C2437" s="213">
        <f>IFERROR(__xludf.DUMMYFUNCTION("""COMPUTED_VALUE"""),45976.62053240741)</f>
        <v>45976.62053</v>
      </c>
      <c r="D2437" s="211" t="str">
        <f>IFERROR(__xludf.DUMMYFUNCTION("""COMPUTED_VALUE"""),"9e31e9f4")</f>
        <v>9e31e9f4</v>
      </c>
      <c r="E2437" s="211" t="str">
        <f>IFERROR(__xludf.DUMMYFUNCTION("""COMPUTED_VALUE"""),"Bpk. Eko Iswantoro")</f>
        <v>Bpk. Eko Iswantoro</v>
      </c>
      <c r="F2437" s="211" t="str">
        <f>IFERROR(__xludf.DUMMYFUNCTION("""COMPUTED_VALUE"""),"8bdbe149")</f>
        <v>8bdbe149</v>
      </c>
      <c r="G2437" s="211" t="str">
        <f>IFERROR(__xludf.DUMMYFUNCTION("""COMPUTED_VALUE"""),"Oksigen 6m3")</f>
        <v>Oksigen 6m3</v>
      </c>
      <c r="H2437" s="211" t="str">
        <f>IFERROR(__xludf.DUMMYFUNCTION("""COMPUTED_VALUE"""),"IN")</f>
        <v>IN</v>
      </c>
      <c r="I2437" s="211" t="str">
        <f>IFERROR(__xludf.DUMMYFUNCTION("""COMPUTED_VALUE"""),"EMPTY")</f>
        <v>EMPTY</v>
      </c>
      <c r="J2437" s="211">
        <f>IFERROR(__xludf.DUMMYFUNCTION("""COMPUTED_VALUE"""),4.0)</f>
        <v>4</v>
      </c>
      <c r="K2437" s="210" t="str">
        <f>IFERROR(__xludf.DUMMYFUNCTION("""COMPUTED_VALUE"""),"1169 1133 11263 1131")</f>
        <v>1169 1133 11263 1131</v>
      </c>
      <c r="L2437" s="211">
        <f>IFERROR(__xludf.DUMMYFUNCTION("""COMPUTED_VALUE"""),0.0)</f>
        <v>0</v>
      </c>
      <c r="M2437" s="211"/>
      <c r="N2437" s="211"/>
      <c r="O2437" s="211"/>
      <c r="Q2437" s="210" t="str">
        <f>IFERROR(__xludf.DUMMYFUNCTION("""COMPUTED_VALUE"""),"022622430")</f>
        <v>022622430</v>
      </c>
      <c r="R2437" s="210" t="str">
        <f>IFERROR(__xludf.DUMMYFUNCTION("""COMPUTED_VALUE"""),"022622430")</f>
        <v>022622430</v>
      </c>
      <c r="S2437" s="211" t="str">
        <f>IFERROR(__xludf.DUMMYFUNCTION("""COMPUTED_VALUE"""),"2814d559")</f>
        <v>2814d559</v>
      </c>
      <c r="T2437" s="211" t="str">
        <f>IFERROR(__xludf.DUMMYFUNCTION("""COMPUTED_VALUE"""),"Bpk. Gunarso")</f>
        <v>Bpk. Gunarso</v>
      </c>
      <c r="U2437" s="215">
        <f>IFERROR(__xludf.DUMMYFUNCTION("""COMPUTED_VALUE"""),46056.34649305556)</f>
        <v>46056.34649</v>
      </c>
      <c r="V2437" s="211" t="str">
        <f>IFERROR(__xludf.DUMMYFUNCTION("""COMPUTED_VALUE"""),"Kraton RT 13 RW 03 Kraton Krian Sidoarjo Jawa Timur")</f>
        <v>Kraton RT 13 RW 03 Kraton Krian Sidoarjo Jawa Timur</v>
      </c>
      <c r="W2437" s="211" t="str">
        <f>IFERROR(__xludf.DUMMYFUNCTION("""COMPUTED_VALUE"""),"OUT")</f>
        <v>OUT</v>
      </c>
      <c r="X2437" s="211"/>
    </row>
    <row r="2438">
      <c r="A2438" s="210" t="str">
        <f>IFERROR(__xludf.DUMMYFUNCTION("""COMPUTED_VALUE"""),"1250799")</f>
        <v>1250799</v>
      </c>
      <c r="B2438" s="210" t="str">
        <f>IFERROR(__xludf.DUMMYFUNCTION("""COMPUTED_VALUE"""),"1250799")</f>
        <v>1250799</v>
      </c>
      <c r="C2438" s="213">
        <f>IFERROR(__xludf.DUMMYFUNCTION("""COMPUTED_VALUE"""),45976.622708333336)</f>
        <v>45976.62271</v>
      </c>
      <c r="D2438" s="211" t="str">
        <f>IFERROR(__xludf.DUMMYFUNCTION("""COMPUTED_VALUE"""),"b2b5f2c5")</f>
        <v>b2b5f2c5</v>
      </c>
      <c r="E2438" s="211" t="str">
        <f>IFERROR(__xludf.DUMMYFUNCTION("""COMPUTED_VALUE"""),"Bengkel Las Bpk. Ari")</f>
        <v>Bengkel Las Bpk. Ari</v>
      </c>
      <c r="F2438" s="211" t="str">
        <f>IFERROR(__xludf.DUMMYFUNCTION("""COMPUTED_VALUE"""),"ef306e54")</f>
        <v>ef306e54</v>
      </c>
      <c r="G2438" s="211" t="str">
        <f>IFERROR(__xludf.DUMMYFUNCTION("""COMPUTED_VALUE"""),"Karbondioksida")</f>
        <v>Karbondioksida</v>
      </c>
      <c r="H2438" s="211" t="str">
        <f>IFERROR(__xludf.DUMMYFUNCTION("""COMPUTED_VALUE"""),"IN")</f>
        <v>IN</v>
      </c>
      <c r="I2438" s="211" t="str">
        <f>IFERROR(__xludf.DUMMYFUNCTION("""COMPUTED_VALUE"""),"EMPTY")</f>
        <v>EMPTY</v>
      </c>
      <c r="J2438" s="211">
        <f>IFERROR(__xludf.DUMMYFUNCTION("""COMPUTED_VALUE"""),3.0)</f>
        <v>3</v>
      </c>
      <c r="K2438" s="210" t="str">
        <f>IFERROR(__xludf.DUMMYFUNCTION("""COMPUTED_VALUE"""),"13010 13038 13034")</f>
        <v>13010 13038 13034</v>
      </c>
      <c r="L2438" s="211">
        <f>IFERROR(__xludf.DUMMYFUNCTION("""COMPUTED_VALUE"""),0.0)</f>
        <v>0</v>
      </c>
      <c r="M2438" s="211"/>
      <c r="N2438" s="211"/>
      <c r="O2438" s="211"/>
      <c r="Q2438" s="210" t="str">
        <f>IFERROR(__xludf.DUMMYFUNCTION("""COMPUTED_VALUE"""),"022672438")</f>
        <v>022672438</v>
      </c>
      <c r="R2438" s="210" t="str">
        <f>IFERROR(__xludf.DUMMYFUNCTION("""COMPUTED_VALUE"""),"022672438")</f>
        <v>022672438</v>
      </c>
      <c r="S2438" s="211" t="str">
        <f>IFERROR(__xludf.DUMMYFUNCTION("""COMPUTED_VALUE"""),"9828dfc5")</f>
        <v>9828dfc5</v>
      </c>
      <c r="T2438" s="211" t="str">
        <f>IFERROR(__xludf.DUMMYFUNCTION("""COMPUTED_VALUE"""),"Bpk. David")</f>
        <v>Bpk. David</v>
      </c>
      <c r="U2438" s="215">
        <f>IFERROR(__xludf.DUMMYFUNCTION("""COMPUTED_VALUE"""),46056.37829861111)</f>
        <v>46056.3783</v>
      </c>
      <c r="V2438" s="211" t="str">
        <f>IFERROR(__xludf.DUMMYFUNCTION("""COMPUTED_VALUE"""),"GHF3+R34, Jl. Kartini, Ngingas, Ngimbangan, Kec. Mojosari, Kabupaten Mojokerto, Jawa Timur 61382")</f>
        <v>GHF3+R34, Jl. Kartini, Ngingas, Ngimbangan, Kec. Mojosari, Kabupaten Mojokerto, Jawa Timur 61382</v>
      </c>
      <c r="W2438" s="211" t="str">
        <f>IFERROR(__xludf.DUMMYFUNCTION("""COMPUTED_VALUE"""),"OUT")</f>
        <v>OUT</v>
      </c>
      <c r="X2438" s="211"/>
    </row>
    <row r="2439">
      <c r="A2439" s="210" t="str">
        <f>IFERROR(__xludf.DUMMYFUNCTION("""COMPUTED_VALUE"""),"1250799")</f>
        <v>1250799</v>
      </c>
      <c r="B2439" s="210" t="str">
        <f>IFERROR(__xludf.DUMMYFUNCTION("""COMPUTED_VALUE"""),"1250799")</f>
        <v>1250799</v>
      </c>
      <c r="C2439" s="213">
        <f>IFERROR(__xludf.DUMMYFUNCTION("""COMPUTED_VALUE"""),45976.622708333336)</f>
        <v>45976.62271</v>
      </c>
      <c r="D2439" s="211" t="str">
        <f>IFERROR(__xludf.DUMMYFUNCTION("""COMPUTED_VALUE"""),"b2b5f2c5")</f>
        <v>b2b5f2c5</v>
      </c>
      <c r="E2439" s="211" t="str">
        <f>IFERROR(__xludf.DUMMYFUNCTION("""COMPUTED_VALUE"""),"Bengkel Las Bpk. Ari")</f>
        <v>Bengkel Las Bpk. Ari</v>
      </c>
      <c r="F2439" s="211" t="str">
        <f>IFERROR(__xludf.DUMMYFUNCTION("""COMPUTED_VALUE"""),"8bdbe149")</f>
        <v>8bdbe149</v>
      </c>
      <c r="G2439" s="211" t="str">
        <f>IFERROR(__xludf.DUMMYFUNCTION("""COMPUTED_VALUE"""),"Oksigen 6m3")</f>
        <v>Oksigen 6m3</v>
      </c>
      <c r="H2439" s="211" t="str">
        <f>IFERROR(__xludf.DUMMYFUNCTION("""COMPUTED_VALUE"""),"IN")</f>
        <v>IN</v>
      </c>
      <c r="I2439" s="211" t="str">
        <f>IFERROR(__xludf.DUMMYFUNCTION("""COMPUTED_VALUE"""),"EMPTY")</f>
        <v>EMPTY</v>
      </c>
      <c r="J2439" s="211">
        <f>IFERROR(__xludf.DUMMYFUNCTION("""COMPUTED_VALUE"""),8.0)</f>
        <v>8</v>
      </c>
      <c r="K2439" s="210" t="str">
        <f>IFERROR(__xludf.DUMMYFUNCTION("""COMPUTED_VALUE"""),"1102 11258 11130 1142 11245 11118 11297 1146")</f>
        <v>1102 11258 11130 1142 11245 11118 11297 1146</v>
      </c>
      <c r="L2439" s="211">
        <f>IFERROR(__xludf.DUMMYFUNCTION("""COMPUTED_VALUE"""),0.0)</f>
        <v>0</v>
      </c>
      <c r="M2439" s="211"/>
      <c r="N2439" s="211"/>
      <c r="O2439" s="211"/>
      <c r="Q2439" s="210" t="str">
        <f>IFERROR(__xludf.DUMMYFUNCTION("""COMPUTED_VALUE"""),"0226432439")</f>
        <v>0226432439</v>
      </c>
      <c r="R2439" s="210" t="str">
        <f>IFERROR(__xludf.DUMMYFUNCTION("""COMPUTED_VALUE"""),"0226432439")</f>
        <v>0226432439</v>
      </c>
      <c r="S2439" s="211" t="str">
        <f>IFERROR(__xludf.DUMMYFUNCTION("""COMPUTED_VALUE"""),"ec231cc9")</f>
        <v>ec231cc9</v>
      </c>
      <c r="T2439" s="211" t="str">
        <f>IFERROR(__xludf.DUMMYFUNCTION("""COMPUTED_VALUE"""),"Bpk. Kohir (Maintenance Velg)")</f>
        <v>Bpk. Kohir (Maintenance Velg)</v>
      </c>
      <c r="U2439" s="215">
        <f>IFERROR(__xludf.DUMMYFUNCTION("""COMPUTED_VALUE"""),46056.5471412037)</f>
        <v>46056.54714</v>
      </c>
      <c r="V2439" s="211" t="str">
        <f>IFERROR(__xludf.DUMMYFUNCTION("""COMPUTED_VALUE"""),"Jl. Lkr. Bypass Krian Timur, Sidogolong, Watugolong, Kec. Krian, Kabupaten Sidoarjo, Jawa Timur 61262")</f>
        <v>Jl. Lkr. Bypass Krian Timur, Sidogolong, Watugolong, Kec. Krian, Kabupaten Sidoarjo, Jawa Timur 61262</v>
      </c>
      <c r="W2439" s="211" t="str">
        <f>IFERROR(__xludf.DUMMYFUNCTION("""COMPUTED_VALUE"""),"OUT")</f>
        <v>OUT</v>
      </c>
      <c r="X2439" s="211"/>
    </row>
    <row r="2440">
      <c r="A2440" s="210" t="str">
        <f>IFERROR(__xludf.DUMMYFUNCTION("""COMPUTED_VALUE"""),"1125211723")</f>
        <v>1125211723</v>
      </c>
      <c r="B2440" s="210" t="str">
        <f>IFERROR(__xludf.DUMMYFUNCTION("""COMPUTED_VALUE"""),"1125211723")</f>
        <v>1125211723</v>
      </c>
      <c r="C2440" s="213">
        <f>IFERROR(__xludf.DUMMYFUNCTION("""COMPUTED_VALUE"""),45978.46538194444)</f>
        <v>45978.46538</v>
      </c>
      <c r="D2440" s="211" t="str">
        <f>IFERROR(__xludf.DUMMYFUNCTION("""COMPUTED_VALUE"""),"3bcd7fe6")</f>
        <v>3bcd7fe6</v>
      </c>
      <c r="E2440" s="211" t="str">
        <f>IFERROR(__xludf.DUMMYFUNCTION("""COMPUTED_VALUE"""),"Bpk. Alvin (LB Group)")</f>
        <v>Bpk. Alvin (LB Group)</v>
      </c>
      <c r="F2440" s="211" t="str">
        <f>IFERROR(__xludf.DUMMYFUNCTION("""COMPUTED_VALUE"""),"f6aab7a9")</f>
        <v>f6aab7a9</v>
      </c>
      <c r="G2440" s="211" t="str">
        <f>IFERROR(__xludf.DUMMYFUNCTION("""COMPUTED_VALUE"""),"Oksigen 6m3 MR")</f>
        <v>Oksigen 6m3 MR</v>
      </c>
      <c r="H2440" s="211" t="str">
        <f>IFERROR(__xludf.DUMMYFUNCTION("""COMPUTED_VALUE"""),"OUT")</f>
        <v>OUT</v>
      </c>
      <c r="I2440" s="211" t="str">
        <f>IFERROR(__xludf.DUMMYFUNCTION("""COMPUTED_VALUE"""),"NORMAL")</f>
        <v>NORMAL</v>
      </c>
      <c r="J2440" s="211">
        <f>IFERROR(__xludf.DUMMYFUNCTION("""COMPUTED_VALUE"""),1.0)</f>
        <v>1</v>
      </c>
      <c r="K2440" s="210" t="str">
        <f>IFERROR(__xludf.DUMMYFUNCTION("""COMPUTED_VALUE"""),"01")</f>
        <v>01</v>
      </c>
      <c r="L2440" s="211">
        <f>IFERROR(__xludf.DUMMYFUNCTION("""COMPUTED_VALUE"""),50000.0)</f>
        <v>50000</v>
      </c>
      <c r="M2440" s="211"/>
      <c r="N2440" s="211"/>
      <c r="O2440" s="211"/>
      <c r="Q2440" s="210" t="str">
        <f>IFERROR(__xludf.DUMMYFUNCTION("""COMPUTED_VALUE"""),"1261170")</f>
        <v>1261170</v>
      </c>
      <c r="R2440" s="210" t="str">
        <f>IFERROR(__xludf.DUMMYFUNCTION("""COMPUTED_VALUE"""),"1261170")</f>
        <v>1261170</v>
      </c>
      <c r="S2440" s="211" t="str">
        <f>IFERROR(__xludf.DUMMYFUNCTION("""COMPUTED_VALUE"""),"b2b5f2c5")</f>
        <v>b2b5f2c5</v>
      </c>
      <c r="T2440" s="211" t="str">
        <f>IFERROR(__xludf.DUMMYFUNCTION("""COMPUTED_VALUE"""),"Bengkel Las Bpk. Ari")</f>
        <v>Bengkel Las Bpk. Ari</v>
      </c>
      <c r="U2440" s="215">
        <f>IFERROR(__xludf.DUMMYFUNCTION("""COMPUTED_VALUE"""),46056.548726851855)</f>
        <v>46056.54873</v>
      </c>
      <c r="V2440" s="211" t="str">
        <f>IFERROR(__xludf.DUMMYFUNCTION("""COMPUTED_VALUE"""),"Sumber Kembar, Wonodadi, Kec. Kutorejo, Kabupaten Mojokerto, Jawa Timur")</f>
        <v>Sumber Kembar, Wonodadi, Kec. Kutorejo, Kabupaten Mojokerto, Jawa Timur</v>
      </c>
      <c r="W2440" s="211" t="str">
        <f>IFERROR(__xludf.DUMMYFUNCTION("""COMPUTED_VALUE"""),"IN")</f>
        <v>IN</v>
      </c>
      <c r="X2440" s="211"/>
    </row>
    <row r="2441">
      <c r="A2441" s="210" t="str">
        <f>IFERROR(__xludf.DUMMYFUNCTION("""COMPUTED_VALUE"""),"1125211723")</f>
        <v>1125211723</v>
      </c>
      <c r="B2441" s="210" t="str">
        <f>IFERROR(__xludf.DUMMYFUNCTION("""COMPUTED_VALUE"""),"1125211723")</f>
        <v>1125211723</v>
      </c>
      <c r="C2441" s="213">
        <f>IFERROR(__xludf.DUMMYFUNCTION("""COMPUTED_VALUE"""),45978.46538194444)</f>
        <v>45978.46538</v>
      </c>
      <c r="D2441" s="211" t="str">
        <f>IFERROR(__xludf.DUMMYFUNCTION("""COMPUTED_VALUE"""),"3bcd7fe6")</f>
        <v>3bcd7fe6</v>
      </c>
      <c r="E2441" s="211" t="str">
        <f>IFERROR(__xludf.DUMMYFUNCTION("""COMPUTED_VALUE"""),"Bpk. Alvin (LB Group)")</f>
        <v>Bpk. Alvin (LB Group)</v>
      </c>
      <c r="F2441" s="211" t="str">
        <f>IFERROR(__xludf.DUMMYFUNCTION("""COMPUTED_VALUE"""),"8bdbe149")</f>
        <v>8bdbe149</v>
      </c>
      <c r="G2441" s="211" t="str">
        <f>IFERROR(__xludf.DUMMYFUNCTION("""COMPUTED_VALUE"""),"Oksigen 6m3")</f>
        <v>Oksigen 6m3</v>
      </c>
      <c r="H2441" s="211" t="str">
        <f>IFERROR(__xludf.DUMMYFUNCTION("""COMPUTED_VALUE"""),"OUT")</f>
        <v>OUT</v>
      </c>
      <c r="I2441" s="211" t="str">
        <f>IFERROR(__xludf.DUMMYFUNCTION("""COMPUTED_VALUE"""),"NORMAL")</f>
        <v>NORMAL</v>
      </c>
      <c r="J2441" s="211">
        <f>IFERROR(__xludf.DUMMYFUNCTION("""COMPUTED_VALUE"""),2.0)</f>
        <v>2</v>
      </c>
      <c r="K2441" s="210" t="str">
        <f>IFERROR(__xludf.DUMMYFUNCTION("""COMPUTED_VALUE"""),"11109 11253")</f>
        <v>11109 11253</v>
      </c>
      <c r="L2441" s="211">
        <f>IFERROR(__xludf.DUMMYFUNCTION("""COMPUTED_VALUE"""),50000.0)</f>
        <v>50000</v>
      </c>
      <c r="M2441" s="211"/>
      <c r="N2441" s="211"/>
      <c r="O2441" s="211"/>
      <c r="Q2441" s="210" t="str">
        <f>IFERROR(__xludf.DUMMYFUNCTION("""COMPUTED_VALUE"""),"1261168")</f>
        <v>1261168</v>
      </c>
      <c r="R2441" s="210" t="str">
        <f>IFERROR(__xludf.DUMMYFUNCTION("""COMPUTED_VALUE"""),"1261168")</f>
        <v>1261168</v>
      </c>
      <c r="S2441" s="211" t="str">
        <f>IFERROR(__xludf.DUMMYFUNCTION("""COMPUTED_VALUE"""),"4ec68cf6")</f>
        <v>4ec68cf6</v>
      </c>
      <c r="T2441" s="211" t="str">
        <f>IFERROR(__xludf.DUMMYFUNCTION("""COMPUTED_VALUE"""),"CV Sido Mukti Karya")</f>
        <v>CV Sido Mukti Karya</v>
      </c>
      <c r="U2441" s="215">
        <f>IFERROR(__xludf.DUMMYFUNCTION("""COMPUTED_VALUE"""),46056.54922453704)</f>
        <v>46056.54922</v>
      </c>
      <c r="V2441" s="211" t="str">
        <f>IFERROR(__xludf.DUMMYFUNCTION("""COMPUTED_VALUE"""),"Pergudangan Center Point no A3, Kemangsen")</f>
        <v>Pergudangan Center Point no A3, Kemangsen</v>
      </c>
      <c r="W2441" s="211" t="str">
        <f>IFERROR(__xludf.DUMMYFUNCTION("""COMPUTED_VALUE"""),"IN")</f>
        <v>IN</v>
      </c>
      <c r="X2441" s="211"/>
    </row>
    <row r="2442">
      <c r="A2442" s="210" t="str">
        <f>IFERROR(__xludf.DUMMYFUNCTION("""COMPUTED_VALUE"""),"1125211723")</f>
        <v>1125211723</v>
      </c>
      <c r="B2442" s="210" t="str">
        <f>IFERROR(__xludf.DUMMYFUNCTION("""COMPUTED_VALUE"""),"1125211723")</f>
        <v>1125211723</v>
      </c>
      <c r="C2442" s="213">
        <f>IFERROR(__xludf.DUMMYFUNCTION("""COMPUTED_VALUE"""),45978.46538194444)</f>
        <v>45978.46538</v>
      </c>
      <c r="D2442" s="211" t="str">
        <f>IFERROR(__xludf.DUMMYFUNCTION("""COMPUTED_VALUE"""),"3bcd7fe6")</f>
        <v>3bcd7fe6</v>
      </c>
      <c r="E2442" s="211" t="str">
        <f>IFERROR(__xludf.DUMMYFUNCTION("""COMPUTED_VALUE"""),"Bpk. Alvin (LB Group)")</f>
        <v>Bpk. Alvin (LB Group)</v>
      </c>
      <c r="F2442" s="211" t="str">
        <f>IFERROR(__xludf.DUMMYFUNCTION("""COMPUTED_VALUE"""),"7d2764f1")</f>
        <v>7d2764f1</v>
      </c>
      <c r="G2442" s="211" t="str">
        <f>IFERROR(__xludf.DUMMYFUNCTION("""COMPUTED_VALUE"""),"Oksigen 7m3")</f>
        <v>Oksigen 7m3</v>
      </c>
      <c r="H2442" s="211" t="str">
        <f>IFERROR(__xludf.DUMMYFUNCTION("""COMPUTED_VALUE"""),"OUT")</f>
        <v>OUT</v>
      </c>
      <c r="I2442" s="211" t="str">
        <f>IFERROR(__xludf.DUMMYFUNCTION("""COMPUTED_VALUE"""),"NORMAL")</f>
        <v>NORMAL</v>
      </c>
      <c r="J2442" s="211">
        <f>IFERROR(__xludf.DUMMYFUNCTION("""COMPUTED_VALUE"""),3.0)</f>
        <v>3</v>
      </c>
      <c r="K2442" s="210" t="str">
        <f>IFERROR(__xludf.DUMMYFUNCTION("""COMPUTED_VALUE"""),"11178 1161 11227")</f>
        <v>11178 1161 11227</v>
      </c>
      <c r="L2442" s="211">
        <f>IFERROR(__xludf.DUMMYFUNCTION("""COMPUTED_VALUE"""),55000.0)</f>
        <v>55000</v>
      </c>
      <c r="M2442" s="211"/>
      <c r="N2442" s="211"/>
      <c r="O2442" s="211"/>
      <c r="Q2442" s="210" t="str">
        <f>IFERROR(__xludf.DUMMYFUNCTION("""COMPUTED_VALUE"""),"1261169")</f>
        <v>1261169</v>
      </c>
      <c r="R2442" s="210" t="str">
        <f>IFERROR(__xludf.DUMMYFUNCTION("""COMPUTED_VALUE"""),"1261169")</f>
        <v>1261169</v>
      </c>
      <c r="S2442" s="211" t="str">
        <f>IFERROR(__xludf.DUMMYFUNCTION("""COMPUTED_VALUE"""),"9828dfc5")</f>
        <v>9828dfc5</v>
      </c>
      <c r="T2442" s="211" t="str">
        <f>IFERROR(__xludf.DUMMYFUNCTION("""COMPUTED_VALUE"""),"Bpk. David")</f>
        <v>Bpk. David</v>
      </c>
      <c r="U2442" s="215">
        <f>IFERROR(__xludf.DUMMYFUNCTION("""COMPUTED_VALUE"""),46056.55064814815)</f>
        <v>46056.55065</v>
      </c>
      <c r="V2442" s="211" t="str">
        <f>IFERROR(__xludf.DUMMYFUNCTION("""COMPUTED_VALUE"""),"GHF3+R34, Jl. Kartini, Ngingas, Ngimbangan, Kec. Mojosari, Kabupaten Mojokerto, Jawa Timur 61382")</f>
        <v>GHF3+R34, Jl. Kartini, Ngingas, Ngimbangan, Kec. Mojosari, Kabupaten Mojokerto, Jawa Timur 61382</v>
      </c>
      <c r="W2442" s="211" t="str">
        <f>IFERROR(__xludf.DUMMYFUNCTION("""COMPUTED_VALUE"""),"IN")</f>
        <v>IN</v>
      </c>
      <c r="X2442" s="211"/>
    </row>
    <row r="2443">
      <c r="A2443" s="210" t="str">
        <f>IFERROR(__xludf.DUMMYFUNCTION("""COMPUTED_VALUE"""),"1250787")</f>
        <v>1250787</v>
      </c>
      <c r="B2443" s="210" t="str">
        <f>IFERROR(__xludf.DUMMYFUNCTION("""COMPUTED_VALUE"""),"1250787")</f>
        <v>1250787</v>
      </c>
      <c r="C2443" s="213">
        <f>IFERROR(__xludf.DUMMYFUNCTION("""COMPUTED_VALUE"""),45978.47421296296)</f>
        <v>45978.47421</v>
      </c>
      <c r="D2443" s="211" t="str">
        <f>IFERROR(__xludf.DUMMYFUNCTION("""COMPUTED_VALUE"""),"ed2cc96a")</f>
        <v>ed2cc96a</v>
      </c>
      <c r="E2443" s="211" t="str">
        <f>IFERROR(__xludf.DUMMYFUNCTION("""COMPUTED_VALUE"""),"Bengkel Dian Jaya")</f>
        <v>Bengkel Dian Jaya</v>
      </c>
      <c r="F2443" s="211" t="str">
        <f>IFERROR(__xludf.DUMMYFUNCTION("""COMPUTED_VALUE"""),"8bdbe149")</f>
        <v>8bdbe149</v>
      </c>
      <c r="G2443" s="211" t="str">
        <f>IFERROR(__xludf.DUMMYFUNCTION("""COMPUTED_VALUE"""),"Oksigen 6m3")</f>
        <v>Oksigen 6m3</v>
      </c>
      <c r="H2443" s="211" t="str">
        <f>IFERROR(__xludf.DUMMYFUNCTION("""COMPUTED_VALUE"""),"IN")</f>
        <v>IN</v>
      </c>
      <c r="I2443" s="211" t="str">
        <f>IFERROR(__xludf.DUMMYFUNCTION("""COMPUTED_VALUE"""),"EMPTY")</f>
        <v>EMPTY</v>
      </c>
      <c r="J2443" s="211">
        <f>IFERROR(__xludf.DUMMYFUNCTION("""COMPUTED_VALUE"""),1.0)</f>
        <v>1</v>
      </c>
      <c r="K2443" s="210" t="str">
        <f>IFERROR(__xludf.DUMMYFUNCTION("""COMPUTED_VALUE"""),"11176")</f>
        <v>11176</v>
      </c>
      <c r="L2443" s="211">
        <f>IFERROR(__xludf.DUMMYFUNCTION("""COMPUTED_VALUE"""),0.0)</f>
        <v>0</v>
      </c>
      <c r="M2443" s="211"/>
      <c r="N2443" s="211"/>
      <c r="O2443" s="211"/>
      <c r="Q2443" s="210" t="str">
        <f>IFERROR(__xludf.DUMMYFUNCTION("""COMPUTED_VALUE"""),"1261191")</f>
        <v>1261191</v>
      </c>
      <c r="R2443" s="210" t="str">
        <f>IFERROR(__xludf.DUMMYFUNCTION("""COMPUTED_VALUE"""),"1261191")</f>
        <v>1261191</v>
      </c>
      <c r="S2443" s="211" t="str">
        <f>IFERROR(__xludf.DUMMYFUNCTION("""COMPUTED_VALUE"""),"ec231cc9")</f>
        <v>ec231cc9</v>
      </c>
      <c r="T2443" s="211" t="str">
        <f>IFERROR(__xludf.DUMMYFUNCTION("""COMPUTED_VALUE"""),"Bpk. Kohir (Maintenance Velg)")</f>
        <v>Bpk. Kohir (Maintenance Velg)</v>
      </c>
      <c r="U2443" s="215">
        <f>IFERROR(__xludf.DUMMYFUNCTION("""COMPUTED_VALUE"""),46056.58399305555)</f>
        <v>46056.58399</v>
      </c>
      <c r="V2443" s="211" t="str">
        <f>IFERROR(__xludf.DUMMYFUNCTION("""COMPUTED_VALUE"""),"Jl. Lkr. Bypass Krian Timur, Sidogolong, Watugolong, Kec. Krian, Kabupaten Sidoarjo, Jawa Timur 61262")</f>
        <v>Jl. Lkr. Bypass Krian Timur, Sidogolong, Watugolong, Kec. Krian, Kabupaten Sidoarjo, Jawa Timur 61262</v>
      </c>
      <c r="W2443" s="211" t="str">
        <f>IFERROR(__xludf.DUMMYFUNCTION("""COMPUTED_VALUE"""),"IN")</f>
        <v>IN</v>
      </c>
      <c r="X2443" s="211"/>
    </row>
    <row r="2444">
      <c r="A2444" s="210" t="str">
        <f>IFERROR(__xludf.DUMMYFUNCTION("""COMPUTED_VALUE"""),"1250786")</f>
        <v>1250786</v>
      </c>
      <c r="B2444" s="210" t="str">
        <f>IFERROR(__xludf.DUMMYFUNCTION("""COMPUTED_VALUE"""),"1250786")</f>
        <v>1250786</v>
      </c>
      <c r="C2444" s="213">
        <f>IFERROR(__xludf.DUMMYFUNCTION("""COMPUTED_VALUE"""),45978.476018518515)</f>
        <v>45978.47602</v>
      </c>
      <c r="D2444" s="211" t="str">
        <f>IFERROR(__xludf.DUMMYFUNCTION("""COMPUTED_VALUE"""),"faf71ae5")</f>
        <v>faf71ae5</v>
      </c>
      <c r="E2444" s="211" t="str">
        <f>IFERROR(__xludf.DUMMYFUNCTION("""COMPUTED_VALUE"""),"Bpk. Sampurna")</f>
        <v>Bpk. Sampurna</v>
      </c>
      <c r="F2444" s="211" t="str">
        <f>IFERROR(__xludf.DUMMYFUNCTION("""COMPUTED_VALUE"""),"be525f3b")</f>
        <v>be525f3b</v>
      </c>
      <c r="G2444" s="211" t="str">
        <f>IFERROR(__xludf.DUMMYFUNCTION("""COMPUTED_VALUE"""),"LPG 12kg")</f>
        <v>LPG 12kg</v>
      </c>
      <c r="H2444" s="211" t="str">
        <f>IFERROR(__xludf.DUMMYFUNCTION("""COMPUTED_VALUE"""),"IN")</f>
        <v>IN</v>
      </c>
      <c r="I2444" s="211" t="str">
        <f>IFERROR(__xludf.DUMMYFUNCTION("""COMPUTED_VALUE"""),"EMPTY")</f>
        <v>EMPTY</v>
      </c>
      <c r="J2444" s="211">
        <f>IFERROR(__xludf.DUMMYFUNCTION("""COMPUTED_VALUE"""),2.0)</f>
        <v>2</v>
      </c>
      <c r="K2444" s="210" t="str">
        <f>IFERROR(__xludf.DUMMYFUNCTION("""COMPUTED_VALUE"""),"01 02")</f>
        <v>01 02</v>
      </c>
      <c r="L2444" s="211">
        <f>IFERROR(__xludf.DUMMYFUNCTION("""COMPUTED_VALUE"""),0.0)</f>
        <v>0</v>
      </c>
      <c r="M2444" s="211"/>
      <c r="N2444" s="211"/>
      <c r="O2444" s="211"/>
      <c r="Q2444" s="210" t="str">
        <f>IFERROR(__xludf.DUMMYFUNCTION("""COMPUTED_VALUE"""),"1261183")</f>
        <v>1261183</v>
      </c>
      <c r="R2444" s="210" t="str">
        <f>IFERROR(__xludf.DUMMYFUNCTION("""COMPUTED_VALUE"""),"1261183")</f>
        <v>1261183</v>
      </c>
      <c r="S2444" s="211" t="str">
        <f>IFERROR(__xludf.DUMMYFUNCTION("""COMPUTED_VALUE"""),"03ff52db")</f>
        <v>03ff52db</v>
      </c>
      <c r="T2444" s="211" t="str">
        <f>IFERROR(__xludf.DUMMYFUNCTION("""COMPUTED_VALUE"""),"Aneka Teknik Logam")</f>
        <v>Aneka Teknik Logam</v>
      </c>
      <c r="U2444" s="215">
        <f>IFERROR(__xludf.DUMMYFUNCTION("""COMPUTED_VALUE"""),46056.59986111111)</f>
        <v>46056.59986</v>
      </c>
      <c r="V2444" s="211" t="str">
        <f>IFERROR(__xludf.DUMMYFUNCTION("""COMPUTED_VALUE"""),"HH8G+MQC, Areng Areng, Tropodo, Kec. Krian, Kabupaten Sidoarjo, Jawa Timur 61262")</f>
        <v>HH8G+MQC, Areng Areng, Tropodo, Kec. Krian, Kabupaten Sidoarjo, Jawa Timur 61262</v>
      </c>
      <c r="W2444" s="211" t="str">
        <f>IFERROR(__xludf.DUMMYFUNCTION("""COMPUTED_VALUE"""),"IN")</f>
        <v>IN</v>
      </c>
      <c r="X2444" s="211"/>
    </row>
    <row r="2445">
      <c r="A2445" s="210" t="str">
        <f>IFERROR(__xludf.DUMMYFUNCTION("""COMPUTED_VALUE"""),"1250786")</f>
        <v>1250786</v>
      </c>
      <c r="B2445" s="210" t="str">
        <f>IFERROR(__xludf.DUMMYFUNCTION("""COMPUTED_VALUE"""),"1250786")</f>
        <v>1250786</v>
      </c>
      <c r="C2445" s="213">
        <f>IFERROR(__xludf.DUMMYFUNCTION("""COMPUTED_VALUE"""),45978.476018518515)</f>
        <v>45978.47602</v>
      </c>
      <c r="D2445" s="211" t="str">
        <f>IFERROR(__xludf.DUMMYFUNCTION("""COMPUTED_VALUE"""),"faf71ae5")</f>
        <v>faf71ae5</v>
      </c>
      <c r="E2445" s="211" t="str">
        <f>IFERROR(__xludf.DUMMYFUNCTION("""COMPUTED_VALUE"""),"Bpk. Sampurna")</f>
        <v>Bpk. Sampurna</v>
      </c>
      <c r="F2445" s="211" t="str">
        <f>IFERROR(__xludf.DUMMYFUNCTION("""COMPUTED_VALUE"""),"8bdbe149")</f>
        <v>8bdbe149</v>
      </c>
      <c r="G2445" s="211" t="str">
        <f>IFERROR(__xludf.DUMMYFUNCTION("""COMPUTED_VALUE"""),"Oksigen 6m3")</f>
        <v>Oksigen 6m3</v>
      </c>
      <c r="H2445" s="211" t="str">
        <f>IFERROR(__xludf.DUMMYFUNCTION("""COMPUTED_VALUE"""),"IN")</f>
        <v>IN</v>
      </c>
      <c r="I2445" s="211" t="str">
        <f>IFERROR(__xludf.DUMMYFUNCTION("""COMPUTED_VALUE"""),"CLAIM")</f>
        <v>CLAIM</v>
      </c>
      <c r="J2445" s="211">
        <f>IFERROR(__xludf.DUMMYFUNCTION("""COMPUTED_VALUE"""),4.0)</f>
        <v>4</v>
      </c>
      <c r="K2445" s="210" t="str">
        <f>IFERROR(__xludf.DUMMYFUNCTION("""COMPUTED_VALUE"""),"11133 1156 1187 11250")</f>
        <v>11133 1156 1187 11250</v>
      </c>
      <c r="L2445" s="211">
        <f>IFERROR(__xludf.DUMMYFUNCTION("""COMPUTED_VALUE"""),0.0)</f>
        <v>0</v>
      </c>
      <c r="M2445" s="211"/>
      <c r="N2445" s="211" t="str">
        <f>IFERROR(__xludf.DUMMYFUNCTION("""COMPUTED_VALUE"""),"Masih ada isi")</f>
        <v>Masih ada isi</v>
      </c>
      <c r="O2445" s="211"/>
      <c r="Q2445" s="210" t="str">
        <f>IFERROR(__xludf.DUMMYFUNCTION("""COMPUTED_VALUE"""),"1261185")</f>
        <v>1261185</v>
      </c>
      <c r="R2445" s="210" t="str">
        <f>IFERROR(__xludf.DUMMYFUNCTION("""COMPUTED_VALUE"""),"1261185")</f>
        <v>1261185</v>
      </c>
      <c r="S2445" s="211" t="str">
        <f>IFERROR(__xludf.DUMMYFUNCTION("""COMPUTED_VALUE"""),"98c84274")</f>
        <v>98c84274</v>
      </c>
      <c r="T2445" s="211" t="str">
        <f>IFERROR(__xludf.DUMMYFUNCTION("""COMPUTED_VALUE"""),"Bengkel SBM (Pak Hari)")</f>
        <v>Bengkel SBM (Pak Hari)</v>
      </c>
      <c r="U2445" s="215">
        <f>IFERROR(__xludf.DUMMYFUNCTION("""COMPUTED_VALUE"""),46056.60028935185)</f>
        <v>46056.60029</v>
      </c>
      <c r="V2445"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445" s="211" t="str">
        <f>IFERROR(__xludf.DUMMYFUNCTION("""COMPUTED_VALUE"""),"IN")</f>
        <v>IN</v>
      </c>
      <c r="X2445" s="211"/>
    </row>
    <row r="2446">
      <c r="A2446" s="210" t="str">
        <f>IFERROR(__xludf.DUMMYFUNCTION("""COMPUTED_VALUE"""),"1250786")</f>
        <v>1250786</v>
      </c>
      <c r="B2446" s="210" t="str">
        <f>IFERROR(__xludf.DUMMYFUNCTION("""COMPUTED_VALUE"""),"1250786")</f>
        <v>1250786</v>
      </c>
      <c r="C2446" s="213">
        <f>IFERROR(__xludf.DUMMYFUNCTION("""COMPUTED_VALUE"""),45978.476018518515)</f>
        <v>45978.47602</v>
      </c>
      <c r="D2446" s="211" t="str">
        <f>IFERROR(__xludf.DUMMYFUNCTION("""COMPUTED_VALUE"""),"faf71ae5")</f>
        <v>faf71ae5</v>
      </c>
      <c r="E2446" s="211" t="str">
        <f>IFERROR(__xludf.DUMMYFUNCTION("""COMPUTED_VALUE"""),"Bpk. Sampurna")</f>
        <v>Bpk. Sampurna</v>
      </c>
      <c r="F2446" s="211" t="str">
        <f>IFERROR(__xludf.DUMMYFUNCTION("""COMPUTED_VALUE"""),"8bdbe149")</f>
        <v>8bdbe149</v>
      </c>
      <c r="G2446" s="211" t="str">
        <f>IFERROR(__xludf.DUMMYFUNCTION("""COMPUTED_VALUE"""),"Oksigen 6m3")</f>
        <v>Oksigen 6m3</v>
      </c>
      <c r="H2446" s="211" t="str">
        <f>IFERROR(__xludf.DUMMYFUNCTION("""COMPUTED_VALUE"""),"IN")</f>
        <v>IN</v>
      </c>
      <c r="I2446" s="211" t="str">
        <f>IFERROR(__xludf.DUMMYFUNCTION("""COMPUTED_VALUE"""),"EMPTY")</f>
        <v>EMPTY</v>
      </c>
      <c r="J2446" s="211">
        <f>IFERROR(__xludf.DUMMYFUNCTION("""COMPUTED_VALUE"""),19.0)</f>
        <v>19</v>
      </c>
      <c r="K2446" s="210" t="str">
        <f>IFERROR(__xludf.DUMMYFUNCTION("""COMPUTED_VALUE"""),"1155 11196 11262 11247 11289 11252 11244 1170 11270 11239 1109 11282 11260 11279 11125 11228 1176 11272 1184")</f>
        <v>1155 11196 11262 11247 11289 11252 11244 1170 11270 11239 1109 11282 11260 11279 11125 11228 1176 11272 1184</v>
      </c>
      <c r="L2446" s="211">
        <f>IFERROR(__xludf.DUMMYFUNCTION("""COMPUTED_VALUE"""),0.0)</f>
        <v>0</v>
      </c>
      <c r="M2446" s="211"/>
      <c r="N2446" s="211"/>
      <c r="O2446" s="211"/>
      <c r="Q2446" s="210" t="str">
        <f>IFERROR(__xludf.DUMMYFUNCTION("""COMPUTED_VALUE"""),"022652440")</f>
        <v>022652440</v>
      </c>
      <c r="R2446" s="210" t="str">
        <f>IFERROR(__xludf.DUMMYFUNCTION("""COMPUTED_VALUE"""),"022652440")</f>
        <v>022652440</v>
      </c>
      <c r="S2446" s="211" t="str">
        <f>IFERROR(__xludf.DUMMYFUNCTION("""COMPUTED_VALUE"""),"98c84274")</f>
        <v>98c84274</v>
      </c>
      <c r="T2446" s="211" t="str">
        <f>IFERROR(__xludf.DUMMYFUNCTION("""COMPUTED_VALUE"""),"Bengkel SBM (Pak Hari)")</f>
        <v>Bengkel SBM (Pak Hari)</v>
      </c>
      <c r="U2446" s="215">
        <f>IFERROR(__xludf.DUMMYFUNCTION("""COMPUTED_VALUE"""),46056.60501157407)</f>
        <v>46056.60501</v>
      </c>
      <c r="V2446"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446" s="211" t="str">
        <f>IFERROR(__xludf.DUMMYFUNCTION("""COMPUTED_VALUE"""),"OUT")</f>
        <v>OUT</v>
      </c>
      <c r="X2446" s="211"/>
    </row>
    <row r="2447">
      <c r="A2447" s="210" t="str">
        <f>IFERROR(__xludf.DUMMYFUNCTION("""COMPUTED_VALUE"""),"1250786")</f>
        <v>1250786</v>
      </c>
      <c r="B2447" s="210" t="str">
        <f>IFERROR(__xludf.DUMMYFUNCTION("""COMPUTED_VALUE"""),"1250786")</f>
        <v>1250786</v>
      </c>
      <c r="C2447" s="213">
        <f>IFERROR(__xludf.DUMMYFUNCTION("""COMPUTED_VALUE"""),45978.476018518515)</f>
        <v>45978.47602</v>
      </c>
      <c r="D2447" s="211" t="str">
        <f>IFERROR(__xludf.DUMMYFUNCTION("""COMPUTED_VALUE"""),"faf71ae5")</f>
        <v>faf71ae5</v>
      </c>
      <c r="E2447" s="211" t="str">
        <f>IFERROR(__xludf.DUMMYFUNCTION("""COMPUTED_VALUE"""),"Bpk. Sampurna")</f>
        <v>Bpk. Sampurna</v>
      </c>
      <c r="F2447" s="211" t="str">
        <f>IFERROR(__xludf.DUMMYFUNCTION("""COMPUTED_VALUE"""),"7d2764f1")</f>
        <v>7d2764f1</v>
      </c>
      <c r="G2447" s="211" t="str">
        <f>IFERROR(__xludf.DUMMYFUNCTION("""COMPUTED_VALUE"""),"Oksigen 7m3")</f>
        <v>Oksigen 7m3</v>
      </c>
      <c r="H2447" s="211" t="str">
        <f>IFERROR(__xludf.DUMMYFUNCTION("""COMPUTED_VALUE"""),"IN")</f>
        <v>IN</v>
      </c>
      <c r="I2447" s="211" t="str">
        <f>IFERROR(__xludf.DUMMYFUNCTION("""COMPUTED_VALUE"""),"EMPTY")</f>
        <v>EMPTY</v>
      </c>
      <c r="J2447" s="211">
        <f>IFERROR(__xludf.DUMMYFUNCTION("""COMPUTED_VALUE"""),1.0)</f>
        <v>1</v>
      </c>
      <c r="K2447" s="210" t="str">
        <f>IFERROR(__xludf.DUMMYFUNCTION("""COMPUTED_VALUE"""),"11150")</f>
        <v>11150</v>
      </c>
      <c r="L2447" s="211">
        <f>IFERROR(__xludf.DUMMYFUNCTION("""COMPUTED_VALUE"""),0.0)</f>
        <v>0</v>
      </c>
      <c r="M2447" s="211"/>
      <c r="N2447" s="211"/>
      <c r="O2447" s="211"/>
      <c r="Q2447" s="210" t="str">
        <f>IFERROR(__xludf.DUMMYFUNCTION("""COMPUTED_VALUE"""),"022682447")</f>
        <v>022682447</v>
      </c>
      <c r="R2447" s="210" t="str">
        <f>IFERROR(__xludf.DUMMYFUNCTION("""COMPUTED_VALUE"""),"022682447")</f>
        <v>022682447</v>
      </c>
      <c r="S2447" s="211" t="str">
        <f>IFERROR(__xludf.DUMMYFUNCTION("""COMPUTED_VALUE"""),"03ff52db")</f>
        <v>03ff52db</v>
      </c>
      <c r="T2447" s="211" t="str">
        <f>IFERROR(__xludf.DUMMYFUNCTION("""COMPUTED_VALUE"""),"Aneka Teknik Logam")</f>
        <v>Aneka Teknik Logam</v>
      </c>
      <c r="U2447" s="215">
        <f>IFERROR(__xludf.DUMMYFUNCTION("""COMPUTED_VALUE"""),46056.60789351852)</f>
        <v>46056.60789</v>
      </c>
      <c r="V2447" s="211" t="str">
        <f>IFERROR(__xludf.DUMMYFUNCTION("""COMPUTED_VALUE"""),"HH8G+MQC, Areng Areng, Tropodo, Kec. Krian, Kabupaten Sidoarjo, Jawa Timur 61262")</f>
        <v>HH8G+MQC, Areng Areng, Tropodo, Kec. Krian, Kabupaten Sidoarjo, Jawa Timur 61262</v>
      </c>
      <c r="W2447" s="211" t="str">
        <f>IFERROR(__xludf.DUMMYFUNCTION("""COMPUTED_VALUE"""),"OUT")</f>
        <v>OUT</v>
      </c>
      <c r="X2447" s="211"/>
    </row>
    <row r="2448">
      <c r="A2448" s="210" t="str">
        <f>IFERROR(__xludf.DUMMYFUNCTION("""COMPUTED_VALUE"""),"1125231728")</f>
        <v>1125231728</v>
      </c>
      <c r="B2448" s="210" t="str">
        <f>IFERROR(__xludf.DUMMYFUNCTION("""COMPUTED_VALUE"""),"1125231728")</f>
        <v>1125231728</v>
      </c>
      <c r="C2448" s="213">
        <f>IFERROR(__xludf.DUMMYFUNCTION("""COMPUTED_VALUE"""),45978.560381944444)</f>
        <v>45978.56038</v>
      </c>
      <c r="D2448" s="211" t="str">
        <f>IFERROR(__xludf.DUMMYFUNCTION("""COMPUTED_VALUE"""),"7b9d8eba")</f>
        <v>7b9d8eba</v>
      </c>
      <c r="E2448" s="211" t="str">
        <f>IFERROR(__xludf.DUMMYFUNCTION("""COMPUTED_VALUE"""),"PT PELANGI INDOKARYA")</f>
        <v>PT PELANGI INDOKARYA</v>
      </c>
      <c r="F2448" s="211" t="str">
        <f>IFERROR(__xludf.DUMMYFUNCTION("""COMPUTED_VALUE"""),"ef306e54")</f>
        <v>ef306e54</v>
      </c>
      <c r="G2448" s="211" t="str">
        <f>IFERROR(__xludf.DUMMYFUNCTION("""COMPUTED_VALUE"""),"Karbondioksida")</f>
        <v>Karbondioksida</v>
      </c>
      <c r="H2448" s="211" t="str">
        <f>IFERROR(__xludf.DUMMYFUNCTION("""COMPUTED_VALUE"""),"OUT")</f>
        <v>OUT</v>
      </c>
      <c r="I2448" s="211" t="str">
        <f>IFERROR(__xludf.DUMMYFUNCTION("""COMPUTED_VALUE"""),"NORMAL")</f>
        <v>NORMAL</v>
      </c>
      <c r="J2448" s="211">
        <f>IFERROR(__xludf.DUMMYFUNCTION("""COMPUTED_VALUE"""),2.0)</f>
        <v>2</v>
      </c>
      <c r="K2448" s="210" t="str">
        <f>IFERROR(__xludf.DUMMYFUNCTION("""COMPUTED_VALUE"""),"13010 13038")</f>
        <v>13010 13038</v>
      </c>
      <c r="L2448" s="211">
        <f>IFERROR(__xludf.DUMMYFUNCTION("""COMPUTED_VALUE"""),180000.0)</f>
        <v>180000</v>
      </c>
      <c r="M2448" s="211"/>
      <c r="N2448" s="211"/>
      <c r="O2448" s="211"/>
      <c r="Q2448" s="210" t="str">
        <f>IFERROR(__xludf.DUMMYFUNCTION("""COMPUTED_VALUE"""),"022622448")</f>
        <v>022622448</v>
      </c>
      <c r="R2448" s="210" t="str">
        <f>IFERROR(__xludf.DUMMYFUNCTION("""COMPUTED_VALUE"""),"022622448")</f>
        <v>022622448</v>
      </c>
      <c r="S2448" s="211" t="str">
        <f>IFERROR(__xludf.DUMMYFUNCTION("""COMPUTED_VALUE"""),"cac4449f")</f>
        <v>cac4449f</v>
      </c>
      <c r="T2448" s="211" t="str">
        <f>IFERROR(__xludf.DUMMYFUNCTION("""COMPUTED_VALUE"""),"Bpk. Agus Yahya")</f>
        <v>Bpk. Agus Yahya</v>
      </c>
      <c r="U2448" s="215">
        <f>IFERROR(__xludf.DUMMYFUNCTION("""COMPUTED_VALUE"""),46056.77858796297)</f>
        <v>46056.77859</v>
      </c>
      <c r="V2448" s="211" t="str">
        <f>IFERROR(__xludf.DUMMYFUNCTION("""COMPUTED_VALUE"""),"Ds. Kendalsari 03/02 Sumobito Jombang Jawa Timur")</f>
        <v>Ds. Kendalsari 03/02 Sumobito Jombang Jawa Timur</v>
      </c>
      <c r="W2448" s="211" t="str">
        <f>IFERROR(__xludf.DUMMYFUNCTION("""COMPUTED_VALUE"""),"OUT")</f>
        <v>OUT</v>
      </c>
      <c r="X2448" s="211"/>
    </row>
    <row r="2449">
      <c r="A2449" s="210" t="str">
        <f>IFERROR(__xludf.DUMMYFUNCTION("""COMPUTED_VALUE"""),"1250796")</f>
        <v>1250796</v>
      </c>
      <c r="B2449" s="210" t="str">
        <f>IFERROR(__xludf.DUMMYFUNCTION("""COMPUTED_VALUE"""),"1250796")</f>
        <v>1250796</v>
      </c>
      <c r="C2449" s="213">
        <f>IFERROR(__xludf.DUMMYFUNCTION("""COMPUTED_VALUE"""),45978.56854166667)</f>
        <v>45978.56854</v>
      </c>
      <c r="D2449" s="211" t="str">
        <f>IFERROR(__xludf.DUMMYFUNCTION("""COMPUTED_VALUE"""),"b2b5f2c5")</f>
        <v>b2b5f2c5</v>
      </c>
      <c r="E2449" s="211" t="str">
        <f>IFERROR(__xludf.DUMMYFUNCTION("""COMPUTED_VALUE"""),"Bengkel Las Bpk. Ari")</f>
        <v>Bengkel Las Bpk. Ari</v>
      </c>
      <c r="F2449" s="211" t="str">
        <f>IFERROR(__xludf.DUMMYFUNCTION("""COMPUTED_VALUE"""),"8bdbe149")</f>
        <v>8bdbe149</v>
      </c>
      <c r="G2449" s="211" t="str">
        <f>IFERROR(__xludf.DUMMYFUNCTION("""COMPUTED_VALUE"""),"Oksigen 6m3")</f>
        <v>Oksigen 6m3</v>
      </c>
      <c r="H2449" s="211" t="str">
        <f>IFERROR(__xludf.DUMMYFUNCTION("""COMPUTED_VALUE"""),"IN")</f>
        <v>IN</v>
      </c>
      <c r="I2449" s="211" t="str">
        <f>IFERROR(__xludf.DUMMYFUNCTION("""COMPUTED_VALUE"""),"EMPTY")</f>
        <v>EMPTY</v>
      </c>
      <c r="J2449" s="211">
        <f>IFERROR(__xludf.DUMMYFUNCTION("""COMPUTED_VALUE"""),3.0)</f>
        <v>3</v>
      </c>
      <c r="K2449" s="210" t="str">
        <f>IFERROR(__xludf.DUMMYFUNCTION("""COMPUTED_VALUE"""),"1116 1128 11196")</f>
        <v>1116 1128 11196</v>
      </c>
      <c r="L2449" s="211">
        <f>IFERROR(__xludf.DUMMYFUNCTION("""COMPUTED_VALUE"""),0.0)</f>
        <v>0</v>
      </c>
      <c r="M2449" s="211"/>
      <c r="N2449" s="211"/>
      <c r="O2449" s="211"/>
      <c r="Q2449" s="210" t="str">
        <f>IFERROR(__xludf.DUMMYFUNCTION("""COMPUTED_VALUE"""),"022632449")</f>
        <v>022632449</v>
      </c>
      <c r="R2449" s="210" t="str">
        <f>IFERROR(__xludf.DUMMYFUNCTION("""COMPUTED_VALUE"""),"022632449")</f>
        <v>022632449</v>
      </c>
      <c r="S2449" s="211" t="str">
        <f>IFERROR(__xludf.DUMMYFUNCTION("""COMPUTED_VALUE"""),"cac4449f")</f>
        <v>cac4449f</v>
      </c>
      <c r="T2449" s="211" t="str">
        <f>IFERROR(__xludf.DUMMYFUNCTION("""COMPUTED_VALUE"""),"Bpk. Agus Yahya")</f>
        <v>Bpk. Agus Yahya</v>
      </c>
      <c r="U2449" s="215">
        <f>IFERROR(__xludf.DUMMYFUNCTION("""COMPUTED_VALUE"""),46056.781643518516)</f>
        <v>46056.78164</v>
      </c>
      <c r="V2449" s="211" t="str">
        <f>IFERROR(__xludf.DUMMYFUNCTION("""COMPUTED_VALUE"""),"Ds. Kendalsari 03/02 Sumobito Jombang Jawa Timur")</f>
        <v>Ds. Kendalsari 03/02 Sumobito Jombang Jawa Timur</v>
      </c>
      <c r="W2449" s="211" t="str">
        <f>IFERROR(__xludf.DUMMYFUNCTION("""COMPUTED_VALUE"""),"OUT")</f>
        <v>OUT</v>
      </c>
      <c r="X2449" s="211"/>
    </row>
    <row r="2450">
      <c r="A2450" s="210" t="str">
        <f>IFERROR(__xludf.DUMMYFUNCTION("""COMPUTED_VALUE"""),"112511731")</f>
        <v>112511731</v>
      </c>
      <c r="B2450" s="210" t="str">
        <f>IFERROR(__xludf.DUMMYFUNCTION("""COMPUTED_VALUE"""),"112511731")</f>
        <v>112511731</v>
      </c>
      <c r="C2450" s="213">
        <f>IFERROR(__xludf.DUMMYFUNCTION("""COMPUTED_VALUE"""),45978.58541666667)</f>
        <v>45978.58542</v>
      </c>
      <c r="D2450" s="211" t="str">
        <f>IFERROR(__xludf.DUMMYFUNCTION("""COMPUTED_VALUE"""),"63fc688a")</f>
        <v>63fc688a</v>
      </c>
      <c r="E2450" s="211" t="str">
        <f>IFERROR(__xludf.DUMMYFUNCTION("""COMPUTED_VALUE"""),"CV Malik Nusantara")</f>
        <v>CV Malik Nusantara</v>
      </c>
      <c r="F2450" s="211" t="str">
        <f>IFERROR(__xludf.DUMMYFUNCTION("""COMPUTED_VALUE"""),"7d2764f1")</f>
        <v>7d2764f1</v>
      </c>
      <c r="G2450" s="211" t="str">
        <f>IFERROR(__xludf.DUMMYFUNCTION("""COMPUTED_VALUE"""),"Oksigen 7m3")</f>
        <v>Oksigen 7m3</v>
      </c>
      <c r="H2450" s="211" t="str">
        <f>IFERROR(__xludf.DUMMYFUNCTION("""COMPUTED_VALUE"""),"OUT")</f>
        <v>OUT</v>
      </c>
      <c r="I2450" s="211" t="str">
        <f>IFERROR(__xludf.DUMMYFUNCTION("""COMPUTED_VALUE"""),"NORMAL")</f>
        <v>NORMAL</v>
      </c>
      <c r="J2450" s="211">
        <f>IFERROR(__xludf.DUMMYFUNCTION("""COMPUTED_VALUE"""),5.0)</f>
        <v>5</v>
      </c>
      <c r="K2450" s="210" t="str">
        <f>IFERROR(__xludf.DUMMYFUNCTION("""COMPUTED_VALUE"""),"11164 11166 11153 11149 11174")</f>
        <v>11164 11166 11153 11149 11174</v>
      </c>
      <c r="L2450" s="211">
        <f>IFERROR(__xludf.DUMMYFUNCTION("""COMPUTED_VALUE"""),65000.0)</f>
        <v>65000</v>
      </c>
      <c r="M2450" s="211"/>
      <c r="N2450" s="211"/>
      <c r="O2450" s="211"/>
      <c r="Q2450" s="210" t="str">
        <f>IFERROR(__xludf.DUMMYFUNCTION("""COMPUTED_VALUE"""),"022652450")</f>
        <v>022652450</v>
      </c>
      <c r="R2450" s="210" t="str">
        <f>IFERROR(__xludf.DUMMYFUNCTION("""COMPUTED_VALUE"""),"022652450")</f>
        <v>022652450</v>
      </c>
      <c r="S2450" s="211" t="str">
        <f>IFERROR(__xludf.DUMMYFUNCTION("""COMPUTED_VALUE"""),"9e5d8274")</f>
        <v>9e5d8274</v>
      </c>
      <c r="T2450" s="211" t="str">
        <f>IFERROR(__xludf.DUMMYFUNCTION("""COMPUTED_VALUE"""),"Bpk. Erry ( Lik Trosobo )")</f>
        <v>Bpk. Erry ( Lik Trosobo )</v>
      </c>
      <c r="U2450" s="215">
        <f>IFERROR(__xludf.DUMMYFUNCTION("""COMPUTED_VALUE"""),46057.29106481482)</f>
        <v>46057.29106</v>
      </c>
      <c r="V2450" s="211" t="str">
        <f>IFERROR(__xludf.DUMMYFUNCTION("""COMPUTED_VALUE"""),"Trosobo Taman")</f>
        <v>Trosobo Taman</v>
      </c>
      <c r="W2450" s="211" t="str">
        <f>IFERROR(__xludf.DUMMYFUNCTION("""COMPUTED_VALUE"""),"OUT")</f>
        <v>OUT</v>
      </c>
      <c r="X2450" s="211"/>
    </row>
    <row r="2451">
      <c r="A2451" s="210" t="str">
        <f>IFERROR(__xludf.DUMMYFUNCTION("""COMPUTED_VALUE"""),"1250800")</f>
        <v>1250800</v>
      </c>
      <c r="B2451" s="210" t="str">
        <f>IFERROR(__xludf.DUMMYFUNCTION("""COMPUTED_VALUE"""),"1250800")</f>
        <v>1250800</v>
      </c>
      <c r="C2451" s="213">
        <f>IFERROR(__xludf.DUMMYFUNCTION("""COMPUTED_VALUE"""),45978.61478009259)</f>
        <v>45978.61478</v>
      </c>
      <c r="D2451" s="211" t="str">
        <f>IFERROR(__xludf.DUMMYFUNCTION("""COMPUTED_VALUE"""),"7b9d8eba")</f>
        <v>7b9d8eba</v>
      </c>
      <c r="E2451" s="211" t="str">
        <f>IFERROR(__xludf.DUMMYFUNCTION("""COMPUTED_VALUE"""),"PT PELANGI INDOKARYA")</f>
        <v>PT PELANGI INDOKARYA</v>
      </c>
      <c r="F2451" s="211" t="str">
        <f>IFERROR(__xludf.DUMMYFUNCTION("""COMPUTED_VALUE"""),"8bdbe149")</f>
        <v>8bdbe149</v>
      </c>
      <c r="G2451" s="211" t="str">
        <f>IFERROR(__xludf.DUMMYFUNCTION("""COMPUTED_VALUE"""),"Oksigen 6m3")</f>
        <v>Oksigen 6m3</v>
      </c>
      <c r="H2451" s="211" t="str">
        <f>IFERROR(__xludf.DUMMYFUNCTION("""COMPUTED_VALUE"""),"IN")</f>
        <v>IN</v>
      </c>
      <c r="I2451" s="211" t="str">
        <f>IFERROR(__xludf.DUMMYFUNCTION("""COMPUTED_VALUE"""),"EMPTY")</f>
        <v>EMPTY</v>
      </c>
      <c r="J2451" s="211">
        <f>IFERROR(__xludf.DUMMYFUNCTION("""COMPUTED_VALUE"""),2.0)</f>
        <v>2</v>
      </c>
      <c r="K2451" s="210" t="str">
        <f>IFERROR(__xludf.DUMMYFUNCTION("""COMPUTED_VALUE"""),"11202 11285")</f>
        <v>11202 11285</v>
      </c>
      <c r="L2451" s="211">
        <f>IFERROR(__xludf.DUMMYFUNCTION("""COMPUTED_VALUE"""),0.0)</f>
        <v>0</v>
      </c>
      <c r="M2451" s="211"/>
      <c r="N2451" s="211"/>
      <c r="O2451" s="211"/>
      <c r="Q2451" s="210" t="str">
        <f>IFERROR(__xludf.DUMMYFUNCTION("""COMPUTED_VALUE"""),"022682450")</f>
        <v>022682450</v>
      </c>
      <c r="R2451" s="210" t="str">
        <f>IFERROR(__xludf.DUMMYFUNCTION("""COMPUTED_VALUE"""),"022682450")</f>
        <v>022682450</v>
      </c>
      <c r="S2451" s="211" t="str">
        <f>IFERROR(__xludf.DUMMYFUNCTION("""COMPUTED_VALUE"""),"b0735da4")</f>
        <v>b0735da4</v>
      </c>
      <c r="T2451" s="211" t="str">
        <f>IFERROR(__xludf.DUMMYFUNCTION("""COMPUTED_VALUE"""),"Bpk. Amer Ciro")</f>
        <v>Bpk. Amer Ciro</v>
      </c>
      <c r="U2451" s="215">
        <f>IFERROR(__xludf.DUMMYFUNCTION("""COMPUTED_VALUE"""),46057.35350694445)</f>
        <v>46057.35351</v>
      </c>
      <c r="V2451" s="211" t="str">
        <f>IFERROR(__xludf.DUMMYFUNCTION("""COMPUTED_VALUE"""),"HFJR+FV8 Bakungtemenggungan, Kabupaten Sidoarjo, Jawa Timur")</f>
        <v>HFJR+FV8 Bakungtemenggungan, Kabupaten Sidoarjo, Jawa Timur</v>
      </c>
      <c r="W2451" s="211" t="str">
        <f>IFERROR(__xludf.DUMMYFUNCTION("""COMPUTED_VALUE"""),"OUT")</f>
        <v>OUT</v>
      </c>
      <c r="X2451" s="211"/>
    </row>
    <row r="2452">
      <c r="A2452" s="210" t="str">
        <f>IFERROR(__xludf.DUMMYFUNCTION("""COMPUTED_VALUE"""),"1250788")</f>
        <v>1250788</v>
      </c>
      <c r="B2452" s="210" t="str">
        <f>IFERROR(__xludf.DUMMYFUNCTION("""COMPUTED_VALUE"""),"1250788")</f>
        <v>1250788</v>
      </c>
      <c r="C2452" s="213">
        <f>IFERROR(__xludf.DUMMYFUNCTION("""COMPUTED_VALUE"""),45978.641064814816)</f>
        <v>45978.64106</v>
      </c>
      <c r="D2452" s="211" t="str">
        <f>IFERROR(__xludf.DUMMYFUNCTION("""COMPUTED_VALUE"""),"3bcd7fe6")</f>
        <v>3bcd7fe6</v>
      </c>
      <c r="E2452" s="211" t="str">
        <f>IFERROR(__xludf.DUMMYFUNCTION("""COMPUTED_VALUE"""),"Bpk. Alvin (LB Group)")</f>
        <v>Bpk. Alvin (LB Group)</v>
      </c>
      <c r="F2452" s="211" t="str">
        <f>IFERROR(__xludf.DUMMYFUNCTION("""COMPUTED_VALUE"""),"f6aab7a9")</f>
        <v>f6aab7a9</v>
      </c>
      <c r="G2452" s="211" t="str">
        <f>IFERROR(__xludf.DUMMYFUNCTION("""COMPUTED_VALUE"""),"Oksigen 6m3 MR")</f>
        <v>Oksigen 6m3 MR</v>
      </c>
      <c r="H2452" s="211" t="str">
        <f>IFERROR(__xludf.DUMMYFUNCTION("""COMPUTED_VALUE"""),"IN")</f>
        <v>IN</v>
      </c>
      <c r="I2452" s="211" t="str">
        <f>IFERROR(__xludf.DUMMYFUNCTION("""COMPUTED_VALUE"""),"EMPTY")</f>
        <v>EMPTY</v>
      </c>
      <c r="J2452" s="211">
        <f>IFERROR(__xludf.DUMMYFUNCTION("""COMPUTED_VALUE"""),2.0)</f>
        <v>2</v>
      </c>
      <c r="K2452" s="210" t="str">
        <f>IFERROR(__xludf.DUMMYFUNCTION("""COMPUTED_VALUE"""),"01 02")</f>
        <v>01 02</v>
      </c>
      <c r="L2452" s="211">
        <f>IFERROR(__xludf.DUMMYFUNCTION("""COMPUTED_VALUE"""),0.0)</f>
        <v>0</v>
      </c>
      <c r="M2452" s="211"/>
      <c r="N2452" s="211"/>
      <c r="O2452" s="211"/>
      <c r="Q2452" s="210" t="str">
        <f>IFERROR(__xludf.DUMMYFUNCTION("""COMPUTED_VALUE"""),"0226212451")</f>
        <v>0226212451</v>
      </c>
      <c r="R2452" s="210" t="str">
        <f>IFERROR(__xludf.DUMMYFUNCTION("""COMPUTED_VALUE"""),"0226212451")</f>
        <v>0226212451</v>
      </c>
      <c r="S2452" s="211" t="str">
        <f>IFERROR(__xludf.DUMMYFUNCTION("""COMPUTED_VALUE"""),"182fb0fe")</f>
        <v>182fb0fe</v>
      </c>
      <c r="T2452" s="211" t="str">
        <f>IFERROR(__xludf.DUMMYFUNCTION("""COMPUTED_VALUE"""),"PT Amtech")</f>
        <v>PT Amtech</v>
      </c>
      <c r="U2452" s="215">
        <f>IFERROR(__xludf.DUMMYFUNCTION("""COMPUTED_VALUE"""),46057.354166666664)</f>
        <v>46057.35417</v>
      </c>
      <c r="V2452"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2452" s="211" t="str">
        <f>IFERROR(__xludf.DUMMYFUNCTION("""COMPUTED_VALUE"""),"OUT")</f>
        <v>OUT</v>
      </c>
      <c r="X2452" s="211"/>
    </row>
    <row r="2453">
      <c r="A2453" s="210" t="str">
        <f>IFERROR(__xludf.DUMMYFUNCTION("""COMPUTED_VALUE"""),"1250788")</f>
        <v>1250788</v>
      </c>
      <c r="B2453" s="210" t="str">
        <f>IFERROR(__xludf.DUMMYFUNCTION("""COMPUTED_VALUE"""),"1250788")</f>
        <v>1250788</v>
      </c>
      <c r="C2453" s="213">
        <f>IFERROR(__xludf.DUMMYFUNCTION("""COMPUTED_VALUE"""),45978.641064814816)</f>
        <v>45978.64106</v>
      </c>
      <c r="D2453" s="211" t="str">
        <f>IFERROR(__xludf.DUMMYFUNCTION("""COMPUTED_VALUE"""),"3bcd7fe6")</f>
        <v>3bcd7fe6</v>
      </c>
      <c r="E2453" s="211" t="str">
        <f>IFERROR(__xludf.DUMMYFUNCTION("""COMPUTED_VALUE"""),"Bpk. Alvin (LB Group)")</f>
        <v>Bpk. Alvin (LB Group)</v>
      </c>
      <c r="F2453" s="211" t="str">
        <f>IFERROR(__xludf.DUMMYFUNCTION("""COMPUTED_VALUE"""),"7d2764f1")</f>
        <v>7d2764f1</v>
      </c>
      <c r="G2453" s="211" t="str">
        <f>IFERROR(__xludf.DUMMYFUNCTION("""COMPUTED_VALUE"""),"Oksigen 7m3")</f>
        <v>Oksigen 7m3</v>
      </c>
      <c r="H2453" s="211" t="str">
        <f>IFERROR(__xludf.DUMMYFUNCTION("""COMPUTED_VALUE"""),"IN")</f>
        <v>IN</v>
      </c>
      <c r="I2453" s="211" t="str">
        <f>IFERROR(__xludf.DUMMYFUNCTION("""COMPUTED_VALUE"""),"EMPTY")</f>
        <v>EMPTY</v>
      </c>
      <c r="J2453" s="211">
        <f>IFERROR(__xludf.DUMMYFUNCTION("""COMPUTED_VALUE"""),4.0)</f>
        <v>4</v>
      </c>
      <c r="K2453" s="210" t="str">
        <f>IFERROR(__xludf.DUMMYFUNCTION("""COMPUTED_VALUE"""),"11223 11214 11219 11213")</f>
        <v>11223 11214 11219 11213</v>
      </c>
      <c r="L2453" s="211">
        <f>IFERROR(__xludf.DUMMYFUNCTION("""COMPUTED_VALUE"""),0.0)</f>
        <v>0</v>
      </c>
      <c r="M2453" s="211"/>
      <c r="N2453" s="211"/>
      <c r="O2453" s="211"/>
      <c r="Q2453" s="210" t="str">
        <f>IFERROR(__xludf.DUMMYFUNCTION("""COMPUTED_VALUE"""),"1261193")</f>
        <v>1261193</v>
      </c>
      <c r="R2453" s="210" t="str">
        <f>IFERROR(__xludf.DUMMYFUNCTION("""COMPUTED_VALUE"""),"1261193")</f>
        <v>1261193</v>
      </c>
      <c r="S2453" s="211" t="str">
        <f>IFERROR(__xludf.DUMMYFUNCTION("""COMPUTED_VALUE"""),"9e5d8274")</f>
        <v>9e5d8274</v>
      </c>
      <c r="T2453" s="211" t="str">
        <f>IFERROR(__xludf.DUMMYFUNCTION("""COMPUTED_VALUE"""),"Bpk. Erry ( Lik Trosobo )")</f>
        <v>Bpk. Erry ( Lik Trosobo )</v>
      </c>
      <c r="U2453" s="215">
        <f>IFERROR(__xludf.DUMMYFUNCTION("""COMPUTED_VALUE"""),46057.435011574074)</f>
        <v>46057.43501</v>
      </c>
      <c r="V2453" s="211" t="str">
        <f>IFERROR(__xludf.DUMMYFUNCTION("""COMPUTED_VALUE"""),"Trosobo Taman")</f>
        <v>Trosobo Taman</v>
      </c>
      <c r="W2453" s="211" t="str">
        <f>IFERROR(__xludf.DUMMYFUNCTION("""COMPUTED_VALUE"""),"IN")</f>
        <v>IN</v>
      </c>
      <c r="X2453" s="211"/>
    </row>
    <row r="2454">
      <c r="A2454" s="210" t="str">
        <f>IFERROR(__xludf.DUMMYFUNCTION("""COMPUTED_VALUE"""),"112531733")</f>
        <v>112531733</v>
      </c>
      <c r="B2454" s="210" t="str">
        <f>IFERROR(__xludf.DUMMYFUNCTION("""COMPUTED_VALUE"""),"112531733")</f>
        <v>112531733</v>
      </c>
      <c r="C2454" s="213">
        <f>IFERROR(__xludf.DUMMYFUNCTION("""COMPUTED_VALUE"""),45978.651979166665)</f>
        <v>45978.65198</v>
      </c>
      <c r="D2454" s="211" t="str">
        <f>IFERROR(__xludf.DUMMYFUNCTION("""COMPUTED_VALUE"""),"9e5d8274")</f>
        <v>9e5d8274</v>
      </c>
      <c r="E2454" s="211" t="str">
        <f>IFERROR(__xludf.DUMMYFUNCTION("""COMPUTED_VALUE"""),"Bpk. Erry ( Lik Trosobo )")</f>
        <v>Bpk. Erry ( Lik Trosobo )</v>
      </c>
      <c r="F2454" s="211" t="str">
        <f>IFERROR(__xludf.DUMMYFUNCTION("""COMPUTED_VALUE"""),"8bdbe149")</f>
        <v>8bdbe149</v>
      </c>
      <c r="G2454" s="211" t="str">
        <f>IFERROR(__xludf.DUMMYFUNCTION("""COMPUTED_VALUE"""),"Oksigen 6m3")</f>
        <v>Oksigen 6m3</v>
      </c>
      <c r="H2454" s="211" t="str">
        <f>IFERROR(__xludf.DUMMYFUNCTION("""COMPUTED_VALUE"""),"OUT")</f>
        <v>OUT</v>
      </c>
      <c r="I2454" s="211" t="str">
        <f>IFERROR(__xludf.DUMMYFUNCTION("""COMPUTED_VALUE"""),"NORMAL")</f>
        <v>NORMAL</v>
      </c>
      <c r="J2454" s="211">
        <f>IFERROR(__xludf.DUMMYFUNCTION("""COMPUTED_VALUE"""),2.0)</f>
        <v>2</v>
      </c>
      <c r="K2454" s="210" t="str">
        <f>IFERROR(__xludf.DUMMYFUNCTION("""COMPUTED_VALUE"""),"1133 11297")</f>
        <v>1133 11297</v>
      </c>
      <c r="L2454" s="211">
        <f>IFERROR(__xludf.DUMMYFUNCTION("""COMPUTED_VALUE"""),65000.0)</f>
        <v>65000</v>
      </c>
      <c r="M2454" s="211"/>
      <c r="N2454" s="211"/>
      <c r="O2454" s="211"/>
      <c r="Q2454" s="210" t="str">
        <f>IFERROR(__xludf.DUMMYFUNCTION("""COMPUTED_VALUE"""),"1261192")</f>
        <v>1261192</v>
      </c>
      <c r="R2454" s="210" t="str">
        <f>IFERROR(__xludf.DUMMYFUNCTION("""COMPUTED_VALUE"""),"1261192")</f>
        <v>1261192</v>
      </c>
      <c r="S2454" s="211" t="str">
        <f>IFERROR(__xludf.DUMMYFUNCTION("""COMPUTED_VALUE"""),"182fb0fe")</f>
        <v>182fb0fe</v>
      </c>
      <c r="T2454" s="211" t="str">
        <f>IFERROR(__xludf.DUMMYFUNCTION("""COMPUTED_VALUE"""),"PT Amtech")</f>
        <v>PT Amtech</v>
      </c>
      <c r="U2454" s="215">
        <f>IFERROR(__xludf.DUMMYFUNCTION("""COMPUTED_VALUE"""),46057.4356712963)</f>
        <v>46057.43567</v>
      </c>
      <c r="V2454"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2454" s="211" t="str">
        <f>IFERROR(__xludf.DUMMYFUNCTION("""COMPUTED_VALUE"""),"IN")</f>
        <v>IN</v>
      </c>
      <c r="X2454" s="211"/>
    </row>
    <row r="2455">
      <c r="A2455" s="211"/>
      <c r="B2455" s="211"/>
      <c r="C2455" s="211"/>
      <c r="D2455" s="211"/>
      <c r="E2455" s="211"/>
      <c r="F2455" s="211"/>
      <c r="G2455" s="211"/>
      <c r="H2455" s="211"/>
      <c r="I2455" s="211"/>
      <c r="J2455" s="211"/>
      <c r="K2455" s="211"/>
      <c r="L2455" s="211"/>
      <c r="M2455" s="211"/>
      <c r="N2455" s="211"/>
      <c r="O2455" s="211"/>
      <c r="Q2455" s="210" t="str">
        <f>IFERROR(__xludf.DUMMYFUNCTION("""COMPUTED_VALUE"""),"022612453")</f>
        <v>022612453</v>
      </c>
      <c r="R2455" s="210" t="str">
        <f>IFERROR(__xludf.DUMMYFUNCTION("""COMPUTED_VALUE"""),"022612453")</f>
        <v>022612453</v>
      </c>
      <c r="S2455" s="211" t="str">
        <f>IFERROR(__xludf.DUMMYFUNCTION("""COMPUTED_VALUE"""),"02c693f1")</f>
        <v>02c693f1</v>
      </c>
      <c r="T2455" s="211" t="str">
        <f>IFERROR(__xludf.DUMMYFUNCTION("""COMPUTED_VALUE"""),"Bpk. Rudi Jaya")</f>
        <v>Bpk. Rudi Jaya</v>
      </c>
      <c r="U2455" s="215">
        <f>IFERROR(__xludf.DUMMYFUNCTION("""COMPUTED_VALUE"""),46057.43686342592)</f>
        <v>46057.43686</v>
      </c>
      <c r="V2455" s="211" t="str">
        <f>IFERROR(__xludf.DUMMYFUNCTION("""COMPUTED_VALUE"""),"Ganting Tulangan, Jalan Raya kenongo ( Jual Beli Besi Tua ), Kec. Tulangan Kabupaten Sidoarjo Jawa Timur 61273")</f>
        <v>Ganting Tulangan, Jalan Raya kenongo ( Jual Beli Besi Tua ), Kec. Tulangan Kabupaten Sidoarjo Jawa Timur 61273</v>
      </c>
      <c r="W2455" s="211" t="str">
        <f>IFERROR(__xludf.DUMMYFUNCTION("""COMPUTED_VALUE"""),"OUT")</f>
        <v>OUT</v>
      </c>
      <c r="X2455" s="211"/>
    </row>
    <row r="2456">
      <c r="A2456" s="210" t="str">
        <f>IFERROR(__xludf.DUMMYFUNCTION("""COMPUTED_VALUE"""),"1125351737")</f>
        <v>1125351737</v>
      </c>
      <c r="B2456" s="210" t="str">
        <f>IFERROR(__xludf.DUMMYFUNCTION("""COMPUTED_VALUE"""),"1125351737")</f>
        <v>1125351737</v>
      </c>
      <c r="C2456" s="213">
        <f>IFERROR(__xludf.DUMMYFUNCTION("""COMPUTED_VALUE"""),45978.34074074074)</f>
        <v>45978.34074</v>
      </c>
      <c r="D2456" s="211" t="str">
        <f>IFERROR(__xludf.DUMMYFUNCTION("""COMPUTED_VALUE"""),"5f23ba17")</f>
        <v>5f23ba17</v>
      </c>
      <c r="E2456" s="211" t="str">
        <f>IFERROR(__xludf.DUMMYFUNCTION("""COMPUTED_VALUE"""),"Bpk. Joko (Gresik)")</f>
        <v>Bpk. Joko (Gresik)</v>
      </c>
      <c r="F2456" s="211" t="str">
        <f>IFERROR(__xludf.DUMMYFUNCTION("""COMPUTED_VALUE"""),"f6aab7a9")</f>
        <v>f6aab7a9</v>
      </c>
      <c r="G2456" s="211" t="str">
        <f>IFERROR(__xludf.DUMMYFUNCTION("""COMPUTED_VALUE"""),"Oksigen 6m3 MR")</f>
        <v>Oksigen 6m3 MR</v>
      </c>
      <c r="H2456" s="211" t="str">
        <f>IFERROR(__xludf.DUMMYFUNCTION("""COMPUTED_VALUE"""),"OUT")</f>
        <v>OUT</v>
      </c>
      <c r="I2456" s="211" t="str">
        <f>IFERROR(__xludf.DUMMYFUNCTION("""COMPUTED_VALUE"""),"NORMAL")</f>
        <v>NORMAL</v>
      </c>
      <c r="J2456" s="211">
        <f>IFERROR(__xludf.DUMMYFUNCTION("""COMPUTED_VALUE"""),1.0)</f>
        <v>1</v>
      </c>
      <c r="K2456" s="210" t="str">
        <f>IFERROR(__xludf.DUMMYFUNCTION("""COMPUTED_VALUE"""),"01")</f>
        <v>01</v>
      </c>
      <c r="L2456" s="211">
        <f>IFERROR(__xludf.DUMMYFUNCTION("""COMPUTED_VALUE"""),55000.0)</f>
        <v>55000</v>
      </c>
      <c r="M2456" s="211"/>
      <c r="N2456" s="211"/>
      <c r="O2456" s="211"/>
      <c r="Q2456" s="210" t="str">
        <f>IFERROR(__xludf.DUMMYFUNCTION("""COMPUTED_VALUE"""),"022622456")</f>
        <v>022622456</v>
      </c>
      <c r="R2456" s="210" t="str">
        <f>IFERROR(__xludf.DUMMYFUNCTION("""COMPUTED_VALUE"""),"022622456")</f>
        <v>022622456</v>
      </c>
      <c r="S2456" s="211" t="str">
        <f>IFERROR(__xludf.DUMMYFUNCTION("""COMPUTED_VALUE"""),"057b6b99")</f>
        <v>057b6b99</v>
      </c>
      <c r="T2456" s="211" t="str">
        <f>IFERROR(__xludf.DUMMYFUNCTION("""COMPUTED_VALUE"""),"PT Anuta Utama Transport")</f>
        <v>PT Anuta Utama Transport</v>
      </c>
      <c r="U2456" s="215">
        <f>IFERROR(__xludf.DUMMYFUNCTION("""COMPUTED_VALUE"""),46057.437372685185)</f>
        <v>46057.43737</v>
      </c>
      <c r="V2456" s="211" t="str">
        <f>IFERROR(__xludf.DUMMYFUNCTION("""COMPUTED_VALUE"""),"Jl Raya ketimang KM 10, Kec. Wonoayu, Kab. Sidoarjo, Jawa Timur")</f>
        <v>Jl Raya ketimang KM 10, Kec. Wonoayu, Kab. Sidoarjo, Jawa Timur</v>
      </c>
      <c r="W2456" s="211" t="str">
        <f>IFERROR(__xludf.DUMMYFUNCTION("""COMPUTED_VALUE"""),"OUT")</f>
        <v>OUT</v>
      </c>
      <c r="X2456" s="211"/>
    </row>
    <row r="2457">
      <c r="A2457" s="210" t="str">
        <f>IFERROR(__xludf.DUMMYFUNCTION("""COMPUTED_VALUE"""),"1125361738")</f>
        <v>1125361738</v>
      </c>
      <c r="B2457" s="210" t="str">
        <f>IFERROR(__xludf.DUMMYFUNCTION("""COMPUTED_VALUE"""),"1125361738")</f>
        <v>1125361738</v>
      </c>
      <c r="C2457" s="213">
        <f>IFERROR(__xludf.DUMMYFUNCTION("""COMPUTED_VALUE"""),45979.34074074074)</f>
        <v>45979.34074</v>
      </c>
      <c r="D2457" s="211" t="str">
        <f>IFERROR(__xludf.DUMMYFUNCTION("""COMPUTED_VALUE"""),"5f23ba17")</f>
        <v>5f23ba17</v>
      </c>
      <c r="E2457" s="211" t="str">
        <f>IFERROR(__xludf.DUMMYFUNCTION("""COMPUTED_VALUE"""),"Bpk. Joko (Gresik)")</f>
        <v>Bpk. Joko (Gresik)</v>
      </c>
      <c r="F2457" s="211" t="str">
        <f>IFERROR(__xludf.DUMMYFUNCTION("""COMPUTED_VALUE"""),"f6aab7a9")</f>
        <v>f6aab7a9</v>
      </c>
      <c r="G2457" s="211" t="str">
        <f>IFERROR(__xludf.DUMMYFUNCTION("""COMPUTED_VALUE"""),"Oksigen 6m3 MR")</f>
        <v>Oksigen 6m3 MR</v>
      </c>
      <c r="H2457" s="211" t="str">
        <f>IFERROR(__xludf.DUMMYFUNCTION("""COMPUTED_VALUE"""),"OUT")</f>
        <v>OUT</v>
      </c>
      <c r="I2457" s="211" t="str">
        <f>IFERROR(__xludf.DUMMYFUNCTION("""COMPUTED_VALUE"""),"NORMAL")</f>
        <v>NORMAL</v>
      </c>
      <c r="J2457" s="211">
        <f>IFERROR(__xludf.DUMMYFUNCTION("""COMPUTED_VALUE"""),2.0)</f>
        <v>2</v>
      </c>
      <c r="K2457" s="210" t="str">
        <f>IFERROR(__xludf.DUMMYFUNCTION("""COMPUTED_VALUE"""),"01 02")</f>
        <v>01 02</v>
      </c>
      <c r="L2457" s="211">
        <f>IFERROR(__xludf.DUMMYFUNCTION("""COMPUTED_VALUE"""),55000.0)</f>
        <v>55000</v>
      </c>
      <c r="M2457" s="211"/>
      <c r="N2457" s="211"/>
      <c r="O2457" s="211"/>
      <c r="Q2457" s="210" t="str">
        <f>IFERROR(__xludf.DUMMYFUNCTION("""COMPUTED_VALUE"""),"0226232457")</f>
        <v>0226232457</v>
      </c>
      <c r="R2457" s="210" t="str">
        <f>IFERROR(__xludf.DUMMYFUNCTION("""COMPUTED_VALUE"""),"0226232457")</f>
        <v>0226232457</v>
      </c>
      <c r="S2457" s="211" t="str">
        <f>IFERROR(__xludf.DUMMYFUNCTION("""COMPUTED_VALUE"""),"4ec68cf6")</f>
        <v>4ec68cf6</v>
      </c>
      <c r="T2457" s="211" t="str">
        <f>IFERROR(__xludf.DUMMYFUNCTION("""COMPUTED_VALUE"""),"CV Sido Mukti Karya")</f>
        <v>CV Sido Mukti Karya</v>
      </c>
      <c r="U2457" s="215">
        <f>IFERROR(__xludf.DUMMYFUNCTION("""COMPUTED_VALUE"""),46057.52428240741)</f>
        <v>46057.52428</v>
      </c>
      <c r="V2457" s="211" t="str">
        <f>IFERROR(__xludf.DUMMYFUNCTION("""COMPUTED_VALUE"""),"Pergudangan Center Point no A3, Kemangsen")</f>
        <v>Pergudangan Center Point no A3, Kemangsen</v>
      </c>
      <c r="W2457" s="211" t="str">
        <f>IFERROR(__xludf.DUMMYFUNCTION("""COMPUTED_VALUE"""),"OUT")</f>
        <v>OUT</v>
      </c>
      <c r="X2457" s="211"/>
    </row>
    <row r="2458">
      <c r="A2458" s="210" t="str">
        <f>IFERROR(__xludf.DUMMYFUNCTION("""COMPUTED_VALUE"""),"1125361739")</f>
        <v>1125361739</v>
      </c>
      <c r="B2458" s="210" t="str">
        <f>IFERROR(__xludf.DUMMYFUNCTION("""COMPUTED_VALUE"""),"1125361739")</f>
        <v>1125361739</v>
      </c>
      <c r="C2458" s="213">
        <f>IFERROR(__xludf.DUMMYFUNCTION("""COMPUTED_VALUE"""),45979.341458333336)</f>
        <v>45979.34146</v>
      </c>
      <c r="D2458" s="211" t="str">
        <f>IFERROR(__xludf.DUMMYFUNCTION("""COMPUTED_VALUE"""),"01158be1")</f>
        <v>01158be1</v>
      </c>
      <c r="E2458" s="211" t="str">
        <f>IFERROR(__xludf.DUMMYFUNCTION("""COMPUTED_VALUE"""),"GYF")</f>
        <v>GYF</v>
      </c>
      <c r="F2458" s="211" t="str">
        <f>IFERROR(__xludf.DUMMYFUNCTION("""COMPUTED_VALUE"""),"8bdbe149")</f>
        <v>8bdbe149</v>
      </c>
      <c r="G2458" s="211" t="str">
        <f>IFERROR(__xludf.DUMMYFUNCTION("""COMPUTED_VALUE"""),"Oksigen 6m3")</f>
        <v>Oksigen 6m3</v>
      </c>
      <c r="H2458" s="211" t="str">
        <f>IFERROR(__xludf.DUMMYFUNCTION("""COMPUTED_VALUE"""),"OUT")</f>
        <v>OUT</v>
      </c>
      <c r="I2458" s="211" t="str">
        <f>IFERROR(__xludf.DUMMYFUNCTION("""COMPUTED_VALUE"""),"NORMAL")</f>
        <v>NORMAL</v>
      </c>
      <c r="J2458" s="211">
        <f>IFERROR(__xludf.DUMMYFUNCTION("""COMPUTED_VALUE"""),20.0)</f>
        <v>20</v>
      </c>
      <c r="K2458" s="210" t="str">
        <f>IFERROR(__xludf.DUMMYFUNCTION("""COMPUTED_VALUE"""),"11133 11250 11245 1131 11196 11247 11228 11262 11279 1170 11118 11282 1156 1116 11176 11289 1169 11263 1187 11239")</f>
        <v>11133 11250 11245 1131 11196 11247 11228 11262 11279 1170 11118 11282 1156 1116 11176 11289 1169 11263 1187 11239</v>
      </c>
      <c r="L2458" s="211">
        <f>IFERROR(__xludf.DUMMYFUNCTION("""COMPUTED_VALUE"""),45000.0)</f>
        <v>45000</v>
      </c>
      <c r="M2458" s="211"/>
      <c r="N2458" s="211"/>
      <c r="O2458" s="211"/>
      <c r="Q2458" s="210" t="str">
        <f>IFERROR(__xludf.DUMMYFUNCTION("""COMPUTED_VALUE"""),"1261194")</f>
        <v>1261194</v>
      </c>
      <c r="R2458" s="210" t="str">
        <f>IFERROR(__xludf.DUMMYFUNCTION("""COMPUTED_VALUE"""),"1261194")</f>
        <v>1261194</v>
      </c>
      <c r="S2458" s="211" t="str">
        <f>IFERROR(__xludf.DUMMYFUNCTION("""COMPUTED_VALUE"""),"057b6b99")</f>
        <v>057b6b99</v>
      </c>
      <c r="T2458" s="211" t="str">
        <f>IFERROR(__xludf.DUMMYFUNCTION("""COMPUTED_VALUE"""),"PT Anuta Utama Transport")</f>
        <v>PT Anuta Utama Transport</v>
      </c>
      <c r="U2458" s="215">
        <f>IFERROR(__xludf.DUMMYFUNCTION("""COMPUTED_VALUE"""),46057.52648148148)</f>
        <v>46057.52648</v>
      </c>
      <c r="V2458" s="211" t="str">
        <f>IFERROR(__xludf.DUMMYFUNCTION("""COMPUTED_VALUE"""),"Jl Raya ketimang KM 10, Kec. Wonoayu, Kab. Sidoarjo, Jawa Timur")</f>
        <v>Jl Raya ketimang KM 10, Kec. Wonoayu, Kab. Sidoarjo, Jawa Timur</v>
      </c>
      <c r="W2458" s="211" t="str">
        <f>IFERROR(__xludf.DUMMYFUNCTION("""COMPUTED_VALUE"""),"IN")</f>
        <v>IN</v>
      </c>
      <c r="X2458" s="211"/>
    </row>
    <row r="2459">
      <c r="A2459" s="211"/>
      <c r="B2459" s="211"/>
      <c r="C2459" s="211"/>
      <c r="D2459" s="211"/>
      <c r="E2459" s="211"/>
      <c r="F2459" s="211"/>
      <c r="G2459" s="211"/>
      <c r="H2459" s="211"/>
      <c r="I2459" s="211"/>
      <c r="J2459" s="211"/>
      <c r="K2459" s="211"/>
      <c r="L2459" s="211"/>
      <c r="M2459" s="211"/>
      <c r="N2459" s="211"/>
      <c r="O2459" s="211"/>
      <c r="Q2459" s="210" t="str">
        <f>IFERROR(__xludf.DUMMYFUNCTION("""COMPUTED_VALUE"""),"1261195")</f>
        <v>1261195</v>
      </c>
      <c r="R2459" s="210" t="str">
        <f>IFERROR(__xludf.DUMMYFUNCTION("""COMPUTED_VALUE"""),"1261195")</f>
        <v>1261195</v>
      </c>
      <c r="S2459" s="211" t="str">
        <f>IFERROR(__xludf.DUMMYFUNCTION("""COMPUTED_VALUE"""),"4ec68cf6")</f>
        <v>4ec68cf6</v>
      </c>
      <c r="T2459" s="211" t="str">
        <f>IFERROR(__xludf.DUMMYFUNCTION("""COMPUTED_VALUE"""),"CV Sido Mukti Karya")</f>
        <v>CV Sido Mukti Karya</v>
      </c>
      <c r="U2459" s="215">
        <f>IFERROR(__xludf.DUMMYFUNCTION("""COMPUTED_VALUE"""),46057.57465277778)</f>
        <v>46057.57465</v>
      </c>
      <c r="V2459" s="211" t="str">
        <f>IFERROR(__xludf.DUMMYFUNCTION("""COMPUTED_VALUE"""),"Pergudangan Center Point no A3, Kemangsen")</f>
        <v>Pergudangan Center Point no A3, Kemangsen</v>
      </c>
      <c r="W2459" s="211" t="str">
        <f>IFERROR(__xludf.DUMMYFUNCTION("""COMPUTED_VALUE"""),"IN")</f>
        <v>IN</v>
      </c>
      <c r="X2459" s="211"/>
    </row>
    <row r="2460">
      <c r="A2460" s="210" t="str">
        <f>IFERROR(__xludf.DUMMYFUNCTION("""COMPUTED_VALUE"""),"1125361738")</f>
        <v>1125361738</v>
      </c>
      <c r="B2460" s="210" t="str">
        <f>IFERROR(__xludf.DUMMYFUNCTION("""COMPUTED_VALUE"""),"1125361738")</f>
        <v>1125361738</v>
      </c>
      <c r="C2460" s="213">
        <f>IFERROR(__xludf.DUMMYFUNCTION("""COMPUTED_VALUE"""),45979.34074074074)</f>
        <v>45979.34074</v>
      </c>
      <c r="D2460" s="211" t="str">
        <f>IFERROR(__xludf.DUMMYFUNCTION("""COMPUTED_VALUE"""),"5f23ba17")</f>
        <v>5f23ba17</v>
      </c>
      <c r="E2460" s="211" t="str">
        <f>IFERROR(__xludf.DUMMYFUNCTION("""COMPUTED_VALUE"""),"Bpk. Joko (Gresik)")</f>
        <v>Bpk. Joko (Gresik)</v>
      </c>
      <c r="F2460" s="211" t="str">
        <f>IFERROR(__xludf.DUMMYFUNCTION("""COMPUTED_VALUE"""),"fbe0ee2c")</f>
        <v>fbe0ee2c</v>
      </c>
      <c r="G2460" s="211" t="str">
        <f>IFERROR(__xludf.DUMMYFUNCTION("""COMPUTED_VALUE"""),"Valve O2")</f>
        <v>Valve O2</v>
      </c>
      <c r="H2460" s="211" t="str">
        <f>IFERROR(__xludf.DUMMYFUNCTION("""COMPUTED_VALUE"""),"OUT")</f>
        <v>OUT</v>
      </c>
      <c r="I2460" s="211" t="str">
        <f>IFERROR(__xludf.DUMMYFUNCTION("""COMPUTED_VALUE"""),"NORMAL")</f>
        <v>NORMAL</v>
      </c>
      <c r="J2460" s="211">
        <f>IFERROR(__xludf.DUMMYFUNCTION("""COMPUTED_VALUE"""),1.0)</f>
        <v>1</v>
      </c>
      <c r="K2460" s="211"/>
      <c r="L2460" s="211">
        <f>IFERROR(__xludf.DUMMYFUNCTION("""COMPUTED_VALUE"""),200000.0)</f>
        <v>200000</v>
      </c>
      <c r="M2460" s="211"/>
      <c r="N2460" s="211"/>
      <c r="O2460" s="211"/>
      <c r="Q2460" s="210" t="str">
        <f>IFERROR(__xludf.DUMMYFUNCTION("""COMPUTED_VALUE"""),"1261186")</f>
        <v>1261186</v>
      </c>
      <c r="R2460" s="210" t="str">
        <f>IFERROR(__xludf.DUMMYFUNCTION("""COMPUTED_VALUE"""),"1261186")</f>
        <v>1261186</v>
      </c>
      <c r="S2460" s="211" t="str">
        <f>IFERROR(__xludf.DUMMYFUNCTION("""COMPUTED_VALUE"""),"b0735da4")</f>
        <v>b0735da4</v>
      </c>
      <c r="T2460" s="211" t="str">
        <f>IFERROR(__xludf.DUMMYFUNCTION("""COMPUTED_VALUE"""),"Bpk. Amer Ciro")</f>
        <v>Bpk. Amer Ciro</v>
      </c>
      <c r="U2460" s="215">
        <f>IFERROR(__xludf.DUMMYFUNCTION("""COMPUTED_VALUE"""),46057.61032407408)</f>
        <v>46057.61032</v>
      </c>
      <c r="V2460" s="211" t="str">
        <f>IFERROR(__xludf.DUMMYFUNCTION("""COMPUTED_VALUE"""),"HFJR+FV8 Bakungtemenggungan, Kabupaten Sidoarjo, Jawa Timur")</f>
        <v>HFJR+FV8 Bakungtemenggungan, Kabupaten Sidoarjo, Jawa Timur</v>
      </c>
      <c r="W2460" s="211" t="str">
        <f>IFERROR(__xludf.DUMMYFUNCTION("""COMPUTED_VALUE"""),"IN")</f>
        <v>IN</v>
      </c>
      <c r="X2460" s="211"/>
    </row>
    <row r="2461">
      <c r="A2461" s="210" t="str">
        <f>IFERROR(__xludf.DUMMYFUNCTION("""COMPUTED_VALUE"""),"1125411740")</f>
        <v>1125411740</v>
      </c>
      <c r="B2461" s="210" t="str">
        <f>IFERROR(__xludf.DUMMYFUNCTION("""COMPUTED_VALUE"""),"1125411740")</f>
        <v>1125411740</v>
      </c>
      <c r="C2461" s="213">
        <f>IFERROR(__xludf.DUMMYFUNCTION("""COMPUTED_VALUE"""),45978.69152777778)</f>
        <v>45978.69153</v>
      </c>
      <c r="D2461" s="211" t="str">
        <f>IFERROR(__xludf.DUMMYFUNCTION("""COMPUTED_VALUE"""),"b2b5f2c5")</f>
        <v>b2b5f2c5</v>
      </c>
      <c r="E2461" s="211" t="str">
        <f>IFERROR(__xludf.DUMMYFUNCTION("""COMPUTED_VALUE"""),"Bengkel Las Bpk. Ari")</f>
        <v>Bengkel Las Bpk. Ari</v>
      </c>
      <c r="F2461" s="211" t="str">
        <f>IFERROR(__xludf.DUMMYFUNCTION("""COMPUTED_VALUE"""),"ef306e54")</f>
        <v>ef306e54</v>
      </c>
      <c r="G2461" s="211" t="str">
        <f>IFERROR(__xludf.DUMMYFUNCTION("""COMPUTED_VALUE"""),"Karbondioksida")</f>
        <v>Karbondioksida</v>
      </c>
      <c r="H2461" s="211" t="str">
        <f>IFERROR(__xludf.DUMMYFUNCTION("""COMPUTED_VALUE"""),"OUT")</f>
        <v>OUT</v>
      </c>
      <c r="I2461" s="211" t="str">
        <f>IFERROR(__xludf.DUMMYFUNCTION("""COMPUTED_VALUE"""),"NORMAL")</f>
        <v>NORMAL</v>
      </c>
      <c r="J2461" s="211">
        <f>IFERROR(__xludf.DUMMYFUNCTION("""COMPUTED_VALUE"""),2.0)</f>
        <v>2</v>
      </c>
      <c r="K2461" s="210" t="str">
        <f>IFERROR(__xludf.DUMMYFUNCTION("""COMPUTED_VALUE"""),"13034 13045")</f>
        <v>13034 13045</v>
      </c>
      <c r="L2461" s="211">
        <f>IFERROR(__xludf.DUMMYFUNCTION("""COMPUTED_VALUE"""),170000.0)</f>
        <v>170000</v>
      </c>
      <c r="M2461" s="211"/>
      <c r="N2461" s="211"/>
      <c r="O2461" s="211"/>
      <c r="Q2461" s="210" t="str">
        <f>IFERROR(__xludf.DUMMYFUNCTION("""COMPUTED_VALUE"""),"1261187")</f>
        <v>1261187</v>
      </c>
      <c r="R2461" s="210" t="str">
        <f>IFERROR(__xludf.DUMMYFUNCTION("""COMPUTED_VALUE"""),"1261187")</f>
        <v>1261187</v>
      </c>
      <c r="S2461" s="211" t="str">
        <f>IFERROR(__xludf.DUMMYFUNCTION("""COMPUTED_VALUE"""),"01158be1")</f>
        <v>01158be1</v>
      </c>
      <c r="T2461" s="211" t="str">
        <f>IFERROR(__xludf.DUMMYFUNCTION("""COMPUTED_VALUE"""),"GYF")</f>
        <v>GYF</v>
      </c>
      <c r="U2461" s="215">
        <f>IFERROR(__xludf.DUMMYFUNCTION("""COMPUTED_VALUE"""),46057.61230324074)</f>
        <v>46057.6123</v>
      </c>
      <c r="V2461" s="211" t="str">
        <f>IFERROR(__xludf.DUMMYFUNCTION("""COMPUTED_VALUE"""),"Kangkungan, Lengkong, Kec. Mojoanyar, Kabupaten Mojokerto, Jawa Timur")</f>
        <v>Kangkungan, Lengkong, Kec. Mojoanyar, Kabupaten Mojokerto, Jawa Timur</v>
      </c>
      <c r="W2461" s="211" t="str">
        <f>IFERROR(__xludf.DUMMYFUNCTION("""COMPUTED_VALUE"""),"IN")</f>
        <v>IN</v>
      </c>
      <c r="X2461" s="211"/>
    </row>
    <row r="2462">
      <c r="A2462" s="210" t="str">
        <f>IFERROR(__xludf.DUMMYFUNCTION("""COMPUTED_VALUE"""),"1125411740")</f>
        <v>1125411740</v>
      </c>
      <c r="B2462" s="210" t="str">
        <f>IFERROR(__xludf.DUMMYFUNCTION("""COMPUTED_VALUE"""),"1125411740")</f>
        <v>1125411740</v>
      </c>
      <c r="C2462" s="213">
        <f>IFERROR(__xludf.DUMMYFUNCTION("""COMPUTED_VALUE"""),45978.69152777778)</f>
        <v>45978.69153</v>
      </c>
      <c r="D2462" s="211" t="str">
        <f>IFERROR(__xludf.DUMMYFUNCTION("""COMPUTED_VALUE"""),"b2b5f2c5")</f>
        <v>b2b5f2c5</v>
      </c>
      <c r="E2462" s="211" t="str">
        <f>IFERROR(__xludf.DUMMYFUNCTION("""COMPUTED_VALUE"""),"Bengkel Las Bpk. Ari")</f>
        <v>Bengkel Las Bpk. Ari</v>
      </c>
      <c r="F2462" s="211" t="str">
        <f>IFERROR(__xludf.DUMMYFUNCTION("""COMPUTED_VALUE"""),"8bdbe149")</f>
        <v>8bdbe149</v>
      </c>
      <c r="G2462" s="211" t="str">
        <f>IFERROR(__xludf.DUMMYFUNCTION("""COMPUTED_VALUE"""),"Oksigen 6m3")</f>
        <v>Oksigen 6m3</v>
      </c>
      <c r="H2462" s="211" t="str">
        <f>IFERROR(__xludf.DUMMYFUNCTION("""COMPUTED_VALUE"""),"OUT")</f>
        <v>OUT</v>
      </c>
      <c r="I2462" s="211" t="str">
        <f>IFERROR(__xludf.DUMMYFUNCTION("""COMPUTED_VALUE"""),"NORMAL")</f>
        <v>NORMAL</v>
      </c>
      <c r="J2462" s="211">
        <f>IFERROR(__xludf.DUMMYFUNCTION("""COMPUTED_VALUE"""),8.0)</f>
        <v>8</v>
      </c>
      <c r="K2462" s="210" t="str">
        <f>IFERROR(__xludf.DUMMYFUNCTION("""COMPUTED_VALUE"""),"1109 1155 1184 11252 11187 11125 11258 1176")</f>
        <v>1109 1155 1184 11252 11187 11125 11258 1176</v>
      </c>
      <c r="L2462" s="211">
        <f>IFERROR(__xludf.DUMMYFUNCTION("""COMPUTED_VALUE"""),60000.0)</f>
        <v>60000</v>
      </c>
      <c r="M2462" s="211"/>
      <c r="N2462" s="211"/>
      <c r="O2462" s="211"/>
      <c r="Q2462" s="210" t="str">
        <f>IFERROR(__xludf.DUMMYFUNCTION("""COMPUTED_VALUE"""),"0226112458")</f>
        <v>0226112458</v>
      </c>
      <c r="R2462" s="210" t="str">
        <f>IFERROR(__xludf.DUMMYFUNCTION("""COMPUTED_VALUE"""),"0226112458")</f>
        <v>0226112458</v>
      </c>
      <c r="S2462" s="211" t="str">
        <f>IFERROR(__xludf.DUMMYFUNCTION("""COMPUTED_VALUE"""),"440df1db")</f>
        <v>440df1db</v>
      </c>
      <c r="T2462" s="211" t="str">
        <f>IFERROR(__xludf.DUMMYFUNCTION("""COMPUTED_VALUE"""),"PT. Mecca Abadi Sejahtera")</f>
        <v>PT. Mecca Abadi Sejahtera</v>
      </c>
      <c r="U2462" s="215">
        <f>IFERROR(__xludf.DUMMYFUNCTION("""COMPUTED_VALUE"""),46057.61293981481)</f>
        <v>46057.61294</v>
      </c>
      <c r="V2462" s="211" t="str">
        <f>IFERROR(__xludf.DUMMYFUNCTION("""COMPUTED_VALUE"""),"Jl. Raya Sawocangkring, RT.006/RW.002, Sawo, Sawocangkring, Kec. Wonoayu, Kabupaten Sidoarjo, Jawa Timur 61261")</f>
        <v>Jl. Raya Sawocangkring, RT.006/RW.002, Sawo, Sawocangkring, Kec. Wonoayu, Kabupaten Sidoarjo, Jawa Timur 61261</v>
      </c>
      <c r="W2462" s="211" t="str">
        <f>IFERROR(__xludf.DUMMYFUNCTION("""COMPUTED_VALUE"""),"OUT")</f>
        <v>OUT</v>
      </c>
      <c r="X2462" s="211"/>
    </row>
    <row r="2463">
      <c r="A2463" s="210" t="str">
        <f>IFERROR(__xludf.DUMMYFUNCTION("""COMPUTED_VALUE"""),"1125361738")</f>
        <v>1125361738</v>
      </c>
      <c r="B2463" s="210" t="str">
        <f>IFERROR(__xludf.DUMMYFUNCTION("""COMPUTED_VALUE"""),"1125361738")</f>
        <v>1125361738</v>
      </c>
      <c r="C2463" s="213">
        <f>IFERROR(__xludf.DUMMYFUNCTION("""COMPUTED_VALUE"""),45979.34074074074)</f>
        <v>45979.34074</v>
      </c>
      <c r="D2463" s="211" t="str">
        <f>IFERROR(__xludf.DUMMYFUNCTION("""COMPUTED_VALUE"""),"5f23ba17")</f>
        <v>5f23ba17</v>
      </c>
      <c r="E2463" s="211" t="str">
        <f>IFERROR(__xludf.DUMMYFUNCTION("""COMPUTED_VALUE"""),"Bpk. Joko (Gresik)")</f>
        <v>Bpk. Joko (Gresik)</v>
      </c>
      <c r="F2463" s="211" t="str">
        <f>IFERROR(__xludf.DUMMYFUNCTION("""COMPUTED_VALUE"""),"2e2560f8")</f>
        <v>2e2560f8</v>
      </c>
      <c r="G2463" s="211" t="str">
        <f>IFERROR(__xludf.DUMMYFUNCTION("""COMPUTED_VALUE"""),"Bonit Valve")</f>
        <v>Bonit Valve</v>
      </c>
      <c r="H2463" s="211" t="str">
        <f>IFERROR(__xludf.DUMMYFUNCTION("""COMPUTED_VALUE"""),"OUT")</f>
        <v>OUT</v>
      </c>
      <c r="I2463" s="211" t="str">
        <f>IFERROR(__xludf.DUMMYFUNCTION("""COMPUTED_VALUE"""),"NORMAL")</f>
        <v>NORMAL</v>
      </c>
      <c r="J2463" s="211">
        <f>IFERROR(__xludf.DUMMYFUNCTION("""COMPUTED_VALUE"""),1.0)</f>
        <v>1</v>
      </c>
      <c r="K2463" s="211"/>
      <c r="L2463" s="211">
        <f>IFERROR(__xludf.DUMMYFUNCTION("""COMPUTED_VALUE"""),250000.0)</f>
        <v>250000</v>
      </c>
      <c r="M2463" s="211"/>
      <c r="N2463" s="211"/>
      <c r="O2463" s="211"/>
      <c r="Q2463" s="210" t="str">
        <f>IFERROR(__xludf.DUMMYFUNCTION("""COMPUTED_VALUE"""),"1261188")</f>
        <v>1261188</v>
      </c>
      <c r="R2463" s="210" t="str">
        <f>IFERROR(__xludf.DUMMYFUNCTION("""COMPUTED_VALUE"""),"1261188")</f>
        <v>1261188</v>
      </c>
      <c r="S2463" s="211" t="str">
        <f>IFERROR(__xludf.DUMMYFUNCTION("""COMPUTED_VALUE"""),"440df1db")</f>
        <v>440df1db</v>
      </c>
      <c r="T2463" s="211" t="str">
        <f>IFERROR(__xludf.DUMMYFUNCTION("""COMPUTED_VALUE"""),"PT. Mecca Abadi Sejahtera")</f>
        <v>PT. Mecca Abadi Sejahtera</v>
      </c>
      <c r="U2463" s="215">
        <f>IFERROR(__xludf.DUMMYFUNCTION("""COMPUTED_VALUE"""),46057.668854166666)</f>
        <v>46057.66885</v>
      </c>
      <c r="V2463" s="211" t="str">
        <f>IFERROR(__xludf.DUMMYFUNCTION("""COMPUTED_VALUE"""),"Jl. Raya Sawocangkring, RT.006/RW.002, Sawo, Sawocangkring, Kec. Wonoayu, Kabupaten Sidoarjo, Jawa Timur 61261")</f>
        <v>Jl. Raya Sawocangkring, RT.006/RW.002, Sawo, Sawocangkring, Kec. Wonoayu, Kabupaten Sidoarjo, Jawa Timur 61261</v>
      </c>
      <c r="W2463" s="211" t="str">
        <f>IFERROR(__xludf.DUMMYFUNCTION("""COMPUTED_VALUE"""),"IN")</f>
        <v>IN</v>
      </c>
      <c r="X2463" s="211"/>
    </row>
    <row r="2464">
      <c r="A2464" s="210" t="str">
        <f>IFERROR(__xludf.DUMMYFUNCTION("""COMPUTED_VALUE"""),"1125361741")</f>
        <v>1125361741</v>
      </c>
      <c r="B2464" s="210" t="str">
        <f>IFERROR(__xludf.DUMMYFUNCTION("""COMPUTED_VALUE"""),"1125361741")</f>
        <v>1125361741</v>
      </c>
      <c r="C2464" s="213">
        <f>IFERROR(__xludf.DUMMYFUNCTION("""COMPUTED_VALUE"""),45978.69782407407)</f>
        <v>45978.69782</v>
      </c>
      <c r="D2464" s="211" t="str">
        <f>IFERROR(__xludf.DUMMYFUNCTION("""COMPUTED_VALUE"""),"5f23ba17")</f>
        <v>5f23ba17</v>
      </c>
      <c r="E2464" s="211" t="str">
        <f>IFERROR(__xludf.DUMMYFUNCTION("""COMPUTED_VALUE"""),"Bpk. Joko (Gresik)")</f>
        <v>Bpk. Joko (Gresik)</v>
      </c>
      <c r="F2464" s="211" t="str">
        <f>IFERROR(__xludf.DUMMYFUNCTION("""COMPUTED_VALUE"""),"439cf836")</f>
        <v>439cf836</v>
      </c>
      <c r="G2464" s="211" t="str">
        <f>IFERROR(__xludf.DUMMYFUNCTION("""COMPUTED_VALUE"""),"Karbondioksida MR")</f>
        <v>Karbondioksida MR</v>
      </c>
      <c r="H2464" s="211" t="str">
        <f>IFERROR(__xludf.DUMMYFUNCTION("""COMPUTED_VALUE"""),"OUT")</f>
        <v>OUT</v>
      </c>
      <c r="I2464" s="211" t="str">
        <f>IFERROR(__xludf.DUMMYFUNCTION("""COMPUTED_VALUE"""),"NORMAL")</f>
        <v>NORMAL</v>
      </c>
      <c r="J2464" s="211">
        <f>IFERROR(__xludf.DUMMYFUNCTION("""COMPUTED_VALUE"""),1.0)</f>
        <v>1</v>
      </c>
      <c r="K2464" s="210" t="str">
        <f>IFERROR(__xludf.DUMMYFUNCTION("""COMPUTED_VALUE"""),"01")</f>
        <v>01</v>
      </c>
      <c r="L2464" s="211">
        <f>IFERROR(__xludf.DUMMYFUNCTION("""COMPUTED_VALUE"""),160000.0)</f>
        <v>160000</v>
      </c>
      <c r="M2464" s="211"/>
      <c r="N2464" s="211"/>
      <c r="O2464" s="211"/>
      <c r="Q2464" s="210" t="str">
        <f>IFERROR(__xludf.DUMMYFUNCTION("""COMPUTED_VALUE"""),"0226122463")</f>
        <v>0226122463</v>
      </c>
      <c r="R2464" s="210" t="str">
        <f>IFERROR(__xludf.DUMMYFUNCTION("""COMPUTED_VALUE"""),"0226122463")</f>
        <v>0226122463</v>
      </c>
      <c r="S2464" s="211" t="str">
        <f>IFERROR(__xludf.DUMMYFUNCTION("""COMPUTED_VALUE"""),"f8a982a4")</f>
        <v>f8a982a4</v>
      </c>
      <c r="T2464" s="211" t="str">
        <f>IFERROR(__xludf.DUMMYFUNCTION("""COMPUTED_VALUE"""),"Bpk. Nasir")</f>
        <v>Bpk. Nasir</v>
      </c>
      <c r="U2464" s="215">
        <f>IFERROR(__xludf.DUMMYFUNCTION("""COMPUTED_VALUE"""),46058.37604166667)</f>
        <v>46058.37604</v>
      </c>
      <c r="V2464" s="211" t="str">
        <f>IFERROR(__xludf.DUMMYFUNCTION("""COMPUTED_VALUE"""),"JL Raya Pacet, Dsn. Janti Ds. Jatilangkung RT.01 RW. 04. Kabupaten. Mojokerto Pungging, Jawa Timur")</f>
        <v>JL Raya Pacet, Dsn. Janti Ds. Jatilangkung RT.01 RW. 04. Kabupaten. Mojokerto Pungging, Jawa Timur</v>
      </c>
      <c r="W2464" s="211" t="str">
        <f>IFERROR(__xludf.DUMMYFUNCTION("""COMPUTED_VALUE"""),"OUT")</f>
        <v>OUT</v>
      </c>
      <c r="X2464" s="211"/>
    </row>
    <row r="2465">
      <c r="A2465" s="210" t="str">
        <f>IFERROR(__xludf.DUMMYFUNCTION("""COMPUTED_VALUE"""),"112511742")</f>
        <v>112511742</v>
      </c>
      <c r="B2465" s="210" t="str">
        <f>IFERROR(__xludf.DUMMYFUNCTION("""COMPUTED_VALUE"""),"112511742")</f>
        <v>112511742</v>
      </c>
      <c r="C2465" s="213">
        <f>IFERROR(__xludf.DUMMYFUNCTION("""COMPUTED_VALUE"""),45979.352106481485)</f>
        <v>45979.35211</v>
      </c>
      <c r="D2465" s="211" t="str">
        <f>IFERROR(__xludf.DUMMYFUNCTION("""COMPUTED_VALUE"""),"a0f0ad2d")</f>
        <v>a0f0ad2d</v>
      </c>
      <c r="E2465" s="211" t="str">
        <f>IFERROR(__xludf.DUMMYFUNCTION("""COMPUTED_VALUE"""),"CV. Yulie Jaya")</f>
        <v>CV. Yulie Jaya</v>
      </c>
      <c r="F2465" s="211" t="str">
        <f>IFERROR(__xludf.DUMMYFUNCTION("""COMPUTED_VALUE"""),"7d2764f1")</f>
        <v>7d2764f1</v>
      </c>
      <c r="G2465" s="211" t="str">
        <f>IFERROR(__xludf.DUMMYFUNCTION("""COMPUTED_VALUE"""),"Oksigen 7m3")</f>
        <v>Oksigen 7m3</v>
      </c>
      <c r="H2465" s="211" t="str">
        <f>IFERROR(__xludf.DUMMYFUNCTION("""COMPUTED_VALUE"""),"OUT")</f>
        <v>OUT</v>
      </c>
      <c r="I2465" s="211" t="str">
        <f>IFERROR(__xludf.DUMMYFUNCTION("""COMPUTED_VALUE"""),"NORMAL")</f>
        <v>NORMAL</v>
      </c>
      <c r="J2465" s="211">
        <f>IFERROR(__xludf.DUMMYFUNCTION("""COMPUTED_VALUE"""),10.0)</f>
        <v>10</v>
      </c>
      <c r="K2465" s="210" t="str">
        <f>IFERROR(__xludf.DUMMYFUNCTION("""COMPUTED_VALUE"""),"11155 11144 11141 11137 11150 11229 11218 11228 11169 76")</f>
        <v>11155 11144 11141 11137 11150 11229 11218 11228 11169 76</v>
      </c>
      <c r="L2465" s="211">
        <f>IFERROR(__xludf.DUMMYFUNCTION("""COMPUTED_VALUE"""),60000.0)</f>
        <v>60000</v>
      </c>
      <c r="M2465" s="211"/>
      <c r="N2465" s="211"/>
      <c r="O2465" s="211"/>
      <c r="Q2465" s="210" t="str">
        <f>IFERROR(__xludf.DUMMYFUNCTION("""COMPUTED_VALUE"""),"0226812465")</f>
        <v>0226812465</v>
      </c>
      <c r="R2465" s="210" t="str">
        <f>IFERROR(__xludf.DUMMYFUNCTION("""COMPUTED_VALUE"""),"0226812465")</f>
        <v>0226812465</v>
      </c>
      <c r="S2465" s="211" t="str">
        <f>IFERROR(__xludf.DUMMYFUNCTION("""COMPUTED_VALUE"""),"b2b5f2c5")</f>
        <v>b2b5f2c5</v>
      </c>
      <c r="T2465" s="211" t="str">
        <f>IFERROR(__xludf.DUMMYFUNCTION("""COMPUTED_VALUE"""),"Bengkel Las Bpk. Ari")</f>
        <v>Bengkel Las Bpk. Ari</v>
      </c>
      <c r="U2465" s="215">
        <f>IFERROR(__xludf.DUMMYFUNCTION("""COMPUTED_VALUE"""),46058.40056712963)</f>
        <v>46058.40057</v>
      </c>
      <c r="V2465" s="211" t="str">
        <f>IFERROR(__xludf.DUMMYFUNCTION("""COMPUTED_VALUE"""),"Sumber Kembar, Wonodadi, Kec. Kutorejo, Kabupaten Mojokerto, Jawa Timur")</f>
        <v>Sumber Kembar, Wonodadi, Kec. Kutorejo, Kabupaten Mojokerto, Jawa Timur</v>
      </c>
      <c r="W2465" s="211" t="str">
        <f>IFERROR(__xludf.DUMMYFUNCTION("""COMPUTED_VALUE"""),"OUT")</f>
        <v>OUT</v>
      </c>
      <c r="X2465" s="211"/>
    </row>
    <row r="2466">
      <c r="A2466" s="210" t="str">
        <f>IFERROR(__xludf.DUMMYFUNCTION("""COMPUTED_VALUE"""),"112511742")</f>
        <v>112511742</v>
      </c>
      <c r="B2466" s="210" t="str">
        <f>IFERROR(__xludf.DUMMYFUNCTION("""COMPUTED_VALUE"""),"112511742")</f>
        <v>112511742</v>
      </c>
      <c r="C2466" s="213">
        <f>IFERROR(__xludf.DUMMYFUNCTION("""COMPUTED_VALUE"""),45979.352106481485)</f>
        <v>45979.35211</v>
      </c>
      <c r="D2466" s="211" t="str">
        <f>IFERROR(__xludf.DUMMYFUNCTION("""COMPUTED_VALUE"""),"a0f0ad2d")</f>
        <v>a0f0ad2d</v>
      </c>
      <c r="E2466" s="211" t="str">
        <f>IFERROR(__xludf.DUMMYFUNCTION("""COMPUTED_VALUE"""),"CV. Yulie Jaya")</f>
        <v>CV. Yulie Jaya</v>
      </c>
      <c r="F2466" s="211" t="str">
        <f>IFERROR(__xludf.DUMMYFUNCTION("""COMPUTED_VALUE"""),"be525f3b")</f>
        <v>be525f3b</v>
      </c>
      <c r="G2466" s="211" t="str">
        <f>IFERROR(__xludf.DUMMYFUNCTION("""COMPUTED_VALUE"""),"LPG 12kg")</f>
        <v>LPG 12kg</v>
      </c>
      <c r="H2466" s="211" t="str">
        <f>IFERROR(__xludf.DUMMYFUNCTION("""COMPUTED_VALUE"""),"OUT")</f>
        <v>OUT</v>
      </c>
      <c r="I2466" s="211" t="str">
        <f>IFERROR(__xludf.DUMMYFUNCTION("""COMPUTED_VALUE"""),"NORMAL")</f>
        <v>NORMAL</v>
      </c>
      <c r="J2466" s="211">
        <f>IFERROR(__xludf.DUMMYFUNCTION("""COMPUTED_VALUE"""),1.0)</f>
        <v>1</v>
      </c>
      <c r="K2466" s="210" t="str">
        <f>IFERROR(__xludf.DUMMYFUNCTION("""COMPUTED_VALUE"""),"01")</f>
        <v>01</v>
      </c>
      <c r="L2466" s="211">
        <f>IFERROR(__xludf.DUMMYFUNCTION("""COMPUTED_VALUE"""),215000.0)</f>
        <v>215000</v>
      </c>
      <c r="M2466" s="211"/>
      <c r="N2466" s="211"/>
      <c r="O2466" s="211"/>
      <c r="Q2466" s="210" t="str">
        <f>IFERROR(__xludf.DUMMYFUNCTION("""COMPUTED_VALUE"""),"1261197")</f>
        <v>1261197</v>
      </c>
      <c r="R2466" s="210" t="str">
        <f>IFERROR(__xludf.DUMMYFUNCTION("""COMPUTED_VALUE"""),"1261197")</f>
        <v>1261197</v>
      </c>
      <c r="S2466" s="211" t="str">
        <f>IFERROR(__xludf.DUMMYFUNCTION("""COMPUTED_VALUE"""),"dcdf8b31")</f>
        <v>dcdf8b31</v>
      </c>
      <c r="T2466" s="211" t="str">
        <f>IFERROR(__xludf.DUMMYFUNCTION("""COMPUTED_VALUE"""),"Bpk. Samsul (Jetis)")</f>
        <v>Bpk. Samsul (Jetis)</v>
      </c>
      <c r="U2466" s="215">
        <f>IFERROR(__xludf.DUMMYFUNCTION("""COMPUTED_VALUE"""),46058.526921296296)</f>
        <v>46058.52692</v>
      </c>
      <c r="V2466" s="211" t="str">
        <f>IFERROR(__xludf.DUMMYFUNCTION("""COMPUTED_VALUE"""),"HFWF+9FG, Sido Wangi, Paringan, Kec. Jetis, Kabupaten Mojokerto, Jawa Timur")</f>
        <v>HFWF+9FG, Sido Wangi, Paringan, Kec. Jetis, Kabupaten Mojokerto, Jawa Timur</v>
      </c>
      <c r="W2466" s="211" t="str">
        <f>IFERROR(__xludf.DUMMYFUNCTION("""COMPUTED_VALUE"""),"IN")</f>
        <v>IN</v>
      </c>
      <c r="X2466" s="211"/>
    </row>
    <row r="2467">
      <c r="A2467" s="210" t="str">
        <f>IFERROR(__xludf.DUMMYFUNCTION("""COMPUTED_VALUE"""),"112521743")</f>
        <v>112521743</v>
      </c>
      <c r="B2467" s="210" t="str">
        <f>IFERROR(__xludf.DUMMYFUNCTION("""COMPUTED_VALUE"""),"112521743")</f>
        <v>112521743</v>
      </c>
      <c r="C2467" s="213">
        <f>IFERROR(__xludf.DUMMYFUNCTION("""COMPUTED_VALUE"""),45979.365694444445)</f>
        <v>45979.36569</v>
      </c>
      <c r="D2467" s="211" t="str">
        <f>IFERROR(__xludf.DUMMYFUNCTION("""COMPUTED_VALUE"""),"63fc688a")</f>
        <v>63fc688a</v>
      </c>
      <c r="E2467" s="211" t="str">
        <f>IFERROR(__xludf.DUMMYFUNCTION("""COMPUTED_VALUE"""),"CV Malik Nusantara")</f>
        <v>CV Malik Nusantara</v>
      </c>
      <c r="F2467" s="211" t="str">
        <f>IFERROR(__xludf.DUMMYFUNCTION("""COMPUTED_VALUE"""),"be525f3b")</f>
        <v>be525f3b</v>
      </c>
      <c r="G2467" s="211" t="str">
        <f>IFERROR(__xludf.DUMMYFUNCTION("""COMPUTED_VALUE"""),"LPG 12kg")</f>
        <v>LPG 12kg</v>
      </c>
      <c r="H2467" s="211" t="str">
        <f>IFERROR(__xludf.DUMMYFUNCTION("""COMPUTED_VALUE"""),"OUT")</f>
        <v>OUT</v>
      </c>
      <c r="I2467" s="211" t="str">
        <f>IFERROR(__xludf.DUMMYFUNCTION("""COMPUTED_VALUE"""),"NORMAL")</f>
        <v>NORMAL</v>
      </c>
      <c r="J2467" s="211">
        <f>IFERROR(__xludf.DUMMYFUNCTION("""COMPUTED_VALUE"""),3.0)</f>
        <v>3</v>
      </c>
      <c r="K2467" s="210" t="str">
        <f>IFERROR(__xludf.DUMMYFUNCTION("""COMPUTED_VALUE"""),"01 02 03")</f>
        <v>01 02 03</v>
      </c>
      <c r="L2467" s="211">
        <f>IFERROR(__xludf.DUMMYFUNCTION("""COMPUTED_VALUE"""),200000.0)</f>
        <v>200000</v>
      </c>
      <c r="M2467" s="211"/>
      <c r="N2467" s="211"/>
      <c r="O2467" s="211"/>
      <c r="Q2467" s="211"/>
      <c r="R2467" s="211"/>
      <c r="S2467" s="211"/>
      <c r="T2467" s="211"/>
      <c r="U2467" s="211"/>
      <c r="V2467" s="211"/>
      <c r="W2467" s="211"/>
      <c r="X2467" s="211"/>
    </row>
    <row r="2468">
      <c r="A2468" s="210" t="str">
        <f>IFERROR(__xludf.DUMMYFUNCTION("""COMPUTED_VALUE"""),"112531744")</f>
        <v>112531744</v>
      </c>
      <c r="B2468" s="210" t="str">
        <f>IFERROR(__xludf.DUMMYFUNCTION("""COMPUTED_VALUE"""),"112531744")</f>
        <v>112531744</v>
      </c>
      <c r="C2468" s="213">
        <f>IFERROR(__xludf.DUMMYFUNCTION("""COMPUTED_VALUE"""),45979.373020833336)</f>
        <v>45979.37302</v>
      </c>
      <c r="D2468" s="211" t="str">
        <f>IFERROR(__xludf.DUMMYFUNCTION("""COMPUTED_VALUE"""),"63fc688a")</f>
        <v>63fc688a</v>
      </c>
      <c r="E2468" s="211" t="str">
        <f>IFERROR(__xludf.DUMMYFUNCTION("""COMPUTED_VALUE"""),"CV Malik Nusantara")</f>
        <v>CV Malik Nusantara</v>
      </c>
      <c r="F2468" s="211" t="str">
        <f>IFERROR(__xludf.DUMMYFUNCTION("""COMPUTED_VALUE"""),"8bdbe149")</f>
        <v>8bdbe149</v>
      </c>
      <c r="G2468" s="211" t="str">
        <f>IFERROR(__xludf.DUMMYFUNCTION("""COMPUTED_VALUE"""),"Oksigen 6m3")</f>
        <v>Oksigen 6m3</v>
      </c>
      <c r="H2468" s="211" t="str">
        <f>IFERROR(__xludf.DUMMYFUNCTION("""COMPUTED_VALUE"""),"OUT")</f>
        <v>OUT</v>
      </c>
      <c r="I2468" s="211" t="str">
        <f>IFERROR(__xludf.DUMMYFUNCTION("""COMPUTED_VALUE"""),"NORMAL")</f>
        <v>NORMAL</v>
      </c>
      <c r="J2468" s="211">
        <f>IFERROR(__xludf.DUMMYFUNCTION("""COMPUTED_VALUE"""),5.0)</f>
        <v>5</v>
      </c>
      <c r="K2468" s="210" t="str">
        <f>IFERROR(__xludf.DUMMYFUNCTION("""COMPUTED_VALUE"""),"11260 1142 1146 11196 01")</f>
        <v>11260 1142 1146 11196 01</v>
      </c>
      <c r="L2468" s="211">
        <f>IFERROR(__xludf.DUMMYFUNCTION("""COMPUTED_VALUE"""),65000.0)</f>
        <v>65000</v>
      </c>
      <c r="M2468" s="211"/>
      <c r="N2468" s="211"/>
      <c r="O2468" s="211"/>
      <c r="Q2468" s="210" t="str">
        <f>IFERROR(__xludf.DUMMYFUNCTION("""COMPUTED_VALUE"""),"1261196")</f>
        <v>1261196</v>
      </c>
      <c r="R2468" s="210" t="str">
        <f>IFERROR(__xludf.DUMMYFUNCTION("""COMPUTED_VALUE"""),"1261196")</f>
        <v>1261196</v>
      </c>
      <c r="S2468" s="211" t="str">
        <f>IFERROR(__xludf.DUMMYFUNCTION("""COMPUTED_VALUE"""),"3bcd7fe6")</f>
        <v>3bcd7fe6</v>
      </c>
      <c r="T2468" s="211" t="str">
        <f>IFERROR(__xludf.DUMMYFUNCTION("""COMPUTED_VALUE"""),"Bpk. Alvin (LB Group)")</f>
        <v>Bpk. Alvin (LB Group)</v>
      </c>
      <c r="U2468" s="215">
        <f>IFERROR(__xludf.DUMMYFUNCTION("""COMPUTED_VALUE"""),46058.527233796296)</f>
        <v>46058.52723</v>
      </c>
      <c r="V2468" s="211" t="str">
        <f>IFERROR(__xludf.DUMMYFUNCTION("""COMPUTED_VALUE"""),"MFF9+XHC, Jalan, Tambakrejo, Temuireng, Kec. Dawar Blandong, Kabupaten Mojokerto, Jawa Timur 61354")</f>
        <v>MFF9+XHC, Jalan, Tambakrejo, Temuireng, Kec. Dawar Blandong, Kabupaten Mojokerto, Jawa Timur 61354</v>
      </c>
      <c r="W2468" s="211" t="str">
        <f>IFERROR(__xludf.DUMMYFUNCTION("""COMPUTED_VALUE"""),"IN")</f>
        <v>IN</v>
      </c>
      <c r="X2468" s="211"/>
    </row>
    <row r="2469">
      <c r="A2469" s="210" t="str">
        <f>IFERROR(__xludf.DUMMYFUNCTION("""COMPUTED_VALUE"""),"112541745")</f>
        <v>112541745</v>
      </c>
      <c r="B2469" s="210" t="str">
        <f>IFERROR(__xludf.DUMMYFUNCTION("""COMPUTED_VALUE"""),"112541745")</f>
        <v>112541745</v>
      </c>
      <c r="C2469" s="213">
        <f>IFERROR(__xludf.DUMMYFUNCTION("""COMPUTED_VALUE"""),45979.4444212963)</f>
        <v>45979.44442</v>
      </c>
      <c r="D2469" s="211" t="str">
        <f>IFERROR(__xludf.DUMMYFUNCTION("""COMPUTED_VALUE"""),"9e66ced9")</f>
        <v>9e66ced9</v>
      </c>
      <c r="E2469" s="211" t="str">
        <f>IFERROR(__xludf.DUMMYFUNCTION("""COMPUTED_VALUE"""),"Bapak Angga")</f>
        <v>Bapak Angga</v>
      </c>
      <c r="F2469" s="211" t="str">
        <f>IFERROR(__xludf.DUMMYFUNCTION("""COMPUTED_VALUE"""),"ef306e54")</f>
        <v>ef306e54</v>
      </c>
      <c r="G2469" s="211" t="str">
        <f>IFERROR(__xludf.DUMMYFUNCTION("""COMPUTED_VALUE"""),"Karbondioksida")</f>
        <v>Karbondioksida</v>
      </c>
      <c r="H2469" s="211" t="str">
        <f>IFERROR(__xludf.DUMMYFUNCTION("""COMPUTED_VALUE"""),"OUT")</f>
        <v>OUT</v>
      </c>
      <c r="I2469" s="211" t="str">
        <f>IFERROR(__xludf.DUMMYFUNCTION("""COMPUTED_VALUE"""),"NORMAL")</f>
        <v>NORMAL</v>
      </c>
      <c r="J2469" s="211">
        <f>IFERROR(__xludf.DUMMYFUNCTION("""COMPUTED_VALUE"""),2.0)</f>
        <v>2</v>
      </c>
      <c r="K2469" s="210" t="str">
        <f>IFERROR(__xludf.DUMMYFUNCTION("""COMPUTED_VALUE"""),"13043 13044")</f>
        <v>13043 13044</v>
      </c>
      <c r="L2469" s="211">
        <f>IFERROR(__xludf.DUMMYFUNCTION("""COMPUTED_VALUE"""),155000.0)</f>
        <v>155000</v>
      </c>
      <c r="M2469" s="211"/>
      <c r="N2469" s="211"/>
      <c r="O2469" s="211"/>
      <c r="Q2469" s="210" t="str">
        <f>IFERROR(__xludf.DUMMYFUNCTION("""COMPUTED_VALUE"""),"1261190")</f>
        <v>1261190</v>
      </c>
      <c r="R2469" s="210" t="str">
        <f>IFERROR(__xludf.DUMMYFUNCTION("""COMPUTED_VALUE"""),"1261190")</f>
        <v>1261190</v>
      </c>
      <c r="S2469" s="211" t="str">
        <f>IFERROR(__xludf.DUMMYFUNCTION("""COMPUTED_VALUE"""),"b2b5f2c5")</f>
        <v>b2b5f2c5</v>
      </c>
      <c r="T2469" s="211" t="str">
        <f>IFERROR(__xludf.DUMMYFUNCTION("""COMPUTED_VALUE"""),"Bengkel Las Bpk. Ari")</f>
        <v>Bengkel Las Bpk. Ari</v>
      </c>
      <c r="U2469" s="215">
        <f>IFERROR(__xludf.DUMMYFUNCTION("""COMPUTED_VALUE"""),46058.59780092593)</f>
        <v>46058.5978</v>
      </c>
      <c r="V2469" s="211" t="str">
        <f>IFERROR(__xludf.DUMMYFUNCTION("""COMPUTED_VALUE"""),"Sumber Kembar, Wonodadi, Kec. Kutorejo, Kabupaten Mojokerto, Jawa Timur")</f>
        <v>Sumber Kembar, Wonodadi, Kec. Kutorejo, Kabupaten Mojokerto, Jawa Timur</v>
      </c>
      <c r="W2469" s="211" t="str">
        <f>IFERROR(__xludf.DUMMYFUNCTION("""COMPUTED_VALUE"""),"IN")</f>
        <v>IN</v>
      </c>
      <c r="X2469" s="211"/>
    </row>
    <row r="2470">
      <c r="A2470" s="210" t="str">
        <f>IFERROR(__xludf.DUMMYFUNCTION("""COMPUTED_VALUE"""),"112591746")</f>
        <v>112591746</v>
      </c>
      <c r="B2470" s="210" t="str">
        <f>IFERROR(__xludf.DUMMYFUNCTION("""COMPUTED_VALUE"""),"112591746")</f>
        <v>112591746</v>
      </c>
      <c r="C2470" s="213">
        <f>IFERROR(__xludf.DUMMYFUNCTION("""COMPUTED_VALUE"""),45979.44483796296)</f>
        <v>45979.44484</v>
      </c>
      <c r="D2470" s="211" t="str">
        <f>IFERROR(__xludf.DUMMYFUNCTION("""COMPUTED_VALUE"""),"faf71ae5")</f>
        <v>faf71ae5</v>
      </c>
      <c r="E2470" s="211" t="str">
        <f>IFERROR(__xludf.DUMMYFUNCTION("""COMPUTED_VALUE"""),"Bpk. Sampurna")</f>
        <v>Bpk. Sampurna</v>
      </c>
      <c r="F2470" s="211" t="str">
        <f>IFERROR(__xludf.DUMMYFUNCTION("""COMPUTED_VALUE"""),"be525f3b")</f>
        <v>be525f3b</v>
      </c>
      <c r="G2470" s="211" t="str">
        <f>IFERROR(__xludf.DUMMYFUNCTION("""COMPUTED_VALUE"""),"LPG 12kg")</f>
        <v>LPG 12kg</v>
      </c>
      <c r="H2470" s="211" t="str">
        <f>IFERROR(__xludf.DUMMYFUNCTION("""COMPUTED_VALUE"""),"OUT")</f>
        <v>OUT</v>
      </c>
      <c r="I2470" s="211" t="str">
        <f>IFERROR(__xludf.DUMMYFUNCTION("""COMPUTED_VALUE"""),"NORMAL")</f>
        <v>NORMAL</v>
      </c>
      <c r="J2470" s="211">
        <f>IFERROR(__xludf.DUMMYFUNCTION("""COMPUTED_VALUE"""),2.0)</f>
        <v>2</v>
      </c>
      <c r="K2470" s="211"/>
      <c r="L2470" s="211">
        <f>IFERROR(__xludf.DUMMYFUNCTION("""COMPUTED_VALUE"""),210000.0)</f>
        <v>210000</v>
      </c>
      <c r="M2470" s="211"/>
      <c r="N2470" s="211"/>
      <c r="O2470" s="211"/>
      <c r="Q2470" s="210" t="str">
        <f>IFERROR(__xludf.DUMMYFUNCTION("""COMPUTED_VALUE"""),"1261189")</f>
        <v>1261189</v>
      </c>
      <c r="R2470" s="210" t="str">
        <f>IFERROR(__xludf.DUMMYFUNCTION("""COMPUTED_VALUE"""),"1261189")</f>
        <v>1261189</v>
      </c>
      <c r="S2470" s="211" t="str">
        <f>IFERROR(__xludf.DUMMYFUNCTION("""COMPUTED_VALUE"""),"f8a982a4")</f>
        <v>f8a982a4</v>
      </c>
      <c r="T2470" s="211" t="str">
        <f>IFERROR(__xludf.DUMMYFUNCTION("""COMPUTED_VALUE"""),"Bpk. Nasir")</f>
        <v>Bpk. Nasir</v>
      </c>
      <c r="U2470" s="215">
        <f>IFERROR(__xludf.DUMMYFUNCTION("""COMPUTED_VALUE"""),46058.59832175926)</f>
        <v>46058.59832</v>
      </c>
      <c r="V2470" s="211" t="str">
        <f>IFERROR(__xludf.DUMMYFUNCTION("""COMPUTED_VALUE"""),"JL Raya Pacet, Dsn. Janti Ds. Jatilangkung RT.01 RW. 04. Kabupaten. Mojokerto Pungging, Jawa Timur")</f>
        <v>JL Raya Pacet, Dsn. Janti Ds. Jatilangkung RT.01 RW. 04. Kabupaten. Mojokerto Pungging, Jawa Timur</v>
      </c>
      <c r="W2470" s="211" t="str">
        <f>IFERROR(__xludf.DUMMYFUNCTION("""COMPUTED_VALUE"""),"IN")</f>
        <v>IN</v>
      </c>
      <c r="X2470" s="211"/>
    </row>
    <row r="2471">
      <c r="A2471" s="210" t="str">
        <f>IFERROR(__xludf.DUMMYFUNCTION("""COMPUTED_VALUE"""),"1250801")</f>
        <v>1250801</v>
      </c>
      <c r="B2471" s="210" t="str">
        <f>IFERROR(__xludf.DUMMYFUNCTION("""COMPUTED_VALUE"""),"1250801")</f>
        <v>1250801</v>
      </c>
      <c r="C2471" s="213">
        <f>IFERROR(__xludf.DUMMYFUNCTION("""COMPUTED_VALUE"""),45979.46836805555)</f>
        <v>45979.46837</v>
      </c>
      <c r="D2471" s="211" t="str">
        <f>IFERROR(__xludf.DUMMYFUNCTION("""COMPUTED_VALUE"""),"a0f0ad2d")</f>
        <v>a0f0ad2d</v>
      </c>
      <c r="E2471" s="211" t="str">
        <f>IFERROR(__xludf.DUMMYFUNCTION("""COMPUTED_VALUE"""),"CV. Yulie Jaya")</f>
        <v>CV. Yulie Jaya</v>
      </c>
      <c r="F2471" s="211" t="str">
        <f>IFERROR(__xludf.DUMMYFUNCTION("""COMPUTED_VALUE"""),"be525f3b")</f>
        <v>be525f3b</v>
      </c>
      <c r="G2471" s="211" t="str">
        <f>IFERROR(__xludf.DUMMYFUNCTION("""COMPUTED_VALUE"""),"LPG 12kg")</f>
        <v>LPG 12kg</v>
      </c>
      <c r="H2471" s="211" t="str">
        <f>IFERROR(__xludf.DUMMYFUNCTION("""COMPUTED_VALUE"""),"IN")</f>
        <v>IN</v>
      </c>
      <c r="I2471" s="211" t="str">
        <f>IFERROR(__xludf.DUMMYFUNCTION("""COMPUTED_VALUE"""),"EMPTY")</f>
        <v>EMPTY</v>
      </c>
      <c r="J2471" s="211">
        <f>IFERROR(__xludf.DUMMYFUNCTION("""COMPUTED_VALUE"""),1.0)</f>
        <v>1</v>
      </c>
      <c r="K2471" s="210" t="str">
        <f>IFERROR(__xludf.DUMMYFUNCTION("""COMPUTED_VALUE"""),"01")</f>
        <v>01</v>
      </c>
      <c r="L2471" s="211">
        <f>IFERROR(__xludf.DUMMYFUNCTION("""COMPUTED_VALUE"""),0.0)</f>
        <v>0</v>
      </c>
      <c r="M2471" s="211"/>
      <c r="N2471" s="211"/>
      <c r="O2471" s="211"/>
      <c r="Q2471" s="210" t="str">
        <f>IFERROR(__xludf.DUMMYFUNCTION("""COMPUTED_VALUE"""),"022642468")</f>
        <v>022642468</v>
      </c>
      <c r="R2471" s="210" t="str">
        <f>IFERROR(__xludf.DUMMYFUNCTION("""COMPUTED_VALUE"""),"022642468")</f>
        <v>022642468</v>
      </c>
      <c r="S2471" s="211" t="str">
        <f>IFERROR(__xludf.DUMMYFUNCTION("""COMPUTED_VALUE"""),"1c4d5e93")</f>
        <v>1c4d5e93</v>
      </c>
      <c r="T2471" s="211" t="str">
        <f>IFERROR(__xludf.DUMMYFUNCTION("""COMPUTED_VALUE"""),"Karoseri Cipta Mitra Sukses")</f>
        <v>Karoseri Cipta Mitra Sukses</v>
      </c>
      <c r="U2471" s="215">
        <f>IFERROR(__xludf.DUMMYFUNCTION("""COMPUTED_VALUE"""),46058.623506944445)</f>
        <v>46058.62351</v>
      </c>
      <c r="V2471" s="211" t="str">
        <f>IFERROR(__xludf.DUMMYFUNCTION("""COMPUTED_VALUE"""),"JL. Bypass Krian No. 7800, Blok B No 11. Barengkrajan, Kec. Krian, Kabupaten Sidoarjo, Jawa Timur  61262")</f>
        <v>JL. Bypass Krian No. 7800, Blok B No 11. Barengkrajan, Kec. Krian, Kabupaten Sidoarjo, Jawa Timur  61262</v>
      </c>
      <c r="W2471" s="211" t="str">
        <f>IFERROR(__xludf.DUMMYFUNCTION("""COMPUTED_VALUE"""),"OUT")</f>
        <v>OUT</v>
      </c>
      <c r="X2471" s="211"/>
    </row>
    <row r="2472">
      <c r="A2472" s="210" t="str">
        <f>IFERROR(__xludf.DUMMYFUNCTION("""COMPUTED_VALUE"""),"1250802")</f>
        <v>1250802</v>
      </c>
      <c r="B2472" s="210" t="str">
        <f>IFERROR(__xludf.DUMMYFUNCTION("""COMPUTED_VALUE"""),"1250802")</f>
        <v>1250802</v>
      </c>
      <c r="C2472" s="213">
        <f>IFERROR(__xludf.DUMMYFUNCTION("""COMPUTED_VALUE"""),45979.468877314815)</f>
        <v>45979.46888</v>
      </c>
      <c r="D2472" s="211" t="str">
        <f>IFERROR(__xludf.DUMMYFUNCTION("""COMPUTED_VALUE"""),"9e5d8274")</f>
        <v>9e5d8274</v>
      </c>
      <c r="E2472" s="211" t="str">
        <f>IFERROR(__xludf.DUMMYFUNCTION("""COMPUTED_VALUE"""),"Bpk. Erry ( Lik Trosobo )")</f>
        <v>Bpk. Erry ( Lik Trosobo )</v>
      </c>
      <c r="F2472" s="211" t="str">
        <f>IFERROR(__xludf.DUMMYFUNCTION("""COMPUTED_VALUE"""),"8bdbe149")</f>
        <v>8bdbe149</v>
      </c>
      <c r="G2472" s="211" t="str">
        <f>IFERROR(__xludf.DUMMYFUNCTION("""COMPUTED_VALUE"""),"Oksigen 6m3")</f>
        <v>Oksigen 6m3</v>
      </c>
      <c r="H2472" s="211" t="str">
        <f>IFERROR(__xludf.DUMMYFUNCTION("""COMPUTED_VALUE"""),"IN")</f>
        <v>IN</v>
      </c>
      <c r="I2472" s="211" t="str">
        <f>IFERROR(__xludf.DUMMYFUNCTION("""COMPUTED_VALUE"""),"EMPTY")</f>
        <v>EMPTY</v>
      </c>
      <c r="J2472" s="211">
        <f>IFERROR(__xludf.DUMMYFUNCTION("""COMPUTED_VALUE"""),2.0)</f>
        <v>2</v>
      </c>
      <c r="K2472" s="210" t="str">
        <f>IFERROR(__xludf.DUMMYFUNCTION("""COMPUTED_VALUE"""),"11296 11295")</f>
        <v>11296 11295</v>
      </c>
      <c r="L2472" s="211">
        <f>IFERROR(__xludf.DUMMYFUNCTION("""COMPUTED_VALUE"""),0.0)</f>
        <v>0</v>
      </c>
      <c r="M2472" s="211"/>
      <c r="N2472" s="211"/>
      <c r="O2472" s="211"/>
      <c r="Q2472" s="210" t="str">
        <f>IFERROR(__xludf.DUMMYFUNCTION("""COMPUTED_VALUE"""),"1261199")</f>
        <v>1261199</v>
      </c>
      <c r="R2472" s="210" t="str">
        <f>IFERROR(__xludf.DUMMYFUNCTION("""COMPUTED_VALUE"""),"1261199")</f>
        <v>1261199</v>
      </c>
      <c r="S2472" s="211" t="str">
        <f>IFERROR(__xludf.DUMMYFUNCTION("""COMPUTED_VALUE"""),"7b9d8eba")</f>
        <v>7b9d8eba</v>
      </c>
      <c r="T2472" s="211" t="str">
        <f>IFERROR(__xludf.DUMMYFUNCTION("""COMPUTED_VALUE"""),"PT PELANGI INDOKARYA")</f>
        <v>PT PELANGI INDOKARYA</v>
      </c>
      <c r="U2472" s="215">
        <f>IFERROR(__xludf.DUMMYFUNCTION("""COMPUTED_VALUE"""),46058.68583333334)</f>
        <v>46058.68583</v>
      </c>
      <c r="V247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472" s="211" t="str">
        <f>IFERROR(__xludf.DUMMYFUNCTION("""COMPUTED_VALUE"""),"IN")</f>
        <v>IN</v>
      </c>
      <c r="X2472" s="211"/>
    </row>
    <row r="2473">
      <c r="A2473" s="210" t="str">
        <f>IFERROR(__xludf.DUMMYFUNCTION("""COMPUTED_VALUE"""),"1250802")</f>
        <v>1250802</v>
      </c>
      <c r="B2473" s="210" t="str">
        <f>IFERROR(__xludf.DUMMYFUNCTION("""COMPUTED_VALUE"""),"1250802")</f>
        <v>1250802</v>
      </c>
      <c r="C2473" s="213">
        <f>IFERROR(__xludf.DUMMYFUNCTION("""COMPUTED_VALUE"""),45979.468877314815)</f>
        <v>45979.46888</v>
      </c>
      <c r="D2473" s="211" t="str">
        <f>IFERROR(__xludf.DUMMYFUNCTION("""COMPUTED_VALUE"""),"9e5d8274")</f>
        <v>9e5d8274</v>
      </c>
      <c r="E2473" s="211" t="str">
        <f>IFERROR(__xludf.DUMMYFUNCTION("""COMPUTED_VALUE"""),"Bpk. Erry ( Lik Trosobo )")</f>
        <v>Bpk. Erry ( Lik Trosobo )</v>
      </c>
      <c r="F2473" s="211" t="str">
        <f>IFERROR(__xludf.DUMMYFUNCTION("""COMPUTED_VALUE"""),"7d2764f1")</f>
        <v>7d2764f1</v>
      </c>
      <c r="G2473" s="211" t="str">
        <f>IFERROR(__xludf.DUMMYFUNCTION("""COMPUTED_VALUE"""),"Oksigen 7m3")</f>
        <v>Oksigen 7m3</v>
      </c>
      <c r="H2473" s="211" t="str">
        <f>IFERROR(__xludf.DUMMYFUNCTION("""COMPUTED_VALUE"""),"IN")</f>
        <v>IN</v>
      </c>
      <c r="I2473" s="211" t="str">
        <f>IFERROR(__xludf.DUMMYFUNCTION("""COMPUTED_VALUE"""),"EMPTY")</f>
        <v>EMPTY</v>
      </c>
      <c r="J2473" s="211">
        <f>IFERROR(__xludf.DUMMYFUNCTION("""COMPUTED_VALUE"""),1.0)</f>
        <v>1</v>
      </c>
      <c r="K2473" s="210" t="str">
        <f>IFERROR(__xludf.DUMMYFUNCTION("""COMPUTED_VALUE"""),"11222")</f>
        <v>11222</v>
      </c>
      <c r="L2473" s="211">
        <f>IFERROR(__xludf.DUMMYFUNCTION("""COMPUTED_VALUE"""),0.0)</f>
        <v>0</v>
      </c>
      <c r="M2473" s="211"/>
      <c r="N2473" s="211"/>
      <c r="O2473" s="211"/>
      <c r="Q2473" s="210" t="str">
        <f>IFERROR(__xludf.DUMMYFUNCTION("""COMPUTED_VALUE"""),"1261198")</f>
        <v>1261198</v>
      </c>
      <c r="R2473" s="210" t="str">
        <f>IFERROR(__xludf.DUMMYFUNCTION("""COMPUTED_VALUE"""),"1261198")</f>
        <v>1261198</v>
      </c>
      <c r="S2473" s="211" t="str">
        <f>IFERROR(__xludf.DUMMYFUNCTION("""COMPUTED_VALUE"""),"1c4d5e93")</f>
        <v>1c4d5e93</v>
      </c>
      <c r="T2473" s="211" t="str">
        <f>IFERROR(__xludf.DUMMYFUNCTION("""COMPUTED_VALUE"""),"Karoseri Cipta Mitra Sukses")</f>
        <v>Karoseri Cipta Mitra Sukses</v>
      </c>
      <c r="U2473" s="215">
        <f>IFERROR(__xludf.DUMMYFUNCTION("""COMPUTED_VALUE"""),46058.68732638889)</f>
        <v>46058.68733</v>
      </c>
      <c r="V2473" s="211" t="str">
        <f>IFERROR(__xludf.DUMMYFUNCTION("""COMPUTED_VALUE"""),"JL. Bypass Krian No. 7800, Blok B No 11. Barengkrajan, Kec. Krian, Kabupaten Sidoarjo, Jawa Timur  61262")</f>
        <v>JL. Bypass Krian No. 7800, Blok B No 11. Barengkrajan, Kec. Krian, Kabupaten Sidoarjo, Jawa Timur  61262</v>
      </c>
      <c r="W2473" s="211" t="str">
        <f>IFERROR(__xludf.DUMMYFUNCTION("""COMPUTED_VALUE"""),"IN")</f>
        <v>IN</v>
      </c>
      <c r="X2473" s="211"/>
    </row>
    <row r="2474">
      <c r="A2474" s="210" t="str">
        <f>IFERROR(__xludf.DUMMYFUNCTION("""COMPUTED_VALUE"""),"1250804")</f>
        <v>1250804</v>
      </c>
      <c r="B2474" s="210" t="str">
        <f>IFERROR(__xludf.DUMMYFUNCTION("""COMPUTED_VALUE"""),"1250804")</f>
        <v>1250804</v>
      </c>
      <c r="C2474" s="213">
        <f>IFERROR(__xludf.DUMMYFUNCTION("""COMPUTED_VALUE"""),45979.47429398148)</f>
        <v>45979.47429</v>
      </c>
      <c r="D2474" s="211" t="str">
        <f>IFERROR(__xludf.DUMMYFUNCTION("""COMPUTED_VALUE"""),"63fc688a")</f>
        <v>63fc688a</v>
      </c>
      <c r="E2474" s="211" t="str">
        <f>IFERROR(__xludf.DUMMYFUNCTION("""COMPUTED_VALUE"""),"CV Malik Nusantara")</f>
        <v>CV Malik Nusantara</v>
      </c>
      <c r="F2474" s="211" t="str">
        <f>IFERROR(__xludf.DUMMYFUNCTION("""COMPUTED_VALUE"""),"be525f3b")</f>
        <v>be525f3b</v>
      </c>
      <c r="G2474" s="211" t="str">
        <f>IFERROR(__xludf.DUMMYFUNCTION("""COMPUTED_VALUE"""),"LPG 12kg")</f>
        <v>LPG 12kg</v>
      </c>
      <c r="H2474" s="211" t="str">
        <f>IFERROR(__xludf.DUMMYFUNCTION("""COMPUTED_VALUE"""),"IN")</f>
        <v>IN</v>
      </c>
      <c r="I2474" s="211" t="str">
        <f>IFERROR(__xludf.DUMMYFUNCTION("""COMPUTED_VALUE"""),"EMPTY")</f>
        <v>EMPTY</v>
      </c>
      <c r="J2474" s="211">
        <f>IFERROR(__xludf.DUMMYFUNCTION("""COMPUTED_VALUE"""),3.0)</f>
        <v>3</v>
      </c>
      <c r="K2474" s="211"/>
      <c r="L2474" s="211">
        <f>IFERROR(__xludf.DUMMYFUNCTION("""COMPUTED_VALUE"""),0.0)</f>
        <v>0</v>
      </c>
      <c r="M2474" s="211"/>
      <c r="N2474" s="211"/>
      <c r="O2474" s="211"/>
      <c r="Q2474" s="210" t="str">
        <f>IFERROR(__xludf.DUMMYFUNCTION("""COMPUTED_VALUE"""),"022682472")</f>
        <v>022682472</v>
      </c>
      <c r="R2474" s="210" t="str">
        <f>IFERROR(__xludf.DUMMYFUNCTION("""COMPUTED_VALUE"""),"022682472")</f>
        <v>022682472</v>
      </c>
      <c r="S2474" s="211" t="str">
        <f>IFERROR(__xludf.DUMMYFUNCTION("""COMPUTED_VALUE"""),"1d018c98")</f>
        <v>1d018c98</v>
      </c>
      <c r="T2474" s="211" t="str">
        <f>IFERROR(__xludf.DUMMYFUNCTION("""COMPUTED_VALUE"""),"Mbak Angel")</f>
        <v>Mbak Angel</v>
      </c>
      <c r="U2474" s="215">
        <f>IFERROR(__xludf.DUMMYFUNCTION("""COMPUTED_VALUE"""),46058.71561342593)</f>
        <v>46058.71561</v>
      </c>
      <c r="V2474" s="211" t="str">
        <f>IFERROR(__xludf.DUMMYFUNCTION("""COMPUTED_VALUE"""),"Penambangan Krajan RT 02 RW 01 Balongbendo")</f>
        <v>Penambangan Krajan RT 02 RW 01 Balongbendo</v>
      </c>
      <c r="W2474" s="211" t="str">
        <f>IFERROR(__xludf.DUMMYFUNCTION("""COMPUTED_VALUE"""),"OUT")</f>
        <v>OUT</v>
      </c>
      <c r="X2474" s="211"/>
    </row>
    <row r="2475">
      <c r="A2475" s="210" t="str">
        <f>IFERROR(__xludf.DUMMYFUNCTION("""COMPUTED_VALUE"""),"1250805")</f>
        <v>1250805</v>
      </c>
      <c r="B2475" s="210" t="str">
        <f>IFERROR(__xludf.DUMMYFUNCTION("""COMPUTED_VALUE"""),"1250805")</f>
        <v>1250805</v>
      </c>
      <c r="C2475" s="213">
        <f>IFERROR(__xludf.DUMMYFUNCTION("""COMPUTED_VALUE"""),45979.5000462963)</f>
        <v>45979.50005</v>
      </c>
      <c r="D2475" s="211" t="str">
        <f>IFERROR(__xludf.DUMMYFUNCTION("""COMPUTED_VALUE"""),"faf71ae5")</f>
        <v>faf71ae5</v>
      </c>
      <c r="E2475" s="211" t="str">
        <f>IFERROR(__xludf.DUMMYFUNCTION("""COMPUTED_VALUE"""),"Bpk. Sampurna")</f>
        <v>Bpk. Sampurna</v>
      </c>
      <c r="F2475" s="211" t="str">
        <f>IFERROR(__xludf.DUMMYFUNCTION("""COMPUTED_VALUE"""),"be525f3b")</f>
        <v>be525f3b</v>
      </c>
      <c r="G2475" s="211" t="str">
        <f>IFERROR(__xludf.DUMMYFUNCTION("""COMPUTED_VALUE"""),"LPG 12kg")</f>
        <v>LPG 12kg</v>
      </c>
      <c r="H2475" s="211" t="str">
        <f>IFERROR(__xludf.DUMMYFUNCTION("""COMPUTED_VALUE"""),"IN")</f>
        <v>IN</v>
      </c>
      <c r="I2475" s="211" t="str">
        <f>IFERROR(__xludf.DUMMYFUNCTION("""COMPUTED_VALUE"""),"EMPTY")</f>
        <v>EMPTY</v>
      </c>
      <c r="J2475" s="211">
        <f>IFERROR(__xludf.DUMMYFUNCTION("""COMPUTED_VALUE"""),2.0)</f>
        <v>2</v>
      </c>
      <c r="K2475" s="211"/>
      <c r="L2475" s="211">
        <f>IFERROR(__xludf.DUMMYFUNCTION("""COMPUTED_VALUE"""),0.0)</f>
        <v>0</v>
      </c>
      <c r="M2475" s="211"/>
      <c r="N2475" s="211"/>
      <c r="O2475" s="211"/>
      <c r="Q2475" s="211"/>
      <c r="R2475" s="211"/>
      <c r="S2475" s="211"/>
      <c r="T2475" s="211"/>
      <c r="U2475" s="211"/>
      <c r="V2475" s="211"/>
      <c r="W2475" s="211"/>
      <c r="X2475" s="211"/>
    </row>
    <row r="2476">
      <c r="A2476" s="210" t="str">
        <f>IFERROR(__xludf.DUMMYFUNCTION("""COMPUTED_VALUE"""),"1250803")</f>
        <v>1250803</v>
      </c>
      <c r="B2476" s="210" t="str">
        <f>IFERROR(__xludf.DUMMYFUNCTION("""COMPUTED_VALUE"""),"1250803")</f>
        <v>1250803</v>
      </c>
      <c r="C2476" s="213">
        <f>IFERROR(__xludf.DUMMYFUNCTION("""COMPUTED_VALUE"""),45979.50099537037)</f>
        <v>45979.501</v>
      </c>
      <c r="D2476" s="211" t="str">
        <f>IFERROR(__xludf.DUMMYFUNCTION("""COMPUTED_VALUE"""),"9e66ced9")</f>
        <v>9e66ced9</v>
      </c>
      <c r="E2476" s="211" t="str">
        <f>IFERROR(__xludf.DUMMYFUNCTION("""COMPUTED_VALUE"""),"Bapak Angga")</f>
        <v>Bapak Angga</v>
      </c>
      <c r="F2476" s="211" t="str">
        <f>IFERROR(__xludf.DUMMYFUNCTION("""COMPUTED_VALUE"""),"8bdbe149")</f>
        <v>8bdbe149</v>
      </c>
      <c r="G2476" s="211" t="str">
        <f>IFERROR(__xludf.DUMMYFUNCTION("""COMPUTED_VALUE"""),"Oksigen 6m3")</f>
        <v>Oksigen 6m3</v>
      </c>
      <c r="H2476" s="211" t="str">
        <f>IFERROR(__xludf.DUMMYFUNCTION("""COMPUTED_VALUE"""),"IN")</f>
        <v>IN</v>
      </c>
      <c r="I2476" s="211" t="str">
        <f>IFERROR(__xludf.DUMMYFUNCTION("""COMPUTED_VALUE"""),"EMPTY")</f>
        <v>EMPTY</v>
      </c>
      <c r="J2476" s="211">
        <f>IFERROR(__xludf.DUMMYFUNCTION("""COMPUTED_VALUE"""),1.0)</f>
        <v>1</v>
      </c>
      <c r="K2476" s="210" t="str">
        <f>IFERROR(__xludf.DUMMYFUNCTION("""COMPUTED_VALUE"""),"1196")</f>
        <v>1196</v>
      </c>
      <c r="L2476" s="211">
        <f>IFERROR(__xludf.DUMMYFUNCTION("""COMPUTED_VALUE"""),0.0)</f>
        <v>0</v>
      </c>
      <c r="M2476" s="211"/>
      <c r="N2476" s="211"/>
      <c r="O2476" s="211"/>
      <c r="Q2476" s="210" t="str">
        <f>IFERROR(__xludf.DUMMYFUNCTION("""COMPUTED_VALUE"""),"1261221")</f>
        <v>1261221</v>
      </c>
      <c r="R2476" s="210" t="str">
        <f>IFERROR(__xludf.DUMMYFUNCTION("""COMPUTED_VALUE"""),"1261221")</f>
        <v>1261221</v>
      </c>
      <c r="S2476" s="211" t="str">
        <f>IFERROR(__xludf.DUMMYFUNCTION("""COMPUTED_VALUE"""),"1d018c98")</f>
        <v>1d018c98</v>
      </c>
      <c r="T2476" s="211" t="str">
        <f>IFERROR(__xludf.DUMMYFUNCTION("""COMPUTED_VALUE"""),"Mbak Angel")</f>
        <v>Mbak Angel</v>
      </c>
      <c r="U2476" s="215">
        <f>IFERROR(__xludf.DUMMYFUNCTION("""COMPUTED_VALUE"""),46058.75152777778)</f>
        <v>46058.75153</v>
      </c>
      <c r="V2476" s="211" t="str">
        <f>IFERROR(__xludf.DUMMYFUNCTION("""COMPUTED_VALUE"""),"Penambangan Krajan RT 02 RW 01 Balongbendo")</f>
        <v>Penambangan Krajan RT 02 RW 01 Balongbendo</v>
      </c>
      <c r="W2476" s="211" t="str">
        <f>IFERROR(__xludf.DUMMYFUNCTION("""COMPUTED_VALUE"""),"IN")</f>
        <v>IN</v>
      </c>
      <c r="X2476" s="211"/>
    </row>
    <row r="2477">
      <c r="A2477" s="210" t="str">
        <f>IFERROR(__xludf.DUMMYFUNCTION("""COMPUTED_VALUE"""),"1250803")</f>
        <v>1250803</v>
      </c>
      <c r="B2477" s="210" t="str">
        <f>IFERROR(__xludf.DUMMYFUNCTION("""COMPUTED_VALUE"""),"1250803")</f>
        <v>1250803</v>
      </c>
      <c r="C2477" s="213">
        <f>IFERROR(__xludf.DUMMYFUNCTION("""COMPUTED_VALUE"""),45979.50099537037)</f>
        <v>45979.501</v>
      </c>
      <c r="D2477" s="211" t="str">
        <f>IFERROR(__xludf.DUMMYFUNCTION("""COMPUTED_VALUE"""),"9e66ced9")</f>
        <v>9e66ced9</v>
      </c>
      <c r="E2477" s="211" t="str">
        <f>IFERROR(__xludf.DUMMYFUNCTION("""COMPUTED_VALUE"""),"Bapak Angga")</f>
        <v>Bapak Angga</v>
      </c>
      <c r="F2477" s="211" t="str">
        <f>IFERROR(__xludf.DUMMYFUNCTION("""COMPUTED_VALUE"""),"7d2764f1")</f>
        <v>7d2764f1</v>
      </c>
      <c r="G2477" s="211" t="str">
        <f>IFERROR(__xludf.DUMMYFUNCTION("""COMPUTED_VALUE"""),"Oksigen 7m3")</f>
        <v>Oksigen 7m3</v>
      </c>
      <c r="H2477" s="211" t="str">
        <f>IFERROR(__xludf.DUMMYFUNCTION("""COMPUTED_VALUE"""),"IN")</f>
        <v>IN</v>
      </c>
      <c r="I2477" s="211" t="str">
        <f>IFERROR(__xludf.DUMMYFUNCTION("""COMPUTED_VALUE"""),"EMPTY")</f>
        <v>EMPTY</v>
      </c>
      <c r="J2477" s="211">
        <f>IFERROR(__xludf.DUMMYFUNCTION("""COMPUTED_VALUE"""),4.0)</f>
        <v>4</v>
      </c>
      <c r="K2477" s="210" t="str">
        <f>IFERROR(__xludf.DUMMYFUNCTION("""COMPUTED_VALUE"""),"11299 11305 11307 11300")</f>
        <v>11299 11305 11307 11300</v>
      </c>
      <c r="L2477" s="211">
        <f>IFERROR(__xludf.DUMMYFUNCTION("""COMPUTED_VALUE"""),0.0)</f>
        <v>0</v>
      </c>
      <c r="M2477" s="211"/>
      <c r="N2477" s="211"/>
      <c r="O2477" s="211"/>
      <c r="Q2477" s="210" t="str">
        <f>IFERROR(__xludf.DUMMYFUNCTION("""COMPUTED_VALUE"""),"0226362475")</f>
        <v>0226362475</v>
      </c>
      <c r="R2477" s="210" t="str">
        <f>IFERROR(__xludf.DUMMYFUNCTION("""COMPUTED_VALUE"""),"0226362475")</f>
        <v>0226362475</v>
      </c>
      <c r="S2477" s="211" t="str">
        <f>IFERROR(__xludf.DUMMYFUNCTION("""COMPUTED_VALUE"""),"8f5ebaea")</f>
        <v>8f5ebaea</v>
      </c>
      <c r="T2477" s="211" t="str">
        <f>IFERROR(__xludf.DUMMYFUNCTION("""COMPUTED_VALUE"""),"PT Hua Zong Mesindo")</f>
        <v>PT Hua Zong Mesindo</v>
      </c>
      <c r="U2477" s="215">
        <f>IFERROR(__xludf.DUMMYFUNCTION("""COMPUTED_VALUE"""),46059.4131712963)</f>
        <v>46059.41317</v>
      </c>
      <c r="V2477" s="211" t="str">
        <f>IFERROR(__xludf.DUMMYFUNCTION("""COMPUTED_VALUE"""),"Jl. Bypass Krian, Sidotemo, Sidomulyo, Kec. Krian, Kabupaten Sidoarjo, Jawa Timur 61262")</f>
        <v>Jl. Bypass Krian, Sidotemo, Sidomulyo, Kec. Krian, Kabupaten Sidoarjo, Jawa Timur 61262</v>
      </c>
      <c r="W2477" s="211" t="str">
        <f>IFERROR(__xludf.DUMMYFUNCTION("""COMPUTED_VALUE"""),"OUT")</f>
        <v>OUT</v>
      </c>
      <c r="X2477" s="211"/>
    </row>
    <row r="2478">
      <c r="A2478" s="210" t="str">
        <f>IFERROR(__xludf.DUMMYFUNCTION("""COMPUTED_VALUE"""),"1250803")</f>
        <v>1250803</v>
      </c>
      <c r="B2478" s="210" t="str">
        <f>IFERROR(__xludf.DUMMYFUNCTION("""COMPUTED_VALUE"""),"1250803")</f>
        <v>1250803</v>
      </c>
      <c r="C2478" s="213">
        <f>IFERROR(__xludf.DUMMYFUNCTION("""COMPUTED_VALUE"""),45979.50099537037)</f>
        <v>45979.501</v>
      </c>
      <c r="D2478" s="211" t="str">
        <f>IFERROR(__xludf.DUMMYFUNCTION("""COMPUTED_VALUE"""),"9e66ced9")</f>
        <v>9e66ced9</v>
      </c>
      <c r="E2478" s="211" t="str">
        <f>IFERROR(__xludf.DUMMYFUNCTION("""COMPUTED_VALUE"""),"Bapak Angga")</f>
        <v>Bapak Angga</v>
      </c>
      <c r="F2478" s="211" t="str">
        <f>IFERROR(__xludf.DUMMYFUNCTION("""COMPUTED_VALUE"""),"ef306e54")</f>
        <v>ef306e54</v>
      </c>
      <c r="G2478" s="211" t="str">
        <f>IFERROR(__xludf.DUMMYFUNCTION("""COMPUTED_VALUE"""),"Karbondioksida")</f>
        <v>Karbondioksida</v>
      </c>
      <c r="H2478" s="211" t="str">
        <f>IFERROR(__xludf.DUMMYFUNCTION("""COMPUTED_VALUE"""),"IN")</f>
        <v>IN</v>
      </c>
      <c r="I2478" s="211" t="str">
        <f>IFERROR(__xludf.DUMMYFUNCTION("""COMPUTED_VALUE"""),"EMPTY")</f>
        <v>EMPTY</v>
      </c>
      <c r="J2478" s="211">
        <f>IFERROR(__xludf.DUMMYFUNCTION("""COMPUTED_VALUE"""),1.0)</f>
        <v>1</v>
      </c>
      <c r="K2478" s="210" t="str">
        <f>IFERROR(__xludf.DUMMYFUNCTION("""COMPUTED_VALUE"""),"13032")</f>
        <v>13032</v>
      </c>
      <c r="L2478" s="211">
        <f>IFERROR(__xludf.DUMMYFUNCTION("""COMPUTED_VALUE"""),0.0)</f>
        <v>0</v>
      </c>
      <c r="M2478" s="211"/>
      <c r="N2478" s="211"/>
      <c r="O2478" s="211"/>
      <c r="Q2478" s="210" t="str">
        <f>IFERROR(__xludf.DUMMYFUNCTION("""COMPUTED_VALUE"""),"1261224")</f>
        <v>1261224</v>
      </c>
      <c r="R2478" s="210" t="str">
        <f>IFERROR(__xludf.DUMMYFUNCTION("""COMPUTED_VALUE"""),"1261224")</f>
        <v>1261224</v>
      </c>
      <c r="S2478" s="211" t="str">
        <f>IFERROR(__xludf.DUMMYFUNCTION("""COMPUTED_VALUE"""),"b2b5f2c5")</f>
        <v>b2b5f2c5</v>
      </c>
      <c r="T2478" s="211" t="str">
        <f>IFERROR(__xludf.DUMMYFUNCTION("""COMPUTED_VALUE"""),"Bengkel Las Bpk. Ari")</f>
        <v>Bengkel Las Bpk. Ari</v>
      </c>
      <c r="U2478" s="215">
        <f>IFERROR(__xludf.DUMMYFUNCTION("""COMPUTED_VALUE"""),46059.60120370371)</f>
        <v>46059.6012</v>
      </c>
      <c r="V2478" s="211" t="str">
        <f>IFERROR(__xludf.DUMMYFUNCTION("""COMPUTED_VALUE"""),"Sumber Kembar, Wonodadi, Kec. Kutorejo, Kabupaten Mojokerto, Jawa Timur")</f>
        <v>Sumber Kembar, Wonodadi, Kec. Kutorejo, Kabupaten Mojokerto, Jawa Timur</v>
      </c>
      <c r="W2478" s="211" t="str">
        <f>IFERROR(__xludf.DUMMYFUNCTION("""COMPUTED_VALUE"""),"IN")</f>
        <v>IN</v>
      </c>
      <c r="X2478" s="211"/>
    </row>
    <row r="2479">
      <c r="A2479" s="210" t="str">
        <f>IFERROR(__xludf.DUMMYFUNCTION("""COMPUTED_VALUE"""),"1250789")</f>
        <v>1250789</v>
      </c>
      <c r="B2479" s="210" t="str">
        <f>IFERROR(__xludf.DUMMYFUNCTION("""COMPUTED_VALUE"""),"1250789")</f>
        <v>1250789</v>
      </c>
      <c r="C2479" s="213">
        <f>IFERROR(__xludf.DUMMYFUNCTION("""COMPUTED_VALUE"""),45979.504953703705)</f>
        <v>45979.50495</v>
      </c>
      <c r="D2479" s="211" t="str">
        <f>IFERROR(__xludf.DUMMYFUNCTION("""COMPUTED_VALUE"""),"01158be1")</f>
        <v>01158be1</v>
      </c>
      <c r="E2479" s="211" t="str">
        <f>IFERROR(__xludf.DUMMYFUNCTION("""COMPUTED_VALUE"""),"GYF")</f>
        <v>GYF</v>
      </c>
      <c r="F2479" s="211" t="str">
        <f>IFERROR(__xludf.DUMMYFUNCTION("""COMPUTED_VALUE"""),"8bdbe149")</f>
        <v>8bdbe149</v>
      </c>
      <c r="G2479" s="211" t="str">
        <f>IFERROR(__xludf.DUMMYFUNCTION("""COMPUTED_VALUE"""),"Oksigen 6m3")</f>
        <v>Oksigen 6m3</v>
      </c>
      <c r="H2479" s="211" t="str">
        <f>IFERROR(__xludf.DUMMYFUNCTION("""COMPUTED_VALUE"""),"IN")</f>
        <v>IN</v>
      </c>
      <c r="I2479" s="211" t="str">
        <f>IFERROR(__xludf.DUMMYFUNCTION("""COMPUTED_VALUE"""),"EMPTY")</f>
        <v>EMPTY</v>
      </c>
      <c r="J2479" s="211">
        <f>IFERROR(__xludf.DUMMYFUNCTION("""COMPUTED_VALUE"""),5.0)</f>
        <v>5</v>
      </c>
      <c r="K2479" s="210" t="str">
        <f>IFERROR(__xludf.DUMMYFUNCTION("""COMPUTED_VALUE"""),"11265 11179 1104 1168 11163")</f>
        <v>11265 11179 1104 1168 11163</v>
      </c>
      <c r="L2479" s="211">
        <f>IFERROR(__xludf.DUMMYFUNCTION("""COMPUTED_VALUE"""),0.0)</f>
        <v>0</v>
      </c>
      <c r="M2479" s="211"/>
      <c r="N2479" s="211"/>
      <c r="O2479" s="211"/>
      <c r="Q2479" s="210" t="str">
        <f>IFERROR(__xludf.DUMMYFUNCTION("""COMPUTED_VALUE"""),"022662478")</f>
        <v>022662478</v>
      </c>
      <c r="R2479" s="210" t="str">
        <f>IFERROR(__xludf.DUMMYFUNCTION("""COMPUTED_VALUE"""),"022662478")</f>
        <v>022662478</v>
      </c>
      <c r="S2479" s="211" t="str">
        <f>IFERROR(__xludf.DUMMYFUNCTION("""COMPUTED_VALUE"""),"98c84274")</f>
        <v>98c84274</v>
      </c>
      <c r="T2479" s="211" t="str">
        <f>IFERROR(__xludf.DUMMYFUNCTION("""COMPUTED_VALUE"""),"Bengkel SBM (Pak Hari)")</f>
        <v>Bengkel SBM (Pak Hari)</v>
      </c>
      <c r="U2479" s="215">
        <f>IFERROR(__xludf.DUMMYFUNCTION("""COMPUTED_VALUE"""),46059.60450231482)</f>
        <v>46059.6045</v>
      </c>
      <c r="V247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479" s="211" t="str">
        <f>IFERROR(__xludf.DUMMYFUNCTION("""COMPUTED_VALUE"""),"OUT")</f>
        <v>OUT</v>
      </c>
      <c r="X2479" s="211"/>
    </row>
    <row r="2480">
      <c r="A2480" s="210" t="str">
        <f>IFERROR(__xludf.DUMMYFUNCTION("""COMPUTED_VALUE"""),"112541747")</f>
        <v>112541747</v>
      </c>
      <c r="B2480" s="210" t="str">
        <f>IFERROR(__xludf.DUMMYFUNCTION("""COMPUTED_VALUE"""),"112541747")</f>
        <v>112541747</v>
      </c>
      <c r="C2480" s="213">
        <f>IFERROR(__xludf.DUMMYFUNCTION("""COMPUTED_VALUE"""),45979.63701388889)</f>
        <v>45979.63701</v>
      </c>
      <c r="D2480" s="211" t="str">
        <f>IFERROR(__xludf.DUMMYFUNCTION("""COMPUTED_VALUE"""),"f98b1e81")</f>
        <v>f98b1e81</v>
      </c>
      <c r="E2480" s="211" t="str">
        <f>IFERROR(__xludf.DUMMYFUNCTION("""COMPUTED_VALUE"""),"CV. Greenlife Tirta Sentosa")</f>
        <v>CV. Greenlife Tirta Sentosa</v>
      </c>
      <c r="F2480" s="211" t="str">
        <f>IFERROR(__xludf.DUMMYFUNCTION("""COMPUTED_VALUE"""),"8bdbe149")</f>
        <v>8bdbe149</v>
      </c>
      <c r="G2480" s="211" t="str">
        <f>IFERROR(__xludf.DUMMYFUNCTION("""COMPUTED_VALUE"""),"Oksigen 6m3")</f>
        <v>Oksigen 6m3</v>
      </c>
      <c r="H2480" s="211" t="str">
        <f>IFERROR(__xludf.DUMMYFUNCTION("""COMPUTED_VALUE"""),"OUT")</f>
        <v>OUT</v>
      </c>
      <c r="I2480" s="211" t="str">
        <f>IFERROR(__xludf.DUMMYFUNCTION("""COMPUTED_VALUE"""),"NORMAL")</f>
        <v>NORMAL</v>
      </c>
      <c r="J2480" s="211">
        <f>IFERROR(__xludf.DUMMYFUNCTION("""COMPUTED_VALUE"""),2.0)</f>
        <v>2</v>
      </c>
      <c r="K2480" s="210" t="str">
        <f>IFERROR(__xludf.DUMMYFUNCTION("""COMPUTED_VALUE"""),"11202 11296")</f>
        <v>11202 11296</v>
      </c>
      <c r="L2480" s="211">
        <f>IFERROR(__xludf.DUMMYFUNCTION("""COMPUTED_VALUE"""),80000.0)</f>
        <v>80000</v>
      </c>
      <c r="M2480" s="211"/>
      <c r="N2480" s="211"/>
      <c r="O2480" s="211"/>
      <c r="Q2480" s="210" t="str">
        <f>IFERROR(__xludf.DUMMYFUNCTION("""COMPUTED_VALUE"""),"1261223")</f>
        <v>1261223</v>
      </c>
      <c r="R2480" s="210" t="str">
        <f>IFERROR(__xludf.DUMMYFUNCTION("""COMPUTED_VALUE"""),"1261223")</f>
        <v>1261223</v>
      </c>
      <c r="S2480" s="211" t="str">
        <f>IFERROR(__xludf.DUMMYFUNCTION("""COMPUTED_VALUE"""),"f8a982a4")</f>
        <v>f8a982a4</v>
      </c>
      <c r="T2480" s="211" t="str">
        <f>IFERROR(__xludf.DUMMYFUNCTION("""COMPUTED_VALUE"""),"Bpk. Nasir")</f>
        <v>Bpk. Nasir</v>
      </c>
      <c r="U2480" s="215">
        <f>IFERROR(__xludf.DUMMYFUNCTION("""COMPUTED_VALUE"""),46059.606782407405)</f>
        <v>46059.60678</v>
      </c>
      <c r="V2480" s="211" t="str">
        <f>IFERROR(__xludf.DUMMYFUNCTION("""COMPUTED_VALUE"""),"JL Raya Pacet, Dsn. Janti Ds. Jatilangkung RT.01 RW. 04. Kabupaten. Mojokerto Pungging, Jawa Timur")</f>
        <v>JL Raya Pacet, Dsn. Janti Ds. Jatilangkung RT.01 RW. 04. Kabupaten. Mojokerto Pungging, Jawa Timur</v>
      </c>
      <c r="W2480" s="211" t="str">
        <f>IFERROR(__xludf.DUMMYFUNCTION("""COMPUTED_VALUE"""),"IN")</f>
        <v>IN</v>
      </c>
      <c r="X2480" s="211"/>
    </row>
    <row r="2481">
      <c r="A2481" s="210" t="str">
        <f>IFERROR(__xludf.DUMMYFUNCTION("""COMPUTED_VALUE"""),"1250830")</f>
        <v>1250830</v>
      </c>
      <c r="B2481" s="210" t="str">
        <f>IFERROR(__xludf.DUMMYFUNCTION("""COMPUTED_VALUE"""),"1250830")</f>
        <v>1250830</v>
      </c>
      <c r="C2481" s="213">
        <f>IFERROR(__xludf.DUMMYFUNCTION("""COMPUTED_VALUE"""),45979.66452546296)</f>
        <v>45979.66453</v>
      </c>
      <c r="D2481" s="211" t="str">
        <f>IFERROR(__xludf.DUMMYFUNCTION("""COMPUTED_VALUE"""),"ca4876e2")</f>
        <v>ca4876e2</v>
      </c>
      <c r="E2481" s="211" t="str">
        <f>IFERROR(__xludf.DUMMYFUNCTION("""COMPUTED_VALUE"""),"Bengkel Mustika Mojosari")</f>
        <v>Bengkel Mustika Mojosari</v>
      </c>
      <c r="F2481" s="211" t="str">
        <f>IFERROR(__xludf.DUMMYFUNCTION("""COMPUTED_VALUE"""),"7d2764f1")</f>
        <v>7d2764f1</v>
      </c>
      <c r="G2481" s="211" t="str">
        <f>IFERROR(__xludf.DUMMYFUNCTION("""COMPUTED_VALUE"""),"Oksigen 7m3")</f>
        <v>Oksigen 7m3</v>
      </c>
      <c r="H2481" s="211" t="str">
        <f>IFERROR(__xludf.DUMMYFUNCTION("""COMPUTED_VALUE"""),"IN")</f>
        <v>IN</v>
      </c>
      <c r="I2481" s="211" t="str">
        <f>IFERROR(__xludf.DUMMYFUNCTION("""COMPUTED_VALUE"""),"EMPTY")</f>
        <v>EMPTY</v>
      </c>
      <c r="J2481" s="211">
        <f>IFERROR(__xludf.DUMMYFUNCTION("""COMPUTED_VALUE"""),2.0)</f>
        <v>2</v>
      </c>
      <c r="K2481" s="210" t="str">
        <f>IFERROR(__xludf.DUMMYFUNCTION("""COMPUTED_VALUE"""),"11226 11151")</f>
        <v>11226 11151</v>
      </c>
      <c r="L2481" s="211">
        <f>IFERROR(__xludf.DUMMYFUNCTION("""COMPUTED_VALUE"""),0.0)</f>
        <v>0</v>
      </c>
      <c r="M2481" s="211"/>
      <c r="N2481" s="211"/>
      <c r="O2481" s="211"/>
      <c r="Q2481" s="210" t="str">
        <f>IFERROR(__xludf.DUMMYFUNCTION("""COMPUTED_VALUE"""),"1261222")</f>
        <v>1261222</v>
      </c>
      <c r="R2481" s="210" t="str">
        <f>IFERROR(__xludf.DUMMYFUNCTION("""COMPUTED_VALUE"""),"1261222")</f>
        <v>1261222</v>
      </c>
      <c r="S2481" s="211" t="str">
        <f>IFERROR(__xludf.DUMMYFUNCTION("""COMPUTED_VALUE"""),"9828dfc5")</f>
        <v>9828dfc5</v>
      </c>
      <c r="T2481" s="211" t="str">
        <f>IFERROR(__xludf.DUMMYFUNCTION("""COMPUTED_VALUE"""),"Bpk. David")</f>
        <v>Bpk. David</v>
      </c>
      <c r="U2481" s="215">
        <f>IFERROR(__xludf.DUMMYFUNCTION("""COMPUTED_VALUE"""),46059.60732638889)</f>
        <v>46059.60733</v>
      </c>
      <c r="V2481" s="211" t="str">
        <f>IFERROR(__xludf.DUMMYFUNCTION("""COMPUTED_VALUE"""),"GHF3+R34, Jl. Kartini, Ngingas, Ngimbangan, Kec. Mojosari, Kabupaten Mojokerto, Jawa Timur 61382")</f>
        <v>GHF3+R34, Jl. Kartini, Ngingas, Ngimbangan, Kec. Mojosari, Kabupaten Mojokerto, Jawa Timur 61382</v>
      </c>
      <c r="W2481" s="211" t="str">
        <f>IFERROR(__xludf.DUMMYFUNCTION("""COMPUTED_VALUE"""),"IN")</f>
        <v>IN</v>
      </c>
      <c r="X2481" s="211"/>
    </row>
    <row r="2482">
      <c r="A2482" s="210" t="str">
        <f>IFERROR(__xludf.DUMMYFUNCTION("""COMPUTED_VALUE"""),"1250831")</f>
        <v>1250831</v>
      </c>
      <c r="B2482" s="210" t="str">
        <f>IFERROR(__xludf.DUMMYFUNCTION("""COMPUTED_VALUE"""),"1250831")</f>
        <v>1250831</v>
      </c>
      <c r="C2482" s="213">
        <f>IFERROR(__xludf.DUMMYFUNCTION("""COMPUTED_VALUE"""),45979.665625)</f>
        <v>45979.66563</v>
      </c>
      <c r="D2482" s="211" t="str">
        <f>IFERROR(__xludf.DUMMYFUNCTION("""COMPUTED_VALUE"""),"b2b5f2c5")</f>
        <v>b2b5f2c5</v>
      </c>
      <c r="E2482" s="211" t="str">
        <f>IFERROR(__xludf.DUMMYFUNCTION("""COMPUTED_VALUE"""),"Bengkel Las Bpk. Ari")</f>
        <v>Bengkel Las Bpk. Ari</v>
      </c>
      <c r="F2482" s="211" t="str">
        <f>IFERROR(__xludf.DUMMYFUNCTION("""COMPUTED_VALUE"""),"ef306e54")</f>
        <v>ef306e54</v>
      </c>
      <c r="G2482" s="211" t="str">
        <f>IFERROR(__xludf.DUMMYFUNCTION("""COMPUTED_VALUE"""),"Karbondioksida")</f>
        <v>Karbondioksida</v>
      </c>
      <c r="H2482" s="211" t="str">
        <f>IFERROR(__xludf.DUMMYFUNCTION("""COMPUTED_VALUE"""),"IN")</f>
        <v>IN</v>
      </c>
      <c r="I2482" s="211" t="str">
        <f>IFERROR(__xludf.DUMMYFUNCTION("""COMPUTED_VALUE"""),"EMPTY")</f>
        <v>EMPTY</v>
      </c>
      <c r="J2482" s="211">
        <f>IFERROR(__xludf.DUMMYFUNCTION("""COMPUTED_VALUE"""),2.0)</f>
        <v>2</v>
      </c>
      <c r="K2482" s="210" t="str">
        <f>IFERROR(__xludf.DUMMYFUNCTION("""COMPUTED_VALUE"""),"13040 13036")</f>
        <v>13040 13036</v>
      </c>
      <c r="L2482" s="211">
        <f>IFERROR(__xludf.DUMMYFUNCTION("""COMPUTED_VALUE"""),0.0)</f>
        <v>0</v>
      </c>
      <c r="M2482" s="211"/>
      <c r="N2482" s="211"/>
      <c r="O2482" s="211"/>
      <c r="Q2482" s="210" t="str">
        <f>IFERROR(__xludf.DUMMYFUNCTION("""COMPUTED_VALUE"""),"0226202480")</f>
        <v>0226202480</v>
      </c>
      <c r="R2482" s="210" t="str">
        <f>IFERROR(__xludf.DUMMYFUNCTION("""COMPUTED_VALUE"""),"0226202480")</f>
        <v>0226202480</v>
      </c>
      <c r="S2482" s="211" t="str">
        <f>IFERROR(__xludf.DUMMYFUNCTION("""COMPUTED_VALUE"""),"63fc688a")</f>
        <v>63fc688a</v>
      </c>
      <c r="T2482" s="211" t="str">
        <f>IFERROR(__xludf.DUMMYFUNCTION("""COMPUTED_VALUE"""),"CV Malik Nusantara")</f>
        <v>CV Malik Nusantara</v>
      </c>
      <c r="U2482" s="215">
        <f>IFERROR(__xludf.DUMMYFUNCTION("""COMPUTED_VALUE"""),46059.62162037037)</f>
        <v>46059.62162</v>
      </c>
      <c r="V2482" s="211" t="str">
        <f>IFERROR(__xludf.DUMMYFUNCTION("""COMPUTED_VALUE"""),"Jl. Raya Balongbendo No.12, Suwaluh Utara, Suwaluh, Kec. BalongBendo, Kabupaten Sidoarjo, Jawa Timur 61263")</f>
        <v>Jl. Raya Balongbendo No.12, Suwaluh Utara, Suwaluh, Kec. BalongBendo, Kabupaten Sidoarjo, Jawa Timur 61263</v>
      </c>
      <c r="W2482" s="211" t="str">
        <f>IFERROR(__xludf.DUMMYFUNCTION("""COMPUTED_VALUE"""),"OUT")</f>
        <v>OUT</v>
      </c>
      <c r="X2482" s="211"/>
    </row>
    <row r="2483">
      <c r="A2483" s="210" t="str">
        <f>IFERROR(__xludf.DUMMYFUNCTION("""COMPUTED_VALUE"""),"1250831")</f>
        <v>1250831</v>
      </c>
      <c r="B2483" s="210" t="str">
        <f>IFERROR(__xludf.DUMMYFUNCTION("""COMPUTED_VALUE"""),"1250831")</f>
        <v>1250831</v>
      </c>
      <c r="C2483" s="213">
        <f>IFERROR(__xludf.DUMMYFUNCTION("""COMPUTED_VALUE"""),45979.665625)</f>
        <v>45979.66563</v>
      </c>
      <c r="D2483" s="211" t="str">
        <f>IFERROR(__xludf.DUMMYFUNCTION("""COMPUTED_VALUE"""),"b2b5f2c5")</f>
        <v>b2b5f2c5</v>
      </c>
      <c r="E2483" s="211" t="str">
        <f>IFERROR(__xludf.DUMMYFUNCTION("""COMPUTED_VALUE"""),"Bengkel Las Bpk. Ari")</f>
        <v>Bengkel Las Bpk. Ari</v>
      </c>
      <c r="F2483" s="211" t="str">
        <f>IFERROR(__xludf.DUMMYFUNCTION("""COMPUTED_VALUE"""),"8bdbe149")</f>
        <v>8bdbe149</v>
      </c>
      <c r="G2483" s="211" t="str">
        <f>IFERROR(__xludf.DUMMYFUNCTION("""COMPUTED_VALUE"""),"Oksigen 6m3")</f>
        <v>Oksigen 6m3</v>
      </c>
      <c r="H2483" s="211" t="str">
        <f>IFERROR(__xludf.DUMMYFUNCTION("""COMPUTED_VALUE"""),"IN")</f>
        <v>IN</v>
      </c>
      <c r="I2483" s="211" t="str">
        <f>IFERROR(__xludf.DUMMYFUNCTION("""COMPUTED_VALUE"""),"EMPTY")</f>
        <v>EMPTY</v>
      </c>
      <c r="J2483" s="211">
        <f>IFERROR(__xludf.DUMMYFUNCTION("""COMPUTED_VALUE"""),5.0)</f>
        <v>5</v>
      </c>
      <c r="K2483" s="210" t="str">
        <f>IFERROR(__xludf.DUMMYFUNCTION("""COMPUTED_VALUE"""),"11205 11207 11232 1157 11104")</f>
        <v>11205 11207 11232 1157 11104</v>
      </c>
      <c r="L2483" s="211">
        <f>IFERROR(__xludf.DUMMYFUNCTION("""COMPUTED_VALUE"""),0.0)</f>
        <v>0</v>
      </c>
      <c r="M2483" s="211"/>
      <c r="N2483" s="211"/>
      <c r="O2483" s="211"/>
      <c r="Q2483" s="211"/>
      <c r="R2483" s="211"/>
      <c r="S2483" s="211"/>
      <c r="T2483" s="211"/>
      <c r="U2483" s="211"/>
      <c r="V2483" s="211"/>
      <c r="W2483" s="211"/>
      <c r="X2483" s="211"/>
    </row>
    <row r="2484">
      <c r="A2484" s="210" t="str">
        <f>IFERROR(__xludf.DUMMYFUNCTION("""COMPUTED_VALUE"""),"112521754")</f>
        <v>112521754</v>
      </c>
      <c r="B2484" s="210" t="str">
        <f>IFERROR(__xludf.DUMMYFUNCTION("""COMPUTED_VALUE"""),"112521754")</f>
        <v>112521754</v>
      </c>
      <c r="C2484" s="213">
        <f>IFERROR(__xludf.DUMMYFUNCTION("""COMPUTED_VALUE"""),45980.34303240741)</f>
        <v>45980.34303</v>
      </c>
      <c r="D2484" s="211" t="str">
        <f>IFERROR(__xludf.DUMMYFUNCTION("""COMPUTED_VALUE"""),"a0f0ad2d")</f>
        <v>a0f0ad2d</v>
      </c>
      <c r="E2484" s="211" t="str">
        <f>IFERROR(__xludf.DUMMYFUNCTION("""COMPUTED_VALUE"""),"CV. Yulie Jaya")</f>
        <v>CV. Yulie Jaya</v>
      </c>
      <c r="F2484" s="211" t="str">
        <f>IFERROR(__xludf.DUMMYFUNCTION("""COMPUTED_VALUE"""),"7d2764f1")</f>
        <v>7d2764f1</v>
      </c>
      <c r="G2484" s="211" t="str">
        <f>IFERROR(__xludf.DUMMYFUNCTION("""COMPUTED_VALUE"""),"Oksigen 7m3")</f>
        <v>Oksigen 7m3</v>
      </c>
      <c r="H2484" s="211" t="str">
        <f>IFERROR(__xludf.DUMMYFUNCTION("""COMPUTED_VALUE"""),"OUT")</f>
        <v>OUT</v>
      </c>
      <c r="I2484" s="211" t="str">
        <f>IFERROR(__xludf.DUMMYFUNCTION("""COMPUTED_VALUE"""),"NORMAL")</f>
        <v>NORMAL</v>
      </c>
      <c r="J2484" s="211">
        <f>IFERROR(__xludf.DUMMYFUNCTION("""COMPUTED_VALUE"""),10.0)</f>
        <v>10</v>
      </c>
      <c r="K2484" s="210" t="str">
        <f>IFERROR(__xludf.DUMMYFUNCTION("""COMPUTED_VALUE"""),"11305 11300 11299 11307 11222 11163 11219 11223 11213 11214")</f>
        <v>11305 11300 11299 11307 11222 11163 11219 11223 11213 11214</v>
      </c>
      <c r="L2484" s="211">
        <f>IFERROR(__xludf.DUMMYFUNCTION("""COMPUTED_VALUE"""),60000.0)</f>
        <v>60000</v>
      </c>
      <c r="M2484" s="211"/>
      <c r="N2484" s="211"/>
      <c r="O2484" s="211"/>
      <c r="Q2484" s="210" t="str">
        <f>IFERROR(__xludf.DUMMYFUNCTION("""COMPUTED_VALUE"""),"022622484")</f>
        <v>022622484</v>
      </c>
      <c r="R2484" s="210" t="str">
        <f>IFERROR(__xludf.DUMMYFUNCTION("""COMPUTED_VALUE"""),"022622484")</f>
        <v>022622484</v>
      </c>
      <c r="S2484" s="211" t="str">
        <f>IFERROR(__xludf.DUMMYFUNCTION("""COMPUTED_VALUE"""),"8b765561")</f>
        <v>8b765561</v>
      </c>
      <c r="T2484" s="211" t="str">
        <f>IFERROR(__xludf.DUMMYFUNCTION("""COMPUTED_VALUE"""),"Bpk. Idris")</f>
        <v>Bpk. Idris</v>
      </c>
      <c r="U2484" s="215">
        <f>IFERROR(__xludf.DUMMYFUNCTION("""COMPUTED_VALUE"""),46059.65482638889)</f>
        <v>46059.65483</v>
      </c>
      <c r="V2484" s="211" t="str">
        <f>IFERROR(__xludf.DUMMYFUNCTION("""COMPUTED_VALUE"""),"JL. Soenandar Priyo Sudarmo, Balepanjang, Tropodo, Kec Krian, Kabupaten Sidoarjo, Jawa Timur")</f>
        <v>JL. Soenandar Priyo Sudarmo, Balepanjang, Tropodo, Kec Krian, Kabupaten Sidoarjo, Jawa Timur</v>
      </c>
      <c r="W2484" s="211" t="str">
        <f>IFERROR(__xludf.DUMMYFUNCTION("""COMPUTED_VALUE"""),"OUT")</f>
        <v>OUT</v>
      </c>
      <c r="X2484" s="211"/>
    </row>
    <row r="2485">
      <c r="A2485" s="210" t="str">
        <f>IFERROR(__xludf.DUMMYFUNCTION("""COMPUTED_VALUE"""),"112521754")</f>
        <v>112521754</v>
      </c>
      <c r="B2485" s="210" t="str">
        <f>IFERROR(__xludf.DUMMYFUNCTION("""COMPUTED_VALUE"""),"112521754")</f>
        <v>112521754</v>
      </c>
      <c r="C2485" s="213">
        <f>IFERROR(__xludf.DUMMYFUNCTION("""COMPUTED_VALUE"""),45980.34303240741)</f>
        <v>45980.34303</v>
      </c>
      <c r="D2485" s="211" t="str">
        <f>IFERROR(__xludf.DUMMYFUNCTION("""COMPUTED_VALUE"""),"a0f0ad2d")</f>
        <v>a0f0ad2d</v>
      </c>
      <c r="E2485" s="211" t="str">
        <f>IFERROR(__xludf.DUMMYFUNCTION("""COMPUTED_VALUE"""),"CV. Yulie Jaya")</f>
        <v>CV. Yulie Jaya</v>
      </c>
      <c r="F2485" s="211" t="str">
        <f>IFERROR(__xludf.DUMMYFUNCTION("""COMPUTED_VALUE"""),"be525f3b")</f>
        <v>be525f3b</v>
      </c>
      <c r="G2485" s="211" t="str">
        <f>IFERROR(__xludf.DUMMYFUNCTION("""COMPUTED_VALUE"""),"LPG 12kg")</f>
        <v>LPG 12kg</v>
      </c>
      <c r="H2485" s="211" t="str">
        <f>IFERROR(__xludf.DUMMYFUNCTION("""COMPUTED_VALUE"""),"OUT")</f>
        <v>OUT</v>
      </c>
      <c r="I2485" s="211" t="str">
        <f>IFERROR(__xludf.DUMMYFUNCTION("""COMPUTED_VALUE"""),"NORMAL")</f>
        <v>NORMAL</v>
      </c>
      <c r="J2485" s="211">
        <f>IFERROR(__xludf.DUMMYFUNCTION("""COMPUTED_VALUE"""),1.0)</f>
        <v>1</v>
      </c>
      <c r="K2485" s="210" t="str">
        <f>IFERROR(__xludf.DUMMYFUNCTION("""COMPUTED_VALUE"""),"01")</f>
        <v>01</v>
      </c>
      <c r="L2485" s="211">
        <f>IFERROR(__xludf.DUMMYFUNCTION("""COMPUTED_VALUE"""),215000.0)</f>
        <v>215000</v>
      </c>
      <c r="M2485" s="211"/>
      <c r="N2485" s="211"/>
      <c r="O2485" s="211"/>
      <c r="Q2485" s="210" t="str">
        <f>IFERROR(__xludf.DUMMYFUNCTION("""COMPUTED_VALUE"""),"1261225")</f>
        <v>1261225</v>
      </c>
      <c r="R2485" s="210" t="str">
        <f>IFERROR(__xludf.DUMMYFUNCTION("""COMPUTED_VALUE"""),"1261225")</f>
        <v>1261225</v>
      </c>
      <c r="S2485" s="211" t="str">
        <f>IFERROR(__xludf.DUMMYFUNCTION("""COMPUTED_VALUE"""),"63fc688a")</f>
        <v>63fc688a</v>
      </c>
      <c r="T2485" s="211" t="str">
        <f>IFERROR(__xludf.DUMMYFUNCTION("""COMPUTED_VALUE"""),"CV Malik Nusantara")</f>
        <v>CV Malik Nusantara</v>
      </c>
      <c r="U2485" s="215">
        <f>IFERROR(__xludf.DUMMYFUNCTION("""COMPUTED_VALUE"""),46059.69862268519)</f>
        <v>46059.69862</v>
      </c>
      <c r="V2485" s="211" t="str">
        <f>IFERROR(__xludf.DUMMYFUNCTION("""COMPUTED_VALUE"""),"Jl. Raya Balongbendo No.12, Suwaluh Utara, Suwaluh, Kec. BalongBendo, Kabupaten Sidoarjo, Jawa Timur 61263")</f>
        <v>Jl. Raya Balongbendo No.12, Suwaluh Utara, Suwaluh, Kec. BalongBendo, Kabupaten Sidoarjo, Jawa Timur 61263</v>
      </c>
      <c r="W2485" s="211" t="str">
        <f>IFERROR(__xludf.DUMMYFUNCTION("""COMPUTED_VALUE"""),"IN")</f>
        <v>IN</v>
      </c>
      <c r="X2485" s="211"/>
    </row>
    <row r="2486">
      <c r="A2486" s="210" t="str">
        <f>IFERROR(__xludf.DUMMYFUNCTION("""COMPUTED_VALUE"""),"1250832")</f>
        <v>1250832</v>
      </c>
      <c r="B2486" s="210" t="str">
        <f>IFERROR(__xludf.DUMMYFUNCTION("""COMPUTED_VALUE"""),"1250832")</f>
        <v>1250832</v>
      </c>
      <c r="C2486" s="213">
        <f>IFERROR(__xludf.DUMMYFUNCTION("""COMPUTED_VALUE"""),45980.40420138889)</f>
        <v>45980.4042</v>
      </c>
      <c r="D2486" s="211" t="str">
        <f>IFERROR(__xludf.DUMMYFUNCTION("""COMPUTED_VALUE"""),"a0f0ad2d")</f>
        <v>a0f0ad2d</v>
      </c>
      <c r="E2486" s="211" t="str">
        <f>IFERROR(__xludf.DUMMYFUNCTION("""COMPUTED_VALUE"""),"CV. Yulie Jaya")</f>
        <v>CV. Yulie Jaya</v>
      </c>
      <c r="F2486" s="211" t="str">
        <f>IFERROR(__xludf.DUMMYFUNCTION("""COMPUTED_VALUE"""),"be525f3b")</f>
        <v>be525f3b</v>
      </c>
      <c r="G2486" s="211" t="str">
        <f>IFERROR(__xludf.DUMMYFUNCTION("""COMPUTED_VALUE"""),"LPG 12kg")</f>
        <v>LPG 12kg</v>
      </c>
      <c r="H2486" s="211" t="str">
        <f>IFERROR(__xludf.DUMMYFUNCTION("""COMPUTED_VALUE"""),"IN")</f>
        <v>IN</v>
      </c>
      <c r="I2486" s="211" t="str">
        <f>IFERROR(__xludf.DUMMYFUNCTION("""COMPUTED_VALUE"""),"EMPTY")</f>
        <v>EMPTY</v>
      </c>
      <c r="J2486" s="211">
        <f>IFERROR(__xludf.DUMMYFUNCTION("""COMPUTED_VALUE"""),1.0)</f>
        <v>1</v>
      </c>
      <c r="K2486" s="210" t="str">
        <f>IFERROR(__xludf.DUMMYFUNCTION("""COMPUTED_VALUE"""),"01")</f>
        <v>01</v>
      </c>
      <c r="L2486" s="211">
        <f>IFERROR(__xludf.DUMMYFUNCTION("""COMPUTED_VALUE"""),0.0)</f>
        <v>0</v>
      </c>
      <c r="M2486" s="211"/>
      <c r="N2486" s="211"/>
      <c r="O2486" s="211"/>
      <c r="Q2486" s="210" t="str">
        <f>IFERROR(__xludf.DUMMYFUNCTION("""COMPUTED_VALUE"""),"1261227")</f>
        <v>1261227</v>
      </c>
      <c r="R2486" s="210" t="str">
        <f>IFERROR(__xludf.DUMMYFUNCTION("""COMPUTED_VALUE"""),"1261227")</f>
        <v>1261227</v>
      </c>
      <c r="S2486" s="211" t="str">
        <f>IFERROR(__xludf.DUMMYFUNCTION("""COMPUTED_VALUE"""),"734c6d17")</f>
        <v>734c6d17</v>
      </c>
      <c r="T2486" s="211" t="str">
        <f>IFERROR(__xludf.DUMMYFUNCTION("""COMPUTED_VALUE"""),"Bapak Ainol Yaqin ( Bpk. Ibnu )")</f>
        <v>Bapak Ainol Yaqin ( Bpk. Ibnu )</v>
      </c>
      <c r="U2486" s="215">
        <f>IFERROR(__xludf.DUMMYFUNCTION("""COMPUTED_VALUE"""),46059.6997337963)</f>
        <v>46059.69973</v>
      </c>
      <c r="V2486" s="211" t="str">
        <f>IFERROR(__xludf.DUMMYFUNCTION("""COMPUTED_VALUE"""),"Tanggul Wetan, Tanggul, Kec. Wonoayu, Kabupaten Sidoarjo, Jawa Timur")</f>
        <v>Tanggul Wetan, Tanggul, Kec. Wonoayu, Kabupaten Sidoarjo, Jawa Timur</v>
      </c>
      <c r="W2486" s="211" t="str">
        <f>IFERROR(__xludf.DUMMYFUNCTION("""COMPUTED_VALUE"""),"IN")</f>
        <v>IN</v>
      </c>
      <c r="X2486" s="211"/>
    </row>
    <row r="2487">
      <c r="A2487" s="210" t="str">
        <f>IFERROR(__xludf.DUMMYFUNCTION("""COMPUTED_VALUE"""),"1250832")</f>
        <v>1250832</v>
      </c>
      <c r="B2487" s="210" t="str">
        <f>IFERROR(__xludf.DUMMYFUNCTION("""COMPUTED_VALUE"""),"1250832")</f>
        <v>1250832</v>
      </c>
      <c r="C2487" s="213">
        <f>IFERROR(__xludf.DUMMYFUNCTION("""COMPUTED_VALUE"""),45980.40420138889)</f>
        <v>45980.4042</v>
      </c>
      <c r="D2487" s="211" t="str">
        <f>IFERROR(__xludf.DUMMYFUNCTION("""COMPUTED_VALUE"""),"a0f0ad2d")</f>
        <v>a0f0ad2d</v>
      </c>
      <c r="E2487" s="211" t="str">
        <f>IFERROR(__xludf.DUMMYFUNCTION("""COMPUTED_VALUE"""),"CV. Yulie Jaya")</f>
        <v>CV. Yulie Jaya</v>
      </c>
      <c r="F2487" s="211" t="str">
        <f>IFERROR(__xludf.DUMMYFUNCTION("""COMPUTED_VALUE"""),"7d2764f1")</f>
        <v>7d2764f1</v>
      </c>
      <c r="G2487" s="211" t="str">
        <f>IFERROR(__xludf.DUMMYFUNCTION("""COMPUTED_VALUE"""),"Oksigen 7m3")</f>
        <v>Oksigen 7m3</v>
      </c>
      <c r="H2487" s="211" t="str">
        <f>IFERROR(__xludf.DUMMYFUNCTION("""COMPUTED_VALUE"""),"IN")</f>
        <v>IN</v>
      </c>
      <c r="I2487" s="211" t="str">
        <f>IFERROR(__xludf.DUMMYFUNCTION("""COMPUTED_VALUE"""),"EMPTY")</f>
        <v>EMPTY</v>
      </c>
      <c r="J2487" s="211">
        <f>IFERROR(__xludf.DUMMYFUNCTION("""COMPUTED_VALUE"""),8.0)</f>
        <v>8</v>
      </c>
      <c r="K2487" s="210" t="str">
        <f>IFERROR(__xludf.DUMMYFUNCTION("""COMPUTED_VALUE"""),"11228 11137 11218 11229 11155 11169 11150 76")</f>
        <v>11228 11137 11218 11229 11155 11169 11150 76</v>
      </c>
      <c r="L2487" s="211">
        <f>IFERROR(__xludf.DUMMYFUNCTION("""COMPUTED_VALUE"""),0.0)</f>
        <v>0</v>
      </c>
      <c r="M2487" s="211"/>
      <c r="N2487" s="211"/>
      <c r="O2487" s="211"/>
      <c r="Q2487" s="210" t="str">
        <f>IFERROR(__xludf.DUMMYFUNCTION("""COMPUTED_VALUE"""),"1261226")</f>
        <v>1261226</v>
      </c>
      <c r="R2487" s="210" t="str">
        <f>IFERROR(__xludf.DUMMYFUNCTION("""COMPUTED_VALUE"""),"1261226")</f>
        <v>1261226</v>
      </c>
      <c r="S2487" s="211" t="str">
        <f>IFERROR(__xludf.DUMMYFUNCTION("""COMPUTED_VALUE"""),"98c84274")</f>
        <v>98c84274</v>
      </c>
      <c r="T2487" s="211" t="str">
        <f>IFERROR(__xludf.DUMMYFUNCTION("""COMPUTED_VALUE"""),"Bengkel SBM (Pak Hari)")</f>
        <v>Bengkel SBM (Pak Hari)</v>
      </c>
      <c r="U2487" s="215">
        <f>IFERROR(__xludf.DUMMYFUNCTION("""COMPUTED_VALUE"""),46059.70042824074)</f>
        <v>46059.70043</v>
      </c>
      <c r="V2487"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487" s="211" t="str">
        <f>IFERROR(__xludf.DUMMYFUNCTION("""COMPUTED_VALUE"""),"IN")</f>
        <v>IN</v>
      </c>
      <c r="X2487" s="211"/>
    </row>
    <row r="2488">
      <c r="A2488" s="210" t="str">
        <f>IFERROR(__xludf.DUMMYFUNCTION("""COMPUTED_VALUE"""),"1125701757")</f>
        <v>1125701757</v>
      </c>
      <c r="B2488" s="210" t="str">
        <f>IFERROR(__xludf.DUMMYFUNCTION("""COMPUTED_VALUE"""),"1125701757")</f>
        <v>1125701757</v>
      </c>
      <c r="C2488" s="213">
        <f>IFERROR(__xludf.DUMMYFUNCTION("""COMPUTED_VALUE"""),45980.40855324074)</f>
        <v>45980.40855</v>
      </c>
      <c r="D2488" s="211" t="str">
        <f>IFERROR(__xludf.DUMMYFUNCTION("""COMPUTED_VALUE"""),"e86baf3b")</f>
        <v>e86baf3b</v>
      </c>
      <c r="E2488" s="211" t="str">
        <f>IFERROR(__xludf.DUMMYFUNCTION("""COMPUTED_VALUE"""),"PT GEMILANG CIPTA WAWASAN")</f>
        <v>PT GEMILANG CIPTA WAWASAN</v>
      </c>
      <c r="F2488" s="211" t="str">
        <f>IFERROR(__xludf.DUMMYFUNCTION("""COMPUTED_VALUE"""),"8bdbe149")</f>
        <v>8bdbe149</v>
      </c>
      <c r="G2488" s="211" t="str">
        <f>IFERROR(__xludf.DUMMYFUNCTION("""COMPUTED_VALUE"""),"Oksigen 6m3")</f>
        <v>Oksigen 6m3</v>
      </c>
      <c r="H2488" s="211" t="str">
        <f>IFERROR(__xludf.DUMMYFUNCTION("""COMPUTED_VALUE"""),"OUT")</f>
        <v>OUT</v>
      </c>
      <c r="I2488" s="211" t="str">
        <f>IFERROR(__xludf.DUMMYFUNCTION("""COMPUTED_VALUE"""),"NORMAL")</f>
        <v>NORMAL</v>
      </c>
      <c r="J2488" s="211">
        <f>IFERROR(__xludf.DUMMYFUNCTION("""COMPUTED_VALUE"""),10.0)</f>
        <v>10</v>
      </c>
      <c r="K2488" s="210" t="str">
        <f>IFERROR(__xludf.DUMMYFUNCTION("""COMPUTED_VALUE"""),"1104 1196 11244 11272 1168 11285 11265 11179 11270 12095")</f>
        <v>1104 1196 11244 11272 1168 11285 11265 11179 11270 12095</v>
      </c>
      <c r="L2488" s="211">
        <f>IFERROR(__xludf.DUMMYFUNCTION("""COMPUTED_VALUE"""),60000.0)</f>
        <v>60000</v>
      </c>
      <c r="M2488" s="211"/>
      <c r="N2488" s="211"/>
      <c r="O2488" s="211"/>
      <c r="Q2488" s="210" t="str">
        <f>IFERROR(__xludf.DUMMYFUNCTION("""COMPUTED_VALUE"""),"1261228")</f>
        <v>1261228</v>
      </c>
      <c r="R2488" s="210" t="str">
        <f>IFERROR(__xludf.DUMMYFUNCTION("""COMPUTED_VALUE"""),"1261228")</f>
        <v>1261228</v>
      </c>
      <c r="S2488" s="211" t="str">
        <f>IFERROR(__xludf.DUMMYFUNCTION("""COMPUTED_VALUE"""),"a0f0ad2d")</f>
        <v>a0f0ad2d</v>
      </c>
      <c r="T2488" s="211" t="str">
        <f>IFERROR(__xludf.DUMMYFUNCTION("""COMPUTED_VALUE"""),"CV. Yulie Jaya")</f>
        <v>CV. Yulie Jaya</v>
      </c>
      <c r="U2488" s="215">
        <f>IFERROR(__xludf.DUMMYFUNCTION("""COMPUTED_VALUE"""),46060.59762731481)</f>
        <v>46060.59763</v>
      </c>
      <c r="V2488" s="211" t="str">
        <f>IFERROR(__xludf.DUMMYFUNCTION("""COMPUTED_VALUE"""),"JJH4+6RV, Badas, Barengkrajan, Kec. Krian, Kabupaten Sidoarjo, Jawa Timur 61262")</f>
        <v>JJH4+6RV, Badas, Barengkrajan, Kec. Krian, Kabupaten Sidoarjo, Jawa Timur 61262</v>
      </c>
      <c r="W2488" s="211" t="str">
        <f>IFERROR(__xludf.DUMMYFUNCTION("""COMPUTED_VALUE"""),"IN")</f>
        <v>IN</v>
      </c>
      <c r="X2488" s="211"/>
    </row>
    <row r="2489">
      <c r="A2489" s="210" t="str">
        <f>IFERROR(__xludf.DUMMYFUNCTION("""COMPUTED_VALUE"""),"1125701757")</f>
        <v>1125701757</v>
      </c>
      <c r="B2489" s="210" t="str">
        <f>IFERROR(__xludf.DUMMYFUNCTION("""COMPUTED_VALUE"""),"1125701757")</f>
        <v>1125701757</v>
      </c>
      <c r="C2489" s="213">
        <f>IFERROR(__xludf.DUMMYFUNCTION("""COMPUTED_VALUE"""),45980.40855324074)</f>
        <v>45980.40855</v>
      </c>
      <c r="D2489" s="211" t="str">
        <f>IFERROR(__xludf.DUMMYFUNCTION("""COMPUTED_VALUE"""),"e86baf3b")</f>
        <v>e86baf3b</v>
      </c>
      <c r="E2489" s="211" t="str">
        <f>IFERROR(__xludf.DUMMYFUNCTION("""COMPUTED_VALUE"""),"PT GEMILANG CIPTA WAWASAN")</f>
        <v>PT GEMILANG CIPTA WAWASAN</v>
      </c>
      <c r="F2489" s="211" t="str">
        <f>IFERROR(__xludf.DUMMYFUNCTION("""COMPUTED_VALUE"""),"66af7c72")</f>
        <v>66af7c72</v>
      </c>
      <c r="G2489" s="211" t="str">
        <f>IFERROR(__xludf.DUMMYFUNCTION("""COMPUTED_VALUE"""),"Argon 6m3")</f>
        <v>Argon 6m3</v>
      </c>
      <c r="H2489" s="211" t="str">
        <f>IFERROR(__xludf.DUMMYFUNCTION("""COMPUTED_VALUE"""),"OUT")</f>
        <v>OUT</v>
      </c>
      <c r="I2489" s="211" t="str">
        <f>IFERROR(__xludf.DUMMYFUNCTION("""COMPUTED_VALUE"""),"NORMAL")</f>
        <v>NORMAL</v>
      </c>
      <c r="J2489" s="211">
        <f>IFERROR(__xludf.DUMMYFUNCTION("""COMPUTED_VALUE"""),6.0)</f>
        <v>6</v>
      </c>
      <c r="K2489" s="210" t="str">
        <f>IFERROR(__xludf.DUMMYFUNCTION("""COMPUTED_VALUE"""),"12055 12061 12021 12073 12070 12068")</f>
        <v>12055 12061 12021 12073 12070 12068</v>
      </c>
      <c r="L2489" s="211">
        <f>IFERROR(__xludf.DUMMYFUNCTION("""COMPUTED_VALUE"""),185000.0)</f>
        <v>185000</v>
      </c>
      <c r="M2489" s="211"/>
      <c r="N2489" s="211"/>
      <c r="O2489" s="211"/>
      <c r="Q2489" s="210" t="str">
        <f>IFERROR(__xludf.DUMMYFUNCTION("""COMPUTED_VALUE"""),"022692485")</f>
        <v>022692485</v>
      </c>
      <c r="R2489" s="210" t="str">
        <f>IFERROR(__xludf.DUMMYFUNCTION("""COMPUTED_VALUE"""),"022692485")</f>
        <v>022692485</v>
      </c>
      <c r="S2489" s="211" t="str">
        <f>IFERROR(__xludf.DUMMYFUNCTION("""COMPUTED_VALUE"""),"03ff52db")</f>
        <v>03ff52db</v>
      </c>
      <c r="T2489" s="211" t="str">
        <f>IFERROR(__xludf.DUMMYFUNCTION("""COMPUTED_VALUE"""),"Aneka Teknik Logam")</f>
        <v>Aneka Teknik Logam</v>
      </c>
      <c r="U2489" s="215">
        <f>IFERROR(__xludf.DUMMYFUNCTION("""COMPUTED_VALUE"""),46060.605844907404)</f>
        <v>46060.60584</v>
      </c>
      <c r="V2489" s="211" t="str">
        <f>IFERROR(__xludf.DUMMYFUNCTION("""COMPUTED_VALUE"""),"HH8G+MQC, Areng Areng, Tropodo, Kec. Krian, Kabupaten Sidoarjo, Jawa Timur 61262")</f>
        <v>HH8G+MQC, Areng Areng, Tropodo, Kec. Krian, Kabupaten Sidoarjo, Jawa Timur 61262</v>
      </c>
      <c r="W2489" s="211" t="str">
        <f>IFERROR(__xludf.DUMMYFUNCTION("""COMPUTED_VALUE"""),"OUT")</f>
        <v>OUT</v>
      </c>
      <c r="X2489" s="211"/>
    </row>
    <row r="2490">
      <c r="A2490" s="210" t="str">
        <f>IFERROR(__xludf.DUMMYFUNCTION("""COMPUTED_VALUE"""),"112551759")</f>
        <v>112551759</v>
      </c>
      <c r="B2490" s="210" t="str">
        <f>IFERROR(__xludf.DUMMYFUNCTION("""COMPUTED_VALUE"""),"112551759")</f>
        <v>112551759</v>
      </c>
      <c r="C2490" s="213">
        <f>IFERROR(__xludf.DUMMYFUNCTION("""COMPUTED_VALUE"""),45980.56327546296)</f>
        <v>45980.56328</v>
      </c>
      <c r="D2490" s="211" t="str">
        <f>IFERROR(__xludf.DUMMYFUNCTION("""COMPUTED_VALUE"""),"9e66ced9")</f>
        <v>9e66ced9</v>
      </c>
      <c r="E2490" s="211" t="str">
        <f>IFERROR(__xludf.DUMMYFUNCTION("""COMPUTED_VALUE"""),"Bapak Angga")</f>
        <v>Bapak Angga</v>
      </c>
      <c r="F2490" s="211" t="str">
        <f>IFERROR(__xludf.DUMMYFUNCTION("""COMPUTED_VALUE"""),"ef306e54")</f>
        <v>ef306e54</v>
      </c>
      <c r="G2490" s="211" t="str">
        <f>IFERROR(__xludf.DUMMYFUNCTION("""COMPUTED_VALUE"""),"Karbondioksida")</f>
        <v>Karbondioksida</v>
      </c>
      <c r="H2490" s="211" t="str">
        <f>IFERROR(__xludf.DUMMYFUNCTION("""COMPUTED_VALUE"""),"OUT")</f>
        <v>OUT</v>
      </c>
      <c r="I2490" s="211" t="str">
        <f>IFERROR(__xludf.DUMMYFUNCTION("""COMPUTED_VALUE"""),"NORMAL")</f>
        <v>NORMAL</v>
      </c>
      <c r="J2490" s="211">
        <f>IFERROR(__xludf.DUMMYFUNCTION("""COMPUTED_VALUE"""),3.0)</f>
        <v>3</v>
      </c>
      <c r="K2490" s="210" t="str">
        <f>IFERROR(__xludf.DUMMYFUNCTION("""COMPUTED_VALUE"""),"13032 13036 13040")</f>
        <v>13032 13036 13040</v>
      </c>
      <c r="L2490" s="211">
        <f>IFERROR(__xludf.DUMMYFUNCTION("""COMPUTED_VALUE"""),155000.0)</f>
        <v>155000</v>
      </c>
      <c r="M2490" s="211"/>
      <c r="N2490" s="211"/>
      <c r="O2490" s="211"/>
      <c r="Q2490" s="210" t="str">
        <f>IFERROR(__xludf.DUMMYFUNCTION("""COMPUTED_VALUE"""),"1261200")</f>
        <v>1261200</v>
      </c>
      <c r="R2490" s="210" t="str">
        <f>IFERROR(__xludf.DUMMYFUNCTION("""COMPUTED_VALUE"""),"1261200")</f>
        <v>1261200</v>
      </c>
      <c r="S2490" s="211" t="str">
        <f>IFERROR(__xludf.DUMMYFUNCTION("""COMPUTED_VALUE"""),"03ff52db")</f>
        <v>03ff52db</v>
      </c>
      <c r="T2490" s="211" t="str">
        <f>IFERROR(__xludf.DUMMYFUNCTION("""COMPUTED_VALUE"""),"Aneka Teknik Logam")</f>
        <v>Aneka Teknik Logam</v>
      </c>
      <c r="U2490" s="215">
        <f>IFERROR(__xludf.DUMMYFUNCTION("""COMPUTED_VALUE"""),46062.34626157407)</f>
        <v>46062.34626</v>
      </c>
      <c r="V2490" s="211" t="str">
        <f>IFERROR(__xludf.DUMMYFUNCTION("""COMPUTED_VALUE"""),"HH8G+MQC, Areng Areng, Tropodo, Kec. Krian, Kabupaten Sidoarjo, Jawa Timur 61262")</f>
        <v>HH8G+MQC, Areng Areng, Tropodo, Kec. Krian, Kabupaten Sidoarjo, Jawa Timur 61262</v>
      </c>
      <c r="W2490" s="211" t="str">
        <f>IFERROR(__xludf.DUMMYFUNCTION("""COMPUTED_VALUE"""),"IN")</f>
        <v>IN</v>
      </c>
      <c r="X2490" s="211"/>
    </row>
    <row r="2491">
      <c r="A2491" s="210" t="str">
        <f>IFERROR(__xludf.DUMMYFUNCTION("""COMPUTED_VALUE"""),"1250833")</f>
        <v>1250833</v>
      </c>
      <c r="B2491" s="210" t="str">
        <f>IFERROR(__xludf.DUMMYFUNCTION("""COMPUTED_VALUE"""),"1250833")</f>
        <v>1250833</v>
      </c>
      <c r="C2491" s="213">
        <f>IFERROR(__xludf.DUMMYFUNCTION("""COMPUTED_VALUE"""),45980.58803240741)</f>
        <v>45980.58803</v>
      </c>
      <c r="D2491" s="211" t="str">
        <f>IFERROR(__xludf.DUMMYFUNCTION("""COMPUTED_VALUE"""),"196b24da")</f>
        <v>196b24da</v>
      </c>
      <c r="E2491" s="211" t="str">
        <f>IFERROR(__xludf.DUMMYFUNCTION("""COMPUTED_VALUE"""),"PT Samudra Cipta Enjineering")</f>
        <v>PT Samudra Cipta Enjineering</v>
      </c>
      <c r="F2491" s="211" t="str">
        <f>IFERROR(__xludf.DUMMYFUNCTION("""COMPUTED_VALUE"""),"ef306e54")</f>
        <v>ef306e54</v>
      </c>
      <c r="G2491" s="211" t="str">
        <f>IFERROR(__xludf.DUMMYFUNCTION("""COMPUTED_VALUE"""),"Karbondioksida")</f>
        <v>Karbondioksida</v>
      </c>
      <c r="H2491" s="211" t="str">
        <f>IFERROR(__xludf.DUMMYFUNCTION("""COMPUTED_VALUE"""),"IN")</f>
        <v>IN</v>
      </c>
      <c r="I2491" s="211" t="str">
        <f>IFERROR(__xludf.DUMMYFUNCTION("""COMPUTED_VALUE"""),"EMPTY")</f>
        <v>EMPTY</v>
      </c>
      <c r="J2491" s="211">
        <f>IFERROR(__xludf.DUMMYFUNCTION("""COMPUTED_VALUE"""),2.0)</f>
        <v>2</v>
      </c>
      <c r="K2491" s="210" t="str">
        <f>IFERROR(__xludf.DUMMYFUNCTION("""COMPUTED_VALUE"""),"13015 11268")</f>
        <v>13015 11268</v>
      </c>
      <c r="L2491" s="211">
        <f>IFERROR(__xludf.DUMMYFUNCTION("""COMPUTED_VALUE"""),0.0)</f>
        <v>0</v>
      </c>
      <c r="M2491" s="211"/>
      <c r="N2491" s="211"/>
      <c r="O2491" s="211"/>
      <c r="Q2491" s="210" t="str">
        <f>IFERROR(__xludf.DUMMYFUNCTION("""COMPUTED_VALUE"""),"0226822490")</f>
        <v>0226822490</v>
      </c>
      <c r="R2491" s="210" t="str">
        <f>IFERROR(__xludf.DUMMYFUNCTION("""COMPUTED_VALUE"""),"0226822490")</f>
        <v>0226822490</v>
      </c>
      <c r="S2491" s="211" t="str">
        <f>IFERROR(__xludf.DUMMYFUNCTION("""COMPUTED_VALUE"""),"b2b5f2c5")</f>
        <v>b2b5f2c5</v>
      </c>
      <c r="T2491" s="211" t="str">
        <f>IFERROR(__xludf.DUMMYFUNCTION("""COMPUTED_VALUE"""),"Bengkel Las Bpk. Ari")</f>
        <v>Bengkel Las Bpk. Ari</v>
      </c>
      <c r="U2491" s="215">
        <f>IFERROR(__xludf.DUMMYFUNCTION("""COMPUTED_VALUE"""),46062.35506944444)</f>
        <v>46062.35507</v>
      </c>
      <c r="V2491" s="211" t="str">
        <f>IFERROR(__xludf.DUMMYFUNCTION("""COMPUTED_VALUE"""),"Sumber Kembar, Wonodadi, Kec. Kutorejo, Kabupaten Mojokerto, Jawa Timur")</f>
        <v>Sumber Kembar, Wonodadi, Kec. Kutorejo, Kabupaten Mojokerto, Jawa Timur</v>
      </c>
      <c r="W2491" s="211" t="str">
        <f>IFERROR(__xludf.DUMMYFUNCTION("""COMPUTED_VALUE"""),"OUT")</f>
        <v>OUT</v>
      </c>
      <c r="X2491" s="211"/>
    </row>
    <row r="2492">
      <c r="A2492" s="210" t="str">
        <f>IFERROR(__xludf.DUMMYFUNCTION("""COMPUTED_VALUE"""),"1250834")</f>
        <v>1250834</v>
      </c>
      <c r="B2492" s="210" t="str">
        <f>IFERROR(__xludf.DUMMYFUNCTION("""COMPUTED_VALUE"""),"1250834")</f>
        <v>1250834</v>
      </c>
      <c r="C2492" s="213">
        <f>IFERROR(__xludf.DUMMYFUNCTION("""COMPUTED_VALUE"""),45980.58951388889)</f>
        <v>45980.58951</v>
      </c>
      <c r="D2492" s="211" t="str">
        <f>IFERROR(__xludf.DUMMYFUNCTION("""COMPUTED_VALUE"""),"4ec68cf6")</f>
        <v>4ec68cf6</v>
      </c>
      <c r="E2492" s="211" t="str">
        <f>IFERROR(__xludf.DUMMYFUNCTION("""COMPUTED_VALUE"""),"CV Sido Mukti Karya")</f>
        <v>CV Sido Mukti Karya</v>
      </c>
      <c r="F2492" s="211" t="str">
        <f>IFERROR(__xludf.DUMMYFUNCTION("""COMPUTED_VALUE"""),"7d2764f1")</f>
        <v>7d2764f1</v>
      </c>
      <c r="G2492" s="211" t="str">
        <f>IFERROR(__xludf.DUMMYFUNCTION("""COMPUTED_VALUE"""),"Oksigen 7m3")</f>
        <v>Oksigen 7m3</v>
      </c>
      <c r="H2492" s="211" t="str">
        <f>IFERROR(__xludf.DUMMYFUNCTION("""COMPUTED_VALUE"""),"IN")</f>
        <v>IN</v>
      </c>
      <c r="I2492" s="211" t="str">
        <f>IFERROR(__xludf.DUMMYFUNCTION("""COMPUTED_VALUE"""),"EMPTY")</f>
        <v>EMPTY</v>
      </c>
      <c r="J2492" s="211">
        <f>IFERROR(__xludf.DUMMYFUNCTION("""COMPUTED_VALUE"""),1.0)</f>
        <v>1</v>
      </c>
      <c r="K2492" s="210" t="str">
        <f>IFERROR(__xludf.DUMMYFUNCTION("""COMPUTED_VALUE"""),"11145")</f>
        <v>11145</v>
      </c>
      <c r="L2492" s="211">
        <f>IFERROR(__xludf.DUMMYFUNCTION("""COMPUTED_VALUE"""),0.0)</f>
        <v>0</v>
      </c>
      <c r="M2492" s="211"/>
      <c r="N2492" s="211"/>
      <c r="O2492" s="211"/>
      <c r="Q2492" s="210" t="str">
        <f>IFERROR(__xludf.DUMMYFUNCTION("""COMPUTED_VALUE"""),"022662492")</f>
        <v>022662492</v>
      </c>
      <c r="R2492" s="210" t="str">
        <f>IFERROR(__xludf.DUMMYFUNCTION("""COMPUTED_VALUE"""),"022662492")</f>
        <v>022662492</v>
      </c>
      <c r="S2492" s="211" t="str">
        <f>IFERROR(__xludf.DUMMYFUNCTION("""COMPUTED_VALUE"""),"ca4876e2")</f>
        <v>ca4876e2</v>
      </c>
      <c r="T2492" s="211" t="str">
        <f>IFERROR(__xludf.DUMMYFUNCTION("""COMPUTED_VALUE"""),"Bengkel Mustika Mojosari")</f>
        <v>Bengkel Mustika Mojosari</v>
      </c>
      <c r="U2492" s="215">
        <f>IFERROR(__xludf.DUMMYFUNCTION("""COMPUTED_VALUE"""),46062.35724537037)</f>
        <v>46062.35725</v>
      </c>
      <c r="V2492" s="211" t="str">
        <f>IFERROR(__xludf.DUMMYFUNCTION("""COMPUTED_VALUE"""),"Jl. Kusuma Bangsa, Bulanan, Randubango, Kec. Mojosari, Kabupaten Mojokerto, Jawa Timur 61382")</f>
        <v>Jl. Kusuma Bangsa, Bulanan, Randubango, Kec. Mojosari, Kabupaten Mojokerto, Jawa Timur 61382</v>
      </c>
      <c r="W2492" s="211" t="str">
        <f>IFERROR(__xludf.DUMMYFUNCTION("""COMPUTED_VALUE"""),"OUT")</f>
        <v>OUT</v>
      </c>
      <c r="X2492" s="211"/>
    </row>
    <row r="2493">
      <c r="A2493" s="210" t="str">
        <f>IFERROR(__xludf.DUMMYFUNCTION("""COMPUTED_VALUE"""),"1250835")</f>
        <v>1250835</v>
      </c>
      <c r="B2493" s="210" t="str">
        <f>IFERROR(__xludf.DUMMYFUNCTION("""COMPUTED_VALUE"""),"1250835")</f>
        <v>1250835</v>
      </c>
      <c r="C2493" s="213">
        <f>IFERROR(__xludf.DUMMYFUNCTION("""COMPUTED_VALUE"""),45980.590625)</f>
        <v>45980.59063</v>
      </c>
      <c r="D2493" s="211" t="str">
        <f>IFERROR(__xludf.DUMMYFUNCTION("""COMPUTED_VALUE"""),"eec2e801")</f>
        <v>eec2e801</v>
      </c>
      <c r="E2493" s="211" t="str">
        <f>IFERROR(__xludf.DUMMYFUNCTION("""COMPUTED_VALUE"""),"Mitra Wood Sejahtera")</f>
        <v>Mitra Wood Sejahtera</v>
      </c>
      <c r="F2493" s="211" t="str">
        <f>IFERROR(__xludf.DUMMYFUNCTION("""COMPUTED_VALUE"""),"8bdbe149")</f>
        <v>8bdbe149</v>
      </c>
      <c r="G2493" s="211" t="str">
        <f>IFERROR(__xludf.DUMMYFUNCTION("""COMPUTED_VALUE"""),"Oksigen 6m3")</f>
        <v>Oksigen 6m3</v>
      </c>
      <c r="H2493" s="211" t="str">
        <f>IFERROR(__xludf.DUMMYFUNCTION("""COMPUTED_VALUE"""),"IN")</f>
        <v>IN</v>
      </c>
      <c r="I2493" s="211" t="str">
        <f>IFERROR(__xludf.DUMMYFUNCTION("""COMPUTED_VALUE"""),"EMPTY")</f>
        <v>EMPTY</v>
      </c>
      <c r="J2493" s="211">
        <f>IFERROR(__xludf.DUMMYFUNCTION("""COMPUTED_VALUE"""),10.0)</f>
        <v>10</v>
      </c>
      <c r="K2493" s="210" t="str">
        <f>IFERROR(__xludf.DUMMYFUNCTION("""COMPUTED_VALUE"""),"1157 11229 1163 11246 1164 11236 11112 11266 11235 11117")</f>
        <v>1157 11229 1163 11246 1164 11236 11112 11266 11235 11117</v>
      </c>
      <c r="L2493" s="211">
        <f>IFERROR(__xludf.DUMMYFUNCTION("""COMPUTED_VALUE"""),0.0)</f>
        <v>0</v>
      </c>
      <c r="M2493" s="211"/>
      <c r="N2493" s="211"/>
      <c r="O2493" s="211"/>
      <c r="Q2493" s="211"/>
      <c r="R2493" s="211"/>
      <c r="S2493" s="211"/>
      <c r="T2493" s="211"/>
      <c r="U2493" s="211"/>
      <c r="V2493" s="211"/>
      <c r="W2493" s="211"/>
      <c r="X2493" s="211"/>
    </row>
    <row r="2494">
      <c r="A2494" s="210" t="str">
        <f>IFERROR(__xludf.DUMMYFUNCTION("""COMPUTED_VALUE"""),"112531760")</f>
        <v>112531760</v>
      </c>
      <c r="B2494" s="210" t="str">
        <f>IFERROR(__xludf.DUMMYFUNCTION("""COMPUTED_VALUE"""),"112531760")</f>
        <v>112531760</v>
      </c>
      <c r="C2494" s="213">
        <f>IFERROR(__xludf.DUMMYFUNCTION("""COMPUTED_VALUE"""),45980.62446759259)</f>
        <v>45980.62447</v>
      </c>
      <c r="D2494" s="211" t="str">
        <f>IFERROR(__xludf.DUMMYFUNCTION("""COMPUTED_VALUE"""),"ed4307f6")</f>
        <v>ed4307f6</v>
      </c>
      <c r="E2494" s="211" t="str">
        <f>IFERROR(__xludf.DUMMYFUNCTION("""COMPUTED_VALUE"""),"Bpk. Andi (Jetis)")</f>
        <v>Bpk. Andi (Jetis)</v>
      </c>
      <c r="F2494" s="211" t="str">
        <f>IFERROR(__xludf.DUMMYFUNCTION("""COMPUTED_VALUE"""),"f6aab7a9")</f>
        <v>f6aab7a9</v>
      </c>
      <c r="G2494" s="211" t="str">
        <f>IFERROR(__xludf.DUMMYFUNCTION("""COMPUTED_VALUE"""),"Oksigen 6m3 MR")</f>
        <v>Oksigen 6m3 MR</v>
      </c>
      <c r="H2494" s="211" t="str">
        <f>IFERROR(__xludf.DUMMYFUNCTION("""COMPUTED_VALUE"""),"OUT")</f>
        <v>OUT</v>
      </c>
      <c r="I2494" s="211" t="str">
        <f>IFERROR(__xludf.DUMMYFUNCTION("""COMPUTED_VALUE"""),"NORMAL")</f>
        <v>NORMAL</v>
      </c>
      <c r="J2494" s="211">
        <f>IFERROR(__xludf.DUMMYFUNCTION("""COMPUTED_VALUE"""),34.0)</f>
        <v>34</v>
      </c>
      <c r="K2494" s="211"/>
      <c r="L2494" s="211">
        <f>IFERROR(__xludf.DUMMYFUNCTION("""COMPUTED_VALUE"""),50000.0)</f>
        <v>50000</v>
      </c>
      <c r="M2494" s="211"/>
      <c r="N2494" s="211"/>
      <c r="O2494" s="211"/>
      <c r="Q2494" s="210" t="str">
        <f>IFERROR(__xludf.DUMMYFUNCTION("""COMPUTED_VALUE"""),"0226172494")</f>
        <v>0226172494</v>
      </c>
      <c r="R2494" s="210" t="str">
        <f>IFERROR(__xludf.DUMMYFUNCTION("""COMPUTED_VALUE"""),"0226172494")</f>
        <v>0226172494</v>
      </c>
      <c r="S2494" s="211" t="str">
        <f>IFERROR(__xludf.DUMMYFUNCTION("""COMPUTED_VALUE"""),"a0f0ad2d")</f>
        <v>a0f0ad2d</v>
      </c>
      <c r="T2494" s="211" t="str">
        <f>IFERROR(__xludf.DUMMYFUNCTION("""COMPUTED_VALUE"""),"CV. Yulie Jaya")</f>
        <v>CV. Yulie Jaya</v>
      </c>
      <c r="U2494" s="215">
        <f>IFERROR(__xludf.DUMMYFUNCTION("""COMPUTED_VALUE"""),46062.368472222224)</f>
        <v>46062.36847</v>
      </c>
      <c r="V2494" s="211" t="str">
        <f>IFERROR(__xludf.DUMMYFUNCTION("""COMPUTED_VALUE"""),"JJH4+6RV, Badas, Barengkrajan, Kec. Krian, Kabupaten Sidoarjo, Jawa Timur 61262")</f>
        <v>JJH4+6RV, Badas, Barengkrajan, Kec. Krian, Kabupaten Sidoarjo, Jawa Timur 61262</v>
      </c>
      <c r="W2494" s="211" t="str">
        <f>IFERROR(__xludf.DUMMYFUNCTION("""COMPUTED_VALUE"""),"OUT")</f>
        <v>OUT</v>
      </c>
      <c r="X2494" s="211"/>
    </row>
    <row r="2495">
      <c r="A2495" s="210" t="str">
        <f>IFERROR(__xludf.DUMMYFUNCTION("""COMPUTED_VALUE"""),"1250807")</f>
        <v>1250807</v>
      </c>
      <c r="B2495" s="210" t="str">
        <f>IFERROR(__xludf.DUMMYFUNCTION("""COMPUTED_VALUE"""),"1250807")</f>
        <v>1250807</v>
      </c>
      <c r="C2495" s="213">
        <f>IFERROR(__xludf.DUMMYFUNCTION("""COMPUTED_VALUE"""),45980.65280092593)</f>
        <v>45980.6528</v>
      </c>
      <c r="D2495" s="211" t="str">
        <f>IFERROR(__xludf.DUMMYFUNCTION("""COMPUTED_VALUE"""),"ed4307f6")</f>
        <v>ed4307f6</v>
      </c>
      <c r="E2495" s="211" t="str">
        <f>IFERROR(__xludf.DUMMYFUNCTION("""COMPUTED_VALUE"""),"Bpk. Andi (Jetis)")</f>
        <v>Bpk. Andi (Jetis)</v>
      </c>
      <c r="F2495" s="211" t="str">
        <f>IFERROR(__xludf.DUMMYFUNCTION("""COMPUTED_VALUE"""),"f6aab7a9")</f>
        <v>f6aab7a9</v>
      </c>
      <c r="G2495" s="211" t="str">
        <f>IFERROR(__xludf.DUMMYFUNCTION("""COMPUTED_VALUE"""),"Oksigen 6m3 MR")</f>
        <v>Oksigen 6m3 MR</v>
      </c>
      <c r="H2495" s="211" t="str">
        <f>IFERROR(__xludf.DUMMYFUNCTION("""COMPUTED_VALUE"""),"IN")</f>
        <v>IN</v>
      </c>
      <c r="I2495" s="211" t="str">
        <f>IFERROR(__xludf.DUMMYFUNCTION("""COMPUTED_VALUE"""),"EMPTY")</f>
        <v>EMPTY</v>
      </c>
      <c r="J2495" s="211">
        <f>IFERROR(__xludf.DUMMYFUNCTION("""COMPUTED_VALUE"""),34.0)</f>
        <v>34</v>
      </c>
      <c r="K2495" s="211"/>
      <c r="L2495" s="211">
        <f>IFERROR(__xludf.DUMMYFUNCTION("""COMPUTED_VALUE"""),0.0)</f>
        <v>0</v>
      </c>
      <c r="M2495" s="211"/>
      <c r="N2495" s="211"/>
      <c r="O2495" s="211"/>
      <c r="Q2495" s="210" t="str">
        <f>IFERROR(__xludf.DUMMYFUNCTION("""COMPUTED_VALUE"""),"0226132495")</f>
        <v>0226132495</v>
      </c>
      <c r="R2495" s="210" t="str">
        <f>IFERROR(__xludf.DUMMYFUNCTION("""COMPUTED_VALUE"""),"0226132495")</f>
        <v>0226132495</v>
      </c>
      <c r="S2495" s="211" t="str">
        <f>IFERROR(__xludf.DUMMYFUNCTION("""COMPUTED_VALUE"""),"f8a982a4")</f>
        <v>f8a982a4</v>
      </c>
      <c r="T2495" s="211" t="str">
        <f>IFERROR(__xludf.DUMMYFUNCTION("""COMPUTED_VALUE"""),"Bpk. Nasir")</f>
        <v>Bpk. Nasir</v>
      </c>
      <c r="U2495" s="215">
        <f>IFERROR(__xludf.DUMMYFUNCTION("""COMPUTED_VALUE"""),46062.37032407407)</f>
        <v>46062.37032</v>
      </c>
      <c r="V2495" s="211" t="str">
        <f>IFERROR(__xludf.DUMMYFUNCTION("""COMPUTED_VALUE"""),"JL Raya Pacet, Dsn. Janti Ds. Jatilangkung RT.01 RW. 04. Kabupaten. Mojokerto Pungging, Jawa Timur")</f>
        <v>JL Raya Pacet, Dsn. Janti Ds. Jatilangkung RT.01 RW. 04. Kabupaten. Mojokerto Pungging, Jawa Timur</v>
      </c>
      <c r="W2495" s="211" t="str">
        <f>IFERROR(__xludf.DUMMYFUNCTION("""COMPUTED_VALUE"""),"OUT")</f>
        <v>OUT</v>
      </c>
      <c r="X2495" s="211"/>
    </row>
    <row r="2496">
      <c r="A2496" s="210" t="str">
        <f>IFERROR(__xludf.DUMMYFUNCTION("""COMPUTED_VALUE"""),"112531764")</f>
        <v>112531764</v>
      </c>
      <c r="B2496" s="210" t="str">
        <f>IFERROR(__xludf.DUMMYFUNCTION("""COMPUTED_VALUE"""),"112531764")</f>
        <v>112531764</v>
      </c>
      <c r="C2496" s="213">
        <f>IFERROR(__xludf.DUMMYFUNCTION("""COMPUTED_VALUE"""),45981.35804398148)</f>
        <v>45981.35804</v>
      </c>
      <c r="D2496" s="211" t="str">
        <f>IFERROR(__xludf.DUMMYFUNCTION("""COMPUTED_VALUE"""),"734c6d17")</f>
        <v>734c6d17</v>
      </c>
      <c r="E2496" s="211" t="str">
        <f>IFERROR(__xludf.DUMMYFUNCTION("""COMPUTED_VALUE"""),"Bapak Ainol Yaqin ( Bpk. Ibnu )")</f>
        <v>Bapak Ainol Yaqin ( Bpk. Ibnu )</v>
      </c>
      <c r="F2496" s="211" t="str">
        <f>IFERROR(__xludf.DUMMYFUNCTION("""COMPUTED_VALUE"""),"8bdbe149")</f>
        <v>8bdbe149</v>
      </c>
      <c r="G2496" s="211" t="str">
        <f>IFERROR(__xludf.DUMMYFUNCTION("""COMPUTED_VALUE"""),"Oksigen 6m3")</f>
        <v>Oksigen 6m3</v>
      </c>
      <c r="H2496" s="211" t="str">
        <f>IFERROR(__xludf.DUMMYFUNCTION("""COMPUTED_VALUE"""),"OUT")</f>
        <v>OUT</v>
      </c>
      <c r="I2496" s="211" t="str">
        <f>IFERROR(__xludf.DUMMYFUNCTION("""COMPUTED_VALUE"""),"NORMAL")</f>
        <v>NORMAL</v>
      </c>
      <c r="J2496" s="211">
        <f>IFERROR(__xludf.DUMMYFUNCTION("""COMPUTED_VALUE"""),1.0)</f>
        <v>1</v>
      </c>
      <c r="K2496" s="210" t="str">
        <f>IFERROR(__xludf.DUMMYFUNCTION("""COMPUTED_VALUE"""),"11117")</f>
        <v>11117</v>
      </c>
      <c r="L2496" s="211">
        <f>IFERROR(__xludf.DUMMYFUNCTION("""COMPUTED_VALUE"""),60000.0)</f>
        <v>60000</v>
      </c>
      <c r="M2496" s="211"/>
      <c r="N2496" s="211"/>
      <c r="O2496" s="211"/>
      <c r="Q2496" s="210" t="str">
        <f>IFERROR(__xludf.DUMMYFUNCTION("""COMPUTED_VALUE"""),"1261211")</f>
        <v>1261211</v>
      </c>
      <c r="R2496" s="210" t="str">
        <f>IFERROR(__xludf.DUMMYFUNCTION("""COMPUTED_VALUE"""),"1261211")</f>
        <v>1261211</v>
      </c>
      <c r="S2496" s="211" t="str">
        <f>IFERROR(__xludf.DUMMYFUNCTION("""COMPUTED_VALUE"""),"b2b5f2c5")</f>
        <v>b2b5f2c5</v>
      </c>
      <c r="T2496" s="211" t="str">
        <f>IFERROR(__xludf.DUMMYFUNCTION("""COMPUTED_VALUE"""),"Bengkel Las Bpk. Ari")</f>
        <v>Bengkel Las Bpk. Ari</v>
      </c>
      <c r="U2496" s="215">
        <f>IFERROR(__xludf.DUMMYFUNCTION("""COMPUTED_VALUE"""),46062.507199074076)</f>
        <v>46062.5072</v>
      </c>
      <c r="V2496" s="211" t="str">
        <f>IFERROR(__xludf.DUMMYFUNCTION("""COMPUTED_VALUE"""),"Sumber Kembar, Wonodadi, Kec. Kutorejo, Kabupaten Mojokerto, Jawa Timur")</f>
        <v>Sumber Kembar, Wonodadi, Kec. Kutorejo, Kabupaten Mojokerto, Jawa Timur</v>
      </c>
      <c r="W2496" s="211" t="str">
        <f>IFERROR(__xludf.DUMMYFUNCTION("""COMPUTED_VALUE"""),"IN")</f>
        <v>IN</v>
      </c>
      <c r="X2496" s="211"/>
    </row>
    <row r="2497">
      <c r="A2497" s="210" t="str">
        <f>IFERROR(__xludf.DUMMYFUNCTION("""COMPUTED_VALUE"""),"112511766")</f>
        <v>112511766</v>
      </c>
      <c r="B2497" s="210" t="str">
        <f>IFERROR(__xludf.DUMMYFUNCTION("""COMPUTED_VALUE"""),"112511766")</f>
        <v>112511766</v>
      </c>
      <c r="C2497" s="213">
        <f>IFERROR(__xludf.DUMMYFUNCTION("""COMPUTED_VALUE"""),45981.36053240741)</f>
        <v>45981.36053</v>
      </c>
      <c r="D2497" s="211" t="str">
        <f>IFERROR(__xludf.DUMMYFUNCTION("""COMPUTED_VALUE"""),"8b765561")</f>
        <v>8b765561</v>
      </c>
      <c r="E2497" s="211" t="str">
        <f>IFERROR(__xludf.DUMMYFUNCTION("""COMPUTED_VALUE"""),"Bpk. Idris")</f>
        <v>Bpk. Idris</v>
      </c>
      <c r="F2497" s="211" t="str">
        <f>IFERROR(__xludf.DUMMYFUNCTION("""COMPUTED_VALUE"""),"8bdbe149")</f>
        <v>8bdbe149</v>
      </c>
      <c r="G2497" s="211" t="str">
        <f>IFERROR(__xludf.DUMMYFUNCTION("""COMPUTED_VALUE"""),"Oksigen 6m3")</f>
        <v>Oksigen 6m3</v>
      </c>
      <c r="H2497" s="211" t="str">
        <f>IFERROR(__xludf.DUMMYFUNCTION("""COMPUTED_VALUE"""),"OUT")</f>
        <v>OUT</v>
      </c>
      <c r="I2497" s="211" t="str">
        <f>IFERROR(__xludf.DUMMYFUNCTION("""COMPUTED_VALUE"""),"NORMAL")</f>
        <v>NORMAL</v>
      </c>
      <c r="J2497" s="211">
        <f>IFERROR(__xludf.DUMMYFUNCTION("""COMPUTED_VALUE"""),1.0)</f>
        <v>1</v>
      </c>
      <c r="K2497" s="210" t="str">
        <f>IFERROR(__xludf.DUMMYFUNCTION("""COMPUTED_VALUE"""),"11105")</f>
        <v>11105</v>
      </c>
      <c r="L2497" s="211">
        <f>IFERROR(__xludf.DUMMYFUNCTION("""COMPUTED_VALUE"""),60000.0)</f>
        <v>60000</v>
      </c>
      <c r="M2497" s="211"/>
      <c r="N2497" s="211"/>
      <c r="O2497" s="211"/>
      <c r="Q2497" s="210" t="str">
        <f>IFERROR(__xludf.DUMMYFUNCTION("""COMPUTED_VALUE"""),"1261212")</f>
        <v>1261212</v>
      </c>
      <c r="R2497" s="210" t="str">
        <f>IFERROR(__xludf.DUMMYFUNCTION("""COMPUTED_VALUE"""),"1261212")</f>
        <v>1261212</v>
      </c>
      <c r="S2497" s="211" t="str">
        <f>IFERROR(__xludf.DUMMYFUNCTION("""COMPUTED_VALUE"""),"a1508027")</f>
        <v>a1508027</v>
      </c>
      <c r="T2497" s="211" t="str">
        <f>IFERROR(__xludf.DUMMYFUNCTION("""COMPUTED_VALUE"""),"Agus Budiono")</f>
        <v>Agus Budiono</v>
      </c>
      <c r="U2497" s="215">
        <f>IFERROR(__xludf.DUMMYFUNCTION("""COMPUTED_VALUE"""),46062.510416666664)</f>
        <v>46062.51042</v>
      </c>
      <c r="V2497" s="211" t="str">
        <f>IFERROR(__xludf.DUMMYFUNCTION("""COMPUTED_VALUE"""),"Kraton RT.13 RW. 03 Kraton Krian Sidoarjo")</f>
        <v>Kraton RT.13 RW. 03 Kraton Krian Sidoarjo</v>
      </c>
      <c r="W2497" s="211" t="str">
        <f>IFERROR(__xludf.DUMMYFUNCTION("""COMPUTED_VALUE"""),"IN")</f>
        <v>IN</v>
      </c>
      <c r="X2497" s="211"/>
    </row>
    <row r="2498">
      <c r="A2498" s="210" t="str">
        <f>IFERROR(__xludf.DUMMYFUNCTION("""COMPUTED_VALUE"""),"1125221767")</f>
        <v>1125221767</v>
      </c>
      <c r="B2498" s="210" t="str">
        <f>IFERROR(__xludf.DUMMYFUNCTION("""COMPUTED_VALUE"""),"1125221767")</f>
        <v>1125221767</v>
      </c>
      <c r="C2498" s="213">
        <f>IFERROR(__xludf.DUMMYFUNCTION("""COMPUTED_VALUE"""),45981.37018518519)</f>
        <v>45981.37019</v>
      </c>
      <c r="D2498" s="211" t="str">
        <f>IFERROR(__xludf.DUMMYFUNCTION("""COMPUTED_VALUE"""),"3bcd7fe6")</f>
        <v>3bcd7fe6</v>
      </c>
      <c r="E2498" s="211" t="str">
        <f>IFERROR(__xludf.DUMMYFUNCTION("""COMPUTED_VALUE"""),"Bpk. Alvin (LB Group)")</f>
        <v>Bpk. Alvin (LB Group)</v>
      </c>
      <c r="F2498" s="211" t="str">
        <f>IFERROR(__xludf.DUMMYFUNCTION("""COMPUTED_VALUE"""),"f6aab7a9")</f>
        <v>f6aab7a9</v>
      </c>
      <c r="G2498" s="211" t="str">
        <f>IFERROR(__xludf.DUMMYFUNCTION("""COMPUTED_VALUE"""),"Oksigen 6m3 MR")</f>
        <v>Oksigen 6m3 MR</v>
      </c>
      <c r="H2498" s="211" t="str">
        <f>IFERROR(__xludf.DUMMYFUNCTION("""COMPUTED_VALUE"""),"OUT")</f>
        <v>OUT</v>
      </c>
      <c r="I2498" s="211" t="str">
        <f>IFERROR(__xludf.DUMMYFUNCTION("""COMPUTED_VALUE"""),"NORMAL")</f>
        <v>NORMAL</v>
      </c>
      <c r="J2498" s="211">
        <f>IFERROR(__xludf.DUMMYFUNCTION("""COMPUTED_VALUE"""),2.0)</f>
        <v>2</v>
      </c>
      <c r="K2498" s="210" t="str">
        <f>IFERROR(__xludf.DUMMYFUNCTION("""COMPUTED_VALUE"""),"01 02")</f>
        <v>01 02</v>
      </c>
      <c r="L2498" s="211">
        <f>IFERROR(__xludf.DUMMYFUNCTION("""COMPUTED_VALUE"""),50000.0)</f>
        <v>50000</v>
      </c>
      <c r="M2498" s="211"/>
      <c r="N2498" s="211"/>
      <c r="O2498" s="211"/>
      <c r="Q2498" s="210" t="str">
        <f>IFERROR(__xludf.DUMMYFUNCTION("""COMPUTED_VALUE"""),"1261230")</f>
        <v>1261230</v>
      </c>
      <c r="R2498" s="210" t="str">
        <f>IFERROR(__xludf.DUMMYFUNCTION("""COMPUTED_VALUE"""),"1261230")</f>
        <v>1261230</v>
      </c>
      <c r="S2498" s="211" t="str">
        <f>IFERROR(__xludf.DUMMYFUNCTION("""COMPUTED_VALUE"""),"ca4876e2")</f>
        <v>ca4876e2</v>
      </c>
      <c r="T2498" s="211" t="str">
        <f>IFERROR(__xludf.DUMMYFUNCTION("""COMPUTED_VALUE"""),"Bengkel Mustika Mojosari")</f>
        <v>Bengkel Mustika Mojosari</v>
      </c>
      <c r="U2498" s="215">
        <f>IFERROR(__xludf.DUMMYFUNCTION("""COMPUTED_VALUE"""),46062.51085648148)</f>
        <v>46062.51086</v>
      </c>
      <c r="V2498" s="211" t="str">
        <f>IFERROR(__xludf.DUMMYFUNCTION("""COMPUTED_VALUE"""),"Jl. Kusuma Bangsa, Bulanan, Randubango, Kec. Mojosari, Kabupaten Mojokerto, Jawa Timur 61382")</f>
        <v>Jl. Kusuma Bangsa, Bulanan, Randubango, Kec. Mojosari, Kabupaten Mojokerto, Jawa Timur 61382</v>
      </c>
      <c r="W2498" s="211" t="str">
        <f>IFERROR(__xludf.DUMMYFUNCTION("""COMPUTED_VALUE"""),"IN")</f>
        <v>IN</v>
      </c>
      <c r="X2498" s="211"/>
    </row>
    <row r="2499">
      <c r="A2499" s="210" t="str">
        <f>IFERROR(__xludf.DUMMYFUNCTION("""COMPUTED_VALUE"""),"1252806")</f>
        <v>1252806</v>
      </c>
      <c r="B2499" s="210" t="str">
        <f>IFERROR(__xludf.DUMMYFUNCTION("""COMPUTED_VALUE"""),"1252806")</f>
        <v>1252806</v>
      </c>
      <c r="C2499" s="213">
        <f>IFERROR(__xludf.DUMMYFUNCTION("""COMPUTED_VALUE"""),45980.66731481482)</f>
        <v>45980.66731</v>
      </c>
      <c r="D2499" s="211" t="str">
        <f>IFERROR(__xludf.DUMMYFUNCTION("""COMPUTED_VALUE"""),"e86baf3b")</f>
        <v>e86baf3b</v>
      </c>
      <c r="E2499" s="211" t="str">
        <f>IFERROR(__xludf.DUMMYFUNCTION("""COMPUTED_VALUE"""),"PT GEMILANG CIPTA WAWASAN")</f>
        <v>PT GEMILANG CIPTA WAWASAN</v>
      </c>
      <c r="F2499" s="211" t="str">
        <f>IFERROR(__xludf.DUMMYFUNCTION("""COMPUTED_VALUE"""),"8bdbe149")</f>
        <v>8bdbe149</v>
      </c>
      <c r="G2499" s="211" t="str">
        <f>IFERROR(__xludf.DUMMYFUNCTION("""COMPUTED_VALUE"""),"Oksigen 6m3")</f>
        <v>Oksigen 6m3</v>
      </c>
      <c r="H2499" s="211" t="str">
        <f>IFERROR(__xludf.DUMMYFUNCTION("""COMPUTED_VALUE"""),"IN")</f>
        <v>IN</v>
      </c>
      <c r="I2499" s="211" t="str">
        <f>IFERROR(__xludf.DUMMYFUNCTION("""COMPUTED_VALUE"""),"EMPTY")</f>
        <v>EMPTY</v>
      </c>
      <c r="J2499" s="211">
        <f>IFERROR(__xludf.DUMMYFUNCTION("""COMPUTED_VALUE"""),3.0)</f>
        <v>3</v>
      </c>
      <c r="K2499" s="210" t="str">
        <f>IFERROR(__xludf.DUMMYFUNCTION("""COMPUTED_VALUE"""),"11105 11249 11277")</f>
        <v>11105 11249 11277</v>
      </c>
      <c r="L2499" s="211">
        <f>IFERROR(__xludf.DUMMYFUNCTION("""COMPUTED_VALUE"""),0.0)</f>
        <v>0</v>
      </c>
      <c r="M2499" s="211"/>
      <c r="N2499" s="211"/>
      <c r="O2499" s="211"/>
      <c r="Q2499" s="210" t="str">
        <f>IFERROR(__xludf.DUMMYFUNCTION("""COMPUTED_VALUE"""),"1261229")</f>
        <v>1261229</v>
      </c>
      <c r="R2499" s="210" t="str">
        <f>IFERROR(__xludf.DUMMYFUNCTION("""COMPUTED_VALUE"""),"1261229")</f>
        <v>1261229</v>
      </c>
      <c r="S2499" s="211" t="str">
        <f>IFERROR(__xludf.DUMMYFUNCTION("""COMPUTED_VALUE"""),"f8a982a4")</f>
        <v>f8a982a4</v>
      </c>
      <c r="T2499" s="211" t="str">
        <f>IFERROR(__xludf.DUMMYFUNCTION("""COMPUTED_VALUE"""),"Bpk. Nasir")</f>
        <v>Bpk. Nasir</v>
      </c>
      <c r="U2499" s="215">
        <f>IFERROR(__xludf.DUMMYFUNCTION("""COMPUTED_VALUE"""),46062.511458333334)</f>
        <v>46062.51146</v>
      </c>
      <c r="V2499" s="211" t="str">
        <f>IFERROR(__xludf.DUMMYFUNCTION("""COMPUTED_VALUE"""),"JL Raya Pacet, Dsn. Janti Ds. Jatilangkung RT.01 RW. 04. Kabupaten. Mojokerto Pungging, Jawa Timur")</f>
        <v>JL Raya Pacet, Dsn. Janti Ds. Jatilangkung RT.01 RW. 04. Kabupaten. Mojokerto Pungging, Jawa Timur</v>
      </c>
      <c r="W2499" s="211" t="str">
        <f>IFERROR(__xludf.DUMMYFUNCTION("""COMPUTED_VALUE"""),"IN")</f>
        <v>IN</v>
      </c>
      <c r="X2499" s="211"/>
    </row>
    <row r="2500">
      <c r="A2500" s="210" t="str">
        <f>IFERROR(__xludf.DUMMYFUNCTION("""COMPUTED_VALUE"""),"112541768")</f>
        <v>112541768</v>
      </c>
      <c r="B2500" s="210" t="str">
        <f>IFERROR(__xludf.DUMMYFUNCTION("""COMPUTED_VALUE"""),"112541768")</f>
        <v>112541768</v>
      </c>
      <c r="C2500" s="213">
        <f>IFERROR(__xludf.DUMMYFUNCTION("""COMPUTED_VALUE"""),45981.41701388889)</f>
        <v>45981.41701</v>
      </c>
      <c r="D2500" s="211" t="str">
        <f>IFERROR(__xludf.DUMMYFUNCTION("""COMPUTED_VALUE"""),"ba97d58d")</f>
        <v>ba97d58d</v>
      </c>
      <c r="E2500" s="211" t="str">
        <f>IFERROR(__xludf.DUMMYFUNCTION("""COMPUTED_VALUE"""),"Bengkel Citra Mojosari")</f>
        <v>Bengkel Citra Mojosari</v>
      </c>
      <c r="F2500" s="211" t="str">
        <f>IFERROR(__xludf.DUMMYFUNCTION("""COMPUTED_VALUE"""),"7d2764f1")</f>
        <v>7d2764f1</v>
      </c>
      <c r="G2500" s="211" t="str">
        <f>IFERROR(__xludf.DUMMYFUNCTION("""COMPUTED_VALUE"""),"Oksigen 7m3")</f>
        <v>Oksigen 7m3</v>
      </c>
      <c r="H2500" s="211" t="str">
        <f>IFERROR(__xludf.DUMMYFUNCTION("""COMPUTED_VALUE"""),"OUT")</f>
        <v>OUT</v>
      </c>
      <c r="I2500" s="211" t="str">
        <f>IFERROR(__xludf.DUMMYFUNCTION("""COMPUTED_VALUE"""),"NORMAL")</f>
        <v>NORMAL</v>
      </c>
      <c r="J2500" s="211">
        <f>IFERROR(__xludf.DUMMYFUNCTION("""COMPUTED_VALUE"""),4.0)</f>
        <v>4</v>
      </c>
      <c r="K2500" s="210" t="str">
        <f>IFERROR(__xludf.DUMMYFUNCTION("""COMPUTED_VALUE"""),"11137 11155 11150 11145")</f>
        <v>11137 11155 11150 11145</v>
      </c>
      <c r="L2500" s="211">
        <f>IFERROR(__xludf.DUMMYFUNCTION("""COMPUTED_VALUE"""),65000.0)</f>
        <v>65000</v>
      </c>
      <c r="M2500" s="211"/>
      <c r="N2500" s="211"/>
      <c r="O2500" s="211"/>
      <c r="Q2500" s="210" t="str">
        <f>IFERROR(__xludf.DUMMYFUNCTION("""COMPUTED_VALUE"""),"022682496")</f>
        <v>022682496</v>
      </c>
      <c r="R2500" s="210" t="str">
        <f>IFERROR(__xludf.DUMMYFUNCTION("""COMPUTED_VALUE"""),"022682496")</f>
        <v>022682496</v>
      </c>
      <c r="S2500" s="211" t="str">
        <f>IFERROR(__xludf.DUMMYFUNCTION("""COMPUTED_VALUE"""),"9828dfc5")</f>
        <v>9828dfc5</v>
      </c>
      <c r="T2500" s="211" t="str">
        <f>IFERROR(__xludf.DUMMYFUNCTION("""COMPUTED_VALUE"""),"Bpk. David")</f>
        <v>Bpk. David</v>
      </c>
      <c r="U2500" s="215">
        <f>IFERROR(__xludf.DUMMYFUNCTION("""COMPUTED_VALUE"""),46062.58164351852)</f>
        <v>46062.58164</v>
      </c>
      <c r="V2500" s="211" t="str">
        <f>IFERROR(__xludf.DUMMYFUNCTION("""COMPUTED_VALUE"""),"GHF3+R34, Jl. Kartini, Ngingas, Ngimbangan, Kec. Mojosari, Kabupaten Mojokerto, Jawa Timur 61382")</f>
        <v>GHF3+R34, Jl. Kartini, Ngingas, Ngimbangan, Kec. Mojosari, Kabupaten Mojokerto, Jawa Timur 61382</v>
      </c>
      <c r="W2500" s="211" t="str">
        <f>IFERROR(__xludf.DUMMYFUNCTION("""COMPUTED_VALUE"""),"OUT")</f>
        <v>OUT</v>
      </c>
      <c r="X2500" s="211"/>
    </row>
    <row r="2501">
      <c r="A2501" s="210" t="str">
        <f>IFERROR(__xludf.DUMMYFUNCTION("""COMPUTED_VALUE"""),"1250838")</f>
        <v>1250838</v>
      </c>
      <c r="B2501" s="210" t="str">
        <f>IFERROR(__xludf.DUMMYFUNCTION("""COMPUTED_VALUE"""),"1250838")</f>
        <v>1250838</v>
      </c>
      <c r="C2501" s="213">
        <f>IFERROR(__xludf.DUMMYFUNCTION("""COMPUTED_VALUE"""),45981.44412037037)</f>
        <v>45981.44412</v>
      </c>
      <c r="D2501" s="211" t="str">
        <f>IFERROR(__xludf.DUMMYFUNCTION("""COMPUTED_VALUE"""),"a0f0ad2d")</f>
        <v>a0f0ad2d</v>
      </c>
      <c r="E2501" s="211" t="str">
        <f>IFERROR(__xludf.DUMMYFUNCTION("""COMPUTED_VALUE"""),"CV. Yulie Jaya")</f>
        <v>CV. Yulie Jaya</v>
      </c>
      <c r="F2501" s="211" t="str">
        <f>IFERROR(__xludf.DUMMYFUNCTION("""COMPUTED_VALUE"""),"7d2764f1")</f>
        <v>7d2764f1</v>
      </c>
      <c r="G2501" s="211" t="str">
        <f>IFERROR(__xludf.DUMMYFUNCTION("""COMPUTED_VALUE"""),"Oksigen 7m3")</f>
        <v>Oksigen 7m3</v>
      </c>
      <c r="H2501" s="211" t="str">
        <f>IFERROR(__xludf.DUMMYFUNCTION("""COMPUTED_VALUE"""),"IN")</f>
        <v>IN</v>
      </c>
      <c r="I2501" s="211" t="str">
        <f>IFERROR(__xludf.DUMMYFUNCTION("""COMPUTED_VALUE"""),"EMPTY")</f>
        <v>EMPTY</v>
      </c>
      <c r="J2501" s="211">
        <f>IFERROR(__xludf.DUMMYFUNCTION("""COMPUTED_VALUE"""),5.0)</f>
        <v>5</v>
      </c>
      <c r="K2501" s="210" t="str">
        <f>IFERROR(__xludf.DUMMYFUNCTION("""COMPUTED_VALUE"""),"11141 11144 11300 11299 11163")</f>
        <v>11141 11144 11300 11299 11163</v>
      </c>
      <c r="L2501" s="211">
        <f>IFERROR(__xludf.DUMMYFUNCTION("""COMPUTED_VALUE"""),0.0)</f>
        <v>0</v>
      </c>
      <c r="M2501" s="211"/>
      <c r="N2501" s="211"/>
      <c r="O2501" s="211"/>
      <c r="Q2501" s="210" t="str">
        <f>IFERROR(__xludf.DUMMYFUNCTION("""COMPUTED_VALUE"""),"022642501")</f>
        <v>022642501</v>
      </c>
      <c r="R2501" s="210" t="str">
        <f>IFERROR(__xludf.DUMMYFUNCTION("""COMPUTED_VALUE"""),"022642501")</f>
        <v>022642501</v>
      </c>
      <c r="S2501" s="211" t="str">
        <f>IFERROR(__xludf.DUMMYFUNCTION("""COMPUTED_VALUE"""),"cac4449f")</f>
        <v>cac4449f</v>
      </c>
      <c r="T2501" s="211" t="str">
        <f>IFERROR(__xludf.DUMMYFUNCTION("""COMPUTED_VALUE"""),"Bpk. Agus Yahya")</f>
        <v>Bpk. Agus Yahya</v>
      </c>
      <c r="U2501" s="215">
        <f>IFERROR(__xludf.DUMMYFUNCTION("""COMPUTED_VALUE"""),46062.659467592595)</f>
        <v>46062.65947</v>
      </c>
      <c r="V2501" s="211" t="str">
        <f>IFERROR(__xludf.DUMMYFUNCTION("""COMPUTED_VALUE"""),"Ds. Kendalsari 03/02 Sumobito Jombang Jawa Timur")</f>
        <v>Ds. Kendalsari 03/02 Sumobito Jombang Jawa Timur</v>
      </c>
      <c r="W2501" s="211" t="str">
        <f>IFERROR(__xludf.DUMMYFUNCTION("""COMPUTED_VALUE"""),"OUT")</f>
        <v>OUT</v>
      </c>
      <c r="X2501" s="211"/>
    </row>
    <row r="2502">
      <c r="A2502" s="210" t="str">
        <f>IFERROR(__xludf.DUMMYFUNCTION("""COMPUTED_VALUE"""),"1250837")</f>
        <v>1250837</v>
      </c>
      <c r="B2502" s="210" t="str">
        <f>IFERROR(__xludf.DUMMYFUNCTION("""COMPUTED_VALUE"""),"1250837")</f>
        <v>1250837</v>
      </c>
      <c r="C2502" s="213">
        <f>IFERROR(__xludf.DUMMYFUNCTION("""COMPUTED_VALUE"""),45981.44550925926)</f>
        <v>45981.44551</v>
      </c>
      <c r="D2502" s="211" t="str">
        <f>IFERROR(__xludf.DUMMYFUNCTION("""COMPUTED_VALUE"""),"63fc688a")</f>
        <v>63fc688a</v>
      </c>
      <c r="E2502" s="211" t="str">
        <f>IFERROR(__xludf.DUMMYFUNCTION("""COMPUTED_VALUE"""),"CV Malik Nusantara")</f>
        <v>CV Malik Nusantara</v>
      </c>
      <c r="F2502" s="211" t="str">
        <f>IFERROR(__xludf.DUMMYFUNCTION("""COMPUTED_VALUE"""),"7d2764f1")</f>
        <v>7d2764f1</v>
      </c>
      <c r="G2502" s="211" t="str">
        <f>IFERROR(__xludf.DUMMYFUNCTION("""COMPUTED_VALUE"""),"Oksigen 7m3")</f>
        <v>Oksigen 7m3</v>
      </c>
      <c r="H2502" s="211" t="str">
        <f>IFERROR(__xludf.DUMMYFUNCTION("""COMPUTED_VALUE"""),"IN")</f>
        <v>IN</v>
      </c>
      <c r="I2502" s="211" t="str">
        <f>IFERROR(__xludf.DUMMYFUNCTION("""COMPUTED_VALUE"""),"EMPTY")</f>
        <v>EMPTY</v>
      </c>
      <c r="J2502" s="211">
        <f>IFERROR(__xludf.DUMMYFUNCTION("""COMPUTED_VALUE"""),1.0)</f>
        <v>1</v>
      </c>
      <c r="K2502" s="210" t="str">
        <f>IFERROR(__xludf.DUMMYFUNCTION("""COMPUTED_VALUE"""),"11149")</f>
        <v>11149</v>
      </c>
      <c r="L2502" s="211">
        <f>IFERROR(__xludf.DUMMYFUNCTION("""COMPUTED_VALUE"""),0.0)</f>
        <v>0</v>
      </c>
      <c r="M2502" s="211"/>
      <c r="N2502" s="211"/>
      <c r="O2502" s="211"/>
      <c r="Q2502" s="210" t="str">
        <f>IFERROR(__xludf.DUMMYFUNCTION("""COMPUTED_VALUE"""),"0226112502")</f>
        <v>0226112502</v>
      </c>
      <c r="R2502" s="210" t="str">
        <f>IFERROR(__xludf.DUMMYFUNCTION("""COMPUTED_VALUE"""),"0226112502")</f>
        <v>0226112502</v>
      </c>
      <c r="S2502" s="211" t="str">
        <f>IFERROR(__xludf.DUMMYFUNCTION("""COMPUTED_VALUE"""),"dcdf8b31")</f>
        <v>dcdf8b31</v>
      </c>
      <c r="T2502" s="211" t="str">
        <f>IFERROR(__xludf.DUMMYFUNCTION("""COMPUTED_VALUE"""),"Bpk. Samsul (Jetis)")</f>
        <v>Bpk. Samsul (Jetis)</v>
      </c>
      <c r="U2502" s="215">
        <f>IFERROR(__xludf.DUMMYFUNCTION("""COMPUTED_VALUE"""),46063.34027777778)</f>
        <v>46063.34028</v>
      </c>
      <c r="V2502" s="211" t="str">
        <f>IFERROR(__xludf.DUMMYFUNCTION("""COMPUTED_VALUE"""),"HFWF+9FG, Sido Wangi, Paringan, Kec. Jetis, Kabupaten Mojokerto, Jawa Timur")</f>
        <v>HFWF+9FG, Sido Wangi, Paringan, Kec. Jetis, Kabupaten Mojokerto, Jawa Timur</v>
      </c>
      <c r="W2502" s="211" t="str">
        <f>IFERROR(__xludf.DUMMYFUNCTION("""COMPUTED_VALUE"""),"OUT")</f>
        <v>OUT</v>
      </c>
      <c r="X2502" s="211"/>
    </row>
    <row r="2503">
      <c r="A2503" s="210" t="str">
        <f>IFERROR(__xludf.DUMMYFUNCTION("""COMPUTED_VALUE"""),"1125421770")</f>
        <v>1125421770</v>
      </c>
      <c r="B2503" s="210" t="str">
        <f>IFERROR(__xludf.DUMMYFUNCTION("""COMPUTED_VALUE"""),"1125421770")</f>
        <v>1125421770</v>
      </c>
      <c r="C2503" s="213">
        <f>IFERROR(__xludf.DUMMYFUNCTION("""COMPUTED_VALUE"""),45981.52609953703)</f>
        <v>45981.5261</v>
      </c>
      <c r="D2503" s="211" t="str">
        <f>IFERROR(__xludf.DUMMYFUNCTION("""COMPUTED_VALUE"""),"b2b5f2c5")</f>
        <v>b2b5f2c5</v>
      </c>
      <c r="E2503" s="211" t="str">
        <f>IFERROR(__xludf.DUMMYFUNCTION("""COMPUTED_VALUE"""),"Bengkel Las Bpk. Ari")</f>
        <v>Bengkel Las Bpk. Ari</v>
      </c>
      <c r="F2503" s="211" t="str">
        <f>IFERROR(__xludf.DUMMYFUNCTION("""COMPUTED_VALUE"""),"7d2764f1")</f>
        <v>7d2764f1</v>
      </c>
      <c r="G2503" s="211" t="str">
        <f>IFERROR(__xludf.DUMMYFUNCTION("""COMPUTED_VALUE"""),"Oksigen 7m3")</f>
        <v>Oksigen 7m3</v>
      </c>
      <c r="H2503" s="211" t="str">
        <f>IFERROR(__xludf.DUMMYFUNCTION("""COMPUTED_VALUE"""),"OUT")</f>
        <v>OUT</v>
      </c>
      <c r="I2503" s="211" t="str">
        <f>IFERROR(__xludf.DUMMYFUNCTION("""COMPUTED_VALUE"""),"NORMAL")</f>
        <v>NORMAL</v>
      </c>
      <c r="J2503" s="211">
        <f>IFERROR(__xludf.DUMMYFUNCTION("""COMPUTED_VALUE"""),2.0)</f>
        <v>2</v>
      </c>
      <c r="K2503" s="210" t="str">
        <f>IFERROR(__xludf.DUMMYFUNCTION("""COMPUTED_VALUE"""),"11228 11169")</f>
        <v>11228 11169</v>
      </c>
      <c r="L2503" s="211">
        <f>IFERROR(__xludf.DUMMYFUNCTION("""COMPUTED_VALUE"""),60000.0)</f>
        <v>60000</v>
      </c>
      <c r="M2503" s="211"/>
      <c r="N2503" s="211"/>
      <c r="O2503" s="211"/>
      <c r="Q2503" s="210" t="str">
        <f>IFERROR(__xludf.DUMMYFUNCTION("""COMPUTED_VALUE"""),"1261241")</f>
        <v>1261241</v>
      </c>
      <c r="R2503" s="210" t="str">
        <f>IFERROR(__xludf.DUMMYFUNCTION("""COMPUTED_VALUE"""),"1261241")</f>
        <v>1261241</v>
      </c>
      <c r="S2503" s="211" t="str">
        <f>IFERROR(__xludf.DUMMYFUNCTION("""COMPUTED_VALUE"""),"cac4449f")</f>
        <v>cac4449f</v>
      </c>
      <c r="T2503" s="211" t="str">
        <f>IFERROR(__xludf.DUMMYFUNCTION("""COMPUTED_VALUE"""),"Bpk. Agus Yahya")</f>
        <v>Bpk. Agus Yahya</v>
      </c>
      <c r="U2503" s="215">
        <f>IFERROR(__xludf.DUMMYFUNCTION("""COMPUTED_VALUE"""),46062.688993055555)</f>
        <v>46062.68899</v>
      </c>
      <c r="V2503" s="211" t="str">
        <f>IFERROR(__xludf.DUMMYFUNCTION("""COMPUTED_VALUE"""),"Ds. Kendalsari 03/02 Sumobito Jombang Jawa Timur")</f>
        <v>Ds. Kendalsari 03/02 Sumobito Jombang Jawa Timur</v>
      </c>
      <c r="W2503" s="211" t="str">
        <f>IFERROR(__xludf.DUMMYFUNCTION("""COMPUTED_VALUE"""),"IN")</f>
        <v>IN</v>
      </c>
      <c r="X2503" s="211"/>
    </row>
    <row r="2504">
      <c r="A2504" s="210" t="str">
        <f>IFERROR(__xludf.DUMMYFUNCTION("""COMPUTED_VALUE"""),"1125421770")</f>
        <v>1125421770</v>
      </c>
      <c r="B2504" s="210" t="str">
        <f>IFERROR(__xludf.DUMMYFUNCTION("""COMPUTED_VALUE"""),"1125421770")</f>
        <v>1125421770</v>
      </c>
      <c r="C2504" s="213">
        <f>IFERROR(__xludf.DUMMYFUNCTION("""COMPUTED_VALUE"""),45981.52609953703)</f>
        <v>45981.5261</v>
      </c>
      <c r="D2504" s="211" t="str">
        <f>IFERROR(__xludf.DUMMYFUNCTION("""COMPUTED_VALUE"""),"b2b5f2c5")</f>
        <v>b2b5f2c5</v>
      </c>
      <c r="E2504" s="211" t="str">
        <f>IFERROR(__xludf.DUMMYFUNCTION("""COMPUTED_VALUE"""),"Bengkel Las Bpk. Ari")</f>
        <v>Bengkel Las Bpk. Ari</v>
      </c>
      <c r="F2504" s="211" t="str">
        <f>IFERROR(__xludf.DUMMYFUNCTION("""COMPUTED_VALUE"""),"8bdbe149")</f>
        <v>8bdbe149</v>
      </c>
      <c r="G2504" s="211" t="str">
        <f>IFERROR(__xludf.DUMMYFUNCTION("""COMPUTED_VALUE"""),"Oksigen 6m3")</f>
        <v>Oksigen 6m3</v>
      </c>
      <c r="H2504" s="211" t="str">
        <f>IFERROR(__xludf.DUMMYFUNCTION("""COMPUTED_VALUE"""),"OUT")</f>
        <v>OUT</v>
      </c>
      <c r="I2504" s="211" t="str">
        <f>IFERROR(__xludf.DUMMYFUNCTION("""COMPUTED_VALUE"""),"NORMAL")</f>
        <v>NORMAL</v>
      </c>
      <c r="J2504" s="211">
        <f>IFERROR(__xludf.DUMMYFUNCTION("""COMPUTED_VALUE"""),4.0)</f>
        <v>4</v>
      </c>
      <c r="K2504" s="210" t="str">
        <f>IFERROR(__xludf.DUMMYFUNCTION("""COMPUTED_VALUE"""),"11112 11246 11277 11249")</f>
        <v>11112 11246 11277 11249</v>
      </c>
      <c r="L2504" s="211">
        <f>IFERROR(__xludf.DUMMYFUNCTION("""COMPUTED_VALUE"""),60000.0)</f>
        <v>60000</v>
      </c>
      <c r="M2504" s="211"/>
      <c r="N2504" s="211"/>
      <c r="O2504" s="211"/>
      <c r="Q2504" s="210" t="str">
        <f>IFERROR(__xludf.DUMMYFUNCTION("""COMPUTED_VALUE"""),"0226202503")</f>
        <v>0226202503</v>
      </c>
      <c r="R2504" s="210" t="str">
        <f>IFERROR(__xludf.DUMMYFUNCTION("""COMPUTED_VALUE"""),"0226202503")</f>
        <v>0226202503</v>
      </c>
      <c r="S2504" s="211" t="str">
        <f>IFERROR(__xludf.DUMMYFUNCTION("""COMPUTED_VALUE"""),"8ea74d81")</f>
        <v>8ea74d81</v>
      </c>
      <c r="T2504" s="211" t="str">
        <f>IFERROR(__xludf.DUMMYFUNCTION("""COMPUTED_VALUE"""),"Bengkel Adi Putra")</f>
        <v>Bengkel Adi Putra</v>
      </c>
      <c r="U2504" s="215">
        <f>IFERROR(__xludf.DUMMYFUNCTION("""COMPUTED_VALUE"""),46063.36376157407)</f>
        <v>46063.36376</v>
      </c>
      <c r="V2504" s="211" t="str">
        <f>IFERROR(__xludf.DUMMYFUNCTION("""COMPUTED_VALUE"""),"Bypass Balongbendo")</f>
        <v>Bypass Balongbendo</v>
      </c>
      <c r="W2504" s="211" t="str">
        <f>IFERROR(__xludf.DUMMYFUNCTION("""COMPUTED_VALUE"""),"OUT")</f>
        <v>OUT</v>
      </c>
      <c r="X2504" s="211"/>
    </row>
    <row r="2505">
      <c r="A2505" s="210" t="str">
        <f>IFERROR(__xludf.DUMMYFUNCTION("""COMPUTED_VALUE"""),"1125281773")</f>
        <v>1125281773</v>
      </c>
      <c r="B2505" s="210" t="str">
        <f>IFERROR(__xludf.DUMMYFUNCTION("""COMPUTED_VALUE"""),"1125281773")</f>
        <v>1125281773</v>
      </c>
      <c r="C2505" s="213">
        <f>IFERROR(__xludf.DUMMYFUNCTION("""COMPUTED_VALUE"""),45981.528715277775)</f>
        <v>45981.52872</v>
      </c>
      <c r="D2505" s="211" t="str">
        <f>IFERROR(__xludf.DUMMYFUNCTION("""COMPUTED_VALUE"""),"ec231cc9")</f>
        <v>ec231cc9</v>
      </c>
      <c r="E2505" s="211" t="str">
        <f>IFERROR(__xludf.DUMMYFUNCTION("""COMPUTED_VALUE"""),"Bpk. Kohir (Maintenance Velg)")</f>
        <v>Bpk. Kohir (Maintenance Velg)</v>
      </c>
      <c r="F2505" s="211" t="str">
        <f>IFERROR(__xludf.DUMMYFUNCTION("""COMPUTED_VALUE"""),"8bdbe149")</f>
        <v>8bdbe149</v>
      </c>
      <c r="G2505" s="211" t="str">
        <f>IFERROR(__xludf.DUMMYFUNCTION("""COMPUTED_VALUE"""),"Oksigen 6m3")</f>
        <v>Oksigen 6m3</v>
      </c>
      <c r="H2505" s="211" t="str">
        <f>IFERROR(__xludf.DUMMYFUNCTION("""COMPUTED_VALUE"""),"OUT")</f>
        <v>OUT</v>
      </c>
      <c r="I2505" s="211" t="str">
        <f>IFERROR(__xludf.DUMMYFUNCTION("""COMPUTED_VALUE"""),"NORMAL")</f>
        <v>NORMAL</v>
      </c>
      <c r="J2505" s="211">
        <f>IFERROR(__xludf.DUMMYFUNCTION("""COMPUTED_VALUE"""),7.0)</f>
        <v>7</v>
      </c>
      <c r="K2505" s="210" t="str">
        <f>IFERROR(__xludf.DUMMYFUNCTION("""COMPUTED_VALUE"""),"11266 11235 11236 1157 1164 11229 1163")</f>
        <v>11266 11235 11236 1157 1164 11229 1163</v>
      </c>
      <c r="L2505" s="211">
        <f>IFERROR(__xludf.DUMMYFUNCTION("""COMPUTED_VALUE"""),55000.0)</f>
        <v>55000</v>
      </c>
      <c r="M2505" s="211"/>
      <c r="N2505" s="211"/>
      <c r="O2505" s="211"/>
      <c r="Q2505" s="210" t="str">
        <f>IFERROR(__xludf.DUMMYFUNCTION("""COMPUTED_VALUE"""),"022692505")</f>
        <v>022692505</v>
      </c>
      <c r="R2505" s="210" t="str">
        <f>IFERROR(__xludf.DUMMYFUNCTION("""COMPUTED_VALUE"""),"022692505")</f>
        <v>022692505</v>
      </c>
      <c r="S2505" s="211" t="str">
        <f>IFERROR(__xludf.DUMMYFUNCTION("""COMPUTED_VALUE"""),"196b24da")</f>
        <v>196b24da</v>
      </c>
      <c r="T2505" s="211" t="str">
        <f>IFERROR(__xludf.DUMMYFUNCTION("""COMPUTED_VALUE"""),"PT Samudra Cipta Enjineering")</f>
        <v>PT Samudra Cipta Enjineering</v>
      </c>
      <c r="U2505" s="215">
        <f>IFERROR(__xludf.DUMMYFUNCTION("""COMPUTED_VALUE"""),46063.390023148146)</f>
        <v>46063.39002</v>
      </c>
      <c r="V2505" s="211" t="str">
        <f>IFERROR(__xludf.DUMMYFUNCTION("""COMPUTED_VALUE"""),"Pergudangan Center Point Blok C4   Ds. Kemangsen  Balongbendo")</f>
        <v>Pergudangan Center Point Blok C4   Ds. Kemangsen  Balongbendo</v>
      </c>
      <c r="W2505" s="211" t="str">
        <f>IFERROR(__xludf.DUMMYFUNCTION("""COMPUTED_VALUE"""),"OUT")</f>
        <v>OUT</v>
      </c>
      <c r="X2505" s="211"/>
    </row>
    <row r="2506">
      <c r="A2506" s="210" t="str">
        <f>IFERROR(__xludf.DUMMYFUNCTION("""COMPUTED_VALUE"""),"1250809")</f>
        <v>1250809</v>
      </c>
      <c r="B2506" s="210" t="str">
        <f>IFERROR(__xludf.DUMMYFUNCTION("""COMPUTED_VALUE"""),"1250809")</f>
        <v>1250809</v>
      </c>
      <c r="C2506" s="213">
        <f>IFERROR(__xludf.DUMMYFUNCTION("""COMPUTED_VALUE"""),45981.55824074074)</f>
        <v>45981.55824</v>
      </c>
      <c r="D2506" s="211" t="str">
        <f>IFERROR(__xludf.DUMMYFUNCTION("""COMPUTED_VALUE"""),"e86baf3b")</f>
        <v>e86baf3b</v>
      </c>
      <c r="E2506" s="211" t="str">
        <f>IFERROR(__xludf.DUMMYFUNCTION("""COMPUTED_VALUE"""),"PT GEMILANG CIPTA WAWASAN")</f>
        <v>PT GEMILANG CIPTA WAWASAN</v>
      </c>
      <c r="F2506" s="211" t="str">
        <f>IFERROR(__xludf.DUMMYFUNCTION("""COMPUTED_VALUE"""),"7d2764f1")</f>
        <v>7d2764f1</v>
      </c>
      <c r="G2506" s="211" t="str">
        <f>IFERROR(__xludf.DUMMYFUNCTION("""COMPUTED_VALUE"""),"Oksigen 7m3")</f>
        <v>Oksigen 7m3</v>
      </c>
      <c r="H2506" s="211" t="str">
        <f>IFERROR(__xludf.DUMMYFUNCTION("""COMPUTED_VALUE"""),"IN")</f>
        <v>IN</v>
      </c>
      <c r="I2506" s="211" t="str">
        <f>IFERROR(__xludf.DUMMYFUNCTION("""COMPUTED_VALUE"""),"EMPTY")</f>
        <v>EMPTY</v>
      </c>
      <c r="J2506" s="211">
        <f>IFERROR(__xludf.DUMMYFUNCTION("""COMPUTED_VALUE"""),1.0)</f>
        <v>1</v>
      </c>
      <c r="K2506" s="210" t="str">
        <f>IFERROR(__xludf.DUMMYFUNCTION("""COMPUTED_VALUE"""),"11195")</f>
        <v>11195</v>
      </c>
      <c r="L2506" s="211">
        <f>IFERROR(__xludf.DUMMYFUNCTION("""COMPUTED_VALUE"""),0.0)</f>
        <v>0</v>
      </c>
      <c r="M2506" s="211"/>
      <c r="N2506" s="211"/>
      <c r="O2506" s="211"/>
      <c r="Q2506" s="211"/>
      <c r="R2506" s="211"/>
      <c r="S2506" s="211"/>
      <c r="T2506" s="211"/>
      <c r="U2506" s="211"/>
      <c r="V2506" s="211"/>
      <c r="W2506" s="211"/>
      <c r="X2506" s="211"/>
    </row>
    <row r="2507">
      <c r="A2507" s="210" t="str">
        <f>IFERROR(__xludf.DUMMYFUNCTION("""COMPUTED_VALUE"""),"1250810")</f>
        <v>1250810</v>
      </c>
      <c r="B2507" s="210" t="str">
        <f>IFERROR(__xludf.DUMMYFUNCTION("""COMPUTED_VALUE"""),"1250810")</f>
        <v>1250810</v>
      </c>
      <c r="C2507" s="213">
        <f>IFERROR(__xludf.DUMMYFUNCTION("""COMPUTED_VALUE"""),45981.558842592596)</f>
        <v>45981.55884</v>
      </c>
      <c r="D2507" s="211" t="str">
        <f>IFERROR(__xludf.DUMMYFUNCTION("""COMPUTED_VALUE"""),"01158be1")</f>
        <v>01158be1</v>
      </c>
      <c r="E2507" s="211" t="str">
        <f>IFERROR(__xludf.DUMMYFUNCTION("""COMPUTED_VALUE"""),"GYF")</f>
        <v>GYF</v>
      </c>
      <c r="F2507" s="211" t="str">
        <f>IFERROR(__xludf.DUMMYFUNCTION("""COMPUTED_VALUE"""),"8bdbe149")</f>
        <v>8bdbe149</v>
      </c>
      <c r="G2507" s="211" t="str">
        <f>IFERROR(__xludf.DUMMYFUNCTION("""COMPUTED_VALUE"""),"Oksigen 6m3")</f>
        <v>Oksigen 6m3</v>
      </c>
      <c r="H2507" s="211" t="str">
        <f>IFERROR(__xludf.DUMMYFUNCTION("""COMPUTED_VALUE"""),"IN")</f>
        <v>IN</v>
      </c>
      <c r="I2507" s="211" t="str">
        <f>IFERROR(__xludf.DUMMYFUNCTION("""COMPUTED_VALUE"""),"EMPTY")</f>
        <v>EMPTY</v>
      </c>
      <c r="J2507" s="211">
        <f>IFERROR(__xludf.DUMMYFUNCTION("""COMPUTED_VALUE"""),2.0)</f>
        <v>2</v>
      </c>
      <c r="K2507" s="210" t="str">
        <f>IFERROR(__xludf.DUMMYFUNCTION("""COMPUTED_VALUE"""),"11128 1137")</f>
        <v>11128 1137</v>
      </c>
      <c r="L2507" s="211">
        <f>IFERROR(__xludf.DUMMYFUNCTION("""COMPUTED_VALUE"""),0.0)</f>
        <v>0</v>
      </c>
      <c r="M2507" s="211"/>
      <c r="N2507" s="211"/>
      <c r="O2507" s="211"/>
      <c r="Q2507" s="210" t="str">
        <f>IFERROR(__xludf.DUMMYFUNCTION("""COMPUTED_VALUE"""),"0226262507")</f>
        <v>0226262507</v>
      </c>
      <c r="R2507" s="210" t="str">
        <f>IFERROR(__xludf.DUMMYFUNCTION("""COMPUTED_VALUE"""),"0226262507")</f>
        <v>0226262507</v>
      </c>
      <c r="S2507" s="211" t="str">
        <f>IFERROR(__xludf.DUMMYFUNCTION("""COMPUTED_VALUE"""),"3bcd7fe6")</f>
        <v>3bcd7fe6</v>
      </c>
      <c r="T2507" s="211" t="str">
        <f>IFERROR(__xludf.DUMMYFUNCTION("""COMPUTED_VALUE"""),"Bpk. Alvin (LB Group)")</f>
        <v>Bpk. Alvin (LB Group)</v>
      </c>
      <c r="U2507" s="215">
        <f>IFERROR(__xludf.DUMMYFUNCTION("""COMPUTED_VALUE"""),46063.419641203705)</f>
        <v>46063.41964</v>
      </c>
      <c r="V2507" s="211" t="str">
        <f>IFERROR(__xludf.DUMMYFUNCTION("""COMPUTED_VALUE"""),"MFF9+XHC, Jalan, Tambakrejo, Temuireng, Kec. Dawar Blandong, Kabupaten Mojokerto, Jawa Timur 61354")</f>
        <v>MFF9+XHC, Jalan, Tambakrejo, Temuireng, Kec. Dawar Blandong, Kabupaten Mojokerto, Jawa Timur 61354</v>
      </c>
      <c r="W2507" s="211" t="str">
        <f>IFERROR(__xludf.DUMMYFUNCTION("""COMPUTED_VALUE"""),"OUT")</f>
        <v>OUT</v>
      </c>
      <c r="X2507" s="211"/>
    </row>
    <row r="2508">
      <c r="A2508" s="210" t="str">
        <f>IFERROR(__xludf.DUMMYFUNCTION("""COMPUTED_VALUE"""),"1250808")</f>
        <v>1250808</v>
      </c>
      <c r="B2508" s="210" t="str">
        <f>IFERROR(__xludf.DUMMYFUNCTION("""COMPUTED_VALUE"""),"1250808")</f>
        <v>1250808</v>
      </c>
      <c r="C2508" s="213">
        <f>IFERROR(__xludf.DUMMYFUNCTION("""COMPUTED_VALUE"""),45981.55998842593)</f>
        <v>45981.55999</v>
      </c>
      <c r="D2508" s="211" t="str">
        <f>IFERROR(__xludf.DUMMYFUNCTION("""COMPUTED_VALUE"""),"3bcd7fe6")</f>
        <v>3bcd7fe6</v>
      </c>
      <c r="E2508" s="211" t="str">
        <f>IFERROR(__xludf.DUMMYFUNCTION("""COMPUTED_VALUE"""),"Bpk. Alvin (LB Group)")</f>
        <v>Bpk. Alvin (LB Group)</v>
      </c>
      <c r="F2508" s="211" t="str">
        <f>IFERROR(__xludf.DUMMYFUNCTION("""COMPUTED_VALUE"""),"7d2764f1")</f>
        <v>7d2764f1</v>
      </c>
      <c r="G2508" s="211" t="str">
        <f>IFERROR(__xludf.DUMMYFUNCTION("""COMPUTED_VALUE"""),"Oksigen 7m3")</f>
        <v>Oksigen 7m3</v>
      </c>
      <c r="H2508" s="211" t="str">
        <f>IFERROR(__xludf.DUMMYFUNCTION("""COMPUTED_VALUE"""),"IN")</f>
        <v>IN</v>
      </c>
      <c r="I2508" s="211" t="str">
        <f>IFERROR(__xludf.DUMMYFUNCTION("""COMPUTED_VALUE"""),"EMPTY")</f>
        <v>EMPTY</v>
      </c>
      <c r="J2508" s="211">
        <f>IFERROR(__xludf.DUMMYFUNCTION("""COMPUTED_VALUE"""),2.0)</f>
        <v>2</v>
      </c>
      <c r="K2508" s="210" t="str">
        <f>IFERROR(__xludf.DUMMYFUNCTION("""COMPUTED_VALUE"""),"11138 11147")</f>
        <v>11138 11147</v>
      </c>
      <c r="L2508" s="211">
        <f>IFERROR(__xludf.DUMMYFUNCTION("""COMPUTED_VALUE"""),0.0)</f>
        <v>0</v>
      </c>
      <c r="M2508" s="211"/>
      <c r="N2508" s="211"/>
      <c r="O2508" s="211"/>
      <c r="Q2508" s="210" t="str">
        <f>IFERROR(__xludf.DUMMYFUNCTION("""COMPUTED_VALUE"""),"022622508")</f>
        <v>022622508</v>
      </c>
      <c r="R2508" s="210" t="str">
        <f>IFERROR(__xludf.DUMMYFUNCTION("""COMPUTED_VALUE"""),"022622508")</f>
        <v>022622508</v>
      </c>
      <c r="S2508" s="211" t="str">
        <f>IFERROR(__xludf.DUMMYFUNCTION("""COMPUTED_VALUE"""),"de41c3e8")</f>
        <v>de41c3e8</v>
      </c>
      <c r="T2508" s="211" t="str">
        <f>IFERROR(__xludf.DUMMYFUNCTION("""COMPUTED_VALUE"""),"Bpk. Eko Mianto")</f>
        <v>Bpk. Eko Mianto</v>
      </c>
      <c r="U2508" s="215">
        <f>IFERROR(__xludf.DUMMYFUNCTION("""COMPUTED_VALUE"""),46063.42853009259)</f>
        <v>46063.42853</v>
      </c>
      <c r="V2508" s="211" t="str">
        <f>IFERROR(__xludf.DUMMYFUNCTION("""COMPUTED_VALUE"""),"The Graha Residen, Blok D4 No 33. Tropodo, Kec Krian, Kabupaten Sidaorjo, Jawa Timur 61262")</f>
        <v>The Graha Residen, Blok D4 No 33. Tropodo, Kec Krian, Kabupaten Sidaorjo, Jawa Timur 61262</v>
      </c>
      <c r="W2508" s="211" t="str">
        <f>IFERROR(__xludf.DUMMYFUNCTION("""COMPUTED_VALUE"""),"OUT")</f>
        <v>OUT</v>
      </c>
      <c r="X2508" s="211"/>
    </row>
    <row r="2509">
      <c r="A2509" s="210" t="str">
        <f>IFERROR(__xludf.DUMMYFUNCTION("""COMPUTED_VALUE"""),"1250808")</f>
        <v>1250808</v>
      </c>
      <c r="B2509" s="210" t="str">
        <f>IFERROR(__xludf.DUMMYFUNCTION("""COMPUTED_VALUE"""),"1250808")</f>
        <v>1250808</v>
      </c>
      <c r="C2509" s="213">
        <f>IFERROR(__xludf.DUMMYFUNCTION("""COMPUTED_VALUE"""),45981.55998842593)</f>
        <v>45981.55999</v>
      </c>
      <c r="D2509" s="211" t="str">
        <f>IFERROR(__xludf.DUMMYFUNCTION("""COMPUTED_VALUE"""),"3bcd7fe6")</f>
        <v>3bcd7fe6</v>
      </c>
      <c r="E2509" s="211" t="str">
        <f>IFERROR(__xludf.DUMMYFUNCTION("""COMPUTED_VALUE"""),"Bpk. Alvin (LB Group)")</f>
        <v>Bpk. Alvin (LB Group)</v>
      </c>
      <c r="F2509" s="211" t="str">
        <f>IFERROR(__xludf.DUMMYFUNCTION("""COMPUTED_VALUE"""),"f6aab7a9")</f>
        <v>f6aab7a9</v>
      </c>
      <c r="G2509" s="211" t="str">
        <f>IFERROR(__xludf.DUMMYFUNCTION("""COMPUTED_VALUE"""),"Oksigen 6m3 MR")</f>
        <v>Oksigen 6m3 MR</v>
      </c>
      <c r="H2509" s="211" t="str">
        <f>IFERROR(__xludf.DUMMYFUNCTION("""COMPUTED_VALUE"""),"IN")</f>
        <v>IN</v>
      </c>
      <c r="I2509" s="211" t="str">
        <f>IFERROR(__xludf.DUMMYFUNCTION("""COMPUTED_VALUE"""),"EMPTY")</f>
        <v>EMPTY</v>
      </c>
      <c r="J2509" s="211">
        <f>IFERROR(__xludf.DUMMYFUNCTION("""COMPUTED_VALUE"""),1.0)</f>
        <v>1</v>
      </c>
      <c r="K2509" s="210" t="str">
        <f>IFERROR(__xludf.DUMMYFUNCTION("""COMPUTED_VALUE"""),"01")</f>
        <v>01</v>
      </c>
      <c r="L2509" s="211">
        <f>IFERROR(__xludf.DUMMYFUNCTION("""COMPUTED_VALUE"""),0.0)</f>
        <v>0</v>
      </c>
      <c r="M2509" s="211"/>
      <c r="N2509" s="211"/>
      <c r="O2509" s="211"/>
      <c r="Q2509" s="210" t="str">
        <f>IFERROR(__xludf.DUMMYFUNCTION("""COMPUTED_VALUE"""),"1261213")</f>
        <v>1261213</v>
      </c>
      <c r="R2509" s="210" t="str">
        <f>IFERROR(__xludf.DUMMYFUNCTION("""COMPUTED_VALUE"""),"1261213")</f>
        <v>1261213</v>
      </c>
      <c r="S2509" s="211" t="str">
        <f>IFERROR(__xludf.DUMMYFUNCTION("""COMPUTED_VALUE"""),"196b24da")</f>
        <v>196b24da</v>
      </c>
      <c r="T2509" s="211" t="str">
        <f>IFERROR(__xludf.DUMMYFUNCTION("""COMPUTED_VALUE"""),"PT Samudra Cipta Enjineering")</f>
        <v>PT Samudra Cipta Enjineering</v>
      </c>
      <c r="U2509" s="215">
        <f>IFERROR(__xludf.DUMMYFUNCTION("""COMPUTED_VALUE"""),46063.43548611111)</f>
        <v>46063.43549</v>
      </c>
      <c r="V2509" s="211" t="str">
        <f>IFERROR(__xludf.DUMMYFUNCTION("""COMPUTED_VALUE"""),"Pergudangan Center Point Blok C4   Ds. Kemangsen  Balongbendo")</f>
        <v>Pergudangan Center Point Blok C4   Ds. Kemangsen  Balongbendo</v>
      </c>
      <c r="W2509" s="211" t="str">
        <f>IFERROR(__xludf.DUMMYFUNCTION("""COMPUTED_VALUE"""),"IN")</f>
        <v>IN</v>
      </c>
      <c r="X2509" s="211"/>
    </row>
    <row r="2510">
      <c r="A2510" s="210" t="str">
        <f>IFERROR(__xludf.DUMMYFUNCTION("""COMPUTED_VALUE"""),"1125281773")</f>
        <v>1125281773</v>
      </c>
      <c r="B2510" s="210" t="str">
        <f>IFERROR(__xludf.DUMMYFUNCTION("""COMPUTED_VALUE"""),"1125281773")</f>
        <v>1125281773</v>
      </c>
      <c r="C2510" s="213">
        <f>IFERROR(__xludf.DUMMYFUNCTION("""COMPUTED_VALUE"""),45981.528715277775)</f>
        <v>45981.52872</v>
      </c>
      <c r="D2510" s="211" t="str">
        <f>IFERROR(__xludf.DUMMYFUNCTION("""COMPUTED_VALUE"""),"ec231cc9")</f>
        <v>ec231cc9</v>
      </c>
      <c r="E2510" s="211" t="str">
        <f>IFERROR(__xludf.DUMMYFUNCTION("""COMPUTED_VALUE"""),"Bpk. Kohir (Maintenance Velg)")</f>
        <v>Bpk. Kohir (Maintenance Velg)</v>
      </c>
      <c r="F2510" s="211" t="str">
        <f>IFERROR(__xludf.DUMMYFUNCTION("""COMPUTED_VALUE"""),"ef306e54")</f>
        <v>ef306e54</v>
      </c>
      <c r="G2510" s="211" t="str">
        <f>IFERROR(__xludf.DUMMYFUNCTION("""COMPUTED_VALUE"""),"Karbondioksida")</f>
        <v>Karbondioksida</v>
      </c>
      <c r="H2510" s="211" t="str">
        <f>IFERROR(__xludf.DUMMYFUNCTION("""COMPUTED_VALUE"""),"OUT")</f>
        <v>OUT</v>
      </c>
      <c r="I2510" s="211" t="str">
        <f>IFERROR(__xludf.DUMMYFUNCTION("""COMPUTED_VALUE"""),"NORMAL")</f>
        <v>NORMAL</v>
      </c>
      <c r="J2510" s="211">
        <f>IFERROR(__xludf.DUMMYFUNCTION("""COMPUTED_VALUE"""),1.0)</f>
        <v>1</v>
      </c>
      <c r="K2510" s="210" t="str">
        <f>IFERROR(__xludf.DUMMYFUNCTION("""COMPUTED_VALUE"""),"13034")</f>
        <v>13034</v>
      </c>
      <c r="L2510" s="211">
        <f>IFERROR(__xludf.DUMMYFUNCTION("""COMPUTED_VALUE"""),165000.0)</f>
        <v>165000</v>
      </c>
      <c r="M2510" s="211"/>
      <c r="N2510" s="211"/>
      <c r="O2510" s="211"/>
      <c r="Q2510" s="210" t="str">
        <f>IFERROR(__xludf.DUMMYFUNCTION("""COMPUTED_VALUE"""),"1261242")</f>
        <v>1261242</v>
      </c>
      <c r="R2510" s="210" t="str">
        <f>IFERROR(__xludf.DUMMYFUNCTION("""COMPUTED_VALUE"""),"1261242")</f>
        <v>1261242</v>
      </c>
      <c r="S2510" s="211" t="str">
        <f>IFERROR(__xludf.DUMMYFUNCTION("""COMPUTED_VALUE"""),"0411d86e")</f>
        <v>0411d86e</v>
      </c>
      <c r="T2510" s="211" t="str">
        <f>IFERROR(__xludf.DUMMYFUNCTION("""COMPUTED_VALUE"""),"Bpk. Subiantoro (Parengan)")</f>
        <v>Bpk. Subiantoro (Parengan)</v>
      </c>
      <c r="U2510" s="215">
        <f>IFERROR(__xludf.DUMMYFUNCTION("""COMPUTED_VALUE"""),46063.512604166666)</f>
        <v>46063.5126</v>
      </c>
      <c r="V2510" s="211" t="str">
        <f>IFERROR(__xludf.DUMMYFUNCTION("""COMPUTED_VALUE"""),"Jl. Kraton, Sidomukti, Kraton, Kec. Krian, Kabupaten Sidoarjo, Jawa Timur 61262")</f>
        <v>Jl. Kraton, Sidomukti, Kraton, Kec. Krian, Kabupaten Sidoarjo, Jawa Timur 61262</v>
      </c>
      <c r="W2510" s="211" t="str">
        <f>IFERROR(__xludf.DUMMYFUNCTION("""COMPUTED_VALUE"""),"IN")</f>
        <v>IN</v>
      </c>
      <c r="X2510" s="211"/>
    </row>
    <row r="2511">
      <c r="A2511" s="210" t="str">
        <f>IFERROR(__xludf.DUMMYFUNCTION("""COMPUTED_VALUE"""),"1250841")</f>
        <v>1250841</v>
      </c>
      <c r="B2511" s="210" t="str">
        <f>IFERROR(__xludf.DUMMYFUNCTION("""COMPUTED_VALUE"""),"1250841")</f>
        <v>1250841</v>
      </c>
      <c r="C2511" s="213">
        <f>IFERROR(__xludf.DUMMYFUNCTION("""COMPUTED_VALUE"""),45981.63590277778)</f>
        <v>45981.6359</v>
      </c>
      <c r="D2511" s="211" t="str">
        <f>IFERROR(__xludf.DUMMYFUNCTION("""COMPUTED_VALUE"""),"b2b5f2c5")</f>
        <v>b2b5f2c5</v>
      </c>
      <c r="E2511" s="211" t="str">
        <f>IFERROR(__xludf.DUMMYFUNCTION("""COMPUTED_VALUE"""),"Bengkel Las Bpk. Ari")</f>
        <v>Bengkel Las Bpk. Ari</v>
      </c>
      <c r="F2511" s="211" t="str">
        <f>IFERROR(__xludf.DUMMYFUNCTION("""COMPUTED_VALUE"""),"8bdbe149")</f>
        <v>8bdbe149</v>
      </c>
      <c r="G2511" s="211" t="str">
        <f>IFERROR(__xludf.DUMMYFUNCTION("""COMPUTED_VALUE"""),"Oksigen 6m3")</f>
        <v>Oksigen 6m3</v>
      </c>
      <c r="H2511" s="211" t="str">
        <f>IFERROR(__xludf.DUMMYFUNCTION("""COMPUTED_VALUE"""),"IN")</f>
        <v>IN</v>
      </c>
      <c r="I2511" s="211" t="str">
        <f>IFERROR(__xludf.DUMMYFUNCTION("""COMPUTED_VALUE"""),"EMPTY")</f>
        <v>EMPTY</v>
      </c>
      <c r="J2511" s="211">
        <f>IFERROR(__xludf.DUMMYFUNCTION("""COMPUTED_VALUE"""),6.0)</f>
        <v>6</v>
      </c>
      <c r="K2511" s="210" t="str">
        <f>IFERROR(__xludf.DUMMYFUNCTION("""COMPUTED_VALUE"""),"11258 11127 11269 1195 1109 11101")</f>
        <v>11258 11127 11269 1195 1109 11101</v>
      </c>
      <c r="L2511" s="211">
        <f>IFERROR(__xludf.DUMMYFUNCTION("""COMPUTED_VALUE"""),0.0)</f>
        <v>0</v>
      </c>
      <c r="M2511" s="211"/>
      <c r="N2511" s="211"/>
      <c r="O2511" s="211"/>
      <c r="Q2511" s="210" t="str">
        <f>IFERROR(__xludf.DUMMYFUNCTION("""COMPUTED_VALUE"""),"1261203")</f>
        <v>1261203</v>
      </c>
      <c r="R2511" s="210" t="str">
        <f>IFERROR(__xludf.DUMMYFUNCTION("""COMPUTED_VALUE"""),"1261203")</f>
        <v>1261203</v>
      </c>
      <c r="S2511" s="211" t="str">
        <f>IFERROR(__xludf.DUMMYFUNCTION("""COMPUTED_VALUE"""),"b2b5f2c5")</f>
        <v>b2b5f2c5</v>
      </c>
      <c r="T2511" s="211" t="str">
        <f>IFERROR(__xludf.DUMMYFUNCTION("""COMPUTED_VALUE"""),"Bengkel Las Bpk. Ari")</f>
        <v>Bengkel Las Bpk. Ari</v>
      </c>
      <c r="U2511" s="215">
        <f>IFERROR(__xludf.DUMMYFUNCTION("""COMPUTED_VALUE"""),46063.51770833333)</f>
        <v>46063.51771</v>
      </c>
      <c r="V2511" s="211" t="str">
        <f>IFERROR(__xludf.DUMMYFUNCTION("""COMPUTED_VALUE"""),"Sumber Kembar, Wonodadi, Kec. Kutorejo, Kabupaten Mojokerto, Jawa Timur")</f>
        <v>Sumber Kembar, Wonodadi, Kec. Kutorejo, Kabupaten Mojokerto, Jawa Timur</v>
      </c>
      <c r="W2511" s="211" t="str">
        <f>IFERROR(__xludf.DUMMYFUNCTION("""COMPUTED_VALUE"""),"IN")</f>
        <v>IN</v>
      </c>
      <c r="X2511" s="211"/>
    </row>
    <row r="2512">
      <c r="A2512" s="210" t="str">
        <f>IFERROR(__xludf.DUMMYFUNCTION("""COMPUTED_VALUE"""),"1250841")</f>
        <v>1250841</v>
      </c>
      <c r="B2512" s="210" t="str">
        <f>IFERROR(__xludf.DUMMYFUNCTION("""COMPUTED_VALUE"""),"1250841")</f>
        <v>1250841</v>
      </c>
      <c r="C2512" s="213">
        <f>IFERROR(__xludf.DUMMYFUNCTION("""COMPUTED_VALUE"""),45981.63590277778)</f>
        <v>45981.6359</v>
      </c>
      <c r="D2512" s="211" t="str">
        <f>IFERROR(__xludf.DUMMYFUNCTION("""COMPUTED_VALUE"""),"b2b5f2c5")</f>
        <v>b2b5f2c5</v>
      </c>
      <c r="E2512" s="211" t="str">
        <f>IFERROR(__xludf.DUMMYFUNCTION("""COMPUTED_VALUE"""),"Bengkel Las Bpk. Ari")</f>
        <v>Bengkel Las Bpk. Ari</v>
      </c>
      <c r="F2512" s="211" t="str">
        <f>IFERROR(__xludf.DUMMYFUNCTION("""COMPUTED_VALUE"""),"ef306e54")</f>
        <v>ef306e54</v>
      </c>
      <c r="G2512" s="211" t="str">
        <f>IFERROR(__xludf.DUMMYFUNCTION("""COMPUTED_VALUE"""),"Karbondioksida")</f>
        <v>Karbondioksida</v>
      </c>
      <c r="H2512" s="211" t="str">
        <f>IFERROR(__xludf.DUMMYFUNCTION("""COMPUTED_VALUE"""),"IN")</f>
        <v>IN</v>
      </c>
      <c r="I2512" s="211" t="str">
        <f>IFERROR(__xludf.DUMMYFUNCTION("""COMPUTED_VALUE"""),"EMPTY")</f>
        <v>EMPTY</v>
      </c>
      <c r="J2512" s="211">
        <f>IFERROR(__xludf.DUMMYFUNCTION("""COMPUTED_VALUE"""),1.0)</f>
        <v>1</v>
      </c>
      <c r="K2512" s="210" t="str">
        <f>IFERROR(__xludf.DUMMYFUNCTION("""COMPUTED_VALUE"""),"13014")</f>
        <v>13014</v>
      </c>
      <c r="L2512" s="211">
        <f>IFERROR(__xludf.DUMMYFUNCTION("""COMPUTED_VALUE"""),0.0)</f>
        <v>0</v>
      </c>
      <c r="M2512" s="211"/>
      <c r="N2512" s="211"/>
      <c r="O2512" s="211"/>
      <c r="Q2512" s="210" t="str">
        <f>IFERROR(__xludf.DUMMYFUNCTION("""COMPUTED_VALUE"""),"1261202")</f>
        <v>1261202</v>
      </c>
      <c r="R2512" s="210" t="str">
        <f>IFERROR(__xludf.DUMMYFUNCTION("""COMPUTED_VALUE"""),"1261202")</f>
        <v>1261202</v>
      </c>
      <c r="S2512" s="211" t="str">
        <f>IFERROR(__xludf.DUMMYFUNCTION("""COMPUTED_VALUE"""),"9828dfc5")</f>
        <v>9828dfc5</v>
      </c>
      <c r="T2512" s="211" t="str">
        <f>IFERROR(__xludf.DUMMYFUNCTION("""COMPUTED_VALUE"""),"Bpk. David")</f>
        <v>Bpk. David</v>
      </c>
      <c r="U2512" s="215">
        <f>IFERROR(__xludf.DUMMYFUNCTION("""COMPUTED_VALUE"""),46063.51825231482)</f>
        <v>46063.51825</v>
      </c>
      <c r="V2512" s="211" t="str">
        <f>IFERROR(__xludf.DUMMYFUNCTION("""COMPUTED_VALUE"""),"GHF3+R34, Jl. Kartini, Ngingas, Ngimbangan, Kec. Mojosari, Kabupaten Mojokerto, Jawa Timur 61382")</f>
        <v>GHF3+R34, Jl. Kartini, Ngingas, Ngimbangan, Kec. Mojosari, Kabupaten Mojokerto, Jawa Timur 61382</v>
      </c>
      <c r="W2512" s="211" t="str">
        <f>IFERROR(__xludf.DUMMYFUNCTION("""COMPUTED_VALUE"""),"IN")</f>
        <v>IN</v>
      </c>
      <c r="X2512" s="211"/>
    </row>
    <row r="2513">
      <c r="A2513" s="210" t="str">
        <f>IFERROR(__xludf.DUMMYFUNCTION("""COMPUTED_VALUE"""),"1250841")</f>
        <v>1250841</v>
      </c>
      <c r="B2513" s="210" t="str">
        <f>IFERROR(__xludf.DUMMYFUNCTION("""COMPUTED_VALUE"""),"1250841")</f>
        <v>1250841</v>
      </c>
      <c r="C2513" s="213">
        <f>IFERROR(__xludf.DUMMYFUNCTION("""COMPUTED_VALUE"""),45981.63590277778)</f>
        <v>45981.6359</v>
      </c>
      <c r="D2513" s="211" t="str">
        <f>IFERROR(__xludf.DUMMYFUNCTION("""COMPUTED_VALUE"""),"b2b5f2c5")</f>
        <v>b2b5f2c5</v>
      </c>
      <c r="E2513" s="211" t="str">
        <f>IFERROR(__xludf.DUMMYFUNCTION("""COMPUTED_VALUE"""),"Bengkel Las Bpk. Ari")</f>
        <v>Bengkel Las Bpk. Ari</v>
      </c>
      <c r="F2513" s="211" t="str">
        <f>IFERROR(__xludf.DUMMYFUNCTION("""COMPUTED_VALUE"""),"ef306e54")</f>
        <v>ef306e54</v>
      </c>
      <c r="G2513" s="211" t="str">
        <f>IFERROR(__xludf.DUMMYFUNCTION("""COMPUTED_VALUE"""),"Karbondioksida")</f>
        <v>Karbondioksida</v>
      </c>
      <c r="H2513" s="211" t="str">
        <f>IFERROR(__xludf.DUMMYFUNCTION("""COMPUTED_VALUE"""),"IN")</f>
        <v>IN</v>
      </c>
      <c r="I2513" s="211" t="str">
        <f>IFERROR(__xludf.DUMMYFUNCTION("""COMPUTED_VALUE"""),"CLAIM")</f>
        <v>CLAIM</v>
      </c>
      <c r="J2513" s="211">
        <f>IFERROR(__xludf.DUMMYFUNCTION("""COMPUTED_VALUE"""),1.0)</f>
        <v>1</v>
      </c>
      <c r="K2513" s="210" t="str">
        <f>IFERROR(__xludf.DUMMYFUNCTION("""COMPUTED_VALUE"""),"13034")</f>
        <v>13034</v>
      </c>
      <c r="L2513" s="211">
        <f>IFERROR(__xludf.DUMMYFUNCTION("""COMPUTED_VALUE"""),0.0)</f>
        <v>0</v>
      </c>
      <c r="M2513" s="211"/>
      <c r="N2513" s="211"/>
      <c r="O2513" s="211"/>
      <c r="Q2513" s="210" t="str">
        <f>IFERROR(__xludf.DUMMYFUNCTION("""COMPUTED_VALUE"""),"022672509")</f>
        <v>022672509</v>
      </c>
      <c r="R2513" s="210" t="str">
        <f>IFERROR(__xludf.DUMMYFUNCTION("""COMPUTED_VALUE"""),"022672509")</f>
        <v>022672509</v>
      </c>
      <c r="S2513" s="211" t="str">
        <f>IFERROR(__xludf.DUMMYFUNCTION("""COMPUTED_VALUE"""),"98c84274")</f>
        <v>98c84274</v>
      </c>
      <c r="T2513" s="211" t="str">
        <f>IFERROR(__xludf.DUMMYFUNCTION("""COMPUTED_VALUE"""),"Bengkel SBM (Pak Hari)")</f>
        <v>Bengkel SBM (Pak Hari)</v>
      </c>
      <c r="U2513" s="215">
        <f>IFERROR(__xludf.DUMMYFUNCTION("""COMPUTED_VALUE"""),46063.520370370374)</f>
        <v>46063.52037</v>
      </c>
      <c r="V251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13" s="211" t="str">
        <f>IFERROR(__xludf.DUMMYFUNCTION("""COMPUTED_VALUE"""),"OUT")</f>
        <v>OUT</v>
      </c>
      <c r="X2513" s="211"/>
    </row>
    <row r="2514">
      <c r="A2514" s="210" t="str">
        <f>IFERROR(__xludf.DUMMYFUNCTION("""COMPUTED_VALUE"""),"1250839")</f>
        <v>1250839</v>
      </c>
      <c r="B2514" s="210" t="str">
        <f>IFERROR(__xludf.DUMMYFUNCTION("""COMPUTED_VALUE"""),"1250839")</f>
        <v>1250839</v>
      </c>
      <c r="C2514" s="213">
        <f>IFERROR(__xludf.DUMMYFUNCTION("""COMPUTED_VALUE"""),45981.63791666667)</f>
        <v>45981.63792</v>
      </c>
      <c r="D2514" s="211" t="str">
        <f>IFERROR(__xludf.DUMMYFUNCTION("""COMPUTED_VALUE"""),"ba97d58d")</f>
        <v>ba97d58d</v>
      </c>
      <c r="E2514" s="211" t="str">
        <f>IFERROR(__xludf.DUMMYFUNCTION("""COMPUTED_VALUE"""),"Bengkel Citra Mojosari")</f>
        <v>Bengkel Citra Mojosari</v>
      </c>
      <c r="F2514" s="211" t="str">
        <f>IFERROR(__xludf.DUMMYFUNCTION("""COMPUTED_VALUE"""),"8bdbe149")</f>
        <v>8bdbe149</v>
      </c>
      <c r="G2514" s="211" t="str">
        <f>IFERROR(__xludf.DUMMYFUNCTION("""COMPUTED_VALUE"""),"Oksigen 6m3")</f>
        <v>Oksigen 6m3</v>
      </c>
      <c r="H2514" s="211" t="str">
        <f>IFERROR(__xludf.DUMMYFUNCTION("""COMPUTED_VALUE"""),"IN")</f>
        <v>IN</v>
      </c>
      <c r="I2514" s="211" t="str">
        <f>IFERROR(__xludf.DUMMYFUNCTION("""COMPUTED_VALUE"""),"EMPTY")</f>
        <v>EMPTY</v>
      </c>
      <c r="J2514" s="211">
        <f>IFERROR(__xludf.DUMMYFUNCTION("""COMPUTED_VALUE"""),2.0)</f>
        <v>2</v>
      </c>
      <c r="K2514" s="210" t="str">
        <f>IFERROR(__xludf.DUMMYFUNCTION("""COMPUTED_VALUE"""),"11124 1111")</f>
        <v>11124 1111</v>
      </c>
      <c r="L2514" s="211">
        <f>IFERROR(__xludf.DUMMYFUNCTION("""COMPUTED_VALUE"""),0.0)</f>
        <v>0</v>
      </c>
      <c r="M2514" s="211"/>
      <c r="N2514" s="211"/>
      <c r="O2514" s="211"/>
      <c r="Q2514" s="210" t="str">
        <f>IFERROR(__xludf.DUMMYFUNCTION("""COMPUTED_VALUE"""),"0226832514")</f>
        <v>0226832514</v>
      </c>
      <c r="R2514" s="210" t="str">
        <f>IFERROR(__xludf.DUMMYFUNCTION("""COMPUTED_VALUE"""),"0226832514")</f>
        <v>0226832514</v>
      </c>
      <c r="S2514" s="211" t="str">
        <f>IFERROR(__xludf.DUMMYFUNCTION("""COMPUTED_VALUE"""),"b2b5f2c5")</f>
        <v>b2b5f2c5</v>
      </c>
      <c r="T2514" s="211" t="str">
        <f>IFERROR(__xludf.DUMMYFUNCTION("""COMPUTED_VALUE"""),"Bengkel Las Bpk. Ari")</f>
        <v>Bengkel Las Bpk. Ari</v>
      </c>
      <c r="U2514" s="215">
        <f>IFERROR(__xludf.DUMMYFUNCTION("""COMPUTED_VALUE"""),46063.52175925926)</f>
        <v>46063.52176</v>
      </c>
      <c r="V2514" s="211" t="str">
        <f>IFERROR(__xludf.DUMMYFUNCTION("""COMPUTED_VALUE"""),"Sumber Kembar, Wonodadi, Kec. Kutorejo, Kabupaten Mojokerto, Jawa Timur")</f>
        <v>Sumber Kembar, Wonodadi, Kec. Kutorejo, Kabupaten Mojokerto, Jawa Timur</v>
      </c>
      <c r="W2514" s="211" t="str">
        <f>IFERROR(__xludf.DUMMYFUNCTION("""COMPUTED_VALUE"""),"OUT")</f>
        <v>OUT</v>
      </c>
      <c r="X2514" s="211"/>
    </row>
    <row r="2515">
      <c r="A2515" s="210" t="str">
        <f>IFERROR(__xludf.DUMMYFUNCTION("""COMPUTED_VALUE"""),"1250839")</f>
        <v>1250839</v>
      </c>
      <c r="B2515" s="210" t="str">
        <f>IFERROR(__xludf.DUMMYFUNCTION("""COMPUTED_VALUE"""),"1250839")</f>
        <v>1250839</v>
      </c>
      <c r="C2515" s="213">
        <f>IFERROR(__xludf.DUMMYFUNCTION("""COMPUTED_VALUE"""),45981.63791666667)</f>
        <v>45981.63792</v>
      </c>
      <c r="D2515" s="211" t="str">
        <f>IFERROR(__xludf.DUMMYFUNCTION("""COMPUTED_VALUE"""),"ba97d58d")</f>
        <v>ba97d58d</v>
      </c>
      <c r="E2515" s="211" t="str">
        <f>IFERROR(__xludf.DUMMYFUNCTION("""COMPUTED_VALUE"""),"Bengkel Citra Mojosari")</f>
        <v>Bengkel Citra Mojosari</v>
      </c>
      <c r="F2515" s="211" t="str">
        <f>IFERROR(__xludf.DUMMYFUNCTION("""COMPUTED_VALUE"""),"7d2764f1")</f>
        <v>7d2764f1</v>
      </c>
      <c r="G2515" s="211" t="str">
        <f>IFERROR(__xludf.DUMMYFUNCTION("""COMPUTED_VALUE"""),"Oksigen 7m3")</f>
        <v>Oksigen 7m3</v>
      </c>
      <c r="H2515" s="211" t="str">
        <f>IFERROR(__xludf.DUMMYFUNCTION("""COMPUTED_VALUE"""),"IN")</f>
        <v>IN</v>
      </c>
      <c r="I2515" s="211" t="str">
        <f>IFERROR(__xludf.DUMMYFUNCTION("""COMPUTED_VALUE"""),"EMPTY")</f>
        <v>EMPTY</v>
      </c>
      <c r="J2515" s="211">
        <f>IFERROR(__xludf.DUMMYFUNCTION("""COMPUTED_VALUE"""),2.0)</f>
        <v>2</v>
      </c>
      <c r="K2515" s="210" t="str">
        <f>IFERROR(__xludf.DUMMYFUNCTION("""COMPUTED_VALUE"""),"11160 11171")</f>
        <v>11160 11171</v>
      </c>
      <c r="L2515" s="211">
        <f>IFERROR(__xludf.DUMMYFUNCTION("""COMPUTED_VALUE"""),0.0)</f>
        <v>0</v>
      </c>
      <c r="M2515" s="211"/>
      <c r="N2515" s="211"/>
      <c r="O2515" s="211"/>
      <c r="Q2515" s="210" t="str">
        <f>IFERROR(__xludf.DUMMYFUNCTION("""COMPUTED_VALUE"""),"022612515")</f>
        <v>022612515</v>
      </c>
      <c r="R2515" s="210" t="str">
        <f>IFERROR(__xludf.DUMMYFUNCTION("""COMPUTED_VALUE"""),"022612515")</f>
        <v>022612515</v>
      </c>
      <c r="S2515" s="211" t="str">
        <f>IFERROR(__xludf.DUMMYFUNCTION("""COMPUTED_VALUE"""),"58ae16eb")</f>
        <v>58ae16eb</v>
      </c>
      <c r="T2515" s="211" t="str">
        <f>IFERROR(__xludf.DUMMYFUNCTION("""COMPUTED_VALUE"""),"Bpk. Sahri")</f>
        <v>Bpk. Sahri</v>
      </c>
      <c r="U2515" s="215">
        <f>IFERROR(__xludf.DUMMYFUNCTION("""COMPUTED_VALUE"""),46063.56616898148)</f>
        <v>46063.56617</v>
      </c>
      <c r="V2515" s="211" t="str">
        <f>IFERROR(__xludf.DUMMYFUNCTION("""COMPUTED_VALUE"""),"Jl. Empu Gandring Klagen,RT.10 RW.04 Tropodo, Kec. Krian, Kabupaten Sidoarjo, Jawa Timur 61262")</f>
        <v>Jl. Empu Gandring Klagen,RT.10 RW.04 Tropodo, Kec. Krian, Kabupaten Sidoarjo, Jawa Timur 61262</v>
      </c>
      <c r="W2515" s="211" t="str">
        <f>IFERROR(__xludf.DUMMYFUNCTION("""COMPUTED_VALUE"""),"OUT")</f>
        <v>OUT</v>
      </c>
      <c r="X2515" s="211"/>
    </row>
    <row r="2516">
      <c r="A2516" s="210" t="str">
        <f>IFERROR(__xludf.DUMMYFUNCTION("""COMPUTED_VALUE"""),"1250811")</f>
        <v>1250811</v>
      </c>
      <c r="B2516" s="210" t="str">
        <f>IFERROR(__xludf.DUMMYFUNCTION("""COMPUTED_VALUE"""),"1250811")</f>
        <v>1250811</v>
      </c>
      <c r="C2516" s="213">
        <f>IFERROR(__xludf.DUMMYFUNCTION("""COMPUTED_VALUE"""),45981.639131944445)</f>
        <v>45981.63913</v>
      </c>
      <c r="D2516" s="211" t="str">
        <f>IFERROR(__xludf.DUMMYFUNCTION("""COMPUTED_VALUE"""),"e968afef")</f>
        <v>e968afef</v>
      </c>
      <c r="E2516" s="211" t="str">
        <f>IFERROR(__xludf.DUMMYFUNCTION("""COMPUTED_VALUE"""),"Bpk. Agus")</f>
        <v>Bpk. Agus</v>
      </c>
      <c r="F2516" s="211" t="str">
        <f>IFERROR(__xludf.DUMMYFUNCTION("""COMPUTED_VALUE"""),"8bdbe149")</f>
        <v>8bdbe149</v>
      </c>
      <c r="G2516" s="211" t="str">
        <f>IFERROR(__xludf.DUMMYFUNCTION("""COMPUTED_VALUE"""),"Oksigen 6m3")</f>
        <v>Oksigen 6m3</v>
      </c>
      <c r="H2516" s="211" t="str">
        <f>IFERROR(__xludf.DUMMYFUNCTION("""COMPUTED_VALUE"""),"IN")</f>
        <v>IN</v>
      </c>
      <c r="I2516" s="211" t="str">
        <f>IFERROR(__xludf.DUMMYFUNCTION("""COMPUTED_VALUE"""),"EMPTY")</f>
        <v>EMPTY</v>
      </c>
      <c r="J2516" s="211">
        <f>IFERROR(__xludf.DUMMYFUNCTION("""COMPUTED_VALUE"""),8.0)</f>
        <v>8</v>
      </c>
      <c r="K2516" s="210" t="str">
        <f>IFERROR(__xludf.DUMMYFUNCTION("""COMPUTED_VALUE"""),"1115 1140 11106 11181 11180 1166 1181 11185")</f>
        <v>1115 1140 11106 11181 11180 1166 1181 11185</v>
      </c>
      <c r="L2516" s="211">
        <f>IFERROR(__xludf.DUMMYFUNCTION("""COMPUTED_VALUE"""),0.0)</f>
        <v>0</v>
      </c>
      <c r="M2516" s="211"/>
      <c r="N2516" s="211"/>
      <c r="O2516" s="211"/>
      <c r="Q2516" s="210" t="str">
        <f>IFERROR(__xludf.DUMMYFUNCTION("""COMPUTED_VALUE"""),"1261204")</f>
        <v>1261204</v>
      </c>
      <c r="R2516" s="210" t="str">
        <f>IFERROR(__xludf.DUMMYFUNCTION("""COMPUTED_VALUE"""),"1261204")</f>
        <v>1261204</v>
      </c>
      <c r="S2516" s="211" t="str">
        <f>IFERROR(__xludf.DUMMYFUNCTION("""COMPUTED_VALUE"""),"9e66ced9")</f>
        <v>9e66ced9</v>
      </c>
      <c r="T2516" s="211" t="str">
        <f>IFERROR(__xludf.DUMMYFUNCTION("""COMPUTED_VALUE"""),"Bapak Angga")</f>
        <v>Bapak Angga</v>
      </c>
      <c r="U2516" s="215">
        <f>IFERROR(__xludf.DUMMYFUNCTION("""COMPUTED_VALUE"""),46063.62480324074)</f>
        <v>46063.6248</v>
      </c>
      <c r="V2516" s="211" t="str">
        <f>IFERROR(__xludf.DUMMYFUNCTION("""COMPUTED_VALUE"""),"Jl. Bypass Krian No.2, Tundungan, Sidomojo, Kec. Krian, Kabupaten Sidoarjo, Jawa Timur 61262")</f>
        <v>Jl. Bypass Krian No.2, Tundungan, Sidomojo, Kec. Krian, Kabupaten Sidoarjo, Jawa Timur 61262</v>
      </c>
      <c r="W2516" s="211" t="str">
        <f>IFERROR(__xludf.DUMMYFUNCTION("""COMPUTED_VALUE"""),"IN")</f>
        <v>IN</v>
      </c>
      <c r="X2516" s="211"/>
    </row>
    <row r="2517">
      <c r="A2517" s="210" t="str">
        <f>IFERROR(__xludf.DUMMYFUNCTION("""COMPUTED_VALUE"""),"1250811")</f>
        <v>1250811</v>
      </c>
      <c r="B2517" s="210" t="str">
        <f>IFERROR(__xludf.DUMMYFUNCTION("""COMPUTED_VALUE"""),"1250811")</f>
        <v>1250811</v>
      </c>
      <c r="C2517" s="213">
        <f>IFERROR(__xludf.DUMMYFUNCTION("""COMPUTED_VALUE"""),45981.639131944445)</f>
        <v>45981.63913</v>
      </c>
      <c r="D2517" s="211" t="str">
        <f>IFERROR(__xludf.DUMMYFUNCTION("""COMPUTED_VALUE"""),"e968afef")</f>
        <v>e968afef</v>
      </c>
      <c r="E2517" s="211" t="str">
        <f>IFERROR(__xludf.DUMMYFUNCTION("""COMPUTED_VALUE"""),"Bpk. Agus")</f>
        <v>Bpk. Agus</v>
      </c>
      <c r="F2517" s="211" t="str">
        <f>IFERROR(__xludf.DUMMYFUNCTION("""COMPUTED_VALUE"""),"be525f3b")</f>
        <v>be525f3b</v>
      </c>
      <c r="G2517" s="211" t="str">
        <f>IFERROR(__xludf.DUMMYFUNCTION("""COMPUTED_VALUE"""),"LPG 12kg")</f>
        <v>LPG 12kg</v>
      </c>
      <c r="H2517" s="211" t="str">
        <f>IFERROR(__xludf.DUMMYFUNCTION("""COMPUTED_VALUE"""),"IN")</f>
        <v>IN</v>
      </c>
      <c r="I2517" s="211" t="str">
        <f>IFERROR(__xludf.DUMMYFUNCTION("""COMPUTED_VALUE"""),"EMPTY")</f>
        <v>EMPTY</v>
      </c>
      <c r="J2517" s="211">
        <f>IFERROR(__xludf.DUMMYFUNCTION("""COMPUTED_VALUE"""),1.0)</f>
        <v>1</v>
      </c>
      <c r="K2517" s="211"/>
      <c r="L2517" s="211">
        <f>IFERROR(__xludf.DUMMYFUNCTION("""COMPUTED_VALUE"""),0.0)</f>
        <v>0</v>
      </c>
      <c r="M2517" s="211"/>
      <c r="N2517" s="211"/>
      <c r="O2517" s="211"/>
      <c r="Q2517" s="210" t="str">
        <f>IFERROR(__xludf.DUMMYFUNCTION("""COMPUTED_VALUE"""),"1261205")</f>
        <v>1261205</v>
      </c>
      <c r="R2517" s="210" t="str">
        <f>IFERROR(__xludf.DUMMYFUNCTION("""COMPUTED_VALUE"""),"1261205")</f>
        <v>1261205</v>
      </c>
      <c r="S2517" s="211" t="str">
        <f>IFERROR(__xludf.DUMMYFUNCTION("""COMPUTED_VALUE"""),"98c84274")</f>
        <v>98c84274</v>
      </c>
      <c r="T2517" s="211" t="str">
        <f>IFERROR(__xludf.DUMMYFUNCTION("""COMPUTED_VALUE"""),"Bengkel SBM (Pak Hari)")</f>
        <v>Bengkel SBM (Pak Hari)</v>
      </c>
      <c r="U2517" s="215">
        <f>IFERROR(__xludf.DUMMYFUNCTION("""COMPUTED_VALUE"""),46063.62613425926)</f>
        <v>46063.62613</v>
      </c>
      <c r="V2517"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17" s="211" t="str">
        <f>IFERROR(__xludf.DUMMYFUNCTION("""COMPUTED_VALUE"""),"IN")</f>
        <v>IN</v>
      </c>
      <c r="X2517" s="211"/>
    </row>
    <row r="2518">
      <c r="A2518" s="210" t="str">
        <f>IFERROR(__xludf.DUMMYFUNCTION("""COMPUTED_VALUE"""),"1250842")</f>
        <v>1250842</v>
      </c>
      <c r="B2518" s="210" t="str">
        <f>IFERROR(__xludf.DUMMYFUNCTION("""COMPUTED_VALUE"""),"1250842")</f>
        <v>1250842</v>
      </c>
      <c r="C2518" s="213">
        <f>IFERROR(__xludf.DUMMYFUNCTION("""COMPUTED_VALUE"""),45981.68829861111)</f>
        <v>45981.6883</v>
      </c>
      <c r="D2518" s="211" t="str">
        <f>IFERROR(__xludf.DUMMYFUNCTION("""COMPUTED_VALUE"""),"ec231cc9")</f>
        <v>ec231cc9</v>
      </c>
      <c r="E2518" s="211" t="str">
        <f>IFERROR(__xludf.DUMMYFUNCTION("""COMPUTED_VALUE"""),"Bpk. Kohir (Maintenance Velg)")</f>
        <v>Bpk. Kohir (Maintenance Velg)</v>
      </c>
      <c r="F2518" s="211" t="str">
        <f>IFERROR(__xludf.DUMMYFUNCTION("""COMPUTED_VALUE"""),"ef306e54")</f>
        <v>ef306e54</v>
      </c>
      <c r="G2518" s="211" t="str">
        <f>IFERROR(__xludf.DUMMYFUNCTION("""COMPUTED_VALUE"""),"Karbondioksida")</f>
        <v>Karbondioksida</v>
      </c>
      <c r="H2518" s="211" t="str">
        <f>IFERROR(__xludf.DUMMYFUNCTION("""COMPUTED_VALUE"""),"IN")</f>
        <v>IN</v>
      </c>
      <c r="I2518" s="211" t="str">
        <f>IFERROR(__xludf.DUMMYFUNCTION("""COMPUTED_VALUE"""),"EMPTY")</f>
        <v>EMPTY</v>
      </c>
      <c r="J2518" s="211">
        <f>IFERROR(__xludf.DUMMYFUNCTION("""COMPUTED_VALUE"""),1.0)</f>
        <v>1</v>
      </c>
      <c r="K2518" s="210" t="str">
        <f>IFERROR(__xludf.DUMMYFUNCTION("""COMPUTED_VALUE"""),"13018")</f>
        <v>13018</v>
      </c>
      <c r="L2518" s="211">
        <f>IFERROR(__xludf.DUMMYFUNCTION("""COMPUTED_VALUE"""),0.0)</f>
        <v>0</v>
      </c>
      <c r="M2518" s="211"/>
      <c r="N2518" s="211"/>
      <c r="O2518" s="211"/>
      <c r="Q2518" s="210" t="str">
        <f>IFERROR(__xludf.DUMMYFUNCTION("""COMPUTED_VALUE"""),"1261214")</f>
        <v>1261214</v>
      </c>
      <c r="R2518" s="210" t="str">
        <f>IFERROR(__xludf.DUMMYFUNCTION("""COMPUTED_VALUE"""),"1261214")</f>
        <v>1261214</v>
      </c>
      <c r="S2518" s="211" t="str">
        <f>IFERROR(__xludf.DUMMYFUNCTION("""COMPUTED_VALUE"""),"8ea74d81")</f>
        <v>8ea74d81</v>
      </c>
      <c r="T2518" s="211" t="str">
        <f>IFERROR(__xludf.DUMMYFUNCTION("""COMPUTED_VALUE"""),"Bengkel Adi Putra")</f>
        <v>Bengkel Adi Putra</v>
      </c>
      <c r="U2518" s="215">
        <f>IFERROR(__xludf.DUMMYFUNCTION("""COMPUTED_VALUE"""),46063.726273148146)</f>
        <v>46063.72627</v>
      </c>
      <c r="V2518" s="211" t="str">
        <f>IFERROR(__xludf.DUMMYFUNCTION("""COMPUTED_VALUE"""),"Bypass Balongbendo")</f>
        <v>Bypass Balongbendo</v>
      </c>
      <c r="W2518" s="211" t="str">
        <f>IFERROR(__xludf.DUMMYFUNCTION("""COMPUTED_VALUE"""),"IN")</f>
        <v>IN</v>
      </c>
      <c r="X2518" s="211"/>
    </row>
    <row r="2519">
      <c r="A2519" s="210" t="str">
        <f>IFERROR(__xludf.DUMMYFUNCTION("""COMPUTED_VALUE"""),"1250842")</f>
        <v>1250842</v>
      </c>
      <c r="B2519" s="210" t="str">
        <f>IFERROR(__xludf.DUMMYFUNCTION("""COMPUTED_VALUE"""),"1250842")</f>
        <v>1250842</v>
      </c>
      <c r="C2519" s="213">
        <f>IFERROR(__xludf.DUMMYFUNCTION("""COMPUTED_VALUE"""),45981.68829861111)</f>
        <v>45981.6883</v>
      </c>
      <c r="D2519" s="211" t="str">
        <f>IFERROR(__xludf.DUMMYFUNCTION("""COMPUTED_VALUE"""),"ec231cc9")</f>
        <v>ec231cc9</v>
      </c>
      <c r="E2519" s="211" t="str">
        <f>IFERROR(__xludf.DUMMYFUNCTION("""COMPUTED_VALUE"""),"Bpk. Kohir (Maintenance Velg)")</f>
        <v>Bpk. Kohir (Maintenance Velg)</v>
      </c>
      <c r="F2519" s="211" t="str">
        <f>IFERROR(__xludf.DUMMYFUNCTION("""COMPUTED_VALUE"""),"8bdbe149")</f>
        <v>8bdbe149</v>
      </c>
      <c r="G2519" s="211" t="str">
        <f>IFERROR(__xludf.DUMMYFUNCTION("""COMPUTED_VALUE"""),"Oksigen 6m3")</f>
        <v>Oksigen 6m3</v>
      </c>
      <c r="H2519" s="211" t="str">
        <f>IFERROR(__xludf.DUMMYFUNCTION("""COMPUTED_VALUE"""),"IN")</f>
        <v>IN</v>
      </c>
      <c r="I2519" s="211" t="str">
        <f>IFERROR(__xludf.DUMMYFUNCTION("""COMPUTED_VALUE"""),"EMPTY")</f>
        <v>EMPTY</v>
      </c>
      <c r="J2519" s="211">
        <f>IFERROR(__xludf.DUMMYFUNCTION("""COMPUTED_VALUE"""),7.0)</f>
        <v>7</v>
      </c>
      <c r="K2519" s="210" t="str">
        <f>IFERROR(__xludf.DUMMYFUNCTION("""COMPUTED_VALUE"""),"11119 1173 11113 11193 11231 11281 1123")</f>
        <v>11119 1173 11113 11193 11231 11281 1123</v>
      </c>
      <c r="L2519" s="211">
        <f>IFERROR(__xludf.DUMMYFUNCTION("""COMPUTED_VALUE"""),0.0)</f>
        <v>0</v>
      </c>
      <c r="M2519" s="211"/>
      <c r="N2519" s="211"/>
      <c r="O2519" s="211"/>
      <c r="Q2519" s="210" t="str">
        <f>IFERROR(__xludf.DUMMYFUNCTION("""COMPUTED_VALUE"""),"1261215")</f>
        <v>1261215</v>
      </c>
      <c r="R2519" s="210" t="str">
        <f>IFERROR(__xludf.DUMMYFUNCTION("""COMPUTED_VALUE"""),"1261215")</f>
        <v>1261215</v>
      </c>
      <c r="S2519" s="211" t="str">
        <f>IFERROR(__xludf.DUMMYFUNCTION("""COMPUTED_VALUE"""),"dcdf8b31")</f>
        <v>dcdf8b31</v>
      </c>
      <c r="T2519" s="211" t="str">
        <f>IFERROR(__xludf.DUMMYFUNCTION("""COMPUTED_VALUE"""),"Bpk. Samsul (Jetis)")</f>
        <v>Bpk. Samsul (Jetis)</v>
      </c>
      <c r="U2519" s="215">
        <f>IFERROR(__xludf.DUMMYFUNCTION("""COMPUTED_VALUE"""),46063.726805555554)</f>
        <v>46063.72681</v>
      </c>
      <c r="V2519" s="211" t="str">
        <f>IFERROR(__xludf.DUMMYFUNCTION("""COMPUTED_VALUE"""),"HFWF+9FG, Sido Wangi, Paringan, Kec. Jetis, Kabupaten Mojokerto, Jawa Timur")</f>
        <v>HFWF+9FG, Sido Wangi, Paringan, Kec. Jetis, Kabupaten Mojokerto, Jawa Timur</v>
      </c>
      <c r="W2519" s="211" t="str">
        <f>IFERROR(__xludf.DUMMYFUNCTION("""COMPUTED_VALUE"""),"IN")</f>
        <v>IN</v>
      </c>
      <c r="X2519" s="211"/>
    </row>
    <row r="2520">
      <c r="A2520" s="210" t="str">
        <f>IFERROR(__xludf.DUMMYFUNCTION("""COMPUTED_VALUE"""),"1125161774")</f>
        <v>1125161774</v>
      </c>
      <c r="B2520" s="210" t="str">
        <f>IFERROR(__xludf.DUMMYFUNCTION("""COMPUTED_VALUE"""),"1125161774")</f>
        <v>1125161774</v>
      </c>
      <c r="C2520" s="213">
        <f>IFERROR(__xludf.DUMMYFUNCTION("""COMPUTED_VALUE"""),45982.48925925926)</f>
        <v>45982.48926</v>
      </c>
      <c r="D2520" s="211" t="str">
        <f>IFERROR(__xludf.DUMMYFUNCTION("""COMPUTED_VALUE"""),"b218b89b")</f>
        <v>b218b89b</v>
      </c>
      <c r="E2520" s="211" t="str">
        <f>IFERROR(__xludf.DUMMYFUNCTION("""COMPUTED_VALUE"""),"PT Harapan Sentosa")</f>
        <v>PT Harapan Sentosa</v>
      </c>
      <c r="F2520" s="211" t="str">
        <f>IFERROR(__xludf.DUMMYFUNCTION("""COMPUTED_VALUE"""),"8bdbe149")</f>
        <v>8bdbe149</v>
      </c>
      <c r="G2520" s="211" t="str">
        <f>IFERROR(__xludf.DUMMYFUNCTION("""COMPUTED_VALUE"""),"Oksigen 6m3")</f>
        <v>Oksigen 6m3</v>
      </c>
      <c r="H2520" s="211" t="str">
        <f>IFERROR(__xludf.DUMMYFUNCTION("""COMPUTED_VALUE"""),"OUT")</f>
        <v>OUT</v>
      </c>
      <c r="I2520" s="211" t="str">
        <f>IFERROR(__xludf.DUMMYFUNCTION("""COMPUTED_VALUE"""),"NORMAL")</f>
        <v>NORMAL</v>
      </c>
      <c r="J2520" s="211">
        <f>IFERROR(__xludf.DUMMYFUNCTION("""COMPUTED_VALUE"""),10.0)</f>
        <v>10</v>
      </c>
      <c r="K2520" s="210" t="str">
        <f>IFERROR(__xludf.DUMMYFUNCTION("""COMPUTED_VALUE"""),"11127 11181 11258 1115 11207 11231 1166 11113 11193 11180")</f>
        <v>11127 11181 11258 1115 11207 11231 1166 11113 11193 11180</v>
      </c>
      <c r="L2520" s="211">
        <f>IFERROR(__xludf.DUMMYFUNCTION("""COMPUTED_VALUE"""),60000.0)</f>
        <v>60000</v>
      </c>
      <c r="M2520" s="211"/>
      <c r="N2520" s="211"/>
      <c r="O2520" s="211"/>
      <c r="Q2520" s="210" t="str">
        <f>IFERROR(__xludf.DUMMYFUNCTION("""COMPUTED_VALUE"""),"1251216")</f>
        <v>1251216</v>
      </c>
      <c r="R2520" s="210" t="str">
        <f>IFERROR(__xludf.DUMMYFUNCTION("""COMPUTED_VALUE"""),"1251216")</f>
        <v>1251216</v>
      </c>
      <c r="S2520" s="211" t="str">
        <f>IFERROR(__xludf.DUMMYFUNCTION("""COMPUTED_VALUE"""),"01158be1")</f>
        <v>01158be1</v>
      </c>
      <c r="T2520" s="211" t="str">
        <f>IFERROR(__xludf.DUMMYFUNCTION("""COMPUTED_VALUE"""),"GYF")</f>
        <v>GYF</v>
      </c>
      <c r="U2520" s="215">
        <f>IFERROR(__xludf.DUMMYFUNCTION("""COMPUTED_VALUE"""),46063.727106481485)</f>
        <v>46063.72711</v>
      </c>
      <c r="V2520" s="211" t="str">
        <f>IFERROR(__xludf.DUMMYFUNCTION("""COMPUTED_VALUE"""),"Kangkungan, Lengkong, Kec. Mojoanyar, Kabupaten Mojokerto, Jawa Timur")</f>
        <v>Kangkungan, Lengkong, Kec. Mojoanyar, Kabupaten Mojokerto, Jawa Timur</v>
      </c>
      <c r="W2520" s="211" t="str">
        <f>IFERROR(__xludf.DUMMYFUNCTION("""COMPUTED_VALUE"""),"IN")</f>
        <v>IN</v>
      </c>
      <c r="X2520" s="211"/>
    </row>
    <row r="2521">
      <c r="A2521" s="210" t="str">
        <f>IFERROR(__xludf.DUMMYFUNCTION("""COMPUTED_VALUE"""),"112531782")</f>
        <v>112531782</v>
      </c>
      <c r="B2521" s="210" t="str">
        <f>IFERROR(__xludf.DUMMYFUNCTION("""COMPUTED_VALUE"""),"112531782")</f>
        <v>112531782</v>
      </c>
      <c r="C2521" s="213">
        <f>IFERROR(__xludf.DUMMYFUNCTION("""COMPUTED_VALUE"""),45982.49140046296)</f>
        <v>45982.4914</v>
      </c>
      <c r="D2521" s="211" t="str">
        <f>IFERROR(__xludf.DUMMYFUNCTION("""COMPUTED_VALUE"""),"a0f0ad2d")</f>
        <v>a0f0ad2d</v>
      </c>
      <c r="E2521" s="211" t="str">
        <f>IFERROR(__xludf.DUMMYFUNCTION("""COMPUTED_VALUE"""),"CV. Yulie Jaya")</f>
        <v>CV. Yulie Jaya</v>
      </c>
      <c r="F2521" s="211" t="str">
        <f>IFERROR(__xludf.DUMMYFUNCTION("""COMPUTED_VALUE"""),"7d2764f1")</f>
        <v>7d2764f1</v>
      </c>
      <c r="G2521" s="211" t="str">
        <f>IFERROR(__xludf.DUMMYFUNCTION("""COMPUTED_VALUE"""),"Oksigen 7m3")</f>
        <v>Oksigen 7m3</v>
      </c>
      <c r="H2521" s="211" t="str">
        <f>IFERROR(__xludf.DUMMYFUNCTION("""COMPUTED_VALUE"""),"OUT")</f>
        <v>OUT</v>
      </c>
      <c r="I2521" s="211" t="str">
        <f>IFERROR(__xludf.DUMMYFUNCTION("""COMPUTED_VALUE"""),"NORMAL")</f>
        <v>NORMAL</v>
      </c>
      <c r="J2521" s="211">
        <f>IFERROR(__xludf.DUMMYFUNCTION("""COMPUTED_VALUE"""),10.0)</f>
        <v>10</v>
      </c>
      <c r="K2521" s="210" t="str">
        <f>IFERROR(__xludf.DUMMYFUNCTION("""COMPUTED_VALUE"""),"11149 11151 11226 11299 11300 11163 11141 11144 11160 11171")</f>
        <v>11149 11151 11226 11299 11300 11163 11141 11144 11160 11171</v>
      </c>
      <c r="L2521" s="211">
        <f>IFERROR(__xludf.DUMMYFUNCTION("""COMPUTED_VALUE"""),60000.0)</f>
        <v>60000</v>
      </c>
      <c r="M2521" s="211"/>
      <c r="N2521" s="211"/>
      <c r="O2521" s="211"/>
      <c r="Q2521" s="210" t="str">
        <f>IFERROR(__xludf.DUMMYFUNCTION("""COMPUTED_VALUE"""),"0226212516")</f>
        <v>0226212516</v>
      </c>
      <c r="R2521" s="210" t="str">
        <f>IFERROR(__xludf.DUMMYFUNCTION("""COMPUTED_VALUE"""),"0226212516")</f>
        <v>0226212516</v>
      </c>
      <c r="S2521" s="211" t="str">
        <f>IFERROR(__xludf.DUMMYFUNCTION("""COMPUTED_VALUE"""),"8ea74d81")</f>
        <v>8ea74d81</v>
      </c>
      <c r="T2521" s="211" t="str">
        <f>IFERROR(__xludf.DUMMYFUNCTION("""COMPUTED_VALUE"""),"Bengkel Adi Putra")</f>
        <v>Bengkel Adi Putra</v>
      </c>
      <c r="U2521" s="215">
        <f>IFERROR(__xludf.DUMMYFUNCTION("""COMPUTED_VALUE"""),46064.359664351854)</f>
        <v>46064.35966</v>
      </c>
      <c r="V2521" s="211" t="str">
        <f>IFERROR(__xludf.DUMMYFUNCTION("""COMPUTED_VALUE"""),"Bypass Balongbendo")</f>
        <v>Bypass Balongbendo</v>
      </c>
      <c r="W2521" s="211" t="str">
        <f>IFERROR(__xludf.DUMMYFUNCTION("""COMPUTED_VALUE"""),"OUT")</f>
        <v>OUT</v>
      </c>
      <c r="X2521" s="211"/>
    </row>
    <row r="2522">
      <c r="A2522" s="210" t="str">
        <f>IFERROR(__xludf.DUMMYFUNCTION("""COMPUTED_VALUE"""),"112531782")</f>
        <v>112531782</v>
      </c>
      <c r="B2522" s="210" t="str">
        <f>IFERROR(__xludf.DUMMYFUNCTION("""COMPUTED_VALUE"""),"112531782")</f>
        <v>112531782</v>
      </c>
      <c r="C2522" s="213">
        <f>IFERROR(__xludf.DUMMYFUNCTION("""COMPUTED_VALUE"""),45982.49140046296)</f>
        <v>45982.4914</v>
      </c>
      <c r="D2522" s="211" t="str">
        <f>IFERROR(__xludf.DUMMYFUNCTION("""COMPUTED_VALUE"""),"a0f0ad2d")</f>
        <v>a0f0ad2d</v>
      </c>
      <c r="E2522" s="211" t="str">
        <f>IFERROR(__xludf.DUMMYFUNCTION("""COMPUTED_VALUE"""),"CV. Yulie Jaya")</f>
        <v>CV. Yulie Jaya</v>
      </c>
      <c r="F2522" s="211" t="str">
        <f>IFERROR(__xludf.DUMMYFUNCTION("""COMPUTED_VALUE"""),"be525f3b")</f>
        <v>be525f3b</v>
      </c>
      <c r="G2522" s="211" t="str">
        <f>IFERROR(__xludf.DUMMYFUNCTION("""COMPUTED_VALUE"""),"LPG 12kg")</f>
        <v>LPG 12kg</v>
      </c>
      <c r="H2522" s="211" t="str">
        <f>IFERROR(__xludf.DUMMYFUNCTION("""COMPUTED_VALUE"""),"OUT")</f>
        <v>OUT</v>
      </c>
      <c r="I2522" s="211" t="str">
        <f>IFERROR(__xludf.DUMMYFUNCTION("""COMPUTED_VALUE"""),"NORMAL")</f>
        <v>NORMAL</v>
      </c>
      <c r="J2522" s="211">
        <f>IFERROR(__xludf.DUMMYFUNCTION("""COMPUTED_VALUE"""),1.0)</f>
        <v>1</v>
      </c>
      <c r="K2522" s="211"/>
      <c r="L2522" s="211">
        <f>IFERROR(__xludf.DUMMYFUNCTION("""COMPUTED_VALUE"""),215000.0)</f>
        <v>215000</v>
      </c>
      <c r="M2522" s="211"/>
      <c r="N2522" s="211"/>
      <c r="O2522" s="211"/>
      <c r="Q2522" s="210" t="str">
        <f>IFERROR(__xludf.DUMMYFUNCTION("""COMPUTED_VALUE"""),"1261217")</f>
        <v>1261217</v>
      </c>
      <c r="R2522" s="210" t="str">
        <f>IFERROR(__xludf.DUMMYFUNCTION("""COMPUTED_VALUE"""),"1261217")</f>
        <v>1261217</v>
      </c>
      <c r="S2522" s="211" t="str">
        <f>IFERROR(__xludf.DUMMYFUNCTION("""COMPUTED_VALUE"""),"8ea74d81")</f>
        <v>8ea74d81</v>
      </c>
      <c r="T2522" s="211" t="str">
        <f>IFERROR(__xludf.DUMMYFUNCTION("""COMPUTED_VALUE"""),"Bengkel Adi Putra")</f>
        <v>Bengkel Adi Putra</v>
      </c>
      <c r="U2522" s="215">
        <f>IFERROR(__xludf.DUMMYFUNCTION("""COMPUTED_VALUE"""),46064.41303240741)</f>
        <v>46064.41303</v>
      </c>
      <c r="V2522" s="211" t="str">
        <f>IFERROR(__xludf.DUMMYFUNCTION("""COMPUTED_VALUE"""),"Bypass Balongbendo")</f>
        <v>Bypass Balongbendo</v>
      </c>
      <c r="W2522" s="211" t="str">
        <f>IFERROR(__xludf.DUMMYFUNCTION("""COMPUTED_VALUE"""),"IN")</f>
        <v>IN</v>
      </c>
      <c r="X2522" s="211"/>
    </row>
    <row r="2523">
      <c r="A2523" s="210" t="str">
        <f>IFERROR(__xludf.DUMMYFUNCTION("""COMPUTED_VALUE"""),"1125101783")</f>
        <v>1125101783</v>
      </c>
      <c r="B2523" s="210" t="str">
        <f>IFERROR(__xludf.DUMMYFUNCTION("""COMPUTED_VALUE"""),"1125101783")</f>
        <v>1125101783</v>
      </c>
      <c r="C2523" s="213">
        <f>IFERROR(__xludf.DUMMYFUNCTION("""COMPUTED_VALUE"""),45982.49204861111)</f>
        <v>45982.49205</v>
      </c>
      <c r="D2523" s="211" t="str">
        <f>IFERROR(__xludf.DUMMYFUNCTION("""COMPUTED_VALUE"""),"8ea74d81")</f>
        <v>8ea74d81</v>
      </c>
      <c r="E2523" s="211" t="str">
        <f>IFERROR(__xludf.DUMMYFUNCTION("""COMPUTED_VALUE"""),"Bengkel Adi Putra")</f>
        <v>Bengkel Adi Putra</v>
      </c>
      <c r="F2523" s="211" t="str">
        <f>IFERROR(__xludf.DUMMYFUNCTION("""COMPUTED_VALUE"""),"8bdbe149")</f>
        <v>8bdbe149</v>
      </c>
      <c r="G2523" s="211" t="str">
        <f>IFERROR(__xludf.DUMMYFUNCTION("""COMPUTED_VALUE"""),"Oksigen 6m3")</f>
        <v>Oksigen 6m3</v>
      </c>
      <c r="H2523" s="211" t="str">
        <f>IFERROR(__xludf.DUMMYFUNCTION("""COMPUTED_VALUE"""),"OUT")</f>
        <v>OUT</v>
      </c>
      <c r="I2523" s="211" t="str">
        <f>IFERROR(__xludf.DUMMYFUNCTION("""COMPUTED_VALUE"""),"NORMAL")</f>
        <v>NORMAL</v>
      </c>
      <c r="J2523" s="211">
        <f>IFERROR(__xludf.DUMMYFUNCTION("""COMPUTED_VALUE"""),2.0)</f>
        <v>2</v>
      </c>
      <c r="K2523" s="210" t="str">
        <f>IFERROR(__xludf.DUMMYFUNCTION("""COMPUTED_VALUE"""),"1111 11101")</f>
        <v>1111 11101</v>
      </c>
      <c r="L2523" s="211">
        <f>IFERROR(__xludf.DUMMYFUNCTION("""COMPUTED_VALUE"""),70000.0)</f>
        <v>70000</v>
      </c>
      <c r="M2523" s="211"/>
      <c r="N2523" s="211"/>
      <c r="O2523" s="211"/>
      <c r="Q2523" s="210" t="str">
        <f>IFERROR(__xludf.DUMMYFUNCTION("""COMPUTED_VALUE"""),"0226122522")</f>
        <v>0226122522</v>
      </c>
      <c r="R2523" s="210" t="str">
        <f>IFERROR(__xludf.DUMMYFUNCTION("""COMPUTED_VALUE"""),"0226122522")</f>
        <v>0226122522</v>
      </c>
      <c r="S2523" s="211" t="str">
        <f>IFERROR(__xludf.DUMMYFUNCTION("""COMPUTED_VALUE"""),"3b04351a")</f>
        <v>3b04351a</v>
      </c>
      <c r="T2523" s="211" t="str">
        <f>IFERROR(__xludf.DUMMYFUNCTION("""COMPUTED_VALUE"""),"CV Usaha Logam Jaya")</f>
        <v>CV Usaha Logam Jaya</v>
      </c>
      <c r="U2523" s="215">
        <f>IFERROR(__xludf.DUMMYFUNCTION("""COMPUTED_VALUE"""),46064.4174537037)</f>
        <v>46064.41745</v>
      </c>
      <c r="V2523" s="211" t="str">
        <f>IFERROR(__xludf.DUMMYFUNCTION("""COMPUTED_VALUE"""),"Jl. Jetis Karya, Wonorejo, Jetis, Kec. Jetis, Kabupaten Mojokerto, Jawa Timur 61352")</f>
        <v>Jl. Jetis Karya, Wonorejo, Jetis, Kec. Jetis, Kabupaten Mojokerto, Jawa Timur 61352</v>
      </c>
      <c r="W2523" s="211" t="str">
        <f>IFERROR(__xludf.DUMMYFUNCTION("""COMPUTED_VALUE"""),"OUT")</f>
        <v>OUT</v>
      </c>
      <c r="X2523" s="211"/>
    </row>
    <row r="2524">
      <c r="A2524" s="210" t="str">
        <f>IFERROR(__xludf.DUMMYFUNCTION("""COMPUTED_VALUE"""),"1125111784")</f>
        <v>1125111784</v>
      </c>
      <c r="B2524" s="210" t="str">
        <f>IFERROR(__xludf.DUMMYFUNCTION("""COMPUTED_VALUE"""),"1125111784")</f>
        <v>1125111784</v>
      </c>
      <c r="C2524" s="213">
        <f>IFERROR(__xludf.DUMMYFUNCTION("""COMPUTED_VALUE"""),45982.49234953704)</f>
        <v>45982.49235</v>
      </c>
      <c r="D2524" s="211" t="str">
        <f>IFERROR(__xludf.DUMMYFUNCTION("""COMPUTED_VALUE"""),"8ea74d81")</f>
        <v>8ea74d81</v>
      </c>
      <c r="E2524" s="211" t="str">
        <f>IFERROR(__xludf.DUMMYFUNCTION("""COMPUTED_VALUE"""),"Bengkel Adi Putra")</f>
        <v>Bengkel Adi Putra</v>
      </c>
      <c r="F2524" s="211" t="str">
        <f>IFERROR(__xludf.DUMMYFUNCTION("""COMPUTED_VALUE"""),"8bdbe149")</f>
        <v>8bdbe149</v>
      </c>
      <c r="G2524" s="211" t="str">
        <f>IFERROR(__xludf.DUMMYFUNCTION("""COMPUTED_VALUE"""),"Oksigen 6m3")</f>
        <v>Oksigen 6m3</v>
      </c>
      <c r="H2524" s="211" t="str">
        <f>IFERROR(__xludf.DUMMYFUNCTION("""COMPUTED_VALUE"""),"OUT")</f>
        <v>OUT</v>
      </c>
      <c r="I2524" s="211" t="str">
        <f>IFERROR(__xludf.DUMMYFUNCTION("""COMPUTED_VALUE"""),"NORMAL")</f>
        <v>NORMAL</v>
      </c>
      <c r="J2524" s="211">
        <f>IFERROR(__xludf.DUMMYFUNCTION("""COMPUTED_VALUE"""),2.0)</f>
        <v>2</v>
      </c>
      <c r="K2524" s="210" t="str">
        <f>IFERROR(__xludf.DUMMYFUNCTION("""COMPUTED_VALUE"""),"1195 11185")</f>
        <v>1195 11185</v>
      </c>
      <c r="L2524" s="211">
        <f>IFERROR(__xludf.DUMMYFUNCTION("""COMPUTED_VALUE"""),70000.0)</f>
        <v>70000</v>
      </c>
      <c r="M2524" s="211"/>
      <c r="N2524" s="211"/>
      <c r="O2524" s="211"/>
      <c r="Q2524" s="210" t="str">
        <f>IFERROR(__xludf.DUMMYFUNCTION("""COMPUTED_VALUE"""),"0226142524")</f>
        <v>0226142524</v>
      </c>
      <c r="R2524" s="210" t="str">
        <f>IFERROR(__xludf.DUMMYFUNCTION("""COMPUTED_VALUE"""),"0226142524")</f>
        <v>0226142524</v>
      </c>
      <c r="S2524" s="211" t="str">
        <f>IFERROR(__xludf.DUMMYFUNCTION("""COMPUTED_VALUE"""),"f8a982a4")</f>
        <v>f8a982a4</v>
      </c>
      <c r="T2524" s="211" t="str">
        <f>IFERROR(__xludf.DUMMYFUNCTION("""COMPUTED_VALUE"""),"Bpk. Nasir")</f>
        <v>Bpk. Nasir</v>
      </c>
      <c r="U2524" s="215">
        <f>IFERROR(__xludf.DUMMYFUNCTION("""COMPUTED_VALUE"""),46064.533101851855)</f>
        <v>46064.5331</v>
      </c>
      <c r="V2524" s="211" t="str">
        <f>IFERROR(__xludf.DUMMYFUNCTION("""COMPUTED_VALUE"""),"JL Raya Pacet, Dsn. Janti Ds. Jatilangkung RT.01 RW. 04. Kabupaten. Mojokerto Pungging, Jawa Timur")</f>
        <v>JL Raya Pacet, Dsn. Janti Ds. Jatilangkung RT.01 RW. 04. Kabupaten. Mojokerto Pungging, Jawa Timur</v>
      </c>
      <c r="W2524" s="211" t="str">
        <f>IFERROR(__xludf.DUMMYFUNCTION("""COMPUTED_VALUE"""),"OUT")</f>
        <v>OUT</v>
      </c>
      <c r="X2524" s="211"/>
    </row>
    <row r="2525">
      <c r="A2525" s="210" t="str">
        <f>IFERROR(__xludf.DUMMYFUNCTION("""COMPUTED_VALUE"""),"1125111784")</f>
        <v>1125111784</v>
      </c>
      <c r="B2525" s="210" t="str">
        <f>IFERROR(__xludf.DUMMYFUNCTION("""COMPUTED_VALUE"""),"1125111784")</f>
        <v>1125111784</v>
      </c>
      <c r="C2525" s="213">
        <f>IFERROR(__xludf.DUMMYFUNCTION("""COMPUTED_VALUE"""),45982.49234953704)</f>
        <v>45982.49235</v>
      </c>
      <c r="D2525" s="211" t="str">
        <f>IFERROR(__xludf.DUMMYFUNCTION("""COMPUTED_VALUE"""),"8ea74d81")</f>
        <v>8ea74d81</v>
      </c>
      <c r="E2525" s="211" t="str">
        <f>IFERROR(__xludf.DUMMYFUNCTION("""COMPUTED_VALUE"""),"Bengkel Adi Putra")</f>
        <v>Bengkel Adi Putra</v>
      </c>
      <c r="F2525" s="211" t="str">
        <f>IFERROR(__xludf.DUMMYFUNCTION("""COMPUTED_VALUE"""),"ef306e54")</f>
        <v>ef306e54</v>
      </c>
      <c r="G2525" s="211" t="str">
        <f>IFERROR(__xludf.DUMMYFUNCTION("""COMPUTED_VALUE"""),"Karbondioksida")</f>
        <v>Karbondioksida</v>
      </c>
      <c r="H2525" s="211" t="str">
        <f>IFERROR(__xludf.DUMMYFUNCTION("""COMPUTED_VALUE"""),"OUT")</f>
        <v>OUT</v>
      </c>
      <c r="I2525" s="211" t="str">
        <f>IFERROR(__xludf.DUMMYFUNCTION("""COMPUTED_VALUE"""),"NORMAL")</f>
        <v>NORMAL</v>
      </c>
      <c r="J2525" s="211">
        <f>IFERROR(__xludf.DUMMYFUNCTION("""COMPUTED_VALUE"""),1.0)</f>
        <v>1</v>
      </c>
      <c r="K2525" s="210" t="str">
        <f>IFERROR(__xludf.DUMMYFUNCTION("""COMPUTED_VALUE"""),"13018")</f>
        <v>13018</v>
      </c>
      <c r="L2525" s="211">
        <f>IFERROR(__xludf.DUMMYFUNCTION("""COMPUTED_VALUE"""),180000.0)</f>
        <v>180000</v>
      </c>
      <c r="M2525" s="211"/>
      <c r="N2525" s="211"/>
      <c r="O2525" s="211"/>
      <c r="Q2525" s="210" t="str">
        <f>IFERROR(__xludf.DUMMYFUNCTION("""COMPUTED_VALUE"""),"022642525")</f>
        <v>022642525</v>
      </c>
      <c r="R2525" s="210" t="str">
        <f>IFERROR(__xludf.DUMMYFUNCTION("""COMPUTED_VALUE"""),"022642525")</f>
        <v>022642525</v>
      </c>
      <c r="S2525" s="211" t="str">
        <f>IFERROR(__xludf.DUMMYFUNCTION("""COMPUTED_VALUE"""),"1a1efff9")</f>
        <v>1a1efff9</v>
      </c>
      <c r="T2525" s="211" t="str">
        <f>IFERROR(__xludf.DUMMYFUNCTION("""COMPUTED_VALUE"""),"Bpk. Gito Mjs")</f>
        <v>Bpk. Gito Mjs</v>
      </c>
      <c r="U2525" s="215">
        <f>IFERROR(__xludf.DUMMYFUNCTION("""COMPUTED_VALUE"""),46064.53320601852)</f>
        <v>46064.53321</v>
      </c>
      <c r="V2525" s="211" t="str">
        <f>IFERROR(__xludf.DUMMYFUNCTION("""COMPUTED_VALUE"""),"FGRX+QQP, Kemloko, Jotangan, Kec. Mojosari, Kabupaten Mojokerto, Jawa Timur 61382")</f>
        <v>FGRX+QQP, Kemloko, Jotangan, Kec. Mojosari, Kabupaten Mojokerto, Jawa Timur 61382</v>
      </c>
      <c r="W2525" s="211" t="str">
        <f>IFERROR(__xludf.DUMMYFUNCTION("""COMPUTED_VALUE"""),"OUT")</f>
        <v>OUT</v>
      </c>
      <c r="X2525" s="211"/>
    </row>
    <row r="2526">
      <c r="A2526" s="210" t="str">
        <f>IFERROR(__xludf.DUMMYFUNCTION("""COMPUTED_VALUE"""),"1125101785")</f>
        <v>1125101785</v>
      </c>
      <c r="B2526" s="210" t="str">
        <f>IFERROR(__xludf.DUMMYFUNCTION("""COMPUTED_VALUE"""),"1125101785")</f>
        <v>1125101785</v>
      </c>
      <c r="C2526" s="213">
        <f>IFERROR(__xludf.DUMMYFUNCTION("""COMPUTED_VALUE"""),45982.539976851855)</f>
        <v>45982.53998</v>
      </c>
      <c r="D2526" s="211" t="str">
        <f>IFERROR(__xludf.DUMMYFUNCTION("""COMPUTED_VALUE"""),"faf71ae5")</f>
        <v>faf71ae5</v>
      </c>
      <c r="E2526" s="211" t="str">
        <f>IFERROR(__xludf.DUMMYFUNCTION("""COMPUTED_VALUE"""),"Bpk. Sampurna")</f>
        <v>Bpk. Sampurna</v>
      </c>
      <c r="F2526" s="211" t="str">
        <f>IFERROR(__xludf.DUMMYFUNCTION("""COMPUTED_VALUE"""),"8bdbe149")</f>
        <v>8bdbe149</v>
      </c>
      <c r="G2526" s="211" t="str">
        <f>IFERROR(__xludf.DUMMYFUNCTION("""COMPUTED_VALUE"""),"Oksigen 6m3")</f>
        <v>Oksigen 6m3</v>
      </c>
      <c r="H2526" s="211" t="str">
        <f>IFERROR(__xludf.DUMMYFUNCTION("""COMPUTED_VALUE"""),"OUT")</f>
        <v>OUT</v>
      </c>
      <c r="I2526" s="211" t="str">
        <f>IFERROR(__xludf.DUMMYFUNCTION("""COMPUTED_VALUE"""),"NORMAL")</f>
        <v>NORMAL</v>
      </c>
      <c r="J2526" s="211">
        <f>IFERROR(__xludf.DUMMYFUNCTION("""COMPUTED_VALUE"""),4.0)</f>
        <v>4</v>
      </c>
      <c r="K2526" s="210" t="str">
        <f>IFERROR(__xludf.DUMMYFUNCTION("""COMPUTED_VALUE"""),"1102 1140 11281 1173")</f>
        <v>1102 1140 11281 1173</v>
      </c>
      <c r="L2526" s="211">
        <f>IFERROR(__xludf.DUMMYFUNCTION("""COMPUTED_VALUE"""),55000.0)</f>
        <v>55000</v>
      </c>
      <c r="M2526" s="211"/>
      <c r="N2526" s="211"/>
      <c r="O2526" s="211"/>
      <c r="Q2526" s="210" t="str">
        <f>IFERROR(__xludf.DUMMYFUNCTION("""COMPUTED_VALUE"""),"022642526")</f>
        <v>022642526</v>
      </c>
      <c r="R2526" s="210" t="str">
        <f>IFERROR(__xludf.DUMMYFUNCTION("""COMPUTED_VALUE"""),"022642526")</f>
        <v>022642526</v>
      </c>
      <c r="S2526" s="211" t="str">
        <f>IFERROR(__xludf.DUMMYFUNCTION("""COMPUTED_VALUE"""),"d46989c9")</f>
        <v>d46989c9</v>
      </c>
      <c r="T2526" s="211" t="str">
        <f>IFERROR(__xludf.DUMMYFUNCTION("""COMPUTED_VALUE"""),"UD. Alin Jaya")</f>
        <v>UD. Alin Jaya</v>
      </c>
      <c r="U2526" s="215">
        <f>IFERROR(__xludf.DUMMYFUNCTION("""COMPUTED_VALUE"""),46064.57944444445)</f>
        <v>46064.57944</v>
      </c>
      <c r="V2526"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526" s="211" t="str">
        <f>IFERROR(__xludf.DUMMYFUNCTION("""COMPUTED_VALUE"""),"OUT")</f>
        <v>OUT</v>
      </c>
      <c r="X2526" s="211"/>
    </row>
    <row r="2527">
      <c r="A2527" s="210" t="str">
        <f>IFERROR(__xludf.DUMMYFUNCTION("""COMPUTED_VALUE"""),"1250843")</f>
        <v>1250843</v>
      </c>
      <c r="B2527" s="210" t="str">
        <f>IFERROR(__xludf.DUMMYFUNCTION("""COMPUTED_VALUE"""),"1250843")</f>
        <v>1250843</v>
      </c>
      <c r="C2527" s="213">
        <f>IFERROR(__xludf.DUMMYFUNCTION("""COMPUTED_VALUE"""),45982.61571759259)</f>
        <v>45982.61572</v>
      </c>
      <c r="D2527" s="211" t="str">
        <f>IFERROR(__xludf.DUMMYFUNCTION("""COMPUTED_VALUE"""),"8ea74d81")</f>
        <v>8ea74d81</v>
      </c>
      <c r="E2527" s="211" t="str">
        <f>IFERROR(__xludf.DUMMYFUNCTION("""COMPUTED_VALUE"""),"Bengkel Adi Putra")</f>
        <v>Bengkel Adi Putra</v>
      </c>
      <c r="F2527" s="211" t="str">
        <f>IFERROR(__xludf.DUMMYFUNCTION("""COMPUTED_VALUE"""),"8bdbe149")</f>
        <v>8bdbe149</v>
      </c>
      <c r="G2527" s="211" t="str">
        <f>IFERROR(__xludf.DUMMYFUNCTION("""COMPUTED_VALUE"""),"Oksigen 6m3")</f>
        <v>Oksigen 6m3</v>
      </c>
      <c r="H2527" s="211" t="str">
        <f>IFERROR(__xludf.DUMMYFUNCTION("""COMPUTED_VALUE"""),"IN")</f>
        <v>IN</v>
      </c>
      <c r="I2527" s="211" t="str">
        <f>IFERROR(__xludf.DUMMYFUNCTION("""COMPUTED_VALUE"""),"EMPTY")</f>
        <v>EMPTY</v>
      </c>
      <c r="J2527" s="211">
        <f>IFERROR(__xludf.DUMMYFUNCTION("""COMPUTED_VALUE"""),3.0)</f>
        <v>3</v>
      </c>
      <c r="K2527" s="210" t="str">
        <f>IFERROR(__xludf.DUMMYFUNCTION("""COMPUTED_VALUE"""),"11242 1153 11122")</f>
        <v>11242 1153 11122</v>
      </c>
      <c r="L2527" s="211">
        <f>IFERROR(__xludf.DUMMYFUNCTION("""COMPUTED_VALUE"""),0.0)</f>
        <v>0</v>
      </c>
      <c r="M2527" s="211"/>
      <c r="N2527" s="211"/>
      <c r="O2527" s="211"/>
      <c r="Q2527" s="210" t="str">
        <f>IFERROR(__xludf.DUMMYFUNCTION("""COMPUTED_VALUE"""),"0226102527")</f>
        <v>0226102527</v>
      </c>
      <c r="R2527" s="210" t="str">
        <f>IFERROR(__xludf.DUMMYFUNCTION("""COMPUTED_VALUE"""),"0226102527")</f>
        <v>0226102527</v>
      </c>
      <c r="S2527" s="211" t="str">
        <f>IFERROR(__xludf.DUMMYFUNCTION("""COMPUTED_VALUE"""),"03ff52db")</f>
        <v>03ff52db</v>
      </c>
      <c r="T2527" s="211" t="str">
        <f>IFERROR(__xludf.DUMMYFUNCTION("""COMPUTED_VALUE"""),"Aneka Teknik Logam")</f>
        <v>Aneka Teknik Logam</v>
      </c>
      <c r="U2527" s="215">
        <f>IFERROR(__xludf.DUMMYFUNCTION("""COMPUTED_VALUE"""),46064.581458333334)</f>
        <v>46064.58146</v>
      </c>
      <c r="V2527" s="211" t="str">
        <f>IFERROR(__xludf.DUMMYFUNCTION("""COMPUTED_VALUE"""),"HH8G+MQC, Areng Areng, Tropodo, Kec. Krian, Kabupaten Sidoarjo, Jawa Timur 61262")</f>
        <v>HH8G+MQC, Areng Areng, Tropodo, Kec. Krian, Kabupaten Sidoarjo, Jawa Timur 61262</v>
      </c>
      <c r="W2527" s="211" t="str">
        <f>IFERROR(__xludf.DUMMYFUNCTION("""COMPUTED_VALUE"""),"OUT")</f>
        <v>OUT</v>
      </c>
      <c r="X2527" s="211"/>
    </row>
    <row r="2528">
      <c r="A2528" s="210" t="str">
        <f>IFERROR(__xludf.DUMMYFUNCTION("""COMPUTED_VALUE"""),"1250843")</f>
        <v>1250843</v>
      </c>
      <c r="B2528" s="210" t="str">
        <f>IFERROR(__xludf.DUMMYFUNCTION("""COMPUTED_VALUE"""),"1250843")</f>
        <v>1250843</v>
      </c>
      <c r="C2528" s="213">
        <f>IFERROR(__xludf.DUMMYFUNCTION("""COMPUTED_VALUE"""),45982.61571759259)</f>
        <v>45982.61572</v>
      </c>
      <c r="D2528" s="211" t="str">
        <f>IFERROR(__xludf.DUMMYFUNCTION("""COMPUTED_VALUE"""),"8ea74d81")</f>
        <v>8ea74d81</v>
      </c>
      <c r="E2528" s="211" t="str">
        <f>IFERROR(__xludf.DUMMYFUNCTION("""COMPUTED_VALUE"""),"Bengkel Adi Putra")</f>
        <v>Bengkel Adi Putra</v>
      </c>
      <c r="F2528" s="211" t="str">
        <f>IFERROR(__xludf.DUMMYFUNCTION("""COMPUTED_VALUE"""),"ef306e54")</f>
        <v>ef306e54</v>
      </c>
      <c r="G2528" s="211" t="str">
        <f>IFERROR(__xludf.DUMMYFUNCTION("""COMPUTED_VALUE"""),"Karbondioksida")</f>
        <v>Karbondioksida</v>
      </c>
      <c r="H2528" s="211" t="str">
        <f>IFERROR(__xludf.DUMMYFUNCTION("""COMPUTED_VALUE"""),"IN")</f>
        <v>IN</v>
      </c>
      <c r="I2528" s="211" t="str">
        <f>IFERROR(__xludf.DUMMYFUNCTION("""COMPUTED_VALUE"""),"EMPTY")</f>
        <v>EMPTY</v>
      </c>
      <c r="J2528" s="211">
        <f>IFERROR(__xludf.DUMMYFUNCTION("""COMPUTED_VALUE"""),1.0)</f>
        <v>1</v>
      </c>
      <c r="K2528" s="210" t="str">
        <f>IFERROR(__xludf.DUMMYFUNCTION("""COMPUTED_VALUE"""),"13039")</f>
        <v>13039</v>
      </c>
      <c r="L2528" s="211">
        <f>IFERROR(__xludf.DUMMYFUNCTION("""COMPUTED_VALUE"""),0.0)</f>
        <v>0</v>
      </c>
      <c r="M2528" s="211"/>
      <c r="N2528" s="211"/>
      <c r="O2528" s="211"/>
      <c r="Q2528" s="210" t="str">
        <f>IFERROR(__xludf.DUMMYFUNCTION("""COMPUTED_VALUE"""),"1261245")</f>
        <v>1261245</v>
      </c>
      <c r="R2528" s="210" t="str">
        <f>IFERROR(__xludf.DUMMYFUNCTION("""COMPUTED_VALUE"""),"1261245")</f>
        <v>1261245</v>
      </c>
      <c r="S2528" s="211" t="str">
        <f>IFERROR(__xludf.DUMMYFUNCTION("""COMPUTED_VALUE"""),"d46989c9")</f>
        <v>d46989c9</v>
      </c>
      <c r="T2528" s="211" t="str">
        <f>IFERROR(__xludf.DUMMYFUNCTION("""COMPUTED_VALUE"""),"UD. Alin Jaya")</f>
        <v>UD. Alin Jaya</v>
      </c>
      <c r="U2528" s="215">
        <f>IFERROR(__xludf.DUMMYFUNCTION("""COMPUTED_VALUE"""),46065.35418981482)</f>
        <v>46065.35419</v>
      </c>
      <c r="V2528" s="211" t="str">
        <f>IFERROR(__xludf.DUMMYFUNCTION("""COMPUTED_VALUE"""),"HFJQ+5MF, Jl. Raya Ciro, RT.14/RW.04, Temenggungan, Bakungtemenggungan, Kec. BalongBendo, Kabupaten Sidoarjo, Jawa Timur 61263")</f>
        <v>HFJQ+5MF, Jl. Raya Ciro, RT.14/RW.04, Temenggungan, Bakungtemenggungan, Kec. BalongBendo, Kabupaten Sidoarjo, Jawa Timur 61263</v>
      </c>
      <c r="W2528" s="211" t="str">
        <f>IFERROR(__xludf.DUMMYFUNCTION("""COMPUTED_VALUE"""),"IN")</f>
        <v>IN</v>
      </c>
      <c r="X2528" s="211"/>
    </row>
    <row r="2529">
      <c r="A2529" s="210" t="str">
        <f>IFERROR(__xludf.DUMMYFUNCTION("""COMPUTED_VALUE"""),"1250844")</f>
        <v>1250844</v>
      </c>
      <c r="B2529" s="210" t="str">
        <f>IFERROR(__xludf.DUMMYFUNCTION("""COMPUTED_VALUE"""),"1250844")</f>
        <v>1250844</v>
      </c>
      <c r="C2529" s="213">
        <f>IFERROR(__xludf.DUMMYFUNCTION("""COMPUTED_VALUE"""),45982.61809027778)</f>
        <v>45982.61809</v>
      </c>
      <c r="D2529" s="211" t="str">
        <f>IFERROR(__xludf.DUMMYFUNCTION("""COMPUTED_VALUE"""),"a0f0ad2d")</f>
        <v>a0f0ad2d</v>
      </c>
      <c r="E2529" s="211" t="str">
        <f>IFERROR(__xludf.DUMMYFUNCTION("""COMPUTED_VALUE"""),"CV. Yulie Jaya")</f>
        <v>CV. Yulie Jaya</v>
      </c>
      <c r="F2529" s="211" t="str">
        <f>IFERROR(__xludf.DUMMYFUNCTION("""COMPUTED_VALUE"""),"8bdbe149")</f>
        <v>8bdbe149</v>
      </c>
      <c r="G2529" s="211" t="str">
        <f>IFERROR(__xludf.DUMMYFUNCTION("""COMPUTED_VALUE"""),"Oksigen 6m3")</f>
        <v>Oksigen 6m3</v>
      </c>
      <c r="H2529" s="211" t="str">
        <f>IFERROR(__xludf.DUMMYFUNCTION("""COMPUTED_VALUE"""),"IN")</f>
        <v>IN</v>
      </c>
      <c r="I2529" s="211" t="str">
        <f>IFERROR(__xludf.DUMMYFUNCTION("""COMPUTED_VALUE"""),"EMPTY")</f>
        <v>EMPTY</v>
      </c>
      <c r="J2529" s="211">
        <f>IFERROR(__xludf.DUMMYFUNCTION("""COMPUTED_VALUE"""),0.0)</f>
        <v>0</v>
      </c>
      <c r="K2529" s="211"/>
      <c r="L2529" s="211">
        <f>IFERROR(__xludf.DUMMYFUNCTION("""COMPUTED_VALUE"""),0.0)</f>
        <v>0</v>
      </c>
      <c r="M2529" s="211"/>
      <c r="N2529" s="211"/>
      <c r="O2529" s="211"/>
      <c r="Q2529" s="210" t="str">
        <f>IFERROR(__xludf.DUMMYFUNCTION("""COMPUTED_VALUE"""),"1261231")</f>
        <v>1261231</v>
      </c>
      <c r="R2529" s="210" t="str">
        <f>IFERROR(__xludf.DUMMYFUNCTION("""COMPUTED_VALUE"""),"1261231")</f>
        <v>1261231</v>
      </c>
      <c r="S2529" s="211" t="str">
        <f>IFERROR(__xludf.DUMMYFUNCTION("""COMPUTED_VALUE"""),"e76bc39c")</f>
        <v>e76bc39c</v>
      </c>
      <c r="T2529" s="211" t="str">
        <f>IFERROR(__xludf.DUMMYFUNCTION("""COMPUTED_VALUE"""),"Bpk. Irul")</f>
        <v>Bpk. Irul</v>
      </c>
      <c r="U2529" s="215">
        <f>IFERROR(__xludf.DUMMYFUNCTION("""COMPUTED_VALUE"""),46065.357465277775)</f>
        <v>46065.35747</v>
      </c>
      <c r="V2529" s="211" t="str">
        <f>IFERROR(__xludf.DUMMYFUNCTION("""COMPUTED_VALUE"""),"Jl. Mayjen Bambang Yuwono, Ciro Kulon, Bakungtemenggungan, Kec. BalongBendo, Kabupaten Sidoarjo, Jawa Timur 61263")</f>
        <v>Jl. Mayjen Bambang Yuwono, Ciro Kulon, Bakungtemenggungan, Kec. BalongBendo, Kabupaten Sidoarjo, Jawa Timur 61263</v>
      </c>
      <c r="W2529" s="211" t="str">
        <f>IFERROR(__xludf.DUMMYFUNCTION("""COMPUTED_VALUE"""),"IN")</f>
        <v>IN</v>
      </c>
      <c r="X2529" s="211"/>
    </row>
    <row r="2530">
      <c r="A2530" s="210" t="str">
        <f>IFERROR(__xludf.DUMMYFUNCTION("""COMPUTED_VALUE"""),"1250844")</f>
        <v>1250844</v>
      </c>
      <c r="B2530" s="210" t="str">
        <f>IFERROR(__xludf.DUMMYFUNCTION("""COMPUTED_VALUE"""),"1250844")</f>
        <v>1250844</v>
      </c>
      <c r="C2530" s="213">
        <f>IFERROR(__xludf.DUMMYFUNCTION("""COMPUTED_VALUE"""),45982.61809027778)</f>
        <v>45982.61809</v>
      </c>
      <c r="D2530" s="211" t="str">
        <f>IFERROR(__xludf.DUMMYFUNCTION("""COMPUTED_VALUE"""),"a0f0ad2d")</f>
        <v>a0f0ad2d</v>
      </c>
      <c r="E2530" s="211" t="str">
        <f>IFERROR(__xludf.DUMMYFUNCTION("""COMPUTED_VALUE"""),"CV. Yulie Jaya")</f>
        <v>CV. Yulie Jaya</v>
      </c>
      <c r="F2530" s="211" t="str">
        <f>IFERROR(__xludf.DUMMYFUNCTION("""COMPUTED_VALUE"""),"7d2764f1")</f>
        <v>7d2764f1</v>
      </c>
      <c r="G2530" s="211" t="str">
        <f>IFERROR(__xludf.DUMMYFUNCTION("""COMPUTED_VALUE"""),"Oksigen 7m3")</f>
        <v>Oksigen 7m3</v>
      </c>
      <c r="H2530" s="211" t="str">
        <f>IFERROR(__xludf.DUMMYFUNCTION("""COMPUTED_VALUE"""),"IN")</f>
        <v>IN</v>
      </c>
      <c r="I2530" s="211" t="str">
        <f>IFERROR(__xludf.DUMMYFUNCTION("""COMPUTED_VALUE"""),"EMPTY")</f>
        <v>EMPTY</v>
      </c>
      <c r="J2530" s="211">
        <f>IFERROR(__xludf.DUMMYFUNCTION("""COMPUTED_VALUE"""),7.0)</f>
        <v>7</v>
      </c>
      <c r="K2530" s="210" t="str">
        <f>IFERROR(__xludf.DUMMYFUNCTION("""COMPUTED_VALUE"""),"11213 11223 11214 11219 11222 11305 11307")</f>
        <v>11213 11223 11214 11219 11222 11305 11307</v>
      </c>
      <c r="L2530" s="211">
        <f>IFERROR(__xludf.DUMMYFUNCTION("""COMPUTED_VALUE"""),0.0)</f>
        <v>0</v>
      </c>
      <c r="M2530" s="211"/>
      <c r="N2530" s="211"/>
      <c r="O2530" s="211"/>
      <c r="Q2530" s="210" t="str">
        <f>IFERROR(__xludf.DUMMYFUNCTION("""COMPUTED_VALUE"""),"1261220")</f>
        <v>1261220</v>
      </c>
      <c r="R2530" s="210" t="str">
        <f>IFERROR(__xludf.DUMMYFUNCTION("""COMPUTED_VALUE"""),"1261220")</f>
        <v>1261220</v>
      </c>
      <c r="S2530" s="211" t="str">
        <f>IFERROR(__xludf.DUMMYFUNCTION("""COMPUTED_VALUE"""),"f8a982a4")</f>
        <v>f8a982a4</v>
      </c>
      <c r="T2530" s="211" t="str">
        <f>IFERROR(__xludf.DUMMYFUNCTION("""COMPUTED_VALUE"""),"Bpk. Nasir")</f>
        <v>Bpk. Nasir</v>
      </c>
      <c r="U2530" s="215">
        <f>IFERROR(__xludf.DUMMYFUNCTION("""COMPUTED_VALUE"""),46065.357986111114)</f>
        <v>46065.35799</v>
      </c>
      <c r="V2530" s="211" t="str">
        <f>IFERROR(__xludf.DUMMYFUNCTION("""COMPUTED_VALUE"""),"JL Raya Pacet, Dsn. Janti Ds. Jatilangkung RT.01 RW. 04. Kabupaten. Mojokerto Pungging, Jawa Timur")</f>
        <v>JL Raya Pacet, Dsn. Janti Ds. Jatilangkung RT.01 RW. 04. Kabupaten. Mojokerto Pungging, Jawa Timur</v>
      </c>
      <c r="W2530" s="211" t="str">
        <f>IFERROR(__xludf.DUMMYFUNCTION("""COMPUTED_VALUE"""),"IN")</f>
        <v>IN</v>
      </c>
      <c r="X2530" s="211"/>
    </row>
    <row r="2531">
      <c r="A2531" s="210" t="str">
        <f>IFERROR(__xludf.DUMMYFUNCTION("""COMPUTED_VALUE"""),"1250812")</f>
        <v>1250812</v>
      </c>
      <c r="B2531" s="210" t="str">
        <f>IFERROR(__xludf.DUMMYFUNCTION("""COMPUTED_VALUE"""),"1250812")</f>
        <v>1250812</v>
      </c>
      <c r="C2531" s="213">
        <f>IFERROR(__xludf.DUMMYFUNCTION("""COMPUTED_VALUE"""),45982.64460648148)</f>
        <v>45982.64461</v>
      </c>
      <c r="D2531" s="211" t="str">
        <f>IFERROR(__xludf.DUMMYFUNCTION("""COMPUTED_VALUE"""),"b218b89b")</f>
        <v>b218b89b</v>
      </c>
      <c r="E2531" s="211" t="str">
        <f>IFERROR(__xludf.DUMMYFUNCTION("""COMPUTED_VALUE"""),"PT Harapan Sentosa")</f>
        <v>PT Harapan Sentosa</v>
      </c>
      <c r="F2531" s="211" t="str">
        <f>IFERROR(__xludf.DUMMYFUNCTION("""COMPUTED_VALUE"""),"8bdbe149")</f>
        <v>8bdbe149</v>
      </c>
      <c r="G2531" s="211" t="str">
        <f>IFERROR(__xludf.DUMMYFUNCTION("""COMPUTED_VALUE"""),"Oksigen 6m3")</f>
        <v>Oksigen 6m3</v>
      </c>
      <c r="H2531" s="211" t="str">
        <f>IFERROR(__xludf.DUMMYFUNCTION("""COMPUTED_VALUE"""),"IN")</f>
        <v>IN</v>
      </c>
      <c r="I2531" s="211" t="str">
        <f>IFERROR(__xludf.DUMMYFUNCTION("""COMPUTED_VALUE"""),"EMPTY")</f>
        <v>EMPTY</v>
      </c>
      <c r="J2531" s="211">
        <f>IFERROR(__xludf.DUMMYFUNCTION("""COMPUTED_VALUE"""),3.0)</f>
        <v>3</v>
      </c>
      <c r="K2531" s="210" t="str">
        <f>IFERROR(__xludf.DUMMYFUNCTION("""COMPUTED_VALUE"""),"1138 11193 11201")</f>
        <v>1138 11193 11201</v>
      </c>
      <c r="L2531" s="211">
        <f>IFERROR(__xludf.DUMMYFUNCTION("""COMPUTED_VALUE"""),0.0)</f>
        <v>0</v>
      </c>
      <c r="M2531" s="211"/>
      <c r="N2531" s="211"/>
      <c r="O2531" s="211"/>
      <c r="Q2531" s="210" t="str">
        <f>IFERROR(__xludf.DUMMYFUNCTION("""COMPUTED_VALUE"""),"1261244")</f>
        <v>1261244</v>
      </c>
      <c r="R2531" s="210" t="str">
        <f>IFERROR(__xludf.DUMMYFUNCTION("""COMPUTED_VALUE"""),"1261244")</f>
        <v>1261244</v>
      </c>
      <c r="S2531" s="211" t="str">
        <f>IFERROR(__xludf.DUMMYFUNCTION("""COMPUTED_VALUE"""),"1a1efff9")</f>
        <v>1a1efff9</v>
      </c>
      <c r="T2531" s="211" t="str">
        <f>IFERROR(__xludf.DUMMYFUNCTION("""COMPUTED_VALUE"""),"Bpk. Gito Mjs")</f>
        <v>Bpk. Gito Mjs</v>
      </c>
      <c r="U2531" s="215">
        <f>IFERROR(__xludf.DUMMYFUNCTION("""COMPUTED_VALUE"""),46065.35990740741)</f>
        <v>46065.35991</v>
      </c>
      <c r="V2531" s="211" t="str">
        <f>IFERROR(__xludf.DUMMYFUNCTION("""COMPUTED_VALUE"""),"FGRX+QQP, Kemloko, Jotangan, Kec. Mojosari, Kabupaten Mojokerto, Jawa Timur 61382")</f>
        <v>FGRX+QQP, Kemloko, Jotangan, Kec. Mojosari, Kabupaten Mojokerto, Jawa Timur 61382</v>
      </c>
      <c r="W2531" s="211" t="str">
        <f>IFERROR(__xludf.DUMMYFUNCTION("""COMPUTED_VALUE"""),"IN")</f>
        <v>IN</v>
      </c>
      <c r="X2531" s="211"/>
    </row>
    <row r="2532">
      <c r="A2532" s="211"/>
      <c r="B2532" s="211"/>
      <c r="C2532" s="211"/>
      <c r="D2532" s="211"/>
      <c r="E2532" s="211"/>
      <c r="F2532" s="211"/>
      <c r="G2532" s="211"/>
      <c r="H2532" s="211"/>
      <c r="I2532" s="211"/>
      <c r="J2532" s="211"/>
      <c r="K2532" s="211"/>
      <c r="L2532" s="211"/>
      <c r="M2532" s="211"/>
      <c r="N2532" s="211"/>
      <c r="O2532" s="211"/>
      <c r="Q2532" s="210" t="str">
        <f>IFERROR(__xludf.DUMMYFUNCTION("""COMPUTED_VALUE"""),"1261243")</f>
        <v>1261243</v>
      </c>
      <c r="R2532" s="210" t="str">
        <f>IFERROR(__xludf.DUMMYFUNCTION("""COMPUTED_VALUE"""),"1261243")</f>
        <v>1261243</v>
      </c>
      <c r="S2532" s="211" t="str">
        <f>IFERROR(__xludf.DUMMYFUNCTION("""COMPUTED_VALUE"""),"03ff52db")</f>
        <v>03ff52db</v>
      </c>
      <c r="T2532" s="211" t="str">
        <f>IFERROR(__xludf.DUMMYFUNCTION("""COMPUTED_VALUE"""),"Aneka Teknik Logam")</f>
        <v>Aneka Teknik Logam</v>
      </c>
      <c r="U2532" s="215">
        <f>IFERROR(__xludf.DUMMYFUNCTION("""COMPUTED_VALUE"""),46065.36027777778)</f>
        <v>46065.36028</v>
      </c>
      <c r="V2532" s="211" t="str">
        <f>IFERROR(__xludf.DUMMYFUNCTION("""COMPUTED_VALUE"""),"HH8G+MQC, Areng Areng, Tropodo, Kec. Krian, Kabupaten Sidoarjo, Jawa Timur 61262")</f>
        <v>HH8G+MQC, Areng Areng, Tropodo, Kec. Krian, Kabupaten Sidoarjo, Jawa Timur 61262</v>
      </c>
      <c r="W2532" s="211" t="str">
        <f>IFERROR(__xludf.DUMMYFUNCTION("""COMPUTED_VALUE"""),"IN")</f>
        <v>IN</v>
      </c>
      <c r="X2532" s="211"/>
    </row>
    <row r="2533">
      <c r="A2533" s="210" t="str">
        <f>IFERROR(__xludf.DUMMYFUNCTION("""COMPUTED_VALUE"""),"112521786")</f>
        <v>112521786</v>
      </c>
      <c r="B2533" s="210" t="str">
        <f>IFERROR(__xludf.DUMMYFUNCTION("""COMPUTED_VALUE"""),"112521786")</f>
        <v>112521786</v>
      </c>
      <c r="C2533" s="213">
        <f>IFERROR(__xludf.DUMMYFUNCTION("""COMPUTED_VALUE"""),45983.35766203704)</f>
        <v>45983.35766</v>
      </c>
      <c r="D2533" s="211" t="str">
        <f>IFERROR(__xludf.DUMMYFUNCTION("""COMPUTED_VALUE"""),"58b72e0c")</f>
        <v>58b72e0c</v>
      </c>
      <c r="E2533" s="211" t="str">
        <f>IFERROR(__xludf.DUMMYFUNCTION("""COMPUTED_VALUE"""),"UD. Ais Jaya")</f>
        <v>UD. Ais Jaya</v>
      </c>
      <c r="F2533" s="211" t="str">
        <f>IFERROR(__xludf.DUMMYFUNCTION("""COMPUTED_VALUE"""),"7d2764f1")</f>
        <v>7d2764f1</v>
      </c>
      <c r="G2533" s="211" t="str">
        <f>IFERROR(__xludf.DUMMYFUNCTION("""COMPUTED_VALUE"""),"Oksigen 7m3")</f>
        <v>Oksigen 7m3</v>
      </c>
      <c r="H2533" s="211" t="str">
        <f>IFERROR(__xludf.DUMMYFUNCTION("""COMPUTED_VALUE"""),"OUT")</f>
        <v>OUT</v>
      </c>
      <c r="I2533" s="211" t="str">
        <f>IFERROR(__xludf.DUMMYFUNCTION("""COMPUTED_VALUE"""),"NORMAL")</f>
        <v>NORMAL</v>
      </c>
      <c r="J2533" s="211">
        <f>IFERROR(__xludf.DUMMYFUNCTION("""COMPUTED_VALUE"""),3.0)</f>
        <v>3</v>
      </c>
      <c r="K2533" s="210" t="str">
        <f>IFERROR(__xludf.DUMMYFUNCTION("""COMPUTED_VALUE"""),"11138 11195 11147")</f>
        <v>11138 11195 11147</v>
      </c>
      <c r="L2533" s="211">
        <f>IFERROR(__xludf.DUMMYFUNCTION("""COMPUTED_VALUE"""),60000.0)</f>
        <v>60000</v>
      </c>
      <c r="M2533" s="211"/>
      <c r="N2533" s="211"/>
      <c r="O2533" s="211"/>
      <c r="Q2533" s="210" t="str">
        <f>IFERROR(__xludf.DUMMYFUNCTION("""COMPUTED_VALUE"""),"022682528")</f>
        <v>022682528</v>
      </c>
      <c r="R2533" s="210" t="str">
        <f>IFERROR(__xludf.DUMMYFUNCTION("""COMPUTED_VALUE"""),"022682528")</f>
        <v>022682528</v>
      </c>
      <c r="S2533" s="211" t="str">
        <f>IFERROR(__xludf.DUMMYFUNCTION("""COMPUTED_VALUE"""),"98c84274")</f>
        <v>98c84274</v>
      </c>
      <c r="T2533" s="211" t="str">
        <f>IFERROR(__xludf.DUMMYFUNCTION("""COMPUTED_VALUE"""),"Bengkel SBM (Pak Hari)")</f>
        <v>Bengkel SBM (Pak Hari)</v>
      </c>
      <c r="U2533" s="215">
        <f>IFERROR(__xludf.DUMMYFUNCTION("""COMPUTED_VALUE"""),46065.38045138889)</f>
        <v>46065.38045</v>
      </c>
      <c r="V253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33" s="211" t="str">
        <f>IFERROR(__xludf.DUMMYFUNCTION("""COMPUTED_VALUE"""),"OUT")</f>
        <v>OUT</v>
      </c>
      <c r="X2533" s="211"/>
    </row>
    <row r="2534">
      <c r="A2534" s="210" t="str">
        <f>IFERROR(__xludf.DUMMYFUNCTION("""COMPUTED_VALUE"""),"1125431786")</f>
        <v>1125431786</v>
      </c>
      <c r="B2534" s="210" t="str">
        <f>IFERROR(__xludf.DUMMYFUNCTION("""COMPUTED_VALUE"""),"1125431786")</f>
        <v>1125431786</v>
      </c>
      <c r="C2534" s="213">
        <f>IFERROR(__xludf.DUMMYFUNCTION("""COMPUTED_VALUE"""),45983.406006944446)</f>
        <v>45983.40601</v>
      </c>
      <c r="D2534" s="211" t="str">
        <f>IFERROR(__xludf.DUMMYFUNCTION("""COMPUTED_VALUE"""),"b2b5f2c5")</f>
        <v>b2b5f2c5</v>
      </c>
      <c r="E2534" s="211" t="str">
        <f>IFERROR(__xludf.DUMMYFUNCTION("""COMPUTED_VALUE"""),"Bengkel Las Bpk. Ari")</f>
        <v>Bengkel Las Bpk. Ari</v>
      </c>
      <c r="F2534" s="211" t="str">
        <f>IFERROR(__xludf.DUMMYFUNCTION("""COMPUTED_VALUE"""),"ef306e54")</f>
        <v>ef306e54</v>
      </c>
      <c r="G2534" s="211" t="str">
        <f>IFERROR(__xludf.DUMMYFUNCTION("""COMPUTED_VALUE"""),"Karbondioksida")</f>
        <v>Karbondioksida</v>
      </c>
      <c r="H2534" s="211" t="str">
        <f>IFERROR(__xludf.DUMMYFUNCTION("""COMPUTED_VALUE"""),"OUT")</f>
        <v>OUT</v>
      </c>
      <c r="I2534" s="211" t="str">
        <f>IFERROR(__xludf.DUMMYFUNCTION("""COMPUTED_VALUE"""),"NORMAL")</f>
        <v>NORMAL</v>
      </c>
      <c r="J2534" s="211">
        <f>IFERROR(__xludf.DUMMYFUNCTION("""COMPUTED_VALUE"""),3.0)</f>
        <v>3</v>
      </c>
      <c r="K2534" s="210" t="str">
        <f>IFERROR(__xludf.DUMMYFUNCTION("""COMPUTED_VALUE"""),"13014 13015 13046")</f>
        <v>13014 13015 13046</v>
      </c>
      <c r="L2534" s="211">
        <f>IFERROR(__xludf.DUMMYFUNCTION("""COMPUTED_VALUE"""),170000.0)</f>
        <v>170000</v>
      </c>
      <c r="M2534" s="211"/>
      <c r="N2534" s="211"/>
      <c r="O2534" s="211"/>
      <c r="Q2534" s="211"/>
      <c r="R2534" s="211"/>
      <c r="S2534" s="211"/>
      <c r="T2534" s="211"/>
      <c r="U2534" s="211"/>
      <c r="V2534" s="211"/>
      <c r="W2534" s="211"/>
      <c r="X2534" s="211"/>
    </row>
    <row r="2535">
      <c r="A2535" s="210" t="str">
        <f>IFERROR(__xludf.DUMMYFUNCTION("""COMPUTED_VALUE"""),"4112531663")</f>
        <v>4112531663</v>
      </c>
      <c r="B2535" s="210" t="str">
        <f>IFERROR(__xludf.DUMMYFUNCTION("""COMPUTED_VALUE"""),"4112531663")</f>
        <v>4112531663</v>
      </c>
      <c r="C2535" s="213">
        <f>IFERROR(__xludf.DUMMYFUNCTION("""COMPUTED_VALUE"""),45983.408159722225)</f>
        <v>45983.40816</v>
      </c>
      <c r="D2535" s="211" t="str">
        <f>IFERROR(__xludf.DUMMYFUNCTION("""COMPUTED_VALUE"""),"b2b5f2c5")</f>
        <v>b2b5f2c5</v>
      </c>
      <c r="E2535" s="211" t="str">
        <f>IFERROR(__xludf.DUMMYFUNCTION("""COMPUTED_VALUE"""),"Bengkel Las Bpk. Ari")</f>
        <v>Bengkel Las Bpk. Ari</v>
      </c>
      <c r="F2535" s="211" t="str">
        <f>IFERROR(__xludf.DUMMYFUNCTION("""COMPUTED_VALUE"""),"ef306e54")</f>
        <v>ef306e54</v>
      </c>
      <c r="G2535" s="211" t="str">
        <f>IFERROR(__xludf.DUMMYFUNCTION("""COMPUTED_VALUE"""),"Karbondioksida")</f>
        <v>Karbondioksida</v>
      </c>
      <c r="H2535" s="211" t="str">
        <f>IFERROR(__xludf.DUMMYFUNCTION("""COMPUTED_VALUE"""),"OTHER")</f>
        <v>OTHER</v>
      </c>
      <c r="I2535" s="211" t="str">
        <f>IFERROR(__xludf.DUMMYFUNCTION("""COMPUTED_VALUE"""),"RETUR CLAIM")</f>
        <v>RETUR CLAIM</v>
      </c>
      <c r="J2535" s="211">
        <f>IFERROR(__xludf.DUMMYFUNCTION("""COMPUTED_VALUE"""),1.0)</f>
        <v>1</v>
      </c>
      <c r="K2535" s="210" t="str">
        <f>IFERROR(__xludf.DUMMYFUNCTION("""COMPUTED_VALUE"""),"13049")</f>
        <v>13049</v>
      </c>
      <c r="L2535" s="211">
        <f>IFERROR(__xludf.DUMMYFUNCTION("""COMPUTED_VALUE"""),0.0)</f>
        <v>0</v>
      </c>
      <c r="M2535" s="211"/>
      <c r="N2535" s="211"/>
      <c r="O2535" s="211"/>
      <c r="Q2535" s="210" t="str">
        <f>IFERROR(__xludf.DUMMYFUNCTION("""COMPUTED_VALUE"""),"0226852535")</f>
        <v>0226852535</v>
      </c>
      <c r="R2535" s="210" t="str">
        <f>IFERROR(__xludf.DUMMYFUNCTION("""COMPUTED_VALUE"""),"0226852535")</f>
        <v>0226852535</v>
      </c>
      <c r="S2535" s="211" t="str">
        <f>IFERROR(__xludf.DUMMYFUNCTION("""COMPUTED_VALUE"""),"b2b5f2c5")</f>
        <v>b2b5f2c5</v>
      </c>
      <c r="T2535" s="211" t="str">
        <f>IFERROR(__xludf.DUMMYFUNCTION("""COMPUTED_VALUE"""),"Bengkel Las Bpk. Ari")</f>
        <v>Bengkel Las Bpk. Ari</v>
      </c>
      <c r="U2535" s="215">
        <f>IFERROR(__xludf.DUMMYFUNCTION("""COMPUTED_VALUE"""),46065.434525462966)</f>
        <v>46065.43453</v>
      </c>
      <c r="V2535" s="211" t="str">
        <f>IFERROR(__xludf.DUMMYFUNCTION("""COMPUTED_VALUE"""),"Sumber Kembar, Wonodadi, Kec. Kutorejo, Kabupaten Mojokerto, Jawa Timur")</f>
        <v>Sumber Kembar, Wonodadi, Kec. Kutorejo, Kabupaten Mojokerto, Jawa Timur</v>
      </c>
      <c r="W2535" s="211" t="str">
        <f>IFERROR(__xludf.DUMMYFUNCTION("""COMPUTED_VALUE"""),"OUT")</f>
        <v>OUT</v>
      </c>
      <c r="X2535" s="211"/>
    </row>
    <row r="2536">
      <c r="A2536" s="210" t="str">
        <f>IFERROR(__xludf.DUMMYFUNCTION("""COMPUTED_VALUE"""),"1125431786")</f>
        <v>1125431786</v>
      </c>
      <c r="B2536" s="210" t="str">
        <f>IFERROR(__xludf.DUMMYFUNCTION("""COMPUTED_VALUE"""),"1125431786")</f>
        <v>1125431786</v>
      </c>
      <c r="C2536" s="213">
        <f>IFERROR(__xludf.DUMMYFUNCTION("""COMPUTED_VALUE"""),45983.406006944446)</f>
        <v>45983.40601</v>
      </c>
      <c r="D2536" s="211" t="str">
        <f>IFERROR(__xludf.DUMMYFUNCTION("""COMPUTED_VALUE"""),"b2b5f2c5")</f>
        <v>b2b5f2c5</v>
      </c>
      <c r="E2536" s="211" t="str">
        <f>IFERROR(__xludf.DUMMYFUNCTION("""COMPUTED_VALUE"""),"Bengkel Las Bpk. Ari")</f>
        <v>Bengkel Las Bpk. Ari</v>
      </c>
      <c r="F2536" s="211" t="str">
        <f>IFERROR(__xludf.DUMMYFUNCTION("""COMPUTED_VALUE"""),"8bdbe149")</f>
        <v>8bdbe149</v>
      </c>
      <c r="G2536" s="211" t="str">
        <f>IFERROR(__xludf.DUMMYFUNCTION("""COMPUTED_VALUE"""),"Oksigen 6m3")</f>
        <v>Oksigen 6m3</v>
      </c>
      <c r="H2536" s="211" t="str">
        <f>IFERROR(__xludf.DUMMYFUNCTION("""COMPUTED_VALUE"""),"OUT")</f>
        <v>OUT</v>
      </c>
      <c r="I2536" s="211" t="str">
        <f>IFERROR(__xludf.DUMMYFUNCTION("""COMPUTED_VALUE"""),"NORMAL")</f>
        <v>NORMAL</v>
      </c>
      <c r="J2536" s="211">
        <f>IFERROR(__xludf.DUMMYFUNCTION("""COMPUTED_VALUE"""),4.0)</f>
        <v>4</v>
      </c>
      <c r="K2536" s="210" t="str">
        <f>IFERROR(__xludf.DUMMYFUNCTION("""COMPUTED_VALUE"""),"11242 11122 1153 11128")</f>
        <v>11242 11122 1153 11128</v>
      </c>
      <c r="L2536" s="211">
        <f>IFERROR(__xludf.DUMMYFUNCTION("""COMPUTED_VALUE"""),60000.0)</f>
        <v>60000</v>
      </c>
      <c r="M2536" s="211"/>
      <c r="N2536" s="211"/>
      <c r="O2536" s="211"/>
      <c r="Q2536" s="210" t="str">
        <f>IFERROR(__xludf.DUMMYFUNCTION("""COMPUTED_VALUE"""),"022692536")</f>
        <v>022692536</v>
      </c>
      <c r="R2536" s="210" t="str">
        <f>IFERROR(__xludf.DUMMYFUNCTION("""COMPUTED_VALUE"""),"022692536")</f>
        <v>022692536</v>
      </c>
      <c r="S2536" s="211" t="str">
        <f>IFERROR(__xludf.DUMMYFUNCTION("""COMPUTED_VALUE"""),"b0735da4")</f>
        <v>b0735da4</v>
      </c>
      <c r="T2536" s="211" t="str">
        <f>IFERROR(__xludf.DUMMYFUNCTION("""COMPUTED_VALUE"""),"Bpk. Amer Ciro")</f>
        <v>Bpk. Amer Ciro</v>
      </c>
      <c r="U2536" s="215">
        <f>IFERROR(__xludf.DUMMYFUNCTION("""COMPUTED_VALUE"""),46065.47414351852)</f>
        <v>46065.47414</v>
      </c>
      <c r="V2536" s="211" t="str">
        <f>IFERROR(__xludf.DUMMYFUNCTION("""COMPUTED_VALUE"""),"HFJR+FV8 Bakungtemenggungan, Kabupaten Sidoarjo, Jawa Timur")</f>
        <v>HFJR+FV8 Bakungtemenggungan, Kabupaten Sidoarjo, Jawa Timur</v>
      </c>
      <c r="W2536" s="211" t="str">
        <f>IFERROR(__xludf.DUMMYFUNCTION("""COMPUTED_VALUE"""),"OUT")</f>
        <v>OUT</v>
      </c>
      <c r="X2536" s="211"/>
    </row>
    <row r="2537">
      <c r="A2537" s="210" t="str">
        <f>IFERROR(__xludf.DUMMYFUNCTION("""COMPUTED_VALUE"""),"1125311791")</f>
        <v>1125311791</v>
      </c>
      <c r="B2537" s="210" t="str">
        <f>IFERROR(__xludf.DUMMYFUNCTION("""COMPUTED_VALUE"""),"1125311791")</f>
        <v>1125311791</v>
      </c>
      <c r="C2537" s="213">
        <f>IFERROR(__xludf.DUMMYFUNCTION("""COMPUTED_VALUE"""),45983.408842592595)</f>
        <v>45983.40884</v>
      </c>
      <c r="D2537" s="211" t="str">
        <f>IFERROR(__xludf.DUMMYFUNCTION("""COMPUTED_VALUE"""),"ce83e171")</f>
        <v>ce83e171</v>
      </c>
      <c r="E2537" s="211" t="str">
        <f>IFERROR(__xludf.DUMMYFUNCTION("""COMPUTED_VALUE"""),"Bpk. Sulaiman")</f>
        <v>Bpk. Sulaiman</v>
      </c>
      <c r="F2537" s="211" t="str">
        <f>IFERROR(__xludf.DUMMYFUNCTION("""COMPUTED_VALUE"""),"7d2764f1")</f>
        <v>7d2764f1</v>
      </c>
      <c r="G2537" s="211" t="str">
        <f>IFERROR(__xludf.DUMMYFUNCTION("""COMPUTED_VALUE"""),"Oksigen 7m3")</f>
        <v>Oksigen 7m3</v>
      </c>
      <c r="H2537" s="211" t="str">
        <f>IFERROR(__xludf.DUMMYFUNCTION("""COMPUTED_VALUE"""),"OUT")</f>
        <v>OUT</v>
      </c>
      <c r="I2537" s="211" t="str">
        <f>IFERROR(__xludf.DUMMYFUNCTION("""COMPUTED_VALUE"""),"NORMAL")</f>
        <v>NORMAL</v>
      </c>
      <c r="J2537" s="211">
        <f>IFERROR(__xludf.DUMMYFUNCTION("""COMPUTED_VALUE"""),2.0)</f>
        <v>2</v>
      </c>
      <c r="K2537" s="210" t="str">
        <f>IFERROR(__xludf.DUMMYFUNCTION("""COMPUTED_VALUE"""),"11305 11307")</f>
        <v>11305 11307</v>
      </c>
      <c r="L2537" s="211">
        <f>IFERROR(__xludf.DUMMYFUNCTION("""COMPUTED_VALUE"""),55000.0)</f>
        <v>55000</v>
      </c>
      <c r="M2537" s="211"/>
      <c r="N2537" s="211"/>
      <c r="O2537" s="211"/>
      <c r="Q2537" s="210" t="str">
        <f>IFERROR(__xludf.DUMMYFUNCTION("""COMPUTED_VALUE"""),"0226442537")</f>
        <v>0226442537</v>
      </c>
      <c r="R2537" s="210" t="str">
        <f>IFERROR(__xludf.DUMMYFUNCTION("""COMPUTED_VALUE"""),"0226442537")</f>
        <v>0226442537</v>
      </c>
      <c r="S2537" s="211" t="str">
        <f>IFERROR(__xludf.DUMMYFUNCTION("""COMPUTED_VALUE"""),"ec231cc9")</f>
        <v>ec231cc9</v>
      </c>
      <c r="T2537" s="211" t="str">
        <f>IFERROR(__xludf.DUMMYFUNCTION("""COMPUTED_VALUE"""),"Bpk. Kohir (Maintenance Velg)")</f>
        <v>Bpk. Kohir (Maintenance Velg)</v>
      </c>
      <c r="U2537" s="215">
        <f>IFERROR(__xludf.DUMMYFUNCTION("""COMPUTED_VALUE"""),46065.60965277778)</f>
        <v>46065.60965</v>
      </c>
      <c r="V2537" s="211" t="str">
        <f>IFERROR(__xludf.DUMMYFUNCTION("""COMPUTED_VALUE"""),"Jl. Lkr. Bypass Krian Timur, Sidogolong, Watugolong, Kec. Krian, Kabupaten Sidoarjo, Jawa Timur 61262")</f>
        <v>Jl. Lkr. Bypass Krian Timur, Sidogolong, Watugolong, Kec. Krian, Kabupaten Sidoarjo, Jawa Timur 61262</v>
      </c>
      <c r="W2537" s="211" t="str">
        <f>IFERROR(__xludf.DUMMYFUNCTION("""COMPUTED_VALUE"""),"OUT")</f>
        <v>OUT</v>
      </c>
      <c r="X2537" s="211"/>
    </row>
    <row r="2538">
      <c r="A2538" s="210" t="str">
        <f>IFERROR(__xludf.DUMMYFUNCTION("""COMPUTED_VALUE"""),"1125311791")</f>
        <v>1125311791</v>
      </c>
      <c r="B2538" s="210" t="str">
        <f>IFERROR(__xludf.DUMMYFUNCTION("""COMPUTED_VALUE"""),"1125311791")</f>
        <v>1125311791</v>
      </c>
      <c r="C2538" s="213">
        <f>IFERROR(__xludf.DUMMYFUNCTION("""COMPUTED_VALUE"""),45983.408842592595)</f>
        <v>45983.40884</v>
      </c>
      <c r="D2538" s="211" t="str">
        <f>IFERROR(__xludf.DUMMYFUNCTION("""COMPUTED_VALUE"""),"ce83e171")</f>
        <v>ce83e171</v>
      </c>
      <c r="E2538" s="211" t="str">
        <f>IFERROR(__xludf.DUMMYFUNCTION("""COMPUTED_VALUE"""),"Bpk. Sulaiman")</f>
        <v>Bpk. Sulaiman</v>
      </c>
      <c r="F2538" s="211" t="str">
        <f>IFERROR(__xludf.DUMMYFUNCTION("""COMPUTED_VALUE"""),"f6aab7a9")</f>
        <v>f6aab7a9</v>
      </c>
      <c r="G2538" s="211" t="str">
        <f>IFERROR(__xludf.DUMMYFUNCTION("""COMPUTED_VALUE"""),"Oksigen 6m3 MR")</f>
        <v>Oksigen 6m3 MR</v>
      </c>
      <c r="H2538" s="211" t="str">
        <f>IFERROR(__xludf.DUMMYFUNCTION("""COMPUTED_VALUE"""),"OUT")</f>
        <v>OUT</v>
      </c>
      <c r="I2538" s="211" t="str">
        <f>IFERROR(__xludf.DUMMYFUNCTION("""COMPUTED_VALUE"""),"NORMAL")</f>
        <v>NORMAL</v>
      </c>
      <c r="J2538" s="211">
        <f>IFERROR(__xludf.DUMMYFUNCTION("""COMPUTED_VALUE"""),1.0)</f>
        <v>1</v>
      </c>
      <c r="K2538" s="210" t="str">
        <f>IFERROR(__xludf.DUMMYFUNCTION("""COMPUTED_VALUE"""),"01")</f>
        <v>01</v>
      </c>
      <c r="L2538" s="211">
        <f>IFERROR(__xludf.DUMMYFUNCTION("""COMPUTED_VALUE"""),55000.0)</f>
        <v>55000</v>
      </c>
      <c r="M2538" s="211"/>
      <c r="N2538" s="211"/>
      <c r="O2538" s="211"/>
      <c r="Q2538" s="210" t="str">
        <f>IFERROR(__xludf.DUMMYFUNCTION("""COMPUTED_VALUE"""),"1261218")</f>
        <v>1261218</v>
      </c>
      <c r="R2538" s="210" t="str">
        <f>IFERROR(__xludf.DUMMYFUNCTION("""COMPUTED_VALUE"""),"1261218")</f>
        <v>1261218</v>
      </c>
      <c r="S2538" s="211" t="str">
        <f>IFERROR(__xludf.DUMMYFUNCTION("""COMPUTED_VALUE"""),"b0735da4")</f>
        <v>b0735da4</v>
      </c>
      <c r="T2538" s="211" t="str">
        <f>IFERROR(__xludf.DUMMYFUNCTION("""COMPUTED_VALUE"""),"Bpk. Amer Ciro")</f>
        <v>Bpk. Amer Ciro</v>
      </c>
      <c r="U2538" s="215">
        <f>IFERROR(__xludf.DUMMYFUNCTION("""COMPUTED_VALUE"""),46065.70508101852)</f>
        <v>46065.70508</v>
      </c>
      <c r="V2538" s="211" t="str">
        <f>IFERROR(__xludf.DUMMYFUNCTION("""COMPUTED_VALUE"""),"HFJR+FV8 Bakungtemenggungan, Kabupaten Sidoarjo, Jawa Timur")</f>
        <v>HFJR+FV8 Bakungtemenggungan, Kabupaten Sidoarjo, Jawa Timur</v>
      </c>
      <c r="W2538" s="211" t="str">
        <f>IFERROR(__xludf.DUMMYFUNCTION("""COMPUTED_VALUE"""),"IN")</f>
        <v>IN</v>
      </c>
      <c r="X2538" s="211"/>
    </row>
    <row r="2539">
      <c r="A2539" s="210" t="str">
        <f>IFERROR(__xludf.DUMMYFUNCTION("""COMPUTED_VALUE"""),"112521793")</f>
        <v>112521793</v>
      </c>
      <c r="B2539" s="210" t="str">
        <f>IFERROR(__xludf.DUMMYFUNCTION("""COMPUTED_VALUE"""),"112521793")</f>
        <v>112521793</v>
      </c>
      <c r="C2539" s="213">
        <f>IFERROR(__xludf.DUMMYFUNCTION("""COMPUTED_VALUE"""),45983.40940972222)</f>
        <v>45983.40941</v>
      </c>
      <c r="D2539" s="211" t="str">
        <f>IFERROR(__xludf.DUMMYFUNCTION("""COMPUTED_VALUE"""),"86b29f43")</f>
        <v>86b29f43</v>
      </c>
      <c r="E2539" s="211" t="str">
        <f>IFERROR(__xludf.DUMMYFUNCTION("""COMPUTED_VALUE"""),"Bpk. Gaguk")</f>
        <v>Bpk. Gaguk</v>
      </c>
      <c r="F2539" s="211" t="str">
        <f>IFERROR(__xludf.DUMMYFUNCTION("""COMPUTED_VALUE"""),"f6aab7a9")</f>
        <v>f6aab7a9</v>
      </c>
      <c r="G2539" s="211" t="str">
        <f>IFERROR(__xludf.DUMMYFUNCTION("""COMPUTED_VALUE"""),"Oksigen 6m3 MR")</f>
        <v>Oksigen 6m3 MR</v>
      </c>
      <c r="H2539" s="211" t="str">
        <f>IFERROR(__xludf.DUMMYFUNCTION("""COMPUTED_VALUE"""),"OUT")</f>
        <v>OUT</v>
      </c>
      <c r="I2539" s="211" t="str">
        <f>IFERROR(__xludf.DUMMYFUNCTION("""COMPUTED_VALUE"""),"NORMAL")</f>
        <v>NORMAL</v>
      </c>
      <c r="J2539" s="211">
        <f>IFERROR(__xludf.DUMMYFUNCTION("""COMPUTED_VALUE"""),1.0)</f>
        <v>1</v>
      </c>
      <c r="K2539" s="210" t="str">
        <f>IFERROR(__xludf.DUMMYFUNCTION("""COMPUTED_VALUE"""),"01")</f>
        <v>01</v>
      </c>
      <c r="L2539" s="211">
        <f>IFERROR(__xludf.DUMMYFUNCTION("""COMPUTED_VALUE"""),80000.0)</f>
        <v>80000</v>
      </c>
      <c r="M2539" s="211"/>
      <c r="N2539" s="211"/>
      <c r="O2539" s="211"/>
      <c r="Q2539" s="210" t="str">
        <f>IFERROR(__xludf.DUMMYFUNCTION("""COMPUTED_VALUE"""),"1261246")</f>
        <v>1261246</v>
      </c>
      <c r="R2539" s="210" t="str">
        <f>IFERROR(__xludf.DUMMYFUNCTION("""COMPUTED_VALUE"""),"1261246")</f>
        <v>1261246</v>
      </c>
      <c r="S2539" s="211" t="str">
        <f>IFERROR(__xludf.DUMMYFUNCTION("""COMPUTED_VALUE"""),"ec231cc9")</f>
        <v>ec231cc9</v>
      </c>
      <c r="T2539" s="211" t="str">
        <f>IFERROR(__xludf.DUMMYFUNCTION("""COMPUTED_VALUE"""),"Bpk. Kohir (Maintenance Velg)")</f>
        <v>Bpk. Kohir (Maintenance Velg)</v>
      </c>
      <c r="U2539" s="215">
        <f>IFERROR(__xludf.DUMMYFUNCTION("""COMPUTED_VALUE"""),46065.70569444444)</f>
        <v>46065.70569</v>
      </c>
      <c r="V2539" s="211" t="str">
        <f>IFERROR(__xludf.DUMMYFUNCTION("""COMPUTED_VALUE"""),"Jl. Lkr. Bypass Krian Timur, Sidogolong, Watugolong, Kec. Krian, Kabupaten Sidoarjo, Jawa Timur 61262")</f>
        <v>Jl. Lkr. Bypass Krian Timur, Sidogolong, Watugolong, Kec. Krian, Kabupaten Sidoarjo, Jawa Timur 61262</v>
      </c>
      <c r="W2539" s="211" t="str">
        <f>IFERROR(__xludf.DUMMYFUNCTION("""COMPUTED_VALUE"""),"IN")</f>
        <v>IN</v>
      </c>
      <c r="X2539" s="211"/>
    </row>
    <row r="2540">
      <c r="A2540" s="210" t="str">
        <f>IFERROR(__xludf.DUMMYFUNCTION("""COMPUTED_VALUE"""),"1250845")</f>
        <v>1250845</v>
      </c>
      <c r="B2540" s="210" t="str">
        <f>IFERROR(__xludf.DUMMYFUNCTION("""COMPUTED_VALUE"""),"1250845")</f>
        <v>1250845</v>
      </c>
      <c r="C2540" s="213">
        <f>IFERROR(__xludf.DUMMYFUNCTION("""COMPUTED_VALUE"""),45983.4225)</f>
        <v>45983.4225</v>
      </c>
      <c r="D2540" s="211" t="str">
        <f>IFERROR(__xludf.DUMMYFUNCTION("""COMPUTED_VALUE"""),"86b29f43")</f>
        <v>86b29f43</v>
      </c>
      <c r="E2540" s="211" t="str">
        <f>IFERROR(__xludf.DUMMYFUNCTION("""COMPUTED_VALUE"""),"Bpk. Gaguk")</f>
        <v>Bpk. Gaguk</v>
      </c>
      <c r="F2540" s="211" t="str">
        <f>IFERROR(__xludf.DUMMYFUNCTION("""COMPUTED_VALUE"""),"7d2764f1")</f>
        <v>7d2764f1</v>
      </c>
      <c r="G2540" s="211" t="str">
        <f>IFERROR(__xludf.DUMMYFUNCTION("""COMPUTED_VALUE"""),"Oksigen 7m3")</f>
        <v>Oksigen 7m3</v>
      </c>
      <c r="H2540" s="211" t="str">
        <f>IFERROR(__xludf.DUMMYFUNCTION("""COMPUTED_VALUE"""),"IN")</f>
        <v>IN</v>
      </c>
      <c r="I2540" s="211" t="str">
        <f>IFERROR(__xludf.DUMMYFUNCTION("""COMPUTED_VALUE"""),"EMPTY")</f>
        <v>EMPTY</v>
      </c>
      <c r="J2540" s="211">
        <f>IFERROR(__xludf.DUMMYFUNCTION("""COMPUTED_VALUE"""),1.0)</f>
        <v>1</v>
      </c>
      <c r="K2540" s="210" t="str">
        <f>IFERROR(__xludf.DUMMYFUNCTION("""COMPUTED_VALUE"""),"11157")</f>
        <v>11157</v>
      </c>
      <c r="L2540" s="211">
        <f>IFERROR(__xludf.DUMMYFUNCTION("""COMPUTED_VALUE"""),0.0)</f>
        <v>0</v>
      </c>
      <c r="M2540" s="211"/>
      <c r="N2540" s="211"/>
      <c r="O2540" s="211"/>
      <c r="Q2540" s="210" t="str">
        <f>IFERROR(__xludf.DUMMYFUNCTION("""COMPUTED_VALUE"""),"1261207")</f>
        <v>1261207</v>
      </c>
      <c r="R2540" s="210" t="str">
        <f>IFERROR(__xludf.DUMMYFUNCTION("""COMPUTED_VALUE"""),"1261207")</f>
        <v>1261207</v>
      </c>
      <c r="S2540" s="211" t="str">
        <f>IFERROR(__xludf.DUMMYFUNCTION("""COMPUTED_VALUE"""),"63fc688a")</f>
        <v>63fc688a</v>
      </c>
      <c r="T2540" s="211" t="str">
        <f>IFERROR(__xludf.DUMMYFUNCTION("""COMPUTED_VALUE"""),"CV Malik Nusantara")</f>
        <v>CV Malik Nusantara</v>
      </c>
      <c r="U2540" s="215">
        <f>IFERROR(__xludf.DUMMYFUNCTION("""COMPUTED_VALUE"""),46065.71207175926)</f>
        <v>46065.71207</v>
      </c>
      <c r="V2540" s="211" t="str">
        <f>IFERROR(__xludf.DUMMYFUNCTION("""COMPUTED_VALUE"""),"Jl. Raya Balongbendo No.12, Suwaluh Utara, Suwaluh, Kec. BalongBendo, Kabupaten Sidoarjo, Jawa Timur 61263")</f>
        <v>Jl. Raya Balongbendo No.12, Suwaluh Utara, Suwaluh, Kec. BalongBendo, Kabupaten Sidoarjo, Jawa Timur 61263</v>
      </c>
      <c r="W2540" s="211" t="str">
        <f>IFERROR(__xludf.DUMMYFUNCTION("""COMPUTED_VALUE"""),"IN")</f>
        <v>IN</v>
      </c>
      <c r="X2540" s="211"/>
    </row>
    <row r="2541">
      <c r="A2541" s="210" t="str">
        <f>IFERROR(__xludf.DUMMYFUNCTION("""COMPUTED_VALUE"""),"1125111794")</f>
        <v>1125111794</v>
      </c>
      <c r="B2541" s="210" t="str">
        <f>IFERROR(__xludf.DUMMYFUNCTION("""COMPUTED_VALUE"""),"1125111794")</f>
        <v>1125111794</v>
      </c>
      <c r="C2541" s="213">
        <f>IFERROR(__xludf.DUMMYFUNCTION("""COMPUTED_VALUE"""),45983.56675925926)</f>
        <v>45983.56676</v>
      </c>
      <c r="D2541" s="211" t="str">
        <f>IFERROR(__xludf.DUMMYFUNCTION("""COMPUTED_VALUE"""),"faf71ae5")</f>
        <v>faf71ae5</v>
      </c>
      <c r="E2541" s="211" t="str">
        <f>IFERROR(__xludf.DUMMYFUNCTION("""COMPUTED_VALUE"""),"Bpk. Sampurna")</f>
        <v>Bpk. Sampurna</v>
      </c>
      <c r="F2541" s="211" t="str">
        <f>IFERROR(__xludf.DUMMYFUNCTION("""COMPUTED_VALUE"""),"8bdbe149")</f>
        <v>8bdbe149</v>
      </c>
      <c r="G2541" s="211" t="str">
        <f>IFERROR(__xludf.DUMMYFUNCTION("""COMPUTED_VALUE"""),"Oksigen 6m3")</f>
        <v>Oksigen 6m3</v>
      </c>
      <c r="H2541" s="211" t="str">
        <f>IFERROR(__xludf.DUMMYFUNCTION("""COMPUTED_VALUE"""),"OUT")</f>
        <v>OUT</v>
      </c>
      <c r="I2541" s="211" t="str">
        <f>IFERROR(__xludf.DUMMYFUNCTION("""COMPUTED_VALUE"""),"NORMAL")</f>
        <v>NORMAL</v>
      </c>
      <c r="J2541" s="211">
        <f>IFERROR(__xludf.DUMMYFUNCTION("""COMPUTED_VALUE"""),17.0)</f>
        <v>17</v>
      </c>
      <c r="K2541" s="210" t="str">
        <f>IFERROR(__xludf.DUMMYFUNCTION("""COMPUTED_VALUE"""),"1137 11201 11232 1109 11104 11106 1138 1157 11110 1181 1188 11120 1173 1102 1140 1198 11281")</f>
        <v>1137 11201 11232 1109 11104 11106 1138 1157 11110 1181 1188 11120 1173 1102 1140 1198 11281</v>
      </c>
      <c r="L2541" s="211">
        <f>IFERROR(__xludf.DUMMYFUNCTION("""COMPUTED_VALUE"""),55000.0)</f>
        <v>55000</v>
      </c>
      <c r="M2541" s="211"/>
      <c r="N2541" s="211"/>
      <c r="O2541" s="211"/>
      <c r="Q2541" s="210" t="str">
        <f>IFERROR(__xludf.DUMMYFUNCTION("""COMPUTED_VALUE"""),"1261206")</f>
        <v>1261206</v>
      </c>
      <c r="R2541" s="210" t="str">
        <f>IFERROR(__xludf.DUMMYFUNCTION("""COMPUTED_VALUE"""),"1261206")</f>
        <v>1261206</v>
      </c>
      <c r="S2541" s="211" t="str">
        <f>IFERROR(__xludf.DUMMYFUNCTION("""COMPUTED_VALUE"""),"98c84274")</f>
        <v>98c84274</v>
      </c>
      <c r="T2541" s="211" t="str">
        <f>IFERROR(__xludf.DUMMYFUNCTION("""COMPUTED_VALUE"""),"Bengkel SBM (Pak Hari)")</f>
        <v>Bengkel SBM (Pak Hari)</v>
      </c>
      <c r="U2541" s="215">
        <f>IFERROR(__xludf.DUMMYFUNCTION("""COMPUTED_VALUE"""),46065.71296296296)</f>
        <v>46065.71296</v>
      </c>
      <c r="V2541"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41" s="211" t="str">
        <f>IFERROR(__xludf.DUMMYFUNCTION("""COMPUTED_VALUE"""),"IN")</f>
        <v>IN</v>
      </c>
      <c r="X2541" s="211"/>
    </row>
    <row r="2542">
      <c r="A2542" s="210" t="str">
        <f>IFERROR(__xludf.DUMMYFUNCTION("""COMPUTED_VALUE"""),"1125111794")</f>
        <v>1125111794</v>
      </c>
      <c r="B2542" s="210" t="str">
        <f>IFERROR(__xludf.DUMMYFUNCTION("""COMPUTED_VALUE"""),"1125111794")</f>
        <v>1125111794</v>
      </c>
      <c r="C2542" s="213">
        <f>IFERROR(__xludf.DUMMYFUNCTION("""COMPUTED_VALUE"""),45983.56675925926)</f>
        <v>45983.56676</v>
      </c>
      <c r="D2542" s="211" t="str">
        <f>IFERROR(__xludf.DUMMYFUNCTION("""COMPUTED_VALUE"""),"faf71ae5")</f>
        <v>faf71ae5</v>
      </c>
      <c r="E2542" s="211" t="str">
        <f>IFERROR(__xludf.DUMMYFUNCTION("""COMPUTED_VALUE"""),"Bpk. Sampurna")</f>
        <v>Bpk. Sampurna</v>
      </c>
      <c r="F2542" s="211" t="str">
        <f>IFERROR(__xludf.DUMMYFUNCTION("""COMPUTED_VALUE"""),"7d2764f1")</f>
        <v>7d2764f1</v>
      </c>
      <c r="G2542" s="211" t="str">
        <f>IFERROR(__xludf.DUMMYFUNCTION("""COMPUTED_VALUE"""),"Oksigen 7m3")</f>
        <v>Oksigen 7m3</v>
      </c>
      <c r="H2542" s="211" t="str">
        <f>IFERROR(__xludf.DUMMYFUNCTION("""COMPUTED_VALUE"""),"OUT")</f>
        <v>OUT</v>
      </c>
      <c r="I2542" s="211" t="str">
        <f>IFERROR(__xludf.DUMMYFUNCTION("""COMPUTED_VALUE"""),"NORMAL")</f>
        <v>NORMAL</v>
      </c>
      <c r="J2542" s="211">
        <f>IFERROR(__xludf.DUMMYFUNCTION("""COMPUTED_VALUE"""),3.0)</f>
        <v>3</v>
      </c>
      <c r="K2542" s="210" t="str">
        <f>IFERROR(__xludf.DUMMYFUNCTION("""COMPUTED_VALUE"""),"11140 11143 11142")</f>
        <v>11140 11143 11142</v>
      </c>
      <c r="L2542" s="211">
        <f>IFERROR(__xludf.DUMMYFUNCTION("""COMPUTED_VALUE"""),55000.0)</f>
        <v>55000</v>
      </c>
      <c r="M2542" s="211"/>
      <c r="N2542" s="211"/>
      <c r="O2542" s="211"/>
      <c r="Q2542" s="210" t="str">
        <f>IFERROR(__xludf.DUMMYFUNCTION("""COMPUTED_VALUE"""),"1261208")</f>
        <v>1261208</v>
      </c>
      <c r="R2542" s="210" t="str">
        <f>IFERROR(__xludf.DUMMYFUNCTION("""COMPUTED_VALUE"""),"1261208")</f>
        <v>1261208</v>
      </c>
      <c r="S2542" s="211" t="str">
        <f>IFERROR(__xludf.DUMMYFUNCTION("""COMPUTED_VALUE"""),"b2b5f2c5")</f>
        <v>b2b5f2c5</v>
      </c>
      <c r="T2542" s="211" t="str">
        <f>IFERROR(__xludf.DUMMYFUNCTION("""COMPUTED_VALUE"""),"Bengkel Las Bpk. Ari")</f>
        <v>Bengkel Las Bpk. Ari</v>
      </c>
      <c r="U2542" s="215">
        <f>IFERROR(__xludf.DUMMYFUNCTION("""COMPUTED_VALUE"""),46065.713587962964)</f>
        <v>46065.71359</v>
      </c>
      <c r="V2542" s="211" t="str">
        <f>IFERROR(__xludf.DUMMYFUNCTION("""COMPUTED_VALUE"""),"Sumber Kembar, Wonodadi, Kec. Kutorejo, Kabupaten Mojokerto, Jawa Timur")</f>
        <v>Sumber Kembar, Wonodadi, Kec. Kutorejo, Kabupaten Mojokerto, Jawa Timur</v>
      </c>
      <c r="W2542" s="211" t="str">
        <f>IFERROR(__xludf.DUMMYFUNCTION("""COMPUTED_VALUE"""),"IN")</f>
        <v>IN</v>
      </c>
      <c r="X2542" s="211"/>
    </row>
    <row r="2543">
      <c r="A2543" s="210" t="str">
        <f>IFERROR(__xludf.DUMMYFUNCTION("""COMPUTED_VALUE"""),"1125111794")</f>
        <v>1125111794</v>
      </c>
      <c r="B2543" s="210" t="str">
        <f>IFERROR(__xludf.DUMMYFUNCTION("""COMPUTED_VALUE"""),"1125111794")</f>
        <v>1125111794</v>
      </c>
      <c r="C2543" s="213">
        <f>IFERROR(__xludf.DUMMYFUNCTION("""COMPUTED_VALUE"""),45983.56675925926)</f>
        <v>45983.56676</v>
      </c>
      <c r="D2543" s="211" t="str">
        <f>IFERROR(__xludf.DUMMYFUNCTION("""COMPUTED_VALUE"""),"faf71ae5")</f>
        <v>faf71ae5</v>
      </c>
      <c r="E2543" s="211" t="str">
        <f>IFERROR(__xludf.DUMMYFUNCTION("""COMPUTED_VALUE"""),"Bpk. Sampurna")</f>
        <v>Bpk. Sampurna</v>
      </c>
      <c r="F2543" s="211" t="str">
        <f>IFERROR(__xludf.DUMMYFUNCTION("""COMPUTED_VALUE"""),"be525f3b")</f>
        <v>be525f3b</v>
      </c>
      <c r="G2543" s="211" t="str">
        <f>IFERROR(__xludf.DUMMYFUNCTION("""COMPUTED_VALUE"""),"LPG 12kg")</f>
        <v>LPG 12kg</v>
      </c>
      <c r="H2543" s="211" t="str">
        <f>IFERROR(__xludf.DUMMYFUNCTION("""COMPUTED_VALUE"""),"OUT")</f>
        <v>OUT</v>
      </c>
      <c r="I2543" s="211" t="str">
        <f>IFERROR(__xludf.DUMMYFUNCTION("""COMPUTED_VALUE"""),"NORMAL")</f>
        <v>NORMAL</v>
      </c>
      <c r="J2543" s="211">
        <f>IFERROR(__xludf.DUMMYFUNCTION("""COMPUTED_VALUE"""),3.0)</f>
        <v>3</v>
      </c>
      <c r="K2543" s="211"/>
      <c r="L2543" s="211">
        <f>IFERROR(__xludf.DUMMYFUNCTION("""COMPUTED_VALUE"""),210000.0)</f>
        <v>210000</v>
      </c>
      <c r="M2543" s="211"/>
      <c r="N2543" s="211"/>
      <c r="O2543" s="211"/>
      <c r="Q2543" s="210" t="str">
        <f>IFERROR(__xludf.DUMMYFUNCTION("""COMPUTED_VALUE"""),"0226152538")</f>
        <v>0226152538</v>
      </c>
      <c r="R2543" s="210" t="str">
        <f>IFERROR(__xludf.DUMMYFUNCTION("""COMPUTED_VALUE"""),"0226152538")</f>
        <v>0226152538</v>
      </c>
      <c r="S2543" s="211" t="str">
        <f>IFERROR(__xludf.DUMMYFUNCTION("""COMPUTED_VALUE"""),"f8a982a4")</f>
        <v>f8a982a4</v>
      </c>
      <c r="T2543" s="211" t="str">
        <f>IFERROR(__xludf.DUMMYFUNCTION("""COMPUTED_VALUE"""),"Bpk. Nasir")</f>
        <v>Bpk. Nasir</v>
      </c>
      <c r="U2543" s="215">
        <f>IFERROR(__xludf.DUMMYFUNCTION("""COMPUTED_VALUE"""),46066.35686342593)</f>
        <v>46066.35686</v>
      </c>
      <c r="V2543" s="211" t="str">
        <f>IFERROR(__xludf.DUMMYFUNCTION("""COMPUTED_VALUE"""),"JL Raya Pacet, Dsn. Janti Ds. Jatilangkung RT.01 RW. 04. Kabupaten. Mojokerto Pungging, Jawa Timur")</f>
        <v>JL Raya Pacet, Dsn. Janti Ds. Jatilangkung RT.01 RW. 04. Kabupaten. Mojokerto Pungging, Jawa Timur</v>
      </c>
      <c r="W2543" s="211" t="str">
        <f>IFERROR(__xludf.DUMMYFUNCTION("""COMPUTED_VALUE"""),"OUT")</f>
        <v>OUT</v>
      </c>
      <c r="X2543" s="211"/>
    </row>
    <row r="2544">
      <c r="A2544" s="210" t="str">
        <f>IFERROR(__xludf.DUMMYFUNCTION("""COMPUTED_VALUE"""),"1250813")</f>
        <v>1250813</v>
      </c>
      <c r="B2544" s="210" t="str">
        <f>IFERROR(__xludf.DUMMYFUNCTION("""COMPUTED_VALUE"""),"1250813")</f>
        <v>1250813</v>
      </c>
      <c r="C2544" s="213">
        <f>IFERROR(__xludf.DUMMYFUNCTION("""COMPUTED_VALUE"""),45983.58994212963)</f>
        <v>45983.58994</v>
      </c>
      <c r="D2544" s="211" t="str">
        <f>IFERROR(__xludf.DUMMYFUNCTION("""COMPUTED_VALUE"""),"faf71ae5")</f>
        <v>faf71ae5</v>
      </c>
      <c r="E2544" s="211" t="str">
        <f>IFERROR(__xludf.DUMMYFUNCTION("""COMPUTED_VALUE"""),"Bpk. Sampurna")</f>
        <v>Bpk. Sampurna</v>
      </c>
      <c r="F2544" s="211" t="str">
        <f>IFERROR(__xludf.DUMMYFUNCTION("""COMPUTED_VALUE"""),"8bdbe149")</f>
        <v>8bdbe149</v>
      </c>
      <c r="G2544" s="211" t="str">
        <f>IFERROR(__xludf.DUMMYFUNCTION("""COMPUTED_VALUE"""),"Oksigen 6m3")</f>
        <v>Oksigen 6m3</v>
      </c>
      <c r="H2544" s="211" t="str">
        <f>IFERROR(__xludf.DUMMYFUNCTION("""COMPUTED_VALUE"""),"IN")</f>
        <v>IN</v>
      </c>
      <c r="I2544" s="211" t="str">
        <f>IFERROR(__xludf.DUMMYFUNCTION("""COMPUTED_VALUE"""),"EMPTY")</f>
        <v>EMPTY</v>
      </c>
      <c r="J2544" s="211">
        <f>IFERROR(__xludf.DUMMYFUNCTION("""COMPUTED_VALUE"""),4.0)</f>
        <v>4</v>
      </c>
      <c r="K2544" s="210" t="str">
        <f>IFERROR(__xludf.DUMMYFUNCTION("""COMPUTED_VALUE"""),"11281 1102 1140 1173")</f>
        <v>11281 1102 1140 1173</v>
      </c>
      <c r="L2544" s="211">
        <f>IFERROR(__xludf.DUMMYFUNCTION("""COMPUTED_VALUE"""),0.0)</f>
        <v>0</v>
      </c>
      <c r="M2544" s="211"/>
      <c r="N2544" s="211"/>
      <c r="O2544" s="211"/>
      <c r="Q2544" s="210" t="str">
        <f>IFERROR(__xludf.DUMMYFUNCTION("""COMPUTED_VALUE"""),"0226452544")</f>
        <v>0226452544</v>
      </c>
      <c r="R2544" s="210" t="str">
        <f>IFERROR(__xludf.DUMMYFUNCTION("""COMPUTED_VALUE"""),"0226452544")</f>
        <v>0226452544</v>
      </c>
      <c r="S2544" s="211" t="str">
        <f>IFERROR(__xludf.DUMMYFUNCTION("""COMPUTED_VALUE"""),"ec231cc9")</f>
        <v>ec231cc9</v>
      </c>
      <c r="T2544" s="211" t="str">
        <f>IFERROR(__xludf.DUMMYFUNCTION("""COMPUTED_VALUE"""),"Bpk. Kohir (Maintenance Velg)")</f>
        <v>Bpk. Kohir (Maintenance Velg)</v>
      </c>
      <c r="U2544" s="215">
        <f>IFERROR(__xludf.DUMMYFUNCTION("""COMPUTED_VALUE"""),46066.35747685185)</f>
        <v>46066.35748</v>
      </c>
      <c r="V2544" s="211" t="str">
        <f>IFERROR(__xludf.DUMMYFUNCTION("""COMPUTED_VALUE"""),"Jl. Lkr. Bypass Krian Timur, Sidogolong, Watugolong, Kec. Krian, Kabupaten Sidoarjo, Jawa Timur 61262")</f>
        <v>Jl. Lkr. Bypass Krian Timur, Sidogolong, Watugolong, Kec. Krian, Kabupaten Sidoarjo, Jawa Timur 61262</v>
      </c>
      <c r="W2544" s="211" t="str">
        <f>IFERROR(__xludf.DUMMYFUNCTION("""COMPUTED_VALUE"""),"OUT")</f>
        <v>OUT</v>
      </c>
      <c r="X2544" s="211"/>
    </row>
    <row r="2545">
      <c r="A2545" s="210" t="str">
        <f>IFERROR(__xludf.DUMMYFUNCTION("""COMPUTED_VALUE"""),"1250816")</f>
        <v>1250816</v>
      </c>
      <c r="B2545" s="210" t="str">
        <f>IFERROR(__xludf.DUMMYFUNCTION("""COMPUTED_VALUE"""),"1250816")</f>
        <v>1250816</v>
      </c>
      <c r="C2545" s="213">
        <f>IFERROR(__xludf.DUMMYFUNCTION("""COMPUTED_VALUE"""),45983.590636574074)</f>
        <v>45983.59064</v>
      </c>
      <c r="D2545" s="211" t="str">
        <f>IFERROR(__xludf.DUMMYFUNCTION("""COMPUTED_VALUE"""),"2d88931c")</f>
        <v>2d88931c</v>
      </c>
      <c r="E2545" s="211" t="str">
        <f>IFERROR(__xludf.DUMMYFUNCTION("""COMPUTED_VALUE"""),"PT Dunia Berkat Marga Mulya")</f>
        <v>PT Dunia Berkat Marga Mulya</v>
      </c>
      <c r="F2545" s="211" t="str">
        <f>IFERROR(__xludf.DUMMYFUNCTION("""COMPUTED_VALUE"""),"8bdbe149")</f>
        <v>8bdbe149</v>
      </c>
      <c r="G2545" s="211" t="str">
        <f>IFERROR(__xludf.DUMMYFUNCTION("""COMPUTED_VALUE"""),"Oksigen 6m3")</f>
        <v>Oksigen 6m3</v>
      </c>
      <c r="H2545" s="211" t="str">
        <f>IFERROR(__xludf.DUMMYFUNCTION("""COMPUTED_VALUE"""),"IN")</f>
        <v>IN</v>
      </c>
      <c r="I2545" s="211" t="str">
        <f>IFERROR(__xludf.DUMMYFUNCTION("""COMPUTED_VALUE"""),"EMPTY")</f>
        <v>EMPTY</v>
      </c>
      <c r="J2545" s="211">
        <f>IFERROR(__xludf.DUMMYFUNCTION("""COMPUTED_VALUE"""),2.0)</f>
        <v>2</v>
      </c>
      <c r="K2545" s="210" t="str">
        <f>IFERROR(__xludf.DUMMYFUNCTION("""COMPUTED_VALUE"""),"11120 1198")</f>
        <v>11120 1198</v>
      </c>
      <c r="L2545" s="211">
        <f>IFERROR(__xludf.DUMMYFUNCTION("""COMPUTED_VALUE"""),0.0)</f>
        <v>0</v>
      </c>
      <c r="M2545" s="211"/>
      <c r="N2545" s="211"/>
      <c r="O2545" s="211"/>
      <c r="Q2545" s="210" t="str">
        <f>IFERROR(__xludf.DUMMYFUNCTION("""COMPUTED_VALUE"""),"0226302545")</f>
        <v>0226302545</v>
      </c>
      <c r="R2545" s="210" t="str">
        <f>IFERROR(__xludf.DUMMYFUNCTION("""COMPUTED_VALUE"""),"0226302545")</f>
        <v>0226302545</v>
      </c>
      <c r="S2545" s="211" t="str">
        <f>IFERROR(__xludf.DUMMYFUNCTION("""COMPUTED_VALUE"""),"2d88931c")</f>
        <v>2d88931c</v>
      </c>
      <c r="T2545" s="211" t="str">
        <f>IFERROR(__xludf.DUMMYFUNCTION("""COMPUTED_VALUE"""),"PT Dunia Berkat Marga Mulya")</f>
        <v>PT Dunia Berkat Marga Mulya</v>
      </c>
      <c r="U2545" s="215">
        <f>IFERROR(__xludf.DUMMYFUNCTION("""COMPUTED_VALUE"""),46066.39770833333)</f>
        <v>46066.39771</v>
      </c>
      <c r="V2545" s="211" t="str">
        <f>IFERROR(__xludf.DUMMYFUNCTION("""COMPUTED_VALUE"""),"JL JABARAN, WATESARI, BALONGBENDO, SIDOARJO, JAWA TIMUR")</f>
        <v>JL JABARAN, WATESARI, BALONGBENDO, SIDOARJO, JAWA TIMUR</v>
      </c>
      <c r="W2545" s="211" t="str">
        <f>IFERROR(__xludf.DUMMYFUNCTION("""COMPUTED_VALUE"""),"OUT")</f>
        <v>OUT</v>
      </c>
      <c r="X2545" s="211"/>
    </row>
    <row r="2546">
      <c r="A2546" s="210" t="str">
        <f>IFERROR(__xludf.DUMMYFUNCTION("""COMPUTED_VALUE"""),"1250814")</f>
        <v>1250814</v>
      </c>
      <c r="B2546" s="210" t="str">
        <f>IFERROR(__xludf.DUMMYFUNCTION("""COMPUTED_VALUE"""),"1250814")</f>
        <v>1250814</v>
      </c>
      <c r="C2546" s="213">
        <f>IFERROR(__xludf.DUMMYFUNCTION("""COMPUTED_VALUE"""),45983.59240740741)</f>
        <v>45983.59241</v>
      </c>
      <c r="D2546" s="211" t="str">
        <f>IFERROR(__xludf.DUMMYFUNCTION("""COMPUTED_VALUE"""),"58b72e0c")</f>
        <v>58b72e0c</v>
      </c>
      <c r="E2546" s="211" t="str">
        <f>IFERROR(__xludf.DUMMYFUNCTION("""COMPUTED_VALUE"""),"UD. Ais Jaya")</f>
        <v>UD. Ais Jaya</v>
      </c>
      <c r="F2546" s="211" t="str">
        <f>IFERROR(__xludf.DUMMYFUNCTION("""COMPUTED_VALUE"""),"7d2764f1")</f>
        <v>7d2764f1</v>
      </c>
      <c r="G2546" s="211" t="str">
        <f>IFERROR(__xludf.DUMMYFUNCTION("""COMPUTED_VALUE"""),"Oksigen 7m3")</f>
        <v>Oksigen 7m3</v>
      </c>
      <c r="H2546" s="211" t="str">
        <f>IFERROR(__xludf.DUMMYFUNCTION("""COMPUTED_VALUE"""),"IN")</f>
        <v>IN</v>
      </c>
      <c r="I2546" s="211" t="str">
        <f>IFERROR(__xludf.DUMMYFUNCTION("""COMPUTED_VALUE"""),"EMPTY")</f>
        <v>EMPTY</v>
      </c>
      <c r="J2546" s="211">
        <f>IFERROR(__xludf.DUMMYFUNCTION("""COMPUTED_VALUE"""),1.0)</f>
        <v>1</v>
      </c>
      <c r="K2546" s="210" t="str">
        <f>IFERROR(__xludf.DUMMYFUNCTION("""COMPUTED_VALUE"""),"11140")</f>
        <v>11140</v>
      </c>
      <c r="L2546" s="211">
        <f>IFERROR(__xludf.DUMMYFUNCTION("""COMPUTED_VALUE"""),0.0)</f>
        <v>0</v>
      </c>
      <c r="M2546" s="211"/>
      <c r="N2546" s="211"/>
      <c r="O2546" s="211"/>
      <c r="Q2546" s="210" t="str">
        <f>IFERROR(__xludf.DUMMYFUNCTION("""COMPUTED_VALUE"""),"0226212546")</f>
        <v>0226212546</v>
      </c>
      <c r="R2546" s="210" t="str">
        <f>IFERROR(__xludf.DUMMYFUNCTION("""COMPUTED_VALUE"""),"0226212546")</f>
        <v>0226212546</v>
      </c>
      <c r="S2546" s="211" t="str">
        <f>IFERROR(__xludf.DUMMYFUNCTION("""COMPUTED_VALUE"""),"63fc688a")</f>
        <v>63fc688a</v>
      </c>
      <c r="T2546" s="211" t="str">
        <f>IFERROR(__xludf.DUMMYFUNCTION("""COMPUTED_VALUE"""),"CV Malik Nusantara")</f>
        <v>CV Malik Nusantara</v>
      </c>
      <c r="U2546" s="215">
        <f>IFERROR(__xludf.DUMMYFUNCTION("""COMPUTED_VALUE"""),46066.397893518515)</f>
        <v>46066.39789</v>
      </c>
      <c r="V2546" s="211" t="str">
        <f>IFERROR(__xludf.DUMMYFUNCTION("""COMPUTED_VALUE"""),"Jl. Raya Balongbendo No.12, Suwaluh Utara, Suwaluh, Kec. BalongBendo, Kabupaten Sidoarjo, Jawa Timur 61263")</f>
        <v>Jl. Raya Balongbendo No.12, Suwaluh Utara, Suwaluh, Kec. BalongBendo, Kabupaten Sidoarjo, Jawa Timur 61263</v>
      </c>
      <c r="W2546" s="211" t="str">
        <f>IFERROR(__xludf.DUMMYFUNCTION("""COMPUTED_VALUE"""),"OUT")</f>
        <v>OUT</v>
      </c>
      <c r="X2546" s="211"/>
    </row>
    <row r="2547">
      <c r="A2547" s="210" t="str">
        <f>IFERROR(__xludf.DUMMYFUNCTION("""COMPUTED_VALUE"""),"1250815")</f>
        <v>1250815</v>
      </c>
      <c r="B2547" s="210" t="str">
        <f>IFERROR(__xludf.DUMMYFUNCTION("""COMPUTED_VALUE"""),"1250815")</f>
        <v>1250815</v>
      </c>
      <c r="C2547" s="213">
        <f>IFERROR(__xludf.DUMMYFUNCTION("""COMPUTED_VALUE"""),45983.59275462963)</f>
        <v>45983.59275</v>
      </c>
      <c r="D2547" s="211" t="str">
        <f>IFERROR(__xludf.DUMMYFUNCTION("""COMPUTED_VALUE"""),"b0735da4")</f>
        <v>b0735da4</v>
      </c>
      <c r="E2547" s="211" t="str">
        <f>IFERROR(__xludf.DUMMYFUNCTION("""COMPUTED_VALUE"""),"Bpk. Amer Ciro")</f>
        <v>Bpk. Amer Ciro</v>
      </c>
      <c r="F2547" s="211" t="str">
        <f>IFERROR(__xludf.DUMMYFUNCTION("""COMPUTED_VALUE"""),"7d2764f1")</f>
        <v>7d2764f1</v>
      </c>
      <c r="G2547" s="211" t="str">
        <f>IFERROR(__xludf.DUMMYFUNCTION("""COMPUTED_VALUE"""),"Oksigen 7m3")</f>
        <v>Oksigen 7m3</v>
      </c>
      <c r="H2547" s="211" t="str">
        <f>IFERROR(__xludf.DUMMYFUNCTION("""COMPUTED_VALUE"""),"IN")</f>
        <v>IN</v>
      </c>
      <c r="I2547" s="211" t="str">
        <f>IFERROR(__xludf.DUMMYFUNCTION("""COMPUTED_VALUE"""),"EMPTY")</f>
        <v>EMPTY</v>
      </c>
      <c r="J2547" s="211">
        <f>IFERROR(__xludf.DUMMYFUNCTION("""COMPUTED_VALUE"""),2.0)</f>
        <v>2</v>
      </c>
      <c r="K2547" s="210" t="str">
        <f>IFERROR(__xludf.DUMMYFUNCTION("""COMPUTED_VALUE"""),"11142 11143")</f>
        <v>11142 11143</v>
      </c>
      <c r="L2547" s="211">
        <f>IFERROR(__xludf.DUMMYFUNCTION("""COMPUTED_VALUE"""),0.0)</f>
        <v>0</v>
      </c>
      <c r="M2547" s="211"/>
      <c r="N2547" s="211"/>
      <c r="O2547" s="211"/>
      <c r="Q2547" s="210" t="str">
        <f>IFERROR(__xludf.DUMMYFUNCTION("""COMPUTED_VALUE"""),"0226442547")</f>
        <v>0226442547</v>
      </c>
      <c r="R2547" s="210" t="str">
        <f>IFERROR(__xludf.DUMMYFUNCTION("""COMPUTED_VALUE"""),"0226442547")</f>
        <v>0226442547</v>
      </c>
      <c r="S2547" s="211" t="str">
        <f>IFERROR(__xludf.DUMMYFUNCTION("""COMPUTED_VALUE"""),"5f23ba17")</f>
        <v>5f23ba17</v>
      </c>
      <c r="T2547" s="211" t="str">
        <f>IFERROR(__xludf.DUMMYFUNCTION("""COMPUTED_VALUE"""),"Bpk. Joko (Gresik)")</f>
        <v>Bpk. Joko (Gresik)</v>
      </c>
      <c r="U2547" s="215">
        <f>IFERROR(__xludf.DUMMYFUNCTION("""COMPUTED_VALUE"""),46066.405497685184)</f>
        <v>46066.4055</v>
      </c>
      <c r="V2547" s="211" t="str">
        <f>IFERROR(__xludf.DUMMYFUNCTION("""COMPUTED_VALUE"""),"Tanggungan, Lebaniwaras, Kec. Wringinanom, Kabupaten Gresik, Jawa Timur")</f>
        <v>Tanggungan, Lebaniwaras, Kec. Wringinanom, Kabupaten Gresik, Jawa Timur</v>
      </c>
      <c r="W2547" s="211" t="str">
        <f>IFERROR(__xludf.DUMMYFUNCTION("""COMPUTED_VALUE"""),"OUT")</f>
        <v>OUT</v>
      </c>
      <c r="X2547" s="211"/>
    </row>
    <row r="2548">
      <c r="A2548" s="210" t="str">
        <f>IFERROR(__xludf.DUMMYFUNCTION("""COMPUTED_VALUE"""),"1250846")</f>
        <v>1250846</v>
      </c>
      <c r="B2548" s="210" t="str">
        <f>IFERROR(__xludf.DUMMYFUNCTION("""COMPUTED_VALUE"""),"1250846")</f>
        <v>1250846</v>
      </c>
      <c r="C2548" s="213">
        <f>IFERROR(__xludf.DUMMYFUNCTION("""COMPUTED_VALUE"""),45983.615902777776)</f>
        <v>45983.6159</v>
      </c>
      <c r="D2548" s="211" t="str">
        <f>IFERROR(__xludf.DUMMYFUNCTION("""COMPUTED_VALUE"""),"63fc688a")</f>
        <v>63fc688a</v>
      </c>
      <c r="E2548" s="211" t="str">
        <f>IFERROR(__xludf.DUMMYFUNCTION("""COMPUTED_VALUE"""),"CV Malik Nusantara")</f>
        <v>CV Malik Nusantara</v>
      </c>
      <c r="F2548" s="211" t="str">
        <f>IFERROR(__xludf.DUMMYFUNCTION("""COMPUTED_VALUE"""),"8bdbe149")</f>
        <v>8bdbe149</v>
      </c>
      <c r="G2548" s="211" t="str">
        <f>IFERROR(__xludf.DUMMYFUNCTION("""COMPUTED_VALUE"""),"Oksigen 6m3")</f>
        <v>Oksigen 6m3</v>
      </c>
      <c r="H2548" s="211" t="str">
        <f>IFERROR(__xludf.DUMMYFUNCTION("""COMPUTED_VALUE"""),"IN")</f>
        <v>IN</v>
      </c>
      <c r="I2548" s="211" t="str">
        <f>IFERROR(__xludf.DUMMYFUNCTION("""COMPUTED_VALUE"""),"EMPTY")</f>
        <v>EMPTY</v>
      </c>
      <c r="J2548" s="211">
        <f>IFERROR(__xludf.DUMMYFUNCTION("""COMPUTED_VALUE"""),1.0)</f>
        <v>1</v>
      </c>
      <c r="K2548" s="210" t="str">
        <f>IFERROR(__xludf.DUMMYFUNCTION("""COMPUTED_VALUE"""),"1142")</f>
        <v>1142</v>
      </c>
      <c r="L2548" s="211">
        <f>IFERROR(__xludf.DUMMYFUNCTION("""COMPUTED_VALUE"""),0.0)</f>
        <v>0</v>
      </c>
      <c r="M2548" s="211"/>
      <c r="N2548" s="211"/>
      <c r="O2548" s="211"/>
      <c r="Q2548" s="210" t="str">
        <f>IFERROR(__xludf.DUMMYFUNCTION("""COMPUTED_VALUE"""),"0226162548")</f>
        <v>0226162548</v>
      </c>
      <c r="R2548" s="210" t="str">
        <f>IFERROR(__xludf.DUMMYFUNCTION("""COMPUTED_VALUE"""),"0226162548")</f>
        <v>0226162548</v>
      </c>
      <c r="S2548" s="211" t="str">
        <f>IFERROR(__xludf.DUMMYFUNCTION("""COMPUTED_VALUE"""),"f8a982a4")</f>
        <v>f8a982a4</v>
      </c>
      <c r="T2548" s="211" t="str">
        <f>IFERROR(__xludf.DUMMYFUNCTION("""COMPUTED_VALUE"""),"Bpk. Nasir")</f>
        <v>Bpk. Nasir</v>
      </c>
      <c r="U2548" s="215">
        <f>IFERROR(__xludf.DUMMYFUNCTION("""COMPUTED_VALUE"""),46066.43284722222)</f>
        <v>46066.43285</v>
      </c>
      <c r="V2548" s="211" t="str">
        <f>IFERROR(__xludf.DUMMYFUNCTION("""COMPUTED_VALUE"""),"JL Raya Pacet, Dsn. Janti Ds. Jatilangkung RT.01 RW. 04. Kabupaten. Mojokerto Pungging, Jawa Timur")</f>
        <v>JL Raya Pacet, Dsn. Janti Ds. Jatilangkung RT.01 RW. 04. Kabupaten. Mojokerto Pungging, Jawa Timur</v>
      </c>
      <c r="W2548" s="211" t="str">
        <f>IFERROR(__xludf.DUMMYFUNCTION("""COMPUTED_VALUE"""),"OUT")</f>
        <v>OUT</v>
      </c>
      <c r="X2548" s="211"/>
    </row>
    <row r="2549">
      <c r="A2549" s="210" t="str">
        <f>IFERROR(__xludf.DUMMYFUNCTION("""COMPUTED_VALUE"""),"1250847")</f>
        <v>1250847</v>
      </c>
      <c r="B2549" s="210" t="str">
        <f>IFERROR(__xludf.DUMMYFUNCTION("""COMPUTED_VALUE"""),"1250847")</f>
        <v>1250847</v>
      </c>
      <c r="C2549" s="213">
        <f>IFERROR(__xludf.DUMMYFUNCTION("""COMPUTED_VALUE"""),45983.617106481484)</f>
        <v>45983.61711</v>
      </c>
      <c r="D2549" s="211" t="str">
        <f>IFERROR(__xludf.DUMMYFUNCTION("""COMPUTED_VALUE"""),"ce83e171")</f>
        <v>ce83e171</v>
      </c>
      <c r="E2549" s="211" t="str">
        <f>IFERROR(__xludf.DUMMYFUNCTION("""COMPUTED_VALUE"""),"Bpk. Sulaiman")</f>
        <v>Bpk. Sulaiman</v>
      </c>
      <c r="F2549" s="211" t="str">
        <f>IFERROR(__xludf.DUMMYFUNCTION("""COMPUTED_VALUE"""),"7d2764f1")</f>
        <v>7d2764f1</v>
      </c>
      <c r="G2549" s="211" t="str">
        <f>IFERROR(__xludf.DUMMYFUNCTION("""COMPUTED_VALUE"""),"Oksigen 7m3")</f>
        <v>Oksigen 7m3</v>
      </c>
      <c r="H2549" s="211" t="str">
        <f>IFERROR(__xludf.DUMMYFUNCTION("""COMPUTED_VALUE"""),"IN")</f>
        <v>IN</v>
      </c>
      <c r="I2549" s="211" t="str">
        <f>IFERROR(__xludf.DUMMYFUNCTION("""COMPUTED_VALUE"""),"EMPTY")</f>
        <v>EMPTY</v>
      </c>
      <c r="J2549" s="211">
        <f>IFERROR(__xludf.DUMMYFUNCTION("""COMPUTED_VALUE"""),2.0)</f>
        <v>2</v>
      </c>
      <c r="K2549" s="210" t="str">
        <f>IFERROR(__xludf.DUMMYFUNCTION("""COMPUTED_VALUE"""),"11158 11154")</f>
        <v>11158 11154</v>
      </c>
      <c r="L2549" s="211">
        <f>IFERROR(__xludf.DUMMYFUNCTION("""COMPUTED_VALUE"""),0.0)</f>
        <v>0</v>
      </c>
      <c r="M2549" s="211"/>
      <c r="N2549" s="211"/>
      <c r="O2549" s="211"/>
      <c r="Q2549" s="210" t="str">
        <f>IFERROR(__xludf.DUMMYFUNCTION("""COMPUTED_VALUE"""),"0226242549")</f>
        <v>0226242549</v>
      </c>
      <c r="R2549" s="210" t="str">
        <f>IFERROR(__xludf.DUMMYFUNCTION("""COMPUTED_VALUE"""),"0226242549")</f>
        <v>0226242549</v>
      </c>
      <c r="S2549" s="211" t="str">
        <f>IFERROR(__xludf.DUMMYFUNCTION("""COMPUTED_VALUE"""),"4ec68cf6")</f>
        <v>4ec68cf6</v>
      </c>
      <c r="T2549" s="211" t="str">
        <f>IFERROR(__xludf.DUMMYFUNCTION("""COMPUTED_VALUE"""),"CV Sido Mukti Karya")</f>
        <v>CV Sido Mukti Karya</v>
      </c>
      <c r="U2549" s="215">
        <f>IFERROR(__xludf.DUMMYFUNCTION("""COMPUTED_VALUE"""),46066.436886574076)</f>
        <v>46066.43689</v>
      </c>
      <c r="V2549" s="211" t="str">
        <f>IFERROR(__xludf.DUMMYFUNCTION("""COMPUTED_VALUE"""),"Pergudangan Center Point no A3, Kemangsen")</f>
        <v>Pergudangan Center Point no A3, Kemangsen</v>
      </c>
      <c r="W2549" s="211" t="str">
        <f>IFERROR(__xludf.DUMMYFUNCTION("""COMPUTED_VALUE"""),"OUT")</f>
        <v>OUT</v>
      </c>
      <c r="X2549" s="211"/>
    </row>
    <row r="2550">
      <c r="A2550" s="210" t="str">
        <f>IFERROR(__xludf.DUMMYFUNCTION("""COMPUTED_VALUE"""),"1250848")</f>
        <v>1250848</v>
      </c>
      <c r="B2550" s="210" t="str">
        <f>IFERROR(__xludf.DUMMYFUNCTION("""COMPUTED_VALUE"""),"1250848")</f>
        <v>1250848</v>
      </c>
      <c r="C2550" s="213">
        <f>IFERROR(__xludf.DUMMYFUNCTION("""COMPUTED_VALUE"""),45983.61746527778)</f>
        <v>45983.61747</v>
      </c>
      <c r="D2550" s="211" t="str">
        <f>IFERROR(__xludf.DUMMYFUNCTION("""COMPUTED_VALUE"""),"b2b5f2c5")</f>
        <v>b2b5f2c5</v>
      </c>
      <c r="E2550" s="211" t="str">
        <f>IFERROR(__xludf.DUMMYFUNCTION("""COMPUTED_VALUE"""),"Bengkel Las Bpk. Ari")</f>
        <v>Bengkel Las Bpk. Ari</v>
      </c>
      <c r="F2550" s="211" t="str">
        <f>IFERROR(__xludf.DUMMYFUNCTION("""COMPUTED_VALUE"""),"8bdbe149")</f>
        <v>8bdbe149</v>
      </c>
      <c r="G2550" s="211" t="str">
        <f>IFERROR(__xludf.DUMMYFUNCTION("""COMPUTED_VALUE"""),"Oksigen 6m3")</f>
        <v>Oksigen 6m3</v>
      </c>
      <c r="H2550" s="211" t="str">
        <f>IFERROR(__xludf.DUMMYFUNCTION("""COMPUTED_VALUE"""),"IN")</f>
        <v>IN</v>
      </c>
      <c r="I2550" s="211" t="str">
        <f>IFERROR(__xludf.DUMMYFUNCTION("""COMPUTED_VALUE"""),"EMPTY")</f>
        <v>EMPTY</v>
      </c>
      <c r="J2550" s="211">
        <f>IFERROR(__xludf.DUMMYFUNCTION("""COMPUTED_VALUE"""),6.0)</f>
        <v>6</v>
      </c>
      <c r="K2550" s="210" t="str">
        <f>IFERROR(__xludf.DUMMYFUNCTION("""COMPUTED_VALUE"""),"1155 1184 11252 11237 11251 1158")</f>
        <v>1155 1184 11252 11237 11251 1158</v>
      </c>
      <c r="L2550" s="211">
        <f>IFERROR(__xludf.DUMMYFUNCTION("""COMPUTED_VALUE"""),0.0)</f>
        <v>0</v>
      </c>
      <c r="M2550" s="211"/>
      <c r="N2550" s="211"/>
      <c r="O2550" s="211"/>
      <c r="Q2550" s="210" t="str">
        <f>IFERROR(__xludf.DUMMYFUNCTION("""COMPUTED_VALUE"""),"0226112550")</f>
        <v>0226112550</v>
      </c>
      <c r="R2550" s="210" t="str">
        <f>IFERROR(__xludf.DUMMYFUNCTION("""COMPUTED_VALUE"""),"0226112550")</f>
        <v>0226112550</v>
      </c>
      <c r="S2550" s="211" t="str">
        <f>IFERROR(__xludf.DUMMYFUNCTION("""COMPUTED_VALUE"""),"ba97d58d")</f>
        <v>ba97d58d</v>
      </c>
      <c r="T2550" s="211" t="str">
        <f>IFERROR(__xludf.DUMMYFUNCTION("""COMPUTED_VALUE"""),"Bengkel Citra Mojosari")</f>
        <v>Bengkel Citra Mojosari</v>
      </c>
      <c r="U2550" s="215">
        <f>IFERROR(__xludf.DUMMYFUNCTION("""COMPUTED_VALUE"""),46066.447800925926)</f>
        <v>46066.4478</v>
      </c>
      <c r="V2550" s="211" t="str">
        <f>IFERROR(__xludf.DUMMYFUNCTION("""COMPUTED_VALUE"""),"Jl. Raden Wijaya, Kemloko, Jotangan, Kec. Mojosari, Kabupaten Mojokerto, Jawa Timur 61382")</f>
        <v>Jl. Raden Wijaya, Kemloko, Jotangan, Kec. Mojosari, Kabupaten Mojokerto, Jawa Timur 61382</v>
      </c>
      <c r="W2550" s="211" t="str">
        <f>IFERROR(__xludf.DUMMYFUNCTION("""COMPUTED_VALUE"""),"OUT")</f>
        <v>OUT</v>
      </c>
      <c r="X2550" s="211"/>
    </row>
    <row r="2551">
      <c r="A2551" s="210" t="str">
        <f>IFERROR(__xludf.DUMMYFUNCTION("""COMPUTED_VALUE"""),"1250848")</f>
        <v>1250848</v>
      </c>
      <c r="B2551" s="210" t="str">
        <f>IFERROR(__xludf.DUMMYFUNCTION("""COMPUTED_VALUE"""),"1250848")</f>
        <v>1250848</v>
      </c>
      <c r="C2551" s="213">
        <f>IFERROR(__xludf.DUMMYFUNCTION("""COMPUTED_VALUE"""),45983.61746527778)</f>
        <v>45983.61747</v>
      </c>
      <c r="D2551" s="211" t="str">
        <f>IFERROR(__xludf.DUMMYFUNCTION("""COMPUTED_VALUE"""),"b2b5f2c5")</f>
        <v>b2b5f2c5</v>
      </c>
      <c r="E2551" s="211" t="str">
        <f>IFERROR(__xludf.DUMMYFUNCTION("""COMPUTED_VALUE"""),"Bengkel Las Bpk. Ari")</f>
        <v>Bengkel Las Bpk. Ari</v>
      </c>
      <c r="F2551" s="211" t="str">
        <f>IFERROR(__xludf.DUMMYFUNCTION("""COMPUTED_VALUE"""),"ef306e54")</f>
        <v>ef306e54</v>
      </c>
      <c r="G2551" s="211" t="str">
        <f>IFERROR(__xludf.DUMMYFUNCTION("""COMPUTED_VALUE"""),"Karbondioksida")</f>
        <v>Karbondioksida</v>
      </c>
      <c r="H2551" s="211" t="str">
        <f>IFERROR(__xludf.DUMMYFUNCTION("""COMPUTED_VALUE"""),"IN")</f>
        <v>IN</v>
      </c>
      <c r="I2551" s="211" t="str">
        <f>IFERROR(__xludf.DUMMYFUNCTION("""COMPUTED_VALUE"""),"EMPTY")</f>
        <v>EMPTY</v>
      </c>
      <c r="J2551" s="211">
        <f>IFERROR(__xludf.DUMMYFUNCTION("""COMPUTED_VALUE"""),1.0)</f>
        <v>1</v>
      </c>
      <c r="K2551" s="210" t="str">
        <f>IFERROR(__xludf.DUMMYFUNCTION("""COMPUTED_VALUE"""),"13020")</f>
        <v>13020</v>
      </c>
      <c r="L2551" s="211">
        <f>IFERROR(__xludf.DUMMYFUNCTION("""COMPUTED_VALUE"""),0.0)</f>
        <v>0</v>
      </c>
      <c r="M2551" s="211"/>
      <c r="N2551" s="211"/>
      <c r="O2551" s="211"/>
      <c r="Q2551" s="210" t="str">
        <f>IFERROR(__xludf.DUMMYFUNCTION("""COMPUTED_VALUE"""),"022692551")</f>
        <v>022692551</v>
      </c>
      <c r="R2551" s="210" t="str">
        <f>IFERROR(__xludf.DUMMYFUNCTION("""COMPUTED_VALUE"""),"022692551")</f>
        <v>022692551</v>
      </c>
      <c r="S2551" s="211" t="str">
        <f>IFERROR(__xludf.DUMMYFUNCTION("""COMPUTED_VALUE"""),"98c84274")</f>
        <v>98c84274</v>
      </c>
      <c r="T2551" s="211" t="str">
        <f>IFERROR(__xludf.DUMMYFUNCTION("""COMPUTED_VALUE"""),"Bengkel SBM (Pak Hari)")</f>
        <v>Bengkel SBM (Pak Hari)</v>
      </c>
      <c r="U2551" s="215">
        <f>IFERROR(__xludf.DUMMYFUNCTION("""COMPUTED_VALUE"""),46066.52788194444)</f>
        <v>46066.52788</v>
      </c>
      <c r="V2551"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51" s="211" t="str">
        <f>IFERROR(__xludf.DUMMYFUNCTION("""COMPUTED_VALUE"""),"OUT")</f>
        <v>OUT</v>
      </c>
      <c r="X2551" s="211"/>
    </row>
    <row r="2552">
      <c r="A2552" s="210" t="str">
        <f>IFERROR(__xludf.DUMMYFUNCTION("""COMPUTED_VALUE"""),"112541796")</f>
        <v>112541796</v>
      </c>
      <c r="B2552" s="210" t="str">
        <f>IFERROR(__xludf.DUMMYFUNCTION("""COMPUTED_VALUE"""),"112541796")</f>
        <v>112541796</v>
      </c>
      <c r="C2552" s="213">
        <f>IFERROR(__xludf.DUMMYFUNCTION("""COMPUTED_VALUE"""),45985.4571875)</f>
        <v>45985.45719</v>
      </c>
      <c r="D2552" s="211" t="str">
        <f>IFERROR(__xludf.DUMMYFUNCTION("""COMPUTED_VALUE"""),"a0f0ad2d")</f>
        <v>a0f0ad2d</v>
      </c>
      <c r="E2552" s="211" t="str">
        <f>IFERROR(__xludf.DUMMYFUNCTION("""COMPUTED_VALUE"""),"CV. Yulie Jaya")</f>
        <v>CV. Yulie Jaya</v>
      </c>
      <c r="F2552" s="211" t="str">
        <f>IFERROR(__xludf.DUMMYFUNCTION("""COMPUTED_VALUE"""),"7d2764f1")</f>
        <v>7d2764f1</v>
      </c>
      <c r="G2552" s="211" t="str">
        <f>IFERROR(__xludf.DUMMYFUNCTION("""COMPUTED_VALUE"""),"Oksigen 7m3")</f>
        <v>Oksigen 7m3</v>
      </c>
      <c r="H2552" s="211" t="str">
        <f>IFERROR(__xludf.DUMMYFUNCTION("""COMPUTED_VALUE"""),"OUT")</f>
        <v>OUT</v>
      </c>
      <c r="I2552" s="211" t="str">
        <f>IFERROR(__xludf.DUMMYFUNCTION("""COMPUTED_VALUE"""),"NORMAL")</f>
        <v>NORMAL</v>
      </c>
      <c r="J2552" s="211">
        <f>IFERROR(__xludf.DUMMYFUNCTION("""COMPUTED_VALUE"""),10.0)</f>
        <v>10</v>
      </c>
      <c r="K2552" s="210" t="str">
        <f>IFERROR(__xludf.DUMMYFUNCTION("""COMPUTED_VALUE"""),"11158 11157 11218 11223 11214 11219 11222 11213 11229 11154")</f>
        <v>11158 11157 11218 11223 11214 11219 11222 11213 11229 11154</v>
      </c>
      <c r="L2552" s="211">
        <f>IFERROR(__xludf.DUMMYFUNCTION("""COMPUTED_VALUE"""),60000.0)</f>
        <v>60000</v>
      </c>
      <c r="M2552" s="211"/>
      <c r="N2552" s="211"/>
      <c r="O2552" s="211"/>
      <c r="Q2552" s="210" t="str">
        <f>IFERROR(__xludf.DUMMYFUNCTION("""COMPUTED_VALUE"""),"022652552")</f>
        <v>022652552</v>
      </c>
      <c r="R2552" s="210" t="str">
        <f>IFERROR(__xludf.DUMMYFUNCTION("""COMPUTED_VALUE"""),"022652552")</f>
        <v>022652552</v>
      </c>
      <c r="S2552" s="211" t="str">
        <f>IFERROR(__xludf.DUMMYFUNCTION("""COMPUTED_VALUE"""),"1c4d5e93")</f>
        <v>1c4d5e93</v>
      </c>
      <c r="T2552" s="211" t="str">
        <f>IFERROR(__xludf.DUMMYFUNCTION("""COMPUTED_VALUE"""),"Karoseri Cipta Mitra Sukses")</f>
        <v>Karoseri Cipta Mitra Sukses</v>
      </c>
      <c r="U2552" s="215">
        <f>IFERROR(__xludf.DUMMYFUNCTION("""COMPUTED_VALUE"""),46066.56592592593)</f>
        <v>46066.56593</v>
      </c>
      <c r="V2552" s="211" t="str">
        <f>IFERROR(__xludf.DUMMYFUNCTION("""COMPUTED_VALUE"""),"JL. Bypass Krian No. 7800, Blok B No 11. Barengkrajan, Kec. Krian, Kabupaten Sidoarjo, Jawa Timur  61262")</f>
        <v>JL. Bypass Krian No. 7800, Blok B No 11. Barengkrajan, Kec. Krian, Kabupaten Sidoarjo, Jawa Timur  61262</v>
      </c>
      <c r="W2552" s="211" t="str">
        <f>IFERROR(__xludf.DUMMYFUNCTION("""COMPUTED_VALUE"""),"OUT")</f>
        <v>OUT</v>
      </c>
      <c r="X2552" s="211"/>
    </row>
    <row r="2553">
      <c r="A2553" s="210" t="str">
        <f>IFERROR(__xludf.DUMMYFUNCTION("""COMPUTED_VALUE"""),"112541796")</f>
        <v>112541796</v>
      </c>
      <c r="B2553" s="210" t="str">
        <f>IFERROR(__xludf.DUMMYFUNCTION("""COMPUTED_VALUE"""),"112541796")</f>
        <v>112541796</v>
      </c>
      <c r="C2553" s="213">
        <f>IFERROR(__xludf.DUMMYFUNCTION("""COMPUTED_VALUE"""),45985.4571875)</f>
        <v>45985.45719</v>
      </c>
      <c r="D2553" s="211" t="str">
        <f>IFERROR(__xludf.DUMMYFUNCTION("""COMPUTED_VALUE"""),"a0f0ad2d")</f>
        <v>a0f0ad2d</v>
      </c>
      <c r="E2553" s="211" t="str">
        <f>IFERROR(__xludf.DUMMYFUNCTION("""COMPUTED_VALUE"""),"CV. Yulie Jaya")</f>
        <v>CV. Yulie Jaya</v>
      </c>
      <c r="F2553" s="211" t="str">
        <f>IFERROR(__xludf.DUMMYFUNCTION("""COMPUTED_VALUE"""),"be525f3b")</f>
        <v>be525f3b</v>
      </c>
      <c r="G2553" s="211" t="str">
        <f>IFERROR(__xludf.DUMMYFUNCTION("""COMPUTED_VALUE"""),"LPG 12kg")</f>
        <v>LPG 12kg</v>
      </c>
      <c r="H2553" s="211" t="str">
        <f>IFERROR(__xludf.DUMMYFUNCTION("""COMPUTED_VALUE"""),"OUT")</f>
        <v>OUT</v>
      </c>
      <c r="I2553" s="211" t="str">
        <f>IFERROR(__xludf.DUMMYFUNCTION("""COMPUTED_VALUE"""),"NORMAL")</f>
        <v>NORMAL</v>
      </c>
      <c r="J2553" s="211">
        <f>IFERROR(__xludf.DUMMYFUNCTION("""COMPUTED_VALUE"""),1.0)</f>
        <v>1</v>
      </c>
      <c r="K2553" s="210" t="str">
        <f>IFERROR(__xludf.DUMMYFUNCTION("""COMPUTED_VALUE"""),"01")</f>
        <v>01</v>
      </c>
      <c r="L2553" s="211">
        <f>IFERROR(__xludf.DUMMYFUNCTION("""COMPUTED_VALUE"""),215000.0)</f>
        <v>215000</v>
      </c>
      <c r="M2553" s="211"/>
      <c r="N2553" s="211"/>
      <c r="O2553" s="211"/>
      <c r="Q2553" s="210" t="str">
        <f>IFERROR(__xludf.DUMMYFUNCTION("""COMPUTED_VALUE"""),"1261248")</f>
        <v>1261248</v>
      </c>
      <c r="R2553" s="210" t="str">
        <f>IFERROR(__xludf.DUMMYFUNCTION("""COMPUTED_VALUE"""),"1261248")</f>
        <v>1261248</v>
      </c>
      <c r="S2553" s="211" t="str">
        <f>IFERROR(__xludf.DUMMYFUNCTION("""COMPUTED_VALUE"""),"eec2e801")</f>
        <v>eec2e801</v>
      </c>
      <c r="T2553" s="211" t="str">
        <f>IFERROR(__xludf.DUMMYFUNCTION("""COMPUTED_VALUE"""),"Mitra Wood Sejahtera")</f>
        <v>Mitra Wood Sejahtera</v>
      </c>
      <c r="U2553" s="215">
        <f>IFERROR(__xludf.DUMMYFUNCTION("""COMPUTED_VALUE"""),46066.586018518516)</f>
        <v>46066.58602</v>
      </c>
      <c r="V2553" s="211" t="str">
        <f>IFERROR(__xludf.DUMMYFUNCTION("""COMPUTED_VALUE"""),"Jl.cungkling, Jl. Tanggungan, Nanom Kidul, Lebaniwaras, Kec. Wringinanom, Kabupaten Gresik, Jawa Timur 61176")</f>
        <v>Jl.cungkling, Jl. Tanggungan, Nanom Kidul, Lebaniwaras, Kec. Wringinanom, Kabupaten Gresik, Jawa Timur 61176</v>
      </c>
      <c r="W2553" s="211" t="str">
        <f>IFERROR(__xludf.DUMMYFUNCTION("""COMPUTED_VALUE"""),"IN")</f>
        <v>IN</v>
      </c>
      <c r="X2553" s="211"/>
    </row>
    <row r="2554">
      <c r="A2554" s="210" t="str">
        <f>IFERROR(__xludf.DUMMYFUNCTION("""COMPUTED_VALUE"""),"1125121804")</f>
        <v>1125121804</v>
      </c>
      <c r="B2554" s="210" t="str">
        <f>IFERROR(__xludf.DUMMYFUNCTION("""COMPUTED_VALUE"""),"1125121804")</f>
        <v>1125121804</v>
      </c>
      <c r="C2554" s="213">
        <f>IFERROR(__xludf.DUMMYFUNCTION("""COMPUTED_VALUE"""),45985.54923611111)</f>
        <v>45985.54924</v>
      </c>
      <c r="D2554" s="211" t="str">
        <f>IFERROR(__xludf.DUMMYFUNCTION("""COMPUTED_VALUE"""),"8ea74d81")</f>
        <v>8ea74d81</v>
      </c>
      <c r="E2554" s="211" t="str">
        <f>IFERROR(__xludf.DUMMYFUNCTION("""COMPUTED_VALUE"""),"Bengkel Adi Putra")</f>
        <v>Bengkel Adi Putra</v>
      </c>
      <c r="F2554" s="211" t="str">
        <f>IFERROR(__xludf.DUMMYFUNCTION("""COMPUTED_VALUE"""),"ef306e54")</f>
        <v>ef306e54</v>
      </c>
      <c r="G2554" s="211" t="str">
        <f>IFERROR(__xludf.DUMMYFUNCTION("""COMPUTED_VALUE"""),"Karbondioksida")</f>
        <v>Karbondioksida</v>
      </c>
      <c r="H2554" s="211" t="str">
        <f>IFERROR(__xludf.DUMMYFUNCTION("""COMPUTED_VALUE"""),"OUT")</f>
        <v>OUT</v>
      </c>
      <c r="I2554" s="211" t="str">
        <f>IFERROR(__xludf.DUMMYFUNCTION("""COMPUTED_VALUE"""),"NORMAL")</f>
        <v>NORMAL</v>
      </c>
      <c r="J2554" s="211">
        <f>IFERROR(__xludf.DUMMYFUNCTION("""COMPUTED_VALUE"""),1.0)</f>
        <v>1</v>
      </c>
      <c r="K2554" s="210" t="str">
        <f>IFERROR(__xludf.DUMMYFUNCTION("""COMPUTED_VALUE"""),"13047")</f>
        <v>13047</v>
      </c>
      <c r="L2554" s="211">
        <f>IFERROR(__xludf.DUMMYFUNCTION("""COMPUTED_VALUE"""),180000.0)</f>
        <v>180000</v>
      </c>
      <c r="M2554" s="211"/>
      <c r="N2554" s="211"/>
      <c r="O2554" s="211"/>
      <c r="Q2554" s="210" t="str">
        <f>IFERROR(__xludf.DUMMYFUNCTION("""COMPUTED_VALUE"""),"1261247")</f>
        <v>1261247</v>
      </c>
      <c r="R2554" s="210" t="str">
        <f>IFERROR(__xludf.DUMMYFUNCTION("""COMPUTED_VALUE"""),"1261247")</f>
        <v>1261247</v>
      </c>
      <c r="S2554" s="211" t="str">
        <f>IFERROR(__xludf.DUMMYFUNCTION("""COMPUTED_VALUE"""),"5f23ba17")</f>
        <v>5f23ba17</v>
      </c>
      <c r="T2554" s="211" t="str">
        <f>IFERROR(__xludf.DUMMYFUNCTION("""COMPUTED_VALUE"""),"Bpk. Joko (Gresik)")</f>
        <v>Bpk. Joko (Gresik)</v>
      </c>
      <c r="U2554" s="215">
        <f>IFERROR(__xludf.DUMMYFUNCTION("""COMPUTED_VALUE"""),46066.58856481482)</f>
        <v>46066.58856</v>
      </c>
      <c r="V2554" s="211" t="str">
        <f>IFERROR(__xludf.DUMMYFUNCTION("""COMPUTED_VALUE"""),"Tanggungan, Lebaniwaras, Kec. Wringinanom, Kabupaten Gresik, Jawa Timur")</f>
        <v>Tanggungan, Lebaniwaras, Kec. Wringinanom, Kabupaten Gresik, Jawa Timur</v>
      </c>
      <c r="W2554" s="211" t="str">
        <f>IFERROR(__xludf.DUMMYFUNCTION("""COMPUTED_VALUE"""),"IN")</f>
        <v>IN</v>
      </c>
      <c r="X2554" s="211"/>
    </row>
    <row r="2555">
      <c r="A2555" s="210" t="str">
        <f>IFERROR(__xludf.DUMMYFUNCTION("""COMPUTED_VALUE"""),"112571805")</f>
        <v>112571805</v>
      </c>
      <c r="B2555" s="210" t="str">
        <f>IFERROR(__xludf.DUMMYFUNCTION("""COMPUTED_VALUE"""),"112571805")</f>
        <v>112571805</v>
      </c>
      <c r="C2555" s="213">
        <f>IFERROR(__xludf.DUMMYFUNCTION("""COMPUTED_VALUE"""),45985.54944444444)</f>
        <v>45985.54944</v>
      </c>
      <c r="D2555" s="211" t="str">
        <f>IFERROR(__xludf.DUMMYFUNCTION("""COMPUTED_VALUE"""),"eec2e801")</f>
        <v>eec2e801</v>
      </c>
      <c r="E2555" s="211" t="str">
        <f>IFERROR(__xludf.DUMMYFUNCTION("""COMPUTED_VALUE"""),"Mitra Wood Sejahtera")</f>
        <v>Mitra Wood Sejahtera</v>
      </c>
      <c r="F2555" s="211" t="str">
        <f>IFERROR(__xludf.DUMMYFUNCTION("""COMPUTED_VALUE"""),"8bdbe149")</f>
        <v>8bdbe149</v>
      </c>
      <c r="G2555" s="211" t="str">
        <f>IFERROR(__xludf.DUMMYFUNCTION("""COMPUTED_VALUE"""),"Oksigen 6m3")</f>
        <v>Oksigen 6m3</v>
      </c>
      <c r="H2555" s="211" t="str">
        <f>IFERROR(__xludf.DUMMYFUNCTION("""COMPUTED_VALUE"""),"OUT")</f>
        <v>OUT</v>
      </c>
      <c r="I2555" s="211" t="str">
        <f>IFERROR(__xludf.DUMMYFUNCTION("""COMPUTED_VALUE"""),"NORMAL")</f>
        <v>NORMAL</v>
      </c>
      <c r="J2555" s="211">
        <f>IFERROR(__xludf.DUMMYFUNCTION("""COMPUTED_VALUE"""),5.0)</f>
        <v>5</v>
      </c>
      <c r="K2555" s="210" t="str">
        <f>IFERROR(__xludf.DUMMYFUNCTION("""COMPUTED_VALUE"""),"11251 11237 1158 11252 1142")</f>
        <v>11251 11237 1158 11252 1142</v>
      </c>
      <c r="L2555" s="211">
        <f>IFERROR(__xludf.DUMMYFUNCTION("""COMPUTED_VALUE"""),55000.0)</f>
        <v>55000</v>
      </c>
      <c r="M2555" s="211"/>
      <c r="N2555" s="211"/>
      <c r="O2555" s="211"/>
      <c r="Q2555" s="210" t="str">
        <f>IFERROR(__xludf.DUMMYFUNCTION("""COMPUTED_VALUE"""),"1261249")</f>
        <v>1261249</v>
      </c>
      <c r="R2555" s="210" t="str">
        <f>IFERROR(__xludf.DUMMYFUNCTION("""COMPUTED_VALUE"""),"1261249")</f>
        <v>1261249</v>
      </c>
      <c r="S2555" s="211" t="str">
        <f>IFERROR(__xludf.DUMMYFUNCTION("""COMPUTED_VALUE"""),"785e0e07")</f>
        <v>785e0e07</v>
      </c>
      <c r="T2555" s="211" t="str">
        <f>IFERROR(__xludf.DUMMYFUNCTION("""COMPUTED_VALUE"""),"Bpk. Sukirno (Bejo)")</f>
        <v>Bpk. Sukirno (Bejo)</v>
      </c>
      <c r="U2555" s="215">
        <f>IFERROR(__xludf.DUMMYFUNCTION("""COMPUTED_VALUE"""),46066.59055555556)</f>
        <v>46066.59056</v>
      </c>
      <c r="V2555" s="211" t="str">
        <f>IFERROR(__xludf.DUMMYFUNCTION("""COMPUTED_VALUE"""),"Krajan I, Wringinanom, Kec. Wringinanom, Kabupaten Gresik, Jawa Timur 61176")</f>
        <v>Krajan I, Wringinanom, Kec. Wringinanom, Kabupaten Gresik, Jawa Timur 61176</v>
      </c>
      <c r="W2555" s="211" t="str">
        <f>IFERROR(__xludf.DUMMYFUNCTION("""COMPUTED_VALUE"""),"IN")</f>
        <v>IN</v>
      </c>
      <c r="X2555" s="211"/>
    </row>
    <row r="2556">
      <c r="A2556" s="210" t="str">
        <f>IFERROR(__xludf.DUMMYFUNCTION("""COMPUTED_VALUE"""),"1250817")</f>
        <v>1250817</v>
      </c>
      <c r="B2556" s="210" t="str">
        <f>IFERROR(__xludf.DUMMYFUNCTION("""COMPUTED_VALUE"""),"1250817")</f>
        <v>1250817</v>
      </c>
      <c r="C2556" s="213">
        <f>IFERROR(__xludf.DUMMYFUNCTION("""COMPUTED_VALUE"""),45985.5552662037)</f>
        <v>45985.55527</v>
      </c>
      <c r="D2556" s="211" t="str">
        <f>IFERROR(__xludf.DUMMYFUNCTION("""COMPUTED_VALUE"""),"a0f0ad2d")</f>
        <v>a0f0ad2d</v>
      </c>
      <c r="E2556" s="211" t="str">
        <f>IFERROR(__xludf.DUMMYFUNCTION("""COMPUTED_VALUE"""),"CV. Yulie Jaya")</f>
        <v>CV. Yulie Jaya</v>
      </c>
      <c r="F2556" s="211" t="str">
        <f>IFERROR(__xludf.DUMMYFUNCTION("""COMPUTED_VALUE"""),"be525f3b")</f>
        <v>be525f3b</v>
      </c>
      <c r="G2556" s="211" t="str">
        <f>IFERROR(__xludf.DUMMYFUNCTION("""COMPUTED_VALUE"""),"LPG 12kg")</f>
        <v>LPG 12kg</v>
      </c>
      <c r="H2556" s="211" t="str">
        <f>IFERROR(__xludf.DUMMYFUNCTION("""COMPUTED_VALUE"""),"IN")</f>
        <v>IN</v>
      </c>
      <c r="I2556" s="211" t="str">
        <f>IFERROR(__xludf.DUMMYFUNCTION("""COMPUTED_VALUE"""),"EMPTY")</f>
        <v>EMPTY</v>
      </c>
      <c r="J2556" s="211">
        <f>IFERROR(__xludf.DUMMYFUNCTION("""COMPUTED_VALUE"""),1.0)</f>
        <v>1</v>
      </c>
      <c r="K2556" s="210" t="str">
        <f>IFERROR(__xludf.DUMMYFUNCTION("""COMPUTED_VALUE"""),"01")</f>
        <v>01</v>
      </c>
      <c r="L2556" s="211">
        <f>IFERROR(__xludf.DUMMYFUNCTION("""COMPUTED_VALUE"""),0.0)</f>
        <v>0</v>
      </c>
      <c r="M2556" s="211"/>
      <c r="N2556" s="211"/>
      <c r="O2556" s="211"/>
      <c r="Q2556" s="210" t="str">
        <f>IFERROR(__xludf.DUMMYFUNCTION("""COMPUTED_VALUE"""),"1261232")</f>
        <v>1261232</v>
      </c>
      <c r="R2556" s="210" t="str">
        <f>IFERROR(__xludf.DUMMYFUNCTION("""COMPUTED_VALUE"""),"1261232")</f>
        <v>1261232</v>
      </c>
      <c r="S2556" s="211" t="str">
        <f>IFERROR(__xludf.DUMMYFUNCTION("""COMPUTED_VALUE"""),"f8a982a4")</f>
        <v>f8a982a4</v>
      </c>
      <c r="T2556" s="211" t="str">
        <f>IFERROR(__xludf.DUMMYFUNCTION("""COMPUTED_VALUE"""),"Bpk. Nasir")</f>
        <v>Bpk. Nasir</v>
      </c>
      <c r="U2556" s="215">
        <f>IFERROR(__xludf.DUMMYFUNCTION("""COMPUTED_VALUE"""),46066.592511574076)</f>
        <v>46066.59251</v>
      </c>
      <c r="V2556" s="211" t="str">
        <f>IFERROR(__xludf.DUMMYFUNCTION("""COMPUTED_VALUE"""),"JL Raya Pacet, Dsn. Janti Ds. Jatilangkung RT.01 RW. 04. Kabupaten. Mojokerto Pungging, Jawa Timur")</f>
        <v>JL Raya Pacet, Dsn. Janti Ds. Jatilangkung RT.01 RW. 04. Kabupaten. Mojokerto Pungging, Jawa Timur</v>
      </c>
      <c r="W2556" s="211" t="str">
        <f>IFERROR(__xludf.DUMMYFUNCTION("""COMPUTED_VALUE"""),"IN")</f>
        <v>IN</v>
      </c>
      <c r="X2556" s="211"/>
    </row>
    <row r="2557">
      <c r="A2557" s="210" t="str">
        <f>IFERROR(__xludf.DUMMYFUNCTION("""COMPUTED_VALUE"""),"1250849")</f>
        <v>1250849</v>
      </c>
      <c r="B2557" s="210" t="str">
        <f>IFERROR(__xludf.DUMMYFUNCTION("""COMPUTED_VALUE"""),"1250849")</f>
        <v>1250849</v>
      </c>
      <c r="C2557" s="213">
        <f>IFERROR(__xludf.DUMMYFUNCTION("""COMPUTED_VALUE"""),45985.59956018518)</f>
        <v>45985.59956</v>
      </c>
      <c r="D2557" s="211" t="str">
        <f>IFERROR(__xludf.DUMMYFUNCTION("""COMPUTED_VALUE"""),"8f5ebaea")</f>
        <v>8f5ebaea</v>
      </c>
      <c r="E2557" s="211" t="str">
        <f>IFERROR(__xludf.DUMMYFUNCTION("""COMPUTED_VALUE"""),"PT Hua Zong Mesindo")</f>
        <v>PT Hua Zong Mesindo</v>
      </c>
      <c r="F2557" s="211" t="str">
        <f>IFERROR(__xludf.DUMMYFUNCTION("""COMPUTED_VALUE"""),"8bdbe149")</f>
        <v>8bdbe149</v>
      </c>
      <c r="G2557" s="211" t="str">
        <f>IFERROR(__xludf.DUMMYFUNCTION("""COMPUTED_VALUE"""),"Oksigen 6m3")</f>
        <v>Oksigen 6m3</v>
      </c>
      <c r="H2557" s="211" t="str">
        <f>IFERROR(__xludf.DUMMYFUNCTION("""COMPUTED_VALUE"""),"IN")</f>
        <v>IN</v>
      </c>
      <c r="I2557" s="211" t="str">
        <f>IFERROR(__xludf.DUMMYFUNCTION("""COMPUTED_VALUE"""),"EMPTY")</f>
        <v>EMPTY</v>
      </c>
      <c r="J2557" s="211">
        <f>IFERROR(__xludf.DUMMYFUNCTION("""COMPUTED_VALUE"""),1.0)</f>
        <v>1</v>
      </c>
      <c r="K2557" s="210" t="str">
        <f>IFERROR(__xludf.DUMMYFUNCTION("""COMPUTED_VALUE"""),"11100")</f>
        <v>11100</v>
      </c>
      <c r="L2557" s="211">
        <f>IFERROR(__xludf.DUMMYFUNCTION("""COMPUTED_VALUE"""),0.0)</f>
        <v>0</v>
      </c>
      <c r="M2557" s="211"/>
      <c r="N2557" s="211"/>
      <c r="O2557" s="211"/>
      <c r="Q2557" s="210" t="str">
        <f>IFERROR(__xludf.DUMMYFUNCTION("""COMPUTED_VALUE"""),"1261210")</f>
        <v>1261210</v>
      </c>
      <c r="R2557" s="210" t="str">
        <f>IFERROR(__xludf.DUMMYFUNCTION("""COMPUTED_VALUE"""),"1261210")</f>
        <v>1261210</v>
      </c>
      <c r="S2557" s="211" t="str">
        <f>IFERROR(__xludf.DUMMYFUNCTION("""COMPUTED_VALUE"""),"2d88931c")</f>
        <v>2d88931c</v>
      </c>
      <c r="T2557" s="211" t="str">
        <f>IFERROR(__xludf.DUMMYFUNCTION("""COMPUTED_VALUE"""),"PT Dunia Berkat Marga Mulya")</f>
        <v>PT Dunia Berkat Marga Mulya</v>
      </c>
      <c r="U2557" s="215">
        <f>IFERROR(__xludf.DUMMYFUNCTION("""COMPUTED_VALUE"""),46066.593043981484)</f>
        <v>46066.59304</v>
      </c>
      <c r="V2557" s="211" t="str">
        <f>IFERROR(__xludf.DUMMYFUNCTION("""COMPUTED_VALUE"""),"JL JABARAN, WATESARI, BALONGBENDO, SIDOARJO, JAWA TIMUR")</f>
        <v>JL JABARAN, WATESARI, BALONGBENDO, SIDOARJO, JAWA TIMUR</v>
      </c>
      <c r="W2557" s="211" t="str">
        <f>IFERROR(__xludf.DUMMYFUNCTION("""COMPUTED_VALUE"""),"IN")</f>
        <v>IN</v>
      </c>
      <c r="X2557" s="211"/>
    </row>
    <row r="2558">
      <c r="A2558" s="210" t="str">
        <f>IFERROR(__xludf.DUMMYFUNCTION("""COMPUTED_VALUE"""),"1250850")</f>
        <v>1250850</v>
      </c>
      <c r="B2558" s="210" t="str">
        <f>IFERROR(__xludf.DUMMYFUNCTION("""COMPUTED_VALUE"""),"1250850")</f>
        <v>1250850</v>
      </c>
      <c r="C2558" s="213">
        <f>IFERROR(__xludf.DUMMYFUNCTION("""COMPUTED_VALUE"""),45985.600625)</f>
        <v>45985.60063</v>
      </c>
      <c r="D2558" s="211" t="str">
        <f>IFERROR(__xludf.DUMMYFUNCTION("""COMPUTED_VALUE"""),"ec231cc9")</f>
        <v>ec231cc9</v>
      </c>
      <c r="E2558" s="211" t="str">
        <f>IFERROR(__xludf.DUMMYFUNCTION("""COMPUTED_VALUE"""),"Bpk. Kohir (Maintenance Velg)")</f>
        <v>Bpk. Kohir (Maintenance Velg)</v>
      </c>
      <c r="F2558" s="211" t="str">
        <f>IFERROR(__xludf.DUMMYFUNCTION("""COMPUTED_VALUE"""),"8bdbe149")</f>
        <v>8bdbe149</v>
      </c>
      <c r="G2558" s="211" t="str">
        <f>IFERROR(__xludf.DUMMYFUNCTION("""COMPUTED_VALUE"""),"Oksigen 6m3")</f>
        <v>Oksigen 6m3</v>
      </c>
      <c r="H2558" s="211" t="str">
        <f>IFERROR(__xludf.DUMMYFUNCTION("""COMPUTED_VALUE"""),"IN")</f>
        <v>IN</v>
      </c>
      <c r="I2558" s="211" t="str">
        <f>IFERROR(__xludf.DUMMYFUNCTION("""COMPUTED_VALUE"""),"EMPTY")</f>
        <v>EMPTY</v>
      </c>
      <c r="J2558" s="211">
        <f>IFERROR(__xludf.DUMMYFUNCTION("""COMPUTED_VALUE"""),4.0)</f>
        <v>4</v>
      </c>
      <c r="K2558" s="210" t="str">
        <f>IFERROR(__xludf.DUMMYFUNCTION("""COMPUTED_VALUE"""),"11229 11235 1164 11236")</f>
        <v>11229 11235 1164 11236</v>
      </c>
      <c r="L2558" s="211">
        <f>IFERROR(__xludf.DUMMYFUNCTION("""COMPUTED_VALUE"""),0.0)</f>
        <v>0</v>
      </c>
      <c r="M2558" s="211"/>
      <c r="N2558" s="211"/>
      <c r="O2558" s="211"/>
      <c r="Q2558" s="210" t="str">
        <f>IFERROR(__xludf.DUMMYFUNCTION("""COMPUTED_VALUE"""),"1261209")</f>
        <v>1261209</v>
      </c>
      <c r="R2558" s="210" t="str">
        <f>IFERROR(__xludf.DUMMYFUNCTION("""COMPUTED_VALUE"""),"1261209")</f>
        <v>1261209</v>
      </c>
      <c r="S2558" s="211" t="str">
        <f>IFERROR(__xludf.DUMMYFUNCTION("""COMPUTED_VALUE"""),"4ec68cf6")</f>
        <v>4ec68cf6</v>
      </c>
      <c r="T2558" s="211" t="str">
        <f>IFERROR(__xludf.DUMMYFUNCTION("""COMPUTED_VALUE"""),"CV Sido Mukti Karya")</f>
        <v>CV Sido Mukti Karya</v>
      </c>
      <c r="U2558" s="215">
        <f>IFERROR(__xludf.DUMMYFUNCTION("""COMPUTED_VALUE"""),46066.59354166667)</f>
        <v>46066.59354</v>
      </c>
      <c r="V2558" s="211" t="str">
        <f>IFERROR(__xludf.DUMMYFUNCTION("""COMPUTED_VALUE"""),"Pergudangan Center Point no A3, Kemangsen")</f>
        <v>Pergudangan Center Point no A3, Kemangsen</v>
      </c>
      <c r="W2558" s="211" t="str">
        <f>IFERROR(__xludf.DUMMYFUNCTION("""COMPUTED_VALUE"""),"IN")</f>
        <v>IN</v>
      </c>
      <c r="X2558" s="211"/>
    </row>
    <row r="2559">
      <c r="A2559" s="210" t="str">
        <f>IFERROR(__xludf.DUMMYFUNCTION("""COMPUTED_VALUE"""),"1250851")</f>
        <v>1250851</v>
      </c>
      <c r="B2559" s="210" t="str">
        <f>IFERROR(__xludf.DUMMYFUNCTION("""COMPUTED_VALUE"""),"1250851")</f>
        <v>1250851</v>
      </c>
      <c r="C2559" s="213">
        <f>IFERROR(__xludf.DUMMYFUNCTION("""COMPUTED_VALUE"""),45985.60313657407)</f>
        <v>45985.60314</v>
      </c>
      <c r="D2559" s="211" t="str">
        <f>IFERROR(__xludf.DUMMYFUNCTION("""COMPUTED_VALUE"""),"a0f0ad2d")</f>
        <v>a0f0ad2d</v>
      </c>
      <c r="E2559" s="211" t="str">
        <f>IFERROR(__xludf.DUMMYFUNCTION("""COMPUTED_VALUE"""),"CV. Yulie Jaya")</f>
        <v>CV. Yulie Jaya</v>
      </c>
      <c r="F2559" s="211" t="str">
        <f>IFERROR(__xludf.DUMMYFUNCTION("""COMPUTED_VALUE"""),"be525f3b")</f>
        <v>be525f3b</v>
      </c>
      <c r="G2559" s="211" t="str">
        <f>IFERROR(__xludf.DUMMYFUNCTION("""COMPUTED_VALUE"""),"LPG 12kg")</f>
        <v>LPG 12kg</v>
      </c>
      <c r="H2559" s="211" t="str">
        <f>IFERROR(__xludf.DUMMYFUNCTION("""COMPUTED_VALUE"""),"IN")</f>
        <v>IN</v>
      </c>
      <c r="I2559" s="211" t="str">
        <f>IFERROR(__xludf.DUMMYFUNCTION("""COMPUTED_VALUE"""),"EMPTY")</f>
        <v>EMPTY</v>
      </c>
      <c r="J2559" s="211">
        <f>IFERROR(__xludf.DUMMYFUNCTION("""COMPUTED_VALUE"""),1.0)</f>
        <v>1</v>
      </c>
      <c r="K2559" s="210" t="str">
        <f>IFERROR(__xludf.DUMMYFUNCTION("""COMPUTED_VALUE"""),"01")</f>
        <v>01</v>
      </c>
      <c r="L2559" s="211">
        <f>IFERROR(__xludf.DUMMYFUNCTION("""COMPUTED_VALUE"""),0.0)</f>
        <v>0</v>
      </c>
      <c r="M2559" s="211"/>
      <c r="N2559" s="211"/>
      <c r="O2559" s="211"/>
      <c r="Q2559" s="210" t="str">
        <f>IFERROR(__xludf.DUMMYFUNCTION("""COMPUTED_VALUE"""),"0226192553")</f>
        <v>0226192553</v>
      </c>
      <c r="R2559" s="210" t="str">
        <f>IFERROR(__xludf.DUMMYFUNCTION("""COMPUTED_VALUE"""),"0226192553")</f>
        <v>0226192553</v>
      </c>
      <c r="S2559" s="211" t="str">
        <f>IFERROR(__xludf.DUMMYFUNCTION("""COMPUTED_VALUE"""),"b218b89b")</f>
        <v>b218b89b</v>
      </c>
      <c r="T2559" s="211" t="str">
        <f>IFERROR(__xludf.DUMMYFUNCTION("""COMPUTED_VALUE"""),"PT Harapan Sentosa")</f>
        <v>PT Harapan Sentosa</v>
      </c>
      <c r="U2559" s="215">
        <f>IFERROR(__xludf.DUMMYFUNCTION("""COMPUTED_VALUE"""),46066.619375)</f>
        <v>46066.61938</v>
      </c>
      <c r="V2559" s="211" t="str">
        <f>IFERROR(__xludf.DUMMYFUNCTION("""COMPUTED_VALUE"""),"Seketi, Jl. Purboyo II Selatan, RT.02/RW.02, Seketi, Kec. BalongBendo, Kabupaten Sidoarjo, Jawa Timur 61263")</f>
        <v>Seketi, Jl. Purboyo II Selatan, RT.02/RW.02, Seketi, Kec. BalongBendo, Kabupaten Sidoarjo, Jawa Timur 61263</v>
      </c>
      <c r="W2559" s="211" t="str">
        <f>IFERROR(__xludf.DUMMYFUNCTION("""COMPUTED_VALUE"""),"OUT")</f>
        <v>OUT</v>
      </c>
      <c r="X2559" s="211"/>
    </row>
    <row r="2560">
      <c r="A2560" s="210" t="str">
        <f>IFERROR(__xludf.DUMMYFUNCTION("""COMPUTED_VALUE"""),"1250851")</f>
        <v>1250851</v>
      </c>
      <c r="B2560" s="210" t="str">
        <f>IFERROR(__xludf.DUMMYFUNCTION("""COMPUTED_VALUE"""),"1250851")</f>
        <v>1250851</v>
      </c>
      <c r="C2560" s="213">
        <f>IFERROR(__xludf.DUMMYFUNCTION("""COMPUTED_VALUE"""),45985.60313657407)</f>
        <v>45985.60314</v>
      </c>
      <c r="D2560" s="211" t="str">
        <f>IFERROR(__xludf.DUMMYFUNCTION("""COMPUTED_VALUE"""),"a0f0ad2d")</f>
        <v>a0f0ad2d</v>
      </c>
      <c r="E2560" s="211" t="str">
        <f>IFERROR(__xludf.DUMMYFUNCTION("""COMPUTED_VALUE"""),"CV. Yulie Jaya")</f>
        <v>CV. Yulie Jaya</v>
      </c>
      <c r="F2560" s="211" t="str">
        <f>IFERROR(__xludf.DUMMYFUNCTION("""COMPUTED_VALUE"""),"7d2764f1")</f>
        <v>7d2764f1</v>
      </c>
      <c r="G2560" s="211" t="str">
        <f>IFERROR(__xludf.DUMMYFUNCTION("""COMPUTED_VALUE"""),"Oksigen 7m3")</f>
        <v>Oksigen 7m3</v>
      </c>
      <c r="H2560" s="211" t="str">
        <f>IFERROR(__xludf.DUMMYFUNCTION("""COMPUTED_VALUE"""),"IN")</f>
        <v>IN</v>
      </c>
      <c r="I2560" s="211" t="str">
        <f>IFERROR(__xludf.DUMMYFUNCTION("""COMPUTED_VALUE"""),"EMPTY")</f>
        <v>EMPTY</v>
      </c>
      <c r="J2560" s="211">
        <f>IFERROR(__xludf.DUMMYFUNCTION("""COMPUTED_VALUE"""),6.0)</f>
        <v>6</v>
      </c>
      <c r="K2560" s="210" t="str">
        <f>IFERROR(__xludf.DUMMYFUNCTION("""COMPUTED_VALUE"""),"11160 11229 11163 11144 11171 11300")</f>
        <v>11160 11229 11163 11144 11171 11300</v>
      </c>
      <c r="L2560" s="211">
        <f>IFERROR(__xludf.DUMMYFUNCTION("""COMPUTED_VALUE"""),0.0)</f>
        <v>0</v>
      </c>
      <c r="M2560" s="211"/>
      <c r="N2560" s="211"/>
      <c r="O2560" s="211"/>
      <c r="Q2560" s="210" t="str">
        <f>IFERROR(__xludf.DUMMYFUNCTION("""COMPUTED_VALUE"""),"022642560")</f>
        <v>022642560</v>
      </c>
      <c r="R2560" s="210" t="str">
        <f>IFERROR(__xludf.DUMMYFUNCTION("""COMPUTED_VALUE"""),"022642560")</f>
        <v>022642560</v>
      </c>
      <c r="S2560" s="211" t="str">
        <f>IFERROR(__xludf.DUMMYFUNCTION("""COMPUTED_VALUE"""),"4c3a2a5f")</f>
        <v>4c3a2a5f</v>
      </c>
      <c r="T2560" s="211" t="str">
        <f>IFERROR(__xludf.DUMMYFUNCTION("""COMPUTED_VALUE"""),"CV Matahari Mitra Sukses")</f>
        <v>CV Matahari Mitra Sukses</v>
      </c>
      <c r="U2560" s="215">
        <f>IFERROR(__xludf.DUMMYFUNCTION("""COMPUTED_VALUE"""),46066.657847222225)</f>
        <v>46066.65785</v>
      </c>
      <c r="V2560" s="211" t="str">
        <f>IFERROR(__xludf.DUMMYFUNCTION("""COMPUTED_VALUE"""),"Jl. Raya Hj. Fatimah 01, Tarik, Kabupaten Sidoarjo, Jawa Timur 61265, Indonesia")</f>
        <v>Jl. Raya Hj. Fatimah 01, Tarik, Kabupaten Sidoarjo, Jawa Timur 61265, Indonesia</v>
      </c>
      <c r="W2560" s="211" t="str">
        <f>IFERROR(__xludf.DUMMYFUNCTION("""COMPUTED_VALUE"""),"OUT")</f>
        <v>OUT</v>
      </c>
      <c r="X2560" s="211"/>
    </row>
    <row r="2561">
      <c r="A2561" s="210" t="str">
        <f>IFERROR(__xludf.DUMMYFUNCTION("""COMPUTED_VALUE"""),"1250818")</f>
        <v>1250818</v>
      </c>
      <c r="B2561" s="210" t="str">
        <f>IFERROR(__xludf.DUMMYFUNCTION("""COMPUTED_VALUE"""),"1250818")</f>
        <v>1250818</v>
      </c>
      <c r="C2561" s="213">
        <f>IFERROR(__xludf.DUMMYFUNCTION("""COMPUTED_VALUE"""),45985.671064814815)</f>
        <v>45985.67106</v>
      </c>
      <c r="D2561" s="211" t="str">
        <f>IFERROR(__xludf.DUMMYFUNCTION("""COMPUTED_VALUE"""),"8ea74d81")</f>
        <v>8ea74d81</v>
      </c>
      <c r="E2561" s="211" t="str">
        <f>IFERROR(__xludf.DUMMYFUNCTION("""COMPUTED_VALUE"""),"Bengkel Adi Putra")</f>
        <v>Bengkel Adi Putra</v>
      </c>
      <c r="F2561" s="211" t="str">
        <f>IFERROR(__xludf.DUMMYFUNCTION("""COMPUTED_VALUE"""),"ef306e54")</f>
        <v>ef306e54</v>
      </c>
      <c r="G2561" s="211" t="str">
        <f>IFERROR(__xludf.DUMMYFUNCTION("""COMPUTED_VALUE"""),"Karbondioksida")</f>
        <v>Karbondioksida</v>
      </c>
      <c r="H2561" s="211" t="str">
        <f>IFERROR(__xludf.DUMMYFUNCTION("""COMPUTED_VALUE"""),"IN")</f>
        <v>IN</v>
      </c>
      <c r="I2561" s="211" t="str">
        <f>IFERROR(__xludf.DUMMYFUNCTION("""COMPUTED_VALUE"""),"EMPTY")</f>
        <v>EMPTY</v>
      </c>
      <c r="J2561" s="211">
        <f>IFERROR(__xludf.DUMMYFUNCTION("""COMPUTED_VALUE"""),1.0)</f>
        <v>1</v>
      </c>
      <c r="K2561" s="210" t="str">
        <f>IFERROR(__xludf.DUMMYFUNCTION("""COMPUTED_VALUE"""),"13012")</f>
        <v>13012</v>
      </c>
      <c r="L2561" s="211">
        <f>IFERROR(__xludf.DUMMYFUNCTION("""COMPUTED_VALUE"""),0.0)</f>
        <v>0</v>
      </c>
      <c r="M2561" s="211"/>
      <c r="N2561" s="211"/>
      <c r="O2561" s="211"/>
      <c r="Q2561" s="210" t="str">
        <f>IFERROR(__xludf.DUMMYFUNCTION("""COMPUTED_VALUE"""),"022652561")</f>
        <v>022652561</v>
      </c>
      <c r="R2561" s="210" t="str">
        <f>IFERROR(__xludf.DUMMYFUNCTION("""COMPUTED_VALUE"""),"022652561")</f>
        <v>022652561</v>
      </c>
      <c r="S2561" s="211" t="str">
        <f>IFERROR(__xludf.DUMMYFUNCTION("""COMPUTED_VALUE"""),"cac4449f")</f>
        <v>cac4449f</v>
      </c>
      <c r="T2561" s="211" t="str">
        <f>IFERROR(__xludf.DUMMYFUNCTION("""COMPUTED_VALUE"""),"Bpk. Agus Yahya")</f>
        <v>Bpk. Agus Yahya</v>
      </c>
      <c r="U2561" s="215">
        <f>IFERROR(__xludf.DUMMYFUNCTION("""COMPUTED_VALUE"""),46066.68697916667)</f>
        <v>46066.68698</v>
      </c>
      <c r="V2561" s="211" t="str">
        <f>IFERROR(__xludf.DUMMYFUNCTION("""COMPUTED_VALUE"""),"Ds. Kendalsari 03/02 Sumobito Jombang Jawa Timur")</f>
        <v>Ds. Kendalsari 03/02 Sumobito Jombang Jawa Timur</v>
      </c>
      <c r="W2561" s="211" t="str">
        <f>IFERROR(__xludf.DUMMYFUNCTION("""COMPUTED_VALUE"""),"OUT")</f>
        <v>OUT</v>
      </c>
      <c r="X2561" s="211"/>
    </row>
    <row r="2562">
      <c r="A2562" s="210" t="str">
        <f>IFERROR(__xludf.DUMMYFUNCTION("""COMPUTED_VALUE"""),"1250860")</f>
        <v>1250860</v>
      </c>
      <c r="B2562" s="210" t="str">
        <f>IFERROR(__xludf.DUMMYFUNCTION("""COMPUTED_VALUE"""),"1250860")</f>
        <v>1250860</v>
      </c>
      <c r="C2562" s="213">
        <f>IFERROR(__xludf.DUMMYFUNCTION("""COMPUTED_VALUE"""),45985.67508101852)</f>
        <v>45985.67508</v>
      </c>
      <c r="D2562" s="211" t="str">
        <f>IFERROR(__xludf.DUMMYFUNCTION("""COMPUTED_VALUE"""),"faf71ae5")</f>
        <v>faf71ae5</v>
      </c>
      <c r="E2562" s="211" t="str">
        <f>IFERROR(__xludf.DUMMYFUNCTION("""COMPUTED_VALUE"""),"Bpk. Sampurna")</f>
        <v>Bpk. Sampurna</v>
      </c>
      <c r="F2562" s="211" t="str">
        <f>IFERROR(__xludf.DUMMYFUNCTION("""COMPUTED_VALUE"""),"8bdbe149")</f>
        <v>8bdbe149</v>
      </c>
      <c r="G2562" s="211" t="str">
        <f>IFERROR(__xludf.DUMMYFUNCTION("""COMPUTED_VALUE"""),"Oksigen 6m3")</f>
        <v>Oksigen 6m3</v>
      </c>
      <c r="H2562" s="211" t="str">
        <f>IFERROR(__xludf.DUMMYFUNCTION("""COMPUTED_VALUE"""),"IN")</f>
        <v>IN</v>
      </c>
      <c r="I2562" s="211" t="str">
        <f>IFERROR(__xludf.DUMMYFUNCTION("""COMPUTED_VALUE"""),"EMPTY")</f>
        <v>EMPTY</v>
      </c>
      <c r="J2562" s="211">
        <f>IFERROR(__xludf.DUMMYFUNCTION("""COMPUTED_VALUE"""),4.0)</f>
        <v>4</v>
      </c>
      <c r="K2562" s="210" t="str">
        <f>IFERROR(__xludf.DUMMYFUNCTION("""COMPUTED_VALUE"""),"1198 11104 11106 1181")</f>
        <v>1198 11104 11106 1181</v>
      </c>
      <c r="L2562" s="211">
        <f>IFERROR(__xludf.DUMMYFUNCTION("""COMPUTED_VALUE"""),0.0)</f>
        <v>0</v>
      </c>
      <c r="M2562" s="211"/>
      <c r="N2562" s="211"/>
      <c r="O2562" s="211"/>
      <c r="Q2562" s="210" t="str">
        <f>IFERROR(__xludf.DUMMYFUNCTION("""COMPUTED_VALUE"""),"1261271")</f>
        <v>1261271</v>
      </c>
      <c r="R2562" s="210" t="str">
        <f>IFERROR(__xludf.DUMMYFUNCTION("""COMPUTED_VALUE"""),"1261271")</f>
        <v>1261271</v>
      </c>
      <c r="S2562" s="211" t="str">
        <f>IFERROR(__xludf.DUMMYFUNCTION("""COMPUTED_VALUE"""),"b218b89b")</f>
        <v>b218b89b</v>
      </c>
      <c r="T2562" s="211" t="str">
        <f>IFERROR(__xludf.DUMMYFUNCTION("""COMPUTED_VALUE"""),"PT Harapan Sentosa")</f>
        <v>PT Harapan Sentosa</v>
      </c>
      <c r="U2562" s="215">
        <f>IFERROR(__xludf.DUMMYFUNCTION("""COMPUTED_VALUE"""),46066.70428240741)</f>
        <v>46066.70428</v>
      </c>
      <c r="V2562" s="211" t="str">
        <f>IFERROR(__xludf.DUMMYFUNCTION("""COMPUTED_VALUE"""),"Seketi, Jl. Purboyo II Selatan, RT.02/RW.02, Seketi, Kec. BalongBendo, Kabupaten Sidoarjo, Jawa Timur 61263")</f>
        <v>Seketi, Jl. Purboyo II Selatan, RT.02/RW.02, Seketi, Kec. BalongBendo, Kabupaten Sidoarjo, Jawa Timur 61263</v>
      </c>
      <c r="W2562" s="211" t="str">
        <f>IFERROR(__xludf.DUMMYFUNCTION("""COMPUTED_VALUE"""),"IN")</f>
        <v>IN</v>
      </c>
      <c r="X2562" s="211"/>
    </row>
    <row r="2563">
      <c r="A2563" s="210" t="str">
        <f>IFERROR(__xludf.DUMMYFUNCTION("""COMPUTED_VALUE"""),"1250860")</f>
        <v>1250860</v>
      </c>
      <c r="B2563" s="210" t="str">
        <f>IFERROR(__xludf.DUMMYFUNCTION("""COMPUTED_VALUE"""),"1250860")</f>
        <v>1250860</v>
      </c>
      <c r="C2563" s="213">
        <f>IFERROR(__xludf.DUMMYFUNCTION("""COMPUTED_VALUE"""),45985.67508101852)</f>
        <v>45985.67508</v>
      </c>
      <c r="D2563" s="211" t="str">
        <f>IFERROR(__xludf.DUMMYFUNCTION("""COMPUTED_VALUE"""),"faf71ae5")</f>
        <v>faf71ae5</v>
      </c>
      <c r="E2563" s="211" t="str">
        <f>IFERROR(__xludf.DUMMYFUNCTION("""COMPUTED_VALUE"""),"Bpk. Sampurna")</f>
        <v>Bpk. Sampurna</v>
      </c>
      <c r="F2563" s="211" t="str">
        <f>IFERROR(__xludf.DUMMYFUNCTION("""COMPUTED_VALUE"""),"7d2764f1")</f>
        <v>7d2764f1</v>
      </c>
      <c r="G2563" s="211" t="str">
        <f>IFERROR(__xludf.DUMMYFUNCTION("""COMPUTED_VALUE"""),"Oksigen 7m3")</f>
        <v>Oksigen 7m3</v>
      </c>
      <c r="H2563" s="211" t="str">
        <f>IFERROR(__xludf.DUMMYFUNCTION("""COMPUTED_VALUE"""),"IN")</f>
        <v>IN</v>
      </c>
      <c r="I2563" s="211" t="str">
        <f>IFERROR(__xludf.DUMMYFUNCTION("""COMPUTED_VALUE"""),"EMPTY")</f>
        <v>EMPTY</v>
      </c>
      <c r="J2563" s="211">
        <f>IFERROR(__xludf.DUMMYFUNCTION("""COMPUTED_VALUE"""),1.0)</f>
        <v>1</v>
      </c>
      <c r="K2563" s="210" t="str">
        <f>IFERROR(__xludf.DUMMYFUNCTION("""COMPUTED_VALUE"""),"11142")</f>
        <v>11142</v>
      </c>
      <c r="L2563" s="211">
        <f>IFERROR(__xludf.DUMMYFUNCTION("""COMPUTED_VALUE"""),0.0)</f>
        <v>0</v>
      </c>
      <c r="M2563" s="211"/>
      <c r="N2563" s="211"/>
      <c r="O2563" s="211"/>
      <c r="Q2563" s="210" t="str">
        <f>IFERROR(__xludf.DUMMYFUNCTION("""COMPUTED_VALUE"""),"1261272")</f>
        <v>1261272</v>
      </c>
      <c r="R2563" s="210" t="str">
        <f>IFERROR(__xludf.DUMMYFUNCTION("""COMPUTED_VALUE"""),"1261272")</f>
        <v>1261272</v>
      </c>
      <c r="S2563" s="211" t="str">
        <f>IFERROR(__xludf.DUMMYFUNCTION("""COMPUTED_VALUE"""),"63fc688a")</f>
        <v>63fc688a</v>
      </c>
      <c r="T2563" s="211" t="str">
        <f>IFERROR(__xludf.DUMMYFUNCTION("""COMPUTED_VALUE"""),"CV Malik Nusantara")</f>
        <v>CV Malik Nusantara</v>
      </c>
      <c r="U2563" s="215">
        <f>IFERROR(__xludf.DUMMYFUNCTION("""COMPUTED_VALUE"""),46066.70476851852)</f>
        <v>46066.70477</v>
      </c>
      <c r="V2563" s="211" t="str">
        <f>IFERROR(__xludf.DUMMYFUNCTION("""COMPUTED_VALUE"""),"Jl. Raya Balongbendo No.12, Suwaluh Utara, Suwaluh, Kec. BalongBendo, Kabupaten Sidoarjo, Jawa Timur 61263")</f>
        <v>Jl. Raya Balongbendo No.12, Suwaluh Utara, Suwaluh, Kec. BalongBendo, Kabupaten Sidoarjo, Jawa Timur 61263</v>
      </c>
      <c r="W2563" s="211" t="str">
        <f>IFERROR(__xludf.DUMMYFUNCTION("""COMPUTED_VALUE"""),"IN")</f>
        <v>IN</v>
      </c>
      <c r="X2563" s="211"/>
    </row>
    <row r="2564">
      <c r="A2564" s="210" t="str">
        <f>IFERROR(__xludf.DUMMYFUNCTION("""COMPUTED_VALUE"""),"1250819")</f>
        <v>1250819</v>
      </c>
      <c r="B2564" s="210" t="str">
        <f>IFERROR(__xludf.DUMMYFUNCTION("""COMPUTED_VALUE"""),"1250819")</f>
        <v>1250819</v>
      </c>
      <c r="C2564" s="213">
        <f>IFERROR(__xludf.DUMMYFUNCTION("""COMPUTED_VALUE"""),45985.676203703704)</f>
        <v>45985.6762</v>
      </c>
      <c r="D2564" s="211" t="str">
        <f>IFERROR(__xludf.DUMMYFUNCTION("""COMPUTED_VALUE"""),"56828503")</f>
        <v>56828503</v>
      </c>
      <c r="E2564" s="211" t="str">
        <f>IFERROR(__xludf.DUMMYFUNCTION("""COMPUTED_VALUE"""),"Bpk. Widodo (Wringinanom)")</f>
        <v>Bpk. Widodo (Wringinanom)</v>
      </c>
      <c r="F2564" s="211" t="str">
        <f>IFERROR(__xludf.DUMMYFUNCTION("""COMPUTED_VALUE"""),"8bdbe149")</f>
        <v>8bdbe149</v>
      </c>
      <c r="G2564" s="211" t="str">
        <f>IFERROR(__xludf.DUMMYFUNCTION("""COMPUTED_VALUE"""),"Oksigen 6m3")</f>
        <v>Oksigen 6m3</v>
      </c>
      <c r="H2564" s="211" t="str">
        <f>IFERROR(__xludf.DUMMYFUNCTION("""COMPUTED_VALUE"""),"IN")</f>
        <v>IN</v>
      </c>
      <c r="I2564" s="211" t="str">
        <f>IFERROR(__xludf.DUMMYFUNCTION("""COMPUTED_VALUE"""),"EMPTY")</f>
        <v>EMPTY</v>
      </c>
      <c r="J2564" s="211">
        <f>IFERROR(__xludf.DUMMYFUNCTION("""COMPUTED_VALUE"""),8.0)</f>
        <v>8</v>
      </c>
      <c r="K2564" s="210" t="str">
        <f>IFERROR(__xludf.DUMMYFUNCTION("""COMPUTED_VALUE"""),"11287 11284 11209 11197 1186 11291 11267 11123")</f>
        <v>11287 11284 11209 11197 1186 11291 11267 11123</v>
      </c>
      <c r="L2564" s="211">
        <f>IFERROR(__xludf.DUMMYFUNCTION("""COMPUTED_VALUE"""),0.0)</f>
        <v>0</v>
      </c>
      <c r="M2564" s="211"/>
      <c r="N2564" s="211"/>
      <c r="O2564" s="211"/>
      <c r="Q2564" s="210" t="str">
        <f>IFERROR(__xludf.DUMMYFUNCTION("""COMPUTED_VALUE"""),"1261273")</f>
        <v>1261273</v>
      </c>
      <c r="R2564" s="210" t="str">
        <f>IFERROR(__xludf.DUMMYFUNCTION("""COMPUTED_VALUE"""),"1261273")</f>
        <v>1261273</v>
      </c>
      <c r="S2564" s="211" t="str">
        <f>IFERROR(__xludf.DUMMYFUNCTION("""COMPUTED_VALUE"""),"cac4449f")</f>
        <v>cac4449f</v>
      </c>
      <c r="T2564" s="211" t="str">
        <f>IFERROR(__xludf.DUMMYFUNCTION("""COMPUTED_VALUE"""),"Bpk. Agus Yahya")</f>
        <v>Bpk. Agus Yahya</v>
      </c>
      <c r="U2564" s="215">
        <f>IFERROR(__xludf.DUMMYFUNCTION("""COMPUTED_VALUE"""),46066.715995370374)</f>
        <v>46066.716</v>
      </c>
      <c r="V2564" s="211" t="str">
        <f>IFERROR(__xludf.DUMMYFUNCTION("""COMPUTED_VALUE"""),"Ds. Kendalsari 03/02 Sumobito Jombang Jawa Timur")</f>
        <v>Ds. Kendalsari 03/02 Sumobito Jombang Jawa Timur</v>
      </c>
      <c r="W2564" s="211" t="str">
        <f>IFERROR(__xludf.DUMMYFUNCTION("""COMPUTED_VALUE"""),"IN")</f>
        <v>IN</v>
      </c>
      <c r="X2564" s="211"/>
    </row>
    <row r="2565">
      <c r="A2565" s="210" t="str">
        <f>IFERROR(__xludf.DUMMYFUNCTION("""COMPUTED_VALUE"""),"112511806")</f>
        <v>112511806</v>
      </c>
      <c r="B2565" s="210" t="str">
        <f>IFERROR(__xludf.DUMMYFUNCTION("""COMPUTED_VALUE"""),"112511806")</f>
        <v>112511806</v>
      </c>
      <c r="C2565" s="213">
        <f>IFERROR(__xludf.DUMMYFUNCTION("""COMPUTED_VALUE"""),45986.35318287037)</f>
        <v>45986.35318</v>
      </c>
      <c r="D2565" s="211" t="str">
        <f>IFERROR(__xludf.DUMMYFUNCTION("""COMPUTED_VALUE"""),"03ff52db")</f>
        <v>03ff52db</v>
      </c>
      <c r="E2565" s="211" t="str">
        <f>IFERROR(__xludf.DUMMYFUNCTION("""COMPUTED_VALUE"""),"Aneka Teknik Logam")</f>
        <v>Aneka Teknik Logam</v>
      </c>
      <c r="F2565" s="211" t="str">
        <f>IFERROR(__xludf.DUMMYFUNCTION("""COMPUTED_VALUE"""),"7d2764f1")</f>
        <v>7d2764f1</v>
      </c>
      <c r="G2565" s="211" t="str">
        <f>IFERROR(__xludf.DUMMYFUNCTION("""COMPUTED_VALUE"""),"Oksigen 7m3")</f>
        <v>Oksigen 7m3</v>
      </c>
      <c r="H2565" s="211" t="str">
        <f>IFERROR(__xludf.DUMMYFUNCTION("""COMPUTED_VALUE"""),"OUT")</f>
        <v>OUT</v>
      </c>
      <c r="I2565" s="211" t="str">
        <f>IFERROR(__xludf.DUMMYFUNCTION("""COMPUTED_VALUE"""),"NORMAL")</f>
        <v>NORMAL</v>
      </c>
      <c r="J2565" s="211">
        <f>IFERROR(__xludf.DUMMYFUNCTION("""COMPUTED_VALUE"""),2.0)</f>
        <v>2</v>
      </c>
      <c r="K2565" s="210" t="str">
        <f>IFERROR(__xludf.DUMMYFUNCTION("""COMPUTED_VALUE"""),"11300 11299")</f>
        <v>11300 11299</v>
      </c>
      <c r="L2565" s="211">
        <f>IFERROR(__xludf.DUMMYFUNCTION("""COMPUTED_VALUE"""),60000.0)</f>
        <v>60000</v>
      </c>
      <c r="M2565" s="211"/>
      <c r="N2565" s="211"/>
      <c r="O2565" s="211"/>
      <c r="Q2565" s="210" t="str">
        <f>IFERROR(__xludf.DUMMYFUNCTION("""COMPUTED_VALUE"""),"1261233")</f>
        <v>1261233</v>
      </c>
      <c r="R2565" s="210" t="str">
        <f>IFERROR(__xludf.DUMMYFUNCTION("""COMPUTED_VALUE"""),"1261233")</f>
        <v>1261233</v>
      </c>
      <c r="S2565" s="211" t="str">
        <f>IFERROR(__xludf.DUMMYFUNCTION("""COMPUTED_VALUE"""),"ba97d58d")</f>
        <v>ba97d58d</v>
      </c>
      <c r="T2565" s="211" t="str">
        <f>IFERROR(__xludf.DUMMYFUNCTION("""COMPUTED_VALUE"""),"Bengkel Citra Mojosari")</f>
        <v>Bengkel Citra Mojosari</v>
      </c>
      <c r="U2565" s="215">
        <f>IFERROR(__xludf.DUMMYFUNCTION("""COMPUTED_VALUE"""),46066.735659722224)</f>
        <v>46066.73566</v>
      </c>
      <c r="V2565" s="211" t="str">
        <f>IFERROR(__xludf.DUMMYFUNCTION("""COMPUTED_VALUE"""),"Jl. Raden Wijaya, Kemloko, Jotangan, Kec. Mojosari, Kabupaten Mojokerto, Jawa Timur 61382")</f>
        <v>Jl. Raden Wijaya, Kemloko, Jotangan, Kec. Mojosari, Kabupaten Mojokerto, Jawa Timur 61382</v>
      </c>
      <c r="W2565" s="211" t="str">
        <f>IFERROR(__xludf.DUMMYFUNCTION("""COMPUTED_VALUE"""),"IN")</f>
        <v>IN</v>
      </c>
      <c r="X2565" s="211"/>
    </row>
    <row r="2566">
      <c r="A2566" s="210" t="str">
        <f>IFERROR(__xludf.DUMMYFUNCTION("""COMPUTED_VALUE"""),"112511806")</f>
        <v>112511806</v>
      </c>
      <c r="B2566" s="210" t="str">
        <f>IFERROR(__xludf.DUMMYFUNCTION("""COMPUTED_VALUE"""),"112511806")</f>
        <v>112511806</v>
      </c>
      <c r="C2566" s="213">
        <f>IFERROR(__xludf.DUMMYFUNCTION("""COMPUTED_VALUE"""),45986.35318287037)</f>
        <v>45986.35318</v>
      </c>
      <c r="D2566" s="211" t="str">
        <f>IFERROR(__xludf.DUMMYFUNCTION("""COMPUTED_VALUE"""),"03ff52db")</f>
        <v>03ff52db</v>
      </c>
      <c r="E2566" s="211" t="str">
        <f>IFERROR(__xludf.DUMMYFUNCTION("""COMPUTED_VALUE"""),"Aneka Teknik Logam")</f>
        <v>Aneka Teknik Logam</v>
      </c>
      <c r="F2566" s="211" t="str">
        <f>IFERROR(__xludf.DUMMYFUNCTION("""COMPUTED_VALUE"""),"be525f3b")</f>
        <v>be525f3b</v>
      </c>
      <c r="G2566" s="211" t="str">
        <f>IFERROR(__xludf.DUMMYFUNCTION("""COMPUTED_VALUE"""),"LPG 12kg")</f>
        <v>LPG 12kg</v>
      </c>
      <c r="H2566" s="211" t="str">
        <f>IFERROR(__xludf.DUMMYFUNCTION("""COMPUTED_VALUE"""),"OUT")</f>
        <v>OUT</v>
      </c>
      <c r="I2566" s="211" t="str">
        <f>IFERROR(__xludf.DUMMYFUNCTION("""COMPUTED_VALUE"""),"NORMAL")</f>
        <v>NORMAL</v>
      </c>
      <c r="J2566" s="211">
        <f>IFERROR(__xludf.DUMMYFUNCTION("""COMPUTED_VALUE"""),1.0)</f>
        <v>1</v>
      </c>
      <c r="K2566" s="210" t="str">
        <f>IFERROR(__xludf.DUMMYFUNCTION("""COMPUTED_VALUE"""),"01")</f>
        <v>01</v>
      </c>
      <c r="L2566" s="211">
        <f>IFERROR(__xludf.DUMMYFUNCTION("""COMPUTED_VALUE"""),210000.0)</f>
        <v>210000</v>
      </c>
      <c r="M2566" s="211"/>
      <c r="N2566" s="211"/>
      <c r="O2566" s="211"/>
      <c r="Q2566" s="210" t="str">
        <f>IFERROR(__xludf.DUMMYFUNCTION("""COMPUTED_VALUE"""),"022692562")</f>
        <v>022692562</v>
      </c>
      <c r="R2566" s="210" t="str">
        <f>IFERROR(__xludf.DUMMYFUNCTION("""COMPUTED_VALUE"""),"022692562")</f>
        <v>022692562</v>
      </c>
      <c r="S2566" s="211" t="str">
        <f>IFERROR(__xludf.DUMMYFUNCTION("""COMPUTED_VALUE"""),"9828dfc5")</f>
        <v>9828dfc5</v>
      </c>
      <c r="T2566" s="211" t="str">
        <f>IFERROR(__xludf.DUMMYFUNCTION("""COMPUTED_VALUE"""),"Bpk. David")</f>
        <v>Bpk. David</v>
      </c>
      <c r="U2566" s="215">
        <f>IFERROR(__xludf.DUMMYFUNCTION("""COMPUTED_VALUE"""),46067.35681712963)</f>
        <v>46067.35682</v>
      </c>
      <c r="V2566" s="211" t="str">
        <f>IFERROR(__xludf.DUMMYFUNCTION("""COMPUTED_VALUE"""),"GHF3+R34, Jl. Kartini, Ngingas, Ngimbangan, Kec. Mojosari, Kabupaten Mojokerto, Jawa Timur 61382")</f>
        <v>GHF3+R34, Jl. Kartini, Ngingas, Ngimbangan, Kec. Mojosari, Kabupaten Mojokerto, Jawa Timur 61382</v>
      </c>
      <c r="W2566" s="211" t="str">
        <f>IFERROR(__xludf.DUMMYFUNCTION("""COMPUTED_VALUE"""),"OUT")</f>
        <v>OUT</v>
      </c>
      <c r="X2566" s="211"/>
    </row>
    <row r="2567">
      <c r="A2567" s="210" t="str">
        <f>IFERROR(__xludf.DUMMYFUNCTION("""COMPUTED_VALUE"""),"112561814")</f>
        <v>112561814</v>
      </c>
      <c r="B2567" s="210" t="str">
        <f>IFERROR(__xludf.DUMMYFUNCTION("""COMPUTED_VALUE"""),"112561814")</f>
        <v>112561814</v>
      </c>
      <c r="C2567" s="213">
        <f>IFERROR(__xludf.DUMMYFUNCTION("""COMPUTED_VALUE"""),45986.38753472222)</f>
        <v>45986.38753</v>
      </c>
      <c r="D2567" s="211" t="str">
        <f>IFERROR(__xludf.DUMMYFUNCTION("""COMPUTED_VALUE"""),"440df1db")</f>
        <v>440df1db</v>
      </c>
      <c r="E2567" s="211" t="str">
        <f>IFERROR(__xludf.DUMMYFUNCTION("""COMPUTED_VALUE"""),"PT. Mecca Abadi Sejahtera")</f>
        <v>PT. Mecca Abadi Sejahtera</v>
      </c>
      <c r="F2567" s="211" t="str">
        <f>IFERROR(__xludf.DUMMYFUNCTION("""COMPUTED_VALUE"""),"ef306e54")</f>
        <v>ef306e54</v>
      </c>
      <c r="G2567" s="211" t="str">
        <f>IFERROR(__xludf.DUMMYFUNCTION("""COMPUTED_VALUE"""),"Karbondioksida")</f>
        <v>Karbondioksida</v>
      </c>
      <c r="H2567" s="211" t="str">
        <f>IFERROR(__xludf.DUMMYFUNCTION("""COMPUTED_VALUE"""),"OUT")</f>
        <v>OUT</v>
      </c>
      <c r="I2567" s="211" t="str">
        <f>IFERROR(__xludf.DUMMYFUNCTION("""COMPUTED_VALUE"""),"NORMAL")</f>
        <v>NORMAL</v>
      </c>
      <c r="J2567" s="211">
        <f>IFERROR(__xludf.DUMMYFUNCTION("""COMPUTED_VALUE"""),3.0)</f>
        <v>3</v>
      </c>
      <c r="K2567" s="210" t="str">
        <f>IFERROR(__xludf.DUMMYFUNCTION("""COMPUTED_VALUE"""),"13020 13039 13048")</f>
        <v>13020 13039 13048</v>
      </c>
      <c r="L2567" s="211">
        <f>IFERROR(__xludf.DUMMYFUNCTION("""COMPUTED_VALUE"""),180000.0)</f>
        <v>180000</v>
      </c>
      <c r="M2567" s="211"/>
      <c r="N2567" s="211"/>
      <c r="O2567" s="211"/>
      <c r="Q2567" s="210" t="str">
        <f>IFERROR(__xludf.DUMMYFUNCTION("""COMPUTED_VALUE"""),"0226452567")</f>
        <v>0226452567</v>
      </c>
      <c r="R2567" s="210" t="str">
        <f>IFERROR(__xludf.DUMMYFUNCTION("""COMPUTED_VALUE"""),"0226452567")</f>
        <v>0226452567</v>
      </c>
      <c r="S2567" s="211" t="str">
        <f>IFERROR(__xludf.DUMMYFUNCTION("""COMPUTED_VALUE"""),"5f23ba17")</f>
        <v>5f23ba17</v>
      </c>
      <c r="T2567" s="211" t="str">
        <f>IFERROR(__xludf.DUMMYFUNCTION("""COMPUTED_VALUE"""),"Bpk. Joko (Gresik)")</f>
        <v>Bpk. Joko (Gresik)</v>
      </c>
      <c r="U2567" s="215">
        <f>IFERROR(__xludf.DUMMYFUNCTION("""COMPUTED_VALUE"""),46067.365532407406)</f>
        <v>46067.36553</v>
      </c>
      <c r="V2567" s="211" t="str">
        <f>IFERROR(__xludf.DUMMYFUNCTION("""COMPUTED_VALUE"""),"Tanggungan, Lebaniwaras, Kec. Wringinanom, Kabupaten Gresik, Jawa Timur")</f>
        <v>Tanggungan, Lebaniwaras, Kec. Wringinanom, Kabupaten Gresik, Jawa Timur</v>
      </c>
      <c r="W2567" s="211" t="str">
        <f>IFERROR(__xludf.DUMMYFUNCTION("""COMPUTED_VALUE"""),"OUT")</f>
        <v>OUT</v>
      </c>
      <c r="X2567" s="211"/>
    </row>
    <row r="2568">
      <c r="A2568" s="210" t="str">
        <f>IFERROR(__xludf.DUMMYFUNCTION("""COMPUTED_VALUE"""),"112531815")</f>
        <v>112531815</v>
      </c>
      <c r="B2568" s="210" t="str">
        <f>IFERROR(__xludf.DUMMYFUNCTION("""COMPUTED_VALUE"""),"112531815")</f>
        <v>112531815</v>
      </c>
      <c r="C2568" s="213">
        <f>IFERROR(__xludf.DUMMYFUNCTION("""COMPUTED_VALUE"""),45986.469189814816)</f>
        <v>45986.46919</v>
      </c>
      <c r="D2568" s="211" t="str">
        <f>IFERROR(__xludf.DUMMYFUNCTION("""COMPUTED_VALUE"""),"ba97d58d")</f>
        <v>ba97d58d</v>
      </c>
      <c r="E2568" s="211" t="str">
        <f>IFERROR(__xludf.DUMMYFUNCTION("""COMPUTED_VALUE"""),"Bengkel Citra Mojosari")</f>
        <v>Bengkel Citra Mojosari</v>
      </c>
      <c r="F2568" s="211" t="str">
        <f>IFERROR(__xludf.DUMMYFUNCTION("""COMPUTED_VALUE"""),"7d2764f1")</f>
        <v>7d2764f1</v>
      </c>
      <c r="G2568" s="211" t="str">
        <f>IFERROR(__xludf.DUMMYFUNCTION("""COMPUTED_VALUE"""),"Oksigen 7m3")</f>
        <v>Oksigen 7m3</v>
      </c>
      <c r="H2568" s="211" t="str">
        <f>IFERROR(__xludf.DUMMYFUNCTION("""COMPUTED_VALUE"""),"OUT")</f>
        <v>OUT</v>
      </c>
      <c r="I2568" s="211" t="str">
        <f>IFERROR(__xludf.DUMMYFUNCTION("""COMPUTED_VALUE"""),"NORMAL")</f>
        <v>NORMAL</v>
      </c>
      <c r="J2568" s="211">
        <f>IFERROR(__xludf.DUMMYFUNCTION("""COMPUTED_VALUE"""),2.0)</f>
        <v>2</v>
      </c>
      <c r="K2568" s="210" t="str">
        <f>IFERROR(__xludf.DUMMYFUNCTION("""COMPUTED_VALUE"""),"11144 11166")</f>
        <v>11144 11166</v>
      </c>
      <c r="L2568" s="211">
        <f>IFERROR(__xludf.DUMMYFUNCTION("""COMPUTED_VALUE"""),65000.0)</f>
        <v>65000</v>
      </c>
      <c r="M2568" s="211"/>
      <c r="N2568" s="211"/>
      <c r="O2568" s="211"/>
      <c r="Q2568" s="210" t="str">
        <f>IFERROR(__xludf.DUMMYFUNCTION("""COMPUTED_VALUE"""),"022632568")</f>
        <v>022632568</v>
      </c>
      <c r="R2568" s="210" t="str">
        <f>IFERROR(__xludf.DUMMYFUNCTION("""COMPUTED_VALUE"""),"022632568")</f>
        <v>022632568</v>
      </c>
      <c r="S2568" s="211" t="str">
        <f>IFERROR(__xludf.DUMMYFUNCTION("""COMPUTED_VALUE"""),"2814d559")</f>
        <v>2814d559</v>
      </c>
      <c r="T2568" s="211" t="str">
        <f>IFERROR(__xludf.DUMMYFUNCTION("""COMPUTED_VALUE"""),"Bpk. Gunarso")</f>
        <v>Bpk. Gunarso</v>
      </c>
      <c r="U2568" s="215">
        <f>IFERROR(__xludf.DUMMYFUNCTION("""COMPUTED_VALUE"""),46067.36662037037)</f>
        <v>46067.36662</v>
      </c>
      <c r="V2568" s="211" t="str">
        <f>IFERROR(__xludf.DUMMYFUNCTION("""COMPUTED_VALUE"""),"Kraton RT 13 RW 03 Kraton Krian Sidoarjo Jawa Timur")</f>
        <v>Kraton RT 13 RW 03 Kraton Krian Sidoarjo Jawa Timur</v>
      </c>
      <c r="W2568" s="211" t="str">
        <f>IFERROR(__xludf.DUMMYFUNCTION("""COMPUTED_VALUE"""),"OUT")</f>
        <v>OUT</v>
      </c>
      <c r="X2568" s="211"/>
    </row>
    <row r="2569">
      <c r="A2569" s="210" t="str">
        <f>IFERROR(__xludf.DUMMYFUNCTION("""COMPUTED_VALUE"""),"1125441816")</f>
        <v>1125441816</v>
      </c>
      <c r="B2569" s="210" t="str">
        <f>IFERROR(__xludf.DUMMYFUNCTION("""COMPUTED_VALUE"""),"1125441816")</f>
        <v>1125441816</v>
      </c>
      <c r="C2569" s="213">
        <f>IFERROR(__xludf.DUMMYFUNCTION("""COMPUTED_VALUE"""),45986.470509259256)</f>
        <v>45986.47051</v>
      </c>
      <c r="D2569" s="211" t="str">
        <f>IFERROR(__xludf.DUMMYFUNCTION("""COMPUTED_VALUE"""),"b2b5f2c5")</f>
        <v>b2b5f2c5</v>
      </c>
      <c r="E2569" s="211" t="str">
        <f>IFERROR(__xludf.DUMMYFUNCTION("""COMPUTED_VALUE"""),"Bengkel Las Bpk. Ari")</f>
        <v>Bengkel Las Bpk. Ari</v>
      </c>
      <c r="F2569" s="211" t="str">
        <f>IFERROR(__xludf.DUMMYFUNCTION("""COMPUTED_VALUE"""),"ef306e54")</f>
        <v>ef306e54</v>
      </c>
      <c r="G2569" s="211" t="str">
        <f>IFERROR(__xludf.DUMMYFUNCTION("""COMPUTED_VALUE"""),"Karbondioksida")</f>
        <v>Karbondioksida</v>
      </c>
      <c r="H2569" s="211" t="str">
        <f>IFERROR(__xludf.DUMMYFUNCTION("""COMPUTED_VALUE"""),"OUT")</f>
        <v>OUT</v>
      </c>
      <c r="I2569" s="211" t="str">
        <f>IFERROR(__xludf.DUMMYFUNCTION("""COMPUTED_VALUE"""),"NORMAL")</f>
        <v>NORMAL</v>
      </c>
      <c r="J2569" s="211">
        <f>IFERROR(__xludf.DUMMYFUNCTION("""COMPUTED_VALUE"""),4.0)</f>
        <v>4</v>
      </c>
      <c r="K2569" s="210" t="str">
        <f>IFERROR(__xludf.DUMMYFUNCTION("""COMPUTED_VALUE"""),"13008 13021 13042 13037")</f>
        <v>13008 13021 13042 13037</v>
      </c>
      <c r="L2569" s="211">
        <f>IFERROR(__xludf.DUMMYFUNCTION("""COMPUTED_VALUE"""),170000.0)</f>
        <v>170000</v>
      </c>
      <c r="M2569" s="211"/>
      <c r="N2569" s="211"/>
      <c r="O2569" s="211"/>
      <c r="Q2569" s="210" t="str">
        <f>IFERROR(__xludf.DUMMYFUNCTION("""COMPUTED_VALUE"""),"0226222569")</f>
        <v>0226222569</v>
      </c>
      <c r="R2569" s="210" t="str">
        <f>IFERROR(__xludf.DUMMYFUNCTION("""COMPUTED_VALUE"""),"0226222569")</f>
        <v>0226222569</v>
      </c>
      <c r="S2569" s="211" t="str">
        <f>IFERROR(__xludf.DUMMYFUNCTION("""COMPUTED_VALUE"""),"63fc688a")</f>
        <v>63fc688a</v>
      </c>
      <c r="T2569" s="211" t="str">
        <f>IFERROR(__xludf.DUMMYFUNCTION("""COMPUTED_VALUE"""),"CV Malik Nusantara")</f>
        <v>CV Malik Nusantara</v>
      </c>
      <c r="U2569" s="215">
        <f>IFERROR(__xludf.DUMMYFUNCTION("""COMPUTED_VALUE"""),46067.38037037037)</f>
        <v>46067.38037</v>
      </c>
      <c r="V2569" s="211" t="str">
        <f>IFERROR(__xludf.DUMMYFUNCTION("""COMPUTED_VALUE"""),"Jl. Raya Balongbendo No.12, Suwaluh Utara, Suwaluh, Kec. BalongBendo, Kabupaten Sidoarjo, Jawa Timur 61263")</f>
        <v>Jl. Raya Balongbendo No.12, Suwaluh Utara, Suwaluh, Kec. BalongBendo, Kabupaten Sidoarjo, Jawa Timur 61263</v>
      </c>
      <c r="W2569" s="211" t="str">
        <f>IFERROR(__xludf.DUMMYFUNCTION("""COMPUTED_VALUE"""),"OUT")</f>
        <v>OUT</v>
      </c>
      <c r="X2569" s="211"/>
    </row>
    <row r="2570">
      <c r="A2570" s="210" t="str">
        <f>IFERROR(__xludf.DUMMYFUNCTION("""COMPUTED_VALUE"""),"1250862")</f>
        <v>1250862</v>
      </c>
      <c r="B2570" s="210" t="str">
        <f>IFERROR(__xludf.DUMMYFUNCTION("""COMPUTED_VALUE"""),"1250862")</f>
        <v>1250862</v>
      </c>
      <c r="C2570" s="213">
        <f>IFERROR(__xludf.DUMMYFUNCTION("""COMPUTED_VALUE"""),45986.47659722222)</f>
        <v>45986.4766</v>
      </c>
      <c r="D2570" s="211" t="str">
        <f>IFERROR(__xludf.DUMMYFUNCTION("""COMPUTED_VALUE"""),"9e66ced9")</f>
        <v>9e66ced9</v>
      </c>
      <c r="E2570" s="211" t="str">
        <f>IFERROR(__xludf.DUMMYFUNCTION("""COMPUTED_VALUE"""),"Bapak Angga")</f>
        <v>Bapak Angga</v>
      </c>
      <c r="F2570" s="211" t="str">
        <f>IFERROR(__xludf.DUMMYFUNCTION("""COMPUTED_VALUE"""),"ef306e54")</f>
        <v>ef306e54</v>
      </c>
      <c r="G2570" s="211" t="str">
        <f>IFERROR(__xludf.DUMMYFUNCTION("""COMPUTED_VALUE"""),"Karbondioksida")</f>
        <v>Karbondioksida</v>
      </c>
      <c r="H2570" s="211" t="str">
        <f>IFERROR(__xludf.DUMMYFUNCTION("""COMPUTED_VALUE"""),"IN")</f>
        <v>IN</v>
      </c>
      <c r="I2570" s="211" t="str">
        <f>IFERROR(__xludf.DUMMYFUNCTION("""COMPUTED_VALUE"""),"EMPTY")</f>
        <v>EMPTY</v>
      </c>
      <c r="J2570" s="211">
        <f>IFERROR(__xludf.DUMMYFUNCTION("""COMPUTED_VALUE"""),1.0)</f>
        <v>1</v>
      </c>
      <c r="K2570" s="210" t="str">
        <f>IFERROR(__xludf.DUMMYFUNCTION("""COMPUTED_VALUE"""),"13042")</f>
        <v>13042</v>
      </c>
      <c r="L2570" s="211">
        <f>IFERROR(__xludf.DUMMYFUNCTION("""COMPUTED_VALUE"""),0.0)</f>
        <v>0</v>
      </c>
      <c r="M2570" s="211"/>
      <c r="N2570" s="211"/>
      <c r="O2570" s="211"/>
      <c r="Q2570" s="210" t="str">
        <f>IFERROR(__xludf.DUMMYFUNCTION("""COMPUTED_VALUE"""),"022632567")</f>
        <v>022632567</v>
      </c>
      <c r="R2570" s="210" t="str">
        <f>IFERROR(__xludf.DUMMYFUNCTION("""COMPUTED_VALUE"""),"022632567")</f>
        <v>022632567</v>
      </c>
      <c r="S2570" s="211" t="str">
        <f>IFERROR(__xludf.DUMMYFUNCTION("""COMPUTED_VALUE"""),"de41c3e8")</f>
        <v>de41c3e8</v>
      </c>
      <c r="T2570" s="211" t="str">
        <f>IFERROR(__xludf.DUMMYFUNCTION("""COMPUTED_VALUE"""),"Bpk. Karsmianto")</f>
        <v>Bpk. Karsmianto</v>
      </c>
      <c r="U2570" s="215">
        <f>IFERROR(__xludf.DUMMYFUNCTION("""COMPUTED_VALUE"""),46067.41357638889)</f>
        <v>46067.41358</v>
      </c>
      <c r="V2570" s="211" t="str">
        <f>IFERROR(__xludf.DUMMYFUNCTION("""COMPUTED_VALUE"""),"The Graha Residen, Blok D4 No 33. Tropodo, Kec Krian, Kabupaten Sidaorjo, Jawa Timur 61262")</f>
        <v>The Graha Residen, Blok D4 No 33. Tropodo, Kec Krian, Kabupaten Sidaorjo, Jawa Timur 61262</v>
      </c>
      <c r="W2570" s="211" t="str">
        <f>IFERROR(__xludf.DUMMYFUNCTION("""COMPUTED_VALUE"""),"OUT")</f>
        <v>OUT</v>
      </c>
      <c r="X2570" s="211"/>
    </row>
    <row r="2571">
      <c r="A2571" s="210" t="str">
        <f>IFERROR(__xludf.DUMMYFUNCTION("""COMPUTED_VALUE"""),"1250862")</f>
        <v>1250862</v>
      </c>
      <c r="B2571" s="210" t="str">
        <f>IFERROR(__xludf.DUMMYFUNCTION("""COMPUTED_VALUE"""),"1250862")</f>
        <v>1250862</v>
      </c>
      <c r="C2571" s="213">
        <f>IFERROR(__xludf.DUMMYFUNCTION("""COMPUTED_VALUE"""),45986.47659722222)</f>
        <v>45986.4766</v>
      </c>
      <c r="D2571" s="211" t="str">
        <f>IFERROR(__xludf.DUMMYFUNCTION("""COMPUTED_VALUE"""),"9e66ced9")</f>
        <v>9e66ced9</v>
      </c>
      <c r="E2571" s="211" t="str">
        <f>IFERROR(__xludf.DUMMYFUNCTION("""COMPUTED_VALUE"""),"Bapak Angga")</f>
        <v>Bapak Angga</v>
      </c>
      <c r="F2571" s="211" t="str">
        <f>IFERROR(__xludf.DUMMYFUNCTION("""COMPUTED_VALUE"""),"8bdbe149")</f>
        <v>8bdbe149</v>
      </c>
      <c r="G2571" s="211" t="str">
        <f>IFERROR(__xludf.DUMMYFUNCTION("""COMPUTED_VALUE"""),"Oksigen 6m3")</f>
        <v>Oksigen 6m3</v>
      </c>
      <c r="H2571" s="211" t="str">
        <f>IFERROR(__xludf.DUMMYFUNCTION("""COMPUTED_VALUE"""),"IN")</f>
        <v>IN</v>
      </c>
      <c r="I2571" s="211" t="str">
        <f>IFERROR(__xludf.DUMMYFUNCTION("""COMPUTED_VALUE"""),"EMPTY")</f>
        <v>EMPTY</v>
      </c>
      <c r="J2571" s="211">
        <f>IFERROR(__xludf.DUMMYFUNCTION("""COMPUTED_VALUE"""),1.0)</f>
        <v>1</v>
      </c>
      <c r="K2571" s="210" t="str">
        <f>IFERROR(__xludf.DUMMYFUNCTION("""COMPUTED_VALUE"""),"11274")</f>
        <v>11274</v>
      </c>
      <c r="L2571" s="211">
        <f>IFERROR(__xludf.DUMMYFUNCTION("""COMPUTED_VALUE"""),0.0)</f>
        <v>0</v>
      </c>
      <c r="M2571" s="211"/>
      <c r="N2571" s="211"/>
      <c r="O2571" s="211"/>
      <c r="Q2571" s="210" t="str">
        <f>IFERROR(__xludf.DUMMYFUNCTION("""COMPUTED_VALUE"""),"0226202571")</f>
        <v>0226202571</v>
      </c>
      <c r="R2571" s="210" t="str">
        <f>IFERROR(__xludf.DUMMYFUNCTION("""COMPUTED_VALUE"""),"0226202571")</f>
        <v>0226202571</v>
      </c>
      <c r="S2571" s="211" t="str">
        <f>IFERROR(__xludf.DUMMYFUNCTION("""COMPUTED_VALUE"""),"b218b89b")</f>
        <v>b218b89b</v>
      </c>
      <c r="T2571" s="211" t="str">
        <f>IFERROR(__xludf.DUMMYFUNCTION("""COMPUTED_VALUE"""),"PT Harapan Sentosa")</f>
        <v>PT Harapan Sentosa</v>
      </c>
      <c r="U2571" s="215">
        <f>IFERROR(__xludf.DUMMYFUNCTION("""COMPUTED_VALUE"""),46067.4143287037)</f>
        <v>46067.41433</v>
      </c>
      <c r="V2571" s="211" t="str">
        <f>IFERROR(__xludf.DUMMYFUNCTION("""COMPUTED_VALUE"""),"Seketi, Jl. Purboyo II Selatan, RT.02/RW.02, Seketi, Kec. BalongBendo, Kabupaten Sidoarjo, Jawa Timur 61263")</f>
        <v>Seketi, Jl. Purboyo II Selatan, RT.02/RW.02, Seketi, Kec. BalongBendo, Kabupaten Sidoarjo, Jawa Timur 61263</v>
      </c>
      <c r="W2571" s="211" t="str">
        <f>IFERROR(__xludf.DUMMYFUNCTION("""COMPUTED_VALUE"""),"OUT")</f>
        <v>OUT</v>
      </c>
      <c r="X2571" s="211"/>
    </row>
    <row r="2572">
      <c r="A2572" s="210" t="str">
        <f>IFERROR(__xludf.DUMMYFUNCTION("""COMPUTED_VALUE"""),"1250863")</f>
        <v>1250863</v>
      </c>
      <c r="B2572" s="210" t="str">
        <f>IFERROR(__xludf.DUMMYFUNCTION("""COMPUTED_VALUE"""),"1250863")</f>
        <v>1250863</v>
      </c>
      <c r="C2572" s="213">
        <f>IFERROR(__xludf.DUMMYFUNCTION("""COMPUTED_VALUE"""),45986.47756944445)</f>
        <v>45986.47757</v>
      </c>
      <c r="D2572" s="211" t="str">
        <f>IFERROR(__xludf.DUMMYFUNCTION("""COMPUTED_VALUE"""),"63fc688a")</f>
        <v>63fc688a</v>
      </c>
      <c r="E2572" s="211" t="str">
        <f>IFERROR(__xludf.DUMMYFUNCTION("""COMPUTED_VALUE"""),"CV Malik Nusantara")</f>
        <v>CV Malik Nusantara</v>
      </c>
      <c r="F2572" s="211" t="str">
        <f>IFERROR(__xludf.DUMMYFUNCTION("""COMPUTED_VALUE"""),"8bdbe149")</f>
        <v>8bdbe149</v>
      </c>
      <c r="G2572" s="211" t="str">
        <f>IFERROR(__xludf.DUMMYFUNCTION("""COMPUTED_VALUE"""),"Oksigen 6m3")</f>
        <v>Oksigen 6m3</v>
      </c>
      <c r="H2572" s="211" t="str">
        <f>IFERROR(__xludf.DUMMYFUNCTION("""COMPUTED_VALUE"""),"IN")</f>
        <v>IN</v>
      </c>
      <c r="I2572" s="211" t="str">
        <f>IFERROR(__xludf.DUMMYFUNCTION("""COMPUTED_VALUE"""),"EMPTY")</f>
        <v>EMPTY</v>
      </c>
      <c r="J2572" s="211">
        <f>IFERROR(__xludf.DUMMYFUNCTION("""COMPUTED_VALUE"""),1.0)</f>
        <v>1</v>
      </c>
      <c r="K2572" s="210" t="str">
        <f>IFERROR(__xludf.DUMMYFUNCTION("""COMPUTED_VALUE"""),"11260")</f>
        <v>11260</v>
      </c>
      <c r="L2572" s="211">
        <f>IFERROR(__xludf.DUMMYFUNCTION("""COMPUTED_VALUE"""),0.0)</f>
        <v>0</v>
      </c>
      <c r="M2572" s="211"/>
      <c r="N2572" s="211"/>
      <c r="O2572" s="211"/>
      <c r="Q2572" s="210" t="str">
        <f>IFERROR(__xludf.DUMMYFUNCTION("""COMPUTED_VALUE"""),"022652572")</f>
        <v>022652572</v>
      </c>
      <c r="R2572" s="210" t="str">
        <f>IFERROR(__xludf.DUMMYFUNCTION("""COMPUTED_VALUE"""),"022652572")</f>
        <v>022652572</v>
      </c>
      <c r="S2572" s="211" t="str">
        <f>IFERROR(__xludf.DUMMYFUNCTION("""COMPUTED_VALUE"""),"a1508027")</f>
        <v>a1508027</v>
      </c>
      <c r="T2572" s="211" t="str">
        <f>IFERROR(__xludf.DUMMYFUNCTION("""COMPUTED_VALUE"""),"Agus Budiono")</f>
        <v>Agus Budiono</v>
      </c>
      <c r="U2572" s="215">
        <f>IFERROR(__xludf.DUMMYFUNCTION("""COMPUTED_VALUE"""),46067.42920138889)</f>
        <v>46067.4292</v>
      </c>
      <c r="V2572" s="211" t="str">
        <f>IFERROR(__xludf.DUMMYFUNCTION("""COMPUTED_VALUE"""),"Kraton RT.13 RW. 03 Kraton Krian Sidoarjo")</f>
        <v>Kraton RT.13 RW. 03 Kraton Krian Sidoarjo</v>
      </c>
      <c r="W2572" s="211" t="str">
        <f>IFERROR(__xludf.DUMMYFUNCTION("""COMPUTED_VALUE"""),"OUT")</f>
        <v>OUT</v>
      </c>
      <c r="X2572" s="211"/>
    </row>
    <row r="2573">
      <c r="A2573" s="210" t="str">
        <f>IFERROR(__xludf.DUMMYFUNCTION("""COMPUTED_VALUE"""),"1250863")</f>
        <v>1250863</v>
      </c>
      <c r="B2573" s="210" t="str">
        <f>IFERROR(__xludf.DUMMYFUNCTION("""COMPUTED_VALUE"""),"1250863")</f>
        <v>1250863</v>
      </c>
      <c r="C2573" s="213">
        <f>IFERROR(__xludf.DUMMYFUNCTION("""COMPUTED_VALUE"""),45986.47756944445)</f>
        <v>45986.47757</v>
      </c>
      <c r="D2573" s="211" t="str">
        <f>IFERROR(__xludf.DUMMYFUNCTION("""COMPUTED_VALUE"""),"63fc688a")</f>
        <v>63fc688a</v>
      </c>
      <c r="E2573" s="211" t="str">
        <f>IFERROR(__xludf.DUMMYFUNCTION("""COMPUTED_VALUE"""),"CV Malik Nusantara")</f>
        <v>CV Malik Nusantara</v>
      </c>
      <c r="F2573" s="211" t="str">
        <f>IFERROR(__xludf.DUMMYFUNCTION("""COMPUTED_VALUE"""),"7d2764f1")</f>
        <v>7d2764f1</v>
      </c>
      <c r="G2573" s="211" t="str">
        <f>IFERROR(__xludf.DUMMYFUNCTION("""COMPUTED_VALUE"""),"Oksigen 7m3")</f>
        <v>Oksigen 7m3</v>
      </c>
      <c r="H2573" s="211" t="str">
        <f>IFERROR(__xludf.DUMMYFUNCTION("""COMPUTED_VALUE"""),"IN")</f>
        <v>IN</v>
      </c>
      <c r="I2573" s="211" t="str">
        <f>IFERROR(__xludf.DUMMYFUNCTION("""COMPUTED_VALUE"""),"EMPTY")</f>
        <v>EMPTY</v>
      </c>
      <c r="J2573" s="211">
        <f>IFERROR(__xludf.DUMMYFUNCTION("""COMPUTED_VALUE"""),1.0)</f>
        <v>1</v>
      </c>
      <c r="K2573" s="210" t="str">
        <f>IFERROR(__xludf.DUMMYFUNCTION("""COMPUTED_VALUE"""),"01")</f>
        <v>01</v>
      </c>
      <c r="L2573" s="211">
        <f>IFERROR(__xludf.DUMMYFUNCTION("""COMPUTED_VALUE"""),0.0)</f>
        <v>0</v>
      </c>
      <c r="M2573" s="211"/>
      <c r="N2573" s="211"/>
      <c r="O2573" s="211"/>
      <c r="Q2573" s="210" t="str">
        <f>IFERROR(__xludf.DUMMYFUNCTION("""COMPUTED_VALUE"""),"1261235")</f>
        <v>1261235</v>
      </c>
      <c r="R2573" s="210" t="str">
        <f>IFERROR(__xludf.DUMMYFUNCTION("""COMPUTED_VALUE"""),"1261235")</f>
        <v>1261235</v>
      </c>
      <c r="S2573" s="211" t="str">
        <f>IFERROR(__xludf.DUMMYFUNCTION("""COMPUTED_VALUE"""),"b2b5f2c5")</f>
        <v>b2b5f2c5</v>
      </c>
      <c r="T2573" s="211" t="str">
        <f>IFERROR(__xludf.DUMMYFUNCTION("""COMPUTED_VALUE"""),"Bengkel Las Bpk. Ari")</f>
        <v>Bengkel Las Bpk. Ari</v>
      </c>
      <c r="U2573" s="215">
        <f>IFERROR(__xludf.DUMMYFUNCTION("""COMPUTED_VALUE"""),46067.52758101852)</f>
        <v>46067.52758</v>
      </c>
      <c r="V2573" s="211" t="str">
        <f>IFERROR(__xludf.DUMMYFUNCTION("""COMPUTED_VALUE"""),"Sumber Kembar, Wonodadi, Kec. Kutorejo, Kabupaten Mojokerto, Jawa Timur")</f>
        <v>Sumber Kembar, Wonodadi, Kec. Kutorejo, Kabupaten Mojokerto, Jawa Timur</v>
      </c>
      <c r="W2573" s="211" t="str">
        <f>IFERROR(__xludf.DUMMYFUNCTION("""COMPUTED_VALUE"""),"IN")</f>
        <v>IN</v>
      </c>
      <c r="X2573" s="211"/>
    </row>
    <row r="2574">
      <c r="A2574" s="210" t="str">
        <f>IFERROR(__xludf.DUMMYFUNCTION("""COMPUTED_VALUE"""),"1250861")</f>
        <v>1250861</v>
      </c>
      <c r="B2574" s="210" t="str">
        <f>IFERROR(__xludf.DUMMYFUNCTION("""COMPUTED_VALUE"""),"1250861")</f>
        <v>1250861</v>
      </c>
      <c r="C2574" s="213">
        <f>IFERROR(__xludf.DUMMYFUNCTION("""COMPUTED_VALUE"""),45986.478414351855)</f>
        <v>45986.47841</v>
      </c>
      <c r="D2574" s="211" t="str">
        <f>IFERROR(__xludf.DUMMYFUNCTION("""COMPUTED_VALUE"""),"440df1db")</f>
        <v>440df1db</v>
      </c>
      <c r="E2574" s="211" t="str">
        <f>IFERROR(__xludf.DUMMYFUNCTION("""COMPUTED_VALUE"""),"PT. Mecca Abadi Sejahtera")</f>
        <v>PT. Mecca Abadi Sejahtera</v>
      </c>
      <c r="F2574" s="211" t="str">
        <f>IFERROR(__xludf.DUMMYFUNCTION("""COMPUTED_VALUE"""),"ef306e54")</f>
        <v>ef306e54</v>
      </c>
      <c r="G2574" s="211" t="str">
        <f>IFERROR(__xludf.DUMMYFUNCTION("""COMPUTED_VALUE"""),"Karbondioksida")</f>
        <v>Karbondioksida</v>
      </c>
      <c r="H2574" s="211" t="str">
        <f>IFERROR(__xludf.DUMMYFUNCTION("""COMPUTED_VALUE"""),"IN")</f>
        <v>IN</v>
      </c>
      <c r="I2574" s="211" t="str">
        <f>IFERROR(__xludf.DUMMYFUNCTION("""COMPUTED_VALUE"""),"EMPTY")</f>
        <v>EMPTY</v>
      </c>
      <c r="J2574" s="211">
        <f>IFERROR(__xludf.DUMMYFUNCTION("""COMPUTED_VALUE"""),3.0)</f>
        <v>3</v>
      </c>
      <c r="K2574" s="210" t="str">
        <f>IFERROR(__xludf.DUMMYFUNCTION("""COMPUTED_VALUE"""),"13008 13021 13037")</f>
        <v>13008 13021 13037</v>
      </c>
      <c r="L2574" s="211">
        <f>IFERROR(__xludf.DUMMYFUNCTION("""COMPUTED_VALUE"""),0.0)</f>
        <v>0</v>
      </c>
      <c r="M2574" s="211"/>
      <c r="N2574" s="211"/>
      <c r="O2574" s="211"/>
      <c r="Q2574" s="211"/>
      <c r="R2574" s="211"/>
      <c r="S2574" s="211"/>
      <c r="T2574" s="211"/>
      <c r="U2574" s="211"/>
      <c r="V2574" s="211"/>
      <c r="W2574" s="211"/>
      <c r="X2574" s="211"/>
    </row>
    <row r="2575">
      <c r="A2575" s="210" t="str">
        <f>IFERROR(__xludf.DUMMYFUNCTION("""COMPUTED_VALUE"""),"112541817")</f>
        <v>112541817</v>
      </c>
      <c r="B2575" s="210" t="str">
        <f>IFERROR(__xludf.DUMMYFUNCTION("""COMPUTED_VALUE"""),"112541817")</f>
        <v>112541817</v>
      </c>
      <c r="C2575" s="213">
        <f>IFERROR(__xludf.DUMMYFUNCTION("""COMPUTED_VALUE"""),45986.55788194444)</f>
        <v>45986.55788</v>
      </c>
      <c r="D2575" s="211" t="str">
        <f>IFERROR(__xludf.DUMMYFUNCTION("""COMPUTED_VALUE"""),"f8a982a4")</f>
        <v>f8a982a4</v>
      </c>
      <c r="E2575" s="211" t="str">
        <f>IFERROR(__xludf.DUMMYFUNCTION("""COMPUTED_VALUE"""),"Bpk. Nasir")</f>
        <v>Bpk. Nasir</v>
      </c>
      <c r="F2575" s="211" t="str">
        <f>IFERROR(__xludf.DUMMYFUNCTION("""COMPUTED_VALUE"""),"7d2764f1")</f>
        <v>7d2764f1</v>
      </c>
      <c r="G2575" s="211" t="str">
        <f>IFERROR(__xludf.DUMMYFUNCTION("""COMPUTED_VALUE"""),"Oksigen 7m3")</f>
        <v>Oksigen 7m3</v>
      </c>
      <c r="H2575" s="211" t="str">
        <f>IFERROR(__xludf.DUMMYFUNCTION("""COMPUTED_VALUE"""),"OUT")</f>
        <v>OUT</v>
      </c>
      <c r="I2575" s="211" t="str">
        <f>IFERROR(__xludf.DUMMYFUNCTION("""COMPUTED_VALUE"""),"NORMAL")</f>
        <v>NORMAL</v>
      </c>
      <c r="J2575" s="211">
        <f>IFERROR(__xludf.DUMMYFUNCTION("""COMPUTED_VALUE"""),1.0)</f>
        <v>1</v>
      </c>
      <c r="K2575" s="210" t="str">
        <f>IFERROR(__xludf.DUMMYFUNCTION("""COMPUTED_VALUE"""),"11171")</f>
        <v>11171</v>
      </c>
      <c r="L2575" s="211">
        <f>IFERROR(__xludf.DUMMYFUNCTION("""COMPUTED_VALUE"""),70000.0)</f>
        <v>70000</v>
      </c>
      <c r="M2575" s="211"/>
      <c r="N2575" s="211"/>
      <c r="O2575" s="211"/>
      <c r="Q2575" s="210" t="str">
        <f>IFERROR(__xludf.DUMMYFUNCTION("""COMPUTED_VALUE"""),"022662573")</f>
        <v>022662573</v>
      </c>
      <c r="R2575" s="210" t="str">
        <f>IFERROR(__xludf.DUMMYFUNCTION("""COMPUTED_VALUE"""),"022662573")</f>
        <v>022662573</v>
      </c>
      <c r="S2575" s="211" t="str">
        <f>IFERROR(__xludf.DUMMYFUNCTION("""COMPUTED_VALUE"""),"1c4d5e93")</f>
        <v>1c4d5e93</v>
      </c>
      <c r="T2575" s="211" t="str">
        <f>IFERROR(__xludf.DUMMYFUNCTION("""COMPUTED_VALUE"""),"Karoseri Cipta Mitra Sukses")</f>
        <v>Karoseri Cipta Mitra Sukses</v>
      </c>
      <c r="U2575" s="215">
        <f>IFERROR(__xludf.DUMMYFUNCTION("""COMPUTED_VALUE"""),46067.52868055556)</f>
        <v>46067.52868</v>
      </c>
      <c r="V2575" s="211" t="str">
        <f>IFERROR(__xludf.DUMMYFUNCTION("""COMPUTED_VALUE"""),"JL. Bypass Krian No. 7800, Blok B No 11. Barengkrajan, Kec. Krian, Kabupaten Sidoarjo, Jawa Timur  61262")</f>
        <v>JL. Bypass Krian No. 7800, Blok B No 11. Barengkrajan, Kec. Krian, Kabupaten Sidoarjo, Jawa Timur  61262</v>
      </c>
      <c r="W2575" s="211" t="str">
        <f>IFERROR(__xludf.DUMMYFUNCTION("""COMPUTED_VALUE"""),"OUT")</f>
        <v>OUT</v>
      </c>
      <c r="X2575" s="211"/>
    </row>
    <row r="2576">
      <c r="A2576" s="210" t="str">
        <f>IFERROR(__xludf.DUMMYFUNCTION("""COMPUTED_VALUE"""),"1250852")</f>
        <v>1250852</v>
      </c>
      <c r="B2576" s="210" t="str">
        <f>IFERROR(__xludf.DUMMYFUNCTION("""COMPUTED_VALUE"""),"1250852")</f>
        <v>1250852</v>
      </c>
      <c r="C2576" s="213">
        <f>IFERROR(__xludf.DUMMYFUNCTION("""COMPUTED_VALUE"""),45986.60313657407)</f>
        <v>45986.60314</v>
      </c>
      <c r="D2576" s="211" t="str">
        <f>IFERROR(__xludf.DUMMYFUNCTION("""COMPUTED_VALUE"""),"ca4876e2")</f>
        <v>ca4876e2</v>
      </c>
      <c r="E2576" s="211" t="str">
        <f>IFERROR(__xludf.DUMMYFUNCTION("""COMPUTED_VALUE"""),"Bengkel Mustika Mojosari")</f>
        <v>Bengkel Mustika Mojosari</v>
      </c>
      <c r="F2576" s="211" t="str">
        <f>IFERROR(__xludf.DUMMYFUNCTION("""COMPUTED_VALUE"""),"7d2764f1")</f>
        <v>7d2764f1</v>
      </c>
      <c r="G2576" s="211" t="str">
        <f>IFERROR(__xludf.DUMMYFUNCTION("""COMPUTED_VALUE"""),"Oksigen 7m3")</f>
        <v>Oksigen 7m3</v>
      </c>
      <c r="H2576" s="211" t="str">
        <f>IFERROR(__xludf.DUMMYFUNCTION("""COMPUTED_VALUE"""),"IN")</f>
        <v>IN</v>
      </c>
      <c r="I2576" s="211" t="str">
        <f>IFERROR(__xludf.DUMMYFUNCTION("""COMPUTED_VALUE"""),"EMPTY")</f>
        <v>EMPTY</v>
      </c>
      <c r="J2576" s="211">
        <f>IFERROR(__xludf.DUMMYFUNCTION("""COMPUTED_VALUE"""),1.0)</f>
        <v>1</v>
      </c>
      <c r="K2576" s="210" t="str">
        <f>IFERROR(__xludf.DUMMYFUNCTION("""COMPUTED_VALUE"""),"11215")</f>
        <v>11215</v>
      </c>
      <c r="L2576" s="211">
        <f>IFERROR(__xludf.DUMMYFUNCTION("""COMPUTED_VALUE"""),0.0)</f>
        <v>0</v>
      </c>
      <c r="M2576" s="211"/>
      <c r="N2576" s="211"/>
      <c r="O2576" s="211"/>
      <c r="Q2576" s="210" t="str">
        <f>IFERROR(__xludf.DUMMYFUNCTION("""COMPUTED_VALUE"""),"1261250")</f>
        <v>1261250</v>
      </c>
      <c r="R2576" s="210" t="str">
        <f>IFERROR(__xludf.DUMMYFUNCTION("""COMPUTED_VALUE"""),"1261250")</f>
        <v>1261250</v>
      </c>
      <c r="S2576" s="211" t="str">
        <f>IFERROR(__xludf.DUMMYFUNCTION("""COMPUTED_VALUE"""),"1c4d5e93")</f>
        <v>1c4d5e93</v>
      </c>
      <c r="T2576" s="211" t="str">
        <f>IFERROR(__xludf.DUMMYFUNCTION("""COMPUTED_VALUE"""),"Karoseri Cipta Mitra Sukses")</f>
        <v>Karoseri Cipta Mitra Sukses</v>
      </c>
      <c r="U2576" s="215">
        <f>IFERROR(__xludf.DUMMYFUNCTION("""COMPUTED_VALUE"""),46066.53392361111)</f>
        <v>46066.53392</v>
      </c>
      <c r="V2576" s="211" t="str">
        <f>IFERROR(__xludf.DUMMYFUNCTION("""COMPUTED_VALUE"""),"JL. Bypass Krian No. 7800, Blok B No 11. Barengkrajan, Kec. Krian, Kabupaten Sidoarjo, Jawa Timur  61262")</f>
        <v>JL. Bypass Krian No. 7800, Blok B No 11. Barengkrajan, Kec. Krian, Kabupaten Sidoarjo, Jawa Timur  61262</v>
      </c>
      <c r="W2576" s="211" t="str">
        <f>IFERROR(__xludf.DUMMYFUNCTION("""COMPUTED_VALUE"""),"IN")</f>
        <v>IN</v>
      </c>
      <c r="X2576" s="211"/>
    </row>
    <row r="2577">
      <c r="A2577" s="210" t="str">
        <f>IFERROR(__xludf.DUMMYFUNCTION("""COMPUTED_VALUE"""),"1250853")</f>
        <v>1250853</v>
      </c>
      <c r="B2577" s="210" t="str">
        <f>IFERROR(__xludf.DUMMYFUNCTION("""COMPUTED_VALUE"""),"1250853")</f>
        <v>1250853</v>
      </c>
      <c r="C2577" s="213">
        <f>IFERROR(__xludf.DUMMYFUNCTION("""COMPUTED_VALUE"""),45986.606724537036)</f>
        <v>45986.60672</v>
      </c>
      <c r="D2577" s="211" t="str">
        <f>IFERROR(__xludf.DUMMYFUNCTION("""COMPUTED_VALUE"""),"ba97d58d")</f>
        <v>ba97d58d</v>
      </c>
      <c r="E2577" s="211" t="str">
        <f>IFERROR(__xludf.DUMMYFUNCTION("""COMPUTED_VALUE"""),"Bengkel Citra Mojosari")</f>
        <v>Bengkel Citra Mojosari</v>
      </c>
      <c r="F2577" s="211" t="str">
        <f>IFERROR(__xludf.DUMMYFUNCTION("""COMPUTED_VALUE"""),"7d2764f1")</f>
        <v>7d2764f1</v>
      </c>
      <c r="G2577" s="211" t="str">
        <f>IFERROR(__xludf.DUMMYFUNCTION("""COMPUTED_VALUE"""),"Oksigen 7m3")</f>
        <v>Oksigen 7m3</v>
      </c>
      <c r="H2577" s="211" t="str">
        <f>IFERROR(__xludf.DUMMYFUNCTION("""COMPUTED_VALUE"""),"IN")</f>
        <v>IN</v>
      </c>
      <c r="I2577" s="211" t="str">
        <f>IFERROR(__xludf.DUMMYFUNCTION("""COMPUTED_VALUE"""),"EMPTY")</f>
        <v>EMPTY</v>
      </c>
      <c r="J2577" s="211">
        <f>IFERROR(__xludf.DUMMYFUNCTION("""COMPUTED_VALUE"""),1.0)</f>
        <v>1</v>
      </c>
      <c r="K2577" s="210" t="str">
        <f>IFERROR(__xludf.DUMMYFUNCTION("""COMPUTED_VALUE"""),"11146")</f>
        <v>11146</v>
      </c>
      <c r="L2577" s="211">
        <f>IFERROR(__xludf.DUMMYFUNCTION("""COMPUTED_VALUE"""),0.0)</f>
        <v>0</v>
      </c>
      <c r="M2577" s="211"/>
      <c r="N2577" s="211"/>
      <c r="O2577" s="211"/>
      <c r="Q2577" s="210" t="str">
        <f>IFERROR(__xludf.DUMMYFUNCTION("""COMPUTED_VALUE"""),"1261234")</f>
        <v>1261234</v>
      </c>
      <c r="R2577" s="210" t="str">
        <f>IFERROR(__xludf.DUMMYFUNCTION("""COMPUTED_VALUE"""),"1261234")</f>
        <v>1261234</v>
      </c>
      <c r="S2577" s="211" t="str">
        <f>IFERROR(__xludf.DUMMYFUNCTION("""COMPUTED_VALUE"""),"9828dfc5")</f>
        <v>9828dfc5</v>
      </c>
      <c r="T2577" s="211" t="str">
        <f>IFERROR(__xludf.DUMMYFUNCTION("""COMPUTED_VALUE"""),"Bpk. David")</f>
        <v>Bpk. David</v>
      </c>
      <c r="U2577" s="215">
        <f>IFERROR(__xludf.DUMMYFUNCTION("""COMPUTED_VALUE"""),46067.539976851855)</f>
        <v>46067.53998</v>
      </c>
      <c r="V2577" s="211" t="str">
        <f>IFERROR(__xludf.DUMMYFUNCTION("""COMPUTED_VALUE"""),"GHF3+R34, Jl. Kartini, Ngingas, Ngimbangan, Kec. Mojosari, Kabupaten Mojokerto, Jawa Timur 61382")</f>
        <v>GHF3+R34, Jl. Kartini, Ngingas, Ngimbangan, Kec. Mojosari, Kabupaten Mojokerto, Jawa Timur 61382</v>
      </c>
      <c r="W2577" s="211" t="str">
        <f>IFERROR(__xludf.DUMMYFUNCTION("""COMPUTED_VALUE"""),"IN")</f>
        <v>IN</v>
      </c>
      <c r="X2577" s="211"/>
    </row>
    <row r="2578">
      <c r="A2578" s="210" t="str">
        <f>IFERROR(__xludf.DUMMYFUNCTION("""COMPUTED_VALUE"""),"1250854")</f>
        <v>1250854</v>
      </c>
      <c r="B2578" s="210" t="str">
        <f>IFERROR(__xludf.DUMMYFUNCTION("""COMPUTED_VALUE"""),"1250854")</f>
        <v>1250854</v>
      </c>
      <c r="C2578" s="213">
        <f>IFERROR(__xludf.DUMMYFUNCTION("""COMPUTED_VALUE"""),45986.60743055555)</f>
        <v>45986.60743</v>
      </c>
      <c r="D2578" s="211" t="str">
        <f>IFERROR(__xludf.DUMMYFUNCTION("""COMPUTED_VALUE"""),"b2b5f2c5")</f>
        <v>b2b5f2c5</v>
      </c>
      <c r="E2578" s="211" t="str">
        <f>IFERROR(__xludf.DUMMYFUNCTION("""COMPUTED_VALUE"""),"Bengkel Las Bpk. Ari")</f>
        <v>Bengkel Las Bpk. Ari</v>
      </c>
      <c r="F2578" s="211" t="str">
        <f>IFERROR(__xludf.DUMMYFUNCTION("""COMPUTED_VALUE"""),"8bdbe149")</f>
        <v>8bdbe149</v>
      </c>
      <c r="G2578" s="211" t="str">
        <f>IFERROR(__xludf.DUMMYFUNCTION("""COMPUTED_VALUE"""),"Oksigen 6m3")</f>
        <v>Oksigen 6m3</v>
      </c>
      <c r="H2578" s="211" t="str">
        <f>IFERROR(__xludf.DUMMYFUNCTION("""COMPUTED_VALUE"""),"IN")</f>
        <v>IN</v>
      </c>
      <c r="I2578" s="211" t="str">
        <f>IFERROR(__xludf.DUMMYFUNCTION("""COMPUTED_VALUE"""),"EMPTY")</f>
        <v>EMPTY</v>
      </c>
      <c r="J2578" s="211">
        <f>IFERROR(__xludf.DUMMYFUNCTION("""COMPUTED_VALUE"""),3.0)</f>
        <v>3</v>
      </c>
      <c r="K2578" s="210" t="str">
        <f>IFERROR(__xludf.DUMMYFUNCTION("""COMPUTED_VALUE"""),"1176 11125 11187")</f>
        <v>1176 11125 11187</v>
      </c>
      <c r="L2578" s="211">
        <f>IFERROR(__xludf.DUMMYFUNCTION("""COMPUTED_VALUE"""),0.0)</f>
        <v>0</v>
      </c>
      <c r="M2578" s="211"/>
      <c r="N2578" s="211"/>
      <c r="O2578" s="211"/>
      <c r="Q2578" s="210" t="str">
        <f>IFERROR(__xludf.DUMMYFUNCTION("""COMPUTED_VALUE"""),"1261274")</f>
        <v>1261274</v>
      </c>
      <c r="R2578" s="210" t="str">
        <f>IFERROR(__xludf.DUMMYFUNCTION("""COMPUTED_VALUE"""),"1261274")</f>
        <v>1261274</v>
      </c>
      <c r="S2578" s="211" t="str">
        <f>IFERROR(__xludf.DUMMYFUNCTION("""COMPUTED_VALUE"""),"de41c3e8")</f>
        <v>de41c3e8</v>
      </c>
      <c r="T2578" s="211" t="str">
        <f>IFERROR(__xludf.DUMMYFUNCTION("""COMPUTED_VALUE"""),"Bpk. Karsmianto")</f>
        <v>Bpk. Karsmianto</v>
      </c>
      <c r="U2578" s="215">
        <f>IFERROR(__xludf.DUMMYFUNCTION("""COMPUTED_VALUE"""),46067.59230324074)</f>
        <v>46067.5923</v>
      </c>
      <c r="V2578" s="211" t="str">
        <f>IFERROR(__xludf.DUMMYFUNCTION("""COMPUTED_VALUE"""),"The Graha Residen, Blok D4 No 33. Tropodo, Kec Krian, Kabupaten Sidaorjo, Jawa Timur 61262")</f>
        <v>The Graha Residen, Blok D4 No 33. Tropodo, Kec Krian, Kabupaten Sidaorjo, Jawa Timur 61262</v>
      </c>
      <c r="W2578" s="211" t="str">
        <f>IFERROR(__xludf.DUMMYFUNCTION("""COMPUTED_VALUE"""),"IN")</f>
        <v>IN</v>
      </c>
      <c r="X2578" s="211"/>
    </row>
    <row r="2579">
      <c r="A2579" s="210" t="str">
        <f>IFERROR(__xludf.DUMMYFUNCTION("""COMPUTED_VALUE"""),"1250854")</f>
        <v>1250854</v>
      </c>
      <c r="B2579" s="210" t="str">
        <f>IFERROR(__xludf.DUMMYFUNCTION("""COMPUTED_VALUE"""),"1250854")</f>
        <v>1250854</v>
      </c>
      <c r="C2579" s="213">
        <f>IFERROR(__xludf.DUMMYFUNCTION("""COMPUTED_VALUE"""),45986.60743055555)</f>
        <v>45986.60743</v>
      </c>
      <c r="D2579" s="211" t="str">
        <f>IFERROR(__xludf.DUMMYFUNCTION("""COMPUTED_VALUE"""),"b2b5f2c5")</f>
        <v>b2b5f2c5</v>
      </c>
      <c r="E2579" s="211" t="str">
        <f>IFERROR(__xludf.DUMMYFUNCTION("""COMPUTED_VALUE"""),"Bengkel Las Bpk. Ari")</f>
        <v>Bengkel Las Bpk. Ari</v>
      </c>
      <c r="F2579" s="211" t="str">
        <f>IFERROR(__xludf.DUMMYFUNCTION("""COMPUTED_VALUE"""),"ef306e54")</f>
        <v>ef306e54</v>
      </c>
      <c r="G2579" s="211" t="str">
        <f>IFERROR(__xludf.DUMMYFUNCTION("""COMPUTED_VALUE"""),"Karbondioksida")</f>
        <v>Karbondioksida</v>
      </c>
      <c r="H2579" s="211" t="str">
        <f>IFERROR(__xludf.DUMMYFUNCTION("""COMPUTED_VALUE"""),"IN")</f>
        <v>IN</v>
      </c>
      <c r="I2579" s="211" t="str">
        <f>IFERROR(__xludf.DUMMYFUNCTION("""COMPUTED_VALUE"""),"EMPTY")</f>
        <v>EMPTY</v>
      </c>
      <c r="J2579" s="211">
        <f>IFERROR(__xludf.DUMMYFUNCTION("""COMPUTED_VALUE"""),6.0)</f>
        <v>6</v>
      </c>
      <c r="K2579" s="210" t="str">
        <f>IFERROR(__xludf.DUMMYFUNCTION("""COMPUTED_VALUE"""),"13017 13026 13035 13045 13014 13028")</f>
        <v>13017 13026 13035 13045 13014 13028</v>
      </c>
      <c r="L2579" s="211">
        <f>IFERROR(__xludf.DUMMYFUNCTION("""COMPUTED_VALUE"""),0.0)</f>
        <v>0</v>
      </c>
      <c r="M2579" s="211"/>
      <c r="N2579" s="211"/>
      <c r="O2579" s="211"/>
      <c r="Q2579" s="210" t="str">
        <f>IFERROR(__xludf.DUMMYFUNCTION("""COMPUTED_VALUE"""),"1261261")</f>
        <v>1261261</v>
      </c>
      <c r="R2579" s="210" t="str">
        <f>IFERROR(__xludf.DUMMYFUNCTION("""COMPUTED_VALUE"""),"1261261")</f>
        <v>1261261</v>
      </c>
      <c r="S2579" s="211" t="str">
        <f>IFERROR(__xludf.DUMMYFUNCTION("""COMPUTED_VALUE"""),"2814d559")</f>
        <v>2814d559</v>
      </c>
      <c r="T2579" s="211" t="str">
        <f>IFERROR(__xludf.DUMMYFUNCTION("""COMPUTED_VALUE"""),"Bpk. Gunarso")</f>
        <v>Bpk. Gunarso</v>
      </c>
      <c r="U2579" s="215">
        <f>IFERROR(__xludf.DUMMYFUNCTION("""COMPUTED_VALUE"""),46067.70607638889)</f>
        <v>46067.70608</v>
      </c>
      <c r="V2579" s="211" t="str">
        <f>IFERROR(__xludf.DUMMYFUNCTION("""COMPUTED_VALUE"""),"Kraton RT 13 RW 03 Kraton Krian Sidoarjo Jawa Timur")</f>
        <v>Kraton RT 13 RW 03 Kraton Krian Sidoarjo Jawa Timur</v>
      </c>
      <c r="W2579" s="211" t="str">
        <f>IFERROR(__xludf.DUMMYFUNCTION("""COMPUTED_VALUE"""),"IN")</f>
        <v>IN</v>
      </c>
      <c r="X2579" s="211"/>
    </row>
    <row r="2580">
      <c r="A2580" s="210" t="str">
        <f>IFERROR(__xludf.DUMMYFUNCTION("""COMPUTED_VALUE"""),"1125121806")</f>
        <v>1125121806</v>
      </c>
      <c r="B2580" s="210" t="str">
        <f>IFERROR(__xludf.DUMMYFUNCTION("""COMPUTED_VALUE"""),"1125121806")</f>
        <v>1125121806</v>
      </c>
      <c r="C2580" s="213">
        <f>IFERROR(__xludf.DUMMYFUNCTION("""COMPUTED_VALUE"""),45986.645150462966)</f>
        <v>45986.64515</v>
      </c>
      <c r="D2580" s="211" t="str">
        <f>IFERROR(__xludf.DUMMYFUNCTION("""COMPUTED_VALUE"""),"faf71ae5")</f>
        <v>faf71ae5</v>
      </c>
      <c r="E2580" s="211" t="str">
        <f>IFERROR(__xludf.DUMMYFUNCTION("""COMPUTED_VALUE"""),"Bpk. Sampurna")</f>
        <v>Bpk. Sampurna</v>
      </c>
      <c r="F2580" s="211" t="str">
        <f>IFERROR(__xludf.DUMMYFUNCTION("""COMPUTED_VALUE"""),"8bdbe149")</f>
        <v>8bdbe149</v>
      </c>
      <c r="G2580" s="211" t="str">
        <f>IFERROR(__xludf.DUMMYFUNCTION("""COMPUTED_VALUE"""),"Oksigen 6m3")</f>
        <v>Oksigen 6m3</v>
      </c>
      <c r="H2580" s="211" t="str">
        <f>IFERROR(__xludf.DUMMYFUNCTION("""COMPUTED_VALUE"""),"OUT")</f>
        <v>OUT</v>
      </c>
      <c r="I2580" s="211" t="str">
        <f>IFERROR(__xludf.DUMMYFUNCTION("""COMPUTED_VALUE"""),"NORMAL")</f>
        <v>NORMAL</v>
      </c>
      <c r="J2580" s="211">
        <f>IFERROR(__xludf.DUMMYFUNCTION("""COMPUTED_VALUE"""),5.0)</f>
        <v>5</v>
      </c>
      <c r="K2580" s="210" t="str">
        <f>IFERROR(__xludf.DUMMYFUNCTION("""COMPUTED_VALUE"""),"11187 1198 11197 11209 11284")</f>
        <v>11187 1198 11197 11209 11284</v>
      </c>
      <c r="L2580" s="211">
        <f>IFERROR(__xludf.DUMMYFUNCTION("""COMPUTED_VALUE"""),55000.0)</f>
        <v>55000</v>
      </c>
      <c r="M2580" s="211"/>
      <c r="N2580" s="211"/>
      <c r="O2580" s="211"/>
      <c r="Q2580" s="210" t="str">
        <f>IFERROR(__xludf.DUMMYFUNCTION("""COMPUTED_VALUE"""),"022632576")</f>
        <v>022632576</v>
      </c>
      <c r="R2580" s="210" t="str">
        <f>IFERROR(__xludf.DUMMYFUNCTION("""COMPUTED_VALUE"""),"022632576")</f>
        <v>022632576</v>
      </c>
      <c r="S2580" s="211" t="str">
        <f>IFERROR(__xludf.DUMMYFUNCTION("""COMPUTED_VALUE"""),"057b6b99")</f>
        <v>057b6b99</v>
      </c>
      <c r="T2580" s="211" t="str">
        <f>IFERROR(__xludf.DUMMYFUNCTION("""COMPUTED_VALUE"""),"PT Anuta Utama Transport")</f>
        <v>PT Anuta Utama Transport</v>
      </c>
      <c r="U2580" s="215">
        <f>IFERROR(__xludf.DUMMYFUNCTION("""COMPUTED_VALUE"""),46069.36896990741)</f>
        <v>46069.36897</v>
      </c>
      <c r="V2580" s="211" t="str">
        <f>IFERROR(__xludf.DUMMYFUNCTION("""COMPUTED_VALUE"""),"Jl Raya ketimang KM 10, Kec. Wonoayu, Kab. Sidoarjo, Jawa Timur")</f>
        <v>Jl Raya ketimang KM 10, Kec. Wonoayu, Kab. Sidoarjo, Jawa Timur</v>
      </c>
      <c r="W2580" s="211" t="str">
        <f>IFERROR(__xludf.DUMMYFUNCTION("""COMPUTED_VALUE"""),"OUT")</f>
        <v>OUT</v>
      </c>
      <c r="X2580" s="211"/>
    </row>
    <row r="2581">
      <c r="A2581" s="210" t="str">
        <f>IFERROR(__xludf.DUMMYFUNCTION("""COMPUTED_VALUE"""),"1125121806")</f>
        <v>1125121806</v>
      </c>
      <c r="B2581" s="210" t="str">
        <f>IFERROR(__xludf.DUMMYFUNCTION("""COMPUTED_VALUE"""),"1125121806")</f>
        <v>1125121806</v>
      </c>
      <c r="C2581" s="213">
        <f>IFERROR(__xludf.DUMMYFUNCTION("""COMPUTED_VALUE"""),45986.645150462966)</f>
        <v>45986.64515</v>
      </c>
      <c r="D2581" s="211" t="str">
        <f>IFERROR(__xludf.DUMMYFUNCTION("""COMPUTED_VALUE"""),"faf71ae5")</f>
        <v>faf71ae5</v>
      </c>
      <c r="E2581" s="211" t="str">
        <f>IFERROR(__xludf.DUMMYFUNCTION("""COMPUTED_VALUE"""),"Bpk. Sampurna")</f>
        <v>Bpk. Sampurna</v>
      </c>
      <c r="F2581" s="211" t="str">
        <f>IFERROR(__xludf.DUMMYFUNCTION("""COMPUTED_VALUE"""),"be525f3b")</f>
        <v>be525f3b</v>
      </c>
      <c r="G2581" s="211" t="str">
        <f>IFERROR(__xludf.DUMMYFUNCTION("""COMPUTED_VALUE"""),"LPG 12kg")</f>
        <v>LPG 12kg</v>
      </c>
      <c r="H2581" s="211" t="str">
        <f>IFERROR(__xludf.DUMMYFUNCTION("""COMPUTED_VALUE"""),"OUT")</f>
        <v>OUT</v>
      </c>
      <c r="I2581" s="211" t="str">
        <f>IFERROR(__xludf.DUMMYFUNCTION("""COMPUTED_VALUE"""),"NORMAL")</f>
        <v>NORMAL</v>
      </c>
      <c r="J2581" s="211">
        <f>IFERROR(__xludf.DUMMYFUNCTION("""COMPUTED_VALUE"""),1.0)</f>
        <v>1</v>
      </c>
      <c r="K2581" s="210" t="str">
        <f>IFERROR(__xludf.DUMMYFUNCTION("""COMPUTED_VALUE"""),"01")</f>
        <v>01</v>
      </c>
      <c r="L2581" s="211">
        <f>IFERROR(__xludf.DUMMYFUNCTION("""COMPUTED_VALUE"""),210000.0)</f>
        <v>210000</v>
      </c>
      <c r="M2581" s="211"/>
      <c r="N2581" s="211"/>
      <c r="O2581" s="211"/>
      <c r="Q2581" s="210" t="str">
        <f>IFERROR(__xludf.DUMMYFUNCTION("""COMPUTED_VALUE"""),"1261237")</f>
        <v>1261237</v>
      </c>
      <c r="R2581" s="210" t="str">
        <f>IFERROR(__xludf.DUMMYFUNCTION("""COMPUTED_VALUE"""),"1261237")</f>
        <v>1261237</v>
      </c>
      <c r="S2581" s="211" t="str">
        <f>IFERROR(__xludf.DUMMYFUNCTION("""COMPUTED_VALUE"""),"ed4307f6")</f>
        <v>ed4307f6</v>
      </c>
      <c r="T2581" s="211" t="str">
        <f>IFERROR(__xludf.DUMMYFUNCTION("""COMPUTED_VALUE"""),"Bpk. Andi (Jetis)")</f>
        <v>Bpk. Andi (Jetis)</v>
      </c>
      <c r="U2581" s="215">
        <f>IFERROR(__xludf.DUMMYFUNCTION("""COMPUTED_VALUE"""),46069.53575231481)</f>
        <v>46069.53575</v>
      </c>
      <c r="V2581" s="211" t="str">
        <f>IFERROR(__xludf.DUMMYFUNCTION("""COMPUTED_VALUE"""),"HFH9+P7 Pelabuhan Kidul, Jetis, Kec. Jetis, Kabupaten Mojokerto, Jawa Timur, Indonesia")</f>
        <v>HFH9+P7 Pelabuhan Kidul, Jetis, Kec. Jetis, Kabupaten Mojokerto, Jawa Timur, Indonesia</v>
      </c>
      <c r="W2581" s="211" t="str">
        <f>IFERROR(__xludf.DUMMYFUNCTION("""COMPUTED_VALUE"""),"IN")</f>
        <v>IN</v>
      </c>
      <c r="X2581" s="211"/>
    </row>
    <row r="2582">
      <c r="A2582" s="210" t="str">
        <f>IFERROR(__xludf.DUMMYFUNCTION("""COMPUTED_VALUE"""),"1125131825")</f>
        <v>1125131825</v>
      </c>
      <c r="B2582" s="210" t="str">
        <f>IFERROR(__xludf.DUMMYFUNCTION("""COMPUTED_VALUE"""),"1125131825")</f>
        <v>1125131825</v>
      </c>
      <c r="C2582" s="213">
        <f>IFERROR(__xludf.DUMMYFUNCTION("""COMPUTED_VALUE"""),45987.35873842592)</f>
        <v>45987.35874</v>
      </c>
      <c r="D2582" s="211" t="str">
        <f>IFERROR(__xludf.DUMMYFUNCTION("""COMPUTED_VALUE"""),"faf71ae5")</f>
        <v>faf71ae5</v>
      </c>
      <c r="E2582" s="211" t="str">
        <f>IFERROR(__xludf.DUMMYFUNCTION("""COMPUTED_VALUE"""),"Bpk. Sampurna")</f>
        <v>Bpk. Sampurna</v>
      </c>
      <c r="F2582" s="211" t="str">
        <f>IFERROR(__xludf.DUMMYFUNCTION("""COMPUTED_VALUE"""),"8bdbe149")</f>
        <v>8bdbe149</v>
      </c>
      <c r="G2582" s="211" t="str">
        <f>IFERROR(__xludf.DUMMYFUNCTION("""COMPUTED_VALUE"""),"Oksigen 6m3")</f>
        <v>Oksigen 6m3</v>
      </c>
      <c r="H2582" s="211" t="str">
        <f>IFERROR(__xludf.DUMMYFUNCTION("""COMPUTED_VALUE"""),"OUT")</f>
        <v>OUT</v>
      </c>
      <c r="I2582" s="211" t="str">
        <f>IFERROR(__xludf.DUMMYFUNCTION("""COMPUTED_VALUE"""),"NORMAL")</f>
        <v>NORMAL</v>
      </c>
      <c r="J2582" s="211">
        <f>IFERROR(__xludf.DUMMYFUNCTION("""COMPUTED_VALUE"""),5.0)</f>
        <v>5</v>
      </c>
      <c r="K2582" s="210" t="str">
        <f>IFERROR(__xludf.DUMMYFUNCTION("""COMPUTED_VALUE"""),"11267 11287 11229 1164 11235")</f>
        <v>11267 11287 11229 1164 11235</v>
      </c>
      <c r="L2582" s="211">
        <f>IFERROR(__xludf.DUMMYFUNCTION("""COMPUTED_VALUE"""),55000.0)</f>
        <v>55000</v>
      </c>
      <c r="M2582" s="211"/>
      <c r="N2582" s="211"/>
      <c r="O2582" s="211"/>
      <c r="Q2582" s="210" t="str">
        <f>IFERROR(__xludf.DUMMYFUNCTION("""COMPUTED_VALUE"""),"022662581")</f>
        <v>022662581</v>
      </c>
      <c r="R2582" s="210" t="str">
        <f>IFERROR(__xludf.DUMMYFUNCTION("""COMPUTED_VALUE"""),"022662581")</f>
        <v>022662581</v>
      </c>
      <c r="S2582" s="211" t="str">
        <f>IFERROR(__xludf.DUMMYFUNCTION("""COMPUTED_VALUE"""),"ed4307f6")</f>
        <v>ed4307f6</v>
      </c>
      <c r="T2582" s="211" t="str">
        <f>IFERROR(__xludf.DUMMYFUNCTION("""COMPUTED_VALUE"""),"Bpk. Andi (Jetis)")</f>
        <v>Bpk. Andi (Jetis)</v>
      </c>
      <c r="U2582" s="215">
        <f>IFERROR(__xludf.DUMMYFUNCTION("""COMPUTED_VALUE"""),46069.53619212963)</f>
        <v>46069.53619</v>
      </c>
      <c r="V2582" s="211" t="str">
        <f>IFERROR(__xludf.DUMMYFUNCTION("""COMPUTED_VALUE"""),"HFH9+P7 Pelabuhan Kidul, Jetis, Kec. Jetis, Kabupaten Mojokerto, Jawa Timur, Indonesia")</f>
        <v>HFH9+P7 Pelabuhan Kidul, Jetis, Kec. Jetis, Kabupaten Mojokerto, Jawa Timur, Indonesia</v>
      </c>
      <c r="W2582" s="211" t="str">
        <f>IFERROR(__xludf.DUMMYFUNCTION("""COMPUTED_VALUE"""),"OUT")</f>
        <v>OUT</v>
      </c>
      <c r="X2582" s="211"/>
    </row>
    <row r="2583">
      <c r="A2583" s="210" t="str">
        <f>IFERROR(__xludf.DUMMYFUNCTION("""COMPUTED_VALUE"""),"1125131825")</f>
        <v>1125131825</v>
      </c>
      <c r="B2583" s="210" t="str">
        <f>IFERROR(__xludf.DUMMYFUNCTION("""COMPUTED_VALUE"""),"1125131825")</f>
        <v>1125131825</v>
      </c>
      <c r="C2583" s="213">
        <f>IFERROR(__xludf.DUMMYFUNCTION("""COMPUTED_VALUE"""),45987.35873842592)</f>
        <v>45987.35874</v>
      </c>
      <c r="D2583" s="211" t="str">
        <f>IFERROR(__xludf.DUMMYFUNCTION("""COMPUTED_VALUE"""),"faf71ae5")</f>
        <v>faf71ae5</v>
      </c>
      <c r="E2583" s="211" t="str">
        <f>IFERROR(__xludf.DUMMYFUNCTION("""COMPUTED_VALUE"""),"Bpk. Sampurna")</f>
        <v>Bpk. Sampurna</v>
      </c>
      <c r="F2583" s="211" t="str">
        <f>IFERROR(__xludf.DUMMYFUNCTION("""COMPUTED_VALUE"""),"f13ba52f")</f>
        <v>f13ba52f</v>
      </c>
      <c r="G2583" s="211" t="str">
        <f>IFERROR(__xludf.DUMMYFUNCTION("""COMPUTED_VALUE"""),"Ongkos Kirim (Non PPN)")</f>
        <v>Ongkos Kirim (Non PPN)</v>
      </c>
      <c r="H2583" s="211" t="str">
        <f>IFERROR(__xludf.DUMMYFUNCTION("""COMPUTED_VALUE"""),"OUT")</f>
        <v>OUT</v>
      </c>
      <c r="I2583" s="211" t="str">
        <f>IFERROR(__xludf.DUMMYFUNCTION("""COMPUTED_VALUE"""),"NORMAL")</f>
        <v>NORMAL</v>
      </c>
      <c r="J2583" s="211">
        <f>IFERROR(__xludf.DUMMYFUNCTION("""COMPUTED_VALUE"""),1.0)</f>
        <v>1</v>
      </c>
      <c r="K2583" s="210" t="str">
        <f>IFERROR(__xludf.DUMMYFUNCTION("""COMPUTED_VALUE"""),"01")</f>
        <v>01</v>
      </c>
      <c r="L2583" s="211">
        <f>IFERROR(__xludf.DUMMYFUNCTION("""COMPUTED_VALUE"""),50000.0)</f>
        <v>50000</v>
      </c>
      <c r="M2583" s="211"/>
      <c r="N2583" s="211"/>
      <c r="O2583" s="211"/>
      <c r="Q2583" s="210" t="str">
        <f>IFERROR(__xludf.DUMMYFUNCTION("""COMPUTED_VALUE"""),"1261277")</f>
        <v>1261277</v>
      </c>
      <c r="R2583" s="210" t="str">
        <f>IFERROR(__xludf.DUMMYFUNCTION("""COMPUTED_VALUE"""),"1261277")</f>
        <v>1261277</v>
      </c>
      <c r="S2583" s="211" t="str">
        <f>IFERROR(__xludf.DUMMYFUNCTION("""COMPUTED_VALUE"""),"a0f0ad2d")</f>
        <v>a0f0ad2d</v>
      </c>
      <c r="T2583" s="211" t="str">
        <f>IFERROR(__xludf.DUMMYFUNCTION("""COMPUTED_VALUE"""),"CV. Yulie Jaya")</f>
        <v>CV. Yulie Jaya</v>
      </c>
      <c r="U2583" s="215">
        <f>IFERROR(__xludf.DUMMYFUNCTION("""COMPUTED_VALUE"""),46069.5390162037)</f>
        <v>46069.53902</v>
      </c>
      <c r="V2583" s="211" t="str">
        <f>IFERROR(__xludf.DUMMYFUNCTION("""COMPUTED_VALUE"""),"JJH4+6RV, Badas, Barengkrajan, Kec. Krian, Kabupaten Sidoarjo, Jawa Timur 61262")</f>
        <v>JJH4+6RV, Badas, Barengkrajan, Kec. Krian, Kabupaten Sidoarjo, Jawa Timur 61262</v>
      </c>
      <c r="W2583" s="211" t="str">
        <f>IFERROR(__xludf.DUMMYFUNCTION("""COMPUTED_VALUE"""),"IN")</f>
        <v>IN</v>
      </c>
      <c r="X2583" s="211"/>
    </row>
    <row r="2584">
      <c r="A2584" s="210" t="str">
        <f>IFERROR(__xludf.DUMMYFUNCTION("""COMPUTED_VALUE"""),"1125321826")</f>
        <v>1125321826</v>
      </c>
      <c r="B2584" s="210" t="str">
        <f>IFERROR(__xludf.DUMMYFUNCTION("""COMPUTED_VALUE"""),"1125321826")</f>
        <v>1125321826</v>
      </c>
      <c r="C2584" s="213">
        <f>IFERROR(__xludf.DUMMYFUNCTION("""COMPUTED_VALUE"""),45987.36027777778)</f>
        <v>45987.36028</v>
      </c>
      <c r="D2584" s="211" t="str">
        <f>IFERROR(__xludf.DUMMYFUNCTION("""COMPUTED_VALUE"""),"ce83e171")</f>
        <v>ce83e171</v>
      </c>
      <c r="E2584" s="211" t="str">
        <f>IFERROR(__xludf.DUMMYFUNCTION("""COMPUTED_VALUE"""),"Bpk. Sulaiman")</f>
        <v>Bpk. Sulaiman</v>
      </c>
      <c r="F2584" s="211" t="str">
        <f>IFERROR(__xludf.DUMMYFUNCTION("""COMPUTED_VALUE"""),"be525f3b")</f>
        <v>be525f3b</v>
      </c>
      <c r="G2584" s="211" t="str">
        <f>IFERROR(__xludf.DUMMYFUNCTION("""COMPUTED_VALUE"""),"LPG 12kg")</f>
        <v>LPG 12kg</v>
      </c>
      <c r="H2584" s="211" t="str">
        <f>IFERROR(__xludf.DUMMYFUNCTION("""COMPUTED_VALUE"""),"OUT")</f>
        <v>OUT</v>
      </c>
      <c r="I2584" s="211" t="str">
        <f>IFERROR(__xludf.DUMMYFUNCTION("""COMPUTED_VALUE"""),"NORMAL")</f>
        <v>NORMAL</v>
      </c>
      <c r="J2584" s="211">
        <f>IFERROR(__xludf.DUMMYFUNCTION("""COMPUTED_VALUE"""),1.0)</f>
        <v>1</v>
      </c>
      <c r="K2584" s="210" t="str">
        <f>IFERROR(__xludf.DUMMYFUNCTION("""COMPUTED_VALUE"""),"01")</f>
        <v>01</v>
      </c>
      <c r="L2584" s="211">
        <f>IFERROR(__xludf.DUMMYFUNCTION("""COMPUTED_VALUE"""),210000.0)</f>
        <v>210000</v>
      </c>
      <c r="M2584" s="211"/>
      <c r="N2584" s="211"/>
      <c r="O2584" s="211"/>
      <c r="Q2584" s="210" t="str">
        <f>IFERROR(__xludf.DUMMYFUNCTION("""COMPUTED_VALUE"""),"1261275")</f>
        <v>1261275</v>
      </c>
      <c r="R2584" s="210" t="str">
        <f>IFERROR(__xludf.DUMMYFUNCTION("""COMPUTED_VALUE"""),"1261275")</f>
        <v>1261275</v>
      </c>
      <c r="S2584" s="211" t="str">
        <f>IFERROR(__xludf.DUMMYFUNCTION("""COMPUTED_VALUE"""),"057b6b99")</f>
        <v>057b6b99</v>
      </c>
      <c r="T2584" s="211" t="str">
        <f>IFERROR(__xludf.DUMMYFUNCTION("""COMPUTED_VALUE"""),"PT Anuta Utama Transport")</f>
        <v>PT Anuta Utama Transport</v>
      </c>
      <c r="U2584" s="215">
        <f>IFERROR(__xludf.DUMMYFUNCTION("""COMPUTED_VALUE"""),46069.541608796295)</f>
        <v>46069.54161</v>
      </c>
      <c r="V2584" s="211" t="str">
        <f>IFERROR(__xludf.DUMMYFUNCTION("""COMPUTED_VALUE"""),"Jl Raya ketimang KM 10, Kec. Wonoayu, Kab. Sidoarjo, Jawa Timur")</f>
        <v>Jl Raya ketimang KM 10, Kec. Wonoayu, Kab. Sidoarjo, Jawa Timur</v>
      </c>
      <c r="W2584" s="211" t="str">
        <f>IFERROR(__xludf.DUMMYFUNCTION("""COMPUTED_VALUE"""),"IN")</f>
        <v>IN</v>
      </c>
      <c r="X2584" s="211"/>
    </row>
    <row r="2585">
      <c r="A2585" s="210" t="str">
        <f>IFERROR(__xludf.DUMMYFUNCTION("""COMPUTED_VALUE"""),"112541827")</f>
        <v>112541827</v>
      </c>
      <c r="B2585" s="210" t="str">
        <f>IFERROR(__xludf.DUMMYFUNCTION("""COMPUTED_VALUE"""),"112541827")</f>
        <v>112541827</v>
      </c>
      <c r="C2585" s="213">
        <f>IFERROR(__xludf.DUMMYFUNCTION("""COMPUTED_VALUE"""),45987.363912037035)</f>
        <v>45987.36391</v>
      </c>
      <c r="D2585" s="211" t="str">
        <f>IFERROR(__xludf.DUMMYFUNCTION("""COMPUTED_VALUE"""),"63fc688a")</f>
        <v>63fc688a</v>
      </c>
      <c r="E2585" s="211" t="str">
        <f>IFERROR(__xludf.DUMMYFUNCTION("""COMPUTED_VALUE"""),"CV Malik Nusantara")</f>
        <v>CV Malik Nusantara</v>
      </c>
      <c r="F2585" s="211" t="str">
        <f>IFERROR(__xludf.DUMMYFUNCTION("""COMPUTED_VALUE"""),"8bdbe149")</f>
        <v>8bdbe149</v>
      </c>
      <c r="G2585" s="211" t="str">
        <f>IFERROR(__xludf.DUMMYFUNCTION("""COMPUTED_VALUE"""),"Oksigen 6m3")</f>
        <v>Oksigen 6m3</v>
      </c>
      <c r="H2585" s="211" t="str">
        <f>IFERROR(__xludf.DUMMYFUNCTION("""COMPUTED_VALUE"""),"OUT")</f>
        <v>OUT</v>
      </c>
      <c r="I2585" s="211" t="str">
        <f>IFERROR(__xludf.DUMMYFUNCTION("""COMPUTED_VALUE"""),"NORMAL")</f>
        <v>NORMAL</v>
      </c>
      <c r="J2585" s="211">
        <f>IFERROR(__xludf.DUMMYFUNCTION("""COMPUTED_VALUE"""),8.0)</f>
        <v>8</v>
      </c>
      <c r="K2585" s="210" t="str">
        <f>IFERROR(__xludf.DUMMYFUNCTION("""COMPUTED_VALUE"""),"11104 11125 1184 11274 1181 11100 1186 11123")</f>
        <v>11104 11125 1184 11274 1181 11100 1186 11123</v>
      </c>
      <c r="L2585" s="211">
        <f>IFERROR(__xludf.DUMMYFUNCTION("""COMPUTED_VALUE"""),65000.0)</f>
        <v>65000</v>
      </c>
      <c r="M2585" s="211"/>
      <c r="N2585" s="211"/>
      <c r="O2585" s="211"/>
      <c r="Q2585" s="210" t="str">
        <f>IFERROR(__xludf.DUMMYFUNCTION("""COMPUTED_VALUE"""),"0226852583")</f>
        <v>0226852583</v>
      </c>
      <c r="R2585" s="210" t="str">
        <f>IFERROR(__xludf.DUMMYFUNCTION("""COMPUTED_VALUE"""),"0226852583")</f>
        <v>0226852583</v>
      </c>
      <c r="S2585" s="211" t="str">
        <f>IFERROR(__xludf.DUMMYFUNCTION("""COMPUTED_VALUE"""),"b2b5f2c5")</f>
        <v>b2b5f2c5</v>
      </c>
      <c r="T2585" s="211" t="str">
        <f>IFERROR(__xludf.DUMMYFUNCTION("""COMPUTED_VALUE"""),"Bengkel Las Bpk. Ari")</f>
        <v>Bengkel Las Bpk. Ari</v>
      </c>
      <c r="U2585" s="215">
        <f>IFERROR(__xludf.DUMMYFUNCTION("""COMPUTED_VALUE"""),46069.54677083333)</f>
        <v>46069.54677</v>
      </c>
      <c r="V2585" s="211" t="str">
        <f>IFERROR(__xludf.DUMMYFUNCTION("""COMPUTED_VALUE"""),"Sumber Kembar, Wonodadi, Kec. Kutorejo, Kabupaten Mojokerto, Jawa Timur")</f>
        <v>Sumber Kembar, Wonodadi, Kec. Kutorejo, Kabupaten Mojokerto, Jawa Timur</v>
      </c>
      <c r="W2585" s="211" t="str">
        <f>IFERROR(__xludf.DUMMYFUNCTION("""COMPUTED_VALUE"""),"OUT")</f>
        <v>OUT</v>
      </c>
      <c r="X2585" s="211"/>
    </row>
    <row r="2586">
      <c r="A2586" s="210" t="str">
        <f>IFERROR(__xludf.DUMMYFUNCTION("""COMPUTED_VALUE"""),"1250855")</f>
        <v>1250855</v>
      </c>
      <c r="B2586" s="210" t="str">
        <f>IFERROR(__xludf.DUMMYFUNCTION("""COMPUTED_VALUE"""),"1250855")</f>
        <v>1250855</v>
      </c>
      <c r="C2586" s="213">
        <f>IFERROR(__xludf.DUMMYFUNCTION("""COMPUTED_VALUE"""),45987.369155092594)</f>
        <v>45987.36916</v>
      </c>
      <c r="D2586" s="211" t="str">
        <f>IFERROR(__xludf.DUMMYFUNCTION("""COMPUTED_VALUE"""),"f8a982a4")</f>
        <v>f8a982a4</v>
      </c>
      <c r="E2586" s="211" t="str">
        <f>IFERROR(__xludf.DUMMYFUNCTION("""COMPUTED_VALUE"""),"Bpk. Nasir")</f>
        <v>Bpk. Nasir</v>
      </c>
      <c r="F2586" s="211" t="str">
        <f>IFERROR(__xludf.DUMMYFUNCTION("""COMPUTED_VALUE"""),"8bdbe149")</f>
        <v>8bdbe149</v>
      </c>
      <c r="G2586" s="211" t="str">
        <f>IFERROR(__xludf.DUMMYFUNCTION("""COMPUTED_VALUE"""),"Oksigen 6m3")</f>
        <v>Oksigen 6m3</v>
      </c>
      <c r="H2586" s="211" t="str">
        <f>IFERROR(__xludf.DUMMYFUNCTION("""COMPUTED_VALUE"""),"IN")</f>
        <v>IN</v>
      </c>
      <c r="I2586" s="211" t="str">
        <f>IFERROR(__xludf.DUMMYFUNCTION("""COMPUTED_VALUE"""),"EMPTY")</f>
        <v>EMPTY</v>
      </c>
      <c r="J2586" s="211">
        <f>IFERROR(__xludf.DUMMYFUNCTION("""COMPUTED_VALUE"""),1.0)</f>
        <v>1</v>
      </c>
      <c r="K2586" s="210" t="str">
        <f>IFERROR(__xludf.DUMMYFUNCTION("""COMPUTED_VALUE"""),"11290")</f>
        <v>11290</v>
      </c>
      <c r="L2586" s="211">
        <f>IFERROR(__xludf.DUMMYFUNCTION("""COMPUTED_VALUE"""),0.0)</f>
        <v>0</v>
      </c>
      <c r="M2586" s="211"/>
      <c r="N2586" s="211"/>
      <c r="O2586" s="211"/>
      <c r="Q2586" s="210" t="str">
        <f>IFERROR(__xludf.DUMMYFUNCTION("""COMPUTED_VALUE"""),"1261278")</f>
        <v>1261278</v>
      </c>
      <c r="R2586" s="210" t="str">
        <f>IFERROR(__xludf.DUMMYFUNCTION("""COMPUTED_VALUE"""),"1261278")</f>
        <v>1261278</v>
      </c>
      <c r="S2586" s="211" t="str">
        <f>IFERROR(__xludf.DUMMYFUNCTION("""COMPUTED_VALUE"""),"b2b5f2c5")</f>
        <v>b2b5f2c5</v>
      </c>
      <c r="T2586" s="211" t="str">
        <f>IFERROR(__xludf.DUMMYFUNCTION("""COMPUTED_VALUE"""),"Bengkel Las Bpk. Ari")</f>
        <v>Bengkel Las Bpk. Ari</v>
      </c>
      <c r="U2586" s="215">
        <f>IFERROR(__xludf.DUMMYFUNCTION("""COMPUTED_VALUE"""),46069.671944444446)</f>
        <v>46069.67194</v>
      </c>
      <c r="V2586" s="211" t="str">
        <f>IFERROR(__xludf.DUMMYFUNCTION("""COMPUTED_VALUE"""),"Sumber Kembar, Wonodadi, Kec. Kutorejo, Kabupaten Mojokerto, Jawa Timur")</f>
        <v>Sumber Kembar, Wonodadi, Kec. Kutorejo, Kabupaten Mojokerto, Jawa Timur</v>
      </c>
      <c r="W2586" s="211" t="str">
        <f>IFERROR(__xludf.DUMMYFUNCTION("""COMPUTED_VALUE"""),"IN")</f>
        <v>IN</v>
      </c>
      <c r="X2586" s="211"/>
    </row>
    <row r="2587">
      <c r="A2587" s="210" t="str">
        <f>IFERROR(__xludf.DUMMYFUNCTION("""COMPUTED_VALUE"""),"1250864")</f>
        <v>1250864</v>
      </c>
      <c r="B2587" s="210" t="str">
        <f>IFERROR(__xludf.DUMMYFUNCTION("""COMPUTED_VALUE"""),"1250864")</f>
        <v>1250864</v>
      </c>
      <c r="C2587" s="213">
        <f>IFERROR(__xludf.DUMMYFUNCTION("""COMPUTED_VALUE"""),45987.44532407408)</f>
        <v>45987.44532</v>
      </c>
      <c r="D2587" s="211" t="str">
        <f>IFERROR(__xludf.DUMMYFUNCTION("""COMPUTED_VALUE"""),"63fc688a")</f>
        <v>63fc688a</v>
      </c>
      <c r="E2587" s="211" t="str">
        <f>IFERROR(__xludf.DUMMYFUNCTION("""COMPUTED_VALUE"""),"CV Malik Nusantara")</f>
        <v>CV Malik Nusantara</v>
      </c>
      <c r="F2587" s="211"/>
      <c r="G2587" s="211"/>
      <c r="H2587" s="211" t="str">
        <f>IFERROR(__xludf.DUMMYFUNCTION("""COMPUTED_VALUE"""),"IN")</f>
        <v>IN</v>
      </c>
      <c r="I2587" s="211" t="str">
        <f>IFERROR(__xludf.DUMMYFUNCTION("""COMPUTED_VALUE"""),"EMPTY")</f>
        <v>EMPTY</v>
      </c>
      <c r="J2587" s="211">
        <f>IFERROR(__xludf.DUMMYFUNCTION("""COMPUTED_VALUE"""),0.0)</f>
        <v>0</v>
      </c>
      <c r="K2587" s="211"/>
      <c r="L2587" s="211">
        <f>IFERROR(__xludf.DUMMYFUNCTION("""COMPUTED_VALUE"""),0.0)</f>
        <v>0</v>
      </c>
      <c r="M2587" s="211"/>
      <c r="N2587" s="211"/>
      <c r="O2587" s="211"/>
      <c r="Q2587" s="210" t="str">
        <f>IFERROR(__xludf.DUMMYFUNCTION("""COMPUTED_VALUE"""),"022612586")</f>
        <v>022612586</v>
      </c>
      <c r="R2587" s="210" t="str">
        <f>IFERROR(__xludf.DUMMYFUNCTION("""COMPUTED_VALUE"""),"022612586")</f>
        <v>022612586</v>
      </c>
      <c r="S2587" s="211" t="str">
        <f>IFERROR(__xludf.DUMMYFUNCTION("""COMPUTED_VALUE"""),"f7243d00")</f>
        <v>f7243d00</v>
      </c>
      <c r="T2587" s="211" t="str">
        <f>IFERROR(__xludf.DUMMYFUNCTION("""COMPUTED_VALUE"""),"Bpk. Beni (Dlanggu)")</f>
        <v>Bpk. Beni (Dlanggu)</v>
      </c>
      <c r="U2587" s="215">
        <f>IFERROR(__xludf.DUMMYFUNCTION("""COMPUTED_VALUE"""),46071.378275462965)</f>
        <v>46071.37828</v>
      </c>
      <c r="V2587" s="211" t="str">
        <f>IFERROR(__xludf.DUMMYFUNCTION("""COMPUTED_VALUE"""),"FFCG+F42, Dusun Tarukan, Tumapel, Kec. Dlanggu, Kabupaten Mojokerto, Jawa Timur")</f>
        <v>FFCG+F42, Dusun Tarukan, Tumapel, Kec. Dlanggu, Kabupaten Mojokerto, Jawa Timur</v>
      </c>
      <c r="W2587" s="211" t="str">
        <f>IFERROR(__xludf.DUMMYFUNCTION("""COMPUTED_VALUE"""),"OUT")</f>
        <v>OUT</v>
      </c>
      <c r="X2587" s="211"/>
    </row>
    <row r="2588">
      <c r="A2588" s="210" t="str">
        <f>IFERROR(__xludf.DUMMYFUNCTION("""COMPUTED_VALUE"""),"1250864")</f>
        <v>1250864</v>
      </c>
      <c r="B2588" s="210" t="str">
        <f>IFERROR(__xludf.DUMMYFUNCTION("""COMPUTED_VALUE"""),"1250864")</f>
        <v>1250864</v>
      </c>
      <c r="C2588" s="213">
        <f>IFERROR(__xludf.DUMMYFUNCTION("""COMPUTED_VALUE"""),45987.44532407408)</f>
        <v>45987.44532</v>
      </c>
      <c r="D2588" s="211" t="str">
        <f>IFERROR(__xludf.DUMMYFUNCTION("""COMPUTED_VALUE"""),"63fc688a")</f>
        <v>63fc688a</v>
      </c>
      <c r="E2588" s="211" t="str">
        <f>IFERROR(__xludf.DUMMYFUNCTION("""COMPUTED_VALUE"""),"CV Malik Nusantara")</f>
        <v>CV Malik Nusantara</v>
      </c>
      <c r="F2588" s="211" t="str">
        <f>IFERROR(__xludf.DUMMYFUNCTION("""COMPUTED_VALUE"""),"8bdbe149")</f>
        <v>8bdbe149</v>
      </c>
      <c r="G2588" s="211" t="str">
        <f>IFERROR(__xludf.DUMMYFUNCTION("""COMPUTED_VALUE"""),"Oksigen 6m3")</f>
        <v>Oksigen 6m3</v>
      </c>
      <c r="H2588" s="211" t="str">
        <f>IFERROR(__xludf.DUMMYFUNCTION("""COMPUTED_VALUE"""),"IN")</f>
        <v>IN</v>
      </c>
      <c r="I2588" s="211" t="str">
        <f>IFERROR(__xludf.DUMMYFUNCTION("""COMPUTED_VALUE"""),"EMPTY")</f>
        <v>EMPTY</v>
      </c>
      <c r="J2588" s="211">
        <f>IFERROR(__xludf.DUMMYFUNCTION("""COMPUTED_VALUE"""),2.0)</f>
        <v>2</v>
      </c>
      <c r="K2588" s="210" t="str">
        <f>IFERROR(__xludf.DUMMYFUNCTION("""COMPUTED_VALUE"""),"11195 1146")</f>
        <v>11195 1146</v>
      </c>
      <c r="L2588" s="211">
        <f>IFERROR(__xludf.DUMMYFUNCTION("""COMPUTED_VALUE"""),0.0)</f>
        <v>0</v>
      </c>
      <c r="M2588" s="211"/>
      <c r="N2588" s="211"/>
      <c r="O2588" s="211"/>
      <c r="Q2588" s="210" t="str">
        <f>IFERROR(__xludf.DUMMYFUNCTION("""COMPUTED_VALUE"""),"022612588")</f>
        <v>022612588</v>
      </c>
      <c r="R2588" s="210" t="str">
        <f>IFERROR(__xludf.DUMMYFUNCTION("""COMPUTED_VALUE"""),"022612588")</f>
        <v>022612588</v>
      </c>
      <c r="S2588" s="211" t="str">
        <f>IFERROR(__xludf.DUMMYFUNCTION("""COMPUTED_VALUE"""),"d9b2fac5")</f>
        <v>d9b2fac5</v>
      </c>
      <c r="T2588" s="211" t="str">
        <f>IFERROR(__xludf.DUMMYFUNCTION("""COMPUTED_VALUE"""),"Dwi Riza ( Ponokawan)")</f>
        <v>Dwi Riza ( Ponokawan)</v>
      </c>
      <c r="U2588" s="215">
        <f>IFERROR(__xludf.DUMMYFUNCTION("""COMPUTED_VALUE"""),46071.410844907405)</f>
        <v>46071.41084</v>
      </c>
      <c r="V2588" s="211" t="str">
        <f>IFERROR(__xludf.DUMMYFUNCTION("""COMPUTED_VALUE"""),"Jl. Raya Ponokawan No.28 RT 07 RW 03 Kec. Krian Sidoarjo (Seberang Bengkel An.Nur/ Deretan Baraka Expres)")</f>
        <v>Jl. Raya Ponokawan No.28 RT 07 RW 03 Kec. Krian Sidoarjo (Seberang Bengkel An.Nur/ Deretan Baraka Expres)</v>
      </c>
      <c r="W2588" s="211" t="str">
        <f>IFERROR(__xludf.DUMMYFUNCTION("""COMPUTED_VALUE"""),"OUT")</f>
        <v>OUT</v>
      </c>
      <c r="X2588" s="211"/>
    </row>
    <row r="2589">
      <c r="A2589" s="211"/>
      <c r="B2589" s="211"/>
      <c r="C2589" s="211"/>
      <c r="D2589" s="211"/>
      <c r="E2589" s="211"/>
      <c r="F2589" s="211"/>
      <c r="G2589" s="211"/>
      <c r="H2589" s="211"/>
      <c r="I2589" s="211"/>
      <c r="J2589" s="211"/>
      <c r="K2589" s="211"/>
      <c r="L2589" s="211"/>
      <c r="M2589" s="211"/>
      <c r="N2589" s="211"/>
      <c r="O2589" s="211"/>
      <c r="Q2589" s="210" t="str">
        <f>IFERROR(__xludf.DUMMYFUNCTION("""COMPUTED_VALUE"""),"022662589")</f>
        <v>022662589</v>
      </c>
      <c r="R2589" s="210" t="str">
        <f>IFERROR(__xludf.DUMMYFUNCTION("""COMPUTED_VALUE"""),"022662589")</f>
        <v>022662589</v>
      </c>
      <c r="S2589" s="211" t="str">
        <f>IFERROR(__xludf.DUMMYFUNCTION("""COMPUTED_VALUE"""),"9e5d8274")</f>
        <v>9e5d8274</v>
      </c>
      <c r="T2589" s="211" t="str">
        <f>IFERROR(__xludf.DUMMYFUNCTION("""COMPUTED_VALUE"""),"Bpk. Erry ( Lik Trosobo )")</f>
        <v>Bpk. Erry ( Lik Trosobo )</v>
      </c>
      <c r="U2589" s="215">
        <f>IFERROR(__xludf.DUMMYFUNCTION("""COMPUTED_VALUE"""),46071.48837962963)</f>
        <v>46071.48838</v>
      </c>
      <c r="V2589" s="211" t="str">
        <f>IFERROR(__xludf.DUMMYFUNCTION("""COMPUTED_VALUE"""),"Trosobo Taman")</f>
        <v>Trosobo Taman</v>
      </c>
      <c r="W2589" s="211" t="str">
        <f>IFERROR(__xludf.DUMMYFUNCTION("""COMPUTED_VALUE"""),"OUT")</f>
        <v>OUT</v>
      </c>
      <c r="X2589" s="211"/>
    </row>
    <row r="2590">
      <c r="A2590" s="210" t="str">
        <f>IFERROR(__xludf.DUMMYFUNCTION("""COMPUTED_VALUE"""),"1250865")</f>
        <v>1250865</v>
      </c>
      <c r="B2590" s="210" t="str">
        <f>IFERROR(__xludf.DUMMYFUNCTION("""COMPUTED_VALUE"""),"1250865")</f>
        <v>1250865</v>
      </c>
      <c r="C2590" s="213">
        <f>IFERROR(__xludf.DUMMYFUNCTION("""COMPUTED_VALUE"""),45987.446226851855)</f>
        <v>45987.44623</v>
      </c>
      <c r="D2590" s="211" t="str">
        <f>IFERROR(__xludf.DUMMYFUNCTION("""COMPUTED_VALUE"""),"a0f0ad2d")</f>
        <v>a0f0ad2d</v>
      </c>
      <c r="E2590" s="211" t="str">
        <f>IFERROR(__xludf.DUMMYFUNCTION("""COMPUTED_VALUE"""),"CV. Yulie Jaya")</f>
        <v>CV. Yulie Jaya</v>
      </c>
      <c r="F2590" s="211" t="str">
        <f>IFERROR(__xludf.DUMMYFUNCTION("""COMPUTED_VALUE"""),"7d2764f1")</f>
        <v>7d2764f1</v>
      </c>
      <c r="G2590" s="211" t="str">
        <f>IFERROR(__xludf.DUMMYFUNCTION("""COMPUTED_VALUE"""),"Oksigen 7m3")</f>
        <v>Oksigen 7m3</v>
      </c>
      <c r="H2590" s="211" t="str">
        <f>IFERROR(__xludf.DUMMYFUNCTION("""COMPUTED_VALUE"""),"IN")</f>
        <v>IN</v>
      </c>
      <c r="I2590" s="211" t="str">
        <f>IFERROR(__xludf.DUMMYFUNCTION("""COMPUTED_VALUE"""),"EMPTY")</f>
        <v>EMPTY</v>
      </c>
      <c r="J2590" s="211">
        <f>IFERROR(__xludf.DUMMYFUNCTION("""COMPUTED_VALUE"""),6.0)</f>
        <v>6</v>
      </c>
      <c r="K2590" s="210" t="str">
        <f>IFERROR(__xludf.DUMMYFUNCTION("""COMPUTED_VALUE"""),"11154 11141 11151 11219 11214 11158")</f>
        <v>11154 11141 11151 11219 11214 11158</v>
      </c>
      <c r="L2590" s="211">
        <f>IFERROR(__xludf.DUMMYFUNCTION("""COMPUTED_VALUE"""),0.0)</f>
        <v>0</v>
      </c>
      <c r="M2590" s="211"/>
      <c r="N2590" s="211"/>
      <c r="O2590" s="211"/>
      <c r="Q2590" s="210" t="str">
        <f>IFERROR(__xludf.DUMMYFUNCTION("""COMPUTED_VALUE"""),"022662590")</f>
        <v>022662590</v>
      </c>
      <c r="R2590" s="210" t="str">
        <f>IFERROR(__xludf.DUMMYFUNCTION("""COMPUTED_VALUE"""),"022662590")</f>
        <v>022662590</v>
      </c>
      <c r="S2590" s="211" t="str">
        <f>IFERROR(__xludf.DUMMYFUNCTION("""COMPUTED_VALUE"""),"cac4449f")</f>
        <v>cac4449f</v>
      </c>
      <c r="T2590" s="211" t="str">
        <f>IFERROR(__xludf.DUMMYFUNCTION("""COMPUTED_VALUE"""),"Bpk. Agus Yahya")</f>
        <v>Bpk. Agus Yahya</v>
      </c>
      <c r="U2590" s="215">
        <f>IFERROR(__xludf.DUMMYFUNCTION("""COMPUTED_VALUE"""),46071.4975)</f>
        <v>46071.4975</v>
      </c>
      <c r="V2590" s="211" t="str">
        <f>IFERROR(__xludf.DUMMYFUNCTION("""COMPUTED_VALUE"""),"Ds. Kendalsari 03/02 Sumobito Jombang Jawa Timur")</f>
        <v>Ds. Kendalsari 03/02 Sumobito Jombang Jawa Timur</v>
      </c>
      <c r="W2590" s="211" t="str">
        <f>IFERROR(__xludf.DUMMYFUNCTION("""COMPUTED_VALUE"""),"OUT")</f>
        <v>OUT</v>
      </c>
      <c r="X2590" s="211"/>
    </row>
    <row r="2591">
      <c r="A2591" s="210" t="str">
        <f>IFERROR(__xludf.DUMMYFUNCTION("""COMPUTED_VALUE"""),"112541828")</f>
        <v>112541828</v>
      </c>
      <c r="B2591" s="210" t="str">
        <f>IFERROR(__xludf.DUMMYFUNCTION("""COMPUTED_VALUE"""),"112541828")</f>
        <v>112541828</v>
      </c>
      <c r="C2591" s="213">
        <f>IFERROR(__xludf.DUMMYFUNCTION("""COMPUTED_VALUE"""),45987.46604166667)</f>
        <v>45987.46604</v>
      </c>
      <c r="D2591" s="211" t="str">
        <f>IFERROR(__xludf.DUMMYFUNCTION("""COMPUTED_VALUE"""),"734c6d17")</f>
        <v>734c6d17</v>
      </c>
      <c r="E2591" s="211" t="str">
        <f>IFERROR(__xludf.DUMMYFUNCTION("""COMPUTED_VALUE"""),"Bapak Ainol Yaqin ( Bpk. Ibnu )")</f>
        <v>Bapak Ainol Yaqin ( Bpk. Ibnu )</v>
      </c>
      <c r="F2591" s="211" t="str">
        <f>IFERROR(__xludf.DUMMYFUNCTION("""COMPUTED_VALUE"""),"7d2764f1")</f>
        <v>7d2764f1</v>
      </c>
      <c r="G2591" s="211" t="str">
        <f>IFERROR(__xludf.DUMMYFUNCTION("""COMPUTED_VALUE"""),"Oksigen 7m3")</f>
        <v>Oksigen 7m3</v>
      </c>
      <c r="H2591" s="211" t="str">
        <f>IFERROR(__xludf.DUMMYFUNCTION("""COMPUTED_VALUE"""),"OUT")</f>
        <v>OUT</v>
      </c>
      <c r="I2591" s="211" t="str">
        <f>IFERROR(__xludf.DUMMYFUNCTION("""COMPUTED_VALUE"""),"NORMAL")</f>
        <v>NORMAL</v>
      </c>
      <c r="J2591" s="211">
        <f>IFERROR(__xludf.DUMMYFUNCTION("""COMPUTED_VALUE"""),1.0)</f>
        <v>1</v>
      </c>
      <c r="K2591" s="210" t="str">
        <f>IFERROR(__xludf.DUMMYFUNCTION("""COMPUTED_VALUE"""),"11142")</f>
        <v>11142</v>
      </c>
      <c r="L2591" s="211">
        <f>IFERROR(__xludf.DUMMYFUNCTION("""COMPUTED_VALUE"""),60000.0)</f>
        <v>60000</v>
      </c>
      <c r="M2591" s="211"/>
      <c r="N2591" s="211"/>
      <c r="O2591" s="211"/>
      <c r="Q2591" s="210" t="str">
        <f>IFERROR(__xludf.DUMMYFUNCTION("""COMPUTED_VALUE"""),"1261238")</f>
        <v>1261238</v>
      </c>
      <c r="R2591" s="210" t="str">
        <f>IFERROR(__xludf.DUMMYFUNCTION("""COMPUTED_VALUE"""),"1261238")</f>
        <v>1261238</v>
      </c>
      <c r="S2591" s="211" t="str">
        <f>IFERROR(__xludf.DUMMYFUNCTION("""COMPUTED_VALUE"""),"01158be1")</f>
        <v>01158be1</v>
      </c>
      <c r="T2591" s="211" t="str">
        <f>IFERROR(__xludf.DUMMYFUNCTION("""COMPUTED_VALUE"""),"GYF")</f>
        <v>GYF</v>
      </c>
      <c r="U2591" s="215">
        <f>IFERROR(__xludf.DUMMYFUNCTION("""COMPUTED_VALUE"""),46071.51802083333)</f>
        <v>46071.51802</v>
      </c>
      <c r="V2591" s="211" t="str">
        <f>IFERROR(__xludf.DUMMYFUNCTION("""COMPUTED_VALUE"""),"Kangkungan, Lengkong, Kec. Mojoanyar, Kabupaten Mojokerto, Jawa Timur")</f>
        <v>Kangkungan, Lengkong, Kec. Mojoanyar, Kabupaten Mojokerto, Jawa Timur</v>
      </c>
      <c r="W2591" s="211" t="str">
        <f>IFERROR(__xludf.DUMMYFUNCTION("""COMPUTED_VALUE"""),"IN")</f>
        <v>IN</v>
      </c>
      <c r="X2591" s="211"/>
    </row>
    <row r="2592">
      <c r="A2592" s="210" t="str">
        <f>IFERROR(__xludf.DUMMYFUNCTION("""COMPUTED_VALUE"""),"1125231832")</f>
        <v>1125231832</v>
      </c>
      <c r="B2592" s="210" t="str">
        <f>IFERROR(__xludf.DUMMYFUNCTION("""COMPUTED_VALUE"""),"1125231832")</f>
        <v>1125231832</v>
      </c>
      <c r="C2592" s="213">
        <f>IFERROR(__xludf.DUMMYFUNCTION("""COMPUTED_VALUE"""),45987.466319444444)</f>
        <v>45987.46632</v>
      </c>
      <c r="D2592" s="211" t="str">
        <f>IFERROR(__xludf.DUMMYFUNCTION("""COMPUTED_VALUE"""),"3bcd7fe6")</f>
        <v>3bcd7fe6</v>
      </c>
      <c r="E2592" s="211" t="str">
        <f>IFERROR(__xludf.DUMMYFUNCTION("""COMPUTED_VALUE"""),"Bpk. Alvin (LB Group)")</f>
        <v>Bpk. Alvin (LB Group)</v>
      </c>
      <c r="F2592" s="211" t="str">
        <f>IFERROR(__xludf.DUMMYFUNCTION("""COMPUTED_VALUE"""),"f6aab7a9")</f>
        <v>f6aab7a9</v>
      </c>
      <c r="G2592" s="211" t="str">
        <f>IFERROR(__xludf.DUMMYFUNCTION("""COMPUTED_VALUE"""),"Oksigen 6m3 MR")</f>
        <v>Oksigen 6m3 MR</v>
      </c>
      <c r="H2592" s="211" t="str">
        <f>IFERROR(__xludf.DUMMYFUNCTION("""COMPUTED_VALUE"""),"OUT")</f>
        <v>OUT</v>
      </c>
      <c r="I2592" s="211" t="str">
        <f>IFERROR(__xludf.DUMMYFUNCTION("""COMPUTED_VALUE"""),"NORMAL")</f>
        <v>NORMAL</v>
      </c>
      <c r="J2592" s="211">
        <f>IFERROR(__xludf.DUMMYFUNCTION("""COMPUTED_VALUE"""),1.0)</f>
        <v>1</v>
      </c>
      <c r="K2592" s="210" t="str">
        <f>IFERROR(__xludf.DUMMYFUNCTION("""COMPUTED_VALUE"""),"01")</f>
        <v>01</v>
      </c>
      <c r="L2592" s="211">
        <f>IFERROR(__xludf.DUMMYFUNCTION("""COMPUTED_VALUE"""),50000.0)</f>
        <v>50000</v>
      </c>
      <c r="M2592" s="211"/>
      <c r="N2592" s="211"/>
      <c r="O2592" s="211"/>
      <c r="Q2592" s="210" t="str">
        <f>IFERROR(__xludf.DUMMYFUNCTION("""COMPUTED_VALUE"""),"1261239")</f>
        <v>1261239</v>
      </c>
      <c r="R2592" s="210" t="str">
        <f>IFERROR(__xludf.DUMMYFUNCTION("""COMPUTED_VALUE"""),"1261239")</f>
        <v>1261239</v>
      </c>
      <c r="S2592" s="211" t="str">
        <f>IFERROR(__xludf.DUMMYFUNCTION("""COMPUTED_VALUE"""),"9e5d8274")</f>
        <v>9e5d8274</v>
      </c>
      <c r="T2592" s="211" t="str">
        <f>IFERROR(__xludf.DUMMYFUNCTION("""COMPUTED_VALUE"""),"Bpk. Erry ( Lik Trosobo )")</f>
        <v>Bpk. Erry ( Lik Trosobo )</v>
      </c>
      <c r="U2592" s="215">
        <f>IFERROR(__xludf.DUMMYFUNCTION("""COMPUTED_VALUE"""),46071.61168981482)</f>
        <v>46071.61169</v>
      </c>
      <c r="V2592" s="211" t="str">
        <f>IFERROR(__xludf.DUMMYFUNCTION("""COMPUTED_VALUE"""),"Trosobo Taman")</f>
        <v>Trosobo Taman</v>
      </c>
      <c r="W2592" s="211" t="str">
        <f>IFERROR(__xludf.DUMMYFUNCTION("""COMPUTED_VALUE"""),"IN")</f>
        <v>IN</v>
      </c>
      <c r="X2592" s="211"/>
    </row>
    <row r="2593">
      <c r="A2593" s="210" t="str">
        <f>IFERROR(__xludf.DUMMYFUNCTION("""COMPUTED_VALUE"""),"1125231832")</f>
        <v>1125231832</v>
      </c>
      <c r="B2593" s="210" t="str">
        <f>IFERROR(__xludf.DUMMYFUNCTION("""COMPUTED_VALUE"""),"1125231832")</f>
        <v>1125231832</v>
      </c>
      <c r="C2593" s="213">
        <f>IFERROR(__xludf.DUMMYFUNCTION("""COMPUTED_VALUE"""),45987.466319444444)</f>
        <v>45987.46632</v>
      </c>
      <c r="D2593" s="211" t="str">
        <f>IFERROR(__xludf.DUMMYFUNCTION("""COMPUTED_VALUE"""),"3bcd7fe6")</f>
        <v>3bcd7fe6</v>
      </c>
      <c r="E2593" s="211" t="str">
        <f>IFERROR(__xludf.DUMMYFUNCTION("""COMPUTED_VALUE"""),"Bpk. Alvin (LB Group)")</f>
        <v>Bpk. Alvin (LB Group)</v>
      </c>
      <c r="F2593" s="211" t="str">
        <f>IFERROR(__xludf.DUMMYFUNCTION("""COMPUTED_VALUE"""),"7d2764f1")</f>
        <v>7d2764f1</v>
      </c>
      <c r="G2593" s="211" t="str">
        <f>IFERROR(__xludf.DUMMYFUNCTION("""COMPUTED_VALUE"""),"Oksigen 7m3")</f>
        <v>Oksigen 7m3</v>
      </c>
      <c r="H2593" s="211" t="str">
        <f>IFERROR(__xludf.DUMMYFUNCTION("""COMPUTED_VALUE"""),"OUT")</f>
        <v>OUT</v>
      </c>
      <c r="I2593" s="211" t="str">
        <f>IFERROR(__xludf.DUMMYFUNCTION("""COMPUTED_VALUE"""),"NORMAL")</f>
        <v>NORMAL</v>
      </c>
      <c r="J2593" s="211">
        <f>IFERROR(__xludf.DUMMYFUNCTION("""COMPUTED_VALUE"""),2.0)</f>
        <v>2</v>
      </c>
      <c r="K2593" s="210" t="str">
        <f>IFERROR(__xludf.DUMMYFUNCTION("""COMPUTED_VALUE"""),"11215 11291")</f>
        <v>11215 11291</v>
      </c>
      <c r="L2593" s="211">
        <f>IFERROR(__xludf.DUMMYFUNCTION("""COMPUTED_VALUE"""),55000.0)</f>
        <v>55000</v>
      </c>
      <c r="M2593" s="211"/>
      <c r="N2593" s="211"/>
      <c r="O2593" s="211"/>
      <c r="Q2593" s="210" t="str">
        <f>IFERROR(__xludf.DUMMYFUNCTION("""COMPUTED_VALUE"""),"022642591")</f>
        <v>022642591</v>
      </c>
      <c r="R2593" s="210" t="str">
        <f>IFERROR(__xludf.DUMMYFUNCTION("""COMPUTED_VALUE"""),"022642591")</f>
        <v>022642591</v>
      </c>
      <c r="S2593" s="211" t="str">
        <f>IFERROR(__xludf.DUMMYFUNCTION("""COMPUTED_VALUE"""),"de41c3e8")</f>
        <v>de41c3e8</v>
      </c>
      <c r="T2593" s="211" t="str">
        <f>IFERROR(__xludf.DUMMYFUNCTION("""COMPUTED_VALUE"""),"Bpk. Eko Mianto")</f>
        <v>Bpk. Eko Mianto</v>
      </c>
      <c r="U2593" s="215">
        <f>IFERROR(__xludf.DUMMYFUNCTION("""COMPUTED_VALUE"""),46071.61362268519)</f>
        <v>46071.61362</v>
      </c>
      <c r="V2593" s="211" t="str">
        <f>IFERROR(__xludf.DUMMYFUNCTION("""COMPUTED_VALUE"""),"The Graha Residen, Blok D4 No 33. Tropodo, Kec Krian, Kabupaten Sidaorjo, Jawa Timur 61262")</f>
        <v>The Graha Residen, Blok D4 No 33. Tropodo, Kec Krian, Kabupaten Sidaorjo, Jawa Timur 61262</v>
      </c>
      <c r="W2593" s="211" t="str">
        <f>IFERROR(__xludf.DUMMYFUNCTION("""COMPUTED_VALUE"""),"OUT")</f>
        <v>OUT</v>
      </c>
      <c r="X2593" s="211"/>
    </row>
    <row r="2594">
      <c r="A2594" s="210" t="str">
        <f>IFERROR(__xludf.DUMMYFUNCTION("""COMPUTED_VALUE"""),"1125231832")</f>
        <v>1125231832</v>
      </c>
      <c r="B2594" s="210" t="str">
        <f>IFERROR(__xludf.DUMMYFUNCTION("""COMPUTED_VALUE"""),"1125231832")</f>
        <v>1125231832</v>
      </c>
      <c r="C2594" s="213">
        <f>IFERROR(__xludf.DUMMYFUNCTION("""COMPUTED_VALUE"""),45987.466319444444)</f>
        <v>45987.46632</v>
      </c>
      <c r="D2594" s="211" t="str">
        <f>IFERROR(__xludf.DUMMYFUNCTION("""COMPUTED_VALUE"""),"3bcd7fe6")</f>
        <v>3bcd7fe6</v>
      </c>
      <c r="E2594" s="211" t="str">
        <f>IFERROR(__xludf.DUMMYFUNCTION("""COMPUTED_VALUE"""),"Bpk. Alvin (LB Group)")</f>
        <v>Bpk. Alvin (LB Group)</v>
      </c>
      <c r="F2594" s="211" t="str">
        <f>IFERROR(__xludf.DUMMYFUNCTION("""COMPUTED_VALUE"""),"8bdbe149")</f>
        <v>8bdbe149</v>
      </c>
      <c r="G2594" s="211" t="str">
        <f>IFERROR(__xludf.DUMMYFUNCTION("""COMPUTED_VALUE"""),"Oksigen 6m3")</f>
        <v>Oksigen 6m3</v>
      </c>
      <c r="H2594" s="211" t="str">
        <f>IFERROR(__xludf.DUMMYFUNCTION("""COMPUTED_VALUE"""),"OUT")</f>
        <v>OUT</v>
      </c>
      <c r="I2594" s="211" t="str">
        <f>IFERROR(__xludf.DUMMYFUNCTION("""COMPUTED_VALUE"""),"NORMAL")</f>
        <v>NORMAL</v>
      </c>
      <c r="J2594" s="211">
        <f>IFERROR(__xludf.DUMMYFUNCTION("""COMPUTED_VALUE"""),5.0)</f>
        <v>5</v>
      </c>
      <c r="K2594" s="210" t="str">
        <f>IFERROR(__xludf.DUMMYFUNCTION("""COMPUTED_VALUE"""),"1155 11236 11106 11260 1176")</f>
        <v>1155 11236 11106 11260 1176</v>
      </c>
      <c r="L2594" s="211">
        <f>IFERROR(__xludf.DUMMYFUNCTION("""COMPUTED_VALUE"""),50000.0)</f>
        <v>50000</v>
      </c>
      <c r="M2594" s="211"/>
      <c r="N2594" s="211"/>
      <c r="O2594" s="211"/>
      <c r="Q2594" s="210" t="str">
        <f>IFERROR(__xludf.DUMMYFUNCTION("""COMPUTED_VALUE"""),"1261279")</f>
        <v>1261279</v>
      </c>
      <c r="R2594" s="210" t="str">
        <f>IFERROR(__xludf.DUMMYFUNCTION("""COMPUTED_VALUE"""),"1261279")</f>
        <v>1261279</v>
      </c>
      <c r="S2594" s="211" t="str">
        <f>IFERROR(__xludf.DUMMYFUNCTION("""COMPUTED_VALUE"""),"4ec68cf6")</f>
        <v>4ec68cf6</v>
      </c>
      <c r="T2594" s="211" t="str">
        <f>IFERROR(__xludf.DUMMYFUNCTION("""COMPUTED_VALUE"""),"CV Sido Mukti Karya")</f>
        <v>CV Sido Mukti Karya</v>
      </c>
      <c r="U2594" s="215">
        <f>IFERROR(__xludf.DUMMYFUNCTION("""COMPUTED_VALUE"""),46072.3565625)</f>
        <v>46072.35656</v>
      </c>
      <c r="V2594" s="211" t="str">
        <f>IFERROR(__xludf.DUMMYFUNCTION("""COMPUTED_VALUE"""),"Pergudangan Center Point no A3, Kemangsen")</f>
        <v>Pergudangan Center Point no A3, Kemangsen</v>
      </c>
      <c r="W2594" s="211" t="str">
        <f>IFERROR(__xludf.DUMMYFUNCTION("""COMPUTED_VALUE"""),"IN")</f>
        <v>IN</v>
      </c>
      <c r="X2594" s="211"/>
    </row>
    <row r="2595">
      <c r="A2595" s="210" t="str">
        <f>IFERROR(__xludf.DUMMYFUNCTION("""COMPUTED_VALUE"""),"1250857")</f>
        <v>1250857</v>
      </c>
      <c r="B2595" s="210" t="str">
        <f>IFERROR(__xludf.DUMMYFUNCTION("""COMPUTED_VALUE"""),"1250857")</f>
        <v>1250857</v>
      </c>
      <c r="C2595" s="213">
        <f>IFERROR(__xludf.DUMMYFUNCTION("""COMPUTED_VALUE"""),45987.54042824074)</f>
        <v>45987.54043</v>
      </c>
      <c r="D2595" s="211" t="str">
        <f>IFERROR(__xludf.DUMMYFUNCTION("""COMPUTED_VALUE"""),"ed2cc96a")</f>
        <v>ed2cc96a</v>
      </c>
      <c r="E2595" s="211" t="str">
        <f>IFERROR(__xludf.DUMMYFUNCTION("""COMPUTED_VALUE"""),"Bengkel Dian Jaya")</f>
        <v>Bengkel Dian Jaya</v>
      </c>
      <c r="F2595" s="211" t="str">
        <f>IFERROR(__xludf.DUMMYFUNCTION("""COMPUTED_VALUE"""),"8bdbe149")</f>
        <v>8bdbe149</v>
      </c>
      <c r="G2595" s="211" t="str">
        <f>IFERROR(__xludf.DUMMYFUNCTION("""COMPUTED_VALUE"""),"Oksigen 6m3")</f>
        <v>Oksigen 6m3</v>
      </c>
      <c r="H2595" s="211" t="str">
        <f>IFERROR(__xludf.DUMMYFUNCTION("""COMPUTED_VALUE"""),"IN")</f>
        <v>IN</v>
      </c>
      <c r="I2595" s="211" t="str">
        <f>IFERROR(__xludf.DUMMYFUNCTION("""COMPUTED_VALUE"""),"EMPTY")</f>
        <v>EMPTY</v>
      </c>
      <c r="J2595" s="211">
        <f>IFERROR(__xludf.DUMMYFUNCTION("""COMPUTED_VALUE"""),1.0)</f>
        <v>1</v>
      </c>
      <c r="K2595" s="210" t="str">
        <f>IFERROR(__xludf.DUMMYFUNCTION("""COMPUTED_VALUE"""),"1189")</f>
        <v>1189</v>
      </c>
      <c r="L2595" s="211">
        <f>IFERROR(__xludf.DUMMYFUNCTION("""COMPUTED_VALUE"""),0.0)</f>
        <v>0</v>
      </c>
      <c r="M2595" s="211"/>
      <c r="N2595" s="211"/>
      <c r="O2595" s="211"/>
      <c r="Q2595" s="210" t="str">
        <f>IFERROR(__xludf.DUMMYFUNCTION("""COMPUTED_VALUE"""),"1261240")</f>
        <v>1261240</v>
      </c>
      <c r="R2595" s="210" t="str">
        <f>IFERROR(__xludf.DUMMYFUNCTION("""COMPUTED_VALUE"""),"1261240")</f>
        <v>1261240</v>
      </c>
      <c r="S2595" s="211" t="str">
        <f>IFERROR(__xludf.DUMMYFUNCTION("""COMPUTED_VALUE"""),"8f5ebaea")</f>
        <v>8f5ebaea</v>
      </c>
      <c r="T2595" s="211" t="str">
        <f>IFERROR(__xludf.DUMMYFUNCTION("""COMPUTED_VALUE"""),"PT Hua Zong Mesindo")</f>
        <v>PT Hua Zong Mesindo</v>
      </c>
      <c r="U2595" s="215">
        <f>IFERROR(__xludf.DUMMYFUNCTION("""COMPUTED_VALUE"""),46072.35724537037)</f>
        <v>46072.35725</v>
      </c>
      <c r="V2595" s="211" t="str">
        <f>IFERROR(__xludf.DUMMYFUNCTION("""COMPUTED_VALUE"""),"Jl. Bypass Krian, Sidotemo, Sidomulyo, Kec. Krian, Kabupaten Sidoarjo, Jawa Timur 61262")</f>
        <v>Jl. Bypass Krian, Sidotemo, Sidomulyo, Kec. Krian, Kabupaten Sidoarjo, Jawa Timur 61262</v>
      </c>
      <c r="W2595" s="211" t="str">
        <f>IFERROR(__xludf.DUMMYFUNCTION("""COMPUTED_VALUE"""),"IN")</f>
        <v>IN</v>
      </c>
      <c r="X2595" s="211"/>
    </row>
    <row r="2596">
      <c r="A2596" s="210" t="str">
        <f>IFERROR(__xludf.DUMMYFUNCTION("""COMPUTED_VALUE"""),"1250857")</f>
        <v>1250857</v>
      </c>
      <c r="B2596" s="210" t="str">
        <f>IFERROR(__xludf.DUMMYFUNCTION("""COMPUTED_VALUE"""),"1250857")</f>
        <v>1250857</v>
      </c>
      <c r="C2596" s="213">
        <f>IFERROR(__xludf.DUMMYFUNCTION("""COMPUTED_VALUE"""),45987.54042824074)</f>
        <v>45987.54043</v>
      </c>
      <c r="D2596" s="211" t="str">
        <f>IFERROR(__xludf.DUMMYFUNCTION("""COMPUTED_VALUE"""),"ed2cc96a")</f>
        <v>ed2cc96a</v>
      </c>
      <c r="E2596" s="211" t="str">
        <f>IFERROR(__xludf.DUMMYFUNCTION("""COMPUTED_VALUE"""),"Bengkel Dian Jaya")</f>
        <v>Bengkel Dian Jaya</v>
      </c>
      <c r="F2596" s="211" t="str">
        <f>IFERROR(__xludf.DUMMYFUNCTION("""COMPUTED_VALUE"""),"be525f3b")</f>
        <v>be525f3b</v>
      </c>
      <c r="G2596" s="211" t="str">
        <f>IFERROR(__xludf.DUMMYFUNCTION("""COMPUTED_VALUE"""),"LPG 12kg")</f>
        <v>LPG 12kg</v>
      </c>
      <c r="H2596" s="211" t="str">
        <f>IFERROR(__xludf.DUMMYFUNCTION("""COMPUTED_VALUE"""),"IN")</f>
        <v>IN</v>
      </c>
      <c r="I2596" s="211" t="str">
        <f>IFERROR(__xludf.DUMMYFUNCTION("""COMPUTED_VALUE"""),"EMPTY")</f>
        <v>EMPTY</v>
      </c>
      <c r="J2596" s="211">
        <f>IFERROR(__xludf.DUMMYFUNCTION("""COMPUTED_VALUE"""),1.0)</f>
        <v>1</v>
      </c>
      <c r="K2596" s="210" t="str">
        <f>IFERROR(__xludf.DUMMYFUNCTION("""COMPUTED_VALUE"""),"01")</f>
        <v>01</v>
      </c>
      <c r="L2596" s="211">
        <f>IFERROR(__xludf.DUMMYFUNCTION("""COMPUTED_VALUE"""),0.0)</f>
        <v>0</v>
      </c>
      <c r="M2596" s="211"/>
      <c r="N2596" s="211"/>
      <c r="O2596" s="211"/>
      <c r="Q2596" s="210" t="str">
        <f>IFERROR(__xludf.DUMMYFUNCTION("""COMPUTED_VALUE"""),"1261251")</f>
        <v>1261251</v>
      </c>
      <c r="R2596" s="210" t="str">
        <f>IFERROR(__xludf.DUMMYFUNCTION("""COMPUTED_VALUE"""),"1261251")</f>
        <v>1261251</v>
      </c>
      <c r="S2596" s="211" t="str">
        <f>IFERROR(__xludf.DUMMYFUNCTION("""COMPUTED_VALUE"""),"440df1db")</f>
        <v>440df1db</v>
      </c>
      <c r="T2596" s="211" t="str">
        <f>IFERROR(__xludf.DUMMYFUNCTION("""COMPUTED_VALUE"""),"PT. Mecca Abadi Sejahtera")</f>
        <v>PT. Mecca Abadi Sejahtera</v>
      </c>
      <c r="U2596" s="215">
        <f>IFERROR(__xludf.DUMMYFUNCTION("""COMPUTED_VALUE"""),46072.35755787037)</f>
        <v>46072.35756</v>
      </c>
      <c r="V2596" s="211" t="str">
        <f>IFERROR(__xludf.DUMMYFUNCTION("""COMPUTED_VALUE"""),"Jl. Raya Sawocangkring, RT.006/RW.002, Sawo, Sawocangkring, Kec. Wonoayu, Kabupaten Sidoarjo, Jawa Timur 61261")</f>
        <v>Jl. Raya Sawocangkring, RT.006/RW.002, Sawo, Sawocangkring, Kec. Wonoayu, Kabupaten Sidoarjo, Jawa Timur 61261</v>
      </c>
      <c r="W2596" s="211" t="str">
        <f>IFERROR(__xludf.DUMMYFUNCTION("""COMPUTED_VALUE"""),"IN")</f>
        <v>IN</v>
      </c>
      <c r="X2596" s="211"/>
    </row>
    <row r="2597">
      <c r="A2597" s="210" t="str">
        <f>IFERROR(__xludf.DUMMYFUNCTION("""COMPUTED_VALUE"""),"1250858")</f>
        <v>1250858</v>
      </c>
      <c r="B2597" s="210" t="str">
        <f>IFERROR(__xludf.DUMMYFUNCTION("""COMPUTED_VALUE"""),"1250858")</f>
        <v>1250858</v>
      </c>
      <c r="C2597" s="213">
        <f>IFERROR(__xludf.DUMMYFUNCTION("""COMPUTED_VALUE"""),45987.54094907407)</f>
        <v>45987.54095</v>
      </c>
      <c r="D2597" s="211" t="str">
        <f>IFERROR(__xludf.DUMMYFUNCTION("""COMPUTED_VALUE"""),"01158be1")</f>
        <v>01158be1</v>
      </c>
      <c r="E2597" s="211" t="str">
        <f>IFERROR(__xludf.DUMMYFUNCTION("""COMPUTED_VALUE"""),"GYF")</f>
        <v>GYF</v>
      </c>
      <c r="F2597" s="211" t="str">
        <f>IFERROR(__xludf.DUMMYFUNCTION("""COMPUTED_VALUE"""),"8bdbe149")</f>
        <v>8bdbe149</v>
      </c>
      <c r="G2597" s="211" t="str">
        <f>IFERROR(__xludf.DUMMYFUNCTION("""COMPUTED_VALUE"""),"Oksigen 6m3")</f>
        <v>Oksigen 6m3</v>
      </c>
      <c r="H2597" s="211" t="str">
        <f>IFERROR(__xludf.DUMMYFUNCTION("""COMPUTED_VALUE"""),"IN")</f>
        <v>IN</v>
      </c>
      <c r="I2597" s="211" t="str">
        <f>IFERROR(__xludf.DUMMYFUNCTION("""COMPUTED_VALUE"""),"EMPTY")</f>
        <v>EMPTY</v>
      </c>
      <c r="J2597" s="211">
        <f>IFERROR(__xludf.DUMMYFUNCTION("""COMPUTED_VALUE"""),4.0)</f>
        <v>4</v>
      </c>
      <c r="K2597" s="210" t="str">
        <f>IFERROR(__xludf.DUMMYFUNCTION("""COMPUTED_VALUE"""),"1185 11228 1169 11195")</f>
        <v>1185 11228 1169 11195</v>
      </c>
      <c r="L2597" s="211">
        <f>IFERROR(__xludf.DUMMYFUNCTION("""COMPUTED_VALUE"""),0.0)</f>
        <v>0</v>
      </c>
      <c r="M2597" s="211"/>
      <c r="N2597" s="211"/>
      <c r="O2597" s="211"/>
      <c r="Q2597" s="210" t="str">
        <f>IFERROR(__xludf.DUMMYFUNCTION("""COMPUTED_VALUE"""),"1261280")</f>
        <v>1261280</v>
      </c>
      <c r="R2597" s="210" t="str">
        <f>IFERROR(__xludf.DUMMYFUNCTION("""COMPUTED_VALUE"""),"1261280")</f>
        <v>1261280</v>
      </c>
      <c r="S2597" s="211" t="str">
        <f>IFERROR(__xludf.DUMMYFUNCTION("""COMPUTED_VALUE"""),"98c84274")</f>
        <v>98c84274</v>
      </c>
      <c r="T2597" s="211" t="str">
        <f>IFERROR(__xludf.DUMMYFUNCTION("""COMPUTED_VALUE"""),"Bengkel SBM (Pak Hari)")</f>
        <v>Bengkel SBM (Pak Hari)</v>
      </c>
      <c r="U2597" s="215">
        <f>IFERROR(__xludf.DUMMYFUNCTION("""COMPUTED_VALUE"""),46072.35818287037)</f>
        <v>46072.35818</v>
      </c>
      <c r="V2597"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597" s="211" t="str">
        <f>IFERROR(__xludf.DUMMYFUNCTION("""COMPUTED_VALUE"""),"IN")</f>
        <v>IN</v>
      </c>
      <c r="X2597" s="211"/>
    </row>
    <row r="2598">
      <c r="A2598" s="210" t="str">
        <f>IFERROR(__xludf.DUMMYFUNCTION("""COMPUTED_VALUE"""),"1250856")</f>
        <v>1250856</v>
      </c>
      <c r="B2598" s="210" t="str">
        <f>IFERROR(__xludf.DUMMYFUNCTION("""COMPUTED_VALUE"""),"1250856")</f>
        <v>1250856</v>
      </c>
      <c r="C2598" s="213">
        <f>IFERROR(__xludf.DUMMYFUNCTION("""COMPUTED_VALUE"""),45987.54177083333)</f>
        <v>45987.54177</v>
      </c>
      <c r="D2598" s="211" t="str">
        <f>IFERROR(__xludf.DUMMYFUNCTION("""COMPUTED_VALUE"""),"faf71ae5")</f>
        <v>faf71ae5</v>
      </c>
      <c r="E2598" s="211" t="str">
        <f>IFERROR(__xludf.DUMMYFUNCTION("""COMPUTED_VALUE"""),"Bpk. Sampurna")</f>
        <v>Bpk. Sampurna</v>
      </c>
      <c r="F2598" s="211" t="str">
        <f>IFERROR(__xludf.DUMMYFUNCTION("""COMPUTED_VALUE"""),"8bdbe149")</f>
        <v>8bdbe149</v>
      </c>
      <c r="G2598" s="211" t="str">
        <f>IFERROR(__xludf.DUMMYFUNCTION("""COMPUTED_VALUE"""),"Oksigen 6m3")</f>
        <v>Oksigen 6m3</v>
      </c>
      <c r="H2598" s="211" t="str">
        <f>IFERROR(__xludf.DUMMYFUNCTION("""COMPUTED_VALUE"""),"IN")</f>
        <v>IN</v>
      </c>
      <c r="I2598" s="211" t="str">
        <f>IFERROR(__xludf.DUMMYFUNCTION("""COMPUTED_VALUE"""),"EMPTY")</f>
        <v>EMPTY</v>
      </c>
      <c r="J2598" s="211">
        <f>IFERROR(__xludf.DUMMYFUNCTION("""COMPUTED_VALUE"""),11.0)</f>
        <v>11</v>
      </c>
      <c r="K2598" s="210" t="str">
        <f>IFERROR(__xludf.DUMMYFUNCTION("""COMPUTED_VALUE"""),"1109 11201 1138 11232 1173 1193 11120 11119 1102 1140 1137")</f>
        <v>1109 11201 1138 11232 1173 1193 11120 11119 1102 1140 1137</v>
      </c>
      <c r="L2598" s="211">
        <f>IFERROR(__xludf.DUMMYFUNCTION("""COMPUTED_VALUE"""),0.0)</f>
        <v>0</v>
      </c>
      <c r="M2598" s="211"/>
      <c r="N2598" s="211"/>
      <c r="O2598" s="211"/>
      <c r="Q2598" s="210" t="str">
        <f>IFERROR(__xludf.DUMMYFUNCTION("""COMPUTED_VALUE"""),"0226222594")</f>
        <v>0226222594</v>
      </c>
      <c r="R2598" s="210" t="str">
        <f>IFERROR(__xludf.DUMMYFUNCTION("""COMPUTED_VALUE"""),"0226222594")</f>
        <v>0226222594</v>
      </c>
      <c r="S2598" s="211" t="str">
        <f>IFERROR(__xludf.DUMMYFUNCTION("""COMPUTED_VALUE"""),"8ea74d81")</f>
        <v>8ea74d81</v>
      </c>
      <c r="T2598" s="211" t="str">
        <f>IFERROR(__xludf.DUMMYFUNCTION("""COMPUTED_VALUE"""),"Bengkel Adi Putra")</f>
        <v>Bengkel Adi Putra</v>
      </c>
      <c r="U2598" s="215">
        <f>IFERROR(__xludf.DUMMYFUNCTION("""COMPUTED_VALUE"""),46072.36738425926)</f>
        <v>46072.36738</v>
      </c>
      <c r="V2598" s="211" t="str">
        <f>IFERROR(__xludf.DUMMYFUNCTION("""COMPUTED_VALUE"""),"Bypass Balongbendo")</f>
        <v>Bypass Balongbendo</v>
      </c>
      <c r="W2598" s="211" t="str">
        <f>IFERROR(__xludf.DUMMYFUNCTION("""COMPUTED_VALUE"""),"OUT")</f>
        <v>OUT</v>
      </c>
      <c r="X2598" s="211"/>
    </row>
    <row r="2599">
      <c r="A2599" s="210" t="str">
        <f>IFERROR(__xludf.DUMMYFUNCTION("""COMPUTED_VALUE"""),"1250856")</f>
        <v>1250856</v>
      </c>
      <c r="B2599" s="210" t="str">
        <f>IFERROR(__xludf.DUMMYFUNCTION("""COMPUTED_VALUE"""),"1250856")</f>
        <v>1250856</v>
      </c>
      <c r="C2599" s="213">
        <f>IFERROR(__xludf.DUMMYFUNCTION("""COMPUTED_VALUE"""),45987.54177083333)</f>
        <v>45987.54177</v>
      </c>
      <c r="D2599" s="211" t="str">
        <f>IFERROR(__xludf.DUMMYFUNCTION("""COMPUTED_VALUE"""),"faf71ae5")</f>
        <v>faf71ae5</v>
      </c>
      <c r="E2599" s="211" t="str">
        <f>IFERROR(__xludf.DUMMYFUNCTION("""COMPUTED_VALUE"""),"Bpk. Sampurna")</f>
        <v>Bpk. Sampurna</v>
      </c>
      <c r="F2599" s="211" t="str">
        <f>IFERROR(__xludf.DUMMYFUNCTION("""COMPUTED_VALUE"""),"be525f3b")</f>
        <v>be525f3b</v>
      </c>
      <c r="G2599" s="211" t="str">
        <f>IFERROR(__xludf.DUMMYFUNCTION("""COMPUTED_VALUE"""),"LPG 12kg")</f>
        <v>LPG 12kg</v>
      </c>
      <c r="H2599" s="211" t="str">
        <f>IFERROR(__xludf.DUMMYFUNCTION("""COMPUTED_VALUE"""),"IN")</f>
        <v>IN</v>
      </c>
      <c r="I2599" s="211" t="str">
        <f>IFERROR(__xludf.DUMMYFUNCTION("""COMPUTED_VALUE"""),"EMPTY")</f>
        <v>EMPTY</v>
      </c>
      <c r="J2599" s="211">
        <f>IFERROR(__xludf.DUMMYFUNCTION("""COMPUTED_VALUE"""),1.0)</f>
        <v>1</v>
      </c>
      <c r="K2599" s="210" t="str">
        <f>IFERROR(__xludf.DUMMYFUNCTION("""COMPUTED_VALUE"""),"01")</f>
        <v>01</v>
      </c>
      <c r="L2599" s="211">
        <f>IFERROR(__xludf.DUMMYFUNCTION("""COMPUTED_VALUE"""),0.0)</f>
        <v>0</v>
      </c>
      <c r="M2599" s="211"/>
      <c r="N2599" s="211"/>
      <c r="O2599" s="211"/>
      <c r="Q2599" s="210" t="str">
        <f>IFERROR(__xludf.DUMMYFUNCTION("""COMPUTED_VALUE"""),"0226462599")</f>
        <v>0226462599</v>
      </c>
      <c r="R2599" s="210" t="str">
        <f>IFERROR(__xludf.DUMMYFUNCTION("""COMPUTED_VALUE"""),"0226462599")</f>
        <v>0226462599</v>
      </c>
      <c r="S2599" s="211" t="str">
        <f>IFERROR(__xludf.DUMMYFUNCTION("""COMPUTED_VALUE"""),"ec231cc9")</f>
        <v>ec231cc9</v>
      </c>
      <c r="T2599" s="211" t="str">
        <f>IFERROR(__xludf.DUMMYFUNCTION("""COMPUTED_VALUE"""),"Bpk. Kohir (Maintenance Velg)")</f>
        <v>Bpk. Kohir (Maintenance Velg)</v>
      </c>
      <c r="U2599" s="215">
        <f>IFERROR(__xludf.DUMMYFUNCTION("""COMPUTED_VALUE"""),46072.367731481485)</f>
        <v>46072.36773</v>
      </c>
      <c r="V2599" s="211" t="str">
        <f>IFERROR(__xludf.DUMMYFUNCTION("""COMPUTED_VALUE"""),"Jl. Lkr. Bypass Krian Timur, Sidogolong, Watugolong, Kec. Krian, Kabupaten Sidoarjo, Jawa Timur 61262")</f>
        <v>Jl. Lkr. Bypass Krian Timur, Sidogolong, Watugolong, Kec. Krian, Kabupaten Sidoarjo, Jawa Timur 61262</v>
      </c>
      <c r="W2599" s="211" t="str">
        <f>IFERROR(__xludf.DUMMYFUNCTION("""COMPUTED_VALUE"""),"OUT")</f>
        <v>OUT</v>
      </c>
      <c r="X2599" s="211"/>
    </row>
    <row r="2600">
      <c r="A2600" s="210" t="str">
        <f>IFERROR(__xludf.DUMMYFUNCTION("""COMPUTED_VALUE"""),"1250866")</f>
        <v>1250866</v>
      </c>
      <c r="B2600" s="210" t="str">
        <f>IFERROR(__xludf.DUMMYFUNCTION("""COMPUTED_VALUE"""),"1250866")</f>
        <v>1250866</v>
      </c>
      <c r="C2600" s="213">
        <f>IFERROR(__xludf.DUMMYFUNCTION("""COMPUTED_VALUE"""),45987.644108796296)</f>
        <v>45987.64411</v>
      </c>
      <c r="D2600" s="211" t="str">
        <f>IFERROR(__xludf.DUMMYFUNCTION("""COMPUTED_VALUE"""),"734c6d17")</f>
        <v>734c6d17</v>
      </c>
      <c r="E2600" s="211" t="str">
        <f>IFERROR(__xludf.DUMMYFUNCTION("""COMPUTED_VALUE"""),"Bapak Ainol Yaqin ( Bpk. Ibnu )")</f>
        <v>Bapak Ainol Yaqin ( Bpk. Ibnu )</v>
      </c>
      <c r="F2600" s="211" t="str">
        <f>IFERROR(__xludf.DUMMYFUNCTION("""COMPUTED_VALUE"""),"7d2764f1")</f>
        <v>7d2764f1</v>
      </c>
      <c r="G2600" s="211" t="str">
        <f>IFERROR(__xludf.DUMMYFUNCTION("""COMPUTED_VALUE"""),"Oksigen 7m3")</f>
        <v>Oksigen 7m3</v>
      </c>
      <c r="H2600" s="211" t="str">
        <f>IFERROR(__xludf.DUMMYFUNCTION("""COMPUTED_VALUE"""),"IN")</f>
        <v>IN</v>
      </c>
      <c r="I2600" s="211" t="str">
        <f>IFERROR(__xludf.DUMMYFUNCTION("""COMPUTED_VALUE"""),"EMPTY")</f>
        <v>EMPTY</v>
      </c>
      <c r="J2600" s="211">
        <f>IFERROR(__xludf.DUMMYFUNCTION("""COMPUTED_VALUE"""),1.0)</f>
        <v>1</v>
      </c>
      <c r="K2600" s="210" t="str">
        <f>IFERROR(__xludf.DUMMYFUNCTION("""COMPUTED_VALUE"""),"11135")</f>
        <v>11135</v>
      </c>
      <c r="L2600" s="211">
        <f>IFERROR(__xludf.DUMMYFUNCTION("""COMPUTED_VALUE"""),0.0)</f>
        <v>0</v>
      </c>
      <c r="M2600" s="211"/>
      <c r="N2600" s="211"/>
      <c r="O2600" s="211"/>
      <c r="Q2600" s="210" t="str">
        <f>IFERROR(__xludf.DUMMYFUNCTION("""COMPUTED_VALUE"""),"0226862600")</f>
        <v>0226862600</v>
      </c>
      <c r="R2600" s="210" t="str">
        <f>IFERROR(__xludf.DUMMYFUNCTION("""COMPUTED_VALUE"""),"0226862600")</f>
        <v>0226862600</v>
      </c>
      <c r="S2600" s="211" t="str">
        <f>IFERROR(__xludf.DUMMYFUNCTION("""COMPUTED_VALUE"""),"b2b5f2c5")</f>
        <v>b2b5f2c5</v>
      </c>
      <c r="T2600" s="211" t="str">
        <f>IFERROR(__xludf.DUMMYFUNCTION("""COMPUTED_VALUE"""),"Bengkel Las Bpk. Ari")</f>
        <v>Bengkel Las Bpk. Ari</v>
      </c>
      <c r="U2600" s="215">
        <f>IFERROR(__xludf.DUMMYFUNCTION("""COMPUTED_VALUE"""),46072.42556712963)</f>
        <v>46072.42557</v>
      </c>
      <c r="V2600" s="211" t="str">
        <f>IFERROR(__xludf.DUMMYFUNCTION("""COMPUTED_VALUE"""),"Sumber Kembar, Wonodadi, Kec. Kutorejo, Kabupaten Mojokerto, Jawa Timur")</f>
        <v>Sumber Kembar, Wonodadi, Kec. Kutorejo, Kabupaten Mojokerto, Jawa Timur</v>
      </c>
      <c r="W2600" s="211" t="str">
        <f>IFERROR(__xludf.DUMMYFUNCTION("""COMPUTED_VALUE"""),"OUT")</f>
        <v>OUT</v>
      </c>
      <c r="X2600" s="211"/>
    </row>
    <row r="2601">
      <c r="A2601" s="210" t="str">
        <f>IFERROR(__xludf.DUMMYFUNCTION("""COMPUTED_VALUE"""),"1250867")</f>
        <v>1250867</v>
      </c>
      <c r="B2601" s="210" t="str">
        <f>IFERROR(__xludf.DUMMYFUNCTION("""COMPUTED_VALUE"""),"1250867")</f>
        <v>1250867</v>
      </c>
      <c r="C2601" s="213">
        <f>IFERROR(__xludf.DUMMYFUNCTION("""COMPUTED_VALUE"""),45987.64439814815)</f>
        <v>45987.6444</v>
      </c>
      <c r="D2601" s="211" t="str">
        <f>IFERROR(__xludf.DUMMYFUNCTION("""COMPUTED_VALUE"""),"3bcd7fe6")</f>
        <v>3bcd7fe6</v>
      </c>
      <c r="E2601" s="211" t="str">
        <f>IFERROR(__xludf.DUMMYFUNCTION("""COMPUTED_VALUE"""),"Bpk. Alvin (LB Group)")</f>
        <v>Bpk. Alvin (LB Group)</v>
      </c>
      <c r="F2601" s="211" t="str">
        <f>IFERROR(__xludf.DUMMYFUNCTION("""COMPUTED_VALUE"""),"ef306e54")</f>
        <v>ef306e54</v>
      </c>
      <c r="G2601" s="211" t="str">
        <f>IFERROR(__xludf.DUMMYFUNCTION("""COMPUTED_VALUE"""),"Karbondioksida")</f>
        <v>Karbondioksida</v>
      </c>
      <c r="H2601" s="211" t="str">
        <f>IFERROR(__xludf.DUMMYFUNCTION("""COMPUTED_VALUE"""),"IN")</f>
        <v>IN</v>
      </c>
      <c r="I2601" s="211" t="str">
        <f>IFERROR(__xludf.DUMMYFUNCTION("""COMPUTED_VALUE"""),"EMPTY")</f>
        <v>EMPTY</v>
      </c>
      <c r="J2601" s="211">
        <f>IFERROR(__xludf.DUMMYFUNCTION("""COMPUTED_VALUE"""),1.0)</f>
        <v>1</v>
      </c>
      <c r="K2601" s="210" t="str">
        <f>IFERROR(__xludf.DUMMYFUNCTION("""COMPUTED_VALUE"""),"13013")</f>
        <v>13013</v>
      </c>
      <c r="L2601" s="211">
        <f>IFERROR(__xludf.DUMMYFUNCTION("""COMPUTED_VALUE"""),0.0)</f>
        <v>0</v>
      </c>
      <c r="M2601" s="211"/>
      <c r="N2601" s="211"/>
      <c r="O2601" s="211"/>
      <c r="Q2601" s="210" t="str">
        <f>IFERROR(__xludf.DUMMYFUNCTION("""COMPUTED_VALUE"""),"0226452601")</f>
        <v>0226452601</v>
      </c>
      <c r="R2601" s="210" t="str">
        <f>IFERROR(__xludf.DUMMYFUNCTION("""COMPUTED_VALUE"""),"0226452601")</f>
        <v>0226452601</v>
      </c>
      <c r="S2601" s="211" t="str">
        <f>IFERROR(__xludf.DUMMYFUNCTION("""COMPUTED_VALUE"""),"01158be1")</f>
        <v>01158be1</v>
      </c>
      <c r="T2601" s="211" t="str">
        <f>IFERROR(__xludf.DUMMYFUNCTION("""COMPUTED_VALUE"""),"GYF")</f>
        <v>GYF</v>
      </c>
      <c r="U2601" s="215">
        <f>IFERROR(__xludf.DUMMYFUNCTION("""COMPUTED_VALUE"""),46072.42563657407)</f>
        <v>46072.42564</v>
      </c>
      <c r="V2601" s="211" t="str">
        <f>IFERROR(__xludf.DUMMYFUNCTION("""COMPUTED_VALUE"""),"Kangkungan, Lengkong, Kec. Mojoanyar, Kabupaten Mojokerto, Jawa Timur")</f>
        <v>Kangkungan, Lengkong, Kec. Mojoanyar, Kabupaten Mojokerto, Jawa Timur</v>
      </c>
      <c r="W2601" s="211" t="str">
        <f>IFERROR(__xludf.DUMMYFUNCTION("""COMPUTED_VALUE"""),"OUT")</f>
        <v>OUT</v>
      </c>
      <c r="X2601" s="211"/>
    </row>
    <row r="2602">
      <c r="A2602" s="210" t="str">
        <f>IFERROR(__xludf.DUMMYFUNCTION("""COMPUTED_VALUE"""),"1250867")</f>
        <v>1250867</v>
      </c>
      <c r="B2602" s="210" t="str">
        <f>IFERROR(__xludf.DUMMYFUNCTION("""COMPUTED_VALUE"""),"1250867")</f>
        <v>1250867</v>
      </c>
      <c r="C2602" s="213">
        <f>IFERROR(__xludf.DUMMYFUNCTION("""COMPUTED_VALUE"""),45987.64439814815)</f>
        <v>45987.6444</v>
      </c>
      <c r="D2602" s="211" t="str">
        <f>IFERROR(__xludf.DUMMYFUNCTION("""COMPUTED_VALUE"""),"3bcd7fe6")</f>
        <v>3bcd7fe6</v>
      </c>
      <c r="E2602" s="211" t="str">
        <f>IFERROR(__xludf.DUMMYFUNCTION("""COMPUTED_VALUE"""),"Bpk. Alvin (LB Group)")</f>
        <v>Bpk. Alvin (LB Group)</v>
      </c>
      <c r="F2602" s="211" t="str">
        <f>IFERROR(__xludf.DUMMYFUNCTION("""COMPUTED_VALUE"""),"7d2764f1")</f>
        <v>7d2764f1</v>
      </c>
      <c r="G2602" s="211" t="str">
        <f>IFERROR(__xludf.DUMMYFUNCTION("""COMPUTED_VALUE"""),"Oksigen 7m3")</f>
        <v>Oksigen 7m3</v>
      </c>
      <c r="H2602" s="211" t="str">
        <f>IFERROR(__xludf.DUMMYFUNCTION("""COMPUTED_VALUE"""),"IN")</f>
        <v>IN</v>
      </c>
      <c r="I2602" s="211" t="str">
        <f>IFERROR(__xludf.DUMMYFUNCTION("""COMPUTED_VALUE"""),"EMPTY")</f>
        <v>EMPTY</v>
      </c>
      <c r="J2602" s="211">
        <f>IFERROR(__xludf.DUMMYFUNCTION("""COMPUTED_VALUE"""),3.0)</f>
        <v>3</v>
      </c>
      <c r="K2602" s="210" t="str">
        <f>IFERROR(__xludf.DUMMYFUNCTION("""COMPUTED_VALUE"""),"1161 11178 11227")</f>
        <v>1161 11178 11227</v>
      </c>
      <c r="L2602" s="211">
        <f>IFERROR(__xludf.DUMMYFUNCTION("""COMPUTED_VALUE"""),0.0)</f>
        <v>0</v>
      </c>
      <c r="M2602" s="211"/>
      <c r="N2602" s="211"/>
      <c r="O2602" s="211"/>
      <c r="Q2602" s="210" t="str">
        <f>IFERROR(__xludf.DUMMYFUNCTION("""COMPUTED_VALUE"""),"1261262")</f>
        <v>1261262</v>
      </c>
      <c r="R2602" s="210" t="str">
        <f>IFERROR(__xludf.DUMMYFUNCTION("""COMPUTED_VALUE"""),"1261262")</f>
        <v>1261262</v>
      </c>
      <c r="S2602" s="211" t="str">
        <f>IFERROR(__xludf.DUMMYFUNCTION("""COMPUTED_VALUE"""),"8ea74d81")</f>
        <v>8ea74d81</v>
      </c>
      <c r="T2602" s="211" t="str">
        <f>IFERROR(__xludf.DUMMYFUNCTION("""COMPUTED_VALUE"""),"Bengkel Adi Putra")</f>
        <v>Bengkel Adi Putra</v>
      </c>
      <c r="U2602" s="215">
        <f>IFERROR(__xludf.DUMMYFUNCTION("""COMPUTED_VALUE"""),46072.438125)</f>
        <v>46072.43813</v>
      </c>
      <c r="V2602" s="211" t="str">
        <f>IFERROR(__xludf.DUMMYFUNCTION("""COMPUTED_VALUE"""),"Bypass Balongbendo")</f>
        <v>Bypass Balongbendo</v>
      </c>
      <c r="W2602" s="211" t="str">
        <f>IFERROR(__xludf.DUMMYFUNCTION("""COMPUTED_VALUE"""),"IN")</f>
        <v>IN</v>
      </c>
      <c r="X2602" s="211"/>
    </row>
    <row r="2603">
      <c r="A2603" s="210" t="str">
        <f>IFERROR(__xludf.DUMMYFUNCTION("""COMPUTED_VALUE"""),"1250867")</f>
        <v>1250867</v>
      </c>
      <c r="B2603" s="210" t="str">
        <f>IFERROR(__xludf.DUMMYFUNCTION("""COMPUTED_VALUE"""),"1250867")</f>
        <v>1250867</v>
      </c>
      <c r="C2603" s="213">
        <f>IFERROR(__xludf.DUMMYFUNCTION("""COMPUTED_VALUE"""),45987.64439814815)</f>
        <v>45987.6444</v>
      </c>
      <c r="D2603" s="211" t="str">
        <f>IFERROR(__xludf.DUMMYFUNCTION("""COMPUTED_VALUE"""),"3bcd7fe6")</f>
        <v>3bcd7fe6</v>
      </c>
      <c r="E2603" s="211" t="str">
        <f>IFERROR(__xludf.DUMMYFUNCTION("""COMPUTED_VALUE"""),"Bpk. Alvin (LB Group)")</f>
        <v>Bpk. Alvin (LB Group)</v>
      </c>
      <c r="F2603" s="211" t="str">
        <f>IFERROR(__xludf.DUMMYFUNCTION("""COMPUTED_VALUE"""),"8bdbe149")</f>
        <v>8bdbe149</v>
      </c>
      <c r="G2603" s="211" t="str">
        <f>IFERROR(__xludf.DUMMYFUNCTION("""COMPUTED_VALUE"""),"Oksigen 6m3")</f>
        <v>Oksigen 6m3</v>
      </c>
      <c r="H2603" s="211" t="str">
        <f>IFERROR(__xludf.DUMMYFUNCTION("""COMPUTED_VALUE"""),"IN")</f>
        <v>IN</v>
      </c>
      <c r="I2603" s="211" t="str">
        <f>IFERROR(__xludf.DUMMYFUNCTION("""COMPUTED_VALUE"""),"EMPTY")</f>
        <v>EMPTY</v>
      </c>
      <c r="J2603" s="211">
        <f>IFERROR(__xludf.DUMMYFUNCTION("""COMPUTED_VALUE"""),2.0)</f>
        <v>2</v>
      </c>
      <c r="K2603" s="210" t="str">
        <f>IFERROR(__xludf.DUMMYFUNCTION("""COMPUTED_VALUE"""),"11109 1190")</f>
        <v>11109 1190</v>
      </c>
      <c r="L2603" s="211">
        <f>IFERROR(__xludf.DUMMYFUNCTION("""COMPUTED_VALUE"""),0.0)</f>
        <v>0</v>
      </c>
      <c r="M2603" s="211"/>
      <c r="N2603" s="211"/>
      <c r="O2603" s="211"/>
      <c r="Q2603" s="210" t="str">
        <f>IFERROR(__xludf.DUMMYFUNCTION("""COMPUTED_VALUE"""),"1261263")</f>
        <v>1261263</v>
      </c>
      <c r="R2603" s="210" t="str">
        <f>IFERROR(__xludf.DUMMYFUNCTION("""COMPUTED_VALUE"""),"1261263")</f>
        <v>1261263</v>
      </c>
      <c r="S2603" s="211" t="str">
        <f>IFERROR(__xludf.DUMMYFUNCTION("""COMPUTED_VALUE"""),"ec231cc9")</f>
        <v>ec231cc9</v>
      </c>
      <c r="T2603" s="211" t="str">
        <f>IFERROR(__xludf.DUMMYFUNCTION("""COMPUTED_VALUE"""),"Bpk. Kohir (Maintenance Velg)")</f>
        <v>Bpk. Kohir (Maintenance Velg)</v>
      </c>
      <c r="U2603" s="215">
        <f>IFERROR(__xludf.DUMMYFUNCTION("""COMPUTED_VALUE"""),46072.43850694445)</f>
        <v>46072.43851</v>
      </c>
      <c r="V2603" s="211" t="str">
        <f>IFERROR(__xludf.DUMMYFUNCTION("""COMPUTED_VALUE"""),"Jl. Lkr. Bypass Krian Timur, Sidogolong, Watugolong, Kec. Krian, Kabupaten Sidoarjo, Jawa Timur 61262")</f>
        <v>Jl. Lkr. Bypass Krian Timur, Sidogolong, Watugolong, Kec. Krian, Kabupaten Sidoarjo, Jawa Timur 61262</v>
      </c>
      <c r="W2603" s="211" t="str">
        <f>IFERROR(__xludf.DUMMYFUNCTION("""COMPUTED_VALUE"""),"IN")</f>
        <v>IN</v>
      </c>
      <c r="X2603" s="211"/>
    </row>
    <row r="2604">
      <c r="A2604" s="210" t="str">
        <f>IFERROR(__xludf.DUMMYFUNCTION("""COMPUTED_VALUE"""),"112551833")</f>
        <v>112551833</v>
      </c>
      <c r="B2604" s="210" t="str">
        <f>IFERROR(__xludf.DUMMYFUNCTION("""COMPUTED_VALUE"""),"112551833")</f>
        <v>112551833</v>
      </c>
      <c r="C2604" s="213">
        <f>IFERROR(__xludf.DUMMYFUNCTION("""COMPUTED_VALUE"""),45988.36636574074)</f>
        <v>45988.36637</v>
      </c>
      <c r="D2604" s="211" t="str">
        <f>IFERROR(__xludf.DUMMYFUNCTION("""COMPUTED_VALUE"""),"a0f0ad2d")</f>
        <v>a0f0ad2d</v>
      </c>
      <c r="E2604" s="211" t="str">
        <f>IFERROR(__xludf.DUMMYFUNCTION("""COMPUTED_VALUE"""),"CV. Yulie Jaya")</f>
        <v>CV. Yulie Jaya</v>
      </c>
      <c r="F2604" s="211" t="str">
        <f>IFERROR(__xludf.DUMMYFUNCTION("""COMPUTED_VALUE"""),"be525f3b")</f>
        <v>be525f3b</v>
      </c>
      <c r="G2604" s="211" t="str">
        <f>IFERROR(__xludf.DUMMYFUNCTION("""COMPUTED_VALUE"""),"LPG 12kg")</f>
        <v>LPG 12kg</v>
      </c>
      <c r="H2604" s="211" t="str">
        <f>IFERROR(__xludf.DUMMYFUNCTION("""COMPUTED_VALUE"""),"OUT")</f>
        <v>OUT</v>
      </c>
      <c r="I2604" s="211" t="str">
        <f>IFERROR(__xludf.DUMMYFUNCTION("""COMPUTED_VALUE"""),"NORMAL")</f>
        <v>NORMAL</v>
      </c>
      <c r="J2604" s="211">
        <f>IFERROR(__xludf.DUMMYFUNCTION("""COMPUTED_VALUE"""),2.0)</f>
        <v>2</v>
      </c>
      <c r="K2604" s="210" t="str">
        <f>IFERROR(__xludf.DUMMYFUNCTION("""COMPUTED_VALUE"""),"01 02")</f>
        <v>01 02</v>
      </c>
      <c r="L2604" s="211">
        <f>IFERROR(__xludf.DUMMYFUNCTION("""COMPUTED_VALUE"""),215000.0)</f>
        <v>215000</v>
      </c>
      <c r="M2604" s="211"/>
      <c r="N2604" s="211"/>
      <c r="O2604" s="211"/>
      <c r="Q2604" s="210" t="str">
        <f>IFERROR(__xludf.DUMMYFUNCTION("""COMPUTED_VALUE"""),"0226102602")</f>
        <v>0226102602</v>
      </c>
      <c r="R2604" s="210" t="str">
        <f>IFERROR(__xludf.DUMMYFUNCTION("""COMPUTED_VALUE"""),"0226102602")</f>
        <v>0226102602</v>
      </c>
      <c r="S2604" s="211" t="str">
        <f>IFERROR(__xludf.DUMMYFUNCTION("""COMPUTED_VALUE"""),"196b24da")</f>
        <v>196b24da</v>
      </c>
      <c r="T2604" s="211" t="str">
        <f>IFERROR(__xludf.DUMMYFUNCTION("""COMPUTED_VALUE"""),"PT Samudra Cipta Enjineering")</f>
        <v>PT Samudra Cipta Enjineering</v>
      </c>
      <c r="U2604" s="215">
        <f>IFERROR(__xludf.DUMMYFUNCTION("""COMPUTED_VALUE"""),46072.50965277778)</f>
        <v>46072.50965</v>
      </c>
      <c r="V2604" s="211" t="str">
        <f>IFERROR(__xludf.DUMMYFUNCTION("""COMPUTED_VALUE"""),"Pergudangan Center Point Blok C4   Ds. Kemangsen  Balongbendo")</f>
        <v>Pergudangan Center Point Blok C4   Ds. Kemangsen  Balongbendo</v>
      </c>
      <c r="W2604" s="211" t="str">
        <f>IFERROR(__xludf.DUMMYFUNCTION("""COMPUTED_VALUE"""),"OUT")</f>
        <v>OUT</v>
      </c>
      <c r="X2604" s="211"/>
    </row>
    <row r="2605">
      <c r="A2605" s="210" t="str">
        <f>IFERROR(__xludf.DUMMYFUNCTION("""COMPUTED_VALUE"""),"1250859")</f>
        <v>1250859</v>
      </c>
      <c r="B2605" s="210" t="str">
        <f>IFERROR(__xludf.DUMMYFUNCTION("""COMPUTED_VALUE"""),"1250859")</f>
        <v>1250859</v>
      </c>
      <c r="C2605" s="213">
        <f>IFERROR(__xludf.DUMMYFUNCTION("""COMPUTED_VALUE"""),45988.387349537035)</f>
        <v>45988.38735</v>
      </c>
      <c r="D2605" s="211" t="str">
        <f>IFERROR(__xludf.DUMMYFUNCTION("""COMPUTED_VALUE"""),"06d600f6")</f>
        <v>06d600f6</v>
      </c>
      <c r="E2605" s="211" t="str">
        <f>IFERROR(__xludf.DUMMYFUNCTION("""COMPUTED_VALUE"""),"Ibu Ida")</f>
        <v>Ibu Ida</v>
      </c>
      <c r="F2605" s="211" t="str">
        <f>IFERROR(__xludf.DUMMYFUNCTION("""COMPUTED_VALUE"""),"f6aab7a9")</f>
        <v>f6aab7a9</v>
      </c>
      <c r="G2605" s="211" t="str">
        <f>IFERROR(__xludf.DUMMYFUNCTION("""COMPUTED_VALUE"""),"Oksigen 6m3 MR")</f>
        <v>Oksigen 6m3 MR</v>
      </c>
      <c r="H2605" s="211" t="str">
        <f>IFERROR(__xludf.DUMMYFUNCTION("""COMPUTED_VALUE"""),"IN")</f>
        <v>IN</v>
      </c>
      <c r="I2605" s="211" t="str">
        <f>IFERROR(__xludf.DUMMYFUNCTION("""COMPUTED_VALUE"""),"EMPTY")</f>
        <v>EMPTY</v>
      </c>
      <c r="J2605" s="211">
        <f>IFERROR(__xludf.DUMMYFUNCTION("""COMPUTED_VALUE"""),6.0)</f>
        <v>6</v>
      </c>
      <c r="K2605" s="211"/>
      <c r="L2605" s="211">
        <f>IFERROR(__xludf.DUMMYFUNCTION("""COMPUTED_VALUE"""),0.0)</f>
        <v>0</v>
      </c>
      <c r="M2605" s="211"/>
      <c r="N2605" s="211"/>
      <c r="O2605" s="211"/>
      <c r="Q2605" s="210" t="str">
        <f>IFERROR(__xludf.DUMMYFUNCTION("""COMPUTED_VALUE"""),"0226112605")</f>
        <v>0226112605</v>
      </c>
      <c r="R2605" s="210" t="str">
        <f>IFERROR(__xludf.DUMMYFUNCTION("""COMPUTED_VALUE"""),"0226112605")</f>
        <v>0226112605</v>
      </c>
      <c r="S2605" s="211" t="str">
        <f>IFERROR(__xludf.DUMMYFUNCTION("""COMPUTED_VALUE"""),"03ff52db")</f>
        <v>03ff52db</v>
      </c>
      <c r="T2605" s="211" t="str">
        <f>IFERROR(__xludf.DUMMYFUNCTION("""COMPUTED_VALUE"""),"Aneka Teknik Logam")</f>
        <v>Aneka Teknik Logam</v>
      </c>
      <c r="U2605" s="215">
        <f>IFERROR(__xludf.DUMMYFUNCTION("""COMPUTED_VALUE"""),46072.51162037037)</f>
        <v>46072.51162</v>
      </c>
      <c r="V2605" s="211" t="str">
        <f>IFERROR(__xludf.DUMMYFUNCTION("""COMPUTED_VALUE"""),"HH8G+MQC, Areng Areng, Tropodo, Kec. Krian, Kabupaten Sidoarjo, Jawa Timur 61262")</f>
        <v>HH8G+MQC, Areng Areng, Tropodo, Kec. Krian, Kabupaten Sidoarjo, Jawa Timur 61262</v>
      </c>
      <c r="W2605" s="211" t="str">
        <f>IFERROR(__xludf.DUMMYFUNCTION("""COMPUTED_VALUE"""),"OUT")</f>
        <v>OUT</v>
      </c>
      <c r="X2605" s="211"/>
    </row>
    <row r="2606">
      <c r="A2606" s="210" t="str">
        <f>IFERROR(__xludf.DUMMYFUNCTION("""COMPUTED_VALUE"""),"1250868")</f>
        <v>1250868</v>
      </c>
      <c r="B2606" s="210" t="str">
        <f>IFERROR(__xludf.DUMMYFUNCTION("""COMPUTED_VALUE"""),"1250868")</f>
        <v>1250868</v>
      </c>
      <c r="C2606" s="213">
        <f>IFERROR(__xludf.DUMMYFUNCTION("""COMPUTED_VALUE"""),45988.43850694445)</f>
        <v>45988.43851</v>
      </c>
      <c r="D2606" s="211" t="str">
        <f>IFERROR(__xludf.DUMMYFUNCTION("""COMPUTED_VALUE"""),"a0f0ad2d")</f>
        <v>a0f0ad2d</v>
      </c>
      <c r="E2606" s="211" t="str">
        <f>IFERROR(__xludf.DUMMYFUNCTION("""COMPUTED_VALUE"""),"CV. Yulie Jaya")</f>
        <v>CV. Yulie Jaya</v>
      </c>
      <c r="F2606" s="211" t="str">
        <f>IFERROR(__xludf.DUMMYFUNCTION("""COMPUTED_VALUE"""),"7d2764f1")</f>
        <v>7d2764f1</v>
      </c>
      <c r="G2606" s="211" t="str">
        <f>IFERROR(__xludf.DUMMYFUNCTION("""COMPUTED_VALUE"""),"Oksigen 7m3")</f>
        <v>Oksigen 7m3</v>
      </c>
      <c r="H2606" s="211" t="str">
        <f>IFERROR(__xludf.DUMMYFUNCTION("""COMPUTED_VALUE"""),"IN")</f>
        <v>IN</v>
      </c>
      <c r="I2606" s="211" t="str">
        <f>IFERROR(__xludf.DUMMYFUNCTION("""COMPUTED_VALUE"""),"EMPTY")</f>
        <v>EMPTY</v>
      </c>
      <c r="J2606" s="211">
        <f>IFERROR(__xludf.DUMMYFUNCTION("""COMPUTED_VALUE"""),3.0)</f>
        <v>3</v>
      </c>
      <c r="K2606" s="210" t="str">
        <f>IFERROR(__xludf.DUMMYFUNCTION("""COMPUTED_VALUE"""),"11222 11157 11149")</f>
        <v>11222 11157 11149</v>
      </c>
      <c r="L2606" s="211">
        <f>IFERROR(__xludf.DUMMYFUNCTION("""COMPUTED_VALUE"""),0.0)</f>
        <v>0</v>
      </c>
      <c r="M2606" s="211"/>
      <c r="N2606" s="211"/>
      <c r="O2606" s="211"/>
      <c r="Q2606" s="210" t="str">
        <f>IFERROR(__xludf.DUMMYFUNCTION("""COMPUTED_VALUE"""),"0226102606")</f>
        <v>0226102606</v>
      </c>
      <c r="R2606" s="210" t="str">
        <f>IFERROR(__xludf.DUMMYFUNCTION("""COMPUTED_VALUE"""),"0226102606")</f>
        <v>0226102606</v>
      </c>
      <c r="S2606" s="211" t="str">
        <f>IFERROR(__xludf.DUMMYFUNCTION("""COMPUTED_VALUE"""),"98c84274")</f>
        <v>98c84274</v>
      </c>
      <c r="T2606" s="211" t="str">
        <f>IFERROR(__xludf.DUMMYFUNCTION("""COMPUTED_VALUE"""),"Bengkel SBM (Pak Hari)")</f>
        <v>Bengkel SBM (Pak Hari)</v>
      </c>
      <c r="U2606" s="215">
        <f>IFERROR(__xludf.DUMMYFUNCTION("""COMPUTED_VALUE"""),46072.51174768519)</f>
        <v>46072.51175</v>
      </c>
      <c r="V2606"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06" s="211" t="str">
        <f>IFERROR(__xludf.DUMMYFUNCTION("""COMPUTED_VALUE"""),"OUT")</f>
        <v>OUT</v>
      </c>
      <c r="X2606" s="211"/>
    </row>
    <row r="2607">
      <c r="A2607" s="210" t="str">
        <f>IFERROR(__xludf.DUMMYFUNCTION("""COMPUTED_VALUE"""),"1250869")</f>
        <v>1250869</v>
      </c>
      <c r="B2607" s="210" t="str">
        <f>IFERROR(__xludf.DUMMYFUNCTION("""COMPUTED_VALUE"""),"1250869")</f>
        <v>1250869</v>
      </c>
      <c r="C2607" s="213">
        <f>IFERROR(__xludf.DUMMYFUNCTION("""COMPUTED_VALUE"""),45988.439039351855)</f>
        <v>45988.43904</v>
      </c>
      <c r="D2607" s="211" t="str">
        <f>IFERROR(__xludf.DUMMYFUNCTION("""COMPUTED_VALUE"""),"8f5ebaea")</f>
        <v>8f5ebaea</v>
      </c>
      <c r="E2607" s="211" t="str">
        <f>IFERROR(__xludf.DUMMYFUNCTION("""COMPUTED_VALUE"""),"PT Hua Zong Mesindo")</f>
        <v>PT Hua Zong Mesindo</v>
      </c>
      <c r="F2607" s="211" t="str">
        <f>IFERROR(__xludf.DUMMYFUNCTION("""COMPUTED_VALUE"""),"66af7c72")</f>
        <v>66af7c72</v>
      </c>
      <c r="G2607" s="211" t="str">
        <f>IFERROR(__xludf.DUMMYFUNCTION("""COMPUTED_VALUE"""),"Argon 6m3")</f>
        <v>Argon 6m3</v>
      </c>
      <c r="H2607" s="211" t="str">
        <f>IFERROR(__xludf.DUMMYFUNCTION("""COMPUTED_VALUE"""),"IN")</f>
        <v>IN</v>
      </c>
      <c r="I2607" s="211" t="str">
        <f>IFERROR(__xludf.DUMMYFUNCTION("""COMPUTED_VALUE"""),"EMPTY")</f>
        <v>EMPTY</v>
      </c>
      <c r="J2607" s="211">
        <f>IFERROR(__xludf.DUMMYFUNCTION("""COMPUTED_VALUE"""),4.0)</f>
        <v>4</v>
      </c>
      <c r="K2607" s="210" t="str">
        <f>IFERROR(__xludf.DUMMYFUNCTION("""COMPUTED_VALUE"""),"12018 12071 12035 12079")</f>
        <v>12018 12071 12035 12079</v>
      </c>
      <c r="L2607" s="211">
        <f>IFERROR(__xludf.DUMMYFUNCTION("""COMPUTED_VALUE"""),0.0)</f>
        <v>0</v>
      </c>
      <c r="M2607" s="211"/>
      <c r="N2607" s="211"/>
      <c r="O2607" s="211"/>
      <c r="Q2607" s="210" t="str">
        <f>IFERROR(__xludf.DUMMYFUNCTION("""COMPUTED_VALUE"""),"0226232607")</f>
        <v>0226232607</v>
      </c>
      <c r="R2607" s="210" t="str">
        <f>IFERROR(__xludf.DUMMYFUNCTION("""COMPUTED_VALUE"""),"0226232607")</f>
        <v>0226232607</v>
      </c>
      <c r="S2607" s="211" t="str">
        <f>IFERROR(__xludf.DUMMYFUNCTION("""COMPUTED_VALUE"""),"8ea74d81")</f>
        <v>8ea74d81</v>
      </c>
      <c r="T2607" s="211" t="str">
        <f>IFERROR(__xludf.DUMMYFUNCTION("""COMPUTED_VALUE"""),"Bengkel Adi Putra")</f>
        <v>Bengkel Adi Putra</v>
      </c>
      <c r="U2607" s="215">
        <f>IFERROR(__xludf.DUMMYFUNCTION("""COMPUTED_VALUE"""),46072.511828703704)</f>
        <v>46072.51183</v>
      </c>
      <c r="V2607" s="211" t="str">
        <f>IFERROR(__xludf.DUMMYFUNCTION("""COMPUTED_VALUE"""),"Bypass Balongbendo")</f>
        <v>Bypass Balongbendo</v>
      </c>
      <c r="W2607" s="211" t="str">
        <f>IFERROR(__xludf.DUMMYFUNCTION("""COMPUTED_VALUE"""),"OUT")</f>
        <v>OUT</v>
      </c>
      <c r="X2607" s="211"/>
    </row>
    <row r="2608">
      <c r="A2608" s="210" t="str">
        <f>IFERROR(__xludf.DUMMYFUNCTION("""COMPUTED_VALUE"""),"1250880")</f>
        <v>1250880</v>
      </c>
      <c r="B2608" s="210" t="str">
        <f>IFERROR(__xludf.DUMMYFUNCTION("""COMPUTED_VALUE"""),"1250880")</f>
        <v>1250880</v>
      </c>
      <c r="C2608" s="213">
        <f>IFERROR(__xludf.DUMMYFUNCTION("""COMPUTED_VALUE"""),45988.459652777776)</f>
        <v>45988.45965</v>
      </c>
      <c r="D2608" s="211" t="str">
        <f>IFERROR(__xludf.DUMMYFUNCTION("""COMPUTED_VALUE"""),"1bf27092")</f>
        <v>1bf27092</v>
      </c>
      <c r="E2608" s="211" t="str">
        <f>IFERROR(__xludf.DUMMYFUNCTION("""COMPUTED_VALUE"""),"Bpk. Ari Budiarto")</f>
        <v>Bpk. Ari Budiarto</v>
      </c>
      <c r="F2608" s="211" t="str">
        <f>IFERROR(__xludf.DUMMYFUNCTION("""COMPUTED_VALUE"""),"66af7c72")</f>
        <v>66af7c72</v>
      </c>
      <c r="G2608" s="211" t="str">
        <f>IFERROR(__xludf.DUMMYFUNCTION("""COMPUTED_VALUE"""),"Argon 6m3")</f>
        <v>Argon 6m3</v>
      </c>
      <c r="H2608" s="211" t="str">
        <f>IFERROR(__xludf.DUMMYFUNCTION("""COMPUTED_VALUE"""),"IN")</f>
        <v>IN</v>
      </c>
      <c r="I2608" s="211" t="str">
        <f>IFERROR(__xludf.DUMMYFUNCTION("""COMPUTED_VALUE"""),"EMPTY")</f>
        <v>EMPTY</v>
      </c>
      <c r="J2608" s="211">
        <f>IFERROR(__xludf.DUMMYFUNCTION("""COMPUTED_VALUE"""),1.0)</f>
        <v>1</v>
      </c>
      <c r="K2608" s="210" t="str">
        <f>IFERROR(__xludf.DUMMYFUNCTION("""COMPUTED_VALUE"""),"12058")</f>
        <v>12058</v>
      </c>
      <c r="L2608" s="211">
        <f>IFERROR(__xludf.DUMMYFUNCTION("""COMPUTED_VALUE"""),0.0)</f>
        <v>0</v>
      </c>
      <c r="M2608" s="211"/>
      <c r="N2608" s="211"/>
      <c r="O2608" s="211"/>
      <c r="Q2608" s="210" t="str">
        <f>IFERROR(__xludf.DUMMYFUNCTION("""COMPUTED_VALUE"""),"1261252")</f>
        <v>1261252</v>
      </c>
      <c r="R2608" s="210" t="str">
        <f>IFERROR(__xludf.DUMMYFUNCTION("""COMPUTED_VALUE"""),"1261252")</f>
        <v>1261252</v>
      </c>
      <c r="S2608" s="211" t="str">
        <f>IFERROR(__xludf.DUMMYFUNCTION("""COMPUTED_VALUE"""),"196b24da")</f>
        <v>196b24da</v>
      </c>
      <c r="T2608" s="211" t="str">
        <f>IFERROR(__xludf.DUMMYFUNCTION("""COMPUTED_VALUE"""),"PT Samudra Cipta Enjineering")</f>
        <v>PT Samudra Cipta Enjineering</v>
      </c>
      <c r="U2608" s="215">
        <f>IFERROR(__xludf.DUMMYFUNCTION("""COMPUTED_VALUE"""),46072.57886574074)</f>
        <v>46072.57887</v>
      </c>
      <c r="V2608" s="211" t="str">
        <f>IFERROR(__xludf.DUMMYFUNCTION("""COMPUTED_VALUE"""),"Pergudangan Center Point Blok C4   Ds. Kemangsen  Balongbendo")</f>
        <v>Pergudangan Center Point Blok C4   Ds. Kemangsen  Balongbendo</v>
      </c>
      <c r="W2608" s="211" t="str">
        <f>IFERROR(__xludf.DUMMYFUNCTION("""COMPUTED_VALUE"""),"IN")</f>
        <v>IN</v>
      </c>
      <c r="X2608" s="211"/>
    </row>
    <row r="2609">
      <c r="A2609" s="210" t="str">
        <f>IFERROR(__xludf.DUMMYFUNCTION("""COMPUTED_VALUE"""),"1250870")</f>
        <v>1250870</v>
      </c>
      <c r="B2609" s="210" t="str">
        <f>IFERROR(__xludf.DUMMYFUNCTION("""COMPUTED_VALUE"""),"1250870")</f>
        <v>1250870</v>
      </c>
      <c r="C2609" s="213">
        <f>IFERROR(__xludf.DUMMYFUNCTION("""COMPUTED_VALUE"""),45988.61987268519)</f>
        <v>45988.61987</v>
      </c>
      <c r="D2609" s="211" t="str">
        <f>IFERROR(__xludf.DUMMYFUNCTION("""COMPUTED_VALUE"""),"faf71ae5")</f>
        <v>faf71ae5</v>
      </c>
      <c r="E2609" s="211" t="str">
        <f>IFERROR(__xludf.DUMMYFUNCTION("""COMPUTED_VALUE"""),"Bpk. Sampurna")</f>
        <v>Bpk. Sampurna</v>
      </c>
      <c r="F2609" s="211" t="str">
        <f>IFERROR(__xludf.DUMMYFUNCTION("""COMPUTED_VALUE"""),"8bdbe149")</f>
        <v>8bdbe149</v>
      </c>
      <c r="G2609" s="211" t="str">
        <f>IFERROR(__xludf.DUMMYFUNCTION("""COMPUTED_VALUE"""),"Oksigen 6m3")</f>
        <v>Oksigen 6m3</v>
      </c>
      <c r="H2609" s="211" t="str">
        <f>IFERROR(__xludf.DUMMYFUNCTION("""COMPUTED_VALUE"""),"IN")</f>
        <v>IN</v>
      </c>
      <c r="I2609" s="211" t="str">
        <f>IFERROR(__xludf.DUMMYFUNCTION("""COMPUTED_VALUE"""),"EMPTY")</f>
        <v>EMPTY</v>
      </c>
      <c r="J2609" s="211">
        <f>IFERROR(__xludf.DUMMYFUNCTION("""COMPUTED_VALUE"""),5.0)</f>
        <v>5</v>
      </c>
      <c r="K2609" s="210" t="str">
        <f>IFERROR(__xludf.DUMMYFUNCTION("""COMPUTED_VALUE"""),"1157 1164 11287 11267 11281")</f>
        <v>1157 1164 11287 11267 11281</v>
      </c>
      <c r="L2609" s="211">
        <f>IFERROR(__xludf.DUMMYFUNCTION("""COMPUTED_VALUE"""),0.0)</f>
        <v>0</v>
      </c>
      <c r="M2609" s="211"/>
      <c r="N2609" s="211"/>
      <c r="O2609" s="211"/>
      <c r="Q2609" s="210" t="str">
        <f>IFERROR(__xludf.DUMMYFUNCTION("""COMPUTED_VALUE"""),"1261265")</f>
        <v>1261265</v>
      </c>
      <c r="R2609" s="210" t="str">
        <f>IFERROR(__xludf.DUMMYFUNCTION("""COMPUTED_VALUE"""),"1261265")</f>
        <v>1261265</v>
      </c>
      <c r="S2609" s="211" t="str">
        <f>IFERROR(__xludf.DUMMYFUNCTION("""COMPUTED_VALUE"""),"b2b5f2c5")</f>
        <v>b2b5f2c5</v>
      </c>
      <c r="T2609" s="211" t="str">
        <f>IFERROR(__xludf.DUMMYFUNCTION("""COMPUTED_VALUE"""),"Bengkel Las Bpk. Ari")</f>
        <v>Bengkel Las Bpk. Ari</v>
      </c>
      <c r="U2609" s="215">
        <f>IFERROR(__xludf.DUMMYFUNCTION("""COMPUTED_VALUE"""),46072.628796296296)</f>
        <v>46072.6288</v>
      </c>
      <c r="V2609" s="211" t="str">
        <f>IFERROR(__xludf.DUMMYFUNCTION("""COMPUTED_VALUE"""),"Sumber Kembar, Wonodadi, Kec. Kutorejo, Kabupaten Mojokerto, Jawa Timur")</f>
        <v>Sumber Kembar, Wonodadi, Kec. Kutorejo, Kabupaten Mojokerto, Jawa Timur</v>
      </c>
      <c r="W2609" s="211" t="str">
        <f>IFERROR(__xludf.DUMMYFUNCTION("""COMPUTED_VALUE"""),"IN")</f>
        <v>IN</v>
      </c>
      <c r="X2609" s="211"/>
    </row>
    <row r="2610">
      <c r="A2610" s="210" t="str">
        <f>IFERROR(__xludf.DUMMYFUNCTION("""COMPUTED_VALUE"""),"1250870")</f>
        <v>1250870</v>
      </c>
      <c r="B2610" s="210" t="str">
        <f>IFERROR(__xludf.DUMMYFUNCTION("""COMPUTED_VALUE"""),"1250870")</f>
        <v>1250870</v>
      </c>
      <c r="C2610" s="213">
        <f>IFERROR(__xludf.DUMMYFUNCTION("""COMPUTED_VALUE"""),45988.61987268519)</f>
        <v>45988.61987</v>
      </c>
      <c r="D2610" s="211" t="str">
        <f>IFERROR(__xludf.DUMMYFUNCTION("""COMPUTED_VALUE"""),"faf71ae5")</f>
        <v>faf71ae5</v>
      </c>
      <c r="E2610" s="211" t="str">
        <f>IFERROR(__xludf.DUMMYFUNCTION("""COMPUTED_VALUE"""),"Bpk. Sampurna")</f>
        <v>Bpk. Sampurna</v>
      </c>
      <c r="F2610" s="211" t="str">
        <f>IFERROR(__xludf.DUMMYFUNCTION("""COMPUTED_VALUE"""),"7d2764f1")</f>
        <v>7d2764f1</v>
      </c>
      <c r="G2610" s="211" t="str">
        <f>IFERROR(__xludf.DUMMYFUNCTION("""COMPUTED_VALUE"""),"Oksigen 7m3")</f>
        <v>Oksigen 7m3</v>
      </c>
      <c r="H2610" s="211" t="str">
        <f>IFERROR(__xludf.DUMMYFUNCTION("""COMPUTED_VALUE"""),"IN")</f>
        <v>IN</v>
      </c>
      <c r="I2610" s="211" t="str">
        <f>IFERROR(__xludf.DUMMYFUNCTION("""COMPUTED_VALUE"""),"EMPTY")</f>
        <v>EMPTY</v>
      </c>
      <c r="J2610" s="211">
        <f>IFERROR(__xludf.DUMMYFUNCTION("""COMPUTED_VALUE"""),1.0)</f>
        <v>1</v>
      </c>
      <c r="K2610" s="210" t="str">
        <f>IFERROR(__xludf.DUMMYFUNCTION("""COMPUTED_VALUE"""),"11140")</f>
        <v>11140</v>
      </c>
      <c r="L2610" s="211">
        <f>IFERROR(__xludf.DUMMYFUNCTION("""COMPUTED_VALUE"""),0.0)</f>
        <v>0</v>
      </c>
      <c r="M2610" s="211"/>
      <c r="N2610" s="211"/>
      <c r="O2610" s="211"/>
      <c r="Q2610" s="210" t="str">
        <f>IFERROR(__xludf.DUMMYFUNCTION("""COMPUTED_VALUE"""),"1261264")</f>
        <v>1261264</v>
      </c>
      <c r="R2610" s="210" t="str">
        <f>IFERROR(__xludf.DUMMYFUNCTION("""COMPUTED_VALUE"""),"1261264")</f>
        <v>1261264</v>
      </c>
      <c r="S2610" s="211" t="str">
        <f>IFERROR(__xludf.DUMMYFUNCTION("""COMPUTED_VALUE"""),"01158be1")</f>
        <v>01158be1</v>
      </c>
      <c r="T2610" s="211" t="str">
        <f>IFERROR(__xludf.DUMMYFUNCTION("""COMPUTED_VALUE"""),"GYF")</f>
        <v>GYF</v>
      </c>
      <c r="U2610" s="215">
        <f>IFERROR(__xludf.DUMMYFUNCTION("""COMPUTED_VALUE"""),46072.62962962963)</f>
        <v>46072.62963</v>
      </c>
      <c r="V2610" s="211" t="str">
        <f>IFERROR(__xludf.DUMMYFUNCTION("""COMPUTED_VALUE"""),"Kangkungan, Lengkong, Kec. Mojoanyar, Kabupaten Mojokerto, Jawa Timur")</f>
        <v>Kangkungan, Lengkong, Kec. Mojoanyar, Kabupaten Mojokerto, Jawa Timur</v>
      </c>
      <c r="W2610" s="211" t="str">
        <f>IFERROR(__xludf.DUMMYFUNCTION("""COMPUTED_VALUE"""),"IN")</f>
        <v>IN</v>
      </c>
      <c r="X2610" s="211"/>
    </row>
    <row r="2611">
      <c r="A2611" s="210" t="str">
        <f>IFERROR(__xludf.DUMMYFUNCTION("""COMPUTED_VALUE"""),"1250870")</f>
        <v>1250870</v>
      </c>
      <c r="B2611" s="210" t="str">
        <f>IFERROR(__xludf.DUMMYFUNCTION("""COMPUTED_VALUE"""),"1250870")</f>
        <v>1250870</v>
      </c>
      <c r="C2611" s="213">
        <f>IFERROR(__xludf.DUMMYFUNCTION("""COMPUTED_VALUE"""),45988.61987268519)</f>
        <v>45988.61987</v>
      </c>
      <c r="D2611" s="211" t="str">
        <f>IFERROR(__xludf.DUMMYFUNCTION("""COMPUTED_VALUE"""),"faf71ae5")</f>
        <v>faf71ae5</v>
      </c>
      <c r="E2611" s="211" t="str">
        <f>IFERROR(__xludf.DUMMYFUNCTION("""COMPUTED_VALUE"""),"Bpk. Sampurna")</f>
        <v>Bpk. Sampurna</v>
      </c>
      <c r="F2611" s="211" t="str">
        <f>IFERROR(__xludf.DUMMYFUNCTION("""COMPUTED_VALUE"""),"8bdbe149")</f>
        <v>8bdbe149</v>
      </c>
      <c r="G2611" s="211" t="str">
        <f>IFERROR(__xludf.DUMMYFUNCTION("""COMPUTED_VALUE"""),"Oksigen 6m3")</f>
        <v>Oksigen 6m3</v>
      </c>
      <c r="H2611" s="211" t="str">
        <f>IFERROR(__xludf.DUMMYFUNCTION("""COMPUTED_VALUE"""),"IN")</f>
        <v>IN</v>
      </c>
      <c r="I2611" s="211" t="str">
        <f>IFERROR(__xludf.DUMMYFUNCTION("""COMPUTED_VALUE"""),"CLAIM")</f>
        <v>CLAIM</v>
      </c>
      <c r="J2611" s="211">
        <f>IFERROR(__xludf.DUMMYFUNCTION("""COMPUTED_VALUE"""),2.0)</f>
        <v>2</v>
      </c>
      <c r="K2611" s="210" t="str">
        <f>IFERROR(__xludf.DUMMYFUNCTION("""COMPUTED_VALUE"""),"11229 11235")</f>
        <v>11229 11235</v>
      </c>
      <c r="L2611" s="211">
        <f>IFERROR(__xludf.DUMMYFUNCTION("""COMPUTED_VALUE"""),0.0)</f>
        <v>0</v>
      </c>
      <c r="M2611" s="211" t="str">
        <f>IFERROR(__xludf.DUMMYFUNCTION("""COMPUTED_VALUE"""),"isi")</f>
        <v>isi</v>
      </c>
      <c r="N2611" s="211"/>
      <c r="O2611" s="211"/>
      <c r="Q2611" s="210" t="str">
        <f>IFERROR(__xludf.DUMMYFUNCTION("""COMPUTED_VALUE"""),"0226142608")</f>
        <v>0226142608</v>
      </c>
      <c r="R2611" s="210" t="str">
        <f>IFERROR(__xludf.DUMMYFUNCTION("""COMPUTED_VALUE"""),"0226142608")</f>
        <v>0226142608</v>
      </c>
      <c r="S2611" s="211" t="str">
        <f>IFERROR(__xludf.DUMMYFUNCTION("""COMPUTED_VALUE"""),"9b941888")</f>
        <v>9b941888</v>
      </c>
      <c r="T2611" s="211" t="str">
        <f>IFERROR(__xludf.DUMMYFUNCTION("""COMPUTED_VALUE"""),"Mas Devi ( Parengan )")</f>
        <v>Mas Devi ( Parengan )</v>
      </c>
      <c r="U2611" s="215">
        <f>IFERROR(__xludf.DUMMYFUNCTION("""COMPUTED_VALUE"""),46072.65796296296)</f>
        <v>46072.65796</v>
      </c>
      <c r="V2611" s="211" t="str">
        <f>IFERROR(__xludf.DUMMYFUNCTION("""COMPUTED_VALUE"""),"Kraton Krian Sidoarjo, ( sebelah tower listrik )")</f>
        <v>Kraton Krian Sidoarjo, ( sebelah tower listrik )</v>
      </c>
      <c r="W2611" s="211" t="str">
        <f>IFERROR(__xludf.DUMMYFUNCTION("""COMPUTED_VALUE"""),"OUT")</f>
        <v>OUT</v>
      </c>
      <c r="X2611" s="211"/>
    </row>
    <row r="2612">
      <c r="A2612" s="210" t="str">
        <f>IFERROR(__xludf.DUMMYFUNCTION("""COMPUTED_VALUE"""),"1250870")</f>
        <v>1250870</v>
      </c>
      <c r="B2612" s="210" t="str">
        <f>IFERROR(__xludf.DUMMYFUNCTION("""COMPUTED_VALUE"""),"1250870")</f>
        <v>1250870</v>
      </c>
      <c r="C2612" s="213">
        <f>IFERROR(__xludf.DUMMYFUNCTION("""COMPUTED_VALUE"""),45988.61987268519)</f>
        <v>45988.61987</v>
      </c>
      <c r="D2612" s="211" t="str">
        <f>IFERROR(__xludf.DUMMYFUNCTION("""COMPUTED_VALUE"""),"faf71ae5")</f>
        <v>faf71ae5</v>
      </c>
      <c r="E2612" s="211" t="str">
        <f>IFERROR(__xludf.DUMMYFUNCTION("""COMPUTED_VALUE"""),"Bpk. Sampurna")</f>
        <v>Bpk. Sampurna</v>
      </c>
      <c r="F2612" s="211" t="str">
        <f>IFERROR(__xludf.DUMMYFUNCTION("""COMPUTED_VALUE"""),"be525f3b")</f>
        <v>be525f3b</v>
      </c>
      <c r="G2612" s="211" t="str">
        <f>IFERROR(__xludf.DUMMYFUNCTION("""COMPUTED_VALUE"""),"LPG 12kg")</f>
        <v>LPG 12kg</v>
      </c>
      <c r="H2612" s="211" t="str">
        <f>IFERROR(__xludf.DUMMYFUNCTION("""COMPUTED_VALUE"""),"IN")</f>
        <v>IN</v>
      </c>
      <c r="I2612" s="211" t="str">
        <f>IFERROR(__xludf.DUMMYFUNCTION("""COMPUTED_VALUE"""),"EMPTY")</f>
        <v>EMPTY</v>
      </c>
      <c r="J2612" s="211">
        <f>IFERROR(__xludf.DUMMYFUNCTION("""COMPUTED_VALUE"""),2.0)</f>
        <v>2</v>
      </c>
      <c r="K2612" s="211"/>
      <c r="L2612" s="211">
        <f>IFERROR(__xludf.DUMMYFUNCTION("""COMPUTED_VALUE"""),0.0)</f>
        <v>0</v>
      </c>
      <c r="M2612" s="211"/>
      <c r="N2612" s="211"/>
      <c r="O2612" s="211"/>
      <c r="Q2612" s="210" t="str">
        <f>IFERROR(__xludf.DUMMYFUNCTION("""COMPUTED_VALUE"""),"1261254")</f>
        <v>1261254</v>
      </c>
      <c r="R2612" s="210" t="str">
        <f>IFERROR(__xludf.DUMMYFUNCTION("""COMPUTED_VALUE"""),"1261254")</f>
        <v>1261254</v>
      </c>
      <c r="S2612" s="211" t="str">
        <f>IFERROR(__xludf.DUMMYFUNCTION("""COMPUTED_VALUE"""),"98c84274")</f>
        <v>98c84274</v>
      </c>
      <c r="T2612" s="211" t="str">
        <f>IFERROR(__xludf.DUMMYFUNCTION("""COMPUTED_VALUE"""),"Bengkel SBM (Pak Hari)")</f>
        <v>Bengkel SBM (Pak Hari)</v>
      </c>
      <c r="U2612" s="215">
        <f>IFERROR(__xludf.DUMMYFUNCTION("""COMPUTED_VALUE"""),46072.667974537035)</f>
        <v>46072.66797</v>
      </c>
      <c r="V2612"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12" s="211" t="str">
        <f>IFERROR(__xludf.DUMMYFUNCTION("""COMPUTED_VALUE"""),"IN")</f>
        <v>IN</v>
      </c>
      <c r="X2612" s="211"/>
    </row>
    <row r="2613">
      <c r="A2613" s="210" t="str">
        <f>IFERROR(__xludf.DUMMYFUNCTION("""COMPUTED_VALUE"""),"112551839")</f>
        <v>112551839</v>
      </c>
      <c r="B2613" s="210" t="str">
        <f>IFERROR(__xludf.DUMMYFUNCTION("""COMPUTED_VALUE"""),"112551839")</f>
        <v>112551839</v>
      </c>
      <c r="C2613" s="213">
        <f>IFERROR(__xludf.DUMMYFUNCTION("""COMPUTED_VALUE"""),45988.626550925925)</f>
        <v>45988.62655</v>
      </c>
      <c r="D2613" s="211" t="str">
        <f>IFERROR(__xludf.DUMMYFUNCTION("""COMPUTED_VALUE"""),"f98b1e81")</f>
        <v>f98b1e81</v>
      </c>
      <c r="E2613" s="211" t="str">
        <f>IFERROR(__xludf.DUMMYFUNCTION("""COMPUTED_VALUE"""),"CV. Greenlife Tirta Sentosa")</f>
        <v>CV. Greenlife Tirta Sentosa</v>
      </c>
      <c r="F2613" s="211" t="str">
        <f>IFERROR(__xludf.DUMMYFUNCTION("""COMPUTED_VALUE"""),"7d2764f1")</f>
        <v>7d2764f1</v>
      </c>
      <c r="G2613" s="211" t="str">
        <f>IFERROR(__xludf.DUMMYFUNCTION("""COMPUTED_VALUE"""),"Oksigen 7m3")</f>
        <v>Oksigen 7m3</v>
      </c>
      <c r="H2613" s="211" t="str">
        <f>IFERROR(__xludf.DUMMYFUNCTION("""COMPUTED_VALUE"""),"OUT")</f>
        <v>OUT</v>
      </c>
      <c r="I2613" s="211" t="str">
        <f>IFERROR(__xludf.DUMMYFUNCTION("""COMPUTED_VALUE"""),"NORMAL")</f>
        <v>NORMAL</v>
      </c>
      <c r="J2613" s="211">
        <f>IFERROR(__xludf.DUMMYFUNCTION("""COMPUTED_VALUE"""),1.0)</f>
        <v>1</v>
      </c>
      <c r="K2613" s="210" t="str">
        <f>IFERROR(__xludf.DUMMYFUNCTION("""COMPUTED_VALUE"""),"11135")</f>
        <v>11135</v>
      </c>
      <c r="L2613" s="211">
        <f>IFERROR(__xludf.DUMMYFUNCTION("""COMPUTED_VALUE"""),80000.0)</f>
        <v>80000</v>
      </c>
      <c r="M2613" s="211"/>
      <c r="N2613" s="211"/>
      <c r="O2613" s="211"/>
      <c r="Q2613" s="210" t="str">
        <f>IFERROR(__xludf.DUMMYFUNCTION("""COMPUTED_VALUE"""),"1261266")</f>
        <v>1261266</v>
      </c>
      <c r="R2613" s="210" t="str">
        <f>IFERROR(__xludf.DUMMYFUNCTION("""COMPUTED_VALUE"""),"1261266")</f>
        <v>1261266</v>
      </c>
      <c r="S2613" s="211" t="str">
        <f>IFERROR(__xludf.DUMMYFUNCTION("""COMPUTED_VALUE"""),"9b941888")</f>
        <v>9b941888</v>
      </c>
      <c r="T2613" s="211" t="str">
        <f>IFERROR(__xludf.DUMMYFUNCTION("""COMPUTED_VALUE"""),"Mas Devi ( Parengan )")</f>
        <v>Mas Devi ( Parengan )</v>
      </c>
      <c r="U2613" s="215">
        <f>IFERROR(__xludf.DUMMYFUNCTION("""COMPUTED_VALUE"""),46072.675208333334)</f>
        <v>46072.67521</v>
      </c>
      <c r="V2613" s="211" t="str">
        <f>IFERROR(__xludf.DUMMYFUNCTION("""COMPUTED_VALUE"""),"Kraton Krian Sidoarjo, ( sebelah tower listrik )")</f>
        <v>Kraton Krian Sidoarjo, ( sebelah tower listrik )</v>
      </c>
      <c r="W2613" s="211" t="str">
        <f>IFERROR(__xludf.DUMMYFUNCTION("""COMPUTED_VALUE"""),"IN")</f>
        <v>IN</v>
      </c>
      <c r="X2613" s="211"/>
    </row>
    <row r="2614">
      <c r="A2614" s="210" t="str">
        <f>IFERROR(__xludf.DUMMYFUNCTION("""COMPUTED_VALUE"""),"112561845")</f>
        <v>112561845</v>
      </c>
      <c r="B2614" s="210" t="str">
        <f>IFERROR(__xludf.DUMMYFUNCTION("""COMPUTED_VALUE"""),"112561845")</f>
        <v>112561845</v>
      </c>
      <c r="C2614" s="213">
        <f>IFERROR(__xludf.DUMMYFUNCTION("""COMPUTED_VALUE"""),45988.64511574074)</f>
        <v>45988.64512</v>
      </c>
      <c r="D2614" s="211" t="str">
        <f>IFERROR(__xludf.DUMMYFUNCTION("""COMPUTED_VALUE"""),"06d600f6")</f>
        <v>06d600f6</v>
      </c>
      <c r="E2614" s="211" t="str">
        <f>IFERROR(__xludf.DUMMYFUNCTION("""COMPUTED_VALUE"""),"Ibu Ida")</f>
        <v>Ibu Ida</v>
      </c>
      <c r="F2614" s="211" t="str">
        <f>IFERROR(__xludf.DUMMYFUNCTION("""COMPUTED_VALUE"""),"f6aab7a9")</f>
        <v>f6aab7a9</v>
      </c>
      <c r="G2614" s="211" t="str">
        <f>IFERROR(__xludf.DUMMYFUNCTION("""COMPUTED_VALUE"""),"Oksigen 6m3 MR")</f>
        <v>Oksigen 6m3 MR</v>
      </c>
      <c r="H2614" s="211" t="str">
        <f>IFERROR(__xludf.DUMMYFUNCTION("""COMPUTED_VALUE"""),"OUT")</f>
        <v>OUT</v>
      </c>
      <c r="I2614" s="211" t="str">
        <f>IFERROR(__xludf.DUMMYFUNCTION("""COMPUTED_VALUE"""),"NORMAL")</f>
        <v>NORMAL</v>
      </c>
      <c r="J2614" s="211">
        <f>IFERROR(__xludf.DUMMYFUNCTION("""COMPUTED_VALUE"""),6.0)</f>
        <v>6</v>
      </c>
      <c r="K2614" s="210" t="str">
        <f>IFERROR(__xludf.DUMMYFUNCTION("""COMPUTED_VALUE"""),"04 03 02 01 05 06")</f>
        <v>04 03 02 01 05 06</v>
      </c>
      <c r="L2614" s="211">
        <f>IFERROR(__xludf.DUMMYFUNCTION("""COMPUTED_VALUE"""),50000.0)</f>
        <v>50000</v>
      </c>
      <c r="M2614" s="211"/>
      <c r="N2614" s="211"/>
      <c r="O2614" s="211"/>
      <c r="Q2614" s="210" t="str">
        <f>IFERROR(__xludf.DUMMYFUNCTION("""COMPUTED_VALUE"""),"0226102612")</f>
        <v>0226102612</v>
      </c>
      <c r="R2614" s="210" t="str">
        <f>IFERROR(__xludf.DUMMYFUNCTION("""COMPUTED_VALUE"""),"0226102612")</f>
        <v>0226102612</v>
      </c>
      <c r="S2614" s="211" t="str">
        <f>IFERROR(__xludf.DUMMYFUNCTION("""COMPUTED_VALUE"""),"b0735da4")</f>
        <v>b0735da4</v>
      </c>
      <c r="T2614" s="211" t="str">
        <f>IFERROR(__xludf.DUMMYFUNCTION("""COMPUTED_VALUE"""),"Bpk. Amer Ciro")</f>
        <v>Bpk. Amer Ciro</v>
      </c>
      <c r="U2614" s="215">
        <f>IFERROR(__xludf.DUMMYFUNCTION("""COMPUTED_VALUE"""),46073.36922453704)</f>
        <v>46073.36922</v>
      </c>
      <c r="V2614" s="211" t="str">
        <f>IFERROR(__xludf.DUMMYFUNCTION("""COMPUTED_VALUE"""),"HFJR+FV8 Bakungtemenggungan, Kabupaten Sidoarjo, Jawa Timur")</f>
        <v>HFJR+FV8 Bakungtemenggungan, Kabupaten Sidoarjo, Jawa Timur</v>
      </c>
      <c r="W2614" s="211" t="str">
        <f>IFERROR(__xludf.DUMMYFUNCTION("""COMPUTED_VALUE"""),"OUT")</f>
        <v>OUT</v>
      </c>
      <c r="X2614" s="211"/>
    </row>
    <row r="2615">
      <c r="A2615" s="210" t="str">
        <f>IFERROR(__xludf.DUMMYFUNCTION("""COMPUTED_VALUE"""),"1250871")</f>
        <v>1250871</v>
      </c>
      <c r="B2615" s="210" t="str">
        <f>IFERROR(__xludf.DUMMYFUNCTION("""COMPUTED_VALUE"""),"1250871")</f>
        <v>1250871</v>
      </c>
      <c r="C2615" s="213">
        <f>IFERROR(__xludf.DUMMYFUNCTION("""COMPUTED_VALUE"""),45988.648726851854)</f>
        <v>45988.64873</v>
      </c>
      <c r="D2615" s="211" t="str">
        <f>IFERROR(__xludf.DUMMYFUNCTION("""COMPUTED_VALUE"""),"f98b1e81")</f>
        <v>f98b1e81</v>
      </c>
      <c r="E2615" s="211" t="str">
        <f>IFERROR(__xludf.DUMMYFUNCTION("""COMPUTED_VALUE"""),"CV. Greenlife Tirta Sentosa")</f>
        <v>CV. Greenlife Tirta Sentosa</v>
      </c>
      <c r="F2615" s="211" t="str">
        <f>IFERROR(__xludf.DUMMYFUNCTION("""COMPUTED_VALUE"""),"8bdbe149")</f>
        <v>8bdbe149</v>
      </c>
      <c r="G2615" s="211" t="str">
        <f>IFERROR(__xludf.DUMMYFUNCTION("""COMPUTED_VALUE"""),"Oksigen 6m3")</f>
        <v>Oksigen 6m3</v>
      </c>
      <c r="H2615" s="211" t="str">
        <f>IFERROR(__xludf.DUMMYFUNCTION("""COMPUTED_VALUE"""),"IN")</f>
        <v>IN</v>
      </c>
      <c r="I2615" s="211" t="str">
        <f>IFERROR(__xludf.DUMMYFUNCTION("""COMPUTED_VALUE"""),"EMPTY")</f>
        <v>EMPTY</v>
      </c>
      <c r="J2615" s="211">
        <f>IFERROR(__xludf.DUMMYFUNCTION("""COMPUTED_VALUE"""),1.0)</f>
        <v>1</v>
      </c>
      <c r="K2615" s="210" t="str">
        <f>IFERROR(__xludf.DUMMYFUNCTION("""COMPUTED_VALUE"""),"11202")</f>
        <v>11202</v>
      </c>
      <c r="L2615" s="211">
        <f>IFERROR(__xludf.DUMMYFUNCTION("""COMPUTED_VALUE"""),0.0)</f>
        <v>0</v>
      </c>
      <c r="M2615" s="211"/>
      <c r="N2615" s="211"/>
      <c r="O2615" s="211"/>
      <c r="Q2615" s="210" t="str">
        <f>IFERROR(__xludf.DUMMYFUNCTION("""COMPUTED_VALUE"""),"1261255")</f>
        <v>1261255</v>
      </c>
      <c r="R2615" s="210" t="str">
        <f>IFERROR(__xludf.DUMMYFUNCTION("""COMPUTED_VALUE"""),"1261255")</f>
        <v>1261255</v>
      </c>
      <c r="S2615" s="211" t="str">
        <f>IFERROR(__xludf.DUMMYFUNCTION("""COMPUTED_VALUE"""),"b0735da4")</f>
        <v>b0735da4</v>
      </c>
      <c r="T2615" s="211" t="str">
        <f>IFERROR(__xludf.DUMMYFUNCTION("""COMPUTED_VALUE"""),"Bpk. Amer Ciro")</f>
        <v>Bpk. Amer Ciro</v>
      </c>
      <c r="U2615" s="215">
        <f>IFERROR(__xludf.DUMMYFUNCTION("""COMPUTED_VALUE"""),46073.419652777775)</f>
        <v>46073.41965</v>
      </c>
      <c r="V2615" s="211" t="str">
        <f>IFERROR(__xludf.DUMMYFUNCTION("""COMPUTED_VALUE"""),"HFJR+FV8 Bakungtemenggungan, Kabupaten Sidoarjo, Jawa Timur")</f>
        <v>HFJR+FV8 Bakungtemenggungan, Kabupaten Sidoarjo, Jawa Timur</v>
      </c>
      <c r="W2615" s="211" t="str">
        <f>IFERROR(__xludf.DUMMYFUNCTION("""COMPUTED_VALUE"""),"IN")</f>
        <v>IN</v>
      </c>
      <c r="X2615" s="211"/>
    </row>
    <row r="2616">
      <c r="A2616" s="210" t="str">
        <f>IFERROR(__xludf.DUMMYFUNCTION("""COMPUTED_VALUE"""),"112581846")</f>
        <v>112581846</v>
      </c>
      <c r="B2616" s="210" t="str">
        <f>IFERROR(__xludf.DUMMYFUNCTION("""COMPUTED_VALUE"""),"112581846")</f>
        <v>112581846</v>
      </c>
      <c r="C2616" s="213">
        <f>IFERROR(__xludf.DUMMYFUNCTION("""COMPUTED_VALUE"""),45989.34646990741)</f>
        <v>45989.34647</v>
      </c>
      <c r="D2616" s="211" t="str">
        <f>IFERROR(__xludf.DUMMYFUNCTION("""COMPUTED_VALUE"""),"eec2e801")</f>
        <v>eec2e801</v>
      </c>
      <c r="E2616" s="211" t="str">
        <f>IFERROR(__xludf.DUMMYFUNCTION("""COMPUTED_VALUE"""),"Mitra Wood Sejahtera")</f>
        <v>Mitra Wood Sejahtera</v>
      </c>
      <c r="F2616" s="211" t="str">
        <f>IFERROR(__xludf.DUMMYFUNCTION("""COMPUTED_VALUE"""),"8bdbe149")</f>
        <v>8bdbe149</v>
      </c>
      <c r="G2616" s="211" t="str">
        <f>IFERROR(__xludf.DUMMYFUNCTION("""COMPUTED_VALUE"""),"Oksigen 6m3")</f>
        <v>Oksigen 6m3</v>
      </c>
      <c r="H2616" s="211" t="str">
        <f>IFERROR(__xludf.DUMMYFUNCTION("""COMPUTED_VALUE"""),"OUT")</f>
        <v>OUT</v>
      </c>
      <c r="I2616" s="211" t="str">
        <f>IFERROR(__xludf.DUMMYFUNCTION("""COMPUTED_VALUE"""),"NORMAL")</f>
        <v>NORMAL</v>
      </c>
      <c r="J2616" s="211">
        <f>IFERROR(__xludf.DUMMYFUNCTION("""COMPUTED_VALUE"""),5.0)</f>
        <v>5</v>
      </c>
      <c r="K2616" s="210" t="str">
        <f>IFERROR(__xludf.DUMMYFUNCTION("""COMPUTED_VALUE"""),"1137 11229 11228 11235 11196")</f>
        <v>1137 11229 11228 11235 11196</v>
      </c>
      <c r="L2616" s="211">
        <f>IFERROR(__xludf.DUMMYFUNCTION("""COMPUTED_VALUE"""),55000.0)</f>
        <v>55000</v>
      </c>
      <c r="M2616" s="211"/>
      <c r="N2616" s="211"/>
      <c r="O2616" s="211"/>
      <c r="Q2616" s="210" t="str">
        <f>IFERROR(__xludf.DUMMYFUNCTION("""COMPUTED_VALUE"""),"1261267")</f>
        <v>1261267</v>
      </c>
      <c r="R2616" s="210" t="str">
        <f>IFERROR(__xludf.DUMMYFUNCTION("""COMPUTED_VALUE"""),"1261267")</f>
        <v>1261267</v>
      </c>
      <c r="S2616" s="211" t="str">
        <f>IFERROR(__xludf.DUMMYFUNCTION("""COMPUTED_VALUE"""),"06d600f6")</f>
        <v>06d600f6</v>
      </c>
      <c r="T2616" s="211" t="str">
        <f>IFERROR(__xludf.DUMMYFUNCTION("""COMPUTED_VALUE"""),"Ibu Ida")</f>
        <v>Ibu Ida</v>
      </c>
      <c r="U2616" s="215">
        <f>IFERROR(__xludf.DUMMYFUNCTION("""COMPUTED_VALUE"""),46073.41997685185)</f>
        <v>46073.41998</v>
      </c>
      <c r="V2616" s="211" t="str">
        <f>IFERROR(__xludf.DUMMYFUNCTION("""COMPUTED_VALUE"""),"Wonoayu rt 1 rw 4, Kec wonoayu, Kab. Sidoarjo")</f>
        <v>Wonoayu rt 1 rw 4, Kec wonoayu, Kab. Sidoarjo</v>
      </c>
      <c r="W2616" s="211" t="str">
        <f>IFERROR(__xludf.DUMMYFUNCTION("""COMPUTED_VALUE"""),"IN")</f>
        <v>IN</v>
      </c>
      <c r="X2616" s="211"/>
    </row>
    <row r="2617">
      <c r="A2617" s="210" t="str">
        <f>IFERROR(__xludf.DUMMYFUNCTION("""COMPUTED_VALUE"""),"112561848")</f>
        <v>112561848</v>
      </c>
      <c r="B2617" s="210" t="str">
        <f>IFERROR(__xludf.DUMMYFUNCTION("""COMPUTED_VALUE"""),"112561848")</f>
        <v>112561848</v>
      </c>
      <c r="C2617" s="213">
        <f>IFERROR(__xludf.DUMMYFUNCTION("""COMPUTED_VALUE"""),45989.36552083334)</f>
        <v>45989.36552</v>
      </c>
      <c r="D2617" s="211" t="str">
        <f>IFERROR(__xludf.DUMMYFUNCTION("""COMPUTED_VALUE"""),"a0f0ad2d")</f>
        <v>a0f0ad2d</v>
      </c>
      <c r="E2617" s="211" t="str">
        <f>IFERROR(__xludf.DUMMYFUNCTION("""COMPUTED_VALUE"""),"CV. Yulie Jaya")</f>
        <v>CV. Yulie Jaya</v>
      </c>
      <c r="F2617" s="211" t="str">
        <f>IFERROR(__xludf.DUMMYFUNCTION("""COMPUTED_VALUE"""),"7d2764f1")</f>
        <v>7d2764f1</v>
      </c>
      <c r="G2617" s="211" t="str">
        <f>IFERROR(__xludf.DUMMYFUNCTION("""COMPUTED_VALUE"""),"Oksigen 7m3")</f>
        <v>Oksigen 7m3</v>
      </c>
      <c r="H2617" s="211" t="str">
        <f>IFERROR(__xludf.DUMMYFUNCTION("""COMPUTED_VALUE"""),"OUT")</f>
        <v>OUT</v>
      </c>
      <c r="I2617" s="211" t="str">
        <f>IFERROR(__xludf.DUMMYFUNCTION("""COMPUTED_VALUE"""),"NORMAL")</f>
        <v>NORMAL</v>
      </c>
      <c r="J2617" s="211">
        <f>IFERROR(__xludf.DUMMYFUNCTION("""COMPUTED_VALUE"""),10.0)</f>
        <v>10</v>
      </c>
      <c r="K2617" s="210" t="str">
        <f>IFERROR(__xludf.DUMMYFUNCTION("""COMPUTED_VALUE"""),"11157 11158 11149 11154 11151 11163 11178 11143 11141 11146")</f>
        <v>11157 11158 11149 11154 11151 11163 11178 11143 11141 11146</v>
      </c>
      <c r="L2617" s="211">
        <f>IFERROR(__xludf.DUMMYFUNCTION("""COMPUTED_VALUE"""),60000.0)</f>
        <v>60000</v>
      </c>
      <c r="M2617" s="211"/>
      <c r="N2617" s="211"/>
      <c r="O2617" s="211"/>
      <c r="Q2617" s="210" t="str">
        <f>IFERROR(__xludf.DUMMYFUNCTION("""COMPUTED_VALUE"""),"0226152615")</f>
        <v>0226152615</v>
      </c>
      <c r="R2617" s="210" t="str">
        <f>IFERROR(__xludf.DUMMYFUNCTION("""COMPUTED_VALUE"""),"0226152615")</f>
        <v>0226152615</v>
      </c>
      <c r="S2617" s="211" t="str">
        <f>IFERROR(__xludf.DUMMYFUNCTION("""COMPUTED_VALUE"""),"9b941888")</f>
        <v>9b941888</v>
      </c>
      <c r="T2617" s="211" t="str">
        <f>IFERROR(__xludf.DUMMYFUNCTION("""COMPUTED_VALUE"""),"Mas Devi ( Parengan )")</f>
        <v>Mas Devi ( Parengan )</v>
      </c>
      <c r="U2617" s="215">
        <f>IFERROR(__xludf.DUMMYFUNCTION("""COMPUTED_VALUE"""),46073.43446759259)</f>
        <v>46073.43447</v>
      </c>
      <c r="V2617" s="211" t="str">
        <f>IFERROR(__xludf.DUMMYFUNCTION("""COMPUTED_VALUE"""),"Kraton Krian Sidoarjo, ( sebelah tower listrik )")</f>
        <v>Kraton Krian Sidoarjo, ( sebelah tower listrik )</v>
      </c>
      <c r="W2617" s="211" t="str">
        <f>IFERROR(__xludf.DUMMYFUNCTION("""COMPUTED_VALUE"""),"OUT")</f>
        <v>OUT</v>
      </c>
      <c r="X2617" s="211"/>
    </row>
    <row r="2618">
      <c r="A2618" s="210" t="str">
        <f>IFERROR(__xludf.DUMMYFUNCTION("""COMPUTED_VALUE"""),"1250872")</f>
        <v>1250872</v>
      </c>
      <c r="B2618" s="210" t="str">
        <f>IFERROR(__xludf.DUMMYFUNCTION("""COMPUTED_VALUE"""),"1250872")</f>
        <v>1250872</v>
      </c>
      <c r="C2618" s="213">
        <f>IFERROR(__xludf.DUMMYFUNCTION("""COMPUTED_VALUE"""),45989.38489583333)</f>
        <v>45989.3849</v>
      </c>
      <c r="D2618" s="211" t="str">
        <f>IFERROR(__xludf.DUMMYFUNCTION("""COMPUTED_VALUE"""),"182fb0fe")</f>
        <v>182fb0fe</v>
      </c>
      <c r="E2618" s="211" t="str">
        <f>IFERROR(__xludf.DUMMYFUNCTION("""COMPUTED_VALUE"""),"PT Amtech")</f>
        <v>PT Amtech</v>
      </c>
      <c r="F2618" s="211" t="str">
        <f>IFERROR(__xludf.DUMMYFUNCTION("""COMPUTED_VALUE"""),"8bdbe149")</f>
        <v>8bdbe149</v>
      </c>
      <c r="G2618" s="211" t="str">
        <f>IFERROR(__xludf.DUMMYFUNCTION("""COMPUTED_VALUE"""),"Oksigen 6m3")</f>
        <v>Oksigen 6m3</v>
      </c>
      <c r="H2618" s="211" t="str">
        <f>IFERROR(__xludf.DUMMYFUNCTION("""COMPUTED_VALUE"""),"IN")</f>
        <v>IN</v>
      </c>
      <c r="I2618" s="211" t="str">
        <f>IFERROR(__xludf.DUMMYFUNCTION("""COMPUTED_VALUE"""),"EMPTY")</f>
        <v>EMPTY</v>
      </c>
      <c r="J2618" s="211">
        <f>IFERROR(__xludf.DUMMYFUNCTION("""COMPUTED_VALUE"""),2.0)</f>
        <v>2</v>
      </c>
      <c r="K2618" s="210" t="str">
        <f>IFERROR(__xludf.DUMMYFUNCTION("""COMPUTED_VALUE"""),"11256 2303")</f>
        <v>11256 2303</v>
      </c>
      <c r="L2618" s="211">
        <f>IFERROR(__xludf.DUMMYFUNCTION("""COMPUTED_VALUE"""),0.0)</f>
        <v>0</v>
      </c>
      <c r="M2618" s="211"/>
      <c r="N2618" s="211" t="str">
        <f>IFERROR(__xludf.DUMMYFUNCTION("""COMPUTED_VALUE"""),"(2303) Tabung ganti")</f>
        <v>(2303) Tabung ganti</v>
      </c>
      <c r="O2618" s="211"/>
      <c r="Q2618" s="210" t="str">
        <f>IFERROR(__xludf.DUMMYFUNCTION("""COMPUTED_VALUE"""),"022622618")</f>
        <v>022622618</v>
      </c>
      <c r="R2618" s="210" t="str">
        <f>IFERROR(__xludf.DUMMYFUNCTION("""COMPUTED_VALUE"""),"022622618")</f>
        <v>022622618</v>
      </c>
      <c r="S2618" s="211" t="str">
        <f>IFERROR(__xludf.DUMMYFUNCTION("""COMPUTED_VALUE"""),"d9b2fac5")</f>
        <v>d9b2fac5</v>
      </c>
      <c r="T2618" s="211" t="str">
        <f>IFERROR(__xludf.DUMMYFUNCTION("""COMPUTED_VALUE"""),"Dwi Riza ( Ponokawan)")</f>
        <v>Dwi Riza ( Ponokawan)</v>
      </c>
      <c r="U2618" s="215">
        <f>IFERROR(__xludf.DUMMYFUNCTION("""COMPUTED_VALUE"""),46073.65456018518)</f>
        <v>46073.65456</v>
      </c>
      <c r="V2618" s="211" t="str">
        <f>IFERROR(__xludf.DUMMYFUNCTION("""COMPUTED_VALUE"""),"Jl. Raya Ponokawan No.28 RT 07 RW 03 Kec. Krian Sidoarjo (Seberang Bengkel An.Nur/ Deretan Baraka Expres)")</f>
        <v>Jl. Raya Ponokawan No.28 RT 07 RW 03 Kec. Krian Sidoarjo (Seberang Bengkel An.Nur/ Deretan Baraka Expres)</v>
      </c>
      <c r="W2618" s="211" t="str">
        <f>IFERROR(__xludf.DUMMYFUNCTION("""COMPUTED_VALUE"""),"OUT")</f>
        <v>OUT</v>
      </c>
      <c r="X2618" s="211"/>
    </row>
    <row r="2619">
      <c r="A2619" s="210" t="str">
        <f>IFERROR(__xludf.DUMMYFUNCTION("""COMPUTED_VALUE"""),"1250872")</f>
        <v>1250872</v>
      </c>
      <c r="B2619" s="210" t="str">
        <f>IFERROR(__xludf.DUMMYFUNCTION("""COMPUTED_VALUE"""),"1250872")</f>
        <v>1250872</v>
      </c>
      <c r="C2619" s="213">
        <f>IFERROR(__xludf.DUMMYFUNCTION("""COMPUTED_VALUE"""),45989.38489583333)</f>
        <v>45989.3849</v>
      </c>
      <c r="D2619" s="211" t="str">
        <f>IFERROR(__xludf.DUMMYFUNCTION("""COMPUTED_VALUE"""),"182fb0fe")</f>
        <v>182fb0fe</v>
      </c>
      <c r="E2619" s="211" t="str">
        <f>IFERROR(__xludf.DUMMYFUNCTION("""COMPUTED_VALUE"""),"PT Amtech")</f>
        <v>PT Amtech</v>
      </c>
      <c r="F2619" s="211" t="str">
        <f>IFERROR(__xludf.DUMMYFUNCTION("""COMPUTED_VALUE"""),"66af7c72")</f>
        <v>66af7c72</v>
      </c>
      <c r="G2619" s="211" t="str">
        <f>IFERROR(__xludf.DUMMYFUNCTION("""COMPUTED_VALUE"""),"Argon 6m3")</f>
        <v>Argon 6m3</v>
      </c>
      <c r="H2619" s="211" t="str">
        <f>IFERROR(__xludf.DUMMYFUNCTION("""COMPUTED_VALUE"""),"IN")</f>
        <v>IN</v>
      </c>
      <c r="I2619" s="211" t="str">
        <f>IFERROR(__xludf.DUMMYFUNCTION("""COMPUTED_VALUE"""),"EMPTY")</f>
        <v>EMPTY</v>
      </c>
      <c r="J2619" s="211">
        <f>IFERROR(__xludf.DUMMYFUNCTION("""COMPUTED_VALUE"""),4.0)</f>
        <v>4</v>
      </c>
      <c r="K2619" s="210" t="str">
        <f>IFERROR(__xludf.DUMMYFUNCTION("""COMPUTED_VALUE"""),"12065 12072 12052 12006")</f>
        <v>12065 12072 12052 12006</v>
      </c>
      <c r="L2619" s="211">
        <f>IFERROR(__xludf.DUMMYFUNCTION("""COMPUTED_VALUE"""),0.0)</f>
        <v>0</v>
      </c>
      <c r="M2619" s="211"/>
      <c r="N2619" s="211"/>
      <c r="O2619" s="211"/>
      <c r="Q2619" s="210" t="str">
        <f>IFERROR(__xludf.DUMMYFUNCTION("""COMPUTED_VALUE"""),"1261281")</f>
        <v>1261281</v>
      </c>
      <c r="R2619" s="210" t="str">
        <f>IFERROR(__xludf.DUMMYFUNCTION("""COMPUTED_VALUE"""),"1261281")</f>
        <v>1261281</v>
      </c>
      <c r="S2619" s="211" t="str">
        <f>IFERROR(__xludf.DUMMYFUNCTION("""COMPUTED_VALUE"""),"d9b2fac5")</f>
        <v>d9b2fac5</v>
      </c>
      <c r="T2619" s="211" t="str">
        <f>IFERROR(__xludf.DUMMYFUNCTION("""COMPUTED_VALUE"""),"Dwi Riza ( Ponokawan)")</f>
        <v>Dwi Riza ( Ponokawan)</v>
      </c>
      <c r="U2619" s="215">
        <f>IFERROR(__xludf.DUMMYFUNCTION("""COMPUTED_VALUE"""),46073.66195601852)</f>
        <v>46073.66196</v>
      </c>
      <c r="V2619" s="211" t="str">
        <f>IFERROR(__xludf.DUMMYFUNCTION("""COMPUTED_VALUE"""),"Jl. Raya Ponokawan No.28 RT 07 RW 03 Kec. Krian Sidoarjo (Seberang Bengkel An.Nur/ Deretan Baraka Expres)")</f>
        <v>Jl. Raya Ponokawan No.28 RT 07 RW 03 Kec. Krian Sidoarjo (Seberang Bengkel An.Nur/ Deretan Baraka Expres)</v>
      </c>
      <c r="W2619" s="211" t="str">
        <f>IFERROR(__xludf.DUMMYFUNCTION("""COMPUTED_VALUE"""),"IN")</f>
        <v>IN</v>
      </c>
      <c r="X2619" s="211"/>
    </row>
    <row r="2620">
      <c r="A2620" s="210" t="str">
        <f>IFERROR(__xludf.DUMMYFUNCTION("""COMPUTED_VALUE"""),"1250873")</f>
        <v>1250873</v>
      </c>
      <c r="B2620" s="210" t="str">
        <f>IFERROR(__xludf.DUMMYFUNCTION("""COMPUTED_VALUE"""),"1250873")</f>
        <v>1250873</v>
      </c>
      <c r="C2620" s="213">
        <f>IFERROR(__xludf.DUMMYFUNCTION("""COMPUTED_VALUE"""),45989.440833333334)</f>
        <v>45989.44083</v>
      </c>
      <c r="D2620" s="211" t="str">
        <f>IFERROR(__xludf.DUMMYFUNCTION("""COMPUTED_VALUE"""),"a0f0ad2d")</f>
        <v>a0f0ad2d</v>
      </c>
      <c r="E2620" s="211" t="str">
        <f>IFERROR(__xludf.DUMMYFUNCTION("""COMPUTED_VALUE"""),"CV. Yulie Jaya")</f>
        <v>CV. Yulie Jaya</v>
      </c>
      <c r="F2620" s="211" t="str">
        <f>IFERROR(__xludf.DUMMYFUNCTION("""COMPUTED_VALUE"""),"7d2764f1")</f>
        <v>7d2764f1</v>
      </c>
      <c r="G2620" s="211" t="str">
        <f>IFERROR(__xludf.DUMMYFUNCTION("""COMPUTED_VALUE"""),"Oksigen 7m3")</f>
        <v>Oksigen 7m3</v>
      </c>
      <c r="H2620" s="211" t="str">
        <f>IFERROR(__xludf.DUMMYFUNCTION("""COMPUTED_VALUE"""),"IN")</f>
        <v>IN</v>
      </c>
      <c r="I2620" s="211" t="str">
        <f>IFERROR(__xludf.DUMMYFUNCTION("""COMPUTED_VALUE"""),"EMPTY")</f>
        <v>EMPTY</v>
      </c>
      <c r="J2620" s="211">
        <f>IFERROR(__xludf.DUMMYFUNCTION("""COMPUTED_VALUE"""),2.0)</f>
        <v>2</v>
      </c>
      <c r="K2620" s="210" t="str">
        <f>IFERROR(__xludf.DUMMYFUNCTION("""COMPUTED_VALUE"""),"11229 11213")</f>
        <v>11229 11213</v>
      </c>
      <c r="L2620" s="211">
        <f>IFERROR(__xludf.DUMMYFUNCTION("""COMPUTED_VALUE"""),0.0)</f>
        <v>0</v>
      </c>
      <c r="M2620" s="211"/>
      <c r="N2620" s="211"/>
      <c r="O2620" s="211"/>
      <c r="Q2620" s="210" t="str">
        <f>IFERROR(__xludf.DUMMYFUNCTION("""COMPUTED_VALUE"""),"022672619")</f>
        <v>022672619</v>
      </c>
      <c r="R2620" s="210" t="str">
        <f>IFERROR(__xludf.DUMMYFUNCTION("""COMPUTED_VALUE"""),"022672619")</f>
        <v>022672619</v>
      </c>
      <c r="S2620" s="211" t="str">
        <f>IFERROR(__xludf.DUMMYFUNCTION("""COMPUTED_VALUE"""),"1c4d5e93")</f>
        <v>1c4d5e93</v>
      </c>
      <c r="T2620" s="211" t="str">
        <f>IFERROR(__xludf.DUMMYFUNCTION("""COMPUTED_VALUE"""),"Karoseri Cipta Mitra Sukses")</f>
        <v>Karoseri Cipta Mitra Sukses</v>
      </c>
      <c r="U2620" s="215">
        <f>IFERROR(__xludf.DUMMYFUNCTION("""COMPUTED_VALUE"""),46074.3471875)</f>
        <v>46074.34719</v>
      </c>
      <c r="V2620" s="211" t="str">
        <f>IFERROR(__xludf.DUMMYFUNCTION("""COMPUTED_VALUE"""),"JL. Bypass Krian No. 7800, Blok B No 11. Barengkrajan, Kec. Krian, Kabupaten Sidoarjo, Jawa Timur  61262")</f>
        <v>JL. Bypass Krian No. 7800, Blok B No 11. Barengkrajan, Kec. Krian, Kabupaten Sidoarjo, Jawa Timur  61262</v>
      </c>
      <c r="W2620" s="211" t="str">
        <f>IFERROR(__xludf.DUMMYFUNCTION("""COMPUTED_VALUE"""),"OUT")</f>
        <v>OUT</v>
      </c>
      <c r="X2620" s="211"/>
    </row>
    <row r="2621">
      <c r="A2621" s="210" t="str">
        <f>IFERROR(__xludf.DUMMYFUNCTION("""COMPUTED_VALUE"""),"1250873")</f>
        <v>1250873</v>
      </c>
      <c r="B2621" s="210" t="str">
        <f>IFERROR(__xludf.DUMMYFUNCTION("""COMPUTED_VALUE"""),"1250873")</f>
        <v>1250873</v>
      </c>
      <c r="C2621" s="213">
        <f>IFERROR(__xludf.DUMMYFUNCTION("""COMPUTED_VALUE"""),45989.440833333334)</f>
        <v>45989.44083</v>
      </c>
      <c r="D2621" s="211" t="str">
        <f>IFERROR(__xludf.DUMMYFUNCTION("""COMPUTED_VALUE"""),"a0f0ad2d")</f>
        <v>a0f0ad2d</v>
      </c>
      <c r="E2621" s="211" t="str">
        <f>IFERROR(__xludf.DUMMYFUNCTION("""COMPUTED_VALUE"""),"CV. Yulie Jaya")</f>
        <v>CV. Yulie Jaya</v>
      </c>
      <c r="F2621" s="211" t="str">
        <f>IFERROR(__xludf.DUMMYFUNCTION("""COMPUTED_VALUE"""),"be525f3b")</f>
        <v>be525f3b</v>
      </c>
      <c r="G2621" s="211" t="str">
        <f>IFERROR(__xludf.DUMMYFUNCTION("""COMPUTED_VALUE"""),"LPG 12kg")</f>
        <v>LPG 12kg</v>
      </c>
      <c r="H2621" s="211" t="str">
        <f>IFERROR(__xludf.DUMMYFUNCTION("""COMPUTED_VALUE"""),"IN")</f>
        <v>IN</v>
      </c>
      <c r="I2621" s="211" t="str">
        <f>IFERROR(__xludf.DUMMYFUNCTION("""COMPUTED_VALUE"""),"EMPTY")</f>
        <v>EMPTY</v>
      </c>
      <c r="J2621" s="211">
        <f>IFERROR(__xludf.DUMMYFUNCTION("""COMPUTED_VALUE"""),2.0)</f>
        <v>2</v>
      </c>
      <c r="K2621" s="210" t="str">
        <f>IFERROR(__xludf.DUMMYFUNCTION("""COMPUTED_VALUE"""),"01 02")</f>
        <v>01 02</v>
      </c>
      <c r="L2621" s="211">
        <f>IFERROR(__xludf.DUMMYFUNCTION("""COMPUTED_VALUE"""),0.0)</f>
        <v>0</v>
      </c>
      <c r="M2621" s="211"/>
      <c r="N2621" s="211"/>
      <c r="O2621" s="211"/>
      <c r="Q2621" s="210" t="str">
        <f>IFERROR(__xludf.DUMMYFUNCTION("""COMPUTED_VALUE"""),"022682621")</f>
        <v>022682621</v>
      </c>
      <c r="R2621" s="210" t="str">
        <f>IFERROR(__xludf.DUMMYFUNCTION("""COMPUTED_VALUE"""),"022682621")</f>
        <v>022682621</v>
      </c>
      <c r="S2621" s="211" t="str">
        <f>IFERROR(__xludf.DUMMYFUNCTION("""COMPUTED_VALUE"""),"06d600f6")</f>
        <v>06d600f6</v>
      </c>
      <c r="T2621" s="211" t="str">
        <f>IFERROR(__xludf.DUMMYFUNCTION("""COMPUTED_VALUE"""),"Ibu Ida")</f>
        <v>Ibu Ida</v>
      </c>
      <c r="U2621" s="215">
        <f>IFERROR(__xludf.DUMMYFUNCTION("""COMPUTED_VALUE"""),46074.35065972222)</f>
        <v>46074.35066</v>
      </c>
      <c r="V2621" s="211" t="str">
        <f>IFERROR(__xludf.DUMMYFUNCTION("""COMPUTED_VALUE"""),"Wonoayu rt 1 rw 4, Kec wonoayu, Kab. Sidoarjo")</f>
        <v>Wonoayu rt 1 rw 4, Kec wonoayu, Kab. Sidoarjo</v>
      </c>
      <c r="W2621" s="211" t="str">
        <f>IFERROR(__xludf.DUMMYFUNCTION("""COMPUTED_VALUE"""),"OUT")</f>
        <v>OUT</v>
      </c>
      <c r="X2621" s="211"/>
    </row>
    <row r="2622">
      <c r="A2622" s="210" t="str">
        <f>IFERROR(__xludf.DUMMYFUNCTION("""COMPUTED_VALUE"""),"1250881")</f>
        <v>1250881</v>
      </c>
      <c r="B2622" s="210" t="str">
        <f>IFERROR(__xludf.DUMMYFUNCTION("""COMPUTED_VALUE"""),"1250881")</f>
        <v>1250881</v>
      </c>
      <c r="C2622" s="213">
        <f>IFERROR(__xludf.DUMMYFUNCTION("""COMPUTED_VALUE"""),45989.464212962965)</f>
        <v>45989.46421</v>
      </c>
      <c r="D2622" s="211" t="str">
        <f>IFERROR(__xludf.DUMMYFUNCTION("""COMPUTED_VALUE"""),"eec2e801")</f>
        <v>eec2e801</v>
      </c>
      <c r="E2622" s="211" t="str">
        <f>IFERROR(__xludf.DUMMYFUNCTION("""COMPUTED_VALUE"""),"Mitra Wood Sejahtera")</f>
        <v>Mitra Wood Sejahtera</v>
      </c>
      <c r="F2622" s="211" t="str">
        <f>IFERROR(__xludf.DUMMYFUNCTION("""COMPUTED_VALUE"""),"8bdbe149")</f>
        <v>8bdbe149</v>
      </c>
      <c r="G2622" s="211" t="str">
        <f>IFERROR(__xludf.DUMMYFUNCTION("""COMPUTED_VALUE"""),"Oksigen 6m3")</f>
        <v>Oksigen 6m3</v>
      </c>
      <c r="H2622" s="211" t="str">
        <f>IFERROR(__xludf.DUMMYFUNCTION("""COMPUTED_VALUE"""),"IN")</f>
        <v>IN</v>
      </c>
      <c r="I2622" s="211" t="str">
        <f>IFERROR(__xludf.DUMMYFUNCTION("""COMPUTED_VALUE"""),"EMPTY")</f>
        <v>EMPTY</v>
      </c>
      <c r="J2622" s="211">
        <f>IFERROR(__xludf.DUMMYFUNCTION("""COMPUTED_VALUE"""),3.0)</f>
        <v>3</v>
      </c>
      <c r="K2622" s="210" t="str">
        <f>IFERROR(__xludf.DUMMYFUNCTION("""COMPUTED_VALUE"""),"1197 11248 11199")</f>
        <v>1197 11248 11199</v>
      </c>
      <c r="L2622" s="211">
        <f>IFERROR(__xludf.DUMMYFUNCTION("""COMPUTED_VALUE"""),0.0)</f>
        <v>0</v>
      </c>
      <c r="M2622" s="211"/>
      <c r="N2622" s="211"/>
      <c r="O2622" s="211"/>
      <c r="Q2622" s="210" t="str">
        <f>IFERROR(__xludf.DUMMYFUNCTION("""COMPUTED_VALUE"""),"1261269")</f>
        <v>1261269</v>
      </c>
      <c r="R2622" s="210" t="str">
        <f>IFERROR(__xludf.DUMMYFUNCTION("""COMPUTED_VALUE"""),"1261269")</f>
        <v>1261269</v>
      </c>
      <c r="S2622" s="211" t="str">
        <f>IFERROR(__xludf.DUMMYFUNCTION("""COMPUTED_VALUE"""),"057b6b99")</f>
        <v>057b6b99</v>
      </c>
      <c r="T2622" s="211" t="str">
        <f>IFERROR(__xludf.DUMMYFUNCTION("""COMPUTED_VALUE"""),"PT Anuta Utama Transport")</f>
        <v>PT Anuta Utama Transport</v>
      </c>
      <c r="U2622" s="215">
        <f>IFERROR(__xludf.DUMMYFUNCTION("""COMPUTED_VALUE"""),46074.46244212963)</f>
        <v>46074.46244</v>
      </c>
      <c r="V2622" s="211" t="str">
        <f>IFERROR(__xludf.DUMMYFUNCTION("""COMPUTED_VALUE"""),"Jl Raya ketimang KM 10, Kec. Wonoayu, Kab. Sidoarjo, Jawa Timur")</f>
        <v>Jl Raya ketimang KM 10, Kec. Wonoayu, Kab. Sidoarjo, Jawa Timur</v>
      </c>
      <c r="W2622" s="211" t="str">
        <f>IFERROR(__xludf.DUMMYFUNCTION("""COMPUTED_VALUE"""),"IN")</f>
        <v>IN</v>
      </c>
      <c r="X2622" s="211"/>
    </row>
    <row r="2623">
      <c r="A2623" s="210" t="str">
        <f>IFERROR(__xludf.DUMMYFUNCTION("""COMPUTED_VALUE"""),"1125371849")</f>
        <v>1125371849</v>
      </c>
      <c r="B2623" s="210" t="str">
        <f>IFERROR(__xludf.DUMMYFUNCTION("""COMPUTED_VALUE"""),"1125371849")</f>
        <v>1125371849</v>
      </c>
      <c r="C2623" s="213">
        <f>IFERROR(__xludf.DUMMYFUNCTION("""COMPUTED_VALUE"""),45989.47094907407)</f>
        <v>45989.47095</v>
      </c>
      <c r="D2623" s="211" t="str">
        <f>IFERROR(__xludf.DUMMYFUNCTION("""COMPUTED_VALUE"""),"5f23ba17")</f>
        <v>5f23ba17</v>
      </c>
      <c r="E2623" s="211" t="str">
        <f>IFERROR(__xludf.DUMMYFUNCTION("""COMPUTED_VALUE"""),"Bpk. Joko (Gresik)")</f>
        <v>Bpk. Joko (Gresik)</v>
      </c>
      <c r="F2623" s="211" t="str">
        <f>IFERROR(__xludf.DUMMYFUNCTION("""COMPUTED_VALUE"""),"be525f3b")</f>
        <v>be525f3b</v>
      </c>
      <c r="G2623" s="211" t="str">
        <f>IFERROR(__xludf.DUMMYFUNCTION("""COMPUTED_VALUE"""),"LPG 12kg")</f>
        <v>LPG 12kg</v>
      </c>
      <c r="H2623" s="211" t="str">
        <f>IFERROR(__xludf.DUMMYFUNCTION("""COMPUTED_VALUE"""),"OUT")</f>
        <v>OUT</v>
      </c>
      <c r="I2623" s="211" t="str">
        <f>IFERROR(__xludf.DUMMYFUNCTION("""COMPUTED_VALUE"""),"NORMAL")</f>
        <v>NORMAL</v>
      </c>
      <c r="J2623" s="211">
        <f>IFERROR(__xludf.DUMMYFUNCTION("""COMPUTED_VALUE"""),3.0)</f>
        <v>3</v>
      </c>
      <c r="K2623" s="210" t="str">
        <f>IFERROR(__xludf.DUMMYFUNCTION("""COMPUTED_VALUE"""),"01 02 03")</f>
        <v>01 02 03</v>
      </c>
      <c r="L2623" s="211">
        <f>IFERROR(__xludf.DUMMYFUNCTION("""COMPUTED_VALUE"""),200000.0)</f>
        <v>200000</v>
      </c>
      <c r="M2623" s="211"/>
      <c r="N2623" s="211"/>
      <c r="O2623" s="211"/>
      <c r="Q2623" s="210" t="str">
        <f>IFERROR(__xludf.DUMMYFUNCTION("""COMPUTED_VALUE"""),"1261268")</f>
        <v>1261268</v>
      </c>
      <c r="R2623" s="210" t="str">
        <f>IFERROR(__xludf.DUMMYFUNCTION("""COMPUTED_VALUE"""),"1261268")</f>
        <v>1261268</v>
      </c>
      <c r="S2623" s="211" t="str">
        <f>IFERROR(__xludf.DUMMYFUNCTION("""COMPUTED_VALUE"""),"1c4d5e93")</f>
        <v>1c4d5e93</v>
      </c>
      <c r="T2623" s="211" t="str">
        <f>IFERROR(__xludf.DUMMYFUNCTION("""COMPUTED_VALUE"""),"Karoseri Cipta Mitra Sukses")</f>
        <v>Karoseri Cipta Mitra Sukses</v>
      </c>
      <c r="U2623" s="215">
        <f>IFERROR(__xludf.DUMMYFUNCTION("""COMPUTED_VALUE"""),46074.46361111111)</f>
        <v>46074.46361</v>
      </c>
      <c r="V2623" s="211" t="str">
        <f>IFERROR(__xludf.DUMMYFUNCTION("""COMPUTED_VALUE"""),"JL. Bypass Krian No. 7800, Blok B No 11. Barengkrajan, Kec. Krian, Kabupaten Sidoarjo, Jawa Timur  61262")</f>
        <v>JL. Bypass Krian No. 7800, Blok B No 11. Barengkrajan, Kec. Krian, Kabupaten Sidoarjo, Jawa Timur  61262</v>
      </c>
      <c r="W2623" s="211" t="str">
        <f>IFERROR(__xludf.DUMMYFUNCTION("""COMPUTED_VALUE"""),"IN")</f>
        <v>IN</v>
      </c>
      <c r="X2623" s="211"/>
    </row>
    <row r="2624">
      <c r="A2624" s="210" t="str">
        <f>IFERROR(__xludf.DUMMYFUNCTION("""COMPUTED_VALUE"""),"1250882")</f>
        <v>1250882</v>
      </c>
      <c r="B2624" s="210" t="str">
        <f>IFERROR(__xludf.DUMMYFUNCTION("""COMPUTED_VALUE"""),"1250882")</f>
        <v>1250882</v>
      </c>
      <c r="C2624" s="213">
        <f>IFERROR(__xludf.DUMMYFUNCTION("""COMPUTED_VALUE"""),45989.613854166666)</f>
        <v>45989.61385</v>
      </c>
      <c r="D2624" s="211" t="str">
        <f>IFERROR(__xludf.DUMMYFUNCTION("""COMPUTED_VALUE"""),"5f23ba17")</f>
        <v>5f23ba17</v>
      </c>
      <c r="E2624" s="211" t="str">
        <f>IFERROR(__xludf.DUMMYFUNCTION("""COMPUTED_VALUE"""),"Bpk. Joko (Gresik)")</f>
        <v>Bpk. Joko (Gresik)</v>
      </c>
      <c r="F2624" s="211" t="str">
        <f>IFERROR(__xludf.DUMMYFUNCTION("""COMPUTED_VALUE"""),"be525f3b")</f>
        <v>be525f3b</v>
      </c>
      <c r="G2624" s="211" t="str">
        <f>IFERROR(__xludf.DUMMYFUNCTION("""COMPUTED_VALUE"""),"LPG 12kg")</f>
        <v>LPG 12kg</v>
      </c>
      <c r="H2624" s="211" t="str">
        <f>IFERROR(__xludf.DUMMYFUNCTION("""COMPUTED_VALUE"""),"IN")</f>
        <v>IN</v>
      </c>
      <c r="I2624" s="211" t="str">
        <f>IFERROR(__xludf.DUMMYFUNCTION("""COMPUTED_VALUE"""),"EMPTY")</f>
        <v>EMPTY</v>
      </c>
      <c r="J2624" s="211">
        <f>IFERROR(__xludf.DUMMYFUNCTION("""COMPUTED_VALUE"""),3.0)</f>
        <v>3</v>
      </c>
      <c r="K2624" s="210" t="str">
        <f>IFERROR(__xludf.DUMMYFUNCTION("""COMPUTED_VALUE"""),"01 03 02")</f>
        <v>01 03 02</v>
      </c>
      <c r="L2624" s="211">
        <f>IFERROR(__xludf.DUMMYFUNCTION("""COMPUTED_VALUE"""),0.0)</f>
        <v>0</v>
      </c>
      <c r="M2624" s="211"/>
      <c r="N2624" s="211"/>
      <c r="O2624" s="211"/>
      <c r="Q2624" s="210" t="str">
        <f>IFERROR(__xludf.DUMMYFUNCTION("""COMPUTED_VALUE"""),"0226102622")</f>
        <v>0226102622</v>
      </c>
      <c r="R2624" s="210" t="str">
        <f>IFERROR(__xludf.DUMMYFUNCTION("""COMPUTED_VALUE"""),"0226102622")</f>
        <v>0226102622</v>
      </c>
      <c r="S2624" s="211" t="str">
        <f>IFERROR(__xludf.DUMMYFUNCTION("""COMPUTED_VALUE"""),"9828dfc5")</f>
        <v>9828dfc5</v>
      </c>
      <c r="T2624" s="211" t="str">
        <f>IFERROR(__xludf.DUMMYFUNCTION("""COMPUTED_VALUE"""),"Bpk. David")</f>
        <v>Bpk. David</v>
      </c>
      <c r="U2624" s="215">
        <f>IFERROR(__xludf.DUMMYFUNCTION("""COMPUTED_VALUE"""),46074.47605324074)</f>
        <v>46074.47605</v>
      </c>
      <c r="V2624" s="211" t="str">
        <f>IFERROR(__xludf.DUMMYFUNCTION("""COMPUTED_VALUE"""),"GHF3+R34, Jl. Kartini, Ngingas, Ngimbangan, Kec. Mojosari, Kabupaten Mojokerto, Jawa Timur 61382")</f>
        <v>GHF3+R34, Jl. Kartini, Ngingas, Ngimbangan, Kec. Mojosari, Kabupaten Mojokerto, Jawa Timur 61382</v>
      </c>
      <c r="W2624" s="211" t="str">
        <f>IFERROR(__xludf.DUMMYFUNCTION("""COMPUTED_VALUE"""),"OUT")</f>
        <v>OUT</v>
      </c>
      <c r="X2624" s="211"/>
    </row>
    <row r="2625">
      <c r="A2625" s="210" t="str">
        <f>IFERROR(__xludf.DUMMYFUNCTION("""COMPUTED_VALUE"""),"1125451853")</f>
        <v>1125451853</v>
      </c>
      <c r="B2625" s="210" t="str">
        <f>IFERROR(__xludf.DUMMYFUNCTION("""COMPUTED_VALUE"""),"1125451853")</f>
        <v>1125451853</v>
      </c>
      <c r="C2625" s="213">
        <f>IFERROR(__xludf.DUMMYFUNCTION("""COMPUTED_VALUE"""),45990.352488425924)</f>
        <v>45990.35249</v>
      </c>
      <c r="D2625" s="211" t="str">
        <f>IFERROR(__xludf.DUMMYFUNCTION("""COMPUTED_VALUE"""),"b2b5f2c5")</f>
        <v>b2b5f2c5</v>
      </c>
      <c r="E2625" s="211" t="str">
        <f>IFERROR(__xludf.DUMMYFUNCTION("""COMPUTED_VALUE"""),"Bengkel Las Bpk. Ari")</f>
        <v>Bengkel Las Bpk. Ari</v>
      </c>
      <c r="F2625" s="211" t="str">
        <f>IFERROR(__xludf.DUMMYFUNCTION("""COMPUTED_VALUE"""),"8bdbe149")</f>
        <v>8bdbe149</v>
      </c>
      <c r="G2625" s="211" t="str">
        <f>IFERROR(__xludf.DUMMYFUNCTION("""COMPUTED_VALUE"""),"Oksigen 6m3")</f>
        <v>Oksigen 6m3</v>
      </c>
      <c r="H2625" s="211" t="str">
        <f>IFERROR(__xludf.DUMMYFUNCTION("""COMPUTED_VALUE"""),"OUT")</f>
        <v>OUT</v>
      </c>
      <c r="I2625" s="211" t="str">
        <f>IFERROR(__xludf.DUMMYFUNCTION("""COMPUTED_VALUE"""),"NORMAL")</f>
        <v>NORMAL</v>
      </c>
      <c r="J2625" s="211">
        <f>IFERROR(__xludf.DUMMYFUNCTION("""COMPUTED_VALUE"""),6.0)</f>
        <v>6</v>
      </c>
      <c r="K2625" s="210" t="str">
        <f>IFERROR(__xludf.DUMMYFUNCTION("""COMPUTED_VALUE"""),"1157 11202 11267 1164 11287 11281")</f>
        <v>1157 11202 11267 1164 11287 11281</v>
      </c>
      <c r="L2625" s="211">
        <f>IFERROR(__xludf.DUMMYFUNCTION("""COMPUTED_VALUE"""),60000.0)</f>
        <v>60000</v>
      </c>
      <c r="M2625" s="211"/>
      <c r="N2625" s="211"/>
      <c r="O2625" s="211"/>
      <c r="Q2625" s="210" t="str">
        <f>IFERROR(__xludf.DUMMYFUNCTION("""COMPUTED_VALUE"""),"0226242625")</f>
        <v>0226242625</v>
      </c>
      <c r="R2625" s="210" t="str">
        <f>IFERROR(__xludf.DUMMYFUNCTION("""COMPUTED_VALUE"""),"0226242625")</f>
        <v>0226242625</v>
      </c>
      <c r="S2625" s="211" t="str">
        <f>IFERROR(__xludf.DUMMYFUNCTION("""COMPUTED_VALUE"""),"8ea74d81")</f>
        <v>8ea74d81</v>
      </c>
      <c r="T2625" s="211" t="str">
        <f>IFERROR(__xludf.DUMMYFUNCTION("""COMPUTED_VALUE"""),"Bengkel Adi Putra")</f>
        <v>Bengkel Adi Putra</v>
      </c>
      <c r="U2625" s="215">
        <f>IFERROR(__xludf.DUMMYFUNCTION("""COMPUTED_VALUE"""),46074.484305555554)</f>
        <v>46074.48431</v>
      </c>
      <c r="V2625" s="211" t="str">
        <f>IFERROR(__xludf.DUMMYFUNCTION("""COMPUTED_VALUE"""),"Bypass Balongbendo")</f>
        <v>Bypass Balongbendo</v>
      </c>
      <c r="W2625" s="211" t="str">
        <f>IFERROR(__xludf.DUMMYFUNCTION("""COMPUTED_VALUE"""),"OUT")</f>
        <v>OUT</v>
      </c>
      <c r="X2625" s="211"/>
    </row>
    <row r="2626">
      <c r="A2626" s="211"/>
      <c r="B2626" s="211"/>
      <c r="C2626" s="211"/>
      <c r="D2626" s="211"/>
      <c r="E2626" s="211"/>
      <c r="F2626" s="211"/>
      <c r="G2626" s="211"/>
      <c r="H2626" s="211"/>
      <c r="I2626" s="211"/>
      <c r="J2626" s="211"/>
      <c r="K2626" s="211"/>
      <c r="L2626" s="211"/>
      <c r="M2626" s="211"/>
      <c r="N2626" s="211"/>
      <c r="O2626" s="211"/>
      <c r="Q2626" s="210" t="str">
        <f>IFERROR(__xludf.DUMMYFUNCTION("""COMPUTED_VALUE"""),"0226762626")</f>
        <v>0226762626</v>
      </c>
      <c r="R2626" s="210" t="str">
        <f>IFERROR(__xludf.DUMMYFUNCTION("""COMPUTED_VALUE"""),"0226762626")</f>
        <v>0226762626</v>
      </c>
      <c r="S2626" s="211" t="str">
        <f>IFERROR(__xludf.DUMMYFUNCTION("""COMPUTED_VALUE"""),"e86baf3b")</f>
        <v>e86baf3b</v>
      </c>
      <c r="T2626" s="211" t="str">
        <f>IFERROR(__xludf.DUMMYFUNCTION("""COMPUTED_VALUE"""),"PT GEMILANG CIPTA WAWASAN")</f>
        <v>PT GEMILANG CIPTA WAWASAN</v>
      </c>
      <c r="U2626" s="215">
        <f>IFERROR(__xludf.DUMMYFUNCTION("""COMPUTED_VALUE"""),46074.61376157407)</f>
        <v>46074.61376</v>
      </c>
      <c r="V2626" s="211" t="str">
        <f>IFERROR(__xludf.DUMMYFUNCTION("""COMPUTED_VALUE"""),"JL TEBET RAYA, 2A, TEBET BARAT, TEBET, KOTA ADM, JAKARTA SELATAN, DKI JAKARTA")</f>
        <v>JL TEBET RAYA, 2A, TEBET BARAT, TEBET, KOTA ADM, JAKARTA SELATAN, DKI JAKARTA</v>
      </c>
      <c r="W2626" s="211" t="str">
        <f>IFERROR(__xludf.DUMMYFUNCTION("""COMPUTED_VALUE"""),"OUT")</f>
        <v>OUT</v>
      </c>
      <c r="X2626" s="211"/>
    </row>
    <row r="2627">
      <c r="A2627" s="210" t="str">
        <f>IFERROR(__xludf.DUMMYFUNCTION("""COMPUTED_VALUE"""),"112511856")</f>
        <v>112511856</v>
      </c>
      <c r="B2627" s="210" t="str">
        <f>IFERROR(__xludf.DUMMYFUNCTION("""COMPUTED_VALUE"""),"112511856")</f>
        <v>112511856</v>
      </c>
      <c r="C2627" s="213">
        <f>IFERROR(__xludf.DUMMYFUNCTION("""COMPUTED_VALUE"""),45990.390185185184)</f>
        <v>45990.39019</v>
      </c>
      <c r="D2627" s="211" t="str">
        <f>IFERROR(__xludf.DUMMYFUNCTION("""COMPUTED_VALUE"""),"9b941888")</f>
        <v>9b941888</v>
      </c>
      <c r="E2627" s="211" t="str">
        <f>IFERROR(__xludf.DUMMYFUNCTION("""COMPUTED_VALUE"""),"Mas Devi ( Parengan )")</f>
        <v>Mas Devi ( Parengan )</v>
      </c>
      <c r="F2627" s="211" t="str">
        <f>IFERROR(__xludf.DUMMYFUNCTION("""COMPUTED_VALUE"""),"7d2764f1")</f>
        <v>7d2764f1</v>
      </c>
      <c r="G2627" s="211" t="str">
        <f>IFERROR(__xludf.DUMMYFUNCTION("""COMPUTED_VALUE"""),"Oksigen 7m3")</f>
        <v>Oksigen 7m3</v>
      </c>
      <c r="H2627" s="211" t="str">
        <f>IFERROR(__xludf.DUMMYFUNCTION("""COMPUTED_VALUE"""),"OUT")</f>
        <v>OUT</v>
      </c>
      <c r="I2627" s="211" t="str">
        <f>IFERROR(__xludf.DUMMYFUNCTION("""COMPUTED_VALUE"""),"NORMAL")</f>
        <v>NORMAL</v>
      </c>
      <c r="J2627" s="211">
        <f>IFERROR(__xludf.DUMMYFUNCTION("""COMPUTED_VALUE"""),1.0)</f>
        <v>1</v>
      </c>
      <c r="K2627" s="210" t="str">
        <f>IFERROR(__xludf.DUMMYFUNCTION("""COMPUTED_VALUE"""),"76")</f>
        <v>76</v>
      </c>
      <c r="L2627" s="211">
        <f>IFERROR(__xludf.DUMMYFUNCTION("""COMPUTED_VALUE"""),80000.0)</f>
        <v>80000</v>
      </c>
      <c r="M2627" s="211"/>
      <c r="N2627" s="211"/>
      <c r="O2627" s="211"/>
      <c r="Q2627" s="210" t="str">
        <f>IFERROR(__xludf.DUMMYFUNCTION("""COMPUTED_VALUE"""),"0226472627")</f>
        <v>0226472627</v>
      </c>
      <c r="R2627" s="210" t="str">
        <f>IFERROR(__xludf.DUMMYFUNCTION("""COMPUTED_VALUE"""),"0226472627")</f>
        <v>0226472627</v>
      </c>
      <c r="S2627" s="211" t="str">
        <f>IFERROR(__xludf.DUMMYFUNCTION("""COMPUTED_VALUE"""),"ec231cc9")</f>
        <v>ec231cc9</v>
      </c>
      <c r="T2627" s="211" t="str">
        <f>IFERROR(__xludf.DUMMYFUNCTION("""COMPUTED_VALUE"""),"Bpk. Kohir (Maintenance Velg)")</f>
        <v>Bpk. Kohir (Maintenance Velg)</v>
      </c>
      <c r="U2627" s="215">
        <f>IFERROR(__xludf.DUMMYFUNCTION("""COMPUTED_VALUE"""),46074.614016203705)</f>
        <v>46074.61402</v>
      </c>
      <c r="V2627" s="211" t="str">
        <f>IFERROR(__xludf.DUMMYFUNCTION("""COMPUTED_VALUE"""),"Jl. Lkr. Bypass Krian Timur, Sidogolong, Watugolong, Kec. Krian, Kabupaten Sidoarjo, Jawa Timur 61262")</f>
        <v>Jl. Lkr. Bypass Krian Timur, Sidogolong, Watugolong, Kec. Krian, Kabupaten Sidoarjo, Jawa Timur 61262</v>
      </c>
      <c r="W2627" s="211" t="str">
        <f>IFERROR(__xludf.DUMMYFUNCTION("""COMPUTED_VALUE"""),"OUT")</f>
        <v>OUT</v>
      </c>
      <c r="X2627" s="211"/>
    </row>
    <row r="2628">
      <c r="A2628" s="210" t="str">
        <f>IFERROR(__xludf.DUMMYFUNCTION("""COMPUTED_VALUE"""),"1250874")</f>
        <v>1250874</v>
      </c>
      <c r="B2628" s="210" t="str">
        <f>IFERROR(__xludf.DUMMYFUNCTION("""COMPUTED_VALUE"""),"1250874")</f>
        <v>1250874</v>
      </c>
      <c r="C2628" s="213">
        <f>IFERROR(__xludf.DUMMYFUNCTION("""COMPUTED_VALUE"""),45990.395324074074)</f>
        <v>45990.39532</v>
      </c>
      <c r="D2628" s="211" t="str">
        <f>IFERROR(__xludf.DUMMYFUNCTION("""COMPUTED_VALUE"""),"faf71ae5")</f>
        <v>faf71ae5</v>
      </c>
      <c r="E2628" s="211" t="str">
        <f>IFERROR(__xludf.DUMMYFUNCTION("""COMPUTED_VALUE"""),"Bpk. Sampurna")</f>
        <v>Bpk. Sampurna</v>
      </c>
      <c r="F2628" s="211" t="str">
        <f>IFERROR(__xludf.DUMMYFUNCTION("""COMPUTED_VALUE"""),"8bdbe149")</f>
        <v>8bdbe149</v>
      </c>
      <c r="G2628" s="211" t="str">
        <f>IFERROR(__xludf.DUMMYFUNCTION("""COMPUTED_VALUE"""),"Oksigen 6m3")</f>
        <v>Oksigen 6m3</v>
      </c>
      <c r="H2628" s="211" t="str">
        <f>IFERROR(__xludf.DUMMYFUNCTION("""COMPUTED_VALUE"""),"IN")</f>
        <v>IN</v>
      </c>
      <c r="I2628" s="211" t="str">
        <f>IFERROR(__xludf.DUMMYFUNCTION("""COMPUTED_VALUE"""),"EMPTY")</f>
        <v>EMPTY</v>
      </c>
      <c r="J2628" s="211">
        <f>IFERROR(__xludf.DUMMYFUNCTION("""COMPUTED_VALUE"""),5.0)</f>
        <v>5</v>
      </c>
      <c r="K2628" s="210" t="str">
        <f>IFERROR(__xludf.DUMMYFUNCTION("""COMPUTED_VALUE"""),"11187 1198 11284 11197 11209")</f>
        <v>11187 1198 11284 11197 11209</v>
      </c>
      <c r="L2628" s="211">
        <f>IFERROR(__xludf.DUMMYFUNCTION("""COMPUTED_VALUE"""),0.0)</f>
        <v>0</v>
      </c>
      <c r="M2628" s="211"/>
      <c r="N2628" s="211"/>
      <c r="O2628" s="211"/>
      <c r="Q2628" s="210" t="str">
        <f>IFERROR(__xludf.DUMMYFUNCTION("""COMPUTED_VALUE"""),"1261270")</f>
        <v>1261270</v>
      </c>
      <c r="R2628" s="210" t="str">
        <f>IFERROR(__xludf.DUMMYFUNCTION("""COMPUTED_VALUE"""),"1261270")</f>
        <v>1261270</v>
      </c>
      <c r="S2628" s="211" t="str">
        <f>IFERROR(__xludf.DUMMYFUNCTION("""COMPUTED_VALUE"""),"8ea74d81")</f>
        <v>8ea74d81</v>
      </c>
      <c r="T2628" s="211" t="str">
        <f>IFERROR(__xludf.DUMMYFUNCTION("""COMPUTED_VALUE"""),"Bengkel Adi Putra")</f>
        <v>Bengkel Adi Putra</v>
      </c>
      <c r="U2628" s="215">
        <f>IFERROR(__xludf.DUMMYFUNCTION("""COMPUTED_VALUE"""),46074.62530092592)</f>
        <v>46074.6253</v>
      </c>
      <c r="V2628" s="211" t="str">
        <f>IFERROR(__xludf.DUMMYFUNCTION("""COMPUTED_VALUE"""),"Bypass Balongbendo")</f>
        <v>Bypass Balongbendo</v>
      </c>
      <c r="W2628" s="211" t="str">
        <f>IFERROR(__xludf.DUMMYFUNCTION("""COMPUTED_VALUE"""),"IN")</f>
        <v>IN</v>
      </c>
      <c r="X2628" s="211"/>
    </row>
    <row r="2629">
      <c r="A2629" s="210" t="str">
        <f>IFERROR(__xludf.DUMMYFUNCTION("""COMPUTED_VALUE"""),"1250874")</f>
        <v>1250874</v>
      </c>
      <c r="B2629" s="210" t="str">
        <f>IFERROR(__xludf.DUMMYFUNCTION("""COMPUTED_VALUE"""),"1250874")</f>
        <v>1250874</v>
      </c>
      <c r="C2629" s="213">
        <f>IFERROR(__xludf.DUMMYFUNCTION("""COMPUTED_VALUE"""),45990.395324074074)</f>
        <v>45990.39532</v>
      </c>
      <c r="D2629" s="211" t="str">
        <f>IFERROR(__xludf.DUMMYFUNCTION("""COMPUTED_VALUE"""),"faf71ae5")</f>
        <v>faf71ae5</v>
      </c>
      <c r="E2629" s="211" t="str">
        <f>IFERROR(__xludf.DUMMYFUNCTION("""COMPUTED_VALUE"""),"Bpk. Sampurna")</f>
        <v>Bpk. Sampurna</v>
      </c>
      <c r="F2629" s="211" t="str">
        <f>IFERROR(__xludf.DUMMYFUNCTION("""COMPUTED_VALUE"""),"be525f3b")</f>
        <v>be525f3b</v>
      </c>
      <c r="G2629" s="211" t="str">
        <f>IFERROR(__xludf.DUMMYFUNCTION("""COMPUTED_VALUE"""),"LPG 12kg")</f>
        <v>LPG 12kg</v>
      </c>
      <c r="H2629" s="211" t="str">
        <f>IFERROR(__xludf.DUMMYFUNCTION("""COMPUTED_VALUE"""),"IN")</f>
        <v>IN</v>
      </c>
      <c r="I2629" s="211" t="str">
        <f>IFERROR(__xludf.DUMMYFUNCTION("""COMPUTED_VALUE"""),"EMPTY")</f>
        <v>EMPTY</v>
      </c>
      <c r="J2629" s="211">
        <f>IFERROR(__xludf.DUMMYFUNCTION("""COMPUTED_VALUE"""),1.0)</f>
        <v>1</v>
      </c>
      <c r="K2629" s="210" t="str">
        <f>IFERROR(__xludf.DUMMYFUNCTION("""COMPUTED_VALUE"""),"01")</f>
        <v>01</v>
      </c>
      <c r="L2629" s="211">
        <f>IFERROR(__xludf.DUMMYFUNCTION("""COMPUTED_VALUE"""),0.0)</f>
        <v>0</v>
      </c>
      <c r="M2629" s="211"/>
      <c r="N2629" s="211"/>
      <c r="O2629" s="211"/>
      <c r="Q2629" s="210" t="str">
        <f>IFERROR(__xludf.DUMMYFUNCTION("""COMPUTED_VALUE"""),"1261291")</f>
        <v>1261291</v>
      </c>
      <c r="R2629" s="210" t="str">
        <f>IFERROR(__xludf.DUMMYFUNCTION("""COMPUTED_VALUE"""),"1261291")</f>
        <v>1261291</v>
      </c>
      <c r="S2629" s="211" t="str">
        <f>IFERROR(__xludf.DUMMYFUNCTION("""COMPUTED_VALUE"""),"9828dfc5")</f>
        <v>9828dfc5</v>
      </c>
      <c r="T2629" s="211" t="str">
        <f>IFERROR(__xludf.DUMMYFUNCTION("""COMPUTED_VALUE"""),"Bpk. David")</f>
        <v>Bpk. David</v>
      </c>
      <c r="U2629" s="215">
        <f>IFERROR(__xludf.DUMMYFUNCTION("""COMPUTED_VALUE"""),46074.6258912037)</f>
        <v>46074.62589</v>
      </c>
      <c r="V2629" s="211" t="str">
        <f>IFERROR(__xludf.DUMMYFUNCTION("""COMPUTED_VALUE"""),"GHF3+R34, Jl. Kartini, Ngingas, Ngimbangan, Kec. Mojosari, Kabupaten Mojokerto, Jawa Timur 61382")</f>
        <v>GHF3+R34, Jl. Kartini, Ngingas, Ngimbangan, Kec. Mojosari, Kabupaten Mojokerto, Jawa Timur 61382</v>
      </c>
      <c r="W2629" s="211" t="str">
        <f>IFERROR(__xludf.DUMMYFUNCTION("""COMPUTED_VALUE"""),"IN")</f>
        <v>IN</v>
      </c>
      <c r="X2629" s="211"/>
    </row>
    <row r="2630">
      <c r="A2630" s="210" t="str">
        <f>IFERROR(__xludf.DUMMYFUNCTION("""COMPUTED_VALUE"""),"1250856")</f>
        <v>1250856</v>
      </c>
      <c r="B2630" s="210" t="str">
        <f>IFERROR(__xludf.DUMMYFUNCTION("""COMPUTED_VALUE"""),"1250856")</f>
        <v>1250856</v>
      </c>
      <c r="C2630" s="213">
        <f>IFERROR(__xludf.DUMMYFUNCTION("""COMPUTED_VALUE"""),45987.54177083333)</f>
        <v>45987.54177</v>
      </c>
      <c r="D2630" s="211" t="str">
        <f>IFERROR(__xludf.DUMMYFUNCTION("""COMPUTED_VALUE"""),"faf71ae5")</f>
        <v>faf71ae5</v>
      </c>
      <c r="E2630" s="211" t="str">
        <f>IFERROR(__xludf.DUMMYFUNCTION("""COMPUTED_VALUE"""),"Bpk. Sampurna")</f>
        <v>Bpk. Sampurna</v>
      </c>
      <c r="F2630" s="211" t="str">
        <f>IFERROR(__xludf.DUMMYFUNCTION("""COMPUTED_VALUE"""),"7d2764f1")</f>
        <v>7d2764f1</v>
      </c>
      <c r="G2630" s="211" t="str">
        <f>IFERROR(__xludf.DUMMYFUNCTION("""COMPUTED_VALUE"""),"Oksigen 7m3")</f>
        <v>Oksigen 7m3</v>
      </c>
      <c r="H2630" s="211" t="str">
        <f>IFERROR(__xludf.DUMMYFUNCTION("""COMPUTED_VALUE"""),"IN")</f>
        <v>IN</v>
      </c>
      <c r="I2630" s="211" t="str">
        <f>IFERROR(__xludf.DUMMYFUNCTION("""COMPUTED_VALUE"""),"EMPTY")</f>
        <v>EMPTY</v>
      </c>
      <c r="J2630" s="211">
        <f>IFERROR(__xludf.DUMMYFUNCTION("""COMPUTED_VALUE"""),1.0)</f>
        <v>1</v>
      </c>
      <c r="K2630" s="210" t="str">
        <f>IFERROR(__xludf.DUMMYFUNCTION("""COMPUTED_VALUE"""),"11143")</f>
        <v>11143</v>
      </c>
      <c r="L2630" s="211">
        <f>IFERROR(__xludf.DUMMYFUNCTION("""COMPUTED_VALUE"""),0.0)</f>
        <v>0</v>
      </c>
      <c r="M2630" s="211"/>
      <c r="N2630" s="211"/>
      <c r="O2630" s="211"/>
      <c r="Q2630" s="210" t="str">
        <f>IFERROR(__xludf.DUMMYFUNCTION("""COMPUTED_VALUE"""),"1261258")</f>
        <v>1261258</v>
      </c>
      <c r="R2630" s="210" t="str">
        <f>IFERROR(__xludf.DUMMYFUNCTION("""COMPUTED_VALUE"""),"1261258")</f>
        <v>1261258</v>
      </c>
      <c r="S2630" s="211" t="str">
        <f>IFERROR(__xludf.DUMMYFUNCTION("""COMPUTED_VALUE"""),"de41c3e8")</f>
        <v>de41c3e8</v>
      </c>
      <c r="T2630" s="211" t="str">
        <f>IFERROR(__xludf.DUMMYFUNCTION("""COMPUTED_VALUE"""),"Bpk. Eko Mianto")</f>
        <v>Bpk. Eko Mianto</v>
      </c>
      <c r="U2630" s="215">
        <f>IFERROR(__xludf.DUMMYFUNCTION("""COMPUTED_VALUE"""),46074.6408912037)</f>
        <v>46074.64089</v>
      </c>
      <c r="V2630" s="211" t="str">
        <f>IFERROR(__xludf.DUMMYFUNCTION("""COMPUTED_VALUE"""),"The Graha Residen, Blok D4 No 33. Tropodo, Kec Krian, Kabupaten Sidaorjo, Jawa Timur 61262")</f>
        <v>The Graha Residen, Blok D4 No 33. Tropodo, Kec Krian, Kabupaten Sidaorjo, Jawa Timur 61262</v>
      </c>
      <c r="W2630" s="211" t="str">
        <f>IFERROR(__xludf.DUMMYFUNCTION("""COMPUTED_VALUE"""),"IN")</f>
        <v>IN</v>
      </c>
      <c r="X2630" s="211"/>
    </row>
    <row r="2631">
      <c r="A2631" s="210" t="str">
        <f>IFERROR(__xludf.DUMMYFUNCTION("""COMPUTED_VALUE"""),"1125711857")</f>
        <v>1125711857</v>
      </c>
      <c r="B2631" s="210" t="str">
        <f>IFERROR(__xludf.DUMMYFUNCTION("""COMPUTED_VALUE"""),"1125711857")</f>
        <v>1125711857</v>
      </c>
      <c r="C2631" s="213">
        <f>IFERROR(__xludf.DUMMYFUNCTION("""COMPUTED_VALUE"""),45990.434583333335)</f>
        <v>45990.43458</v>
      </c>
      <c r="D2631" s="211" t="str">
        <f>IFERROR(__xludf.DUMMYFUNCTION("""COMPUTED_VALUE"""),"e86baf3b")</f>
        <v>e86baf3b</v>
      </c>
      <c r="E2631" s="211" t="str">
        <f>IFERROR(__xludf.DUMMYFUNCTION("""COMPUTED_VALUE"""),"PT GEMILANG CIPTA WAWASAN")</f>
        <v>PT GEMILANG CIPTA WAWASAN</v>
      </c>
      <c r="F2631" s="211" t="str">
        <f>IFERROR(__xludf.DUMMYFUNCTION("""COMPUTED_VALUE"""),"8bdbe149")</f>
        <v>8bdbe149</v>
      </c>
      <c r="G2631" s="211" t="str">
        <f>IFERROR(__xludf.DUMMYFUNCTION("""COMPUTED_VALUE"""),"Oksigen 6m3")</f>
        <v>Oksigen 6m3</v>
      </c>
      <c r="H2631" s="211" t="str">
        <f>IFERROR(__xludf.DUMMYFUNCTION("""COMPUTED_VALUE"""),"OUT")</f>
        <v>OUT</v>
      </c>
      <c r="I2631" s="211" t="str">
        <f>IFERROR(__xludf.DUMMYFUNCTION("""COMPUTED_VALUE"""),"NORMAL")</f>
        <v>NORMAL</v>
      </c>
      <c r="J2631" s="211">
        <f>IFERROR(__xludf.DUMMYFUNCTION("""COMPUTED_VALUE"""),10.0)</f>
        <v>10</v>
      </c>
      <c r="K2631" s="210" t="str">
        <f>IFERROR(__xludf.DUMMYFUNCTION("""COMPUTED_VALUE"""),"11119 1173 1189 1140 1102 1146 1185 11201 1193 11109")</f>
        <v>11119 1173 1189 1140 1102 1146 1185 11201 1193 11109</v>
      </c>
      <c r="L2631" s="211">
        <f>IFERROR(__xludf.DUMMYFUNCTION("""COMPUTED_VALUE"""),60000.0)</f>
        <v>60000</v>
      </c>
      <c r="M2631" s="211"/>
      <c r="N2631" s="211"/>
      <c r="O2631" s="211"/>
      <c r="Q2631" s="210" t="str">
        <f>IFERROR(__xludf.DUMMYFUNCTION("""COMPUTED_VALUE"""),"1261257")</f>
        <v>1261257</v>
      </c>
      <c r="R2631" s="210" t="str">
        <f>IFERROR(__xludf.DUMMYFUNCTION("""COMPUTED_VALUE"""),"1261257")</f>
        <v>1261257</v>
      </c>
      <c r="S2631" s="211" t="str">
        <f>IFERROR(__xludf.DUMMYFUNCTION("""COMPUTED_VALUE"""),"b218b89b")</f>
        <v>b218b89b</v>
      </c>
      <c r="T2631" s="211" t="str">
        <f>IFERROR(__xludf.DUMMYFUNCTION("""COMPUTED_VALUE"""),"PT Harapan Sentosa")</f>
        <v>PT Harapan Sentosa</v>
      </c>
      <c r="U2631" s="215">
        <f>IFERROR(__xludf.DUMMYFUNCTION("""COMPUTED_VALUE"""),46074.641168981485)</f>
        <v>46074.64117</v>
      </c>
      <c r="V2631" s="211" t="str">
        <f>IFERROR(__xludf.DUMMYFUNCTION("""COMPUTED_VALUE"""),"Seketi, Jl. Purboyo II Selatan, RT.02/RW.02, Seketi, Kec. BalongBendo, Kabupaten Sidoarjo, Jawa Timur 61263")</f>
        <v>Seketi, Jl. Purboyo II Selatan, RT.02/RW.02, Seketi, Kec. BalongBendo, Kabupaten Sidoarjo, Jawa Timur 61263</v>
      </c>
      <c r="W2631" s="211" t="str">
        <f>IFERROR(__xludf.DUMMYFUNCTION("""COMPUTED_VALUE"""),"IN")</f>
        <v>IN</v>
      </c>
      <c r="X2631" s="211"/>
    </row>
    <row r="2632">
      <c r="A2632" s="210" t="str">
        <f>IFERROR(__xludf.DUMMYFUNCTION("""COMPUTED_VALUE"""),"1125711857")</f>
        <v>1125711857</v>
      </c>
      <c r="B2632" s="210" t="str">
        <f>IFERROR(__xludf.DUMMYFUNCTION("""COMPUTED_VALUE"""),"1125711857")</f>
        <v>1125711857</v>
      </c>
      <c r="C2632" s="213">
        <f>IFERROR(__xludf.DUMMYFUNCTION("""COMPUTED_VALUE"""),45990.434583333335)</f>
        <v>45990.43458</v>
      </c>
      <c r="D2632" s="211" t="str">
        <f>IFERROR(__xludf.DUMMYFUNCTION("""COMPUTED_VALUE"""),"e86baf3b")</f>
        <v>e86baf3b</v>
      </c>
      <c r="E2632" s="211" t="str">
        <f>IFERROR(__xludf.DUMMYFUNCTION("""COMPUTED_VALUE"""),"PT GEMILANG CIPTA WAWASAN")</f>
        <v>PT GEMILANG CIPTA WAWASAN</v>
      </c>
      <c r="F2632" s="211" t="str">
        <f>IFERROR(__xludf.DUMMYFUNCTION("""COMPUTED_VALUE"""),"66af7c72")</f>
        <v>66af7c72</v>
      </c>
      <c r="G2632" s="211" t="str">
        <f>IFERROR(__xludf.DUMMYFUNCTION("""COMPUTED_VALUE"""),"Argon 6m3")</f>
        <v>Argon 6m3</v>
      </c>
      <c r="H2632" s="211" t="str">
        <f>IFERROR(__xludf.DUMMYFUNCTION("""COMPUTED_VALUE"""),"OUT")</f>
        <v>OUT</v>
      </c>
      <c r="I2632" s="211" t="str">
        <f>IFERROR(__xludf.DUMMYFUNCTION("""COMPUTED_VALUE"""),"NORMAL")</f>
        <v>NORMAL</v>
      </c>
      <c r="J2632" s="211">
        <f>IFERROR(__xludf.DUMMYFUNCTION("""COMPUTED_VALUE"""),5.0)</f>
        <v>5</v>
      </c>
      <c r="K2632" s="210" t="str">
        <f>IFERROR(__xludf.DUMMYFUNCTION("""COMPUTED_VALUE"""),"12058 12018 12071 12035 12079")</f>
        <v>12058 12018 12071 12035 12079</v>
      </c>
      <c r="L2632" s="211">
        <f>IFERROR(__xludf.DUMMYFUNCTION("""COMPUTED_VALUE"""),185000.0)</f>
        <v>185000</v>
      </c>
      <c r="M2632" s="211"/>
      <c r="N2632" s="211"/>
      <c r="O2632" s="211"/>
      <c r="Q2632" s="210" t="str">
        <f>IFERROR(__xludf.DUMMYFUNCTION("""COMPUTED_VALUE"""),"1261259")</f>
        <v>1261259</v>
      </c>
      <c r="R2632" s="210" t="str">
        <f>IFERROR(__xludf.DUMMYFUNCTION("""COMPUTED_VALUE"""),"1261259")</f>
        <v>1261259</v>
      </c>
      <c r="S2632" s="211" t="str">
        <f>IFERROR(__xludf.DUMMYFUNCTION("""COMPUTED_VALUE"""),"b2b5f2c5")</f>
        <v>b2b5f2c5</v>
      </c>
      <c r="T2632" s="211" t="str">
        <f>IFERROR(__xludf.DUMMYFUNCTION("""COMPUTED_VALUE"""),"Bengkel Las Bpk. Ari")</f>
        <v>Bengkel Las Bpk. Ari</v>
      </c>
      <c r="U2632" s="215">
        <f>IFERROR(__xludf.DUMMYFUNCTION("""COMPUTED_VALUE"""),46074.51693287037)</f>
        <v>46074.51693</v>
      </c>
      <c r="V2632" s="211" t="str">
        <f>IFERROR(__xludf.DUMMYFUNCTION("""COMPUTED_VALUE"""),"Sumber Kembar, Wonodadi, Kec. Kutorejo, Kabupaten Mojokerto, Jawa Timur")</f>
        <v>Sumber Kembar, Wonodadi, Kec. Kutorejo, Kabupaten Mojokerto, Jawa Timur</v>
      </c>
      <c r="W2632" s="211" t="str">
        <f>IFERROR(__xludf.DUMMYFUNCTION("""COMPUTED_VALUE"""),"IN")</f>
        <v>IN</v>
      </c>
      <c r="X2632" s="211"/>
    </row>
    <row r="2633">
      <c r="A2633" s="210" t="str">
        <f>IFERROR(__xludf.DUMMYFUNCTION("""COMPUTED_VALUE"""),"1250883")</f>
        <v>1250883</v>
      </c>
      <c r="B2633" s="210" t="str">
        <f>IFERROR(__xludf.DUMMYFUNCTION("""COMPUTED_VALUE"""),"1250883")</f>
        <v>1250883</v>
      </c>
      <c r="C2633" s="213">
        <f>IFERROR(__xludf.DUMMYFUNCTION("""COMPUTED_VALUE"""),45990.44048611111)</f>
        <v>45990.44049</v>
      </c>
      <c r="D2633" s="211" t="str">
        <f>IFERROR(__xludf.DUMMYFUNCTION("""COMPUTED_VALUE"""),"9b941888")</f>
        <v>9b941888</v>
      </c>
      <c r="E2633" s="211" t="str">
        <f>IFERROR(__xludf.DUMMYFUNCTION("""COMPUTED_VALUE"""),"Mas Devi ( Parengan )")</f>
        <v>Mas Devi ( Parengan )</v>
      </c>
      <c r="F2633" s="211" t="str">
        <f>IFERROR(__xludf.DUMMYFUNCTION("""COMPUTED_VALUE"""),"7d2764f1")</f>
        <v>7d2764f1</v>
      </c>
      <c r="G2633" s="211" t="str">
        <f>IFERROR(__xludf.DUMMYFUNCTION("""COMPUTED_VALUE"""),"Oksigen 7m3")</f>
        <v>Oksigen 7m3</v>
      </c>
      <c r="H2633" s="211" t="str">
        <f>IFERROR(__xludf.DUMMYFUNCTION("""COMPUTED_VALUE"""),"IN")</f>
        <v>IN</v>
      </c>
      <c r="I2633" s="211" t="str">
        <f>IFERROR(__xludf.DUMMYFUNCTION("""COMPUTED_VALUE"""),"EMPTY")</f>
        <v>EMPTY</v>
      </c>
      <c r="J2633" s="211">
        <f>IFERROR(__xludf.DUMMYFUNCTION("""COMPUTED_VALUE"""),1.0)</f>
        <v>1</v>
      </c>
      <c r="K2633" s="210" t="str">
        <f>IFERROR(__xludf.DUMMYFUNCTION("""COMPUTED_VALUE"""),"11292")</f>
        <v>11292</v>
      </c>
      <c r="L2633" s="211">
        <f>IFERROR(__xludf.DUMMYFUNCTION("""COMPUTED_VALUE"""),0.0)</f>
        <v>0</v>
      </c>
      <c r="M2633" s="211"/>
      <c r="N2633" s="211"/>
      <c r="O2633" s="211"/>
      <c r="Q2633" s="210" t="str">
        <f>IFERROR(__xludf.DUMMYFUNCTION("""COMPUTED_VALUE"""),"1261260")</f>
        <v>1261260</v>
      </c>
      <c r="R2633" s="210" t="str">
        <f>IFERROR(__xludf.DUMMYFUNCTION("""COMPUTED_VALUE"""),"1261260")</f>
        <v>1261260</v>
      </c>
      <c r="S2633" s="211" t="str">
        <f>IFERROR(__xludf.DUMMYFUNCTION("""COMPUTED_VALUE"""),"ec231cc9")</f>
        <v>ec231cc9</v>
      </c>
      <c r="T2633" s="211" t="str">
        <f>IFERROR(__xludf.DUMMYFUNCTION("""COMPUTED_VALUE"""),"Bpk. Kohir (Maintenance Velg)")</f>
        <v>Bpk. Kohir (Maintenance Velg)</v>
      </c>
      <c r="U2633" s="215">
        <f>IFERROR(__xludf.DUMMYFUNCTION("""COMPUTED_VALUE"""),46076.350590277776)</f>
        <v>46076.35059</v>
      </c>
      <c r="V2633" s="211" t="str">
        <f>IFERROR(__xludf.DUMMYFUNCTION("""COMPUTED_VALUE"""),"Jl. Lkr. Bypass Krian Timur, Sidogolong, Watugolong, Kec. Krian, Kabupaten Sidoarjo, Jawa Timur 61262")</f>
        <v>Jl. Lkr. Bypass Krian Timur, Sidogolong, Watugolong, Kec. Krian, Kabupaten Sidoarjo, Jawa Timur 61262</v>
      </c>
      <c r="W2633" s="211" t="str">
        <f>IFERROR(__xludf.DUMMYFUNCTION("""COMPUTED_VALUE"""),"IN")</f>
        <v>IN</v>
      </c>
      <c r="X2633" s="211"/>
    </row>
    <row r="2634">
      <c r="A2634" s="210" t="str">
        <f>IFERROR(__xludf.DUMMYFUNCTION("""COMPUTED_VALUE"""),"1250875")</f>
        <v>1250875</v>
      </c>
      <c r="B2634" s="210" t="str">
        <f>IFERROR(__xludf.DUMMYFUNCTION("""COMPUTED_VALUE"""),"1250875")</f>
        <v>1250875</v>
      </c>
      <c r="C2634" s="213">
        <f>IFERROR(__xludf.DUMMYFUNCTION("""COMPUTED_VALUE"""),45990.54353009259)</f>
        <v>45990.54353</v>
      </c>
      <c r="D2634" s="211" t="str">
        <f>IFERROR(__xludf.DUMMYFUNCTION("""COMPUTED_VALUE"""),"b2b5f2c5")</f>
        <v>b2b5f2c5</v>
      </c>
      <c r="E2634" s="211" t="str">
        <f>IFERROR(__xludf.DUMMYFUNCTION("""COMPUTED_VALUE"""),"Bengkel Las Bpk. Ari")</f>
        <v>Bengkel Las Bpk. Ari</v>
      </c>
      <c r="F2634" s="211" t="str">
        <f>IFERROR(__xludf.DUMMYFUNCTION("""COMPUTED_VALUE"""),"ef306e54")</f>
        <v>ef306e54</v>
      </c>
      <c r="G2634" s="211" t="str">
        <f>IFERROR(__xludf.DUMMYFUNCTION("""COMPUTED_VALUE"""),"Karbondioksida")</f>
        <v>Karbondioksida</v>
      </c>
      <c r="H2634" s="211" t="str">
        <f>IFERROR(__xludf.DUMMYFUNCTION("""COMPUTED_VALUE"""),"IN")</f>
        <v>IN</v>
      </c>
      <c r="I2634" s="211" t="str">
        <f>IFERROR(__xludf.DUMMYFUNCTION("""COMPUTED_VALUE"""),"EMPTY")</f>
        <v>EMPTY</v>
      </c>
      <c r="J2634" s="211">
        <f>IFERROR(__xludf.DUMMYFUNCTION("""COMPUTED_VALUE"""),1.0)</f>
        <v>1</v>
      </c>
      <c r="K2634" s="210" t="str">
        <f>IFERROR(__xludf.DUMMYFUNCTION("""COMPUTED_VALUE"""),"13021")</f>
        <v>13021</v>
      </c>
      <c r="L2634" s="211">
        <f>IFERROR(__xludf.DUMMYFUNCTION("""COMPUTED_VALUE"""),0.0)</f>
        <v>0</v>
      </c>
      <c r="M2634" s="211"/>
      <c r="N2634" s="211"/>
      <c r="O2634" s="211"/>
      <c r="Q2634" s="210" t="str">
        <f>IFERROR(__xludf.DUMMYFUNCTION("""COMPUTED_VALUE"""),"0226252628")</f>
        <v>0226252628</v>
      </c>
      <c r="R2634" s="210" t="str">
        <f>IFERROR(__xludf.DUMMYFUNCTION("""COMPUTED_VALUE"""),"0226252628")</f>
        <v>0226252628</v>
      </c>
      <c r="S2634" s="211" t="str">
        <f>IFERROR(__xludf.DUMMYFUNCTION("""COMPUTED_VALUE"""),"4ec68cf6")</f>
        <v>4ec68cf6</v>
      </c>
      <c r="T2634" s="211" t="str">
        <f>IFERROR(__xludf.DUMMYFUNCTION("""COMPUTED_VALUE"""),"CV Sido Mukti Karya")</f>
        <v>CV Sido Mukti Karya</v>
      </c>
      <c r="U2634" s="215">
        <f>IFERROR(__xludf.DUMMYFUNCTION("""COMPUTED_VALUE"""),46076.3765162037)</f>
        <v>46076.37652</v>
      </c>
      <c r="V2634" s="211" t="str">
        <f>IFERROR(__xludf.DUMMYFUNCTION("""COMPUTED_VALUE"""),"Pergudangan Center Point no A3, Kemangsen")</f>
        <v>Pergudangan Center Point no A3, Kemangsen</v>
      </c>
      <c r="W2634" s="211" t="str">
        <f>IFERROR(__xludf.DUMMYFUNCTION("""COMPUTED_VALUE"""),"OUT")</f>
        <v>OUT</v>
      </c>
      <c r="X2634" s="211"/>
    </row>
    <row r="2635">
      <c r="A2635" s="210" t="str">
        <f>IFERROR(__xludf.DUMMYFUNCTION("""COMPUTED_VALUE"""),"1250875")</f>
        <v>1250875</v>
      </c>
      <c r="B2635" s="210" t="str">
        <f>IFERROR(__xludf.DUMMYFUNCTION("""COMPUTED_VALUE"""),"1250875")</f>
        <v>1250875</v>
      </c>
      <c r="C2635" s="213">
        <f>IFERROR(__xludf.DUMMYFUNCTION("""COMPUTED_VALUE"""),45990.54353009259)</f>
        <v>45990.54353</v>
      </c>
      <c r="D2635" s="211" t="str">
        <f>IFERROR(__xludf.DUMMYFUNCTION("""COMPUTED_VALUE"""),"b2b5f2c5")</f>
        <v>b2b5f2c5</v>
      </c>
      <c r="E2635" s="211" t="str">
        <f>IFERROR(__xludf.DUMMYFUNCTION("""COMPUTED_VALUE"""),"Bengkel Las Bpk. Ari")</f>
        <v>Bengkel Las Bpk. Ari</v>
      </c>
      <c r="F2635" s="211" t="str">
        <f>IFERROR(__xludf.DUMMYFUNCTION("""COMPUTED_VALUE"""),"8bdbe149")</f>
        <v>8bdbe149</v>
      </c>
      <c r="G2635" s="211" t="str">
        <f>IFERROR(__xludf.DUMMYFUNCTION("""COMPUTED_VALUE"""),"Oksigen 6m3")</f>
        <v>Oksigen 6m3</v>
      </c>
      <c r="H2635" s="211" t="str">
        <f>IFERROR(__xludf.DUMMYFUNCTION("""COMPUTED_VALUE"""),"IN")</f>
        <v>IN</v>
      </c>
      <c r="I2635" s="211" t="str">
        <f>IFERROR(__xludf.DUMMYFUNCTION("""COMPUTED_VALUE"""),"EMPTY")</f>
        <v>EMPTY</v>
      </c>
      <c r="J2635" s="211">
        <f>IFERROR(__xludf.DUMMYFUNCTION("""COMPUTED_VALUE"""),4.0)</f>
        <v>4</v>
      </c>
      <c r="K2635" s="210" t="str">
        <f>IFERROR(__xludf.DUMMYFUNCTION("""COMPUTED_VALUE"""),"1153 11210 11112 11277")</f>
        <v>1153 11210 11112 11277</v>
      </c>
      <c r="L2635" s="211">
        <f>IFERROR(__xludf.DUMMYFUNCTION("""COMPUTED_VALUE"""),0.0)</f>
        <v>0</v>
      </c>
      <c r="M2635" s="211"/>
      <c r="N2635" s="211"/>
      <c r="O2635" s="211"/>
      <c r="Q2635" s="210" t="str">
        <f>IFERROR(__xludf.DUMMYFUNCTION("""COMPUTED_VALUE"""),"0226122635")</f>
        <v>0226122635</v>
      </c>
      <c r="R2635" s="210" t="str">
        <f>IFERROR(__xludf.DUMMYFUNCTION("""COMPUTED_VALUE"""),"0226122635")</f>
        <v>0226122635</v>
      </c>
      <c r="S2635" s="211" t="str">
        <f>IFERROR(__xludf.DUMMYFUNCTION("""COMPUTED_VALUE"""),"440df1db")</f>
        <v>440df1db</v>
      </c>
      <c r="T2635" s="211" t="str">
        <f>IFERROR(__xludf.DUMMYFUNCTION("""COMPUTED_VALUE"""),"PT. Mecca Abadi Sejahtera")</f>
        <v>PT. Mecca Abadi Sejahtera</v>
      </c>
      <c r="U2635" s="215">
        <f>IFERROR(__xludf.DUMMYFUNCTION("""COMPUTED_VALUE"""),46076.381747685184)</f>
        <v>46076.38175</v>
      </c>
      <c r="V2635" s="211" t="str">
        <f>IFERROR(__xludf.DUMMYFUNCTION("""COMPUTED_VALUE"""),"Jl. Raya Sawocangkring, RT.006/RW.002, Sawo, Sawocangkring, Kec. Wonoayu, Kabupaten Sidoarjo, Jawa Timur 61261")</f>
        <v>Jl. Raya Sawocangkring, RT.006/RW.002, Sawo, Sawocangkring, Kec. Wonoayu, Kabupaten Sidoarjo, Jawa Timur 61261</v>
      </c>
      <c r="W2635" s="211" t="str">
        <f>IFERROR(__xludf.DUMMYFUNCTION("""COMPUTED_VALUE"""),"OUT")</f>
        <v>OUT</v>
      </c>
      <c r="X2635" s="211"/>
    </row>
    <row r="2636">
      <c r="A2636" s="210" t="str">
        <f>IFERROR(__xludf.DUMMYFUNCTION("""COMPUTED_VALUE"""),"1250875")</f>
        <v>1250875</v>
      </c>
      <c r="B2636" s="210" t="str">
        <f>IFERROR(__xludf.DUMMYFUNCTION("""COMPUTED_VALUE"""),"1250875")</f>
        <v>1250875</v>
      </c>
      <c r="C2636" s="213">
        <f>IFERROR(__xludf.DUMMYFUNCTION("""COMPUTED_VALUE"""),45990.54353009259)</f>
        <v>45990.54353</v>
      </c>
      <c r="D2636" s="211" t="str">
        <f>IFERROR(__xludf.DUMMYFUNCTION("""COMPUTED_VALUE"""),"b2b5f2c5")</f>
        <v>b2b5f2c5</v>
      </c>
      <c r="E2636" s="211" t="str">
        <f>IFERROR(__xludf.DUMMYFUNCTION("""COMPUTED_VALUE"""),"Bengkel Las Bpk. Ari")</f>
        <v>Bengkel Las Bpk. Ari</v>
      </c>
      <c r="F2636" s="211" t="str">
        <f>IFERROR(__xludf.DUMMYFUNCTION("""COMPUTED_VALUE"""),"7d2764f1")</f>
        <v>7d2764f1</v>
      </c>
      <c r="G2636" s="211" t="str">
        <f>IFERROR(__xludf.DUMMYFUNCTION("""COMPUTED_VALUE"""),"Oksigen 7m3")</f>
        <v>Oksigen 7m3</v>
      </c>
      <c r="H2636" s="211" t="str">
        <f>IFERROR(__xludf.DUMMYFUNCTION("""COMPUTED_VALUE"""),"IN")</f>
        <v>IN</v>
      </c>
      <c r="I2636" s="211" t="str">
        <f>IFERROR(__xludf.DUMMYFUNCTION("""COMPUTED_VALUE"""),"EMPTY")</f>
        <v>EMPTY</v>
      </c>
      <c r="J2636" s="211">
        <f>IFERROR(__xludf.DUMMYFUNCTION("""COMPUTED_VALUE"""),2.0)</f>
        <v>2</v>
      </c>
      <c r="K2636" s="210" t="str">
        <f>IFERROR(__xludf.DUMMYFUNCTION("""COMPUTED_VALUE"""),"11169 11228")</f>
        <v>11169 11228</v>
      </c>
      <c r="L2636" s="211">
        <f>IFERROR(__xludf.DUMMYFUNCTION("""COMPUTED_VALUE"""),0.0)</f>
        <v>0</v>
      </c>
      <c r="M2636" s="211"/>
      <c r="N2636" s="211"/>
      <c r="O2636" s="211"/>
      <c r="Q2636" s="210" t="str">
        <f>IFERROR(__xludf.DUMMYFUNCTION("""COMPUTED_VALUE"""),"1261282")</f>
        <v>1261282</v>
      </c>
      <c r="R2636" s="210" t="str">
        <f>IFERROR(__xludf.DUMMYFUNCTION("""COMPUTED_VALUE"""),"1261282")</f>
        <v>1261282</v>
      </c>
      <c r="S2636" s="211" t="str">
        <f>IFERROR(__xludf.DUMMYFUNCTION("""COMPUTED_VALUE"""),"4ec68cf6")</f>
        <v>4ec68cf6</v>
      </c>
      <c r="T2636" s="211" t="str">
        <f>IFERROR(__xludf.DUMMYFUNCTION("""COMPUTED_VALUE"""),"CV Sido Mukti Karya")</f>
        <v>CV Sido Mukti Karya</v>
      </c>
      <c r="U2636" s="215">
        <f>IFERROR(__xludf.DUMMYFUNCTION("""COMPUTED_VALUE"""),46076.404641203706)</f>
        <v>46076.40464</v>
      </c>
      <c r="V2636" s="211" t="str">
        <f>IFERROR(__xludf.DUMMYFUNCTION("""COMPUTED_VALUE"""),"Pergudangan Center Point no A3, Kemangsen")</f>
        <v>Pergudangan Center Point no A3, Kemangsen</v>
      </c>
      <c r="W2636" s="211" t="str">
        <f>IFERROR(__xludf.DUMMYFUNCTION("""COMPUTED_VALUE"""),"IN")</f>
        <v>IN</v>
      </c>
      <c r="X2636" s="211"/>
    </row>
    <row r="2637">
      <c r="A2637" s="210" t="str">
        <f>IFERROR(__xludf.DUMMYFUNCTION("""COMPUTED_VALUE"""),"122511859")</f>
        <v>122511859</v>
      </c>
      <c r="B2637" s="210" t="str">
        <f>IFERROR(__xludf.DUMMYFUNCTION("""COMPUTED_VALUE"""),"122511859")</f>
        <v>122511859</v>
      </c>
      <c r="C2637" s="213">
        <f>IFERROR(__xludf.DUMMYFUNCTION("""COMPUTED_VALUE"""),45992.286828703705)</f>
        <v>45992.28683</v>
      </c>
      <c r="D2637" s="211" t="str">
        <f>IFERROR(__xludf.DUMMYFUNCTION("""COMPUTED_VALUE"""),"3b04351a")</f>
        <v>3b04351a</v>
      </c>
      <c r="E2637" s="211" t="str">
        <f>IFERROR(__xludf.DUMMYFUNCTION("""COMPUTED_VALUE"""),"CV Usaha Logam Jaya")</f>
        <v>CV Usaha Logam Jaya</v>
      </c>
      <c r="F2637" s="211" t="str">
        <f>IFERROR(__xludf.DUMMYFUNCTION("""COMPUTED_VALUE"""),"8bdbe149")</f>
        <v>8bdbe149</v>
      </c>
      <c r="G2637" s="211" t="str">
        <f>IFERROR(__xludf.DUMMYFUNCTION("""COMPUTED_VALUE"""),"Oksigen 6m3")</f>
        <v>Oksigen 6m3</v>
      </c>
      <c r="H2637" s="211" t="str">
        <f>IFERROR(__xludf.DUMMYFUNCTION("""COMPUTED_VALUE"""),"OUT")</f>
        <v>OUT</v>
      </c>
      <c r="I2637" s="211" t="str">
        <f>IFERROR(__xludf.DUMMYFUNCTION("""COMPUTED_VALUE"""),"NORMAL")</f>
        <v>NORMAL</v>
      </c>
      <c r="J2637" s="211">
        <f>IFERROR(__xludf.DUMMYFUNCTION("""COMPUTED_VALUE"""),14.0)</f>
        <v>14</v>
      </c>
      <c r="K2637" s="210" t="str">
        <f>IFERROR(__xludf.DUMMYFUNCTION("""COMPUTED_VALUE"""),"1198 11248 1153 11120 11199 11284 11277 11197 11290 11256 11112 1197 11196 11109")</f>
        <v>1198 11248 1153 11120 11199 11284 11277 11197 11290 11256 11112 1197 11196 11109</v>
      </c>
      <c r="L2637" s="211">
        <f>IFERROR(__xludf.DUMMYFUNCTION("""COMPUTED_VALUE"""),60000.0)</f>
        <v>60000</v>
      </c>
      <c r="M2637" s="211"/>
      <c r="N2637" s="211"/>
      <c r="O2637" s="211"/>
      <c r="Q2637" s="210" t="str">
        <f>IFERROR(__xludf.DUMMYFUNCTION("""COMPUTED_VALUE"""),"1261283")</f>
        <v>1261283</v>
      </c>
      <c r="R2637" s="210" t="str">
        <f>IFERROR(__xludf.DUMMYFUNCTION("""COMPUTED_VALUE"""),"1261283")</f>
        <v>1261283</v>
      </c>
      <c r="S2637" s="211" t="str">
        <f>IFERROR(__xludf.DUMMYFUNCTION("""COMPUTED_VALUE"""),"17a8e612")</f>
        <v>17a8e612</v>
      </c>
      <c r="T2637" s="211" t="str">
        <f>IFERROR(__xludf.DUMMYFUNCTION("""COMPUTED_VALUE"""),"Flashtech Machinery")</f>
        <v>Flashtech Machinery</v>
      </c>
      <c r="U2637" s="215">
        <f>IFERROR(__xludf.DUMMYFUNCTION("""COMPUTED_VALUE"""),46076.40516203704)</f>
        <v>46076.40516</v>
      </c>
      <c r="V2637" s="211" t="str">
        <f>IFERROR(__xludf.DUMMYFUNCTION("""COMPUTED_VALUE"""),"Pergudangan Point Center blok A no.4, Kemangsen")</f>
        <v>Pergudangan Point Center blok A no.4, Kemangsen</v>
      </c>
      <c r="W2637" s="211" t="str">
        <f>IFERROR(__xludf.DUMMYFUNCTION("""COMPUTED_VALUE"""),"IN")</f>
        <v>IN</v>
      </c>
      <c r="X2637" s="211"/>
    </row>
    <row r="2638">
      <c r="A2638" s="210" t="str">
        <f>IFERROR(__xludf.DUMMYFUNCTION("""COMPUTED_VALUE"""),"122511859")</f>
        <v>122511859</v>
      </c>
      <c r="B2638" s="210" t="str">
        <f>IFERROR(__xludf.DUMMYFUNCTION("""COMPUTED_VALUE"""),"122511859")</f>
        <v>122511859</v>
      </c>
      <c r="C2638" s="213">
        <f>IFERROR(__xludf.DUMMYFUNCTION("""COMPUTED_VALUE"""),45992.286828703705)</f>
        <v>45992.28683</v>
      </c>
      <c r="D2638" s="211" t="str">
        <f>IFERROR(__xludf.DUMMYFUNCTION("""COMPUTED_VALUE"""),"3b04351a")</f>
        <v>3b04351a</v>
      </c>
      <c r="E2638" s="211" t="str">
        <f>IFERROR(__xludf.DUMMYFUNCTION("""COMPUTED_VALUE"""),"CV Usaha Logam Jaya")</f>
        <v>CV Usaha Logam Jaya</v>
      </c>
      <c r="F2638" s="211" t="str">
        <f>IFERROR(__xludf.DUMMYFUNCTION("""COMPUTED_VALUE"""),"7d2764f1")</f>
        <v>7d2764f1</v>
      </c>
      <c r="G2638" s="211" t="str">
        <f>IFERROR(__xludf.DUMMYFUNCTION("""COMPUTED_VALUE"""),"Oksigen 7m3")</f>
        <v>Oksigen 7m3</v>
      </c>
      <c r="H2638" s="211" t="str">
        <f>IFERROR(__xludf.DUMMYFUNCTION("""COMPUTED_VALUE"""),"OUT")</f>
        <v>OUT</v>
      </c>
      <c r="I2638" s="211" t="str">
        <f>IFERROR(__xludf.DUMMYFUNCTION("""COMPUTED_VALUE"""),"NORMAL")</f>
        <v>NORMAL</v>
      </c>
      <c r="J2638" s="211">
        <f>IFERROR(__xludf.DUMMYFUNCTION("""COMPUTED_VALUE"""),6.0)</f>
        <v>6</v>
      </c>
      <c r="K2638" s="210" t="str">
        <f>IFERROR(__xludf.DUMMYFUNCTION("""COMPUTED_VALUE"""),"11227 11214 11213 11229 11228 11169")</f>
        <v>11227 11214 11213 11229 11228 11169</v>
      </c>
      <c r="L2638" s="211">
        <f>IFERROR(__xludf.DUMMYFUNCTION("""COMPUTED_VALUE"""),60000.0)</f>
        <v>60000</v>
      </c>
      <c r="M2638" s="211"/>
      <c r="N2638" s="211"/>
      <c r="O2638" s="211"/>
      <c r="Q2638" s="210" t="str">
        <f>IFERROR(__xludf.DUMMYFUNCTION("""COMPUTED_VALUE"""),"1261292")</f>
        <v>1261292</v>
      </c>
      <c r="R2638" s="210" t="str">
        <f>IFERROR(__xludf.DUMMYFUNCTION("""COMPUTED_VALUE"""),"1261292")</f>
        <v>1261292</v>
      </c>
      <c r="S2638" s="211" t="str">
        <f>IFERROR(__xludf.DUMMYFUNCTION("""COMPUTED_VALUE"""),"440df1db")</f>
        <v>440df1db</v>
      </c>
      <c r="T2638" s="211" t="str">
        <f>IFERROR(__xludf.DUMMYFUNCTION("""COMPUTED_VALUE"""),"PT. Mecca Abadi Sejahtera")</f>
        <v>PT. Mecca Abadi Sejahtera</v>
      </c>
      <c r="U2638" s="215">
        <f>IFERROR(__xludf.DUMMYFUNCTION("""COMPUTED_VALUE"""),46076.45712962963)</f>
        <v>46076.45713</v>
      </c>
      <c r="V2638" s="211" t="str">
        <f>IFERROR(__xludf.DUMMYFUNCTION("""COMPUTED_VALUE"""),"Jl. Raya Sawocangkring, RT.006/RW.002, Sawo, Sawocangkring, Kec. Wonoayu, Kabupaten Sidoarjo, Jawa Timur 61261")</f>
        <v>Jl. Raya Sawocangkring, RT.006/RW.002, Sawo, Sawocangkring, Kec. Wonoayu, Kabupaten Sidoarjo, Jawa Timur 61261</v>
      </c>
      <c r="W2638" s="211" t="str">
        <f>IFERROR(__xludf.DUMMYFUNCTION("""COMPUTED_VALUE"""),"IN")</f>
        <v>IN</v>
      </c>
      <c r="X2638" s="211"/>
    </row>
    <row r="2639">
      <c r="A2639" s="210" t="str">
        <f>IFERROR(__xludf.DUMMYFUNCTION("""COMPUTED_VALUE"""),"1225271862")</f>
        <v>1225271862</v>
      </c>
      <c r="B2639" s="210" t="str">
        <f>IFERROR(__xludf.DUMMYFUNCTION("""COMPUTED_VALUE"""),"1225271862")</f>
        <v>1225271862</v>
      </c>
      <c r="C2639" s="213">
        <f>IFERROR(__xludf.DUMMYFUNCTION("""COMPUTED_VALUE"""),45992.37513888889)</f>
        <v>45992.37514</v>
      </c>
      <c r="D2639" s="211" t="str">
        <f>IFERROR(__xludf.DUMMYFUNCTION("""COMPUTED_VALUE"""),"2d88931c")</f>
        <v>2d88931c</v>
      </c>
      <c r="E2639" s="211" t="str">
        <f>IFERROR(__xludf.DUMMYFUNCTION("""COMPUTED_VALUE"""),"PT Dunia Berkat Marga Mulya")</f>
        <v>PT Dunia Berkat Marga Mulya</v>
      </c>
      <c r="F2639" s="211" t="str">
        <f>IFERROR(__xludf.DUMMYFUNCTION("""COMPUTED_VALUE"""),"8bdbe149")</f>
        <v>8bdbe149</v>
      </c>
      <c r="G2639" s="211" t="str">
        <f>IFERROR(__xludf.DUMMYFUNCTION("""COMPUTED_VALUE"""),"Oksigen 6m3")</f>
        <v>Oksigen 6m3</v>
      </c>
      <c r="H2639" s="211" t="str">
        <f>IFERROR(__xludf.DUMMYFUNCTION("""COMPUTED_VALUE"""),"OUT")</f>
        <v>OUT</v>
      </c>
      <c r="I2639" s="211" t="str">
        <f>IFERROR(__xludf.DUMMYFUNCTION("""COMPUTED_VALUE"""),"NORMAL")</f>
        <v>NORMAL</v>
      </c>
      <c r="J2639" s="211">
        <f>IFERROR(__xludf.DUMMYFUNCTION("""COMPUTED_VALUE"""),5.0)</f>
        <v>5</v>
      </c>
      <c r="K2639" s="210" t="str">
        <f>IFERROR(__xludf.DUMMYFUNCTION("""COMPUTED_VALUE"""),"11232 11210 1169 11187 1138")</f>
        <v>11232 11210 1169 11187 1138</v>
      </c>
      <c r="L2639" s="211">
        <f>IFERROR(__xludf.DUMMYFUNCTION("""COMPUTED_VALUE"""),60000.0)</f>
        <v>60000</v>
      </c>
      <c r="M2639" s="211"/>
      <c r="N2639" s="211"/>
      <c r="O2639" s="211"/>
      <c r="Q2639" s="210" t="str">
        <f>IFERROR(__xludf.DUMMYFUNCTION("""COMPUTED_VALUE"""),"1261293")</f>
        <v>1261293</v>
      </c>
      <c r="R2639" s="210" t="str">
        <f>IFERROR(__xludf.DUMMYFUNCTION("""COMPUTED_VALUE"""),"1261293")</f>
        <v>1261293</v>
      </c>
      <c r="S2639" s="211" t="str">
        <f>IFERROR(__xludf.DUMMYFUNCTION("""COMPUTED_VALUE"""),"734c6d17")</f>
        <v>734c6d17</v>
      </c>
      <c r="T2639" s="211" t="str">
        <f>IFERROR(__xludf.DUMMYFUNCTION("""COMPUTED_VALUE"""),"Bapak Ainol Yaqin ( Bpk. Ibnu )")</f>
        <v>Bapak Ainol Yaqin ( Bpk. Ibnu )</v>
      </c>
      <c r="U2639" s="215">
        <f>IFERROR(__xludf.DUMMYFUNCTION("""COMPUTED_VALUE"""),46076.45744212963)</f>
        <v>46076.45744</v>
      </c>
      <c r="V2639" s="211" t="str">
        <f>IFERROR(__xludf.DUMMYFUNCTION("""COMPUTED_VALUE"""),"Tanggul Wetan, Tanggul, Kec. Wonoayu, Kabupaten Sidoarjo, Jawa Timur")</f>
        <v>Tanggul Wetan, Tanggul, Kec. Wonoayu, Kabupaten Sidoarjo, Jawa Timur</v>
      </c>
      <c r="W2639" s="211" t="str">
        <f>IFERROR(__xludf.DUMMYFUNCTION("""COMPUTED_VALUE"""),"IN")</f>
        <v>IN</v>
      </c>
      <c r="X2639" s="211"/>
    </row>
    <row r="2640">
      <c r="A2640" s="210" t="str">
        <f>IFERROR(__xludf.DUMMYFUNCTION("""COMPUTED_VALUE"""),"1250884")</f>
        <v>1250884</v>
      </c>
      <c r="B2640" s="210" t="str">
        <f>IFERROR(__xludf.DUMMYFUNCTION("""COMPUTED_VALUE"""),"1250884")</f>
        <v>1250884</v>
      </c>
      <c r="C2640" s="213">
        <f>IFERROR(__xludf.DUMMYFUNCTION("""COMPUTED_VALUE"""),45992.531226851854)</f>
        <v>45992.53123</v>
      </c>
      <c r="D2640" s="211" t="str">
        <f>IFERROR(__xludf.DUMMYFUNCTION("""COMPUTED_VALUE"""),"2d88931c")</f>
        <v>2d88931c</v>
      </c>
      <c r="E2640" s="211" t="str">
        <f>IFERROR(__xludf.DUMMYFUNCTION("""COMPUTED_VALUE"""),"PT Dunia Berkat Marga Mulya")</f>
        <v>PT Dunia Berkat Marga Mulya</v>
      </c>
      <c r="F2640" s="211" t="str">
        <f>IFERROR(__xludf.DUMMYFUNCTION("""COMPUTED_VALUE"""),"8bdbe149")</f>
        <v>8bdbe149</v>
      </c>
      <c r="G2640" s="211" t="str">
        <f>IFERROR(__xludf.DUMMYFUNCTION("""COMPUTED_VALUE"""),"Oksigen 6m3")</f>
        <v>Oksigen 6m3</v>
      </c>
      <c r="H2640" s="211" t="str">
        <f>IFERROR(__xludf.DUMMYFUNCTION("""COMPUTED_VALUE"""),"IN")</f>
        <v>IN</v>
      </c>
      <c r="I2640" s="211" t="str">
        <f>IFERROR(__xludf.DUMMYFUNCTION("""COMPUTED_VALUE"""),"EMPTY")</f>
        <v>EMPTY</v>
      </c>
      <c r="J2640" s="211">
        <f>IFERROR(__xludf.DUMMYFUNCTION("""COMPUTED_VALUE"""),3.0)</f>
        <v>3</v>
      </c>
      <c r="K2640" s="210" t="str">
        <f>IFERROR(__xludf.DUMMYFUNCTION("""COMPUTED_VALUE"""),"1136 1143 11240")</f>
        <v>1136 1143 11240</v>
      </c>
      <c r="L2640" s="211">
        <f>IFERROR(__xludf.DUMMYFUNCTION("""COMPUTED_VALUE"""),0.0)</f>
        <v>0</v>
      </c>
      <c r="M2640" s="211"/>
      <c r="N2640" s="211"/>
      <c r="O2640" s="211"/>
      <c r="Q2640" s="210" t="str">
        <f>IFERROR(__xludf.DUMMYFUNCTION("""COMPUTED_VALUE"""),"0226872636")</f>
        <v>0226872636</v>
      </c>
      <c r="R2640" s="210" t="str">
        <f>IFERROR(__xludf.DUMMYFUNCTION("""COMPUTED_VALUE"""),"0226872636")</f>
        <v>0226872636</v>
      </c>
      <c r="S2640" s="211" t="str">
        <f>IFERROR(__xludf.DUMMYFUNCTION("""COMPUTED_VALUE"""),"b2b5f2c5")</f>
        <v>b2b5f2c5</v>
      </c>
      <c r="T2640" s="211" t="str">
        <f>IFERROR(__xludf.DUMMYFUNCTION("""COMPUTED_VALUE"""),"Bengkel Las Bpk. Ari")</f>
        <v>Bengkel Las Bpk. Ari</v>
      </c>
      <c r="U2640" s="215">
        <f>IFERROR(__xludf.DUMMYFUNCTION("""COMPUTED_VALUE"""),46076.458020833335)</f>
        <v>46076.45802</v>
      </c>
      <c r="V2640" s="211" t="str">
        <f>IFERROR(__xludf.DUMMYFUNCTION("""COMPUTED_VALUE"""),"Sumber Kembar, Wonodadi, Kec. Kutorejo, Kabupaten Mojokerto, Jawa Timur")</f>
        <v>Sumber Kembar, Wonodadi, Kec. Kutorejo, Kabupaten Mojokerto, Jawa Timur</v>
      </c>
      <c r="W2640" s="211" t="str">
        <f>IFERROR(__xludf.DUMMYFUNCTION("""COMPUTED_VALUE"""),"OUT")</f>
        <v>OUT</v>
      </c>
      <c r="X2640" s="211"/>
    </row>
    <row r="2641">
      <c r="A2641" s="210" t="str">
        <f>IFERROR(__xludf.DUMMYFUNCTION("""COMPUTED_VALUE"""),"1250885")</f>
        <v>1250885</v>
      </c>
      <c r="B2641" s="210" t="str">
        <f>IFERROR(__xludf.DUMMYFUNCTION("""COMPUTED_VALUE"""),"1250885")</f>
        <v>1250885</v>
      </c>
      <c r="C2641" s="213">
        <f>IFERROR(__xludf.DUMMYFUNCTION("""COMPUTED_VALUE"""),45992.53172453704)</f>
        <v>45992.53172</v>
      </c>
      <c r="D2641" s="211" t="str">
        <f>IFERROR(__xludf.DUMMYFUNCTION("""COMPUTED_VALUE"""),"ed4307f6")</f>
        <v>ed4307f6</v>
      </c>
      <c r="E2641" s="211" t="str">
        <f>IFERROR(__xludf.DUMMYFUNCTION("""COMPUTED_VALUE"""),"Bpk. Andi (Jetis)")</f>
        <v>Bpk. Andi (Jetis)</v>
      </c>
      <c r="F2641" s="211" t="str">
        <f>IFERROR(__xludf.DUMMYFUNCTION("""COMPUTED_VALUE"""),"f6aab7a9")</f>
        <v>f6aab7a9</v>
      </c>
      <c r="G2641" s="211" t="str">
        <f>IFERROR(__xludf.DUMMYFUNCTION("""COMPUTED_VALUE"""),"Oksigen 6m3 MR")</f>
        <v>Oksigen 6m3 MR</v>
      </c>
      <c r="H2641" s="211" t="str">
        <f>IFERROR(__xludf.DUMMYFUNCTION("""COMPUTED_VALUE"""),"IN")</f>
        <v>IN</v>
      </c>
      <c r="I2641" s="211" t="str">
        <f>IFERROR(__xludf.DUMMYFUNCTION("""COMPUTED_VALUE"""),"EMPTY")</f>
        <v>EMPTY</v>
      </c>
      <c r="J2641" s="211">
        <f>IFERROR(__xludf.DUMMYFUNCTION("""COMPUTED_VALUE"""),25.0)</f>
        <v>25</v>
      </c>
      <c r="K2641" s="211"/>
      <c r="L2641" s="211">
        <f>IFERROR(__xludf.DUMMYFUNCTION("""COMPUTED_VALUE"""),0.0)</f>
        <v>0</v>
      </c>
      <c r="M2641" s="211"/>
      <c r="N2641" s="211"/>
      <c r="O2641" s="211"/>
      <c r="Q2641" s="210" t="str">
        <f>IFERROR(__xludf.DUMMYFUNCTION("""COMPUTED_VALUE"""),"0226122641")</f>
        <v>0226122641</v>
      </c>
      <c r="R2641" s="210" t="str">
        <f>IFERROR(__xludf.DUMMYFUNCTION("""COMPUTED_VALUE"""),"0226122641")</f>
        <v>0226122641</v>
      </c>
      <c r="S2641" s="211" t="str">
        <f>IFERROR(__xludf.DUMMYFUNCTION("""COMPUTED_VALUE"""),"ba97d58d")</f>
        <v>ba97d58d</v>
      </c>
      <c r="T2641" s="211" t="str">
        <f>IFERROR(__xludf.DUMMYFUNCTION("""COMPUTED_VALUE"""),"Bengkel Citra Mojosari")</f>
        <v>Bengkel Citra Mojosari</v>
      </c>
      <c r="U2641" s="215">
        <f>IFERROR(__xludf.DUMMYFUNCTION("""COMPUTED_VALUE"""),46076.458333333336)</f>
        <v>46076.45833</v>
      </c>
      <c r="V2641" s="211" t="str">
        <f>IFERROR(__xludf.DUMMYFUNCTION("""COMPUTED_VALUE"""),"Jl. Raden Wijaya, Kemloko, Jotangan, Kec. Mojosari, Kabupaten Mojokerto, Jawa Timur 61382")</f>
        <v>Jl. Raden Wijaya, Kemloko, Jotangan, Kec. Mojosari, Kabupaten Mojokerto, Jawa Timur 61382</v>
      </c>
      <c r="W2641" s="211" t="str">
        <f>IFERROR(__xludf.DUMMYFUNCTION("""COMPUTED_VALUE"""),"OUT")</f>
        <v>OUT</v>
      </c>
      <c r="X2641" s="211"/>
    </row>
    <row r="2642">
      <c r="A2642" s="210" t="str">
        <f>IFERROR(__xludf.DUMMYFUNCTION("""COMPUTED_VALUE"""),"1250879")</f>
        <v>1250879</v>
      </c>
      <c r="B2642" s="210" t="str">
        <f>IFERROR(__xludf.DUMMYFUNCTION("""COMPUTED_VALUE"""),"1250879")</f>
        <v>1250879</v>
      </c>
      <c r="C2642" s="213">
        <f>IFERROR(__xludf.DUMMYFUNCTION("""COMPUTED_VALUE"""),45992.65777777778)</f>
        <v>45992.65778</v>
      </c>
      <c r="D2642" s="211" t="str">
        <f>IFERROR(__xludf.DUMMYFUNCTION("""COMPUTED_VALUE"""),"b2b5f2c5")</f>
        <v>b2b5f2c5</v>
      </c>
      <c r="E2642" s="211" t="str">
        <f>IFERROR(__xludf.DUMMYFUNCTION("""COMPUTED_VALUE"""),"Bengkel Las Bpk. Ari")</f>
        <v>Bengkel Las Bpk. Ari</v>
      </c>
      <c r="F2642" s="211" t="str">
        <f>IFERROR(__xludf.DUMMYFUNCTION("""COMPUTED_VALUE"""),"8bdbe149")</f>
        <v>8bdbe149</v>
      </c>
      <c r="G2642" s="211" t="str">
        <f>IFERROR(__xludf.DUMMYFUNCTION("""COMPUTED_VALUE"""),"Oksigen 6m3")</f>
        <v>Oksigen 6m3</v>
      </c>
      <c r="H2642" s="211" t="str">
        <f>IFERROR(__xludf.DUMMYFUNCTION("""COMPUTED_VALUE"""),"IN")</f>
        <v>IN</v>
      </c>
      <c r="I2642" s="211" t="str">
        <f>IFERROR(__xludf.DUMMYFUNCTION("""COMPUTED_VALUE"""),"EMPTY")</f>
        <v>EMPTY</v>
      </c>
      <c r="J2642" s="211">
        <f>IFERROR(__xludf.DUMMYFUNCTION("""COMPUTED_VALUE"""),3.0)</f>
        <v>3</v>
      </c>
      <c r="K2642" s="210" t="str">
        <f>IFERROR(__xludf.DUMMYFUNCTION("""COMPUTED_VALUE"""),"11128 11132 11122")</f>
        <v>11128 11132 11122</v>
      </c>
      <c r="L2642" s="211">
        <f>IFERROR(__xludf.DUMMYFUNCTION("""COMPUTED_VALUE"""),0.0)</f>
        <v>0</v>
      </c>
      <c r="M2642" s="211"/>
      <c r="N2642" s="211"/>
      <c r="O2642" s="211"/>
      <c r="Q2642" s="210" t="str">
        <f>IFERROR(__xludf.DUMMYFUNCTION("""COMPUTED_VALUE"""),"1261285")</f>
        <v>1261285</v>
      </c>
      <c r="R2642" s="210" t="str">
        <f>IFERROR(__xludf.DUMMYFUNCTION("""COMPUTED_VALUE"""),"1261285")</f>
        <v>1261285</v>
      </c>
      <c r="S2642" s="211" t="str">
        <f>IFERROR(__xludf.DUMMYFUNCTION("""COMPUTED_VALUE"""),"63fc688a")</f>
        <v>63fc688a</v>
      </c>
      <c r="T2642" s="211" t="str">
        <f>IFERROR(__xludf.DUMMYFUNCTION("""COMPUTED_VALUE"""),"CV Malik Nusantara")</f>
        <v>CV Malik Nusantara</v>
      </c>
      <c r="U2642" s="215">
        <f>IFERROR(__xludf.DUMMYFUNCTION("""COMPUTED_VALUE"""),46076.49717592593)</f>
        <v>46076.49718</v>
      </c>
      <c r="V2642" s="211" t="str">
        <f>IFERROR(__xludf.DUMMYFUNCTION("""COMPUTED_VALUE"""),"Jl. Raya Balongbendo No.12, Suwaluh Utara, Suwaluh, Kec. BalongBendo, Kabupaten Sidoarjo, Jawa Timur 61263")</f>
        <v>Jl. Raya Balongbendo No.12, Suwaluh Utara, Suwaluh, Kec. BalongBendo, Kabupaten Sidoarjo, Jawa Timur 61263</v>
      </c>
      <c r="W2642" s="211" t="str">
        <f>IFERROR(__xludf.DUMMYFUNCTION("""COMPUTED_VALUE"""),"IN")</f>
        <v>IN</v>
      </c>
      <c r="X2642" s="211"/>
    </row>
    <row r="2643">
      <c r="A2643" s="210" t="str">
        <f>IFERROR(__xludf.DUMMYFUNCTION("""COMPUTED_VALUE"""),"1250876")</f>
        <v>1250876</v>
      </c>
      <c r="B2643" s="210" t="str">
        <f>IFERROR(__xludf.DUMMYFUNCTION("""COMPUTED_VALUE"""),"1250876")</f>
        <v>1250876</v>
      </c>
      <c r="C2643" s="213">
        <f>IFERROR(__xludf.DUMMYFUNCTION("""COMPUTED_VALUE"""),45992.65856481482)</f>
        <v>45992.65856</v>
      </c>
      <c r="D2643" s="211" t="str">
        <f>IFERROR(__xludf.DUMMYFUNCTION("""COMPUTED_VALUE"""),"8ea74d81")</f>
        <v>8ea74d81</v>
      </c>
      <c r="E2643" s="211" t="str">
        <f>IFERROR(__xludf.DUMMYFUNCTION("""COMPUTED_VALUE"""),"Bengkel Adi Putra")</f>
        <v>Bengkel Adi Putra</v>
      </c>
      <c r="F2643" s="211" t="str">
        <f>IFERROR(__xludf.DUMMYFUNCTION("""COMPUTED_VALUE"""),"8bdbe149")</f>
        <v>8bdbe149</v>
      </c>
      <c r="G2643" s="211" t="str">
        <f>IFERROR(__xludf.DUMMYFUNCTION("""COMPUTED_VALUE"""),"Oksigen 6m3")</f>
        <v>Oksigen 6m3</v>
      </c>
      <c r="H2643" s="211" t="str">
        <f>IFERROR(__xludf.DUMMYFUNCTION("""COMPUTED_VALUE"""),"IN")</f>
        <v>IN</v>
      </c>
      <c r="I2643" s="211" t="str">
        <f>IFERROR(__xludf.DUMMYFUNCTION("""COMPUTED_VALUE"""),"EMPTY")</f>
        <v>EMPTY</v>
      </c>
      <c r="J2643" s="211">
        <f>IFERROR(__xludf.DUMMYFUNCTION("""COMPUTED_VALUE"""),1.0)</f>
        <v>1</v>
      </c>
      <c r="K2643" s="210" t="str">
        <f>IFERROR(__xludf.DUMMYFUNCTION("""COMPUTED_VALUE"""),"11234")</f>
        <v>11234</v>
      </c>
      <c r="L2643" s="211">
        <f>IFERROR(__xludf.DUMMYFUNCTION("""COMPUTED_VALUE"""),0.0)</f>
        <v>0</v>
      </c>
      <c r="M2643" s="211"/>
      <c r="N2643" s="211"/>
      <c r="O2643" s="211"/>
      <c r="Q2643" s="210" t="str">
        <f>IFERROR(__xludf.DUMMYFUNCTION("""COMPUTED_VALUE"""),"1261284")</f>
        <v>1261284</v>
      </c>
      <c r="R2643" s="210" t="str">
        <f>IFERROR(__xludf.DUMMYFUNCTION("""COMPUTED_VALUE"""),"1261284")</f>
        <v>1261284</v>
      </c>
      <c r="S2643" s="211" t="str">
        <f>IFERROR(__xludf.DUMMYFUNCTION("""COMPUTED_VALUE"""),"2d88931c")</f>
        <v>2d88931c</v>
      </c>
      <c r="T2643" s="211" t="str">
        <f>IFERROR(__xludf.DUMMYFUNCTION("""COMPUTED_VALUE"""),"PT Dunia Berkat Marga Mulya")</f>
        <v>PT Dunia Berkat Marga Mulya</v>
      </c>
      <c r="U2643" s="215">
        <f>IFERROR(__xludf.DUMMYFUNCTION("""COMPUTED_VALUE"""),46076.49798611111)</f>
        <v>46076.49799</v>
      </c>
      <c r="V2643" s="211" t="str">
        <f>IFERROR(__xludf.DUMMYFUNCTION("""COMPUTED_VALUE"""),"JL JABARAN, WATESARI, BALONGBENDO, SIDOARJO, JAWA TIMUR")</f>
        <v>JL JABARAN, WATESARI, BALONGBENDO, SIDOARJO, JAWA TIMUR</v>
      </c>
      <c r="W2643" s="211" t="str">
        <f>IFERROR(__xludf.DUMMYFUNCTION("""COMPUTED_VALUE"""),"IN")</f>
        <v>IN</v>
      </c>
      <c r="X2643" s="211"/>
    </row>
    <row r="2644">
      <c r="A2644" s="210" t="str">
        <f>IFERROR(__xludf.DUMMYFUNCTION("""COMPUTED_VALUE"""),"1250877")</f>
        <v>1250877</v>
      </c>
      <c r="B2644" s="210" t="str">
        <f>IFERROR(__xludf.DUMMYFUNCTION("""COMPUTED_VALUE"""),"1250877")</f>
        <v>1250877</v>
      </c>
      <c r="C2644" s="213">
        <f>IFERROR(__xludf.DUMMYFUNCTION("""COMPUTED_VALUE"""),45992.65891203703)</f>
        <v>45992.65891</v>
      </c>
      <c r="D2644" s="211" t="str">
        <f>IFERROR(__xludf.DUMMYFUNCTION("""COMPUTED_VALUE"""),"8f5ebaea")</f>
        <v>8f5ebaea</v>
      </c>
      <c r="E2644" s="211" t="str">
        <f>IFERROR(__xludf.DUMMYFUNCTION("""COMPUTED_VALUE"""),"PT Hua Zong Mesindo")</f>
        <v>PT Hua Zong Mesindo</v>
      </c>
      <c r="F2644" s="211" t="str">
        <f>IFERROR(__xludf.DUMMYFUNCTION("""COMPUTED_VALUE"""),"66af7c72")</f>
        <v>66af7c72</v>
      </c>
      <c r="G2644" s="211" t="str">
        <f>IFERROR(__xludf.DUMMYFUNCTION("""COMPUTED_VALUE"""),"Argon 6m3")</f>
        <v>Argon 6m3</v>
      </c>
      <c r="H2644" s="211" t="str">
        <f>IFERROR(__xludf.DUMMYFUNCTION("""COMPUTED_VALUE"""),"IN")</f>
        <v>IN</v>
      </c>
      <c r="I2644" s="211" t="str">
        <f>IFERROR(__xludf.DUMMYFUNCTION("""COMPUTED_VALUE"""),"EMPTY")</f>
        <v>EMPTY</v>
      </c>
      <c r="J2644" s="211">
        <f>IFERROR(__xludf.DUMMYFUNCTION("""COMPUTED_VALUE"""),1.0)</f>
        <v>1</v>
      </c>
      <c r="K2644" s="210" t="str">
        <f>IFERROR(__xludf.DUMMYFUNCTION("""COMPUTED_VALUE"""),"12084")</f>
        <v>12084</v>
      </c>
      <c r="L2644" s="211">
        <f>IFERROR(__xludf.DUMMYFUNCTION("""COMPUTED_VALUE"""),0.0)</f>
        <v>0</v>
      </c>
      <c r="M2644" s="211"/>
      <c r="N2644" s="211"/>
      <c r="O2644" s="211"/>
      <c r="Q2644" s="210" t="str">
        <f>IFERROR(__xludf.DUMMYFUNCTION("""COMPUTED_VALUE"""),"0226122642")</f>
        <v>0226122642</v>
      </c>
      <c r="R2644" s="210" t="str">
        <f>IFERROR(__xludf.DUMMYFUNCTION("""COMPUTED_VALUE"""),"0226122642")</f>
        <v>0226122642</v>
      </c>
      <c r="S2644" s="211" t="str">
        <f>IFERROR(__xludf.DUMMYFUNCTION("""COMPUTED_VALUE"""),"03ff52db")</f>
        <v>03ff52db</v>
      </c>
      <c r="T2644" s="211" t="str">
        <f>IFERROR(__xludf.DUMMYFUNCTION("""COMPUTED_VALUE"""),"Aneka Teknik Logam")</f>
        <v>Aneka Teknik Logam</v>
      </c>
      <c r="U2644" s="215">
        <f>IFERROR(__xludf.DUMMYFUNCTION("""COMPUTED_VALUE"""),46076.499375)</f>
        <v>46076.49938</v>
      </c>
      <c r="V2644" s="211" t="str">
        <f>IFERROR(__xludf.DUMMYFUNCTION("""COMPUTED_VALUE"""),"HH8G+MQC, Areng Areng, Tropodo, Kec. Krian, Kabupaten Sidoarjo, Jawa Timur 61262")</f>
        <v>HH8G+MQC, Areng Areng, Tropodo, Kec. Krian, Kabupaten Sidoarjo, Jawa Timur 61262</v>
      </c>
      <c r="W2644" s="211" t="str">
        <f>IFERROR(__xludf.DUMMYFUNCTION("""COMPUTED_VALUE"""),"OUT")</f>
        <v>OUT</v>
      </c>
      <c r="X2644" s="211"/>
    </row>
    <row r="2645">
      <c r="A2645" s="210" t="str">
        <f>IFERROR(__xludf.DUMMYFUNCTION("""COMPUTED_VALUE"""),"1250878")</f>
        <v>1250878</v>
      </c>
      <c r="B2645" s="210" t="str">
        <f>IFERROR(__xludf.DUMMYFUNCTION("""COMPUTED_VALUE"""),"1250878")</f>
        <v>1250878</v>
      </c>
      <c r="C2645" s="213">
        <f>IFERROR(__xludf.DUMMYFUNCTION("""COMPUTED_VALUE"""),45992.65918981482)</f>
        <v>45992.65919</v>
      </c>
      <c r="D2645" s="211" t="str">
        <f>IFERROR(__xludf.DUMMYFUNCTION("""COMPUTED_VALUE"""),"01158be1")</f>
        <v>01158be1</v>
      </c>
      <c r="E2645" s="211" t="str">
        <f>IFERROR(__xludf.DUMMYFUNCTION("""COMPUTED_VALUE"""),"GYF")</f>
        <v>GYF</v>
      </c>
      <c r="F2645" s="211" t="str">
        <f>IFERROR(__xludf.DUMMYFUNCTION("""COMPUTED_VALUE"""),"8bdbe149")</f>
        <v>8bdbe149</v>
      </c>
      <c r="G2645" s="211" t="str">
        <f>IFERROR(__xludf.DUMMYFUNCTION("""COMPUTED_VALUE"""),"Oksigen 6m3")</f>
        <v>Oksigen 6m3</v>
      </c>
      <c r="H2645" s="211" t="str">
        <f>IFERROR(__xludf.DUMMYFUNCTION("""COMPUTED_VALUE"""),"IN")</f>
        <v>IN</v>
      </c>
      <c r="I2645" s="211" t="str">
        <f>IFERROR(__xludf.DUMMYFUNCTION("""COMPUTED_VALUE"""),"EMPTY")</f>
        <v>EMPTY</v>
      </c>
      <c r="J2645" s="211">
        <f>IFERROR(__xludf.DUMMYFUNCTION("""COMPUTED_VALUE"""),10.0)</f>
        <v>10</v>
      </c>
      <c r="K2645" s="210" t="str">
        <f>IFERROR(__xludf.DUMMYFUNCTION("""COMPUTED_VALUE"""),"11247 11176 11289 1139 11288 1170 11118 11262 1131 11239")</f>
        <v>11247 11176 11289 1139 11288 1170 11118 11262 1131 11239</v>
      </c>
      <c r="L2645" s="211">
        <f>IFERROR(__xludf.DUMMYFUNCTION("""COMPUTED_VALUE"""),0.0)</f>
        <v>0</v>
      </c>
      <c r="M2645" s="211"/>
      <c r="N2645" s="211"/>
      <c r="O2645" s="211"/>
      <c r="Q2645" s="210" t="str">
        <f>IFERROR(__xludf.DUMMYFUNCTION("""COMPUTED_VALUE"""),"022692645")</f>
        <v>022692645</v>
      </c>
      <c r="R2645" s="210" t="str">
        <f>IFERROR(__xludf.DUMMYFUNCTION("""COMPUTED_VALUE"""),"022692645")</f>
        <v>022692645</v>
      </c>
      <c r="S2645" s="211" t="str">
        <f>IFERROR(__xludf.DUMMYFUNCTION("""COMPUTED_VALUE"""),"1d018c98")</f>
        <v>1d018c98</v>
      </c>
      <c r="T2645" s="211" t="str">
        <f>IFERROR(__xludf.DUMMYFUNCTION("""COMPUTED_VALUE"""),"Mbak Angel")</f>
        <v>Mbak Angel</v>
      </c>
      <c r="U2645" s="215">
        <f>IFERROR(__xludf.DUMMYFUNCTION("""COMPUTED_VALUE"""),46076.507210648146)</f>
        <v>46076.50721</v>
      </c>
      <c r="V2645" s="211" t="str">
        <f>IFERROR(__xludf.DUMMYFUNCTION("""COMPUTED_VALUE"""),"Penambangan Krajan RT 02 RW 01 Balongbendo")</f>
        <v>Penambangan Krajan RT 02 RW 01 Balongbendo</v>
      </c>
      <c r="W2645" s="211" t="str">
        <f>IFERROR(__xludf.DUMMYFUNCTION("""COMPUTED_VALUE"""),"OUT")</f>
        <v>OUT</v>
      </c>
      <c r="X2645" s="211"/>
    </row>
    <row r="2646">
      <c r="A2646" s="210" t="str">
        <f>IFERROR(__xludf.DUMMYFUNCTION("""COMPUTED_VALUE"""),"1250878")</f>
        <v>1250878</v>
      </c>
      <c r="B2646" s="210" t="str">
        <f>IFERROR(__xludf.DUMMYFUNCTION("""COMPUTED_VALUE"""),"1250878")</f>
        <v>1250878</v>
      </c>
      <c r="C2646" s="213">
        <f>IFERROR(__xludf.DUMMYFUNCTION("""COMPUTED_VALUE"""),45992.65918981482)</f>
        <v>45992.65919</v>
      </c>
      <c r="D2646" s="211" t="str">
        <f>IFERROR(__xludf.DUMMYFUNCTION("""COMPUTED_VALUE"""),"01158be1")</f>
        <v>01158be1</v>
      </c>
      <c r="E2646" s="211" t="str">
        <f>IFERROR(__xludf.DUMMYFUNCTION("""COMPUTED_VALUE"""),"GYF")</f>
        <v>GYF</v>
      </c>
      <c r="F2646" s="211" t="str">
        <f>IFERROR(__xludf.DUMMYFUNCTION("""COMPUTED_VALUE"""),"7d2764f1")</f>
        <v>7d2764f1</v>
      </c>
      <c r="G2646" s="211" t="str">
        <f>IFERROR(__xludf.DUMMYFUNCTION("""COMPUTED_VALUE"""),"Oksigen 7m3")</f>
        <v>Oksigen 7m3</v>
      </c>
      <c r="H2646" s="211" t="str">
        <f>IFERROR(__xludf.DUMMYFUNCTION("""COMPUTED_VALUE"""),"IN")</f>
        <v>IN</v>
      </c>
      <c r="I2646" s="211" t="str">
        <f>IFERROR(__xludf.DUMMYFUNCTION("""COMPUTED_VALUE"""),"EMPTY")</f>
        <v>EMPTY</v>
      </c>
      <c r="J2646" s="211">
        <f>IFERROR(__xludf.DUMMYFUNCTION("""COMPUTED_VALUE"""),2.0)</f>
        <v>2</v>
      </c>
      <c r="K2646" s="210" t="str">
        <f>IFERROR(__xludf.DUMMYFUNCTION("""COMPUTED_VALUE"""),"11216 11217")</f>
        <v>11216 11217</v>
      </c>
      <c r="L2646" s="211">
        <f>IFERROR(__xludf.DUMMYFUNCTION("""COMPUTED_VALUE"""),0.0)</f>
        <v>0</v>
      </c>
      <c r="M2646" s="211"/>
      <c r="N2646" s="211"/>
      <c r="O2646" s="211"/>
      <c r="Q2646" s="210" t="str">
        <f>IFERROR(__xludf.DUMMYFUNCTION("""COMPUTED_VALUE"""),"1261295")</f>
        <v>1261295</v>
      </c>
      <c r="R2646" s="210" t="str">
        <f>IFERROR(__xludf.DUMMYFUNCTION("""COMPUTED_VALUE"""),"1261295")</f>
        <v>1261295</v>
      </c>
      <c r="S2646" s="211" t="str">
        <f>IFERROR(__xludf.DUMMYFUNCTION("""COMPUTED_VALUE"""),"b2b5f2c5")</f>
        <v>b2b5f2c5</v>
      </c>
      <c r="T2646" s="211" t="str">
        <f>IFERROR(__xludf.DUMMYFUNCTION("""COMPUTED_VALUE"""),"Bengkel Las Bpk. Ari")</f>
        <v>Bengkel Las Bpk. Ari</v>
      </c>
      <c r="U2646" s="215">
        <f>IFERROR(__xludf.DUMMYFUNCTION("""COMPUTED_VALUE"""),46076.66722222222)</f>
        <v>46076.66722</v>
      </c>
      <c r="V2646" s="211" t="str">
        <f>IFERROR(__xludf.DUMMYFUNCTION("""COMPUTED_VALUE"""),"Sumber Kembar, Wonodadi, Kec. Kutorejo, Kabupaten Mojokerto, Jawa Timur")</f>
        <v>Sumber Kembar, Wonodadi, Kec. Kutorejo, Kabupaten Mojokerto, Jawa Timur</v>
      </c>
      <c r="W2646" s="211" t="str">
        <f>IFERROR(__xludf.DUMMYFUNCTION("""COMPUTED_VALUE"""),"IN")</f>
        <v>IN</v>
      </c>
      <c r="X2646" s="211"/>
    </row>
    <row r="2647">
      <c r="A2647" s="210" t="str">
        <f>IFERROR(__xludf.DUMMYFUNCTION("""COMPUTED_VALUE"""),"1250886")</f>
        <v>1250886</v>
      </c>
      <c r="B2647" s="210" t="str">
        <f>IFERROR(__xludf.DUMMYFUNCTION("""COMPUTED_VALUE"""),"1250886")</f>
        <v>1250886</v>
      </c>
      <c r="C2647" s="213">
        <f>IFERROR(__xludf.DUMMYFUNCTION("""COMPUTED_VALUE"""),45992.6640625)</f>
        <v>45992.66406</v>
      </c>
      <c r="D2647" s="211" t="str">
        <f>IFERROR(__xludf.DUMMYFUNCTION("""COMPUTED_VALUE"""),"a0f0ad2d")</f>
        <v>a0f0ad2d</v>
      </c>
      <c r="E2647" s="211" t="str">
        <f>IFERROR(__xludf.DUMMYFUNCTION("""COMPUTED_VALUE"""),"CV. Yulie Jaya")</f>
        <v>CV. Yulie Jaya</v>
      </c>
      <c r="F2647" s="211" t="str">
        <f>IFERROR(__xludf.DUMMYFUNCTION("""COMPUTED_VALUE"""),"7d2764f1")</f>
        <v>7d2764f1</v>
      </c>
      <c r="G2647" s="211" t="str">
        <f>IFERROR(__xludf.DUMMYFUNCTION("""COMPUTED_VALUE"""),"Oksigen 7m3")</f>
        <v>Oksigen 7m3</v>
      </c>
      <c r="H2647" s="211" t="str">
        <f>IFERROR(__xludf.DUMMYFUNCTION("""COMPUTED_VALUE"""),"IN")</f>
        <v>IN</v>
      </c>
      <c r="I2647" s="211" t="str">
        <f>IFERROR(__xludf.DUMMYFUNCTION("""COMPUTED_VALUE"""),"EMPTY")</f>
        <v>EMPTY</v>
      </c>
      <c r="J2647" s="211">
        <f>IFERROR(__xludf.DUMMYFUNCTION("""COMPUTED_VALUE"""),3.0)</f>
        <v>3</v>
      </c>
      <c r="K2647" s="210" t="str">
        <f>IFERROR(__xludf.DUMMYFUNCTION("""COMPUTED_VALUE"""),"11218 11163 11157")</f>
        <v>11218 11163 11157</v>
      </c>
      <c r="L2647" s="211">
        <f>IFERROR(__xludf.DUMMYFUNCTION("""COMPUTED_VALUE"""),0.0)</f>
        <v>0</v>
      </c>
      <c r="M2647" s="211"/>
      <c r="N2647" s="211"/>
      <c r="O2647" s="211"/>
      <c r="Q2647" s="210" t="str">
        <f>IFERROR(__xludf.DUMMYFUNCTION("""COMPUTED_VALUE"""),"1261294")</f>
        <v>1261294</v>
      </c>
      <c r="R2647" s="210" t="str">
        <f>IFERROR(__xludf.DUMMYFUNCTION("""COMPUTED_VALUE"""),"1261294")</f>
        <v>1261294</v>
      </c>
      <c r="S2647" s="211" t="str">
        <f>IFERROR(__xludf.DUMMYFUNCTION("""COMPUTED_VALUE"""),"03ff52db")</f>
        <v>03ff52db</v>
      </c>
      <c r="T2647" s="211" t="str">
        <f>IFERROR(__xludf.DUMMYFUNCTION("""COMPUTED_VALUE"""),"Aneka Teknik Logam")</f>
        <v>Aneka Teknik Logam</v>
      </c>
      <c r="U2647" s="215">
        <f>IFERROR(__xludf.DUMMYFUNCTION("""COMPUTED_VALUE"""),46076.66753472222)</f>
        <v>46076.66753</v>
      </c>
      <c r="V2647" s="211" t="str">
        <f>IFERROR(__xludf.DUMMYFUNCTION("""COMPUTED_VALUE"""),"HH8G+MQC, Areng Areng, Tropodo, Kec. Krian, Kabupaten Sidoarjo, Jawa Timur 61262")</f>
        <v>HH8G+MQC, Areng Areng, Tropodo, Kec. Krian, Kabupaten Sidoarjo, Jawa Timur 61262</v>
      </c>
      <c r="W2647" s="211" t="str">
        <f>IFERROR(__xludf.DUMMYFUNCTION("""COMPUTED_VALUE"""),"IN")</f>
        <v>IN</v>
      </c>
      <c r="X2647" s="211"/>
    </row>
    <row r="2648">
      <c r="A2648" s="210" t="str">
        <f>IFERROR(__xludf.DUMMYFUNCTION("""COMPUTED_VALUE"""),"122541863")</f>
        <v>122541863</v>
      </c>
      <c r="B2648" s="210" t="str">
        <f>IFERROR(__xludf.DUMMYFUNCTION("""COMPUTED_VALUE"""),"122541863")</f>
        <v>122541863</v>
      </c>
      <c r="C2648" s="213">
        <f>IFERROR(__xludf.DUMMYFUNCTION("""COMPUTED_VALUE"""),45993.35135416667)</f>
        <v>45993.35135</v>
      </c>
      <c r="D2648" s="211" t="str">
        <f>IFERROR(__xludf.DUMMYFUNCTION("""COMPUTED_VALUE"""),"ed4307f6")</f>
        <v>ed4307f6</v>
      </c>
      <c r="E2648" s="211" t="str">
        <f>IFERROR(__xludf.DUMMYFUNCTION("""COMPUTED_VALUE"""),"Bpk. Andi (Jetis)")</f>
        <v>Bpk. Andi (Jetis)</v>
      </c>
      <c r="F2648" s="211" t="str">
        <f>IFERROR(__xludf.DUMMYFUNCTION("""COMPUTED_VALUE"""),"f6aab7a9")</f>
        <v>f6aab7a9</v>
      </c>
      <c r="G2648" s="211" t="str">
        <f>IFERROR(__xludf.DUMMYFUNCTION("""COMPUTED_VALUE"""),"Oksigen 6m3 MR")</f>
        <v>Oksigen 6m3 MR</v>
      </c>
      <c r="H2648" s="211" t="str">
        <f>IFERROR(__xludf.DUMMYFUNCTION("""COMPUTED_VALUE"""),"OUT")</f>
        <v>OUT</v>
      </c>
      <c r="I2648" s="211" t="str">
        <f>IFERROR(__xludf.DUMMYFUNCTION("""COMPUTED_VALUE"""),"NORMAL")</f>
        <v>NORMAL</v>
      </c>
      <c r="J2648" s="211">
        <f>IFERROR(__xludf.DUMMYFUNCTION("""COMPUTED_VALUE"""),25.0)</f>
        <v>25</v>
      </c>
      <c r="K2648" s="211"/>
      <c r="L2648" s="211">
        <f>IFERROR(__xludf.DUMMYFUNCTION("""COMPUTED_VALUE"""),50000.0)</f>
        <v>50000</v>
      </c>
      <c r="M2648" s="211"/>
      <c r="N2648" s="211"/>
      <c r="O2648" s="211"/>
      <c r="Q2648" s="210" t="str">
        <f>IFERROR(__xludf.DUMMYFUNCTION("""COMPUTED_VALUE"""),"1261286")</f>
        <v>1261286</v>
      </c>
      <c r="R2648" s="210" t="str">
        <f>IFERROR(__xludf.DUMMYFUNCTION("""COMPUTED_VALUE"""),"1261286")</f>
        <v>1261286</v>
      </c>
      <c r="S2648" s="211" t="str">
        <f>IFERROR(__xludf.DUMMYFUNCTION("""COMPUTED_VALUE"""),"1d018c98")</f>
        <v>1d018c98</v>
      </c>
      <c r="T2648" s="211" t="str">
        <f>IFERROR(__xludf.DUMMYFUNCTION("""COMPUTED_VALUE"""),"Mbak Angel")</f>
        <v>Mbak Angel</v>
      </c>
      <c r="U2648" s="215">
        <f>IFERROR(__xludf.DUMMYFUNCTION("""COMPUTED_VALUE"""),46076.70144675926)</f>
        <v>46076.70145</v>
      </c>
      <c r="V2648" s="211" t="str">
        <f>IFERROR(__xludf.DUMMYFUNCTION("""COMPUTED_VALUE"""),"Penambangan Krajan RT 02 RW 01 Balongbendo")</f>
        <v>Penambangan Krajan RT 02 RW 01 Balongbendo</v>
      </c>
      <c r="W2648" s="211" t="str">
        <f>IFERROR(__xludf.DUMMYFUNCTION("""COMPUTED_VALUE"""),"IN")</f>
        <v>IN</v>
      </c>
      <c r="X2648" s="211"/>
    </row>
    <row r="2649">
      <c r="A2649" s="210" t="str">
        <f>IFERROR(__xludf.DUMMYFUNCTION("""COMPUTED_VALUE"""),"1225461871")</f>
        <v>1225461871</v>
      </c>
      <c r="B2649" s="210" t="str">
        <f>IFERROR(__xludf.DUMMYFUNCTION("""COMPUTED_VALUE"""),"1225461871")</f>
        <v>1225461871</v>
      </c>
      <c r="C2649" s="213">
        <f>IFERROR(__xludf.DUMMYFUNCTION("""COMPUTED_VALUE"""),45993.35780092593)</f>
        <v>45993.3578</v>
      </c>
      <c r="D2649" s="211" t="str">
        <f>IFERROR(__xludf.DUMMYFUNCTION("""COMPUTED_VALUE"""),"b2b5f2c5")</f>
        <v>b2b5f2c5</v>
      </c>
      <c r="E2649" s="211" t="str">
        <f>IFERROR(__xludf.DUMMYFUNCTION("""COMPUTED_VALUE"""),"Bengkel Las Bpk. Ari")</f>
        <v>Bengkel Las Bpk. Ari</v>
      </c>
      <c r="F2649" s="211" t="str">
        <f>IFERROR(__xludf.DUMMYFUNCTION("""COMPUTED_VALUE"""),"8bdbe149")</f>
        <v>8bdbe149</v>
      </c>
      <c r="G2649" s="211" t="str">
        <f>IFERROR(__xludf.DUMMYFUNCTION("""COMPUTED_VALUE"""),"Oksigen 6m3")</f>
        <v>Oksigen 6m3</v>
      </c>
      <c r="H2649" s="211" t="str">
        <f>IFERROR(__xludf.DUMMYFUNCTION("""COMPUTED_VALUE"""),"OUT")</f>
        <v>OUT</v>
      </c>
      <c r="I2649" s="211" t="str">
        <f>IFERROR(__xludf.DUMMYFUNCTION("""COMPUTED_VALUE"""),"NORMAL")</f>
        <v>NORMAL</v>
      </c>
      <c r="J2649" s="211">
        <f>IFERROR(__xludf.DUMMYFUNCTION("""COMPUTED_VALUE"""),5.0)</f>
        <v>5</v>
      </c>
      <c r="K2649" s="210" t="str">
        <f>IFERROR(__xludf.DUMMYFUNCTION("""COMPUTED_VALUE"""),"11234 11128 11288 1170 11239")</f>
        <v>11234 11128 11288 1170 11239</v>
      </c>
      <c r="L2649" s="211">
        <f>IFERROR(__xludf.DUMMYFUNCTION("""COMPUTED_VALUE"""),60000.0)</f>
        <v>60000</v>
      </c>
      <c r="M2649" s="211"/>
      <c r="N2649" s="211"/>
      <c r="O2649" s="211"/>
      <c r="Q2649" s="210" t="str">
        <f>IFERROR(__xludf.DUMMYFUNCTION("""COMPUTED_VALUE"""),"1261287")</f>
        <v>1261287</v>
      </c>
      <c r="R2649" s="210" t="str">
        <f>IFERROR(__xludf.DUMMYFUNCTION("""COMPUTED_VALUE"""),"1261287")</f>
        <v>1261287</v>
      </c>
      <c r="S2649" s="211" t="str">
        <f>IFERROR(__xludf.DUMMYFUNCTION("""COMPUTED_VALUE"""),"98c84274")</f>
        <v>98c84274</v>
      </c>
      <c r="T2649" s="211" t="str">
        <f>IFERROR(__xludf.DUMMYFUNCTION("""COMPUTED_VALUE"""),"Bengkel SBM (Pak Hari)")</f>
        <v>Bengkel SBM (Pak Hari)</v>
      </c>
      <c r="U2649" s="215">
        <f>IFERROR(__xludf.DUMMYFUNCTION("""COMPUTED_VALUE"""),46076.70214120371)</f>
        <v>46076.70214</v>
      </c>
      <c r="V264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49" s="211" t="str">
        <f>IFERROR(__xludf.DUMMYFUNCTION("""COMPUTED_VALUE"""),"IN")</f>
        <v>IN</v>
      </c>
      <c r="X2649" s="211"/>
    </row>
    <row r="2650">
      <c r="A2650" s="210" t="str">
        <f>IFERROR(__xludf.DUMMYFUNCTION("""COMPUTED_VALUE"""),"1225291872")</f>
        <v>1225291872</v>
      </c>
      <c r="B2650" s="210" t="str">
        <f>IFERROR(__xludf.DUMMYFUNCTION("""COMPUTED_VALUE"""),"1225291872")</f>
        <v>1225291872</v>
      </c>
      <c r="C2650" s="213">
        <f>IFERROR(__xludf.DUMMYFUNCTION("""COMPUTED_VALUE"""),45993.35921296296)</f>
        <v>45993.35921</v>
      </c>
      <c r="D2650" s="211" t="str">
        <f>IFERROR(__xludf.DUMMYFUNCTION("""COMPUTED_VALUE"""),"8f5ebaea")</f>
        <v>8f5ebaea</v>
      </c>
      <c r="E2650" s="211" t="str">
        <f>IFERROR(__xludf.DUMMYFUNCTION("""COMPUTED_VALUE"""),"PT Hua Zong Mesindo")</f>
        <v>PT Hua Zong Mesindo</v>
      </c>
      <c r="F2650" s="211" t="str">
        <f>IFERROR(__xludf.DUMMYFUNCTION("""COMPUTED_VALUE"""),"8bdbe149")</f>
        <v>8bdbe149</v>
      </c>
      <c r="G2650" s="211" t="str">
        <f>IFERROR(__xludf.DUMMYFUNCTION("""COMPUTED_VALUE"""),"Oksigen 6m3")</f>
        <v>Oksigen 6m3</v>
      </c>
      <c r="H2650" s="211" t="str">
        <f>IFERROR(__xludf.DUMMYFUNCTION("""COMPUTED_VALUE"""),"OUT")</f>
        <v>OUT</v>
      </c>
      <c r="I2650" s="211" t="str">
        <f>IFERROR(__xludf.DUMMYFUNCTION("""COMPUTED_VALUE"""),"NORMAL")</f>
        <v>NORMAL</v>
      </c>
      <c r="J2650" s="211">
        <f>IFERROR(__xludf.DUMMYFUNCTION("""COMPUTED_VALUE"""),2.0)</f>
        <v>2</v>
      </c>
      <c r="K2650" s="210" t="str">
        <f>IFERROR(__xludf.DUMMYFUNCTION("""COMPUTED_VALUE"""),"1139 11176")</f>
        <v>1139 11176</v>
      </c>
      <c r="L2650" s="211">
        <f>IFERROR(__xludf.DUMMYFUNCTION("""COMPUTED_VALUE"""),60000.0)</f>
        <v>60000</v>
      </c>
      <c r="M2650" s="211"/>
      <c r="N2650" s="211"/>
      <c r="O2650" s="211"/>
      <c r="Q2650" s="210" t="str">
        <f>IFERROR(__xludf.DUMMYFUNCTION("""COMPUTED_VALUE"""),"0226122646")</f>
        <v>0226122646</v>
      </c>
      <c r="R2650" s="210" t="str">
        <f>IFERROR(__xludf.DUMMYFUNCTION("""COMPUTED_VALUE"""),"0226122646")</f>
        <v>0226122646</v>
      </c>
      <c r="S2650" s="211" t="str">
        <f>IFERROR(__xludf.DUMMYFUNCTION("""COMPUTED_VALUE"""),"dcdf8b31")</f>
        <v>dcdf8b31</v>
      </c>
      <c r="T2650" s="211" t="str">
        <f>IFERROR(__xludf.DUMMYFUNCTION("""COMPUTED_VALUE"""),"Bpk. Samsul (Jetis)")</f>
        <v>Bpk. Samsul (Jetis)</v>
      </c>
      <c r="U2650" s="215">
        <f>IFERROR(__xludf.DUMMYFUNCTION("""COMPUTED_VALUE"""),46077.358298611114)</f>
        <v>46077.3583</v>
      </c>
      <c r="V2650" s="211" t="str">
        <f>IFERROR(__xludf.DUMMYFUNCTION("""COMPUTED_VALUE"""),"HFWF+9FG, Sido Wangi, Paringan, Kec. Jetis, Kabupaten Mojokerto, Jawa Timur")</f>
        <v>HFWF+9FG, Sido Wangi, Paringan, Kec. Jetis, Kabupaten Mojokerto, Jawa Timur</v>
      </c>
      <c r="W2650" s="211" t="str">
        <f>IFERROR(__xludf.DUMMYFUNCTION("""COMPUTED_VALUE"""),"OUT")</f>
        <v>OUT</v>
      </c>
      <c r="X2650" s="211"/>
    </row>
    <row r="2651">
      <c r="A2651" s="210" t="str">
        <f>IFERROR(__xludf.DUMMYFUNCTION("""COMPUTED_VALUE"""),"1225291872")</f>
        <v>1225291872</v>
      </c>
      <c r="B2651" s="210" t="str">
        <f>IFERROR(__xludf.DUMMYFUNCTION("""COMPUTED_VALUE"""),"1225291872")</f>
        <v>1225291872</v>
      </c>
      <c r="C2651" s="213">
        <f>IFERROR(__xludf.DUMMYFUNCTION("""COMPUTED_VALUE"""),45993.35921296296)</f>
        <v>45993.35921</v>
      </c>
      <c r="D2651" s="211" t="str">
        <f>IFERROR(__xludf.DUMMYFUNCTION("""COMPUTED_VALUE"""),"8f5ebaea")</f>
        <v>8f5ebaea</v>
      </c>
      <c r="E2651" s="211" t="str">
        <f>IFERROR(__xludf.DUMMYFUNCTION("""COMPUTED_VALUE"""),"PT Hua Zong Mesindo")</f>
        <v>PT Hua Zong Mesindo</v>
      </c>
      <c r="F2651" s="211" t="str">
        <f>IFERROR(__xludf.DUMMYFUNCTION("""COMPUTED_VALUE"""),"66af7c72")</f>
        <v>66af7c72</v>
      </c>
      <c r="G2651" s="211" t="str">
        <f>IFERROR(__xludf.DUMMYFUNCTION("""COMPUTED_VALUE"""),"Argon 6m3")</f>
        <v>Argon 6m3</v>
      </c>
      <c r="H2651" s="211" t="str">
        <f>IFERROR(__xludf.DUMMYFUNCTION("""COMPUTED_VALUE"""),"OUT")</f>
        <v>OUT</v>
      </c>
      <c r="I2651" s="211" t="str">
        <f>IFERROR(__xludf.DUMMYFUNCTION("""COMPUTED_VALUE"""),"NORMAL")</f>
        <v>NORMAL</v>
      </c>
      <c r="J2651" s="211">
        <f>IFERROR(__xludf.DUMMYFUNCTION("""COMPUTED_VALUE"""),4.0)</f>
        <v>4</v>
      </c>
      <c r="K2651" s="210" t="str">
        <f>IFERROR(__xludf.DUMMYFUNCTION("""COMPUTED_VALUE"""),"12072 12052 12006 12065")</f>
        <v>12072 12052 12006 12065</v>
      </c>
      <c r="L2651" s="211">
        <f>IFERROR(__xludf.DUMMYFUNCTION("""COMPUTED_VALUE"""),215000.0)</f>
        <v>215000</v>
      </c>
      <c r="M2651" s="211"/>
      <c r="N2651" s="211"/>
      <c r="O2651" s="211"/>
      <c r="Q2651" s="210" t="str">
        <f>IFERROR(__xludf.DUMMYFUNCTION("""COMPUTED_VALUE"""),"0226772651")</f>
        <v>0226772651</v>
      </c>
      <c r="R2651" s="210" t="str">
        <f>IFERROR(__xludf.DUMMYFUNCTION("""COMPUTED_VALUE"""),"0226772651")</f>
        <v>0226772651</v>
      </c>
      <c r="S2651" s="211" t="str">
        <f>IFERROR(__xludf.DUMMYFUNCTION("""COMPUTED_VALUE"""),"e86baf3b")</f>
        <v>e86baf3b</v>
      </c>
      <c r="T2651" s="211" t="str">
        <f>IFERROR(__xludf.DUMMYFUNCTION("""COMPUTED_VALUE"""),"PT GEMILANG CIPTA WAWASAN")</f>
        <v>PT GEMILANG CIPTA WAWASAN</v>
      </c>
      <c r="U2651" s="215">
        <f>IFERROR(__xludf.DUMMYFUNCTION("""COMPUTED_VALUE"""),46077.364375)</f>
        <v>46077.36438</v>
      </c>
      <c r="V2651" s="211" t="str">
        <f>IFERROR(__xludf.DUMMYFUNCTION("""COMPUTED_VALUE"""),"JL TEBET RAYA, 2A, TEBET BARAT, TEBET, KOTA ADM, JAKARTA SELATAN, DKI JAKARTA")</f>
        <v>JL TEBET RAYA, 2A, TEBET BARAT, TEBET, KOTA ADM, JAKARTA SELATAN, DKI JAKARTA</v>
      </c>
      <c r="W2651" s="211" t="str">
        <f>IFERROR(__xludf.DUMMYFUNCTION("""COMPUTED_VALUE"""),"OUT")</f>
        <v>OUT</v>
      </c>
      <c r="X2651" s="211"/>
    </row>
    <row r="2652">
      <c r="A2652" s="210" t="str">
        <f>IFERROR(__xludf.DUMMYFUNCTION("""COMPUTED_VALUE"""),"1250891")</f>
        <v>1250891</v>
      </c>
      <c r="B2652" s="210" t="str">
        <f>IFERROR(__xludf.DUMMYFUNCTION("""COMPUTED_VALUE"""),"1250891")</f>
        <v>1250891</v>
      </c>
      <c r="C2652" s="213">
        <f>IFERROR(__xludf.DUMMYFUNCTION("""COMPUTED_VALUE"""),45993.54866898148)</f>
        <v>45993.54867</v>
      </c>
      <c r="D2652" s="211" t="str">
        <f>IFERROR(__xludf.DUMMYFUNCTION("""COMPUTED_VALUE"""),"b2b5f2c5")</f>
        <v>b2b5f2c5</v>
      </c>
      <c r="E2652" s="211" t="str">
        <f>IFERROR(__xludf.DUMMYFUNCTION("""COMPUTED_VALUE"""),"Bengkel Las Bpk. Ari")</f>
        <v>Bengkel Las Bpk. Ari</v>
      </c>
      <c r="F2652" s="211" t="str">
        <f>IFERROR(__xludf.DUMMYFUNCTION("""COMPUTED_VALUE"""),"8bdbe149")</f>
        <v>8bdbe149</v>
      </c>
      <c r="G2652" s="211" t="str">
        <f>IFERROR(__xludf.DUMMYFUNCTION("""COMPUTED_VALUE"""),"Oksigen 6m3")</f>
        <v>Oksigen 6m3</v>
      </c>
      <c r="H2652" s="211" t="str">
        <f>IFERROR(__xludf.DUMMYFUNCTION("""COMPUTED_VALUE"""),"IN")</f>
        <v>IN</v>
      </c>
      <c r="I2652" s="211" t="str">
        <f>IFERROR(__xludf.DUMMYFUNCTION("""COMPUTED_VALUE"""),"EMPTY")</f>
        <v>EMPTY</v>
      </c>
      <c r="J2652" s="211">
        <f>IFERROR(__xludf.DUMMYFUNCTION("""COMPUTED_VALUE"""),2.0)</f>
        <v>2</v>
      </c>
      <c r="K2652" s="210" t="str">
        <f>IFERROR(__xludf.DUMMYFUNCTION("""COMPUTED_VALUE"""),"11281 1157")</f>
        <v>11281 1157</v>
      </c>
      <c r="L2652" s="211">
        <f>IFERROR(__xludf.DUMMYFUNCTION("""COMPUTED_VALUE"""),0.0)</f>
        <v>0</v>
      </c>
      <c r="M2652" s="211"/>
      <c r="N2652" s="211"/>
      <c r="O2652" s="211"/>
      <c r="Q2652" s="210" t="str">
        <f>IFERROR(__xludf.DUMMYFUNCTION("""COMPUTED_VALUE"""),"0226112652")</f>
        <v>0226112652</v>
      </c>
      <c r="R2652" s="210" t="str">
        <f>IFERROR(__xludf.DUMMYFUNCTION("""COMPUTED_VALUE"""),"0226112652")</f>
        <v>0226112652</v>
      </c>
      <c r="S2652" s="211" t="str">
        <f>IFERROR(__xludf.DUMMYFUNCTION("""COMPUTED_VALUE"""),"98c84274")</f>
        <v>98c84274</v>
      </c>
      <c r="T2652" s="211" t="str">
        <f>IFERROR(__xludf.DUMMYFUNCTION("""COMPUTED_VALUE"""),"Bengkel SBM (Pak Hari)")</f>
        <v>Bengkel SBM (Pak Hari)</v>
      </c>
      <c r="U2652" s="215">
        <f>IFERROR(__xludf.DUMMYFUNCTION("""COMPUTED_VALUE"""),46077.365381944444)</f>
        <v>46077.36538</v>
      </c>
      <c r="V2652"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52" s="211" t="str">
        <f>IFERROR(__xludf.DUMMYFUNCTION("""COMPUTED_VALUE"""),"OUT")</f>
        <v>OUT</v>
      </c>
      <c r="X2652" s="211"/>
    </row>
    <row r="2653">
      <c r="A2653" s="210" t="str">
        <f>IFERROR(__xludf.DUMMYFUNCTION("""COMPUTED_VALUE"""),"1225371873")</f>
        <v>1225371873</v>
      </c>
      <c r="B2653" s="210" t="str">
        <f>IFERROR(__xludf.DUMMYFUNCTION("""COMPUTED_VALUE"""),"1225371873")</f>
        <v>1225371873</v>
      </c>
      <c r="C2653" s="213">
        <f>IFERROR(__xludf.DUMMYFUNCTION("""COMPUTED_VALUE"""),45993.55042824074)</f>
        <v>45993.55043</v>
      </c>
      <c r="D2653" s="211" t="str">
        <f>IFERROR(__xludf.DUMMYFUNCTION("""COMPUTED_VALUE"""),"01158be1")</f>
        <v>01158be1</v>
      </c>
      <c r="E2653" s="211" t="str">
        <f>IFERROR(__xludf.DUMMYFUNCTION("""COMPUTED_VALUE"""),"GYF")</f>
        <v>GYF</v>
      </c>
      <c r="F2653" s="211" t="str">
        <f>IFERROR(__xludf.DUMMYFUNCTION("""COMPUTED_VALUE"""),"7d2764f1")</f>
        <v>7d2764f1</v>
      </c>
      <c r="G2653" s="211" t="str">
        <f>IFERROR(__xludf.DUMMYFUNCTION("""COMPUTED_VALUE"""),"Oksigen 7m3")</f>
        <v>Oksigen 7m3</v>
      </c>
      <c r="H2653" s="211" t="str">
        <f>IFERROR(__xludf.DUMMYFUNCTION("""COMPUTED_VALUE"""),"OUT")</f>
        <v>OUT</v>
      </c>
      <c r="I2653" s="211" t="str">
        <f>IFERROR(__xludf.DUMMYFUNCTION("""COMPUTED_VALUE"""),"NORMAL")</f>
        <v>NORMAL</v>
      </c>
      <c r="J2653" s="211">
        <f>IFERROR(__xludf.DUMMYFUNCTION("""COMPUTED_VALUE"""),3.0)</f>
        <v>3</v>
      </c>
      <c r="K2653" s="210" t="str">
        <f>IFERROR(__xludf.DUMMYFUNCTION("""COMPUTED_VALUE"""),"1128 11140 11216")</f>
        <v>1128 11140 11216</v>
      </c>
      <c r="L2653" s="211">
        <f>IFERROR(__xludf.DUMMYFUNCTION("""COMPUTED_VALUE"""),45000.0)</f>
        <v>45000</v>
      </c>
      <c r="M2653" s="211"/>
      <c r="N2653" s="211"/>
      <c r="O2653" s="211"/>
      <c r="Q2653" s="210" t="str">
        <f>IFERROR(__xludf.DUMMYFUNCTION("""COMPUTED_VALUE"""),"0226132653")</f>
        <v>0226132653</v>
      </c>
      <c r="R2653" s="210" t="str">
        <f>IFERROR(__xludf.DUMMYFUNCTION("""COMPUTED_VALUE"""),"0226132653")</f>
        <v>0226132653</v>
      </c>
      <c r="S2653" s="211" t="str">
        <f>IFERROR(__xludf.DUMMYFUNCTION("""COMPUTED_VALUE"""),"03ff52db")</f>
        <v>03ff52db</v>
      </c>
      <c r="T2653" s="211" t="str">
        <f>IFERROR(__xludf.DUMMYFUNCTION("""COMPUTED_VALUE"""),"Aneka Teknik Logam")</f>
        <v>Aneka Teknik Logam</v>
      </c>
      <c r="U2653" s="215">
        <f>IFERROR(__xludf.DUMMYFUNCTION("""COMPUTED_VALUE"""),46077.42931712963)</f>
        <v>46077.42932</v>
      </c>
      <c r="V2653" s="211" t="str">
        <f>IFERROR(__xludf.DUMMYFUNCTION("""COMPUTED_VALUE"""),"HH8G+MQC, Areng Areng, Tropodo, Kec. Krian, Kabupaten Sidoarjo, Jawa Timur 61262")</f>
        <v>HH8G+MQC, Areng Areng, Tropodo, Kec. Krian, Kabupaten Sidoarjo, Jawa Timur 61262</v>
      </c>
      <c r="W2653" s="211" t="str">
        <f>IFERROR(__xludf.DUMMYFUNCTION("""COMPUTED_VALUE"""),"OUT")</f>
        <v>OUT</v>
      </c>
      <c r="X2653" s="211"/>
    </row>
    <row r="2654">
      <c r="A2654" s="210" t="str">
        <f>IFERROR(__xludf.DUMMYFUNCTION("""COMPUTED_VALUE"""),"1225371873")</f>
        <v>1225371873</v>
      </c>
      <c r="B2654" s="210" t="str">
        <f>IFERROR(__xludf.DUMMYFUNCTION("""COMPUTED_VALUE"""),"1225371873")</f>
        <v>1225371873</v>
      </c>
      <c r="C2654" s="213">
        <f>IFERROR(__xludf.DUMMYFUNCTION("""COMPUTED_VALUE"""),45993.55042824074)</f>
        <v>45993.55043</v>
      </c>
      <c r="D2654" s="211" t="str">
        <f>IFERROR(__xludf.DUMMYFUNCTION("""COMPUTED_VALUE"""),"01158be1")</f>
        <v>01158be1</v>
      </c>
      <c r="E2654" s="211" t="str">
        <f>IFERROR(__xludf.DUMMYFUNCTION("""COMPUTED_VALUE"""),"GYF")</f>
        <v>GYF</v>
      </c>
      <c r="F2654" s="211" t="str">
        <f>IFERROR(__xludf.DUMMYFUNCTION("""COMPUTED_VALUE"""),"8bdbe149")</f>
        <v>8bdbe149</v>
      </c>
      <c r="G2654" s="211" t="str">
        <f>IFERROR(__xludf.DUMMYFUNCTION("""COMPUTED_VALUE"""),"Oksigen 6m3")</f>
        <v>Oksigen 6m3</v>
      </c>
      <c r="H2654" s="211" t="str">
        <f>IFERROR(__xludf.DUMMYFUNCTION("""COMPUTED_VALUE"""),"OUT")</f>
        <v>OUT</v>
      </c>
      <c r="I2654" s="211" t="str">
        <f>IFERROR(__xludf.DUMMYFUNCTION("""COMPUTED_VALUE"""),"NORMAL")</f>
        <v>NORMAL</v>
      </c>
      <c r="J2654" s="211">
        <f>IFERROR(__xludf.DUMMYFUNCTION("""COMPUTED_VALUE"""),7.0)</f>
        <v>7</v>
      </c>
      <c r="K2654" s="210" t="str">
        <f>IFERROR(__xludf.DUMMYFUNCTION("""COMPUTED_VALUE"""),"11132 11247 1131 11118 11262 11122 11289")</f>
        <v>11132 11247 1131 11118 11262 11122 11289</v>
      </c>
      <c r="L2654" s="211">
        <f>IFERROR(__xludf.DUMMYFUNCTION("""COMPUTED_VALUE"""),45000.0)</f>
        <v>45000</v>
      </c>
      <c r="M2654" s="211"/>
      <c r="N2654" s="211"/>
      <c r="O2654" s="211"/>
      <c r="Q2654" s="210" t="str">
        <f>IFERROR(__xludf.DUMMYFUNCTION("""COMPUTED_VALUE"""),"022672654")</f>
        <v>022672654</v>
      </c>
      <c r="R2654" s="210" t="str">
        <f>IFERROR(__xludf.DUMMYFUNCTION("""COMPUTED_VALUE"""),"022672654")</f>
        <v>022672654</v>
      </c>
      <c r="S2654" s="211" t="str">
        <f>IFERROR(__xludf.DUMMYFUNCTION("""COMPUTED_VALUE"""),"9e5d8274")</f>
        <v>9e5d8274</v>
      </c>
      <c r="T2654" s="211" t="str">
        <f>IFERROR(__xludf.DUMMYFUNCTION("""COMPUTED_VALUE"""),"Bpk. Erry ( Lik Trosobo )")</f>
        <v>Bpk. Erry ( Lik Trosobo )</v>
      </c>
      <c r="U2654" s="215">
        <f>IFERROR(__xludf.DUMMYFUNCTION("""COMPUTED_VALUE"""),46077.43116898148)</f>
        <v>46077.43117</v>
      </c>
      <c r="V2654" s="211" t="str">
        <f>IFERROR(__xludf.DUMMYFUNCTION("""COMPUTED_VALUE"""),"Trosobo Taman")</f>
        <v>Trosobo Taman</v>
      </c>
      <c r="W2654" s="211" t="str">
        <f>IFERROR(__xludf.DUMMYFUNCTION("""COMPUTED_VALUE"""),"OUT")</f>
        <v>OUT</v>
      </c>
      <c r="X2654" s="211"/>
    </row>
    <row r="2655">
      <c r="A2655" s="210" t="str">
        <f>IFERROR(__xludf.DUMMYFUNCTION("""COMPUTED_VALUE"""),"122551875")</f>
        <v>122551875</v>
      </c>
      <c r="B2655" s="210" t="str">
        <f>IFERROR(__xludf.DUMMYFUNCTION("""COMPUTED_VALUE"""),"122551875")</f>
        <v>122551875</v>
      </c>
      <c r="C2655" s="213">
        <f>IFERROR(__xludf.DUMMYFUNCTION("""COMPUTED_VALUE"""),45993.5571875)</f>
        <v>45993.55719</v>
      </c>
      <c r="D2655" s="211" t="str">
        <f>IFERROR(__xludf.DUMMYFUNCTION("""COMPUTED_VALUE"""),"45d814b4")</f>
        <v>45d814b4</v>
      </c>
      <c r="E2655" s="211" t="str">
        <f>IFERROR(__xludf.DUMMYFUNCTION("""COMPUTED_VALUE"""),"Bpk. Joko (Ponokawan)")</f>
        <v>Bpk. Joko (Ponokawan)</v>
      </c>
      <c r="F2655" s="211" t="str">
        <f>IFERROR(__xludf.DUMMYFUNCTION("""COMPUTED_VALUE"""),"7d2764f1")</f>
        <v>7d2764f1</v>
      </c>
      <c r="G2655" s="211" t="str">
        <f>IFERROR(__xludf.DUMMYFUNCTION("""COMPUTED_VALUE"""),"Oksigen 7m3")</f>
        <v>Oksigen 7m3</v>
      </c>
      <c r="H2655" s="211" t="str">
        <f>IFERROR(__xludf.DUMMYFUNCTION("""COMPUTED_VALUE"""),"OUT")</f>
        <v>OUT</v>
      </c>
      <c r="I2655" s="211" t="str">
        <f>IFERROR(__xludf.DUMMYFUNCTION("""COMPUTED_VALUE"""),"NORMAL")</f>
        <v>NORMAL</v>
      </c>
      <c r="J2655" s="211">
        <f>IFERROR(__xludf.DUMMYFUNCTION("""COMPUTED_VALUE"""),1.0)</f>
        <v>1</v>
      </c>
      <c r="K2655" s="210" t="str">
        <f>IFERROR(__xludf.DUMMYFUNCTION("""COMPUTED_VALUE"""),"1161")</f>
        <v>1161</v>
      </c>
      <c r="L2655" s="211">
        <f>IFERROR(__xludf.DUMMYFUNCTION("""COMPUTED_VALUE"""),60000.0)</f>
        <v>60000</v>
      </c>
      <c r="M2655" s="211"/>
      <c r="N2655" s="211"/>
      <c r="O2655" s="211"/>
      <c r="Q2655" s="210" t="str">
        <f>IFERROR(__xludf.DUMMYFUNCTION("""COMPUTED_VALUE"""),"022632655")</f>
        <v>022632655</v>
      </c>
      <c r="R2655" s="210" t="str">
        <f>IFERROR(__xludf.DUMMYFUNCTION("""COMPUTED_VALUE"""),"022632655")</f>
        <v>022632655</v>
      </c>
      <c r="S2655" s="211" t="str">
        <f>IFERROR(__xludf.DUMMYFUNCTION("""COMPUTED_VALUE"""),"8b765561")</f>
        <v>8b765561</v>
      </c>
      <c r="T2655" s="211" t="str">
        <f>IFERROR(__xludf.DUMMYFUNCTION("""COMPUTED_VALUE"""),"Bpk. Idris")</f>
        <v>Bpk. Idris</v>
      </c>
      <c r="U2655" s="215">
        <f>IFERROR(__xludf.DUMMYFUNCTION("""COMPUTED_VALUE"""),46077.43273148148)</f>
        <v>46077.43273</v>
      </c>
      <c r="V2655" s="211" t="str">
        <f>IFERROR(__xludf.DUMMYFUNCTION("""COMPUTED_VALUE"""),"JL. Soenandar Priyo Sudarmo, Balepanjang, Tropodo, Kec Krian, Kabupaten Sidoarjo, Jawa Timur")</f>
        <v>JL. Soenandar Priyo Sudarmo, Balepanjang, Tropodo, Kec Krian, Kabupaten Sidoarjo, Jawa Timur</v>
      </c>
      <c r="W2655" s="211" t="str">
        <f>IFERROR(__xludf.DUMMYFUNCTION("""COMPUTED_VALUE"""),"OUT")</f>
        <v>OUT</v>
      </c>
      <c r="X2655" s="211"/>
    </row>
    <row r="2656">
      <c r="A2656" s="210" t="str">
        <f>IFERROR(__xludf.DUMMYFUNCTION("""COMPUTED_VALUE"""),"1225291876")</f>
        <v>1225291876</v>
      </c>
      <c r="B2656" s="210" t="str">
        <f>IFERROR(__xludf.DUMMYFUNCTION("""COMPUTED_VALUE"""),"1225291876")</f>
        <v>1225291876</v>
      </c>
      <c r="C2656" s="213">
        <f>IFERROR(__xludf.DUMMYFUNCTION("""COMPUTED_VALUE"""),45993.56229166667)</f>
        <v>45993.56229</v>
      </c>
      <c r="D2656" s="211" t="str">
        <f>IFERROR(__xludf.DUMMYFUNCTION("""COMPUTED_VALUE"""),"ec231cc9")</f>
        <v>ec231cc9</v>
      </c>
      <c r="E2656" s="211" t="str">
        <f>IFERROR(__xludf.DUMMYFUNCTION("""COMPUTED_VALUE"""),"Bpk. Kohir (Maintenance Velg)")</f>
        <v>Bpk. Kohir (Maintenance Velg)</v>
      </c>
      <c r="F2656" s="211" t="str">
        <f>IFERROR(__xludf.DUMMYFUNCTION("""COMPUTED_VALUE"""),"7d2764f1")</f>
        <v>7d2764f1</v>
      </c>
      <c r="G2656" s="211" t="str">
        <f>IFERROR(__xludf.DUMMYFUNCTION("""COMPUTED_VALUE"""),"Oksigen 7m3")</f>
        <v>Oksigen 7m3</v>
      </c>
      <c r="H2656" s="211" t="str">
        <f>IFERROR(__xludf.DUMMYFUNCTION("""COMPUTED_VALUE"""),"OUT")</f>
        <v>OUT</v>
      </c>
      <c r="I2656" s="211" t="str">
        <f>IFERROR(__xludf.DUMMYFUNCTION("""COMPUTED_VALUE"""),"NORMAL")</f>
        <v>NORMAL</v>
      </c>
      <c r="J2656" s="211">
        <f>IFERROR(__xludf.DUMMYFUNCTION("""COMPUTED_VALUE"""),4.0)</f>
        <v>4</v>
      </c>
      <c r="K2656" s="210" t="str">
        <f>IFERROR(__xludf.DUMMYFUNCTION("""COMPUTED_VALUE"""),"11219 11222 11217 11269")</f>
        <v>11219 11222 11217 11269</v>
      </c>
      <c r="L2656" s="211">
        <f>IFERROR(__xludf.DUMMYFUNCTION("""COMPUTED_VALUE"""),55000.0)</f>
        <v>55000</v>
      </c>
      <c r="M2656" s="211"/>
      <c r="N2656" s="211"/>
      <c r="O2656" s="211"/>
      <c r="Q2656" s="210" t="str">
        <f>IFERROR(__xludf.DUMMYFUNCTION("""COMPUTED_VALUE"""),"1261288")</f>
        <v>1261288</v>
      </c>
      <c r="R2656" s="210" t="str">
        <f>IFERROR(__xludf.DUMMYFUNCTION("""COMPUTED_VALUE"""),"1261288")</f>
        <v>1261288</v>
      </c>
      <c r="S2656" s="211" t="str">
        <f>IFERROR(__xludf.DUMMYFUNCTION("""COMPUTED_VALUE"""),"98c84274")</f>
        <v>98c84274</v>
      </c>
      <c r="T2656" s="211" t="str">
        <f>IFERROR(__xludf.DUMMYFUNCTION("""COMPUTED_VALUE"""),"Bengkel SBM (Pak Hari)")</f>
        <v>Bengkel SBM (Pak Hari)</v>
      </c>
      <c r="U2656" s="215">
        <f>IFERROR(__xludf.DUMMYFUNCTION("""COMPUTED_VALUE"""),46077.44616898148)</f>
        <v>46077.44617</v>
      </c>
      <c r="V2656"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56" s="211" t="str">
        <f>IFERROR(__xludf.DUMMYFUNCTION("""COMPUTED_VALUE"""),"IN")</f>
        <v>IN</v>
      </c>
      <c r="X2656" s="211"/>
    </row>
    <row r="2657">
      <c r="A2657" s="210" t="str">
        <f>IFERROR(__xludf.DUMMYFUNCTION("""COMPUTED_VALUE"""),"4122511792")</f>
        <v>4122511792</v>
      </c>
      <c r="B2657" s="210" t="str">
        <f>IFERROR(__xludf.DUMMYFUNCTION("""COMPUTED_VALUE"""),"4122511792")</f>
        <v>4122511792</v>
      </c>
      <c r="C2657" s="213">
        <f>IFERROR(__xludf.DUMMYFUNCTION("""COMPUTED_VALUE"""),45993.57962962963)</f>
        <v>45993.57963</v>
      </c>
      <c r="D2657" s="211" t="str">
        <f>IFERROR(__xludf.DUMMYFUNCTION("""COMPUTED_VALUE"""),"be2c16c7")</f>
        <v>be2c16c7</v>
      </c>
      <c r="E2657" s="211" t="str">
        <f>IFERROR(__xludf.DUMMYFUNCTION("""COMPUTED_VALUE"""),"Toko setya ( Mas Farid )")</f>
        <v>Toko setya ( Mas Farid )</v>
      </c>
      <c r="F2657" s="211" t="str">
        <f>IFERROR(__xludf.DUMMYFUNCTION("""COMPUTED_VALUE"""),"be525f3b")</f>
        <v>be525f3b</v>
      </c>
      <c r="G2657" s="211" t="str">
        <f>IFERROR(__xludf.DUMMYFUNCTION("""COMPUTED_VALUE"""),"LPG 12kg")</f>
        <v>LPG 12kg</v>
      </c>
      <c r="H2657" s="211" t="str">
        <f>IFERROR(__xludf.DUMMYFUNCTION("""COMPUTED_VALUE"""),"OTHER")</f>
        <v>OTHER</v>
      </c>
      <c r="I2657" s="211" t="str">
        <f>IFERROR(__xludf.DUMMYFUNCTION("""COMPUTED_VALUE"""),"RETUR EQUIPMENT")</f>
        <v>RETUR EQUIPMENT</v>
      </c>
      <c r="J2657" s="211">
        <f>IFERROR(__xludf.DUMMYFUNCTION("""COMPUTED_VALUE"""),2.0)</f>
        <v>2</v>
      </c>
      <c r="K2657" s="210" t="str">
        <f>IFERROR(__xludf.DUMMYFUNCTION("""COMPUTED_VALUE"""),"01 02")</f>
        <v>01 02</v>
      </c>
      <c r="L2657" s="211">
        <f>IFERROR(__xludf.DUMMYFUNCTION("""COMPUTED_VALUE"""),170000.0)</f>
        <v>170000</v>
      </c>
      <c r="M2657" s="211"/>
      <c r="N2657" s="211"/>
      <c r="O2657" s="211"/>
      <c r="Q2657" s="210" t="str">
        <f>IFERROR(__xludf.DUMMYFUNCTION("""COMPUTED_VALUE"""),"1261296")</f>
        <v>1261296</v>
      </c>
      <c r="R2657" s="210" t="str">
        <f>IFERROR(__xludf.DUMMYFUNCTION("""COMPUTED_VALUE"""),"1261296")</f>
        <v>1261296</v>
      </c>
      <c r="S2657" s="211" t="str">
        <f>IFERROR(__xludf.DUMMYFUNCTION("""COMPUTED_VALUE"""),"dcdf8b31")</f>
        <v>dcdf8b31</v>
      </c>
      <c r="T2657" s="211" t="str">
        <f>IFERROR(__xludf.DUMMYFUNCTION("""COMPUTED_VALUE"""),"Bpk. Samsul (Jetis)")</f>
        <v>Bpk. Samsul (Jetis)</v>
      </c>
      <c r="U2657" s="215">
        <f>IFERROR(__xludf.DUMMYFUNCTION("""COMPUTED_VALUE"""),46077.6066087963)</f>
        <v>46077.60661</v>
      </c>
      <c r="V2657" s="211" t="str">
        <f>IFERROR(__xludf.DUMMYFUNCTION("""COMPUTED_VALUE"""),"HFWF+9FG, Sido Wangi, Paringan, Kec. Jetis, Kabupaten Mojokerto, Jawa Timur")</f>
        <v>HFWF+9FG, Sido Wangi, Paringan, Kec. Jetis, Kabupaten Mojokerto, Jawa Timur</v>
      </c>
      <c r="W2657" s="211" t="str">
        <f>IFERROR(__xludf.DUMMYFUNCTION("""COMPUTED_VALUE"""),"IN")</f>
        <v>IN</v>
      </c>
      <c r="X2657" s="211"/>
    </row>
    <row r="2658">
      <c r="A2658" s="210" t="str">
        <f>IFERROR(__xludf.DUMMYFUNCTION("""COMPUTED_VALUE"""),"1250890")</f>
        <v>1250890</v>
      </c>
      <c r="B2658" s="210" t="str">
        <f>IFERROR(__xludf.DUMMYFUNCTION("""COMPUTED_VALUE"""),"1250890")</f>
        <v>1250890</v>
      </c>
      <c r="C2658" s="213">
        <f>IFERROR(__xludf.DUMMYFUNCTION("""COMPUTED_VALUE"""),45993.70222222222)</f>
        <v>45993.70222</v>
      </c>
      <c r="D2658" s="211" t="str">
        <f>IFERROR(__xludf.DUMMYFUNCTION("""COMPUTED_VALUE"""),"ec231cc9")</f>
        <v>ec231cc9</v>
      </c>
      <c r="E2658" s="211" t="str">
        <f>IFERROR(__xludf.DUMMYFUNCTION("""COMPUTED_VALUE"""),"Bpk. Kohir (Maintenance Velg)")</f>
        <v>Bpk. Kohir (Maintenance Velg)</v>
      </c>
      <c r="F2658" s="211" t="str">
        <f>IFERROR(__xludf.DUMMYFUNCTION("""COMPUTED_VALUE"""),"8bdbe149")</f>
        <v>8bdbe149</v>
      </c>
      <c r="G2658" s="211" t="str">
        <f>IFERROR(__xludf.DUMMYFUNCTION("""COMPUTED_VALUE"""),"Oksigen 6m3")</f>
        <v>Oksigen 6m3</v>
      </c>
      <c r="H2658" s="211" t="str">
        <f>IFERROR(__xludf.DUMMYFUNCTION("""COMPUTED_VALUE"""),"IN")</f>
        <v>IN</v>
      </c>
      <c r="I2658" s="211" t="str">
        <f>IFERROR(__xludf.DUMMYFUNCTION("""COMPUTED_VALUE"""),"EMPTY")</f>
        <v>EMPTY</v>
      </c>
      <c r="J2658" s="211">
        <f>IFERROR(__xludf.DUMMYFUNCTION("""COMPUTED_VALUE"""),3.0)</f>
        <v>3</v>
      </c>
      <c r="K2658" s="210" t="str">
        <f>IFERROR(__xludf.DUMMYFUNCTION("""COMPUTED_VALUE"""),"11266 1163 1157")</f>
        <v>11266 1163 1157</v>
      </c>
      <c r="L2658" s="211">
        <f>IFERROR(__xludf.DUMMYFUNCTION("""COMPUTED_VALUE"""),0.0)</f>
        <v>0</v>
      </c>
      <c r="M2658" s="211"/>
      <c r="N2658" s="211"/>
      <c r="O2658" s="211"/>
      <c r="Q2658" s="210" t="str">
        <f>IFERROR(__xludf.DUMMYFUNCTION("""COMPUTED_VALUE"""),"1261297")</f>
        <v>1261297</v>
      </c>
      <c r="R2658" s="210" t="str">
        <f>IFERROR(__xludf.DUMMYFUNCTION("""COMPUTED_VALUE"""),"1261297")</f>
        <v>1261297</v>
      </c>
      <c r="S2658" s="211" t="str">
        <f>IFERROR(__xludf.DUMMYFUNCTION("""COMPUTED_VALUE"""),"f49860e4")</f>
        <v>f49860e4</v>
      </c>
      <c r="T2658" s="211" t="str">
        <f>IFERROR(__xludf.DUMMYFUNCTION("""COMPUTED_VALUE"""),"Mas Nur ( Jetis )")</f>
        <v>Mas Nur ( Jetis )</v>
      </c>
      <c r="U2658" s="215">
        <f>IFERROR(__xludf.DUMMYFUNCTION("""COMPUTED_VALUE"""),46077.607199074075)</f>
        <v>46077.6072</v>
      </c>
      <c r="V2658" s="211" t="str">
        <f>IFERROR(__xludf.DUMMYFUNCTION("""COMPUTED_VALUE"""),"HFVF+CCG, JL.Raya Jetis, jetis, Kec. Jetis Kabupaten Mojokerto Jawa Timur 61352")</f>
        <v>HFVF+CCG, JL.Raya Jetis, jetis, Kec. Jetis Kabupaten Mojokerto Jawa Timur 61352</v>
      </c>
      <c r="W2658" s="211" t="str">
        <f>IFERROR(__xludf.DUMMYFUNCTION("""COMPUTED_VALUE"""),"IN")</f>
        <v>IN</v>
      </c>
      <c r="X2658" s="211"/>
    </row>
    <row r="2659">
      <c r="A2659" s="210" t="str">
        <f>IFERROR(__xludf.DUMMYFUNCTION("""COMPUTED_VALUE"""),"1250892")</f>
        <v>1250892</v>
      </c>
      <c r="B2659" s="210" t="str">
        <f>IFERROR(__xludf.DUMMYFUNCTION("""COMPUTED_VALUE"""),"1250892")</f>
        <v>1250892</v>
      </c>
      <c r="C2659" s="213">
        <f>IFERROR(__xludf.DUMMYFUNCTION("""COMPUTED_VALUE"""),45993.702835648146)</f>
        <v>45993.70284</v>
      </c>
      <c r="D2659" s="211" t="str">
        <f>IFERROR(__xludf.DUMMYFUNCTION("""COMPUTED_VALUE"""),"45d814b4")</f>
        <v>45d814b4</v>
      </c>
      <c r="E2659" s="211" t="str">
        <f>IFERROR(__xludf.DUMMYFUNCTION("""COMPUTED_VALUE"""),"Bpk. Joko (Ponokawan)")</f>
        <v>Bpk. Joko (Ponokawan)</v>
      </c>
      <c r="F2659" s="211" t="str">
        <f>IFERROR(__xludf.DUMMYFUNCTION("""COMPUTED_VALUE"""),"8bdbe149")</f>
        <v>8bdbe149</v>
      </c>
      <c r="G2659" s="211" t="str">
        <f>IFERROR(__xludf.DUMMYFUNCTION("""COMPUTED_VALUE"""),"Oksigen 6m3")</f>
        <v>Oksigen 6m3</v>
      </c>
      <c r="H2659" s="211" t="str">
        <f>IFERROR(__xludf.DUMMYFUNCTION("""COMPUTED_VALUE"""),"IN")</f>
        <v>IN</v>
      </c>
      <c r="I2659" s="211" t="str">
        <f>IFERROR(__xludf.DUMMYFUNCTION("""COMPUTED_VALUE"""),"EMPTY")</f>
        <v>EMPTY</v>
      </c>
      <c r="J2659" s="211">
        <f>IFERROR(__xludf.DUMMYFUNCTION("""COMPUTED_VALUE"""),1.0)</f>
        <v>1</v>
      </c>
      <c r="K2659" s="210" t="str">
        <f>IFERROR(__xludf.DUMMYFUNCTION("""COMPUTED_VALUE"""),"1194")</f>
        <v>1194</v>
      </c>
      <c r="L2659" s="211">
        <f>IFERROR(__xludf.DUMMYFUNCTION("""COMPUTED_VALUE"""),0.0)</f>
        <v>0</v>
      </c>
      <c r="M2659" s="211"/>
      <c r="N2659" s="211"/>
      <c r="O2659" s="211"/>
      <c r="Q2659" s="210" t="str">
        <f>IFERROR(__xludf.DUMMYFUNCTION("""COMPUTED_VALUE"""),"1261289")</f>
        <v>1261289</v>
      </c>
      <c r="R2659" s="210" t="str">
        <f>IFERROR(__xludf.DUMMYFUNCTION("""COMPUTED_VALUE"""),"1261289")</f>
        <v>1261289</v>
      </c>
      <c r="S2659" s="211" t="str">
        <f>IFERROR(__xludf.DUMMYFUNCTION("""COMPUTED_VALUE"""),"8b765561")</f>
        <v>8b765561</v>
      </c>
      <c r="T2659" s="211" t="str">
        <f>IFERROR(__xludf.DUMMYFUNCTION("""COMPUTED_VALUE"""),"Bpk. Idris")</f>
        <v>Bpk. Idris</v>
      </c>
      <c r="U2659" s="215">
        <f>IFERROR(__xludf.DUMMYFUNCTION("""COMPUTED_VALUE"""),46077.60765046296)</f>
        <v>46077.60765</v>
      </c>
      <c r="V2659" s="211" t="str">
        <f>IFERROR(__xludf.DUMMYFUNCTION("""COMPUTED_VALUE"""),"JL. Soenandar Priyo Sudarmo, Balepanjang, Tropodo, Kec Krian, Kabupaten Sidoarjo, Jawa Timur")</f>
        <v>JL. Soenandar Priyo Sudarmo, Balepanjang, Tropodo, Kec Krian, Kabupaten Sidoarjo, Jawa Timur</v>
      </c>
      <c r="W2659" s="211" t="str">
        <f>IFERROR(__xludf.DUMMYFUNCTION("""COMPUTED_VALUE"""),"IN")</f>
        <v>IN</v>
      </c>
      <c r="X2659" s="211"/>
    </row>
    <row r="2660">
      <c r="A2660" s="210" t="str">
        <f>IFERROR(__xludf.DUMMYFUNCTION("""COMPUTED_VALUE"""),"1250893")</f>
        <v>1250893</v>
      </c>
      <c r="B2660" s="210" t="str">
        <f>IFERROR(__xludf.DUMMYFUNCTION("""COMPUTED_VALUE"""),"1250893")</f>
        <v>1250893</v>
      </c>
      <c r="C2660" s="213">
        <f>IFERROR(__xludf.DUMMYFUNCTION("""COMPUTED_VALUE"""),45993.70300925926)</f>
        <v>45993.70301</v>
      </c>
      <c r="D2660" s="211" t="str">
        <f>IFERROR(__xludf.DUMMYFUNCTION("""COMPUTED_VALUE"""),"01158be1")</f>
        <v>01158be1</v>
      </c>
      <c r="E2660" s="211" t="str">
        <f>IFERROR(__xludf.DUMMYFUNCTION("""COMPUTED_VALUE"""),"GYF")</f>
        <v>GYF</v>
      </c>
      <c r="F2660" s="211" t="str">
        <f>IFERROR(__xludf.DUMMYFUNCTION("""COMPUTED_VALUE"""),"8bdbe149")</f>
        <v>8bdbe149</v>
      </c>
      <c r="G2660" s="211" t="str">
        <f>IFERROR(__xludf.DUMMYFUNCTION("""COMPUTED_VALUE"""),"Oksigen 6m3")</f>
        <v>Oksigen 6m3</v>
      </c>
      <c r="H2660" s="211" t="str">
        <f>IFERROR(__xludf.DUMMYFUNCTION("""COMPUTED_VALUE"""),"IN")</f>
        <v>IN</v>
      </c>
      <c r="I2660" s="211" t="str">
        <f>IFERROR(__xludf.DUMMYFUNCTION("""COMPUTED_VALUE"""),"EMPTY")</f>
        <v>EMPTY</v>
      </c>
      <c r="J2660" s="211">
        <f>IFERROR(__xludf.DUMMYFUNCTION("""COMPUTED_VALUE"""),5.0)</f>
        <v>5</v>
      </c>
      <c r="K2660" s="210" t="str">
        <f>IFERROR(__xludf.DUMMYFUNCTION("""COMPUTED_VALUE"""),"1187 11263 11133 1116 11188")</f>
        <v>1187 11263 11133 1116 11188</v>
      </c>
      <c r="L2660" s="211">
        <f>IFERROR(__xludf.DUMMYFUNCTION("""COMPUTED_VALUE"""),0.0)</f>
        <v>0</v>
      </c>
      <c r="M2660" s="211"/>
      <c r="N2660" s="211"/>
      <c r="O2660" s="211"/>
      <c r="Q2660" s="210" t="str">
        <f>IFERROR(__xludf.DUMMYFUNCTION("""COMPUTED_VALUE"""),"1261302")</f>
        <v>1261302</v>
      </c>
      <c r="R2660" s="210" t="str">
        <f>IFERROR(__xludf.DUMMYFUNCTION("""COMPUTED_VALUE"""),"1261302")</f>
        <v>1261302</v>
      </c>
      <c r="S2660" s="211" t="str">
        <f>IFERROR(__xludf.DUMMYFUNCTION("""COMPUTED_VALUE"""),"9e5d8274")</f>
        <v>9e5d8274</v>
      </c>
      <c r="T2660" s="211" t="str">
        <f>IFERROR(__xludf.DUMMYFUNCTION("""COMPUTED_VALUE"""),"Bpk. Erry ( Lik Trosobo )")</f>
        <v>Bpk. Erry ( Lik Trosobo )</v>
      </c>
      <c r="U2660" s="215">
        <f>IFERROR(__xludf.DUMMYFUNCTION("""COMPUTED_VALUE"""),46077.60811342593)</f>
        <v>46077.60811</v>
      </c>
      <c r="V2660" s="211" t="str">
        <f>IFERROR(__xludf.DUMMYFUNCTION("""COMPUTED_VALUE"""),"Trosobo Taman")</f>
        <v>Trosobo Taman</v>
      </c>
      <c r="W2660" s="211" t="str">
        <f>IFERROR(__xludf.DUMMYFUNCTION("""COMPUTED_VALUE"""),"IN")</f>
        <v>IN</v>
      </c>
      <c r="X2660" s="211"/>
    </row>
    <row r="2661">
      <c r="A2661" s="210" t="str">
        <f>IFERROR(__xludf.DUMMYFUNCTION("""COMPUTED_VALUE"""),"122571877")</f>
        <v>122571877</v>
      </c>
      <c r="B2661" s="210" t="str">
        <f>IFERROR(__xludf.DUMMYFUNCTION("""COMPUTED_VALUE"""),"122571877")</f>
        <v>122571877</v>
      </c>
      <c r="C2661" s="213">
        <f>IFERROR(__xludf.DUMMYFUNCTION("""COMPUTED_VALUE"""),45994.3953125)</f>
        <v>45994.39531</v>
      </c>
      <c r="D2661" s="211" t="str">
        <f>IFERROR(__xludf.DUMMYFUNCTION("""COMPUTED_VALUE"""),"440df1db")</f>
        <v>440df1db</v>
      </c>
      <c r="E2661" s="211" t="str">
        <f>IFERROR(__xludf.DUMMYFUNCTION("""COMPUTED_VALUE"""),"PT. Mecca Abadi Sejahtera")</f>
        <v>PT. Mecca Abadi Sejahtera</v>
      </c>
      <c r="F2661" s="211" t="str">
        <f>IFERROR(__xludf.DUMMYFUNCTION("""COMPUTED_VALUE"""),"ef306e54")</f>
        <v>ef306e54</v>
      </c>
      <c r="G2661" s="211" t="str">
        <f>IFERROR(__xludf.DUMMYFUNCTION("""COMPUTED_VALUE"""),"Karbondioksida")</f>
        <v>Karbondioksida</v>
      </c>
      <c r="H2661" s="211" t="str">
        <f>IFERROR(__xludf.DUMMYFUNCTION("""COMPUTED_VALUE"""),"OUT")</f>
        <v>OUT</v>
      </c>
      <c r="I2661" s="211" t="str">
        <f>IFERROR(__xludf.DUMMYFUNCTION("""COMPUTED_VALUE"""),"NORMAL")</f>
        <v>NORMAL</v>
      </c>
      <c r="J2661" s="211">
        <f>IFERROR(__xludf.DUMMYFUNCTION("""COMPUTED_VALUE"""),5.0)</f>
        <v>5</v>
      </c>
      <c r="K2661" s="210" t="str">
        <f>IFERROR(__xludf.DUMMYFUNCTION("""COMPUTED_VALUE"""),"13014 13028 13017 13012 13045")</f>
        <v>13014 13028 13017 13012 13045</v>
      </c>
      <c r="L2661" s="211">
        <f>IFERROR(__xludf.DUMMYFUNCTION("""COMPUTED_VALUE"""),180000.0)</f>
        <v>180000</v>
      </c>
      <c r="M2661" s="211"/>
      <c r="N2661" s="211"/>
      <c r="O2661" s="211"/>
      <c r="Q2661" s="210" t="str">
        <f>IFERROR(__xludf.DUMMYFUNCTION("""COMPUTED_VALUE"""),"1261290")</f>
        <v>1261290</v>
      </c>
      <c r="R2661" s="210" t="str">
        <f>IFERROR(__xludf.DUMMYFUNCTION("""COMPUTED_VALUE"""),"1261290")</f>
        <v>1261290</v>
      </c>
      <c r="S2661" s="211" t="str">
        <f>IFERROR(__xludf.DUMMYFUNCTION("""COMPUTED_VALUE"""),"d9b2fac5")</f>
        <v>d9b2fac5</v>
      </c>
      <c r="T2661" s="211" t="str">
        <f>IFERROR(__xludf.DUMMYFUNCTION("""COMPUTED_VALUE"""),"Dwi Riza ( Ponokawan)")</f>
        <v>Dwi Riza ( Ponokawan)</v>
      </c>
      <c r="U2661" s="215">
        <f>IFERROR(__xludf.DUMMYFUNCTION("""COMPUTED_VALUE"""),46077.608622685184)</f>
        <v>46077.60862</v>
      </c>
      <c r="V2661" s="211" t="str">
        <f>IFERROR(__xludf.DUMMYFUNCTION("""COMPUTED_VALUE"""),"Jl. Raya Ponokawan No.28 RT 07 RW 03 Kec. Krian Sidoarjo (Seberang Bengkel An.Nur/ Deretan Baraka Expres)")</f>
        <v>Jl. Raya Ponokawan No.28 RT 07 RW 03 Kec. Krian Sidoarjo (Seberang Bengkel An.Nur/ Deretan Baraka Expres)</v>
      </c>
      <c r="W2661" s="211" t="str">
        <f>IFERROR(__xludf.DUMMYFUNCTION("""COMPUTED_VALUE"""),"IN")</f>
        <v>IN</v>
      </c>
      <c r="X2661" s="211"/>
    </row>
    <row r="2662">
      <c r="A2662" s="210" t="str">
        <f>IFERROR(__xludf.DUMMYFUNCTION("""COMPUTED_VALUE"""),"1250895")</f>
        <v>1250895</v>
      </c>
      <c r="B2662" s="210" t="str">
        <f>IFERROR(__xludf.DUMMYFUNCTION("""COMPUTED_VALUE"""),"1250895")</f>
        <v>1250895</v>
      </c>
      <c r="C2662" s="213">
        <f>IFERROR(__xludf.DUMMYFUNCTION("""COMPUTED_VALUE"""),45994.50131944445)</f>
        <v>45994.50132</v>
      </c>
      <c r="D2662" s="211" t="str">
        <f>IFERROR(__xludf.DUMMYFUNCTION("""COMPUTED_VALUE"""),"b218b89b")</f>
        <v>b218b89b</v>
      </c>
      <c r="E2662" s="211" t="str">
        <f>IFERROR(__xludf.DUMMYFUNCTION("""COMPUTED_VALUE"""),"PT Harapan Sentosa")</f>
        <v>PT Harapan Sentosa</v>
      </c>
      <c r="F2662" s="211" t="str">
        <f>IFERROR(__xludf.DUMMYFUNCTION("""COMPUTED_VALUE"""),"8bdbe149")</f>
        <v>8bdbe149</v>
      </c>
      <c r="G2662" s="211" t="str">
        <f>IFERROR(__xludf.DUMMYFUNCTION("""COMPUTED_VALUE"""),"Oksigen 6m3")</f>
        <v>Oksigen 6m3</v>
      </c>
      <c r="H2662" s="211" t="str">
        <f>IFERROR(__xludf.DUMMYFUNCTION("""COMPUTED_VALUE"""),"IN")</f>
        <v>IN</v>
      </c>
      <c r="I2662" s="211" t="str">
        <f>IFERROR(__xludf.DUMMYFUNCTION("""COMPUTED_VALUE"""),"EMPTY")</f>
        <v>EMPTY</v>
      </c>
      <c r="J2662" s="211">
        <f>IFERROR(__xludf.DUMMYFUNCTION("""COMPUTED_VALUE"""),3.0)</f>
        <v>3</v>
      </c>
      <c r="K2662" s="210" t="str">
        <f>IFERROR(__xludf.DUMMYFUNCTION("""COMPUTED_VALUE"""),"11181 1166 1183")</f>
        <v>11181 1166 1183</v>
      </c>
      <c r="L2662" s="211">
        <f>IFERROR(__xludf.DUMMYFUNCTION("""COMPUTED_VALUE"""),0.0)</f>
        <v>0</v>
      </c>
      <c r="M2662" s="211"/>
      <c r="N2662" s="211"/>
      <c r="O2662" s="211"/>
      <c r="Q2662" s="210" t="str">
        <f>IFERROR(__xludf.DUMMYFUNCTION("""COMPUTED_VALUE"""),"1261298")</f>
        <v>1261298</v>
      </c>
      <c r="R2662" s="210" t="str">
        <f>IFERROR(__xludf.DUMMYFUNCTION("""COMPUTED_VALUE"""),"1261298")</f>
        <v>1261298</v>
      </c>
      <c r="S2662" s="211" t="str">
        <f>IFERROR(__xludf.DUMMYFUNCTION("""COMPUTED_VALUE"""),"e86baf3b")</f>
        <v>e86baf3b</v>
      </c>
      <c r="T2662" s="211" t="str">
        <f>IFERROR(__xludf.DUMMYFUNCTION("""COMPUTED_VALUE"""),"PT GEMILANG CIPTA WAWASAN")</f>
        <v>PT GEMILANG CIPTA WAWASAN</v>
      </c>
      <c r="U2662" s="215">
        <f>IFERROR(__xludf.DUMMYFUNCTION("""COMPUTED_VALUE"""),46078.34818287037)</f>
        <v>46078.34818</v>
      </c>
      <c r="V2662" s="211" t="str">
        <f>IFERROR(__xludf.DUMMYFUNCTION("""COMPUTED_VALUE"""),"JL TEBET RAYA, 2A, TEBET BARAT, TEBET, KOTA ADM, JAKARTA SELATAN, DKI JAKARTA")</f>
        <v>JL TEBET RAYA, 2A, TEBET BARAT, TEBET, KOTA ADM, JAKARTA SELATAN, DKI JAKARTA</v>
      </c>
      <c r="W2662" s="211" t="str">
        <f>IFERROR(__xludf.DUMMYFUNCTION("""COMPUTED_VALUE"""),"IN")</f>
        <v>IN</v>
      </c>
      <c r="X2662" s="211"/>
    </row>
    <row r="2663">
      <c r="A2663" s="210" t="str">
        <f>IFERROR(__xludf.DUMMYFUNCTION("""COMPUTED_VALUE"""),"1250894")</f>
        <v>1250894</v>
      </c>
      <c r="B2663" s="210" t="str">
        <f>IFERROR(__xludf.DUMMYFUNCTION("""COMPUTED_VALUE"""),"1250894")</f>
        <v>1250894</v>
      </c>
      <c r="C2663" s="213">
        <f>IFERROR(__xludf.DUMMYFUNCTION("""COMPUTED_VALUE"""),45994.50255787037)</f>
        <v>45994.50256</v>
      </c>
      <c r="D2663" s="211" t="str">
        <f>IFERROR(__xludf.DUMMYFUNCTION("""COMPUTED_VALUE"""),"2d88931c")</f>
        <v>2d88931c</v>
      </c>
      <c r="E2663" s="211" t="str">
        <f>IFERROR(__xludf.DUMMYFUNCTION("""COMPUTED_VALUE"""),"PT Dunia Berkat Marga Mulya")</f>
        <v>PT Dunia Berkat Marga Mulya</v>
      </c>
      <c r="F2663" s="211" t="str">
        <f>IFERROR(__xludf.DUMMYFUNCTION("""COMPUTED_VALUE"""),"8bdbe149")</f>
        <v>8bdbe149</v>
      </c>
      <c r="G2663" s="211" t="str">
        <f>IFERROR(__xludf.DUMMYFUNCTION("""COMPUTED_VALUE"""),"Oksigen 6m3")</f>
        <v>Oksigen 6m3</v>
      </c>
      <c r="H2663" s="211" t="str">
        <f>IFERROR(__xludf.DUMMYFUNCTION("""COMPUTED_VALUE"""),"IN")</f>
        <v>IN</v>
      </c>
      <c r="I2663" s="211" t="str">
        <f>IFERROR(__xludf.DUMMYFUNCTION("""COMPUTED_VALUE"""),"EMPTY")</f>
        <v>EMPTY</v>
      </c>
      <c r="J2663" s="211">
        <f>IFERROR(__xludf.DUMMYFUNCTION("""COMPUTED_VALUE"""),2.0)</f>
        <v>2</v>
      </c>
      <c r="K2663" s="210" t="str">
        <f>IFERROR(__xludf.DUMMYFUNCTION("""COMPUTED_VALUE"""),"1147 1110")</f>
        <v>1147 1110</v>
      </c>
      <c r="L2663" s="211">
        <f>IFERROR(__xludf.DUMMYFUNCTION("""COMPUTED_VALUE"""),0.0)</f>
        <v>0</v>
      </c>
      <c r="M2663" s="211"/>
      <c r="N2663" s="211"/>
      <c r="O2663" s="211"/>
      <c r="Q2663" s="210" t="str">
        <f>IFERROR(__xludf.DUMMYFUNCTION("""COMPUTED_VALUE"""),"0226252656")</f>
        <v>0226252656</v>
      </c>
      <c r="R2663" s="210" t="str">
        <f>IFERROR(__xludf.DUMMYFUNCTION("""COMPUTED_VALUE"""),"0226252656")</f>
        <v>0226252656</v>
      </c>
      <c r="S2663" s="211" t="str">
        <f>IFERROR(__xludf.DUMMYFUNCTION("""COMPUTED_VALUE"""),"8ea74d81")</f>
        <v>8ea74d81</v>
      </c>
      <c r="T2663" s="211" t="str">
        <f>IFERROR(__xludf.DUMMYFUNCTION("""COMPUTED_VALUE"""),"Bengkel Adi Putra")</f>
        <v>Bengkel Adi Putra</v>
      </c>
      <c r="U2663" s="215">
        <f>IFERROR(__xludf.DUMMYFUNCTION("""COMPUTED_VALUE"""),46078.39969907407)</f>
        <v>46078.3997</v>
      </c>
      <c r="V2663" s="211" t="str">
        <f>IFERROR(__xludf.DUMMYFUNCTION("""COMPUTED_VALUE"""),"Bypass Balongbendo")</f>
        <v>Bypass Balongbendo</v>
      </c>
      <c r="W2663" s="211" t="str">
        <f>IFERROR(__xludf.DUMMYFUNCTION("""COMPUTED_VALUE"""),"OUT")</f>
        <v>OUT</v>
      </c>
      <c r="X2663" s="211"/>
    </row>
    <row r="2664">
      <c r="A2664" s="210" t="str">
        <f>IFERROR(__xludf.DUMMYFUNCTION("""COMPUTED_VALUE"""),"1250889")</f>
        <v>1250889</v>
      </c>
      <c r="B2664" s="210" t="str">
        <f>IFERROR(__xludf.DUMMYFUNCTION("""COMPUTED_VALUE"""),"1250889")</f>
        <v>1250889</v>
      </c>
      <c r="C2664" s="213">
        <f>IFERROR(__xludf.DUMMYFUNCTION("""COMPUTED_VALUE"""),45994.51137731481)</f>
        <v>45994.51138</v>
      </c>
      <c r="D2664" s="211" t="str">
        <f>IFERROR(__xludf.DUMMYFUNCTION("""COMPUTED_VALUE"""),"9e66ced9")</f>
        <v>9e66ced9</v>
      </c>
      <c r="E2664" s="211" t="str">
        <f>IFERROR(__xludf.DUMMYFUNCTION("""COMPUTED_VALUE"""),"Bapak Angga")</f>
        <v>Bapak Angga</v>
      </c>
      <c r="F2664" s="211" t="str">
        <f>IFERROR(__xludf.DUMMYFUNCTION("""COMPUTED_VALUE"""),"7d2764f1")</f>
        <v>7d2764f1</v>
      </c>
      <c r="G2664" s="211" t="str">
        <f>IFERROR(__xludf.DUMMYFUNCTION("""COMPUTED_VALUE"""),"Oksigen 7m3")</f>
        <v>Oksigen 7m3</v>
      </c>
      <c r="H2664" s="211" t="str">
        <f>IFERROR(__xludf.DUMMYFUNCTION("""COMPUTED_VALUE"""),"IN")</f>
        <v>IN</v>
      </c>
      <c r="I2664" s="211" t="str">
        <f>IFERROR(__xludf.DUMMYFUNCTION("""COMPUTED_VALUE"""),"EMPTY")</f>
        <v>EMPTY</v>
      </c>
      <c r="J2664" s="211">
        <f>IFERROR(__xludf.DUMMYFUNCTION("""COMPUTED_VALUE"""),1.0)</f>
        <v>1</v>
      </c>
      <c r="K2664" s="210" t="str">
        <f>IFERROR(__xludf.DUMMYFUNCTION("""COMPUTED_VALUE"""),"11303")</f>
        <v>11303</v>
      </c>
      <c r="L2664" s="211">
        <f>IFERROR(__xludf.DUMMYFUNCTION("""COMPUTED_VALUE"""),0.0)</f>
        <v>0</v>
      </c>
      <c r="M2664" s="211"/>
      <c r="N2664" s="211"/>
      <c r="O2664" s="211"/>
      <c r="Q2664" s="210" t="str">
        <f>IFERROR(__xludf.DUMMYFUNCTION("""COMPUTED_VALUE"""),"0226232664")</f>
        <v>0226232664</v>
      </c>
      <c r="R2664" s="210" t="str">
        <f>IFERROR(__xludf.DUMMYFUNCTION("""COMPUTED_VALUE"""),"0226232664")</f>
        <v>0226232664</v>
      </c>
      <c r="S2664" s="211" t="str">
        <f>IFERROR(__xludf.DUMMYFUNCTION("""COMPUTED_VALUE"""),"63fc688a")</f>
        <v>63fc688a</v>
      </c>
      <c r="T2664" s="211" t="str">
        <f>IFERROR(__xludf.DUMMYFUNCTION("""COMPUTED_VALUE"""),"CV Malik Nusantara")</f>
        <v>CV Malik Nusantara</v>
      </c>
      <c r="U2664" s="215">
        <f>IFERROR(__xludf.DUMMYFUNCTION("""COMPUTED_VALUE"""),46078.41131944444)</f>
        <v>46078.41132</v>
      </c>
      <c r="V2664" s="211" t="str">
        <f>IFERROR(__xludf.DUMMYFUNCTION("""COMPUTED_VALUE"""),"Jl. Raya Balongbendo No.12, Suwaluh Utara, Suwaluh, Kec. BalongBendo, Kabupaten Sidoarjo, Jawa Timur 61263")</f>
        <v>Jl. Raya Balongbendo No.12, Suwaluh Utara, Suwaluh, Kec. BalongBendo, Kabupaten Sidoarjo, Jawa Timur 61263</v>
      </c>
      <c r="W2664" s="211" t="str">
        <f>IFERROR(__xludf.DUMMYFUNCTION("""COMPUTED_VALUE"""),"OUT")</f>
        <v>OUT</v>
      </c>
      <c r="X2664" s="211"/>
    </row>
    <row r="2665">
      <c r="A2665" s="210" t="str">
        <f>IFERROR(__xludf.DUMMYFUNCTION("""COMPUTED_VALUE"""),"1250889")</f>
        <v>1250889</v>
      </c>
      <c r="B2665" s="210" t="str">
        <f>IFERROR(__xludf.DUMMYFUNCTION("""COMPUTED_VALUE"""),"1250889")</f>
        <v>1250889</v>
      </c>
      <c r="C2665" s="213">
        <f>IFERROR(__xludf.DUMMYFUNCTION("""COMPUTED_VALUE"""),45994.51137731481)</f>
        <v>45994.51138</v>
      </c>
      <c r="D2665" s="211" t="str">
        <f>IFERROR(__xludf.DUMMYFUNCTION("""COMPUTED_VALUE"""),"9e66ced9")</f>
        <v>9e66ced9</v>
      </c>
      <c r="E2665" s="211" t="str">
        <f>IFERROR(__xludf.DUMMYFUNCTION("""COMPUTED_VALUE"""),"Bapak Angga")</f>
        <v>Bapak Angga</v>
      </c>
      <c r="F2665" s="211" t="str">
        <f>IFERROR(__xludf.DUMMYFUNCTION("""COMPUTED_VALUE"""),"ef306e54")</f>
        <v>ef306e54</v>
      </c>
      <c r="G2665" s="211" t="str">
        <f>IFERROR(__xludf.DUMMYFUNCTION("""COMPUTED_VALUE"""),"Karbondioksida")</f>
        <v>Karbondioksida</v>
      </c>
      <c r="H2665" s="211" t="str">
        <f>IFERROR(__xludf.DUMMYFUNCTION("""COMPUTED_VALUE"""),"IN")</f>
        <v>IN</v>
      </c>
      <c r="I2665" s="211" t="str">
        <f>IFERROR(__xludf.DUMMYFUNCTION("""COMPUTED_VALUE"""),"EMPTY")</f>
        <v>EMPTY</v>
      </c>
      <c r="J2665" s="211">
        <f>IFERROR(__xludf.DUMMYFUNCTION("""COMPUTED_VALUE"""),2.0)</f>
        <v>2</v>
      </c>
      <c r="K2665" s="210" t="str">
        <f>IFERROR(__xludf.DUMMYFUNCTION("""COMPUTED_VALUE"""),"13043 13032")</f>
        <v>13043 13032</v>
      </c>
      <c r="L2665" s="211">
        <f>IFERROR(__xludf.DUMMYFUNCTION("""COMPUTED_VALUE"""),0.0)</f>
        <v>0</v>
      </c>
      <c r="M2665" s="211"/>
      <c r="N2665" s="211"/>
      <c r="O2665" s="211"/>
      <c r="Q2665" s="210" t="str">
        <f>IFERROR(__xludf.DUMMYFUNCTION("""COMPUTED_VALUE"""),"1261303")</f>
        <v>1261303</v>
      </c>
      <c r="R2665" s="210" t="str">
        <f>IFERROR(__xludf.DUMMYFUNCTION("""COMPUTED_VALUE"""),"1261303")</f>
        <v>1261303</v>
      </c>
      <c r="S2665" s="211" t="str">
        <f>IFERROR(__xludf.DUMMYFUNCTION("""COMPUTED_VALUE"""),"7b9d8eba")</f>
        <v>7b9d8eba</v>
      </c>
      <c r="T2665" s="211" t="str">
        <f>IFERROR(__xludf.DUMMYFUNCTION("""COMPUTED_VALUE"""),"PT PELANGI INDOKARYA")</f>
        <v>PT PELANGI INDOKARYA</v>
      </c>
      <c r="U2665" s="215">
        <f>IFERROR(__xludf.DUMMYFUNCTION("""COMPUTED_VALUE"""),46078.46363425926)</f>
        <v>46078.46363</v>
      </c>
      <c r="V2665"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665" s="211" t="str">
        <f>IFERROR(__xludf.DUMMYFUNCTION("""COMPUTED_VALUE"""),"IN")</f>
        <v>IN</v>
      </c>
      <c r="X2665" s="211"/>
    </row>
    <row r="2666">
      <c r="A2666" s="210" t="str">
        <f>IFERROR(__xludf.DUMMYFUNCTION("""COMPUTED_VALUE"""),"1250889")</f>
        <v>1250889</v>
      </c>
      <c r="B2666" s="210" t="str">
        <f>IFERROR(__xludf.DUMMYFUNCTION("""COMPUTED_VALUE"""),"1250889")</f>
        <v>1250889</v>
      </c>
      <c r="C2666" s="213">
        <f>IFERROR(__xludf.DUMMYFUNCTION("""COMPUTED_VALUE"""),45994.51137731481)</f>
        <v>45994.51138</v>
      </c>
      <c r="D2666" s="211" t="str">
        <f>IFERROR(__xludf.DUMMYFUNCTION("""COMPUTED_VALUE"""),"9e66ced9")</f>
        <v>9e66ced9</v>
      </c>
      <c r="E2666" s="211" t="str">
        <f>IFERROR(__xludf.DUMMYFUNCTION("""COMPUTED_VALUE"""),"Bapak Angga")</f>
        <v>Bapak Angga</v>
      </c>
      <c r="F2666" s="211" t="str">
        <f>IFERROR(__xludf.DUMMYFUNCTION("""COMPUTED_VALUE"""),"7d2764f1")</f>
        <v>7d2764f1</v>
      </c>
      <c r="G2666" s="211" t="str">
        <f>IFERROR(__xludf.DUMMYFUNCTION("""COMPUTED_VALUE"""),"Oksigen 7m3")</f>
        <v>Oksigen 7m3</v>
      </c>
      <c r="H2666" s="211" t="str">
        <f>IFERROR(__xludf.DUMMYFUNCTION("""COMPUTED_VALUE"""),"IN")</f>
        <v>IN</v>
      </c>
      <c r="I2666" s="211" t="str">
        <f>IFERROR(__xludf.DUMMYFUNCTION("""COMPUTED_VALUE"""),"CLAIM")</f>
        <v>CLAIM</v>
      </c>
      <c r="J2666" s="211">
        <f>IFERROR(__xludf.DUMMYFUNCTION("""COMPUTED_VALUE"""),1.0)</f>
        <v>1</v>
      </c>
      <c r="K2666" s="210" t="str">
        <f>IFERROR(__xludf.DUMMYFUNCTION("""COMPUTED_VALUE"""),"11302")</f>
        <v>11302</v>
      </c>
      <c r="L2666" s="211">
        <f>IFERROR(__xludf.DUMMYFUNCTION("""COMPUTED_VALUE"""),0.0)</f>
        <v>0</v>
      </c>
      <c r="M2666" s="211"/>
      <c r="N2666" s="211"/>
      <c r="O2666" s="211"/>
      <c r="Q2666" s="210" t="str">
        <f>IFERROR(__xludf.DUMMYFUNCTION("""COMPUTED_VALUE"""),"1261300")</f>
        <v>1261300</v>
      </c>
      <c r="R2666" s="210" t="str">
        <f>IFERROR(__xludf.DUMMYFUNCTION("""COMPUTED_VALUE"""),"1261300")</f>
        <v>1261300</v>
      </c>
      <c r="S2666" s="211" t="str">
        <f>IFERROR(__xludf.DUMMYFUNCTION("""COMPUTED_VALUE"""),"8f5ebaea")</f>
        <v>8f5ebaea</v>
      </c>
      <c r="T2666" s="211" t="str">
        <f>IFERROR(__xludf.DUMMYFUNCTION("""COMPUTED_VALUE"""),"PT Hua Zong Mesindo")</f>
        <v>PT Hua Zong Mesindo</v>
      </c>
      <c r="U2666" s="215">
        <f>IFERROR(__xludf.DUMMYFUNCTION("""COMPUTED_VALUE"""),46078.464594907404)</f>
        <v>46078.46459</v>
      </c>
      <c r="V2666" s="211" t="str">
        <f>IFERROR(__xludf.DUMMYFUNCTION("""COMPUTED_VALUE"""),"Jl. Bypass Krian, Sidotemo, Sidomulyo, Kec. Krian, Kabupaten Sidoarjo, Jawa Timur 61262")</f>
        <v>Jl. Bypass Krian, Sidotemo, Sidomulyo, Kec. Krian, Kabupaten Sidoarjo, Jawa Timur 61262</v>
      </c>
      <c r="W2666" s="211" t="str">
        <f>IFERROR(__xludf.DUMMYFUNCTION("""COMPUTED_VALUE"""),"IN")</f>
        <v>IN</v>
      </c>
      <c r="X2666" s="211"/>
    </row>
    <row r="2667">
      <c r="A2667" s="210" t="str">
        <f>IFERROR(__xludf.DUMMYFUNCTION("""COMPUTED_VALUE"""),"1250888")</f>
        <v>1250888</v>
      </c>
      <c r="B2667" s="210" t="str">
        <f>IFERROR(__xludf.DUMMYFUNCTION("""COMPUTED_VALUE"""),"1250888")</f>
        <v>1250888</v>
      </c>
      <c r="C2667" s="213">
        <f>IFERROR(__xludf.DUMMYFUNCTION("""COMPUTED_VALUE"""),45994.51290509259)</f>
        <v>45994.51291</v>
      </c>
      <c r="D2667" s="211" t="str">
        <f>IFERROR(__xludf.DUMMYFUNCTION("""COMPUTED_VALUE"""),"3b04351a")</f>
        <v>3b04351a</v>
      </c>
      <c r="E2667" s="211" t="str">
        <f>IFERROR(__xludf.DUMMYFUNCTION("""COMPUTED_VALUE"""),"CV Usaha Logam Jaya")</f>
        <v>CV Usaha Logam Jaya</v>
      </c>
      <c r="F2667" s="211" t="str">
        <f>IFERROR(__xludf.DUMMYFUNCTION("""COMPUTED_VALUE"""),"8bdbe149")</f>
        <v>8bdbe149</v>
      </c>
      <c r="G2667" s="211" t="str">
        <f>IFERROR(__xludf.DUMMYFUNCTION("""COMPUTED_VALUE"""),"Oksigen 6m3")</f>
        <v>Oksigen 6m3</v>
      </c>
      <c r="H2667" s="211" t="str">
        <f>IFERROR(__xludf.DUMMYFUNCTION("""COMPUTED_VALUE"""),"IN")</f>
        <v>IN</v>
      </c>
      <c r="I2667" s="211" t="str">
        <f>IFERROR(__xludf.DUMMYFUNCTION("""COMPUTED_VALUE"""),"EMPTY")</f>
        <v>EMPTY</v>
      </c>
      <c r="J2667" s="211">
        <f>IFERROR(__xludf.DUMMYFUNCTION("""COMPUTED_VALUE"""),2.0)</f>
        <v>2</v>
      </c>
      <c r="K2667" s="210" t="str">
        <f>IFERROR(__xludf.DUMMYFUNCTION("""COMPUTED_VALUE"""),"11112 11199")</f>
        <v>11112 11199</v>
      </c>
      <c r="L2667" s="211">
        <f>IFERROR(__xludf.DUMMYFUNCTION("""COMPUTED_VALUE"""),0.0)</f>
        <v>0</v>
      </c>
      <c r="M2667" s="211"/>
      <c r="N2667" s="211"/>
      <c r="O2667" s="211"/>
      <c r="Q2667" s="210" t="str">
        <f>IFERROR(__xludf.DUMMYFUNCTION("""COMPUTED_VALUE"""),"1261299")</f>
        <v>1261299</v>
      </c>
      <c r="R2667" s="210" t="str">
        <f>IFERROR(__xludf.DUMMYFUNCTION("""COMPUTED_VALUE"""),"1261299")</f>
        <v>1261299</v>
      </c>
      <c r="S2667" s="211" t="str">
        <f>IFERROR(__xludf.DUMMYFUNCTION("""COMPUTED_VALUE"""),"8ea74d81")</f>
        <v>8ea74d81</v>
      </c>
      <c r="T2667" s="211" t="str">
        <f>IFERROR(__xludf.DUMMYFUNCTION("""COMPUTED_VALUE"""),"Bengkel Adi Putra")</f>
        <v>Bengkel Adi Putra</v>
      </c>
      <c r="U2667" s="215">
        <f>IFERROR(__xludf.DUMMYFUNCTION("""COMPUTED_VALUE"""),46078.46517361111)</f>
        <v>46078.46517</v>
      </c>
      <c r="V2667" s="211" t="str">
        <f>IFERROR(__xludf.DUMMYFUNCTION("""COMPUTED_VALUE"""),"Bypass Balongbendo")</f>
        <v>Bypass Balongbendo</v>
      </c>
      <c r="W2667" s="211" t="str">
        <f>IFERROR(__xludf.DUMMYFUNCTION("""COMPUTED_VALUE"""),"IN")</f>
        <v>IN</v>
      </c>
      <c r="X2667" s="211"/>
    </row>
    <row r="2668">
      <c r="A2668" s="210" t="str">
        <f>IFERROR(__xludf.DUMMYFUNCTION("""COMPUTED_VALUE"""),"1250888")</f>
        <v>1250888</v>
      </c>
      <c r="B2668" s="210" t="str">
        <f>IFERROR(__xludf.DUMMYFUNCTION("""COMPUTED_VALUE"""),"1250888")</f>
        <v>1250888</v>
      </c>
      <c r="C2668" s="213">
        <f>IFERROR(__xludf.DUMMYFUNCTION("""COMPUTED_VALUE"""),45994.51290509259)</f>
        <v>45994.51291</v>
      </c>
      <c r="D2668" s="211" t="str">
        <f>IFERROR(__xludf.DUMMYFUNCTION("""COMPUTED_VALUE"""),"3b04351a")</f>
        <v>3b04351a</v>
      </c>
      <c r="E2668" s="211" t="str">
        <f>IFERROR(__xludf.DUMMYFUNCTION("""COMPUTED_VALUE"""),"CV Usaha Logam Jaya")</f>
        <v>CV Usaha Logam Jaya</v>
      </c>
      <c r="F2668" s="211" t="str">
        <f>IFERROR(__xludf.DUMMYFUNCTION("""COMPUTED_VALUE"""),"7d2764f1")</f>
        <v>7d2764f1</v>
      </c>
      <c r="G2668" s="211" t="str">
        <f>IFERROR(__xludf.DUMMYFUNCTION("""COMPUTED_VALUE"""),"Oksigen 7m3")</f>
        <v>Oksigen 7m3</v>
      </c>
      <c r="H2668" s="211" t="str">
        <f>IFERROR(__xludf.DUMMYFUNCTION("""COMPUTED_VALUE"""),"IN")</f>
        <v>IN</v>
      </c>
      <c r="I2668" s="211" t="str">
        <f>IFERROR(__xludf.DUMMYFUNCTION("""COMPUTED_VALUE"""),"EMPTY")</f>
        <v>EMPTY</v>
      </c>
      <c r="J2668" s="211">
        <f>IFERROR(__xludf.DUMMYFUNCTION("""COMPUTED_VALUE"""),3.0)</f>
        <v>3</v>
      </c>
      <c r="K2668" s="210" t="str">
        <f>IFERROR(__xludf.DUMMYFUNCTION("""COMPUTED_VALUE"""),"11229 11228 11169")</f>
        <v>11229 11228 11169</v>
      </c>
      <c r="L2668" s="211">
        <f>IFERROR(__xludf.DUMMYFUNCTION("""COMPUTED_VALUE"""),0.0)</f>
        <v>0</v>
      </c>
      <c r="M2668" s="211"/>
      <c r="N2668" s="211"/>
      <c r="O2668" s="211"/>
      <c r="Q2668" s="210" t="str">
        <f>IFERROR(__xludf.DUMMYFUNCTION("""COMPUTED_VALUE"""),"1261304")</f>
        <v>1261304</v>
      </c>
      <c r="R2668" s="210" t="str">
        <f>IFERROR(__xludf.DUMMYFUNCTION("""COMPUTED_VALUE"""),"1261304")</f>
        <v>1261304</v>
      </c>
      <c r="S2668" s="211" t="str">
        <f>IFERROR(__xludf.DUMMYFUNCTION("""COMPUTED_VALUE"""),"734c6d17")</f>
        <v>734c6d17</v>
      </c>
      <c r="T2668" s="211" t="str">
        <f>IFERROR(__xludf.DUMMYFUNCTION("""COMPUTED_VALUE"""),"Bapak Ainol Yaqin ( Bpk. Ibnu )")</f>
        <v>Bapak Ainol Yaqin ( Bpk. Ibnu )</v>
      </c>
      <c r="U2668" s="215">
        <f>IFERROR(__xludf.DUMMYFUNCTION("""COMPUTED_VALUE"""),46078.465578703705)</f>
        <v>46078.46558</v>
      </c>
      <c r="V2668" s="211" t="str">
        <f>IFERROR(__xludf.DUMMYFUNCTION("""COMPUTED_VALUE"""),"Tanggul Wetan, Tanggul, Kec. Wonoayu, Kabupaten Sidoarjo, Jawa Timur")</f>
        <v>Tanggul Wetan, Tanggul, Kec. Wonoayu, Kabupaten Sidoarjo, Jawa Timur</v>
      </c>
      <c r="W2668" s="211" t="str">
        <f>IFERROR(__xludf.DUMMYFUNCTION("""COMPUTED_VALUE"""),"IN")</f>
        <v>IN</v>
      </c>
      <c r="X2668" s="211"/>
    </row>
    <row r="2669">
      <c r="A2669" s="210" t="str">
        <f>IFERROR(__xludf.DUMMYFUNCTION("""COMPUTED_VALUE"""),"1225471882")</f>
        <v>1225471882</v>
      </c>
      <c r="B2669" s="210" t="str">
        <f>IFERROR(__xludf.DUMMYFUNCTION("""COMPUTED_VALUE"""),"1225471882")</f>
        <v>1225471882</v>
      </c>
      <c r="C2669" s="213">
        <f>IFERROR(__xludf.DUMMYFUNCTION("""COMPUTED_VALUE"""),45994.58731481482)</f>
        <v>45994.58731</v>
      </c>
      <c r="D2669" s="211" t="str">
        <f>IFERROR(__xludf.DUMMYFUNCTION("""COMPUTED_VALUE"""),"b2b5f2c5")</f>
        <v>b2b5f2c5</v>
      </c>
      <c r="E2669" s="211" t="str">
        <f>IFERROR(__xludf.DUMMYFUNCTION("""COMPUTED_VALUE"""),"Bengkel Las Bpk. Ari")</f>
        <v>Bengkel Las Bpk. Ari</v>
      </c>
      <c r="F2669" s="211" t="str">
        <f>IFERROR(__xludf.DUMMYFUNCTION("""COMPUTED_VALUE"""),"ef306e54")</f>
        <v>ef306e54</v>
      </c>
      <c r="G2669" s="211" t="str">
        <f>IFERROR(__xludf.DUMMYFUNCTION("""COMPUTED_VALUE"""),"Karbondioksida")</f>
        <v>Karbondioksida</v>
      </c>
      <c r="H2669" s="211" t="str">
        <f>IFERROR(__xludf.DUMMYFUNCTION("""COMPUTED_VALUE"""),"OUT")</f>
        <v>OUT</v>
      </c>
      <c r="I2669" s="211" t="str">
        <f>IFERROR(__xludf.DUMMYFUNCTION("""COMPUTED_VALUE"""),"NORMAL")</f>
        <v>NORMAL</v>
      </c>
      <c r="J2669" s="211">
        <f>IFERROR(__xludf.DUMMYFUNCTION("""COMPUTED_VALUE"""),2.0)</f>
        <v>2</v>
      </c>
      <c r="K2669" s="210" t="str">
        <f>IFERROR(__xludf.DUMMYFUNCTION("""COMPUTED_VALUE"""),"13035 13015")</f>
        <v>13035 13015</v>
      </c>
      <c r="L2669" s="211">
        <f>IFERROR(__xludf.DUMMYFUNCTION("""COMPUTED_VALUE"""),170000.0)</f>
        <v>170000</v>
      </c>
      <c r="M2669" s="211"/>
      <c r="N2669" s="211"/>
      <c r="O2669" s="211"/>
      <c r="Q2669" s="210" t="str">
        <f>IFERROR(__xludf.DUMMYFUNCTION("""COMPUTED_VALUE"""),"0226182665")</f>
        <v>0226182665</v>
      </c>
      <c r="R2669" s="210" t="str">
        <f>IFERROR(__xludf.DUMMYFUNCTION("""COMPUTED_VALUE"""),"0226182665")</f>
        <v>0226182665</v>
      </c>
      <c r="S2669" s="211" t="str">
        <f>IFERROR(__xludf.DUMMYFUNCTION("""COMPUTED_VALUE"""),"a0f0ad2d")</f>
        <v>a0f0ad2d</v>
      </c>
      <c r="T2669" s="211" t="str">
        <f>IFERROR(__xludf.DUMMYFUNCTION("""COMPUTED_VALUE"""),"CV. Yulie Jaya")</f>
        <v>CV. Yulie Jaya</v>
      </c>
      <c r="U2669" s="215">
        <f>IFERROR(__xludf.DUMMYFUNCTION("""COMPUTED_VALUE"""),46078.475694444445)</f>
        <v>46078.47569</v>
      </c>
      <c r="V2669" s="211" t="str">
        <f>IFERROR(__xludf.DUMMYFUNCTION("""COMPUTED_VALUE"""),"JJH4+6RV, Badas, Barengkrajan, Kec. Krian, Kabupaten Sidoarjo, Jawa Timur 61262")</f>
        <v>JJH4+6RV, Badas, Barengkrajan, Kec. Krian, Kabupaten Sidoarjo, Jawa Timur 61262</v>
      </c>
      <c r="W2669" s="211" t="str">
        <f>IFERROR(__xludf.DUMMYFUNCTION("""COMPUTED_VALUE"""),"OUT")</f>
        <v>OUT</v>
      </c>
      <c r="X2669" s="211"/>
    </row>
    <row r="2670">
      <c r="A2670" s="210" t="str">
        <f>IFERROR(__xludf.DUMMYFUNCTION("""COMPUTED_VALUE"""),"1225471882")</f>
        <v>1225471882</v>
      </c>
      <c r="B2670" s="210" t="str">
        <f>IFERROR(__xludf.DUMMYFUNCTION("""COMPUTED_VALUE"""),"1225471882")</f>
        <v>1225471882</v>
      </c>
      <c r="C2670" s="213">
        <f>IFERROR(__xludf.DUMMYFUNCTION("""COMPUTED_VALUE"""),45994.58731481482)</f>
        <v>45994.58731</v>
      </c>
      <c r="D2670" s="211" t="str">
        <f>IFERROR(__xludf.DUMMYFUNCTION("""COMPUTED_VALUE"""),"b2b5f2c5")</f>
        <v>b2b5f2c5</v>
      </c>
      <c r="E2670" s="211" t="str">
        <f>IFERROR(__xludf.DUMMYFUNCTION("""COMPUTED_VALUE"""),"Bengkel Las Bpk. Ari")</f>
        <v>Bengkel Las Bpk. Ari</v>
      </c>
      <c r="F2670" s="211" t="str">
        <f>IFERROR(__xludf.DUMMYFUNCTION("""COMPUTED_VALUE"""),"8bdbe149")</f>
        <v>8bdbe149</v>
      </c>
      <c r="G2670" s="211" t="str">
        <f>IFERROR(__xludf.DUMMYFUNCTION("""COMPUTED_VALUE"""),"Oksigen 6m3")</f>
        <v>Oksigen 6m3</v>
      </c>
      <c r="H2670" s="211" t="str">
        <f>IFERROR(__xludf.DUMMYFUNCTION("""COMPUTED_VALUE"""),"OUT")</f>
        <v>OUT</v>
      </c>
      <c r="I2670" s="211" t="str">
        <f>IFERROR(__xludf.DUMMYFUNCTION("""COMPUTED_VALUE"""),"NORMAL")</f>
        <v>NORMAL</v>
      </c>
      <c r="J2670" s="211">
        <f>IFERROR(__xludf.DUMMYFUNCTION("""COMPUTED_VALUE"""),6.0)</f>
        <v>6</v>
      </c>
      <c r="K2670" s="210" t="str">
        <f>IFERROR(__xludf.DUMMYFUNCTION("""COMPUTED_VALUE"""),"11281 11209 1157 11240 1143 1190")</f>
        <v>11281 11209 1157 11240 1143 1190</v>
      </c>
      <c r="L2670" s="211">
        <f>IFERROR(__xludf.DUMMYFUNCTION("""COMPUTED_VALUE"""),60000.0)</f>
        <v>60000</v>
      </c>
      <c r="M2670" s="211"/>
      <c r="N2670" s="211"/>
      <c r="O2670" s="211"/>
      <c r="Q2670" s="210" t="str">
        <f>IFERROR(__xludf.DUMMYFUNCTION("""COMPUTED_VALUE"""),"1261305")</f>
        <v>1261305</v>
      </c>
      <c r="R2670" s="210" t="str">
        <f>IFERROR(__xludf.DUMMYFUNCTION("""COMPUTED_VALUE"""),"1261305")</f>
        <v>1261305</v>
      </c>
      <c r="S2670" s="211" t="str">
        <f>IFERROR(__xludf.DUMMYFUNCTION("""COMPUTED_VALUE"""),"a0f0ad2d")</f>
        <v>a0f0ad2d</v>
      </c>
      <c r="T2670" s="211" t="str">
        <f>IFERROR(__xludf.DUMMYFUNCTION("""COMPUTED_VALUE"""),"CV. Yulie Jaya")</f>
        <v>CV. Yulie Jaya</v>
      </c>
      <c r="U2670" s="215">
        <f>IFERROR(__xludf.DUMMYFUNCTION("""COMPUTED_VALUE"""),46078.59746527778)</f>
        <v>46078.59747</v>
      </c>
      <c r="V2670" s="211" t="str">
        <f>IFERROR(__xludf.DUMMYFUNCTION("""COMPUTED_VALUE"""),"JJH4+6RV, Badas, Barengkrajan, Kec. Krian, Kabupaten Sidoarjo, Jawa Timur 61262")</f>
        <v>JJH4+6RV, Badas, Barengkrajan, Kec. Krian, Kabupaten Sidoarjo, Jawa Timur 61262</v>
      </c>
      <c r="W2670" s="211" t="str">
        <f>IFERROR(__xludf.DUMMYFUNCTION("""COMPUTED_VALUE"""),"IN")</f>
        <v>IN</v>
      </c>
      <c r="X2670" s="211"/>
    </row>
    <row r="2671">
      <c r="A2671" s="210" t="str">
        <f>IFERROR(__xludf.DUMMYFUNCTION("""COMPUTED_VALUE"""),"122551887")</f>
        <v>122551887</v>
      </c>
      <c r="B2671" s="210" t="str">
        <f>IFERROR(__xludf.DUMMYFUNCTION("""COMPUTED_VALUE"""),"122551887")</f>
        <v>122551887</v>
      </c>
      <c r="C2671" s="213">
        <f>IFERROR(__xludf.DUMMYFUNCTION("""COMPUTED_VALUE"""),45995.361493055556)</f>
        <v>45995.36149</v>
      </c>
      <c r="D2671" s="211" t="str">
        <f>IFERROR(__xludf.DUMMYFUNCTION("""COMPUTED_VALUE"""),"63fc688a")</f>
        <v>63fc688a</v>
      </c>
      <c r="E2671" s="211" t="str">
        <f>IFERROR(__xludf.DUMMYFUNCTION("""COMPUTED_VALUE"""),"CV Malik Nusantara")</f>
        <v>CV Malik Nusantara</v>
      </c>
      <c r="F2671" s="211" t="str">
        <f>IFERROR(__xludf.DUMMYFUNCTION("""COMPUTED_VALUE"""),"8bdbe149")</f>
        <v>8bdbe149</v>
      </c>
      <c r="G2671" s="211" t="str">
        <f>IFERROR(__xludf.DUMMYFUNCTION("""COMPUTED_VALUE"""),"Oksigen 6m3")</f>
        <v>Oksigen 6m3</v>
      </c>
      <c r="H2671" s="211" t="str">
        <f>IFERROR(__xludf.DUMMYFUNCTION("""COMPUTED_VALUE"""),"OUT")</f>
        <v>OUT</v>
      </c>
      <c r="I2671" s="211" t="str">
        <f>IFERROR(__xludf.DUMMYFUNCTION("""COMPUTED_VALUE"""),"NORMAL")</f>
        <v>NORMAL</v>
      </c>
      <c r="J2671" s="211">
        <f>IFERROR(__xludf.DUMMYFUNCTION("""COMPUTED_VALUE"""),8.0)</f>
        <v>8</v>
      </c>
      <c r="K2671" s="210" t="str">
        <f>IFERROR(__xludf.DUMMYFUNCTION("""COMPUTED_VALUE"""),"1194 11181 1163 11133 11266 1116 11188 1187")</f>
        <v>1194 11181 1163 11133 11266 1116 11188 1187</v>
      </c>
      <c r="L2671" s="211">
        <f>IFERROR(__xludf.DUMMYFUNCTION("""COMPUTED_VALUE"""),65000.0)</f>
        <v>65000</v>
      </c>
      <c r="M2671" s="211"/>
      <c r="N2671" s="211"/>
      <c r="O2671" s="211"/>
      <c r="Q2671" s="210" t="str">
        <f>IFERROR(__xludf.DUMMYFUNCTION("""COMPUTED_VALUE"""),"022632670")</f>
        <v>022632670</v>
      </c>
      <c r="R2671" s="210" t="str">
        <f>IFERROR(__xludf.DUMMYFUNCTION("""COMPUTED_VALUE"""),"022632670")</f>
        <v>022632670</v>
      </c>
      <c r="S2671" s="211" t="str">
        <f>IFERROR(__xludf.DUMMYFUNCTION("""COMPUTED_VALUE"""),"d9b2fac5")</f>
        <v>d9b2fac5</v>
      </c>
      <c r="T2671" s="211" t="str">
        <f>IFERROR(__xludf.DUMMYFUNCTION("""COMPUTED_VALUE"""),"Dwi Riza ( Ponokawan)")</f>
        <v>Dwi Riza ( Ponokawan)</v>
      </c>
      <c r="U2671" s="215">
        <f>IFERROR(__xludf.DUMMYFUNCTION("""COMPUTED_VALUE"""),46079.359664351854)</f>
        <v>46079.35966</v>
      </c>
      <c r="V2671" s="211" t="str">
        <f>IFERROR(__xludf.DUMMYFUNCTION("""COMPUTED_VALUE"""),"Jl. Raya Ponokawan No.28 RT 07 RW 03 Kec. Krian Sidoarjo (Seberang Bengkel An.Nur/ Deretan Baraka Expres)")</f>
        <v>Jl. Raya Ponokawan No.28 RT 07 RW 03 Kec. Krian Sidoarjo (Seberang Bengkel An.Nur/ Deretan Baraka Expres)</v>
      </c>
      <c r="W2671" s="211" t="str">
        <f>IFERROR(__xludf.DUMMYFUNCTION("""COMPUTED_VALUE"""),"OUT")</f>
        <v>OUT</v>
      </c>
      <c r="X2671" s="211"/>
    </row>
    <row r="2672">
      <c r="A2672" s="210" t="str">
        <f>IFERROR(__xludf.DUMMYFUNCTION("""COMPUTED_VALUE"""),"1250896")</f>
        <v>1250896</v>
      </c>
      <c r="B2672" s="210" t="str">
        <f>IFERROR(__xludf.DUMMYFUNCTION("""COMPUTED_VALUE"""),"1250896")</f>
        <v>1250896</v>
      </c>
      <c r="C2672" s="213">
        <f>IFERROR(__xludf.DUMMYFUNCTION("""COMPUTED_VALUE"""),45995.39275462963)</f>
        <v>45995.39275</v>
      </c>
      <c r="D2672" s="211" t="str">
        <f>IFERROR(__xludf.DUMMYFUNCTION("""COMPUTED_VALUE"""),"63fc688a")</f>
        <v>63fc688a</v>
      </c>
      <c r="E2672" s="211" t="str">
        <f>IFERROR(__xludf.DUMMYFUNCTION("""COMPUTED_VALUE"""),"CV Malik Nusantara")</f>
        <v>CV Malik Nusantara</v>
      </c>
      <c r="F2672" s="211" t="str">
        <f>IFERROR(__xludf.DUMMYFUNCTION("""COMPUTED_VALUE"""),"7d2764f1")</f>
        <v>7d2764f1</v>
      </c>
      <c r="G2672" s="211" t="str">
        <f>IFERROR(__xludf.DUMMYFUNCTION("""COMPUTED_VALUE"""),"Oksigen 7m3")</f>
        <v>Oksigen 7m3</v>
      </c>
      <c r="H2672" s="211" t="str">
        <f>IFERROR(__xludf.DUMMYFUNCTION("""COMPUTED_VALUE"""),"IN")</f>
        <v>IN</v>
      </c>
      <c r="I2672" s="211" t="str">
        <f>IFERROR(__xludf.DUMMYFUNCTION("""COMPUTED_VALUE"""),"EMPTY")</f>
        <v>EMPTY</v>
      </c>
      <c r="J2672" s="211">
        <f>IFERROR(__xludf.DUMMYFUNCTION("""COMPUTED_VALUE"""),3.0)</f>
        <v>3</v>
      </c>
      <c r="K2672" s="210" t="str">
        <f>IFERROR(__xludf.DUMMYFUNCTION("""COMPUTED_VALUE"""),"11174 11166 11164")</f>
        <v>11174 11166 11164</v>
      </c>
      <c r="L2672" s="211">
        <f>IFERROR(__xludf.DUMMYFUNCTION("""COMPUTED_VALUE"""),0.0)</f>
        <v>0</v>
      </c>
      <c r="M2672" s="211"/>
      <c r="N2672" s="211"/>
      <c r="O2672" s="211"/>
      <c r="Q2672" s="210" t="str">
        <f>IFERROR(__xludf.DUMMYFUNCTION("""COMPUTED_VALUE"""),"0226882672")</f>
        <v>0226882672</v>
      </c>
      <c r="R2672" s="210" t="str">
        <f>IFERROR(__xludf.DUMMYFUNCTION("""COMPUTED_VALUE"""),"0226882672")</f>
        <v>0226882672</v>
      </c>
      <c r="S2672" s="211" t="str">
        <f>IFERROR(__xludf.DUMMYFUNCTION("""COMPUTED_VALUE"""),"b2b5f2c5")</f>
        <v>b2b5f2c5</v>
      </c>
      <c r="T2672" s="211" t="str">
        <f>IFERROR(__xludf.DUMMYFUNCTION("""COMPUTED_VALUE"""),"Bengkel Las Bpk. Ari")</f>
        <v>Bengkel Las Bpk. Ari</v>
      </c>
      <c r="U2672" s="215">
        <f>IFERROR(__xludf.DUMMYFUNCTION("""COMPUTED_VALUE"""),46079.35974537037)</f>
        <v>46079.35975</v>
      </c>
      <c r="V2672" s="211" t="str">
        <f>IFERROR(__xludf.DUMMYFUNCTION("""COMPUTED_VALUE"""),"Sumber Kembar, Wonodadi, Kec. Kutorejo, Kabupaten Mojokerto, Jawa Timur")</f>
        <v>Sumber Kembar, Wonodadi, Kec. Kutorejo, Kabupaten Mojokerto, Jawa Timur</v>
      </c>
      <c r="W2672" s="211" t="str">
        <f>IFERROR(__xludf.DUMMYFUNCTION("""COMPUTED_VALUE"""),"OUT")</f>
        <v>OUT</v>
      </c>
      <c r="X2672" s="211"/>
    </row>
    <row r="2673">
      <c r="A2673" s="210" t="str">
        <f>IFERROR(__xludf.DUMMYFUNCTION("""COMPUTED_VALUE"""),"1250896")</f>
        <v>1250896</v>
      </c>
      <c r="B2673" s="210" t="str">
        <f>IFERROR(__xludf.DUMMYFUNCTION("""COMPUTED_VALUE"""),"1250896")</f>
        <v>1250896</v>
      </c>
      <c r="C2673" s="213">
        <f>IFERROR(__xludf.DUMMYFUNCTION("""COMPUTED_VALUE"""),45995.39275462963)</f>
        <v>45995.39275</v>
      </c>
      <c r="D2673" s="211" t="str">
        <f>IFERROR(__xludf.DUMMYFUNCTION("""COMPUTED_VALUE"""),"63fc688a")</f>
        <v>63fc688a</v>
      </c>
      <c r="E2673" s="211" t="str">
        <f>IFERROR(__xludf.DUMMYFUNCTION("""COMPUTED_VALUE"""),"CV Malik Nusantara")</f>
        <v>CV Malik Nusantara</v>
      </c>
      <c r="F2673" s="211" t="str">
        <f>IFERROR(__xludf.DUMMYFUNCTION("""COMPUTED_VALUE"""),"8bdbe149")</f>
        <v>8bdbe149</v>
      </c>
      <c r="G2673" s="211" t="str">
        <f>IFERROR(__xludf.DUMMYFUNCTION("""COMPUTED_VALUE"""),"Oksigen 6m3")</f>
        <v>Oksigen 6m3</v>
      </c>
      <c r="H2673" s="211" t="str">
        <f>IFERROR(__xludf.DUMMYFUNCTION("""COMPUTED_VALUE"""),"IN")</f>
        <v>IN</v>
      </c>
      <c r="I2673" s="211" t="str">
        <f>IFERROR(__xludf.DUMMYFUNCTION("""COMPUTED_VALUE"""),"EMPTY")</f>
        <v>EMPTY</v>
      </c>
      <c r="J2673" s="211">
        <f>IFERROR(__xludf.DUMMYFUNCTION("""COMPUTED_VALUE"""),8.0)</f>
        <v>8</v>
      </c>
      <c r="K2673" s="210" t="str">
        <f>IFERROR(__xludf.DUMMYFUNCTION("""COMPUTED_VALUE"""),"1184 1181 11100 11123 11274 1186 11104 11125")</f>
        <v>1184 1181 11100 11123 11274 1186 11104 11125</v>
      </c>
      <c r="L2673" s="211">
        <f>IFERROR(__xludf.DUMMYFUNCTION("""COMPUTED_VALUE"""),0.0)</f>
        <v>0</v>
      </c>
      <c r="M2673" s="211"/>
      <c r="N2673" s="211"/>
      <c r="O2673" s="211"/>
      <c r="Q2673" s="210" t="str">
        <f>IFERROR(__xludf.DUMMYFUNCTION("""COMPUTED_VALUE"""),"0226122673")</f>
        <v>0226122673</v>
      </c>
      <c r="R2673" s="210" t="str">
        <f>IFERROR(__xludf.DUMMYFUNCTION("""COMPUTED_VALUE"""),"0226122673")</f>
        <v>0226122673</v>
      </c>
      <c r="S2673" s="211" t="str">
        <f>IFERROR(__xludf.DUMMYFUNCTION("""COMPUTED_VALUE"""),"98c84274")</f>
        <v>98c84274</v>
      </c>
      <c r="T2673" s="211" t="str">
        <f>IFERROR(__xludf.DUMMYFUNCTION("""COMPUTED_VALUE"""),"Bengkel SBM (Pak Hari)")</f>
        <v>Bengkel SBM (Pak Hari)</v>
      </c>
      <c r="U2673" s="215">
        <f>IFERROR(__xludf.DUMMYFUNCTION("""COMPUTED_VALUE"""),46079.36482638889)</f>
        <v>46079.36483</v>
      </c>
      <c r="V267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73" s="211" t="str">
        <f>IFERROR(__xludf.DUMMYFUNCTION("""COMPUTED_VALUE"""),"OUT")</f>
        <v>OUT</v>
      </c>
      <c r="X2673" s="211"/>
    </row>
    <row r="2674">
      <c r="A2674" s="210" t="str">
        <f>IFERROR(__xludf.DUMMYFUNCTION("""COMPUTED_VALUE"""),"122561888")</f>
        <v>122561888</v>
      </c>
      <c r="B2674" s="210" t="str">
        <f>IFERROR(__xludf.DUMMYFUNCTION("""COMPUTED_VALUE"""),"122561888")</f>
        <v>122561888</v>
      </c>
      <c r="C2674" s="213">
        <f>IFERROR(__xludf.DUMMYFUNCTION("""COMPUTED_VALUE"""),45995.45649305556)</f>
        <v>45995.45649</v>
      </c>
      <c r="D2674" s="211" t="str">
        <f>IFERROR(__xludf.DUMMYFUNCTION("""COMPUTED_VALUE"""),"f98b1e81")</f>
        <v>f98b1e81</v>
      </c>
      <c r="E2674" s="211" t="str">
        <f>IFERROR(__xludf.DUMMYFUNCTION("""COMPUTED_VALUE"""),"CV. Greenlife Tirta Sentosa")</f>
        <v>CV. Greenlife Tirta Sentosa</v>
      </c>
      <c r="F2674" s="211" t="str">
        <f>IFERROR(__xludf.DUMMYFUNCTION("""COMPUTED_VALUE"""),"7d2764f1")</f>
        <v>7d2764f1</v>
      </c>
      <c r="G2674" s="211" t="str">
        <f>IFERROR(__xludf.DUMMYFUNCTION("""COMPUTED_VALUE"""),"Oksigen 7m3")</f>
        <v>Oksigen 7m3</v>
      </c>
      <c r="H2674" s="211" t="str">
        <f>IFERROR(__xludf.DUMMYFUNCTION("""COMPUTED_VALUE"""),"OUT")</f>
        <v>OUT</v>
      </c>
      <c r="I2674" s="211" t="str">
        <f>IFERROR(__xludf.DUMMYFUNCTION("""COMPUTED_VALUE"""),"NORMAL")</f>
        <v>NORMAL</v>
      </c>
      <c r="J2674" s="211">
        <f>IFERROR(__xludf.DUMMYFUNCTION("""COMPUTED_VALUE"""),1.0)</f>
        <v>1</v>
      </c>
      <c r="K2674" s="210" t="str">
        <f>IFERROR(__xludf.DUMMYFUNCTION("""COMPUTED_VALUE"""),"11302")</f>
        <v>11302</v>
      </c>
      <c r="L2674" s="211">
        <f>IFERROR(__xludf.DUMMYFUNCTION("""COMPUTED_VALUE"""),80000.0)</f>
        <v>80000</v>
      </c>
      <c r="M2674" s="211"/>
      <c r="N2674" s="211"/>
      <c r="O2674" s="211"/>
      <c r="Q2674" s="210" t="str">
        <f>IFERROR(__xludf.DUMMYFUNCTION("""COMPUTED_VALUE"""),"022672674")</f>
        <v>022672674</v>
      </c>
      <c r="R2674" s="210" t="str">
        <f>IFERROR(__xludf.DUMMYFUNCTION("""COMPUTED_VALUE"""),"022672674")</f>
        <v>022672674</v>
      </c>
      <c r="S2674" s="211" t="str">
        <f>IFERROR(__xludf.DUMMYFUNCTION("""COMPUTED_VALUE"""),"ca4876e2")</f>
        <v>ca4876e2</v>
      </c>
      <c r="T2674" s="211" t="str">
        <f>IFERROR(__xludf.DUMMYFUNCTION("""COMPUTED_VALUE"""),"Bengkel Mustika Mojosari")</f>
        <v>Bengkel Mustika Mojosari</v>
      </c>
      <c r="U2674" s="215">
        <f>IFERROR(__xludf.DUMMYFUNCTION("""COMPUTED_VALUE"""),46079.39561342593)</f>
        <v>46079.39561</v>
      </c>
      <c r="V2674" s="211" t="str">
        <f>IFERROR(__xludf.DUMMYFUNCTION("""COMPUTED_VALUE"""),"Jl. Kusuma Bangsa, Bulanan, Randubango, Kec. Mojosari, Kabupaten Mojokerto, Jawa Timur 61382")</f>
        <v>Jl. Kusuma Bangsa, Bulanan, Randubango, Kec. Mojosari, Kabupaten Mojokerto, Jawa Timur 61382</v>
      </c>
      <c r="W2674" s="211" t="str">
        <f>IFERROR(__xludf.DUMMYFUNCTION("""COMPUTED_VALUE"""),"OUT")</f>
        <v>OUT</v>
      </c>
      <c r="X2674" s="211"/>
    </row>
    <row r="2675">
      <c r="A2675" s="210" t="str">
        <f>IFERROR(__xludf.DUMMYFUNCTION("""COMPUTED_VALUE"""),"1250911")</f>
        <v>1250911</v>
      </c>
      <c r="B2675" s="210" t="str">
        <f>IFERROR(__xludf.DUMMYFUNCTION("""COMPUTED_VALUE"""),"1250911")</f>
        <v>1250911</v>
      </c>
      <c r="C2675" s="213">
        <f>IFERROR(__xludf.DUMMYFUNCTION("""COMPUTED_VALUE"""),45995.48299768518)</f>
        <v>45995.483</v>
      </c>
      <c r="D2675" s="211" t="str">
        <f>IFERROR(__xludf.DUMMYFUNCTION("""COMPUTED_VALUE"""),"f98b1e81")</f>
        <v>f98b1e81</v>
      </c>
      <c r="E2675" s="211" t="str">
        <f>IFERROR(__xludf.DUMMYFUNCTION("""COMPUTED_VALUE"""),"CV. Greenlife Tirta Sentosa")</f>
        <v>CV. Greenlife Tirta Sentosa</v>
      </c>
      <c r="F2675" s="211" t="str">
        <f>IFERROR(__xludf.DUMMYFUNCTION("""COMPUTED_VALUE"""),"8bdbe149")</f>
        <v>8bdbe149</v>
      </c>
      <c r="G2675" s="211" t="str">
        <f>IFERROR(__xludf.DUMMYFUNCTION("""COMPUTED_VALUE"""),"Oksigen 6m3")</f>
        <v>Oksigen 6m3</v>
      </c>
      <c r="H2675" s="211" t="str">
        <f>IFERROR(__xludf.DUMMYFUNCTION("""COMPUTED_VALUE"""),"IN")</f>
        <v>IN</v>
      </c>
      <c r="I2675" s="211" t="str">
        <f>IFERROR(__xludf.DUMMYFUNCTION("""COMPUTED_VALUE"""),"EMPTY")</f>
        <v>EMPTY</v>
      </c>
      <c r="J2675" s="211">
        <f>IFERROR(__xludf.DUMMYFUNCTION("""COMPUTED_VALUE"""),1.0)</f>
        <v>1</v>
      </c>
      <c r="K2675" s="210" t="str">
        <f>IFERROR(__xludf.DUMMYFUNCTION("""COMPUTED_VALUE"""),"11296")</f>
        <v>11296</v>
      </c>
      <c r="L2675" s="211">
        <f>IFERROR(__xludf.DUMMYFUNCTION("""COMPUTED_VALUE"""),0.0)</f>
        <v>0</v>
      </c>
      <c r="M2675" s="211"/>
      <c r="N2675" s="211"/>
      <c r="O2675" s="211"/>
      <c r="Q2675" s="210" t="str">
        <f>IFERROR(__xludf.DUMMYFUNCTION("""COMPUTED_VALUE"""),"1261309")</f>
        <v>1261309</v>
      </c>
      <c r="R2675" s="210" t="str">
        <f>IFERROR(__xludf.DUMMYFUNCTION("""COMPUTED_VALUE"""),"1261309")</f>
        <v>1261309</v>
      </c>
      <c r="S2675" s="211" t="str">
        <f>IFERROR(__xludf.DUMMYFUNCTION("""COMPUTED_VALUE"""),"1c4d5e93")</f>
        <v>1c4d5e93</v>
      </c>
      <c r="T2675" s="211" t="str">
        <f>IFERROR(__xludf.DUMMYFUNCTION("""COMPUTED_VALUE"""),"Karoseri Cipta Mitra Sukses")</f>
        <v>Karoseri Cipta Mitra Sukses</v>
      </c>
      <c r="U2675" s="215">
        <f>IFERROR(__xludf.DUMMYFUNCTION("""COMPUTED_VALUE"""),46079.41789351852)</f>
        <v>46079.41789</v>
      </c>
      <c r="V2675" s="211" t="str">
        <f>IFERROR(__xludf.DUMMYFUNCTION("""COMPUTED_VALUE"""),"JL. Bypass Krian No. 7800, Blok B No 11. Barengkrajan, Kec. Krian, Kabupaten Sidoarjo, Jawa Timur  61262")</f>
        <v>JL. Bypass Krian No. 7800, Blok B No 11. Barengkrajan, Kec. Krian, Kabupaten Sidoarjo, Jawa Timur  61262</v>
      </c>
      <c r="W2675" s="211" t="str">
        <f>IFERROR(__xludf.DUMMYFUNCTION("""COMPUTED_VALUE"""),"IN")</f>
        <v>IN</v>
      </c>
      <c r="X2675" s="211"/>
    </row>
    <row r="2676">
      <c r="A2676" s="210" t="str">
        <f>IFERROR(__xludf.DUMMYFUNCTION("""COMPUTED_VALUE"""),"1225481888")</f>
        <v>1225481888</v>
      </c>
      <c r="B2676" s="210" t="str">
        <f>IFERROR(__xludf.DUMMYFUNCTION("""COMPUTED_VALUE"""),"1225481888")</f>
        <v>1225481888</v>
      </c>
      <c r="C2676" s="213">
        <f>IFERROR(__xludf.DUMMYFUNCTION("""COMPUTED_VALUE"""),45995.55284722222)</f>
        <v>45995.55285</v>
      </c>
      <c r="D2676" s="211" t="str">
        <f>IFERROR(__xludf.DUMMYFUNCTION("""COMPUTED_VALUE"""),"b2b5f2c5")</f>
        <v>b2b5f2c5</v>
      </c>
      <c r="E2676" s="211" t="str">
        <f>IFERROR(__xludf.DUMMYFUNCTION("""COMPUTED_VALUE"""),"Bengkel Las Bpk. Ari")</f>
        <v>Bengkel Las Bpk. Ari</v>
      </c>
      <c r="F2676" s="211" t="str">
        <f>IFERROR(__xludf.DUMMYFUNCTION("""COMPUTED_VALUE"""),"8bdbe149")</f>
        <v>8bdbe149</v>
      </c>
      <c r="G2676" s="211" t="str">
        <f>IFERROR(__xludf.DUMMYFUNCTION("""COMPUTED_VALUE"""),"Oksigen 6m3")</f>
        <v>Oksigen 6m3</v>
      </c>
      <c r="H2676" s="211" t="str">
        <f>IFERROR(__xludf.DUMMYFUNCTION("""COMPUTED_VALUE"""),"OUT")</f>
        <v>OUT</v>
      </c>
      <c r="I2676" s="211" t="str">
        <f>IFERROR(__xludf.DUMMYFUNCTION("""COMPUTED_VALUE"""),"NORMAL")</f>
        <v>NORMAL</v>
      </c>
      <c r="J2676" s="211">
        <f>IFERROR(__xludf.DUMMYFUNCTION("""COMPUTED_VALUE"""),3.0)</f>
        <v>3</v>
      </c>
      <c r="K2676" s="210" t="str">
        <f>IFERROR(__xludf.DUMMYFUNCTION("""COMPUTED_VALUE"""),"1183 1147 1110")</f>
        <v>1183 1147 1110</v>
      </c>
      <c r="L2676" s="211">
        <f>IFERROR(__xludf.DUMMYFUNCTION("""COMPUTED_VALUE"""),60000.0)</f>
        <v>60000</v>
      </c>
      <c r="M2676" s="211"/>
      <c r="N2676" s="211"/>
      <c r="O2676" s="211"/>
      <c r="Q2676" s="210" t="str">
        <f>IFERROR(__xludf.DUMMYFUNCTION("""COMPUTED_VALUE"""),"1261307")</f>
        <v>1261307</v>
      </c>
      <c r="R2676" s="210" t="str">
        <f>IFERROR(__xludf.DUMMYFUNCTION("""COMPUTED_VALUE"""),"1261307")</f>
        <v>1261307</v>
      </c>
      <c r="S2676" s="211" t="str">
        <f>IFERROR(__xludf.DUMMYFUNCTION("""COMPUTED_VALUE"""),"ec231cc9")</f>
        <v>ec231cc9</v>
      </c>
      <c r="T2676" s="211" t="str">
        <f>IFERROR(__xludf.DUMMYFUNCTION("""COMPUTED_VALUE"""),"Bpk. Kohir (Maintenance Velg)")</f>
        <v>Bpk. Kohir (Maintenance Velg)</v>
      </c>
      <c r="U2676" s="215">
        <f>IFERROR(__xludf.DUMMYFUNCTION("""COMPUTED_VALUE"""),46079.41835648148)</f>
        <v>46079.41836</v>
      </c>
      <c r="V2676" s="211" t="str">
        <f>IFERROR(__xludf.DUMMYFUNCTION("""COMPUTED_VALUE"""),"Jl. Lkr. Bypass Krian Timur, Sidogolong, Watugolong, Kec. Krian, Kabupaten Sidoarjo, Jawa Timur 61262")</f>
        <v>Jl. Lkr. Bypass Krian Timur, Sidogolong, Watugolong, Kec. Krian, Kabupaten Sidoarjo, Jawa Timur 61262</v>
      </c>
      <c r="W2676" s="211" t="str">
        <f>IFERROR(__xludf.DUMMYFUNCTION("""COMPUTED_VALUE"""),"IN")</f>
        <v>IN</v>
      </c>
      <c r="X2676" s="211"/>
    </row>
    <row r="2677">
      <c r="A2677" s="210" t="str">
        <f>IFERROR(__xludf.DUMMYFUNCTION("""COMPUTED_VALUE"""),"1225481888")</f>
        <v>1225481888</v>
      </c>
      <c r="B2677" s="210" t="str">
        <f>IFERROR(__xludf.DUMMYFUNCTION("""COMPUTED_VALUE"""),"1225481888")</f>
        <v>1225481888</v>
      </c>
      <c r="C2677" s="213">
        <f>IFERROR(__xludf.DUMMYFUNCTION("""COMPUTED_VALUE"""),45995.55284722222)</f>
        <v>45995.55285</v>
      </c>
      <c r="D2677" s="211" t="str">
        <f>IFERROR(__xludf.DUMMYFUNCTION("""COMPUTED_VALUE"""),"b2b5f2c5")</f>
        <v>b2b5f2c5</v>
      </c>
      <c r="E2677" s="211" t="str">
        <f>IFERROR(__xludf.DUMMYFUNCTION("""COMPUTED_VALUE"""),"Bengkel Las Bpk. Ari")</f>
        <v>Bengkel Las Bpk. Ari</v>
      </c>
      <c r="F2677" s="211" t="str">
        <f>IFERROR(__xludf.DUMMYFUNCTION("""COMPUTED_VALUE"""),"ef306e54")</f>
        <v>ef306e54</v>
      </c>
      <c r="G2677" s="211" t="str">
        <f>IFERROR(__xludf.DUMMYFUNCTION("""COMPUTED_VALUE"""),"Karbondioksida")</f>
        <v>Karbondioksida</v>
      </c>
      <c r="H2677" s="211" t="str">
        <f>IFERROR(__xludf.DUMMYFUNCTION("""COMPUTED_VALUE"""),"OUT")</f>
        <v>OUT</v>
      </c>
      <c r="I2677" s="211" t="str">
        <f>IFERROR(__xludf.DUMMYFUNCTION("""COMPUTED_VALUE"""),"NORMAL")</f>
        <v>NORMAL</v>
      </c>
      <c r="J2677" s="211">
        <f>IFERROR(__xludf.DUMMYFUNCTION("""COMPUTED_VALUE"""),2.0)</f>
        <v>2</v>
      </c>
      <c r="K2677" s="210" t="str">
        <f>IFERROR(__xludf.DUMMYFUNCTION("""COMPUTED_VALUE"""),"13013 13026")</f>
        <v>13013 13026</v>
      </c>
      <c r="L2677" s="211">
        <f>IFERROR(__xludf.DUMMYFUNCTION("""COMPUTED_VALUE"""),170000.0)</f>
        <v>170000</v>
      </c>
      <c r="M2677" s="211"/>
      <c r="N2677" s="211"/>
      <c r="O2677" s="211"/>
      <c r="Q2677" s="210" t="str">
        <f>IFERROR(__xludf.DUMMYFUNCTION("""COMPUTED_VALUE"""),"1261306")</f>
        <v>1261306</v>
      </c>
      <c r="R2677" s="210" t="str">
        <f>IFERROR(__xludf.DUMMYFUNCTION("""COMPUTED_VALUE"""),"1261306")</f>
        <v>1261306</v>
      </c>
      <c r="S2677" s="211" t="str">
        <f>IFERROR(__xludf.DUMMYFUNCTION("""COMPUTED_VALUE"""),"4ec68cf6")</f>
        <v>4ec68cf6</v>
      </c>
      <c r="T2677" s="211" t="str">
        <f>IFERROR(__xludf.DUMMYFUNCTION("""COMPUTED_VALUE"""),"CV Sido Mukti Karya")</f>
        <v>CV Sido Mukti Karya</v>
      </c>
      <c r="U2677" s="215">
        <f>IFERROR(__xludf.DUMMYFUNCTION("""COMPUTED_VALUE"""),46079.42039351852)</f>
        <v>46079.42039</v>
      </c>
      <c r="V2677" s="211" t="str">
        <f>IFERROR(__xludf.DUMMYFUNCTION("""COMPUTED_VALUE"""),"Pergudangan Center Point no A3, Kemangsen")</f>
        <v>Pergudangan Center Point no A3, Kemangsen</v>
      </c>
      <c r="W2677" s="211" t="str">
        <f>IFERROR(__xludf.DUMMYFUNCTION("""COMPUTED_VALUE"""),"IN")</f>
        <v>IN</v>
      </c>
      <c r="X2677" s="211"/>
    </row>
    <row r="2678">
      <c r="A2678" s="210" t="str">
        <f>IFERROR(__xludf.DUMMYFUNCTION("""COMPUTED_VALUE"""),"1250910")</f>
        <v>1250910</v>
      </c>
      <c r="B2678" s="210" t="str">
        <f>IFERROR(__xludf.DUMMYFUNCTION("""COMPUTED_VALUE"""),"1250910")</f>
        <v>1250910</v>
      </c>
      <c r="C2678" s="213">
        <f>IFERROR(__xludf.DUMMYFUNCTION("""COMPUTED_VALUE"""),45995.64371527778)</f>
        <v>45995.64372</v>
      </c>
      <c r="D2678" s="211" t="str">
        <f>IFERROR(__xludf.DUMMYFUNCTION("""COMPUTED_VALUE"""),"b2b5f2c5")</f>
        <v>b2b5f2c5</v>
      </c>
      <c r="E2678" s="211" t="str">
        <f>IFERROR(__xludf.DUMMYFUNCTION("""COMPUTED_VALUE"""),"Bengkel Las Bpk. Ari")</f>
        <v>Bengkel Las Bpk. Ari</v>
      </c>
      <c r="F2678" s="211" t="str">
        <f>IFERROR(__xludf.DUMMYFUNCTION("""COMPUTED_VALUE"""),"8bdbe149")</f>
        <v>8bdbe149</v>
      </c>
      <c r="G2678" s="211" t="str">
        <f>IFERROR(__xludf.DUMMYFUNCTION("""COMPUTED_VALUE"""),"Oksigen 6m3")</f>
        <v>Oksigen 6m3</v>
      </c>
      <c r="H2678" s="211" t="str">
        <f>IFERROR(__xludf.DUMMYFUNCTION("""COMPUTED_VALUE"""),"IN")</f>
        <v>IN</v>
      </c>
      <c r="I2678" s="211" t="str">
        <f>IFERROR(__xludf.DUMMYFUNCTION("""COMPUTED_VALUE"""),"EMPTY")</f>
        <v>EMPTY</v>
      </c>
      <c r="J2678" s="211">
        <f>IFERROR(__xludf.DUMMYFUNCTION("""COMPUTED_VALUE"""),5.0)</f>
        <v>5</v>
      </c>
      <c r="K2678" s="210" t="str">
        <f>IFERROR(__xludf.DUMMYFUNCTION("""COMPUTED_VALUE"""),"1164 11202 11288 11249 11246")</f>
        <v>1164 11202 11288 11249 11246</v>
      </c>
      <c r="L2678" s="211">
        <f>IFERROR(__xludf.DUMMYFUNCTION("""COMPUTED_VALUE"""),0.0)</f>
        <v>0</v>
      </c>
      <c r="M2678" s="211"/>
      <c r="N2678" s="211"/>
      <c r="O2678" s="211"/>
      <c r="Q2678" s="210" t="str">
        <f>IFERROR(__xludf.DUMMYFUNCTION("""COMPUTED_VALUE"""),"1261311")</f>
        <v>1261311</v>
      </c>
      <c r="R2678" s="210" t="str">
        <f>IFERROR(__xludf.DUMMYFUNCTION("""COMPUTED_VALUE"""),"1261311")</f>
        <v>1261311</v>
      </c>
      <c r="S2678" s="211" t="str">
        <f>IFERROR(__xludf.DUMMYFUNCTION("""COMPUTED_VALUE"""),"98c84274")</f>
        <v>98c84274</v>
      </c>
      <c r="T2678" s="211" t="str">
        <f>IFERROR(__xludf.DUMMYFUNCTION("""COMPUTED_VALUE"""),"Bengkel SBM (Pak Hari)")</f>
        <v>Bengkel SBM (Pak Hari)</v>
      </c>
      <c r="U2678" s="215">
        <f>IFERROR(__xludf.DUMMYFUNCTION("""COMPUTED_VALUE"""),46079.440983796296)</f>
        <v>46079.44098</v>
      </c>
      <c r="V2678"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678" s="211" t="str">
        <f>IFERROR(__xludf.DUMMYFUNCTION("""COMPUTED_VALUE"""),"IN")</f>
        <v>IN</v>
      </c>
      <c r="X2678" s="211"/>
    </row>
    <row r="2679">
      <c r="A2679" s="210" t="str">
        <f>IFERROR(__xludf.DUMMYFUNCTION("""COMPUTED_VALUE"""),"1250910")</f>
        <v>1250910</v>
      </c>
      <c r="B2679" s="210" t="str">
        <f>IFERROR(__xludf.DUMMYFUNCTION("""COMPUTED_VALUE"""),"1250910")</f>
        <v>1250910</v>
      </c>
      <c r="C2679" s="213">
        <f>IFERROR(__xludf.DUMMYFUNCTION("""COMPUTED_VALUE"""),45995.64371527778)</f>
        <v>45995.64372</v>
      </c>
      <c r="D2679" s="211" t="str">
        <f>IFERROR(__xludf.DUMMYFUNCTION("""COMPUTED_VALUE"""),"b2b5f2c5")</f>
        <v>b2b5f2c5</v>
      </c>
      <c r="E2679" s="211" t="str">
        <f>IFERROR(__xludf.DUMMYFUNCTION("""COMPUTED_VALUE"""),"Bengkel Las Bpk. Ari")</f>
        <v>Bengkel Las Bpk. Ari</v>
      </c>
      <c r="F2679" s="211" t="str">
        <f>IFERROR(__xludf.DUMMYFUNCTION("""COMPUTED_VALUE"""),"ef306e54")</f>
        <v>ef306e54</v>
      </c>
      <c r="G2679" s="211" t="str">
        <f>IFERROR(__xludf.DUMMYFUNCTION("""COMPUTED_VALUE"""),"Karbondioksida")</f>
        <v>Karbondioksida</v>
      </c>
      <c r="H2679" s="211" t="str">
        <f>IFERROR(__xludf.DUMMYFUNCTION("""COMPUTED_VALUE"""),"IN")</f>
        <v>IN</v>
      </c>
      <c r="I2679" s="211" t="str">
        <f>IFERROR(__xludf.DUMMYFUNCTION("""COMPUTED_VALUE"""),"EMPTY")</f>
        <v>EMPTY</v>
      </c>
      <c r="J2679" s="211">
        <f>IFERROR(__xludf.DUMMYFUNCTION("""COMPUTED_VALUE"""),3.0)</f>
        <v>3</v>
      </c>
      <c r="K2679" s="210" t="str">
        <f>IFERROR(__xludf.DUMMYFUNCTION("""COMPUTED_VALUE"""),"13049 13008 13037")</f>
        <v>13049 13008 13037</v>
      </c>
      <c r="L2679" s="211">
        <f>IFERROR(__xludf.DUMMYFUNCTION("""COMPUTED_VALUE"""),0.0)</f>
        <v>0</v>
      </c>
      <c r="M2679" s="211"/>
      <c r="N2679" s="211"/>
      <c r="O2679" s="211"/>
      <c r="Q2679" s="210" t="str">
        <f>IFERROR(__xludf.DUMMYFUNCTION("""COMPUTED_VALUE"""),"1261312")</f>
        <v>1261312</v>
      </c>
      <c r="R2679" s="210" t="str">
        <f>IFERROR(__xludf.DUMMYFUNCTION("""COMPUTED_VALUE"""),"1261312")</f>
        <v>1261312</v>
      </c>
      <c r="S2679" s="211" t="str">
        <f>IFERROR(__xludf.DUMMYFUNCTION("""COMPUTED_VALUE"""),"d9b2fac5")</f>
        <v>d9b2fac5</v>
      </c>
      <c r="T2679" s="211" t="str">
        <f>IFERROR(__xludf.DUMMYFUNCTION("""COMPUTED_VALUE"""),"Dwi Riza ( Ponokawan)")</f>
        <v>Dwi Riza ( Ponokawan)</v>
      </c>
      <c r="U2679" s="215">
        <f>IFERROR(__xludf.DUMMYFUNCTION("""COMPUTED_VALUE"""),46079.441655092596)</f>
        <v>46079.44166</v>
      </c>
      <c r="V2679" s="211" t="str">
        <f>IFERROR(__xludf.DUMMYFUNCTION("""COMPUTED_VALUE"""),"Jl. Raya Ponokawan No.28 RT 07 RW 03 Kec. Krian Sidoarjo (Seberang Bengkel An.Nur/ Deretan Baraka Expres)")</f>
        <v>Jl. Raya Ponokawan No.28 RT 07 RW 03 Kec. Krian Sidoarjo (Seberang Bengkel An.Nur/ Deretan Baraka Expres)</v>
      </c>
      <c r="W2679" s="211" t="str">
        <f>IFERROR(__xludf.DUMMYFUNCTION("""COMPUTED_VALUE"""),"IN")</f>
        <v>IN</v>
      </c>
      <c r="X2679" s="211"/>
    </row>
    <row r="2680">
      <c r="A2680" s="210" t="str">
        <f>IFERROR(__xludf.DUMMYFUNCTION("""COMPUTED_VALUE"""),"1250897")</f>
        <v>1250897</v>
      </c>
      <c r="B2680" s="210" t="str">
        <f>IFERROR(__xludf.DUMMYFUNCTION("""COMPUTED_VALUE"""),"1250897")</f>
        <v>1250897</v>
      </c>
      <c r="C2680" s="213">
        <f>IFERROR(__xludf.DUMMYFUNCTION("""COMPUTED_VALUE"""),45995.64519675926)</f>
        <v>45995.6452</v>
      </c>
      <c r="D2680" s="211" t="str">
        <f>IFERROR(__xludf.DUMMYFUNCTION("""COMPUTED_VALUE"""),"440df1db")</f>
        <v>440df1db</v>
      </c>
      <c r="E2680" s="211" t="str">
        <f>IFERROR(__xludf.DUMMYFUNCTION("""COMPUTED_VALUE"""),"PT. Mecca Abadi Sejahtera")</f>
        <v>PT. Mecca Abadi Sejahtera</v>
      </c>
      <c r="F2680" s="211" t="str">
        <f>IFERROR(__xludf.DUMMYFUNCTION("""COMPUTED_VALUE"""),"ef306e54")</f>
        <v>ef306e54</v>
      </c>
      <c r="G2680" s="211" t="str">
        <f>IFERROR(__xludf.DUMMYFUNCTION("""COMPUTED_VALUE"""),"Karbondioksida")</f>
        <v>Karbondioksida</v>
      </c>
      <c r="H2680" s="211" t="str">
        <f>IFERROR(__xludf.DUMMYFUNCTION("""COMPUTED_VALUE"""),"IN")</f>
        <v>IN</v>
      </c>
      <c r="I2680" s="211" t="str">
        <f>IFERROR(__xludf.DUMMYFUNCTION("""COMPUTED_VALUE"""),"EMPTY")</f>
        <v>EMPTY</v>
      </c>
      <c r="J2680" s="211">
        <f>IFERROR(__xludf.DUMMYFUNCTION("""COMPUTED_VALUE"""),3.0)</f>
        <v>3</v>
      </c>
      <c r="K2680" s="210" t="str">
        <f>IFERROR(__xludf.DUMMYFUNCTION("""COMPUTED_VALUE"""),"13020 13039 13031")</f>
        <v>13020 13039 13031</v>
      </c>
      <c r="L2680" s="211">
        <f>IFERROR(__xludf.DUMMYFUNCTION("""COMPUTED_VALUE"""),0.0)</f>
        <v>0</v>
      </c>
      <c r="M2680" s="211"/>
      <c r="N2680" s="211"/>
      <c r="O2680" s="211"/>
      <c r="Q2680" s="210" t="str">
        <f>IFERROR(__xludf.DUMMYFUNCTION("""COMPUTED_VALUE"""),"022682675")</f>
        <v>022682675</v>
      </c>
      <c r="R2680" s="210" t="str">
        <f>IFERROR(__xludf.DUMMYFUNCTION("""COMPUTED_VALUE"""),"022682675")</f>
        <v>022682675</v>
      </c>
      <c r="S2680" s="211" t="str">
        <f>IFERROR(__xludf.DUMMYFUNCTION("""COMPUTED_VALUE"""),"1c4d5e93")</f>
        <v>1c4d5e93</v>
      </c>
      <c r="T2680" s="211" t="str">
        <f>IFERROR(__xludf.DUMMYFUNCTION("""COMPUTED_VALUE"""),"Karoseri Cipta Mitra Sukses")</f>
        <v>Karoseri Cipta Mitra Sukses</v>
      </c>
      <c r="U2680" s="215">
        <f>IFERROR(__xludf.DUMMYFUNCTION("""COMPUTED_VALUE"""),46079.49256944445)</f>
        <v>46079.49257</v>
      </c>
      <c r="V2680" s="211" t="str">
        <f>IFERROR(__xludf.DUMMYFUNCTION("""COMPUTED_VALUE"""),"JL. Bypass Krian No. 7800, Blok B No 11. Barengkrajan, Kec. Krian, Kabupaten Sidoarjo, Jawa Timur  61262")</f>
        <v>JL. Bypass Krian No. 7800, Blok B No 11. Barengkrajan, Kec. Krian, Kabupaten Sidoarjo, Jawa Timur  61262</v>
      </c>
      <c r="W2680" s="211" t="str">
        <f>IFERROR(__xludf.DUMMYFUNCTION("""COMPUTED_VALUE"""),"OUT")</f>
        <v>OUT</v>
      </c>
      <c r="X2680" s="211"/>
    </row>
    <row r="2681">
      <c r="A2681" s="210" t="str">
        <f>IFERROR(__xludf.DUMMYFUNCTION("""COMPUTED_VALUE"""),"1250919")</f>
        <v>1250919</v>
      </c>
      <c r="B2681" s="210" t="str">
        <f>IFERROR(__xludf.DUMMYFUNCTION("""COMPUTED_VALUE"""),"1250919")</f>
        <v>1250919</v>
      </c>
      <c r="C2681" s="213">
        <f>IFERROR(__xludf.DUMMYFUNCTION("""COMPUTED_VALUE"""),45995.64611111111)</f>
        <v>45995.64611</v>
      </c>
      <c r="D2681" s="211" t="str">
        <f>IFERROR(__xludf.DUMMYFUNCTION("""COMPUTED_VALUE"""),"b2b5f2c5")</f>
        <v>b2b5f2c5</v>
      </c>
      <c r="E2681" s="211" t="str">
        <f>IFERROR(__xludf.DUMMYFUNCTION("""COMPUTED_VALUE"""),"Bengkel Las Bpk. Ari")</f>
        <v>Bengkel Las Bpk. Ari</v>
      </c>
      <c r="F2681" s="211" t="str">
        <f>IFERROR(__xludf.DUMMYFUNCTION("""COMPUTED_VALUE"""),"8bdbe149")</f>
        <v>8bdbe149</v>
      </c>
      <c r="G2681" s="211" t="str">
        <f>IFERROR(__xludf.DUMMYFUNCTION("""COMPUTED_VALUE"""),"Oksigen 6m3")</f>
        <v>Oksigen 6m3</v>
      </c>
      <c r="H2681" s="211" t="str">
        <f>IFERROR(__xludf.DUMMYFUNCTION("""COMPUTED_VALUE"""),"IN")</f>
        <v>IN</v>
      </c>
      <c r="I2681" s="211" t="str">
        <f>IFERROR(__xludf.DUMMYFUNCTION("""COMPUTED_VALUE"""),"EMPTY")</f>
        <v>EMPTY</v>
      </c>
      <c r="J2681" s="211">
        <f>IFERROR(__xludf.DUMMYFUNCTION("""COMPUTED_VALUE"""),3.0)</f>
        <v>3</v>
      </c>
      <c r="K2681" s="210" t="str">
        <f>IFERROR(__xludf.DUMMYFUNCTION("""COMPUTED_VALUE"""),"11206 11267 11239")</f>
        <v>11206 11267 11239</v>
      </c>
      <c r="L2681" s="211">
        <f>IFERROR(__xludf.DUMMYFUNCTION("""COMPUTED_VALUE"""),0.0)</f>
        <v>0</v>
      </c>
      <c r="M2681" s="211"/>
      <c r="N2681" s="211"/>
      <c r="O2681" s="211"/>
      <c r="Q2681" s="210" t="str">
        <f>IFERROR(__xludf.DUMMYFUNCTION("""COMPUTED_VALUE"""),"1261321")</f>
        <v>1261321</v>
      </c>
      <c r="R2681" s="210" t="str">
        <f>IFERROR(__xludf.DUMMYFUNCTION("""COMPUTED_VALUE"""),"1261321")</f>
        <v>1261321</v>
      </c>
      <c r="S2681" s="211" t="str">
        <f>IFERROR(__xludf.DUMMYFUNCTION("""COMPUTED_VALUE"""),"a1508027")</f>
        <v>a1508027</v>
      </c>
      <c r="T2681" s="211" t="str">
        <f>IFERROR(__xludf.DUMMYFUNCTION("""COMPUTED_VALUE"""),"Agus Budiono")</f>
        <v>Agus Budiono</v>
      </c>
      <c r="U2681" s="215">
        <f>IFERROR(__xludf.DUMMYFUNCTION("""COMPUTED_VALUE"""),46079.51744212963)</f>
        <v>46079.51744</v>
      </c>
      <c r="V2681" s="211" t="str">
        <f>IFERROR(__xludf.DUMMYFUNCTION("""COMPUTED_VALUE"""),"Kraton RT.13 RW. 03 Kraton Krian Sidoarjo")</f>
        <v>Kraton RT.13 RW. 03 Kraton Krian Sidoarjo</v>
      </c>
      <c r="W2681" s="211" t="str">
        <f>IFERROR(__xludf.DUMMYFUNCTION("""COMPUTED_VALUE"""),"IN")</f>
        <v>IN</v>
      </c>
      <c r="X2681" s="211"/>
    </row>
    <row r="2682">
      <c r="A2682" s="210" t="str">
        <f>IFERROR(__xludf.DUMMYFUNCTION("""COMPUTED_VALUE"""),"1250919")</f>
        <v>1250919</v>
      </c>
      <c r="B2682" s="210" t="str">
        <f>IFERROR(__xludf.DUMMYFUNCTION("""COMPUTED_VALUE"""),"1250919")</f>
        <v>1250919</v>
      </c>
      <c r="C2682" s="213">
        <f>IFERROR(__xludf.DUMMYFUNCTION("""COMPUTED_VALUE"""),45995.64611111111)</f>
        <v>45995.64611</v>
      </c>
      <c r="D2682" s="211" t="str">
        <f>IFERROR(__xludf.DUMMYFUNCTION("""COMPUTED_VALUE"""),"b2b5f2c5")</f>
        <v>b2b5f2c5</v>
      </c>
      <c r="E2682" s="211" t="str">
        <f>IFERROR(__xludf.DUMMYFUNCTION("""COMPUTED_VALUE"""),"Bengkel Las Bpk. Ari")</f>
        <v>Bengkel Las Bpk. Ari</v>
      </c>
      <c r="F2682" s="211" t="str">
        <f>IFERROR(__xludf.DUMMYFUNCTION("""COMPUTED_VALUE"""),"ef306e54")</f>
        <v>ef306e54</v>
      </c>
      <c r="G2682" s="211" t="str">
        <f>IFERROR(__xludf.DUMMYFUNCTION("""COMPUTED_VALUE"""),"Karbondioksida")</f>
        <v>Karbondioksida</v>
      </c>
      <c r="H2682" s="211" t="str">
        <f>IFERROR(__xludf.DUMMYFUNCTION("""COMPUTED_VALUE"""),"IN")</f>
        <v>IN</v>
      </c>
      <c r="I2682" s="211" t="str">
        <f>IFERROR(__xludf.DUMMYFUNCTION("""COMPUTED_VALUE"""),"EMPTY")</f>
        <v>EMPTY</v>
      </c>
      <c r="J2682" s="211">
        <f>IFERROR(__xludf.DUMMYFUNCTION("""COMPUTED_VALUE"""),1.0)</f>
        <v>1</v>
      </c>
      <c r="K2682" s="210" t="str">
        <f>IFERROR(__xludf.DUMMYFUNCTION("""COMPUTED_VALUE"""),"13042")</f>
        <v>13042</v>
      </c>
      <c r="L2682" s="211">
        <f>IFERROR(__xludf.DUMMYFUNCTION("""COMPUTED_VALUE"""),0.0)</f>
        <v>0</v>
      </c>
      <c r="M2682" s="211"/>
      <c r="N2682" s="211"/>
      <c r="O2682" s="211"/>
      <c r="Q2682" s="210" t="str">
        <f>IFERROR(__xludf.DUMMYFUNCTION("""COMPUTED_VALUE"""),"022662681")</f>
        <v>022662681</v>
      </c>
      <c r="R2682" s="210" t="str">
        <f>IFERROR(__xludf.DUMMYFUNCTION("""COMPUTED_VALUE"""),"022662681")</f>
        <v>022662681</v>
      </c>
      <c r="S2682" s="211" t="str">
        <f>IFERROR(__xludf.DUMMYFUNCTION("""COMPUTED_VALUE"""),"a1508027")</f>
        <v>a1508027</v>
      </c>
      <c r="T2682" s="211" t="str">
        <f>IFERROR(__xludf.DUMMYFUNCTION("""COMPUTED_VALUE"""),"Agus Budiono")</f>
        <v>Agus Budiono</v>
      </c>
      <c r="U2682" s="215">
        <f>IFERROR(__xludf.DUMMYFUNCTION("""COMPUTED_VALUE"""),46079.51770833333)</f>
        <v>46079.51771</v>
      </c>
      <c r="V2682" s="211" t="str">
        <f>IFERROR(__xludf.DUMMYFUNCTION("""COMPUTED_VALUE"""),"Kraton RT.13 RW. 03 Kraton Krian Sidoarjo")</f>
        <v>Kraton RT.13 RW. 03 Kraton Krian Sidoarjo</v>
      </c>
      <c r="W2682" s="211" t="str">
        <f>IFERROR(__xludf.DUMMYFUNCTION("""COMPUTED_VALUE"""),"OUT")</f>
        <v>OUT</v>
      </c>
      <c r="X2682" s="211"/>
    </row>
    <row r="2683">
      <c r="A2683" s="210" t="str">
        <f>IFERROR(__xludf.DUMMYFUNCTION("""COMPUTED_VALUE"""),"122521892")</f>
        <v>122521892</v>
      </c>
      <c r="B2683" s="210" t="str">
        <f>IFERROR(__xludf.DUMMYFUNCTION("""COMPUTED_VALUE"""),"122521892")</f>
        <v>122521892</v>
      </c>
      <c r="C2683" s="213">
        <f>IFERROR(__xludf.DUMMYFUNCTION("""COMPUTED_VALUE"""),45996.359502314815)</f>
        <v>45996.3595</v>
      </c>
      <c r="D2683" s="211" t="str">
        <f>IFERROR(__xludf.DUMMYFUNCTION("""COMPUTED_VALUE"""),"3b04351a")</f>
        <v>3b04351a</v>
      </c>
      <c r="E2683" s="211" t="str">
        <f>IFERROR(__xludf.DUMMYFUNCTION("""COMPUTED_VALUE"""),"CV Usaha Logam Jaya ( Bpk Putra )")</f>
        <v>CV Usaha Logam Jaya ( Bpk Putra )</v>
      </c>
      <c r="F2683" s="211" t="str">
        <f>IFERROR(__xludf.DUMMYFUNCTION("""COMPUTED_VALUE"""),"7d2764f1")</f>
        <v>7d2764f1</v>
      </c>
      <c r="G2683" s="211" t="str">
        <f>IFERROR(__xludf.DUMMYFUNCTION("""COMPUTED_VALUE"""),"Oksigen 7m3")</f>
        <v>Oksigen 7m3</v>
      </c>
      <c r="H2683" s="211" t="str">
        <f>IFERROR(__xludf.DUMMYFUNCTION("""COMPUTED_VALUE"""),"OUT")</f>
        <v>OUT</v>
      </c>
      <c r="I2683" s="211" t="str">
        <f>IFERROR(__xludf.DUMMYFUNCTION("""COMPUTED_VALUE"""),"NORMAL")</f>
        <v>NORMAL</v>
      </c>
      <c r="J2683" s="211">
        <f>IFERROR(__xludf.DUMMYFUNCTION("""COMPUTED_VALUE"""),3.0)</f>
        <v>3</v>
      </c>
      <c r="K2683" s="210" t="str">
        <f>IFERROR(__xludf.DUMMYFUNCTION("""COMPUTED_VALUE"""),"11166 11164 11174")</f>
        <v>11166 11164 11174</v>
      </c>
      <c r="L2683" s="211">
        <f>IFERROR(__xludf.DUMMYFUNCTION("""COMPUTED_VALUE"""),60000.0)</f>
        <v>60000</v>
      </c>
      <c r="M2683" s="211"/>
      <c r="N2683" s="211"/>
      <c r="O2683" s="211"/>
      <c r="Q2683" s="210" t="str">
        <f>IFERROR(__xludf.DUMMYFUNCTION("""COMPUTED_VALUE"""),"1261313")</f>
        <v>1261313</v>
      </c>
      <c r="R2683" s="210" t="str">
        <f>IFERROR(__xludf.DUMMYFUNCTION("""COMPUTED_VALUE"""),"1261313")</f>
        <v>1261313</v>
      </c>
      <c r="S2683" s="211" t="str">
        <f>IFERROR(__xludf.DUMMYFUNCTION("""COMPUTED_VALUE"""),"b2b5f2c5")</f>
        <v>b2b5f2c5</v>
      </c>
      <c r="T2683" s="211" t="str">
        <f>IFERROR(__xludf.DUMMYFUNCTION("""COMPUTED_VALUE"""),"Bengkel Las Bpk. Ari")</f>
        <v>Bengkel Las Bpk. Ari</v>
      </c>
      <c r="U2683" s="215">
        <f>IFERROR(__xludf.DUMMYFUNCTION("""COMPUTED_VALUE"""),46079.61856481482)</f>
        <v>46079.61856</v>
      </c>
      <c r="V2683" s="211" t="str">
        <f>IFERROR(__xludf.DUMMYFUNCTION("""COMPUTED_VALUE"""),"Sumber Kembar, Wonodadi, Kec. Kutorejo, Kabupaten Mojokerto, Jawa Timur")</f>
        <v>Sumber Kembar, Wonodadi, Kec. Kutorejo, Kabupaten Mojokerto, Jawa Timur</v>
      </c>
      <c r="W2683" s="211" t="str">
        <f>IFERROR(__xludf.DUMMYFUNCTION("""COMPUTED_VALUE"""),"IN")</f>
        <v>IN</v>
      </c>
      <c r="X2683" s="211"/>
    </row>
    <row r="2684">
      <c r="A2684" s="210" t="str">
        <f>IFERROR(__xludf.DUMMYFUNCTION("""COMPUTED_VALUE"""),"122521892")</f>
        <v>122521892</v>
      </c>
      <c r="B2684" s="210" t="str">
        <f>IFERROR(__xludf.DUMMYFUNCTION("""COMPUTED_VALUE"""),"122521892")</f>
        <v>122521892</v>
      </c>
      <c r="C2684" s="213">
        <f>IFERROR(__xludf.DUMMYFUNCTION("""COMPUTED_VALUE"""),45996.359502314815)</f>
        <v>45996.3595</v>
      </c>
      <c r="D2684" s="211" t="str">
        <f>IFERROR(__xludf.DUMMYFUNCTION("""COMPUTED_VALUE"""),"3b04351a")</f>
        <v>3b04351a</v>
      </c>
      <c r="E2684" s="211" t="str">
        <f>IFERROR(__xludf.DUMMYFUNCTION("""COMPUTED_VALUE"""),"CV Usaha Logam Jaya ( Bpk Putra )")</f>
        <v>CV Usaha Logam Jaya ( Bpk Putra )</v>
      </c>
      <c r="F2684" s="211" t="str">
        <f>IFERROR(__xludf.DUMMYFUNCTION("""COMPUTED_VALUE"""),"8bdbe149")</f>
        <v>8bdbe149</v>
      </c>
      <c r="G2684" s="211" t="str">
        <f>IFERROR(__xludf.DUMMYFUNCTION("""COMPUTED_VALUE"""),"Oksigen 6m3")</f>
        <v>Oksigen 6m3</v>
      </c>
      <c r="H2684" s="211" t="str">
        <f>IFERROR(__xludf.DUMMYFUNCTION("""COMPUTED_VALUE"""),"OUT")</f>
        <v>OUT</v>
      </c>
      <c r="I2684" s="211" t="str">
        <f>IFERROR(__xludf.DUMMYFUNCTION("""COMPUTED_VALUE"""),"NORMAL")</f>
        <v>NORMAL</v>
      </c>
      <c r="J2684" s="211">
        <f>IFERROR(__xludf.DUMMYFUNCTION("""COMPUTED_VALUE"""),17.0)</f>
        <v>17</v>
      </c>
      <c r="K2684" s="210" t="str">
        <f>IFERROR(__xludf.DUMMYFUNCTION("""COMPUTED_VALUE"""),"11202 11104 1184 11125 11100 1166 11246 11123 11274 1136 1181 1164 1186 11249 11288 11130 11263")</f>
        <v>11202 11104 1184 11125 11100 1166 11246 11123 11274 1136 1181 1164 1186 11249 11288 11130 11263</v>
      </c>
      <c r="L2684" s="211">
        <f>IFERROR(__xludf.DUMMYFUNCTION("""COMPUTED_VALUE"""),60000.0)</f>
        <v>60000</v>
      </c>
      <c r="M2684" s="211"/>
      <c r="N2684" s="211"/>
      <c r="O2684" s="211"/>
      <c r="Q2684" s="210" t="str">
        <f>IFERROR(__xludf.DUMMYFUNCTION("""COMPUTED_VALUE"""),"1261310")</f>
        <v>1261310</v>
      </c>
      <c r="R2684" s="210" t="str">
        <f>IFERROR(__xludf.DUMMYFUNCTION("""COMPUTED_VALUE"""),"1261310")</f>
        <v>1261310</v>
      </c>
      <c r="S2684" s="211" t="str">
        <f>IFERROR(__xludf.DUMMYFUNCTION("""COMPUTED_VALUE"""),"9828dfc5")</f>
        <v>9828dfc5</v>
      </c>
      <c r="T2684" s="211" t="str">
        <f>IFERROR(__xludf.DUMMYFUNCTION("""COMPUTED_VALUE"""),"Bpk. David")</f>
        <v>Bpk. David</v>
      </c>
      <c r="U2684" s="215">
        <f>IFERROR(__xludf.DUMMYFUNCTION("""COMPUTED_VALUE"""),46079.62079861111)</f>
        <v>46079.6208</v>
      </c>
      <c r="V2684" s="211" t="str">
        <f>IFERROR(__xludf.DUMMYFUNCTION("""COMPUTED_VALUE"""),"GHF3+R34, Jl. Kartini, Ngingas, Ngimbangan, Kec. Mojosari, Kabupaten Mojokerto, Jawa Timur 61382")</f>
        <v>GHF3+R34, Jl. Kartini, Ngingas, Ngimbangan, Kec. Mojosari, Kabupaten Mojokerto, Jawa Timur 61382</v>
      </c>
      <c r="W2684" s="211" t="str">
        <f>IFERROR(__xludf.DUMMYFUNCTION("""COMPUTED_VALUE"""),"IN")</f>
        <v>IN</v>
      </c>
      <c r="X2684" s="211"/>
    </row>
    <row r="2685">
      <c r="A2685" s="210" t="str">
        <f>IFERROR(__xludf.DUMMYFUNCTION("""COMPUTED_VALUE"""),"122551896")</f>
        <v>122551896</v>
      </c>
      <c r="B2685" s="210" t="str">
        <f>IFERROR(__xludf.DUMMYFUNCTION("""COMPUTED_VALUE"""),"122551896")</f>
        <v>122551896</v>
      </c>
      <c r="C2685" s="213">
        <f>IFERROR(__xludf.DUMMYFUNCTION("""COMPUTED_VALUE"""),45996.401238425926)</f>
        <v>45996.40124</v>
      </c>
      <c r="D2685" s="211" t="str">
        <f>IFERROR(__xludf.DUMMYFUNCTION("""COMPUTED_VALUE"""),"ba97d58d")</f>
        <v>ba97d58d</v>
      </c>
      <c r="E2685" s="211" t="str">
        <f>IFERROR(__xludf.DUMMYFUNCTION("""COMPUTED_VALUE"""),"Bengkel Citra Mojosari")</f>
        <v>Bengkel Citra Mojosari</v>
      </c>
      <c r="F2685" s="211" t="str">
        <f>IFERROR(__xludf.DUMMYFUNCTION("""COMPUTED_VALUE"""),"7d2764f1")</f>
        <v>7d2764f1</v>
      </c>
      <c r="G2685" s="211" t="str">
        <f>IFERROR(__xludf.DUMMYFUNCTION("""COMPUTED_VALUE"""),"Oksigen 7m3")</f>
        <v>Oksigen 7m3</v>
      </c>
      <c r="H2685" s="211" t="str">
        <f>IFERROR(__xludf.DUMMYFUNCTION("""COMPUTED_VALUE"""),"OUT")</f>
        <v>OUT</v>
      </c>
      <c r="I2685" s="211" t="str">
        <f>IFERROR(__xludf.DUMMYFUNCTION("""COMPUTED_VALUE"""),"NORMAL")</f>
        <v>NORMAL</v>
      </c>
      <c r="J2685" s="211">
        <f>IFERROR(__xludf.DUMMYFUNCTION("""COMPUTED_VALUE"""),4.0)</f>
        <v>4</v>
      </c>
      <c r="K2685" s="210" t="str">
        <f>IFERROR(__xludf.DUMMYFUNCTION("""COMPUTED_VALUE"""),"11292 11157 11163 11218")</f>
        <v>11292 11157 11163 11218</v>
      </c>
      <c r="L2685" s="211">
        <f>IFERROR(__xludf.DUMMYFUNCTION("""COMPUTED_VALUE"""),65000.0)</f>
        <v>65000</v>
      </c>
      <c r="M2685" s="211"/>
      <c r="N2685" s="211"/>
      <c r="O2685" s="211"/>
      <c r="Q2685" s="210" t="str">
        <f>IFERROR(__xludf.DUMMYFUNCTION("""COMPUTED_VALUE"""),"1261308")</f>
        <v>1261308</v>
      </c>
      <c r="R2685" s="210" t="str">
        <f>IFERROR(__xludf.DUMMYFUNCTION("""COMPUTED_VALUE"""),"1261308")</f>
        <v>1261308</v>
      </c>
      <c r="S2685" s="211" t="str">
        <f>IFERROR(__xludf.DUMMYFUNCTION("""COMPUTED_VALUE"""),"ca4876e2")</f>
        <v>ca4876e2</v>
      </c>
      <c r="T2685" s="211" t="str">
        <f>IFERROR(__xludf.DUMMYFUNCTION("""COMPUTED_VALUE"""),"Bengkel Mustika Mojosari")</f>
        <v>Bengkel Mustika Mojosari</v>
      </c>
      <c r="U2685" s="215">
        <f>IFERROR(__xludf.DUMMYFUNCTION("""COMPUTED_VALUE"""),46079.62186342593)</f>
        <v>46079.62186</v>
      </c>
      <c r="V2685" s="211" t="str">
        <f>IFERROR(__xludf.DUMMYFUNCTION("""COMPUTED_VALUE"""),"Jl. Kusuma Bangsa, Bulanan, Randubango, Kec. Mojosari, Kabupaten Mojokerto, Jawa Timur 61382")</f>
        <v>Jl. Kusuma Bangsa, Bulanan, Randubango, Kec. Mojosari, Kabupaten Mojokerto, Jawa Timur 61382</v>
      </c>
      <c r="W2685" s="211" t="str">
        <f>IFERROR(__xludf.DUMMYFUNCTION("""COMPUTED_VALUE"""),"IN")</f>
        <v>IN</v>
      </c>
      <c r="X2685" s="211"/>
    </row>
    <row r="2686">
      <c r="A2686" s="210" t="str">
        <f>IFERROR(__xludf.DUMMYFUNCTION("""COMPUTED_VALUE"""),"1225491897")</f>
        <v>1225491897</v>
      </c>
      <c r="B2686" s="210" t="str">
        <f>IFERROR(__xludf.DUMMYFUNCTION("""COMPUTED_VALUE"""),"1225491897")</f>
        <v>1225491897</v>
      </c>
      <c r="C2686" s="213">
        <f>IFERROR(__xludf.DUMMYFUNCTION("""COMPUTED_VALUE"""),45996.44328703704)</f>
        <v>45996.44329</v>
      </c>
      <c r="D2686" s="211" t="str">
        <f>IFERROR(__xludf.DUMMYFUNCTION("""COMPUTED_VALUE"""),"b2b5f2c5")</f>
        <v>b2b5f2c5</v>
      </c>
      <c r="E2686" s="211" t="str">
        <f>IFERROR(__xludf.DUMMYFUNCTION("""COMPUTED_VALUE"""),"Bengkel Las Bpk. Ari")</f>
        <v>Bengkel Las Bpk. Ari</v>
      </c>
      <c r="F2686" s="211" t="str">
        <f>IFERROR(__xludf.DUMMYFUNCTION("""COMPUTED_VALUE"""),"ef306e54")</f>
        <v>ef306e54</v>
      </c>
      <c r="G2686" s="211" t="str">
        <f>IFERROR(__xludf.DUMMYFUNCTION("""COMPUTED_VALUE"""),"Karbondioksida")</f>
        <v>Karbondioksida</v>
      </c>
      <c r="H2686" s="211" t="str">
        <f>IFERROR(__xludf.DUMMYFUNCTION("""COMPUTED_VALUE"""),"OUT")</f>
        <v>OUT</v>
      </c>
      <c r="I2686" s="211" t="str">
        <f>IFERROR(__xludf.DUMMYFUNCTION("""COMPUTED_VALUE"""),"NORMAL")</f>
        <v>NORMAL</v>
      </c>
      <c r="J2686" s="211">
        <f>IFERROR(__xludf.DUMMYFUNCTION("""COMPUTED_VALUE"""),2.0)</f>
        <v>2</v>
      </c>
      <c r="K2686" s="210" t="str">
        <f>IFERROR(__xludf.DUMMYFUNCTION("""COMPUTED_VALUE"""),"13008 13049")</f>
        <v>13008 13049</v>
      </c>
      <c r="L2686" s="211">
        <f>IFERROR(__xludf.DUMMYFUNCTION("""COMPUTED_VALUE"""),170000.0)</f>
        <v>170000</v>
      </c>
      <c r="M2686" s="211"/>
      <c r="N2686" s="211"/>
      <c r="O2686" s="211"/>
      <c r="Q2686" s="210" t="str">
        <f>IFERROR(__xludf.DUMMYFUNCTION("""COMPUTED_VALUE"""),"1261319")</f>
        <v>1261319</v>
      </c>
      <c r="R2686" s="210" t="str">
        <f>IFERROR(__xludf.DUMMYFUNCTION("""COMPUTED_VALUE"""),"1261319")</f>
        <v>1261319</v>
      </c>
      <c r="S2686" s="211" t="str">
        <f>IFERROR(__xludf.DUMMYFUNCTION("""COMPUTED_VALUE"""),"ce83e171")</f>
        <v>ce83e171</v>
      </c>
      <c r="T2686" s="211" t="str">
        <f>IFERROR(__xludf.DUMMYFUNCTION("""COMPUTED_VALUE"""),"Bpk. Sulaiman")</f>
        <v>Bpk. Sulaiman</v>
      </c>
      <c r="U2686" s="215">
        <f>IFERROR(__xludf.DUMMYFUNCTION("""COMPUTED_VALUE"""),46079.67333333333)</f>
        <v>46079.67333</v>
      </c>
      <c r="V2686" s="211" t="str">
        <f>IFERROR(__xludf.DUMMYFUNCTION("""COMPUTED_VALUE"""),"Jl. Raya Kramat Temenggung No.43, Kramat, Kramat Temenggung, Kec. Tarik, Kabupaten Sidoarjo, Jawa Timur 61265")</f>
        <v>Jl. Raya Kramat Temenggung No.43, Kramat, Kramat Temenggung, Kec. Tarik, Kabupaten Sidoarjo, Jawa Timur 61265</v>
      </c>
      <c r="W2686" s="211" t="str">
        <f>IFERROR(__xludf.DUMMYFUNCTION("""COMPUTED_VALUE"""),"IN")</f>
        <v>IN</v>
      </c>
      <c r="X2686" s="211"/>
    </row>
    <row r="2687">
      <c r="A2687" s="210" t="str">
        <f>IFERROR(__xludf.DUMMYFUNCTION("""COMPUTED_VALUE"""),"1225491897")</f>
        <v>1225491897</v>
      </c>
      <c r="B2687" s="210" t="str">
        <f>IFERROR(__xludf.DUMMYFUNCTION("""COMPUTED_VALUE"""),"1225491897")</f>
        <v>1225491897</v>
      </c>
      <c r="C2687" s="213">
        <f>IFERROR(__xludf.DUMMYFUNCTION("""COMPUTED_VALUE"""),45996.44328703704)</f>
        <v>45996.44329</v>
      </c>
      <c r="D2687" s="211" t="str">
        <f>IFERROR(__xludf.DUMMYFUNCTION("""COMPUTED_VALUE"""),"b2b5f2c5")</f>
        <v>b2b5f2c5</v>
      </c>
      <c r="E2687" s="211" t="str">
        <f>IFERROR(__xludf.DUMMYFUNCTION("""COMPUTED_VALUE"""),"Bengkel Las Bpk. Ari")</f>
        <v>Bengkel Las Bpk. Ari</v>
      </c>
      <c r="F2687" s="211" t="str">
        <f>IFERROR(__xludf.DUMMYFUNCTION("""COMPUTED_VALUE"""),"8bdbe149")</f>
        <v>8bdbe149</v>
      </c>
      <c r="G2687" s="211" t="str">
        <f>IFERROR(__xludf.DUMMYFUNCTION("""COMPUTED_VALUE"""),"Oksigen 6m3")</f>
        <v>Oksigen 6m3</v>
      </c>
      <c r="H2687" s="211" t="str">
        <f>IFERROR(__xludf.DUMMYFUNCTION("""COMPUTED_VALUE"""),"OUT")</f>
        <v>OUT</v>
      </c>
      <c r="I2687" s="211" t="str">
        <f>IFERROR(__xludf.DUMMYFUNCTION("""COMPUTED_VALUE"""),"NORMAL")</f>
        <v>NORMAL</v>
      </c>
      <c r="J2687" s="211">
        <f>IFERROR(__xludf.DUMMYFUNCTION("""COMPUTED_VALUE"""),6.0)</f>
        <v>6</v>
      </c>
      <c r="K2687" s="210" t="str">
        <f>IFERROR(__xludf.DUMMYFUNCTION("""COMPUTED_VALUE"""),"11309 11205 11310 11184 11124 11308")</f>
        <v>11309 11205 11310 11184 11124 11308</v>
      </c>
      <c r="L2687" s="211">
        <f>IFERROR(__xludf.DUMMYFUNCTION("""COMPUTED_VALUE"""),60000.0)</f>
        <v>60000</v>
      </c>
      <c r="M2687" s="211"/>
      <c r="N2687" s="211"/>
      <c r="O2687" s="211"/>
      <c r="Q2687" s="210" t="str">
        <f>IFERROR(__xludf.DUMMYFUNCTION("""COMPUTED_VALUE"""),"1261318")</f>
        <v>1261318</v>
      </c>
      <c r="R2687" s="210" t="str">
        <f>IFERROR(__xludf.DUMMYFUNCTION("""COMPUTED_VALUE"""),"1261318")</f>
        <v>1261318</v>
      </c>
      <c r="S2687" s="211" t="str">
        <f>IFERROR(__xludf.DUMMYFUNCTION("""COMPUTED_VALUE"""),"01158be1")</f>
        <v>01158be1</v>
      </c>
      <c r="T2687" s="211" t="str">
        <f>IFERROR(__xludf.DUMMYFUNCTION("""COMPUTED_VALUE"""),"GYF")</f>
        <v>GYF</v>
      </c>
      <c r="U2687" s="215">
        <f>IFERROR(__xludf.DUMMYFUNCTION("""COMPUTED_VALUE"""),46079.674097222225)</f>
        <v>46079.6741</v>
      </c>
      <c r="V2687" s="211" t="str">
        <f>IFERROR(__xludf.DUMMYFUNCTION("""COMPUTED_VALUE"""),"Kangkungan, Lengkong, Kec. Mojoanyar, Kabupaten Mojokerto, Jawa Timur")</f>
        <v>Kangkungan, Lengkong, Kec. Mojoanyar, Kabupaten Mojokerto, Jawa Timur</v>
      </c>
      <c r="W2687" s="211" t="str">
        <f>IFERROR(__xludf.DUMMYFUNCTION("""COMPUTED_VALUE"""),"IN")</f>
        <v>IN</v>
      </c>
      <c r="X2687" s="211"/>
    </row>
    <row r="2688">
      <c r="A2688" s="210" t="str">
        <f>IFERROR(__xludf.DUMMYFUNCTION("""COMPUTED_VALUE"""),"1250918")</f>
        <v>1250918</v>
      </c>
      <c r="B2688" s="210" t="str">
        <f>IFERROR(__xludf.DUMMYFUNCTION("""COMPUTED_VALUE"""),"1250918")</f>
        <v>1250918</v>
      </c>
      <c r="C2688" s="213">
        <f>IFERROR(__xludf.DUMMYFUNCTION("""COMPUTED_VALUE"""),45996.612129629626)</f>
        <v>45996.61213</v>
      </c>
      <c r="D2688" s="211" t="str">
        <f>IFERROR(__xludf.DUMMYFUNCTION("""COMPUTED_VALUE"""),"b2b5f2c5")</f>
        <v>b2b5f2c5</v>
      </c>
      <c r="E2688" s="211" t="str">
        <f>IFERROR(__xludf.DUMMYFUNCTION("""COMPUTED_VALUE"""),"Bengkel Las Bpk. Ari")</f>
        <v>Bengkel Las Bpk. Ari</v>
      </c>
      <c r="F2688" s="211" t="str">
        <f>IFERROR(__xludf.DUMMYFUNCTION("""COMPUTED_VALUE"""),"8bdbe149")</f>
        <v>8bdbe149</v>
      </c>
      <c r="G2688" s="211" t="str">
        <f>IFERROR(__xludf.DUMMYFUNCTION("""COMPUTED_VALUE"""),"Oksigen 6m3")</f>
        <v>Oksigen 6m3</v>
      </c>
      <c r="H2688" s="211" t="str">
        <f>IFERROR(__xludf.DUMMYFUNCTION("""COMPUTED_VALUE"""),"IN")</f>
        <v>IN</v>
      </c>
      <c r="I2688" s="211" t="str">
        <f>IFERROR(__xludf.DUMMYFUNCTION("""COMPUTED_VALUE"""),"EMPTY")</f>
        <v>EMPTY</v>
      </c>
      <c r="J2688" s="211">
        <f>IFERROR(__xludf.DUMMYFUNCTION("""COMPUTED_VALUE"""),4.0)</f>
        <v>4</v>
      </c>
      <c r="K2688" s="210" t="str">
        <f>IFERROR(__xludf.DUMMYFUNCTION("""COMPUTED_VALUE"""),"11242 11287 11128 1170")</f>
        <v>11242 11287 11128 1170</v>
      </c>
      <c r="L2688" s="211">
        <f>IFERROR(__xludf.DUMMYFUNCTION("""COMPUTED_VALUE"""),0.0)</f>
        <v>0</v>
      </c>
      <c r="M2688" s="211"/>
      <c r="N2688" s="211"/>
      <c r="O2688" s="211"/>
      <c r="Q2688" s="210" t="str">
        <f>IFERROR(__xludf.DUMMYFUNCTION("""COMPUTED_VALUE"""),"0226262683")</f>
        <v>0226262683</v>
      </c>
      <c r="R2688" s="210" t="str">
        <f>IFERROR(__xludf.DUMMYFUNCTION("""COMPUTED_VALUE"""),"0226262683")</f>
        <v>0226262683</v>
      </c>
      <c r="S2688" s="211" t="str">
        <f>IFERROR(__xludf.DUMMYFUNCTION("""COMPUTED_VALUE"""),"8ea74d81")</f>
        <v>8ea74d81</v>
      </c>
      <c r="T2688" s="211" t="str">
        <f>IFERROR(__xludf.DUMMYFUNCTION("""COMPUTED_VALUE"""),"Bengkel Adi Putra")</f>
        <v>Bengkel Adi Putra</v>
      </c>
      <c r="U2688" s="215">
        <f>IFERROR(__xludf.DUMMYFUNCTION("""COMPUTED_VALUE"""),46080.378287037034)</f>
        <v>46080.37829</v>
      </c>
      <c r="V2688" s="211" t="str">
        <f>IFERROR(__xludf.DUMMYFUNCTION("""COMPUTED_VALUE"""),"Bypass Balongbendo")</f>
        <v>Bypass Balongbendo</v>
      </c>
      <c r="W2688" s="211" t="str">
        <f>IFERROR(__xludf.DUMMYFUNCTION("""COMPUTED_VALUE"""),"OUT")</f>
        <v>OUT</v>
      </c>
      <c r="X2688" s="211"/>
    </row>
    <row r="2689">
      <c r="A2689" s="210" t="str">
        <f>IFERROR(__xludf.DUMMYFUNCTION("""COMPUTED_VALUE"""),"1250918")</f>
        <v>1250918</v>
      </c>
      <c r="B2689" s="210" t="str">
        <f>IFERROR(__xludf.DUMMYFUNCTION("""COMPUTED_VALUE"""),"1250918")</f>
        <v>1250918</v>
      </c>
      <c r="C2689" s="213">
        <f>IFERROR(__xludf.DUMMYFUNCTION("""COMPUTED_VALUE"""),45996.612129629626)</f>
        <v>45996.61213</v>
      </c>
      <c r="D2689" s="211" t="str">
        <f>IFERROR(__xludf.DUMMYFUNCTION("""COMPUTED_VALUE"""),"b2b5f2c5")</f>
        <v>b2b5f2c5</v>
      </c>
      <c r="E2689" s="211" t="str">
        <f>IFERROR(__xludf.DUMMYFUNCTION("""COMPUTED_VALUE"""),"Bengkel Las Bpk. Ari")</f>
        <v>Bengkel Las Bpk. Ari</v>
      </c>
      <c r="F2689" s="211" t="str">
        <f>IFERROR(__xludf.DUMMYFUNCTION("""COMPUTED_VALUE"""),"ef306e54")</f>
        <v>ef306e54</v>
      </c>
      <c r="G2689" s="211" t="str">
        <f>IFERROR(__xludf.DUMMYFUNCTION("""COMPUTED_VALUE"""),"Karbondioksida")</f>
        <v>Karbondioksida</v>
      </c>
      <c r="H2689" s="211" t="str">
        <f>IFERROR(__xludf.DUMMYFUNCTION("""COMPUTED_VALUE"""),"IN")</f>
        <v>IN</v>
      </c>
      <c r="I2689" s="211" t="str">
        <f>IFERROR(__xludf.DUMMYFUNCTION("""COMPUTED_VALUE"""),"EMPTY")</f>
        <v>EMPTY</v>
      </c>
      <c r="J2689" s="211">
        <f>IFERROR(__xludf.DUMMYFUNCTION("""COMPUTED_VALUE"""),1.0)</f>
        <v>1</v>
      </c>
      <c r="K2689" s="210" t="str">
        <f>IFERROR(__xludf.DUMMYFUNCTION("""COMPUTED_VALUE"""),"13021")</f>
        <v>13021</v>
      </c>
      <c r="L2689" s="211">
        <f>IFERROR(__xludf.DUMMYFUNCTION("""COMPUTED_VALUE"""),0.0)</f>
        <v>0</v>
      </c>
      <c r="M2689" s="211"/>
      <c r="N2689" s="211"/>
      <c r="O2689" s="211"/>
      <c r="Q2689" s="211"/>
      <c r="R2689" s="211"/>
      <c r="S2689" s="211"/>
      <c r="T2689" s="211"/>
      <c r="U2689" s="211"/>
      <c r="V2689" s="211"/>
      <c r="W2689" s="211"/>
      <c r="X2689" s="211"/>
    </row>
    <row r="2690">
      <c r="A2690" s="210" t="str">
        <f>IFERROR(__xludf.DUMMYFUNCTION("""COMPUTED_VALUE"""),"1225381898")</f>
        <v>1225381898</v>
      </c>
      <c r="B2690" s="210" t="str">
        <f>IFERROR(__xludf.DUMMYFUNCTION("""COMPUTED_VALUE"""),"1225381898")</f>
        <v>1225381898</v>
      </c>
      <c r="C2690" s="213">
        <f>IFERROR(__xludf.DUMMYFUNCTION("""COMPUTED_VALUE"""),45996.614756944444)</f>
        <v>45996.61476</v>
      </c>
      <c r="D2690" s="211" t="str">
        <f>IFERROR(__xludf.DUMMYFUNCTION("""COMPUTED_VALUE"""),"01158be1")</f>
        <v>01158be1</v>
      </c>
      <c r="E2690" s="211" t="str">
        <f>IFERROR(__xludf.DUMMYFUNCTION("""COMPUTED_VALUE"""),"GYF")</f>
        <v>GYF</v>
      </c>
      <c r="F2690" s="211" t="str">
        <f>IFERROR(__xludf.DUMMYFUNCTION("""COMPUTED_VALUE"""),"8bdbe149")</f>
        <v>8bdbe149</v>
      </c>
      <c r="G2690" s="211" t="str">
        <f>IFERROR(__xludf.DUMMYFUNCTION("""COMPUTED_VALUE"""),"Oksigen 6m3")</f>
        <v>Oksigen 6m3</v>
      </c>
      <c r="H2690" s="211" t="str">
        <f>IFERROR(__xludf.DUMMYFUNCTION("""COMPUTED_VALUE"""),"OUT")</f>
        <v>OUT</v>
      </c>
      <c r="I2690" s="211" t="str">
        <f>IFERROR(__xludf.DUMMYFUNCTION("""COMPUTED_VALUE"""),"NORMAL")</f>
        <v>NORMAL</v>
      </c>
      <c r="J2690" s="211">
        <f>IFERROR(__xludf.DUMMYFUNCTION("""COMPUTED_VALUE"""),10.0)</f>
        <v>10</v>
      </c>
      <c r="K2690" s="210" t="str">
        <f>IFERROR(__xludf.DUMMYFUNCTION("""COMPUTED_VALUE"""),"11296 11267 11239 11206 11241 1170 11128 11287 11311 11312")</f>
        <v>11296 11267 11239 11206 11241 1170 11128 11287 11311 11312</v>
      </c>
      <c r="L2690" s="211">
        <f>IFERROR(__xludf.DUMMYFUNCTION("""COMPUTED_VALUE"""),45000.0)</f>
        <v>45000</v>
      </c>
      <c r="M2690" s="211"/>
      <c r="N2690" s="211"/>
      <c r="O2690" s="211"/>
      <c r="Q2690" s="210" t="str">
        <f>IFERROR(__xludf.DUMMYFUNCTION("""COMPUTED_VALUE"""),"022652690")</f>
        <v>022652690</v>
      </c>
      <c r="R2690" s="210" t="str">
        <f>IFERROR(__xludf.DUMMYFUNCTION("""COMPUTED_VALUE"""),"022652690")</f>
        <v>022652690</v>
      </c>
      <c r="S2690" s="211" t="str">
        <f>IFERROR(__xludf.DUMMYFUNCTION("""COMPUTED_VALUE"""),"de41c3e8")</f>
        <v>de41c3e8</v>
      </c>
      <c r="T2690" s="211" t="str">
        <f>IFERROR(__xludf.DUMMYFUNCTION("""COMPUTED_VALUE"""),"Bpk. Eko Mianto")</f>
        <v>Bpk. Eko Mianto</v>
      </c>
      <c r="U2690" s="215">
        <f>IFERROR(__xludf.DUMMYFUNCTION("""COMPUTED_VALUE"""),46080.37844907407)</f>
        <v>46080.37845</v>
      </c>
      <c r="V2690" s="211" t="str">
        <f>IFERROR(__xludf.DUMMYFUNCTION("""COMPUTED_VALUE"""),"The Graha Residen, Blok D4 No 33. Tropodo, Kec Krian, Kabupaten Sidaorjo, Jawa Timur 61262")</f>
        <v>The Graha Residen, Blok D4 No 33. Tropodo, Kec Krian, Kabupaten Sidaorjo, Jawa Timur 61262</v>
      </c>
      <c r="W2690" s="211" t="str">
        <f>IFERROR(__xludf.DUMMYFUNCTION("""COMPUTED_VALUE"""),"OUT")</f>
        <v>OUT</v>
      </c>
      <c r="X2690" s="211"/>
    </row>
    <row r="2691">
      <c r="A2691" s="210" t="str">
        <f>IFERROR(__xludf.DUMMYFUNCTION("""COMPUTED_VALUE"""),"1250917")</f>
        <v>1250917</v>
      </c>
      <c r="B2691" s="210" t="str">
        <f>IFERROR(__xludf.DUMMYFUNCTION("""COMPUTED_VALUE"""),"1250917")</f>
        <v>1250917</v>
      </c>
      <c r="C2691" s="213">
        <f>IFERROR(__xludf.DUMMYFUNCTION("""COMPUTED_VALUE"""),45996.619525462964)</f>
        <v>45996.61953</v>
      </c>
      <c r="D2691" s="211" t="str">
        <f>IFERROR(__xludf.DUMMYFUNCTION("""COMPUTED_VALUE"""),"ba97d58d")</f>
        <v>ba97d58d</v>
      </c>
      <c r="E2691" s="211" t="str">
        <f>IFERROR(__xludf.DUMMYFUNCTION("""COMPUTED_VALUE"""),"Bengkel Citra Mojosari")</f>
        <v>Bengkel Citra Mojosari</v>
      </c>
      <c r="F2691" s="211" t="str">
        <f>IFERROR(__xludf.DUMMYFUNCTION("""COMPUTED_VALUE"""),"7d2764f1")</f>
        <v>7d2764f1</v>
      </c>
      <c r="G2691" s="211" t="str">
        <f>IFERROR(__xludf.DUMMYFUNCTION("""COMPUTED_VALUE"""),"Oksigen 7m3")</f>
        <v>Oksigen 7m3</v>
      </c>
      <c r="H2691" s="211" t="str">
        <f>IFERROR(__xludf.DUMMYFUNCTION("""COMPUTED_VALUE"""),"IN")</f>
        <v>IN</v>
      </c>
      <c r="I2691" s="211" t="str">
        <f>IFERROR(__xludf.DUMMYFUNCTION("""COMPUTED_VALUE"""),"EMPTY")</f>
        <v>EMPTY</v>
      </c>
      <c r="J2691" s="211">
        <f>IFERROR(__xludf.DUMMYFUNCTION("""COMPUTED_VALUE"""),4.0)</f>
        <v>4</v>
      </c>
      <c r="K2691" s="210" t="str">
        <f>IFERROR(__xludf.DUMMYFUNCTION("""COMPUTED_VALUE"""),"11144 11145 11155 11150")</f>
        <v>11144 11145 11155 11150</v>
      </c>
      <c r="L2691" s="211">
        <f>IFERROR(__xludf.DUMMYFUNCTION("""COMPUTED_VALUE"""),0.0)</f>
        <v>0</v>
      </c>
      <c r="M2691" s="211"/>
      <c r="N2691" s="211"/>
      <c r="O2691" s="211"/>
      <c r="Q2691" s="210" t="str">
        <f>IFERROR(__xludf.DUMMYFUNCTION("""COMPUTED_VALUE"""),"0226162691")</f>
        <v>0226162691</v>
      </c>
      <c r="R2691" s="210" t="str">
        <f>IFERROR(__xludf.DUMMYFUNCTION("""COMPUTED_VALUE"""),"0226162691")</f>
        <v>0226162691</v>
      </c>
      <c r="S2691" s="211" t="str">
        <f>IFERROR(__xludf.DUMMYFUNCTION("""COMPUTED_VALUE"""),"eec2e801")</f>
        <v>eec2e801</v>
      </c>
      <c r="T2691" s="211" t="str">
        <f>IFERROR(__xludf.DUMMYFUNCTION("""COMPUTED_VALUE"""),"Mitra Wood Sejahtera")</f>
        <v>Mitra Wood Sejahtera</v>
      </c>
      <c r="U2691" s="215">
        <f>IFERROR(__xludf.DUMMYFUNCTION("""COMPUTED_VALUE"""),46080.38028935185)</f>
        <v>46080.38029</v>
      </c>
      <c r="V2691" s="211" t="str">
        <f>IFERROR(__xludf.DUMMYFUNCTION("""COMPUTED_VALUE"""),"Jl.cungkling, Jl. Tanggungan, Nanom Kidul, Lebaniwaras, Kec. Wringinanom, Kabupaten Gresik, Jawa Timur 61176")</f>
        <v>Jl.cungkling, Jl. Tanggungan, Nanom Kidul, Lebaniwaras, Kec. Wringinanom, Kabupaten Gresik, Jawa Timur 61176</v>
      </c>
      <c r="W2691" s="211" t="str">
        <f>IFERROR(__xludf.DUMMYFUNCTION("""COMPUTED_VALUE"""),"OUT")</f>
        <v>OUT</v>
      </c>
      <c r="X2691" s="211"/>
    </row>
    <row r="2692">
      <c r="A2692" s="210" t="str">
        <f>IFERROR(__xludf.DUMMYFUNCTION("""COMPUTED_VALUE"""),"1250914")</f>
        <v>1250914</v>
      </c>
      <c r="B2692" s="210" t="str">
        <f>IFERROR(__xludf.DUMMYFUNCTION("""COMPUTED_VALUE"""),"1250914")</f>
        <v>1250914</v>
      </c>
      <c r="C2692" s="213">
        <f>IFERROR(__xludf.DUMMYFUNCTION("""COMPUTED_VALUE"""),45996.69857638889)</f>
        <v>45996.69858</v>
      </c>
      <c r="D2692" s="211" t="str">
        <f>IFERROR(__xludf.DUMMYFUNCTION("""COMPUTED_VALUE"""),"01158be1")</f>
        <v>01158be1</v>
      </c>
      <c r="E2692" s="211" t="str">
        <f>IFERROR(__xludf.DUMMYFUNCTION("""COMPUTED_VALUE"""),"GYF")</f>
        <v>GYF</v>
      </c>
      <c r="F2692" s="211" t="str">
        <f>IFERROR(__xludf.DUMMYFUNCTION("""COMPUTED_VALUE"""),"8bdbe149")</f>
        <v>8bdbe149</v>
      </c>
      <c r="G2692" s="211" t="str">
        <f>IFERROR(__xludf.DUMMYFUNCTION("""COMPUTED_VALUE"""),"Oksigen 6m3")</f>
        <v>Oksigen 6m3</v>
      </c>
      <c r="H2692" s="211" t="str">
        <f>IFERROR(__xludf.DUMMYFUNCTION("""COMPUTED_VALUE"""),"IN")</f>
        <v>IN</v>
      </c>
      <c r="I2692" s="211" t="str">
        <f>IFERROR(__xludf.DUMMYFUNCTION("""COMPUTED_VALUE"""),"EMPTY")</f>
        <v>EMPTY</v>
      </c>
      <c r="J2692" s="211">
        <f>IFERROR(__xludf.DUMMYFUNCTION("""COMPUTED_VALUE"""),7.0)</f>
        <v>7</v>
      </c>
      <c r="K2692" s="210" t="str">
        <f>IFERROR(__xludf.DUMMYFUNCTION("""COMPUTED_VALUE"""),"1156 11289 11262 11279 11216 11250 1131")</f>
        <v>1156 11289 11262 11279 11216 11250 1131</v>
      </c>
      <c r="L2692" s="211">
        <f>IFERROR(__xludf.DUMMYFUNCTION("""COMPUTED_VALUE"""),0.0)</f>
        <v>0</v>
      </c>
      <c r="M2692" s="211"/>
      <c r="N2692" s="211"/>
      <c r="O2692" s="211"/>
      <c r="Q2692" s="210" t="str">
        <f>IFERROR(__xludf.DUMMYFUNCTION("""COMPUTED_VALUE"""),"0226172692")</f>
        <v>0226172692</v>
      </c>
      <c r="R2692" s="210" t="str">
        <f>IFERROR(__xludf.DUMMYFUNCTION("""COMPUTED_VALUE"""),"0226172692")</f>
        <v>0226172692</v>
      </c>
      <c r="S2692" s="211" t="str">
        <f>IFERROR(__xludf.DUMMYFUNCTION("""COMPUTED_VALUE"""),"f8a982a4")</f>
        <v>f8a982a4</v>
      </c>
      <c r="T2692" s="211" t="str">
        <f>IFERROR(__xludf.DUMMYFUNCTION("""COMPUTED_VALUE"""),"Bpk. Nasir")</f>
        <v>Bpk. Nasir</v>
      </c>
      <c r="U2692" s="215">
        <f>IFERROR(__xludf.DUMMYFUNCTION("""COMPUTED_VALUE"""),46080.57131944445)</f>
        <v>46080.57132</v>
      </c>
      <c r="V2692" s="211" t="str">
        <f>IFERROR(__xludf.DUMMYFUNCTION("""COMPUTED_VALUE"""),"JL Raya Pacet, Dsn. Janti Ds. Jatilangkung RT.01 RW. 04. Kabupaten. Mojokerto Pungging, Jawa Timur")</f>
        <v>JL Raya Pacet, Dsn. Janti Ds. Jatilangkung RT.01 RW. 04. Kabupaten. Mojokerto Pungging, Jawa Timur</v>
      </c>
      <c r="W2692" s="211" t="str">
        <f>IFERROR(__xludf.DUMMYFUNCTION("""COMPUTED_VALUE"""),"OUT")</f>
        <v>OUT</v>
      </c>
      <c r="X2692" s="211"/>
    </row>
    <row r="2693">
      <c r="A2693" s="210" t="str">
        <f>IFERROR(__xludf.DUMMYFUNCTION("""COMPUTED_VALUE"""),"122531900")</f>
        <v>122531900</v>
      </c>
      <c r="B2693" s="210" t="str">
        <f>IFERROR(__xludf.DUMMYFUNCTION("""COMPUTED_VALUE"""),"122531900")</f>
        <v>122531900</v>
      </c>
      <c r="C2693" s="213">
        <f>IFERROR(__xludf.DUMMYFUNCTION("""COMPUTED_VALUE"""),45997.371724537035)</f>
        <v>45997.37172</v>
      </c>
      <c r="D2693" s="211" t="str">
        <f>IFERROR(__xludf.DUMMYFUNCTION("""COMPUTED_VALUE"""),"3a48ba8b")</f>
        <v>3a48ba8b</v>
      </c>
      <c r="E2693" s="211" t="str">
        <f>IFERROR(__xludf.DUMMYFUNCTION("""COMPUTED_VALUE"""),"Bpk. Kacung")</f>
        <v>Bpk. Kacung</v>
      </c>
      <c r="F2693" s="211" t="str">
        <f>IFERROR(__xludf.DUMMYFUNCTION("""COMPUTED_VALUE"""),"be525f3b")</f>
        <v>be525f3b</v>
      </c>
      <c r="G2693" s="211" t="str">
        <f>IFERROR(__xludf.DUMMYFUNCTION("""COMPUTED_VALUE"""),"LPG 12kg")</f>
        <v>LPG 12kg</v>
      </c>
      <c r="H2693" s="211" t="str">
        <f>IFERROR(__xludf.DUMMYFUNCTION("""COMPUTED_VALUE"""),"OUT")</f>
        <v>OUT</v>
      </c>
      <c r="I2693" s="211" t="str">
        <f>IFERROR(__xludf.DUMMYFUNCTION("""COMPUTED_VALUE"""),"NORMAL")</f>
        <v>NORMAL</v>
      </c>
      <c r="J2693" s="211">
        <f>IFERROR(__xludf.DUMMYFUNCTION("""COMPUTED_VALUE"""),2.0)</f>
        <v>2</v>
      </c>
      <c r="K2693" s="210" t="str">
        <f>IFERROR(__xludf.DUMMYFUNCTION("""COMPUTED_VALUE"""),"01 02")</f>
        <v>01 02</v>
      </c>
      <c r="L2693" s="211">
        <f>IFERROR(__xludf.DUMMYFUNCTION("""COMPUTED_VALUE"""),215000.0)</f>
        <v>215000</v>
      </c>
      <c r="M2693" s="211"/>
      <c r="N2693" s="211"/>
      <c r="O2693" s="211"/>
      <c r="Q2693" s="210" t="str">
        <f>IFERROR(__xludf.DUMMYFUNCTION("""COMPUTED_VALUE"""),"1261316")</f>
        <v>1261316</v>
      </c>
      <c r="R2693" s="210" t="str">
        <f>IFERROR(__xludf.DUMMYFUNCTION("""COMPUTED_VALUE"""),"1261316")</f>
        <v>1261316</v>
      </c>
      <c r="S2693" s="211" t="str">
        <f>IFERROR(__xludf.DUMMYFUNCTION("""COMPUTED_VALUE"""),"b2b5f2c5")</f>
        <v>b2b5f2c5</v>
      </c>
      <c r="T2693" s="211" t="str">
        <f>IFERROR(__xludf.DUMMYFUNCTION("""COMPUTED_VALUE"""),"Bengkel Las Bpk. Ari")</f>
        <v>Bengkel Las Bpk. Ari</v>
      </c>
      <c r="U2693" s="215">
        <f>IFERROR(__xludf.DUMMYFUNCTION("""COMPUTED_VALUE"""),46080.632835648146)</f>
        <v>46080.63284</v>
      </c>
      <c r="V2693" s="211" t="str">
        <f>IFERROR(__xludf.DUMMYFUNCTION("""COMPUTED_VALUE"""),"Sumber Kembar, Wonodadi, Kec. Kutorejo, Kabupaten Mojokerto, Jawa Timur")</f>
        <v>Sumber Kembar, Wonodadi, Kec. Kutorejo, Kabupaten Mojokerto, Jawa Timur</v>
      </c>
      <c r="W2693" s="211" t="str">
        <f>IFERROR(__xludf.DUMMYFUNCTION("""COMPUTED_VALUE"""),"IN")</f>
        <v>IN</v>
      </c>
      <c r="X2693" s="211"/>
    </row>
    <row r="2694">
      <c r="A2694" s="210" t="str">
        <f>IFERROR(__xludf.DUMMYFUNCTION("""COMPUTED_VALUE"""),"1250916")</f>
        <v>1250916</v>
      </c>
      <c r="B2694" s="210" t="str">
        <f>IFERROR(__xludf.DUMMYFUNCTION("""COMPUTED_VALUE"""),"1250916")</f>
        <v>1250916</v>
      </c>
      <c r="C2694" s="213">
        <f>IFERROR(__xludf.DUMMYFUNCTION("""COMPUTED_VALUE"""),45997.51346064815)</f>
        <v>45997.51346</v>
      </c>
      <c r="D2694" s="211" t="str">
        <f>IFERROR(__xludf.DUMMYFUNCTION("""COMPUTED_VALUE"""),"3b04351a")</f>
        <v>3b04351a</v>
      </c>
      <c r="E2694" s="211" t="str">
        <f>IFERROR(__xludf.DUMMYFUNCTION("""COMPUTED_VALUE"""),"CV Usaha Logam Jaya")</f>
        <v>CV Usaha Logam Jaya</v>
      </c>
      <c r="F2694" s="211" t="str">
        <f>IFERROR(__xludf.DUMMYFUNCTION("""COMPUTED_VALUE"""),"8bdbe149")</f>
        <v>8bdbe149</v>
      </c>
      <c r="G2694" s="211" t="str">
        <f>IFERROR(__xludf.DUMMYFUNCTION("""COMPUTED_VALUE"""),"Oksigen 6m3")</f>
        <v>Oksigen 6m3</v>
      </c>
      <c r="H2694" s="211" t="str">
        <f>IFERROR(__xludf.DUMMYFUNCTION("""COMPUTED_VALUE"""),"IN")</f>
        <v>IN</v>
      </c>
      <c r="I2694" s="211" t="str">
        <f>IFERROR(__xludf.DUMMYFUNCTION("""COMPUTED_VALUE"""),"EMPTY")</f>
        <v>EMPTY</v>
      </c>
      <c r="J2694" s="211">
        <f>IFERROR(__xludf.DUMMYFUNCTION("""COMPUTED_VALUE"""),10.0)</f>
        <v>10</v>
      </c>
      <c r="K2694" s="210" t="str">
        <f>IFERROR(__xludf.DUMMYFUNCTION("""COMPUTED_VALUE"""),"1153 11120 1197 11197 11109 1198 11256 11196 11248 11284")</f>
        <v>1153 11120 1197 11197 11109 1198 11256 11196 11248 11284</v>
      </c>
      <c r="L2694" s="211">
        <f>IFERROR(__xludf.DUMMYFUNCTION("""COMPUTED_VALUE"""),0.0)</f>
        <v>0</v>
      </c>
      <c r="M2694" s="211"/>
      <c r="N2694" s="211"/>
      <c r="O2694" s="211"/>
      <c r="Q2694" s="210" t="str">
        <f>IFERROR(__xludf.DUMMYFUNCTION("""COMPUTED_VALUE"""),"1261315")</f>
        <v>1261315</v>
      </c>
      <c r="R2694" s="210" t="str">
        <f>IFERROR(__xludf.DUMMYFUNCTION("""COMPUTED_VALUE"""),"1261315")</f>
        <v>1261315</v>
      </c>
      <c r="S2694" s="211" t="str">
        <f>IFERROR(__xludf.DUMMYFUNCTION("""COMPUTED_VALUE"""),"de41c3e8")</f>
        <v>de41c3e8</v>
      </c>
      <c r="T2694" s="211" t="str">
        <f>IFERROR(__xludf.DUMMYFUNCTION("""COMPUTED_VALUE"""),"Bpk. Eko Mianto")</f>
        <v>Bpk. Eko Mianto</v>
      </c>
      <c r="U2694" s="215">
        <f>IFERROR(__xludf.DUMMYFUNCTION("""COMPUTED_VALUE"""),46080.63392361111)</f>
        <v>46080.63392</v>
      </c>
      <c r="V2694" s="211" t="str">
        <f>IFERROR(__xludf.DUMMYFUNCTION("""COMPUTED_VALUE"""),"The Graha Residen, Blok D4 No 33. Tropodo, Kec Krian, Kabupaten Sidaorjo, Jawa Timur 61262")</f>
        <v>The Graha Residen, Blok D4 No 33. Tropodo, Kec Krian, Kabupaten Sidaorjo, Jawa Timur 61262</v>
      </c>
      <c r="W2694" s="211" t="str">
        <f>IFERROR(__xludf.DUMMYFUNCTION("""COMPUTED_VALUE"""),"IN")</f>
        <v>IN</v>
      </c>
      <c r="X2694" s="211"/>
    </row>
    <row r="2695">
      <c r="A2695" s="210" t="str">
        <f>IFERROR(__xludf.DUMMYFUNCTION("""COMPUTED_VALUE"""),"1250916")</f>
        <v>1250916</v>
      </c>
      <c r="B2695" s="210" t="str">
        <f>IFERROR(__xludf.DUMMYFUNCTION("""COMPUTED_VALUE"""),"1250916")</f>
        <v>1250916</v>
      </c>
      <c r="C2695" s="213">
        <f>IFERROR(__xludf.DUMMYFUNCTION("""COMPUTED_VALUE"""),45997.51346064815)</f>
        <v>45997.51346</v>
      </c>
      <c r="D2695" s="211" t="str">
        <f>IFERROR(__xludf.DUMMYFUNCTION("""COMPUTED_VALUE"""),"3b04351a")</f>
        <v>3b04351a</v>
      </c>
      <c r="E2695" s="211" t="str">
        <f>IFERROR(__xludf.DUMMYFUNCTION("""COMPUTED_VALUE"""),"CV Usaha Logam Jaya")</f>
        <v>CV Usaha Logam Jaya</v>
      </c>
      <c r="F2695" s="211" t="str">
        <f>IFERROR(__xludf.DUMMYFUNCTION("""COMPUTED_VALUE"""),"7d2764f1")</f>
        <v>7d2764f1</v>
      </c>
      <c r="G2695" s="211" t="str">
        <f>IFERROR(__xludf.DUMMYFUNCTION("""COMPUTED_VALUE"""),"Oksigen 7m3")</f>
        <v>Oksigen 7m3</v>
      </c>
      <c r="H2695" s="211" t="str">
        <f>IFERROR(__xludf.DUMMYFUNCTION("""COMPUTED_VALUE"""),"IN")</f>
        <v>IN</v>
      </c>
      <c r="I2695" s="211" t="str">
        <f>IFERROR(__xludf.DUMMYFUNCTION("""COMPUTED_VALUE"""),"EMPTY")</f>
        <v>EMPTY</v>
      </c>
      <c r="J2695" s="211">
        <f>IFERROR(__xludf.DUMMYFUNCTION("""COMPUTED_VALUE"""),3.0)</f>
        <v>3</v>
      </c>
      <c r="K2695" s="210" t="str">
        <f>IFERROR(__xludf.DUMMYFUNCTION("""COMPUTED_VALUE"""),"11213 11227 11214")</f>
        <v>11213 11227 11214</v>
      </c>
      <c r="L2695" s="211">
        <f>IFERROR(__xludf.DUMMYFUNCTION("""COMPUTED_VALUE"""),0.0)</f>
        <v>0</v>
      </c>
      <c r="M2695" s="211"/>
      <c r="N2695" s="211"/>
      <c r="O2695" s="211"/>
      <c r="Q2695" s="210" t="str">
        <f>IFERROR(__xludf.DUMMYFUNCTION("""COMPUTED_VALUE"""),"1261314")</f>
        <v>1261314</v>
      </c>
      <c r="R2695" s="210" t="str">
        <f>IFERROR(__xludf.DUMMYFUNCTION("""COMPUTED_VALUE"""),"1261314")</f>
        <v>1261314</v>
      </c>
      <c r="S2695" s="211" t="str">
        <f>IFERROR(__xludf.DUMMYFUNCTION("""COMPUTED_VALUE"""),"ba97d58d")</f>
        <v>ba97d58d</v>
      </c>
      <c r="T2695" s="211" t="str">
        <f>IFERROR(__xludf.DUMMYFUNCTION("""COMPUTED_VALUE"""),"Bengkel Citra Mojosari")</f>
        <v>Bengkel Citra Mojosari</v>
      </c>
      <c r="U2695" s="215">
        <f>IFERROR(__xludf.DUMMYFUNCTION("""COMPUTED_VALUE"""),46080.634201388886)</f>
        <v>46080.6342</v>
      </c>
      <c r="V2695" s="211" t="str">
        <f>IFERROR(__xludf.DUMMYFUNCTION("""COMPUTED_VALUE"""),"Jl. Raden Wijaya, Kemloko, Jotangan, Kec. Mojosari, Kabupaten Mojokerto, Jawa Timur 61382")</f>
        <v>Jl. Raden Wijaya, Kemloko, Jotangan, Kec. Mojosari, Kabupaten Mojokerto, Jawa Timur 61382</v>
      </c>
      <c r="W2695" s="211" t="str">
        <f>IFERROR(__xludf.DUMMYFUNCTION("""COMPUTED_VALUE"""),"IN")</f>
        <v>IN</v>
      </c>
      <c r="X2695" s="211"/>
    </row>
    <row r="2696">
      <c r="A2696" s="210" t="str">
        <f>IFERROR(__xludf.DUMMYFUNCTION("""COMPUTED_VALUE"""),"1250915")</f>
        <v>1250915</v>
      </c>
      <c r="B2696" s="210" t="str">
        <f>IFERROR(__xludf.DUMMYFUNCTION("""COMPUTED_VALUE"""),"1250915")</f>
        <v>1250915</v>
      </c>
      <c r="C2696" s="213">
        <f>IFERROR(__xludf.DUMMYFUNCTION("""COMPUTED_VALUE"""),45997.51527777778)</f>
        <v>45997.51528</v>
      </c>
      <c r="D2696" s="211" t="str">
        <f>IFERROR(__xludf.DUMMYFUNCTION("""COMPUTED_VALUE"""),"8f5ebaea")</f>
        <v>8f5ebaea</v>
      </c>
      <c r="E2696" s="211" t="str">
        <f>IFERROR(__xludf.DUMMYFUNCTION("""COMPUTED_VALUE"""),"PT Hua Zong Mesindo")</f>
        <v>PT Hua Zong Mesindo</v>
      </c>
      <c r="F2696" s="211" t="str">
        <f>IFERROR(__xludf.DUMMYFUNCTION("""COMPUTED_VALUE"""),"66af7c72")</f>
        <v>66af7c72</v>
      </c>
      <c r="G2696" s="211" t="str">
        <f>IFERROR(__xludf.DUMMYFUNCTION("""COMPUTED_VALUE"""),"Argon 6m3")</f>
        <v>Argon 6m3</v>
      </c>
      <c r="H2696" s="211" t="str">
        <f>IFERROR(__xludf.DUMMYFUNCTION("""COMPUTED_VALUE"""),"IN")</f>
        <v>IN</v>
      </c>
      <c r="I2696" s="211" t="str">
        <f>IFERROR(__xludf.DUMMYFUNCTION("""COMPUTED_VALUE"""),"EMPTY")</f>
        <v>EMPTY</v>
      </c>
      <c r="J2696" s="211">
        <f>IFERROR(__xludf.DUMMYFUNCTION("""COMPUTED_VALUE"""),2.0)</f>
        <v>2</v>
      </c>
      <c r="K2696" s="210" t="str">
        <f>IFERROR(__xludf.DUMMYFUNCTION("""COMPUTED_VALUE"""),"12065 12006")</f>
        <v>12065 12006</v>
      </c>
      <c r="L2696" s="211">
        <f>IFERROR(__xludf.DUMMYFUNCTION("""COMPUTED_VALUE"""),0.0)</f>
        <v>0</v>
      </c>
      <c r="M2696" s="211"/>
      <c r="N2696" s="211"/>
      <c r="O2696" s="211"/>
      <c r="Q2696" s="210" t="str">
        <f>IFERROR(__xludf.DUMMYFUNCTION("""COMPUTED_VALUE"""),"0226132693")</f>
        <v>0226132693</v>
      </c>
      <c r="R2696" s="210" t="str">
        <f>IFERROR(__xludf.DUMMYFUNCTION("""COMPUTED_VALUE"""),"0226132693")</f>
        <v>0226132693</v>
      </c>
      <c r="S2696" s="211" t="str">
        <f>IFERROR(__xludf.DUMMYFUNCTION("""COMPUTED_VALUE"""),"ba97d58d")</f>
        <v>ba97d58d</v>
      </c>
      <c r="T2696" s="211" t="str">
        <f>IFERROR(__xludf.DUMMYFUNCTION("""COMPUTED_VALUE"""),"Bengkel Citra Mojosari")</f>
        <v>Bengkel Citra Mojosari</v>
      </c>
      <c r="U2696" s="215">
        <f>IFERROR(__xludf.DUMMYFUNCTION("""COMPUTED_VALUE"""),46080.37835648148)</f>
        <v>46080.37836</v>
      </c>
      <c r="V2696" s="211" t="str">
        <f>IFERROR(__xludf.DUMMYFUNCTION("""COMPUTED_VALUE"""),"Jl. Raden Wijaya, Kemloko, Jotangan, Kec. Mojosari, Kabupaten Mojokerto, Jawa Timur 61382")</f>
        <v>Jl. Raden Wijaya, Kemloko, Jotangan, Kec. Mojosari, Kabupaten Mojokerto, Jawa Timur 61382</v>
      </c>
      <c r="W2696" s="211" t="str">
        <f>IFERROR(__xludf.DUMMYFUNCTION("""COMPUTED_VALUE"""),"OUT")</f>
        <v>OUT</v>
      </c>
      <c r="X2696" s="211"/>
    </row>
    <row r="2697">
      <c r="A2697" s="210" t="str">
        <f>IFERROR(__xludf.DUMMYFUNCTION("""COMPUTED_VALUE"""),"1250915")</f>
        <v>1250915</v>
      </c>
      <c r="B2697" s="210" t="str">
        <f>IFERROR(__xludf.DUMMYFUNCTION("""COMPUTED_VALUE"""),"1250915")</f>
        <v>1250915</v>
      </c>
      <c r="C2697" s="213">
        <f>IFERROR(__xludf.DUMMYFUNCTION("""COMPUTED_VALUE"""),45997.51527777778)</f>
        <v>45997.51528</v>
      </c>
      <c r="D2697" s="211" t="str">
        <f>IFERROR(__xludf.DUMMYFUNCTION("""COMPUTED_VALUE"""),"8f5ebaea")</f>
        <v>8f5ebaea</v>
      </c>
      <c r="E2697" s="211" t="str">
        <f>IFERROR(__xludf.DUMMYFUNCTION("""COMPUTED_VALUE"""),"PT Hua Zong Mesindo")</f>
        <v>PT Hua Zong Mesindo</v>
      </c>
      <c r="F2697" s="211" t="str">
        <f>IFERROR(__xludf.DUMMYFUNCTION("""COMPUTED_VALUE"""),"8bdbe149")</f>
        <v>8bdbe149</v>
      </c>
      <c r="G2697" s="211" t="str">
        <f>IFERROR(__xludf.DUMMYFUNCTION("""COMPUTED_VALUE"""),"Oksigen 6m3")</f>
        <v>Oksigen 6m3</v>
      </c>
      <c r="H2697" s="211" t="str">
        <f>IFERROR(__xludf.DUMMYFUNCTION("""COMPUTED_VALUE"""),"IN")</f>
        <v>IN</v>
      </c>
      <c r="I2697" s="211" t="str">
        <f>IFERROR(__xludf.DUMMYFUNCTION("""COMPUTED_VALUE"""),"EMPTY")</f>
        <v>EMPTY</v>
      </c>
      <c r="J2697" s="211">
        <f>IFERROR(__xludf.DUMMYFUNCTION("""COMPUTED_VALUE"""),2.0)</f>
        <v>2</v>
      </c>
      <c r="K2697" s="210" t="str">
        <f>IFERROR(__xludf.DUMMYFUNCTION("""COMPUTED_VALUE"""),"11278 1106")</f>
        <v>11278 1106</v>
      </c>
      <c r="L2697" s="211">
        <f>IFERROR(__xludf.DUMMYFUNCTION("""COMPUTED_VALUE"""),0.0)</f>
        <v>0</v>
      </c>
      <c r="M2697" s="211"/>
      <c r="N2697" s="211"/>
      <c r="O2697" s="211"/>
      <c r="Q2697" s="210" t="str">
        <f>IFERROR(__xludf.DUMMYFUNCTION("""COMPUTED_VALUE"""),"1261331")</f>
        <v>1261331</v>
      </c>
      <c r="R2697" s="210" t="str">
        <f>IFERROR(__xludf.DUMMYFUNCTION("""COMPUTED_VALUE"""),"1261331")</f>
        <v>1261331</v>
      </c>
      <c r="S2697" s="211" t="str">
        <f>IFERROR(__xludf.DUMMYFUNCTION("""COMPUTED_VALUE"""),"057b6b99")</f>
        <v>057b6b99</v>
      </c>
      <c r="T2697" s="211" t="str">
        <f>IFERROR(__xludf.DUMMYFUNCTION("""COMPUTED_VALUE"""),"PT Anuta Utama Transport")</f>
        <v>PT Anuta Utama Transport</v>
      </c>
      <c r="U2697" s="215">
        <f>IFERROR(__xludf.DUMMYFUNCTION("""COMPUTED_VALUE"""),46080.677511574075)</f>
        <v>46080.67751</v>
      </c>
      <c r="V2697" s="211" t="str">
        <f>IFERROR(__xludf.DUMMYFUNCTION("""COMPUTED_VALUE"""),"Jl Raya ketimang KM 10, Kec. Wonoayu, Kab. Sidoarjo, Jawa Timur")</f>
        <v>Jl Raya ketimang KM 10, Kec. Wonoayu, Kab. Sidoarjo, Jawa Timur</v>
      </c>
      <c r="W2697" s="211" t="str">
        <f>IFERROR(__xludf.DUMMYFUNCTION("""COMPUTED_VALUE"""),"IN")</f>
        <v>IN</v>
      </c>
      <c r="X2697" s="211"/>
    </row>
    <row r="2698">
      <c r="A2698" s="210" t="str">
        <f>IFERROR(__xludf.DUMMYFUNCTION("""COMPUTED_VALUE"""),"1250912")</f>
        <v>1250912</v>
      </c>
      <c r="B2698" s="210" t="str">
        <f>IFERROR(__xludf.DUMMYFUNCTION("""COMPUTED_VALUE"""),"1250912")</f>
        <v>1250912</v>
      </c>
      <c r="C2698" s="213">
        <f>IFERROR(__xludf.DUMMYFUNCTION("""COMPUTED_VALUE"""),45997.515914351854)</f>
        <v>45997.51591</v>
      </c>
      <c r="D2698" s="211" t="str">
        <f>IFERROR(__xludf.DUMMYFUNCTION("""COMPUTED_VALUE"""),"8ea74d81")</f>
        <v>8ea74d81</v>
      </c>
      <c r="E2698" s="211" t="str">
        <f>IFERROR(__xludf.DUMMYFUNCTION("""COMPUTED_VALUE"""),"Bengkel Adi Putra")</f>
        <v>Bengkel Adi Putra</v>
      </c>
      <c r="F2698" s="211" t="str">
        <f>IFERROR(__xludf.DUMMYFUNCTION("""COMPUTED_VALUE"""),"8bdbe149")</f>
        <v>8bdbe149</v>
      </c>
      <c r="G2698" s="211" t="str">
        <f>IFERROR(__xludf.DUMMYFUNCTION("""COMPUTED_VALUE"""),"Oksigen 6m3")</f>
        <v>Oksigen 6m3</v>
      </c>
      <c r="H2698" s="211" t="str">
        <f>IFERROR(__xludf.DUMMYFUNCTION("""COMPUTED_VALUE"""),"IN")</f>
        <v>IN</v>
      </c>
      <c r="I2698" s="211" t="str">
        <f>IFERROR(__xludf.DUMMYFUNCTION("""COMPUTED_VALUE"""),"EMPTY")</f>
        <v>EMPTY</v>
      </c>
      <c r="J2698" s="211">
        <f>IFERROR(__xludf.DUMMYFUNCTION("""COMPUTED_VALUE"""),1.0)</f>
        <v>1</v>
      </c>
      <c r="K2698" s="210" t="str">
        <f>IFERROR(__xludf.DUMMYFUNCTION("""COMPUTED_VALUE"""),"11185")</f>
        <v>11185</v>
      </c>
      <c r="L2698" s="211">
        <f>IFERROR(__xludf.DUMMYFUNCTION("""COMPUTED_VALUE"""),0.0)</f>
        <v>0</v>
      </c>
      <c r="M2698" s="211"/>
      <c r="N2698" s="211"/>
      <c r="O2698" s="211"/>
      <c r="Q2698" s="210" t="str">
        <f>IFERROR(__xludf.DUMMYFUNCTION("""COMPUTED_VALUE"""),"1261320")</f>
        <v>1261320</v>
      </c>
      <c r="R2698" s="210" t="str">
        <f>IFERROR(__xludf.DUMMYFUNCTION("""COMPUTED_VALUE"""),"1261320")</f>
        <v>1261320</v>
      </c>
      <c r="S2698" s="211" t="str">
        <f>IFERROR(__xludf.DUMMYFUNCTION("""COMPUTED_VALUE"""),"f8a982a4")</f>
        <v>f8a982a4</v>
      </c>
      <c r="T2698" s="211" t="str">
        <f>IFERROR(__xludf.DUMMYFUNCTION("""COMPUTED_VALUE"""),"Bpk. Nasir")</f>
        <v>Bpk. Nasir</v>
      </c>
      <c r="U2698" s="215">
        <f>IFERROR(__xludf.DUMMYFUNCTION("""COMPUTED_VALUE"""),46080.67851851852)</f>
        <v>46080.67852</v>
      </c>
      <c r="V2698" s="211" t="str">
        <f>IFERROR(__xludf.DUMMYFUNCTION("""COMPUTED_VALUE"""),"JL Raya Pacet, Dsn. Janti Ds. Jatilangkung RT.01 RW. 04. Kabupaten. Mojokerto Pungging, Jawa Timur")</f>
        <v>JL Raya Pacet, Dsn. Janti Ds. Jatilangkung RT.01 RW. 04. Kabupaten. Mojokerto Pungging, Jawa Timur</v>
      </c>
      <c r="W2698" s="211" t="str">
        <f>IFERROR(__xludf.DUMMYFUNCTION("""COMPUTED_VALUE"""),"IN")</f>
        <v>IN</v>
      </c>
      <c r="X2698" s="211"/>
    </row>
    <row r="2699">
      <c r="A2699" s="210" t="str">
        <f>IFERROR(__xludf.DUMMYFUNCTION("""COMPUTED_VALUE"""),"1250912")</f>
        <v>1250912</v>
      </c>
      <c r="B2699" s="210" t="str">
        <f>IFERROR(__xludf.DUMMYFUNCTION("""COMPUTED_VALUE"""),"1250912")</f>
        <v>1250912</v>
      </c>
      <c r="C2699" s="213">
        <f>IFERROR(__xludf.DUMMYFUNCTION("""COMPUTED_VALUE"""),45997.515914351854)</f>
        <v>45997.51591</v>
      </c>
      <c r="D2699" s="211" t="str">
        <f>IFERROR(__xludf.DUMMYFUNCTION("""COMPUTED_VALUE"""),"8ea74d81")</f>
        <v>8ea74d81</v>
      </c>
      <c r="E2699" s="211" t="str">
        <f>IFERROR(__xludf.DUMMYFUNCTION("""COMPUTED_VALUE"""),"Bengkel Adi Putra")</f>
        <v>Bengkel Adi Putra</v>
      </c>
      <c r="F2699" s="211" t="str">
        <f>IFERROR(__xludf.DUMMYFUNCTION("""COMPUTED_VALUE"""),"ef306e54")</f>
        <v>ef306e54</v>
      </c>
      <c r="G2699" s="211" t="str">
        <f>IFERROR(__xludf.DUMMYFUNCTION("""COMPUTED_VALUE"""),"Karbondioksida")</f>
        <v>Karbondioksida</v>
      </c>
      <c r="H2699" s="211" t="str">
        <f>IFERROR(__xludf.DUMMYFUNCTION("""COMPUTED_VALUE"""),"IN")</f>
        <v>IN</v>
      </c>
      <c r="I2699" s="211" t="str">
        <f>IFERROR(__xludf.DUMMYFUNCTION("""COMPUTED_VALUE"""),"EMPTY")</f>
        <v>EMPTY</v>
      </c>
      <c r="J2699" s="211">
        <f>IFERROR(__xludf.DUMMYFUNCTION("""COMPUTED_VALUE"""),2.0)</f>
        <v>2</v>
      </c>
      <c r="K2699" s="210" t="str">
        <f>IFERROR(__xludf.DUMMYFUNCTION("""COMPUTED_VALUE"""),"13018 13047")</f>
        <v>13018 13047</v>
      </c>
      <c r="L2699" s="211">
        <f>IFERROR(__xludf.DUMMYFUNCTION("""COMPUTED_VALUE"""),0.0)</f>
        <v>0</v>
      </c>
      <c r="M2699" s="211"/>
      <c r="N2699" s="211"/>
      <c r="O2699" s="211"/>
      <c r="Q2699" s="210" t="str">
        <f>IFERROR(__xludf.DUMMYFUNCTION("""COMPUTED_VALUE"""),"0226142697")</f>
        <v>0226142697</v>
      </c>
      <c r="R2699" s="210" t="str">
        <f>IFERROR(__xludf.DUMMYFUNCTION("""COMPUTED_VALUE"""),"0226142697")</f>
        <v>0226142697</v>
      </c>
      <c r="S2699" s="211" t="str">
        <f>IFERROR(__xludf.DUMMYFUNCTION("""COMPUTED_VALUE"""),"734c6d17")</f>
        <v>734c6d17</v>
      </c>
      <c r="T2699" s="211" t="str">
        <f>IFERROR(__xludf.DUMMYFUNCTION("""COMPUTED_VALUE"""),"Bapak Ainol Yaqin ( Bpk. Ibnu )")</f>
        <v>Bapak Ainol Yaqin ( Bpk. Ibnu )</v>
      </c>
      <c r="U2699" s="215">
        <f>IFERROR(__xludf.DUMMYFUNCTION("""COMPUTED_VALUE"""),46081.368125)</f>
        <v>46081.36813</v>
      </c>
      <c r="V2699" s="211" t="str">
        <f>IFERROR(__xludf.DUMMYFUNCTION("""COMPUTED_VALUE"""),"Tanggul Wetan, Tanggul, Kec. Wonoayu, Kabupaten Sidoarjo, Jawa Timur")</f>
        <v>Tanggul Wetan, Tanggul, Kec. Wonoayu, Kabupaten Sidoarjo, Jawa Timur</v>
      </c>
      <c r="W2699" s="211" t="str">
        <f>IFERROR(__xludf.DUMMYFUNCTION("""COMPUTED_VALUE"""),"OUT")</f>
        <v>OUT</v>
      </c>
      <c r="X2699" s="211"/>
    </row>
    <row r="2700">
      <c r="A2700" s="210" t="str">
        <f>IFERROR(__xludf.DUMMYFUNCTION("""COMPUTED_VALUE"""),"1250901")</f>
        <v>1250901</v>
      </c>
      <c r="B2700" s="210" t="str">
        <f>IFERROR(__xludf.DUMMYFUNCTION("""COMPUTED_VALUE"""),"1250901")</f>
        <v>1250901</v>
      </c>
      <c r="C2700" s="213">
        <f>IFERROR(__xludf.DUMMYFUNCTION("""COMPUTED_VALUE"""),45997.611342592594)</f>
        <v>45997.61134</v>
      </c>
      <c r="D2700" s="211" t="str">
        <f>IFERROR(__xludf.DUMMYFUNCTION("""COMPUTED_VALUE"""),"03ff52db")</f>
        <v>03ff52db</v>
      </c>
      <c r="E2700" s="211" t="str">
        <f>IFERROR(__xludf.DUMMYFUNCTION("""COMPUTED_VALUE"""),"Aneka Teknik Logam")</f>
        <v>Aneka Teknik Logam</v>
      </c>
      <c r="F2700" s="211" t="str">
        <f>IFERROR(__xludf.DUMMYFUNCTION("""COMPUTED_VALUE"""),"be525f3b")</f>
        <v>be525f3b</v>
      </c>
      <c r="G2700" s="211" t="str">
        <f>IFERROR(__xludf.DUMMYFUNCTION("""COMPUTED_VALUE"""),"LPG 12kg")</f>
        <v>LPG 12kg</v>
      </c>
      <c r="H2700" s="211" t="str">
        <f>IFERROR(__xludf.DUMMYFUNCTION("""COMPUTED_VALUE"""),"IN")</f>
        <v>IN</v>
      </c>
      <c r="I2700" s="211" t="str">
        <f>IFERROR(__xludf.DUMMYFUNCTION("""COMPUTED_VALUE"""),"EMPTY")</f>
        <v>EMPTY</v>
      </c>
      <c r="J2700" s="211">
        <f>IFERROR(__xludf.DUMMYFUNCTION("""COMPUTED_VALUE"""),1.0)</f>
        <v>1</v>
      </c>
      <c r="K2700" s="210" t="str">
        <f>IFERROR(__xludf.DUMMYFUNCTION("""COMPUTED_VALUE"""),"01")</f>
        <v>01</v>
      </c>
      <c r="L2700" s="211">
        <f>IFERROR(__xludf.DUMMYFUNCTION("""COMPUTED_VALUE"""),0.0)</f>
        <v>0</v>
      </c>
      <c r="M2700" s="211"/>
      <c r="N2700" s="211"/>
      <c r="O2700" s="211"/>
      <c r="Q2700" s="210" t="str">
        <f>IFERROR(__xludf.DUMMYFUNCTION("""COMPUTED_VALUE"""),"0226892700")</f>
        <v>0226892700</v>
      </c>
      <c r="R2700" s="210" t="str">
        <f>IFERROR(__xludf.DUMMYFUNCTION("""COMPUTED_VALUE"""),"0226892700")</f>
        <v>0226892700</v>
      </c>
      <c r="S2700" s="211" t="str">
        <f>IFERROR(__xludf.DUMMYFUNCTION("""COMPUTED_VALUE"""),"b2b5f2c5")</f>
        <v>b2b5f2c5</v>
      </c>
      <c r="T2700" s="211" t="str">
        <f>IFERROR(__xludf.DUMMYFUNCTION("""COMPUTED_VALUE"""),"Bengkel Las Bpk. Ari")</f>
        <v>Bengkel Las Bpk. Ari</v>
      </c>
      <c r="U2700" s="215">
        <f>IFERROR(__xludf.DUMMYFUNCTION("""COMPUTED_VALUE"""),46081.37037037037)</f>
        <v>46081.37037</v>
      </c>
      <c r="V2700" s="211" t="str">
        <f>IFERROR(__xludf.DUMMYFUNCTION("""COMPUTED_VALUE"""),"Sumber Kembar, Wonodadi, Kec. Kutorejo, Kabupaten Mojokerto, Jawa Timur")</f>
        <v>Sumber Kembar, Wonodadi, Kec. Kutorejo, Kabupaten Mojokerto, Jawa Timur</v>
      </c>
      <c r="W2700" s="211" t="str">
        <f>IFERROR(__xludf.DUMMYFUNCTION("""COMPUTED_VALUE"""),"OUT")</f>
        <v>OUT</v>
      </c>
      <c r="X2700" s="211"/>
    </row>
    <row r="2701">
      <c r="A2701" s="210" t="str">
        <f>IFERROR(__xludf.DUMMYFUNCTION("""COMPUTED_VALUE"""),"1250902")</f>
        <v>1250902</v>
      </c>
      <c r="B2701" s="210" t="str">
        <f>IFERROR(__xludf.DUMMYFUNCTION("""COMPUTED_VALUE"""),"1250902")</f>
        <v>1250902</v>
      </c>
      <c r="C2701" s="213">
        <f>IFERROR(__xludf.DUMMYFUNCTION("""COMPUTED_VALUE"""),45997.61230324074)</f>
        <v>45997.6123</v>
      </c>
      <c r="D2701" s="211" t="str">
        <f>IFERROR(__xludf.DUMMYFUNCTION("""COMPUTED_VALUE"""),"9828dfc5")</f>
        <v>9828dfc5</v>
      </c>
      <c r="E2701" s="211" t="str">
        <f>IFERROR(__xludf.DUMMYFUNCTION("""COMPUTED_VALUE"""),"Bpk. David")</f>
        <v>Bpk. David</v>
      </c>
      <c r="F2701" s="211" t="str">
        <f>IFERROR(__xludf.DUMMYFUNCTION("""COMPUTED_VALUE"""),"8bdbe149")</f>
        <v>8bdbe149</v>
      </c>
      <c r="G2701" s="211" t="str">
        <f>IFERROR(__xludf.DUMMYFUNCTION("""COMPUTED_VALUE"""),"Oksigen 6m3")</f>
        <v>Oksigen 6m3</v>
      </c>
      <c r="H2701" s="211" t="str">
        <f>IFERROR(__xludf.DUMMYFUNCTION("""COMPUTED_VALUE"""),"IN")</f>
        <v>IN</v>
      </c>
      <c r="I2701" s="211" t="str">
        <f>IFERROR(__xludf.DUMMYFUNCTION("""COMPUTED_VALUE"""),"EMPTY")</f>
        <v>EMPTY</v>
      </c>
      <c r="J2701" s="211">
        <f>IFERROR(__xludf.DUMMYFUNCTION("""COMPUTED_VALUE"""),1.0)</f>
        <v>1</v>
      </c>
      <c r="K2701" s="210" t="str">
        <f>IFERROR(__xludf.DUMMYFUNCTION("""COMPUTED_VALUE"""),"11294")</f>
        <v>11294</v>
      </c>
      <c r="L2701" s="211">
        <f>IFERROR(__xludf.DUMMYFUNCTION("""COMPUTED_VALUE"""),0.0)</f>
        <v>0</v>
      </c>
      <c r="M2701" s="211"/>
      <c r="N2701" s="211"/>
      <c r="O2701" s="211"/>
      <c r="Q2701" s="210" t="str">
        <f>IFERROR(__xludf.DUMMYFUNCTION("""COMPUTED_VALUE"""),"022642701")</f>
        <v>022642701</v>
      </c>
      <c r="R2701" s="210" t="str">
        <f>IFERROR(__xludf.DUMMYFUNCTION("""COMPUTED_VALUE"""),"022642701")</f>
        <v>022642701</v>
      </c>
      <c r="S2701" s="211" t="str">
        <f>IFERROR(__xludf.DUMMYFUNCTION("""COMPUTED_VALUE"""),"d9b2fac5")</f>
        <v>d9b2fac5</v>
      </c>
      <c r="T2701" s="211" t="str">
        <f>IFERROR(__xludf.DUMMYFUNCTION("""COMPUTED_VALUE"""),"Dwi Riza ( Ponokawan)")</f>
        <v>Dwi Riza ( Ponokawan)</v>
      </c>
      <c r="U2701" s="215">
        <f>IFERROR(__xludf.DUMMYFUNCTION("""COMPUTED_VALUE"""),46081.37091435185)</f>
        <v>46081.37091</v>
      </c>
      <c r="V2701" s="211" t="str">
        <f>IFERROR(__xludf.DUMMYFUNCTION("""COMPUTED_VALUE"""),"Jl. Raya Ponokawan No.28 RT 07 RW 03 Kec. Krian Sidoarjo (Seberang Bengkel An.Nur/ Deretan Baraka Expres)")</f>
        <v>Jl. Raya Ponokawan No.28 RT 07 RW 03 Kec. Krian Sidoarjo (Seberang Bengkel An.Nur/ Deretan Baraka Expres)</v>
      </c>
      <c r="W2701" s="211" t="str">
        <f>IFERROR(__xludf.DUMMYFUNCTION("""COMPUTED_VALUE"""),"OUT")</f>
        <v>OUT</v>
      </c>
      <c r="X2701" s="211"/>
    </row>
    <row r="2702">
      <c r="A2702" s="210" t="str">
        <f>IFERROR(__xludf.DUMMYFUNCTION("""COMPUTED_VALUE"""),"1250900")</f>
        <v>1250900</v>
      </c>
      <c r="B2702" s="210" t="str">
        <f>IFERROR(__xludf.DUMMYFUNCTION("""COMPUTED_VALUE"""),"1250900")</f>
        <v>1250900</v>
      </c>
      <c r="C2702" s="213">
        <f>IFERROR(__xludf.DUMMYFUNCTION("""COMPUTED_VALUE"""),45997.613078703704)</f>
        <v>45997.61308</v>
      </c>
      <c r="D2702" s="211" t="str">
        <f>IFERROR(__xludf.DUMMYFUNCTION("""COMPUTED_VALUE"""),"196b24da")</f>
        <v>196b24da</v>
      </c>
      <c r="E2702" s="211" t="str">
        <f>IFERROR(__xludf.DUMMYFUNCTION("""COMPUTED_VALUE"""),"PT Samudra Cipta Enjineering")</f>
        <v>PT Samudra Cipta Enjineering</v>
      </c>
      <c r="F2702" s="211" t="str">
        <f>IFERROR(__xludf.DUMMYFUNCTION("""COMPUTED_VALUE"""),"ef306e54")</f>
        <v>ef306e54</v>
      </c>
      <c r="G2702" s="211" t="str">
        <f>IFERROR(__xludf.DUMMYFUNCTION("""COMPUTED_VALUE"""),"Karbondioksida")</f>
        <v>Karbondioksida</v>
      </c>
      <c r="H2702" s="211" t="str">
        <f>IFERROR(__xludf.DUMMYFUNCTION("""COMPUTED_VALUE"""),"IN")</f>
        <v>IN</v>
      </c>
      <c r="I2702" s="211" t="str">
        <f>IFERROR(__xludf.DUMMYFUNCTION("""COMPUTED_VALUE"""),"EMPTY")</f>
        <v>EMPTY</v>
      </c>
      <c r="J2702" s="211">
        <f>IFERROR(__xludf.DUMMYFUNCTION("""COMPUTED_VALUE"""),1.0)</f>
        <v>1</v>
      </c>
      <c r="K2702" s="210" t="str">
        <f>IFERROR(__xludf.DUMMYFUNCTION("""COMPUTED_VALUE"""),"11129")</f>
        <v>11129</v>
      </c>
      <c r="L2702" s="211">
        <f>IFERROR(__xludf.DUMMYFUNCTION("""COMPUTED_VALUE"""),0.0)</f>
        <v>0</v>
      </c>
      <c r="M2702" s="211"/>
      <c r="N2702" s="211"/>
      <c r="O2702" s="211"/>
      <c r="Q2702" s="210" t="str">
        <f>IFERROR(__xludf.DUMMYFUNCTION("""COMPUTED_VALUE"""),"0226262702")</f>
        <v>0226262702</v>
      </c>
      <c r="R2702" s="210" t="str">
        <f>IFERROR(__xludf.DUMMYFUNCTION("""COMPUTED_VALUE"""),"0226262702")</f>
        <v>0226262702</v>
      </c>
      <c r="S2702" s="211" t="str">
        <f>IFERROR(__xludf.DUMMYFUNCTION("""COMPUTED_VALUE"""),"7b9d8eba")</f>
        <v>7b9d8eba</v>
      </c>
      <c r="T2702" s="211" t="str">
        <f>IFERROR(__xludf.DUMMYFUNCTION("""COMPUTED_VALUE"""),"PT PELANGI INDOKARYA")</f>
        <v>PT PELANGI INDOKARYA</v>
      </c>
      <c r="U2702" s="215">
        <f>IFERROR(__xludf.DUMMYFUNCTION("""COMPUTED_VALUE"""),46081.416666666664)</f>
        <v>46081.41667</v>
      </c>
      <c r="V2702"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702" s="211" t="str">
        <f>IFERROR(__xludf.DUMMYFUNCTION("""COMPUTED_VALUE"""),"OUT")</f>
        <v>OUT</v>
      </c>
      <c r="X2702" s="211"/>
    </row>
    <row r="2703">
      <c r="A2703" s="210" t="str">
        <f>IFERROR(__xludf.DUMMYFUNCTION("""COMPUTED_VALUE"""),"1250903")</f>
        <v>1250903</v>
      </c>
      <c r="B2703" s="210" t="str">
        <f>IFERROR(__xludf.DUMMYFUNCTION("""COMPUTED_VALUE"""),"1250903")</f>
        <v>1250903</v>
      </c>
      <c r="C2703" s="213">
        <f>IFERROR(__xludf.DUMMYFUNCTION("""COMPUTED_VALUE"""),45997.61377314815)</f>
        <v>45997.61377</v>
      </c>
      <c r="D2703" s="211" t="str">
        <f>IFERROR(__xludf.DUMMYFUNCTION("""COMPUTED_VALUE"""),"b2b5f2c5")</f>
        <v>b2b5f2c5</v>
      </c>
      <c r="E2703" s="211" t="str">
        <f>IFERROR(__xludf.DUMMYFUNCTION("""COMPUTED_VALUE"""),"Bengkel Las Bpk. Ari")</f>
        <v>Bengkel Las Bpk. Ari</v>
      </c>
      <c r="F2703" s="211" t="str">
        <f>IFERROR(__xludf.DUMMYFUNCTION("""COMPUTED_VALUE"""),"ef306e54")</f>
        <v>ef306e54</v>
      </c>
      <c r="G2703" s="211" t="str">
        <f>IFERROR(__xludf.DUMMYFUNCTION("""COMPUTED_VALUE"""),"Karbondioksida")</f>
        <v>Karbondioksida</v>
      </c>
      <c r="H2703" s="211" t="str">
        <f>IFERROR(__xludf.DUMMYFUNCTION("""COMPUTED_VALUE"""),"IN")</f>
        <v>IN</v>
      </c>
      <c r="I2703" s="211" t="str">
        <f>IFERROR(__xludf.DUMMYFUNCTION("""COMPUTED_VALUE"""),"EMPTY")</f>
        <v>EMPTY</v>
      </c>
      <c r="J2703" s="211">
        <f>IFERROR(__xludf.DUMMYFUNCTION("""COMPUTED_VALUE"""),1.0)</f>
        <v>1</v>
      </c>
      <c r="K2703" s="210" t="str">
        <f>IFERROR(__xludf.DUMMYFUNCTION("""COMPUTED_VALUE"""),"13035")</f>
        <v>13035</v>
      </c>
      <c r="L2703" s="211">
        <f>IFERROR(__xludf.DUMMYFUNCTION("""COMPUTED_VALUE"""),0.0)</f>
        <v>0</v>
      </c>
      <c r="M2703" s="211"/>
      <c r="N2703" s="211"/>
      <c r="O2703" s="211"/>
      <c r="Q2703" s="210" t="str">
        <f>IFERROR(__xludf.DUMMYFUNCTION("""COMPUTED_VALUE"""),"1261334")</f>
        <v>1261334</v>
      </c>
      <c r="R2703" s="210" t="str">
        <f>IFERROR(__xludf.DUMMYFUNCTION("""COMPUTED_VALUE"""),"1261334")</f>
        <v>1261334</v>
      </c>
      <c r="S2703" s="211" t="str">
        <f>IFERROR(__xludf.DUMMYFUNCTION("""COMPUTED_VALUE"""),"98c84274")</f>
        <v>98c84274</v>
      </c>
      <c r="T2703" s="211" t="str">
        <f>IFERROR(__xludf.DUMMYFUNCTION("""COMPUTED_VALUE"""),"Bengkel SBM (Pak Hari)")</f>
        <v>Bengkel SBM (Pak Hari)</v>
      </c>
      <c r="U2703" s="215">
        <f>IFERROR(__xludf.DUMMYFUNCTION("""COMPUTED_VALUE"""),46081.48181712963)</f>
        <v>46081.48182</v>
      </c>
      <c r="V270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703" s="211" t="str">
        <f>IFERROR(__xludf.DUMMYFUNCTION("""COMPUTED_VALUE"""),"IN")</f>
        <v>IN</v>
      </c>
      <c r="X2703" s="211"/>
    </row>
    <row r="2704">
      <c r="A2704" s="210" t="str">
        <f>IFERROR(__xludf.DUMMYFUNCTION("""COMPUTED_VALUE"""),"1250903")</f>
        <v>1250903</v>
      </c>
      <c r="B2704" s="210" t="str">
        <f>IFERROR(__xludf.DUMMYFUNCTION("""COMPUTED_VALUE"""),"1250903")</f>
        <v>1250903</v>
      </c>
      <c r="C2704" s="213">
        <f>IFERROR(__xludf.DUMMYFUNCTION("""COMPUTED_VALUE"""),45997.61377314815)</f>
        <v>45997.61377</v>
      </c>
      <c r="D2704" s="211" t="str">
        <f>IFERROR(__xludf.DUMMYFUNCTION("""COMPUTED_VALUE"""),"b2b5f2c5")</f>
        <v>b2b5f2c5</v>
      </c>
      <c r="E2704" s="211" t="str">
        <f>IFERROR(__xludf.DUMMYFUNCTION("""COMPUTED_VALUE"""),"Bengkel Las Bpk. Ari")</f>
        <v>Bengkel Las Bpk. Ari</v>
      </c>
      <c r="F2704" s="211" t="str">
        <f>IFERROR(__xludf.DUMMYFUNCTION("""COMPUTED_VALUE"""),"8bdbe149")</f>
        <v>8bdbe149</v>
      </c>
      <c r="G2704" s="211" t="str">
        <f>IFERROR(__xludf.DUMMYFUNCTION("""COMPUTED_VALUE"""),"Oksigen 6m3")</f>
        <v>Oksigen 6m3</v>
      </c>
      <c r="H2704" s="211" t="str">
        <f>IFERROR(__xludf.DUMMYFUNCTION("""COMPUTED_VALUE"""),"IN")</f>
        <v>IN</v>
      </c>
      <c r="I2704" s="211" t="str">
        <f>IFERROR(__xludf.DUMMYFUNCTION("""COMPUTED_VALUE"""),"EMPTY")</f>
        <v>EMPTY</v>
      </c>
      <c r="J2704" s="211">
        <f>IFERROR(__xludf.DUMMYFUNCTION("""COMPUTED_VALUE"""),3.0)</f>
        <v>3</v>
      </c>
      <c r="K2704" s="210" t="str">
        <f>IFERROR(__xludf.DUMMYFUNCTION("""COMPUTED_VALUE"""),"1110 1183 11240")</f>
        <v>1110 1183 11240</v>
      </c>
      <c r="L2704" s="211">
        <f>IFERROR(__xludf.DUMMYFUNCTION("""COMPUTED_VALUE"""),0.0)</f>
        <v>0</v>
      </c>
      <c r="M2704" s="211"/>
      <c r="N2704" s="211"/>
      <c r="O2704" s="211"/>
      <c r="Q2704" s="210" t="str">
        <f>IFERROR(__xludf.DUMMYFUNCTION("""COMPUTED_VALUE"""),"1261333")</f>
        <v>1261333</v>
      </c>
      <c r="R2704" s="210" t="str">
        <f>IFERROR(__xludf.DUMMYFUNCTION("""COMPUTED_VALUE"""),"1261333")</f>
        <v>1261333</v>
      </c>
      <c r="S2704" s="211" t="str">
        <f>IFERROR(__xludf.DUMMYFUNCTION("""COMPUTED_VALUE"""),"7b9d8eba")</f>
        <v>7b9d8eba</v>
      </c>
      <c r="T2704" s="211" t="str">
        <f>IFERROR(__xludf.DUMMYFUNCTION("""COMPUTED_VALUE"""),"PT PELANGI INDOKARYA")</f>
        <v>PT PELANGI INDOKARYA</v>
      </c>
      <c r="U2704" s="215">
        <f>IFERROR(__xludf.DUMMYFUNCTION("""COMPUTED_VALUE"""),46081.48224537037)</f>
        <v>46081.48225</v>
      </c>
      <c r="V2704"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704" s="211" t="str">
        <f>IFERROR(__xludf.DUMMYFUNCTION("""COMPUTED_VALUE"""),"IN")</f>
        <v>IN</v>
      </c>
      <c r="X2704" s="211"/>
    </row>
    <row r="2705">
      <c r="A2705" s="210" t="str">
        <f>IFERROR(__xludf.DUMMYFUNCTION("""COMPUTED_VALUE"""),"1250903")</f>
        <v>1250903</v>
      </c>
      <c r="B2705" s="210" t="str">
        <f>IFERROR(__xludf.DUMMYFUNCTION("""COMPUTED_VALUE"""),"1250903")</f>
        <v>1250903</v>
      </c>
      <c r="C2705" s="213">
        <f>IFERROR(__xludf.DUMMYFUNCTION("""COMPUTED_VALUE"""),45997.61377314815)</f>
        <v>45997.61377</v>
      </c>
      <c r="D2705" s="211" t="str">
        <f>IFERROR(__xludf.DUMMYFUNCTION("""COMPUTED_VALUE"""),"b2b5f2c5")</f>
        <v>b2b5f2c5</v>
      </c>
      <c r="E2705" s="211" t="str">
        <f>IFERROR(__xludf.DUMMYFUNCTION("""COMPUTED_VALUE"""),"Bengkel Las Bpk. Ari")</f>
        <v>Bengkel Las Bpk. Ari</v>
      </c>
      <c r="F2705" s="211" t="str">
        <f>IFERROR(__xludf.DUMMYFUNCTION("""COMPUTED_VALUE"""),"f6aab7a9")</f>
        <v>f6aab7a9</v>
      </c>
      <c r="G2705" s="211" t="str">
        <f>IFERROR(__xludf.DUMMYFUNCTION("""COMPUTED_VALUE"""),"Oksigen 6m3 MR")</f>
        <v>Oksigen 6m3 MR</v>
      </c>
      <c r="H2705" s="211" t="str">
        <f>IFERROR(__xludf.DUMMYFUNCTION("""COMPUTED_VALUE"""),"IN")</f>
        <v>IN</v>
      </c>
      <c r="I2705" s="211" t="str">
        <f>IFERROR(__xludf.DUMMYFUNCTION("""COMPUTED_VALUE"""),"EMPTY")</f>
        <v>EMPTY</v>
      </c>
      <c r="J2705" s="211">
        <f>IFERROR(__xludf.DUMMYFUNCTION("""COMPUTED_VALUE"""),4.0)</f>
        <v>4</v>
      </c>
      <c r="K2705" s="210" t="str">
        <f>IFERROR(__xludf.DUMMYFUNCTION("""COMPUTED_VALUE"""),"01 02 03 04")</f>
        <v>01 02 03 04</v>
      </c>
      <c r="L2705" s="211">
        <f>IFERROR(__xludf.DUMMYFUNCTION("""COMPUTED_VALUE"""),0.0)</f>
        <v>0</v>
      </c>
      <c r="M2705" s="211"/>
      <c r="N2705" s="211"/>
      <c r="O2705" s="211"/>
      <c r="Q2705" s="210" t="str">
        <f>IFERROR(__xludf.DUMMYFUNCTION("""COMPUTED_VALUE"""),"1261332")</f>
        <v>1261332</v>
      </c>
      <c r="R2705" s="210" t="str">
        <f>IFERROR(__xludf.DUMMYFUNCTION("""COMPUTED_VALUE"""),"1261332")</f>
        <v>1261332</v>
      </c>
      <c r="S2705" s="211" t="str">
        <f>IFERROR(__xludf.DUMMYFUNCTION("""COMPUTED_VALUE"""),"d9b2fac5")</f>
        <v>d9b2fac5</v>
      </c>
      <c r="T2705" s="211" t="str">
        <f>IFERROR(__xludf.DUMMYFUNCTION("""COMPUTED_VALUE"""),"Dwi Riza ( Ponokawan)")</f>
        <v>Dwi Riza ( Ponokawan)</v>
      </c>
      <c r="U2705" s="215">
        <f>IFERROR(__xludf.DUMMYFUNCTION("""COMPUTED_VALUE"""),46081.482615740744)</f>
        <v>46081.48262</v>
      </c>
      <c r="V2705" s="211" t="str">
        <f>IFERROR(__xludf.DUMMYFUNCTION("""COMPUTED_VALUE"""),"Jl. Raya Ponokawan No.28 RT 07 RW 03 Kec. Krian Sidoarjo (Seberang Bengkel An.Nur/ Deretan Baraka Expres)")</f>
        <v>Jl. Raya Ponokawan No.28 RT 07 RW 03 Kec. Krian Sidoarjo (Seberang Bengkel An.Nur/ Deretan Baraka Expres)</v>
      </c>
      <c r="W2705" s="211" t="str">
        <f>IFERROR(__xludf.DUMMYFUNCTION("""COMPUTED_VALUE"""),"IN")</f>
        <v>IN</v>
      </c>
      <c r="X2705" s="211"/>
    </row>
    <row r="2706">
      <c r="A2706" s="210" t="str">
        <f>IFERROR(__xludf.DUMMYFUNCTION("""COMPUTED_VALUE"""),"122571903")</f>
        <v>122571903</v>
      </c>
      <c r="B2706" s="210" t="str">
        <f>IFERROR(__xludf.DUMMYFUNCTION("""COMPUTED_VALUE"""),"122571903")</f>
        <v>122571903</v>
      </c>
      <c r="C2706" s="213">
        <f>IFERROR(__xludf.DUMMYFUNCTION("""COMPUTED_VALUE"""),45999.35574074074)</f>
        <v>45999.35574</v>
      </c>
      <c r="D2706" s="211" t="str">
        <f>IFERROR(__xludf.DUMMYFUNCTION("""COMPUTED_VALUE"""),"a0f0ad2d")</f>
        <v>a0f0ad2d</v>
      </c>
      <c r="E2706" s="211" t="str">
        <f>IFERROR(__xludf.DUMMYFUNCTION("""COMPUTED_VALUE"""),"CV. Yulie Jaya")</f>
        <v>CV. Yulie Jaya</v>
      </c>
      <c r="F2706" s="211" t="str">
        <f>IFERROR(__xludf.DUMMYFUNCTION("""COMPUTED_VALUE"""),"8bdbe149")</f>
        <v>8bdbe149</v>
      </c>
      <c r="G2706" s="211" t="str">
        <f>IFERROR(__xludf.DUMMYFUNCTION("""COMPUTED_VALUE"""),"Oksigen 6m3")</f>
        <v>Oksigen 6m3</v>
      </c>
      <c r="H2706" s="211" t="str">
        <f>IFERROR(__xludf.DUMMYFUNCTION("""COMPUTED_VALUE"""),"OUT")</f>
        <v>OUT</v>
      </c>
      <c r="I2706" s="211" t="str">
        <f>IFERROR(__xludf.DUMMYFUNCTION("""COMPUTED_VALUE"""),"NORMAL")</f>
        <v>NORMAL</v>
      </c>
      <c r="J2706" s="211">
        <f>IFERROR(__xludf.DUMMYFUNCTION("""COMPUTED_VALUE"""),2.0)</f>
        <v>2</v>
      </c>
      <c r="K2706" s="210" t="str">
        <f>IFERROR(__xludf.DUMMYFUNCTION("""COMPUTED_VALUE"""),"11177 11112")</f>
        <v>11177 11112</v>
      </c>
      <c r="L2706" s="211">
        <f>IFERROR(__xludf.DUMMYFUNCTION("""COMPUTED_VALUE"""),65000.0)</f>
        <v>65000</v>
      </c>
      <c r="M2706" s="211"/>
      <c r="N2706" s="211"/>
      <c r="O2706" s="211"/>
      <c r="Q2706" s="210" t="str">
        <f>IFERROR(__xludf.DUMMYFUNCTION("""COMPUTED_VALUE"""),"0226482703")</f>
        <v>0226482703</v>
      </c>
      <c r="R2706" s="210" t="str">
        <f>IFERROR(__xludf.DUMMYFUNCTION("""COMPUTED_VALUE"""),"0226482703")</f>
        <v>0226482703</v>
      </c>
      <c r="S2706" s="211" t="str">
        <f>IFERROR(__xludf.DUMMYFUNCTION("""COMPUTED_VALUE"""),"ec231cc9")</f>
        <v>ec231cc9</v>
      </c>
      <c r="T2706" s="211" t="str">
        <f>IFERROR(__xludf.DUMMYFUNCTION("""COMPUTED_VALUE"""),"Bpk. Kohir (Maintenance Velg)")</f>
        <v>Bpk. Kohir (Maintenance Velg)</v>
      </c>
      <c r="U2706" s="215">
        <f>IFERROR(__xludf.DUMMYFUNCTION("""COMPUTED_VALUE"""),46081.59123842593)</f>
        <v>46081.59124</v>
      </c>
      <c r="V2706" s="211" t="str">
        <f>IFERROR(__xludf.DUMMYFUNCTION("""COMPUTED_VALUE"""),"Jl. Lkr. Bypass Krian Timur, Sidogolong, Watugolong, Kec. Krian, Kabupaten Sidoarjo, Jawa Timur 61262")</f>
        <v>Jl. Lkr. Bypass Krian Timur, Sidogolong, Watugolong, Kec. Krian, Kabupaten Sidoarjo, Jawa Timur 61262</v>
      </c>
      <c r="W2706" s="211" t="str">
        <f>IFERROR(__xludf.DUMMYFUNCTION("""COMPUTED_VALUE"""),"OUT")</f>
        <v>OUT</v>
      </c>
      <c r="X2706" s="211"/>
    </row>
    <row r="2707">
      <c r="A2707" s="210" t="str">
        <f>IFERROR(__xludf.DUMMYFUNCTION("""COMPUTED_VALUE"""),"122571903")</f>
        <v>122571903</v>
      </c>
      <c r="B2707" s="210" t="str">
        <f>IFERROR(__xludf.DUMMYFUNCTION("""COMPUTED_VALUE"""),"122571903")</f>
        <v>122571903</v>
      </c>
      <c r="C2707" s="213">
        <f>IFERROR(__xludf.DUMMYFUNCTION("""COMPUTED_VALUE"""),45999.35574074074)</f>
        <v>45999.35574</v>
      </c>
      <c r="D2707" s="211" t="str">
        <f>IFERROR(__xludf.DUMMYFUNCTION("""COMPUTED_VALUE"""),"a0f0ad2d")</f>
        <v>a0f0ad2d</v>
      </c>
      <c r="E2707" s="211" t="str">
        <f>IFERROR(__xludf.DUMMYFUNCTION("""COMPUTED_VALUE"""),"CV. Yulie Jaya")</f>
        <v>CV. Yulie Jaya</v>
      </c>
      <c r="F2707" s="211" t="str">
        <f>IFERROR(__xludf.DUMMYFUNCTION("""COMPUTED_VALUE"""),"7d2764f1")</f>
        <v>7d2764f1</v>
      </c>
      <c r="G2707" s="211" t="str">
        <f>IFERROR(__xludf.DUMMYFUNCTION("""COMPUTED_VALUE"""),"Oksigen 7m3")</f>
        <v>Oksigen 7m3</v>
      </c>
      <c r="H2707" s="211" t="str">
        <f>IFERROR(__xludf.DUMMYFUNCTION("""COMPUTED_VALUE"""),"OUT")</f>
        <v>OUT</v>
      </c>
      <c r="I2707" s="211" t="str">
        <f>IFERROR(__xludf.DUMMYFUNCTION("""COMPUTED_VALUE"""),"NORMAL")</f>
        <v>NORMAL</v>
      </c>
      <c r="J2707" s="211">
        <f>IFERROR(__xludf.DUMMYFUNCTION("""COMPUTED_VALUE"""),8.0)</f>
        <v>8</v>
      </c>
      <c r="K2707" s="210" t="str">
        <f>IFERROR(__xludf.DUMMYFUNCTION("""COMPUTED_VALUE"""),"11155 11144 11145 11150 11169 11229 11303 11228")</f>
        <v>11155 11144 11145 11150 11169 11229 11303 11228</v>
      </c>
      <c r="L2707" s="211">
        <f>IFERROR(__xludf.DUMMYFUNCTION("""COMPUTED_VALUE"""),60000.0)</f>
        <v>60000</v>
      </c>
      <c r="M2707" s="211"/>
      <c r="N2707" s="211"/>
      <c r="O2707" s="211"/>
      <c r="Q2707" s="210" t="str">
        <f>IFERROR(__xludf.DUMMYFUNCTION("""COMPUTED_VALUE"""),"1261322")</f>
        <v>1261322</v>
      </c>
      <c r="R2707" s="210" t="str">
        <f>IFERROR(__xludf.DUMMYFUNCTION("""COMPUTED_VALUE"""),"1261322")</f>
        <v>1261322</v>
      </c>
      <c r="S2707" s="211" t="str">
        <f>IFERROR(__xludf.DUMMYFUNCTION("""COMPUTED_VALUE"""),"b218b89b")</f>
        <v>b218b89b</v>
      </c>
      <c r="T2707" s="211" t="str">
        <f>IFERROR(__xludf.DUMMYFUNCTION("""COMPUTED_VALUE"""),"PT Harapan Sentosa")</f>
        <v>PT Harapan Sentosa</v>
      </c>
      <c r="U2707" s="215">
        <f>IFERROR(__xludf.DUMMYFUNCTION("""COMPUTED_VALUE"""),46081.63217592592)</f>
        <v>46081.63218</v>
      </c>
      <c r="V2707" s="211" t="str">
        <f>IFERROR(__xludf.DUMMYFUNCTION("""COMPUTED_VALUE"""),"Seketi, Jl. Purboyo II Selatan, RT.02/RW.02, Seketi, Kec. BalongBendo, Kabupaten Sidoarjo, Jawa Timur 61263")</f>
        <v>Seketi, Jl. Purboyo II Selatan, RT.02/RW.02, Seketi, Kec. BalongBendo, Kabupaten Sidoarjo, Jawa Timur 61263</v>
      </c>
      <c r="W2707" s="211" t="str">
        <f>IFERROR(__xludf.DUMMYFUNCTION("""COMPUTED_VALUE"""),"IN")</f>
        <v>IN</v>
      </c>
      <c r="X2707" s="211"/>
    </row>
    <row r="2708">
      <c r="A2708" s="210" t="str">
        <f>IFERROR(__xludf.DUMMYFUNCTION("""COMPUTED_VALUE"""),"122571903")</f>
        <v>122571903</v>
      </c>
      <c r="B2708" s="210" t="str">
        <f>IFERROR(__xludf.DUMMYFUNCTION("""COMPUTED_VALUE"""),"122571903")</f>
        <v>122571903</v>
      </c>
      <c r="C2708" s="213">
        <f>IFERROR(__xludf.DUMMYFUNCTION("""COMPUTED_VALUE"""),45999.35574074074)</f>
        <v>45999.35574</v>
      </c>
      <c r="D2708" s="211" t="str">
        <f>IFERROR(__xludf.DUMMYFUNCTION("""COMPUTED_VALUE"""),"a0f0ad2d")</f>
        <v>a0f0ad2d</v>
      </c>
      <c r="E2708" s="211" t="str">
        <f>IFERROR(__xludf.DUMMYFUNCTION("""COMPUTED_VALUE"""),"CV. Yulie Jaya")</f>
        <v>CV. Yulie Jaya</v>
      </c>
      <c r="F2708" s="211" t="str">
        <f>IFERROR(__xludf.DUMMYFUNCTION("""COMPUTED_VALUE"""),"be525f3b")</f>
        <v>be525f3b</v>
      </c>
      <c r="G2708" s="211" t="str">
        <f>IFERROR(__xludf.DUMMYFUNCTION("""COMPUTED_VALUE"""),"LPG 12kg")</f>
        <v>LPG 12kg</v>
      </c>
      <c r="H2708" s="211" t="str">
        <f>IFERROR(__xludf.DUMMYFUNCTION("""COMPUTED_VALUE"""),"OUT")</f>
        <v>OUT</v>
      </c>
      <c r="I2708" s="211" t="str">
        <f>IFERROR(__xludf.DUMMYFUNCTION("""COMPUTED_VALUE"""),"NORMAL")</f>
        <v>NORMAL</v>
      </c>
      <c r="J2708" s="211">
        <f>IFERROR(__xludf.DUMMYFUNCTION("""COMPUTED_VALUE"""),1.0)</f>
        <v>1</v>
      </c>
      <c r="K2708" s="210" t="str">
        <f>IFERROR(__xludf.DUMMYFUNCTION("""COMPUTED_VALUE"""),"01")</f>
        <v>01</v>
      </c>
      <c r="L2708" s="211">
        <f>IFERROR(__xludf.DUMMYFUNCTION("""COMPUTED_VALUE"""),215000.0)</f>
        <v>215000</v>
      </c>
      <c r="M2708" s="211"/>
      <c r="N2708" s="211"/>
      <c r="O2708" s="211"/>
      <c r="Q2708" s="210" t="str">
        <f>IFERROR(__xludf.DUMMYFUNCTION("""COMPUTED_VALUE"""),"1261324")</f>
        <v>1261324</v>
      </c>
      <c r="R2708" s="210" t="str">
        <f>IFERROR(__xludf.DUMMYFUNCTION("""COMPUTED_VALUE"""),"1261324")</f>
        <v>1261324</v>
      </c>
      <c r="S2708" s="211" t="str">
        <f>IFERROR(__xludf.DUMMYFUNCTION("""COMPUTED_VALUE"""),"b2b5f2c5")</f>
        <v>b2b5f2c5</v>
      </c>
      <c r="T2708" s="211" t="str">
        <f>IFERROR(__xludf.DUMMYFUNCTION("""COMPUTED_VALUE"""),"Bengkel Las Bpk. Ari")</f>
        <v>Bengkel Las Bpk. Ari</v>
      </c>
      <c r="U2708" s="215">
        <f>IFERROR(__xludf.DUMMYFUNCTION("""COMPUTED_VALUE"""),46081.6328125)</f>
        <v>46081.63281</v>
      </c>
      <c r="V2708" s="211" t="str">
        <f>IFERROR(__xludf.DUMMYFUNCTION("""COMPUTED_VALUE"""),"Sumber Kembar, Wonodadi, Kec. Kutorejo, Kabupaten Mojokerto, Jawa Timur")</f>
        <v>Sumber Kembar, Wonodadi, Kec. Kutorejo, Kabupaten Mojokerto, Jawa Timur</v>
      </c>
      <c r="W2708" s="211" t="str">
        <f>IFERROR(__xludf.DUMMYFUNCTION("""COMPUTED_VALUE"""),"IN")</f>
        <v>IN</v>
      </c>
      <c r="X2708" s="211"/>
    </row>
    <row r="2709">
      <c r="A2709" s="210" t="str">
        <f>IFERROR(__xludf.DUMMYFUNCTION("""COMPUTED_VALUE"""),"1250913")</f>
        <v>1250913</v>
      </c>
      <c r="B2709" s="210" t="str">
        <f>IFERROR(__xludf.DUMMYFUNCTION("""COMPUTED_VALUE"""),"1250913")</f>
        <v>1250913</v>
      </c>
      <c r="C2709" s="213">
        <f>IFERROR(__xludf.DUMMYFUNCTION("""COMPUTED_VALUE"""),45999.435069444444)</f>
        <v>45999.43507</v>
      </c>
      <c r="D2709" s="211" t="str">
        <f>IFERROR(__xludf.DUMMYFUNCTION("""COMPUTED_VALUE"""),"a0f0ad2d")</f>
        <v>a0f0ad2d</v>
      </c>
      <c r="E2709" s="211" t="str">
        <f>IFERROR(__xludf.DUMMYFUNCTION("""COMPUTED_VALUE"""),"CV. Yulie Jaya")</f>
        <v>CV. Yulie Jaya</v>
      </c>
      <c r="F2709" s="211" t="str">
        <f>IFERROR(__xludf.DUMMYFUNCTION("""COMPUTED_VALUE"""),"7d2764f1")</f>
        <v>7d2764f1</v>
      </c>
      <c r="G2709" s="211" t="str">
        <f>IFERROR(__xludf.DUMMYFUNCTION("""COMPUTED_VALUE"""),"Oksigen 7m3")</f>
        <v>Oksigen 7m3</v>
      </c>
      <c r="H2709" s="211" t="str">
        <f>IFERROR(__xludf.DUMMYFUNCTION("""COMPUTED_VALUE"""),"IN")</f>
        <v>IN</v>
      </c>
      <c r="I2709" s="211" t="str">
        <f>IFERROR(__xludf.DUMMYFUNCTION("""COMPUTED_VALUE"""),"EMPTY")</f>
        <v>EMPTY</v>
      </c>
      <c r="J2709" s="211">
        <f>IFERROR(__xludf.DUMMYFUNCTION("""COMPUTED_VALUE"""),5.0)</f>
        <v>5</v>
      </c>
      <c r="K2709" s="210" t="str">
        <f>IFERROR(__xludf.DUMMYFUNCTION("""COMPUTED_VALUE"""),"11149 11143 11146 11154 11158")</f>
        <v>11149 11143 11146 11154 11158</v>
      </c>
      <c r="L2709" s="211">
        <f>IFERROR(__xludf.DUMMYFUNCTION("""COMPUTED_VALUE"""),0.0)</f>
        <v>0</v>
      </c>
      <c r="M2709" s="211"/>
      <c r="N2709" s="211"/>
      <c r="O2709" s="211"/>
      <c r="Q2709" s="210" t="str">
        <f>IFERROR(__xludf.DUMMYFUNCTION("""COMPUTED_VALUE"""),"1261323")</f>
        <v>1261323</v>
      </c>
      <c r="R2709" s="210" t="str">
        <f>IFERROR(__xludf.DUMMYFUNCTION("""COMPUTED_VALUE"""),"1261323")</f>
        <v>1261323</v>
      </c>
      <c r="S2709" s="211" t="str">
        <f>IFERROR(__xludf.DUMMYFUNCTION("""COMPUTED_VALUE"""),"734c6d17")</f>
        <v>734c6d17</v>
      </c>
      <c r="T2709" s="211" t="str">
        <f>IFERROR(__xludf.DUMMYFUNCTION("""COMPUTED_VALUE"""),"Bapak Ainol Yaqin ( Bpk. Ibnu )")</f>
        <v>Bapak Ainol Yaqin ( Bpk. Ibnu )</v>
      </c>
      <c r="U2709" s="215">
        <f>IFERROR(__xludf.DUMMYFUNCTION("""COMPUTED_VALUE"""),46081.63319444445)</f>
        <v>46081.63319</v>
      </c>
      <c r="V2709" s="211" t="str">
        <f>IFERROR(__xludf.DUMMYFUNCTION("""COMPUTED_VALUE"""),"Tanggul Wetan, Tanggul, Kec. Wonoayu, Kabupaten Sidoarjo, Jawa Timur")</f>
        <v>Tanggul Wetan, Tanggul, Kec. Wonoayu, Kabupaten Sidoarjo, Jawa Timur</v>
      </c>
      <c r="W2709" s="211" t="str">
        <f>IFERROR(__xludf.DUMMYFUNCTION("""COMPUTED_VALUE"""),"IN")</f>
        <v>IN</v>
      </c>
      <c r="X2709" s="211"/>
    </row>
    <row r="2710">
      <c r="A2710" s="210" t="str">
        <f>IFERROR(__xludf.DUMMYFUNCTION("""COMPUTED_VALUE"""),"1225501911")</f>
        <v>1225501911</v>
      </c>
      <c r="B2710" s="210" t="str">
        <f>IFERROR(__xludf.DUMMYFUNCTION("""COMPUTED_VALUE"""),"1225501911")</f>
        <v>1225501911</v>
      </c>
      <c r="C2710" s="213">
        <f>IFERROR(__xludf.DUMMYFUNCTION("""COMPUTED_VALUE"""),45999.465729166666)</f>
        <v>45999.46573</v>
      </c>
      <c r="D2710" s="211" t="str">
        <f>IFERROR(__xludf.DUMMYFUNCTION("""COMPUTED_VALUE"""),"b2b5f2c5")</f>
        <v>b2b5f2c5</v>
      </c>
      <c r="E2710" s="211" t="str">
        <f>IFERROR(__xludf.DUMMYFUNCTION("""COMPUTED_VALUE"""),"Bengkel Las Bpk. Ari")</f>
        <v>Bengkel Las Bpk. Ari</v>
      </c>
      <c r="F2710" s="211" t="str">
        <f>IFERROR(__xludf.DUMMYFUNCTION("""COMPUTED_VALUE"""),"8bdbe149")</f>
        <v>8bdbe149</v>
      </c>
      <c r="G2710" s="211" t="str">
        <f>IFERROR(__xludf.DUMMYFUNCTION("""COMPUTED_VALUE"""),"Oksigen 6m3")</f>
        <v>Oksigen 6m3</v>
      </c>
      <c r="H2710" s="211" t="str">
        <f>IFERROR(__xludf.DUMMYFUNCTION("""COMPUTED_VALUE"""),"OUT")</f>
        <v>OUT</v>
      </c>
      <c r="I2710" s="211" t="str">
        <f>IFERROR(__xludf.DUMMYFUNCTION("""COMPUTED_VALUE"""),"NORMAL")</f>
        <v>NORMAL</v>
      </c>
      <c r="J2710" s="211">
        <f>IFERROR(__xludf.DUMMYFUNCTION("""COMPUTED_VALUE"""),6.0)</f>
        <v>6</v>
      </c>
      <c r="K2710" s="210" t="str">
        <f>IFERROR(__xludf.DUMMYFUNCTION("""COMPUTED_VALUE"""),"1110 11278 1198 11284 1131 11289")</f>
        <v>1110 11278 1198 11284 1131 11289</v>
      </c>
      <c r="L2710" s="211">
        <f>IFERROR(__xludf.DUMMYFUNCTION("""COMPUTED_VALUE"""),60000.0)</f>
        <v>60000</v>
      </c>
      <c r="M2710" s="211"/>
      <c r="N2710" s="211"/>
      <c r="O2710" s="211"/>
      <c r="Q2710" s="210" t="str">
        <f>IFERROR(__xludf.DUMMYFUNCTION("""COMPUTED_VALUE"""),"1261335")</f>
        <v>1261335</v>
      </c>
      <c r="R2710" s="210" t="str">
        <f>IFERROR(__xludf.DUMMYFUNCTION("""COMPUTED_VALUE"""),"1261335")</f>
        <v>1261335</v>
      </c>
      <c r="S2710" s="211" t="str">
        <f>IFERROR(__xludf.DUMMYFUNCTION("""COMPUTED_VALUE"""),"ec231cc9")</f>
        <v>ec231cc9</v>
      </c>
      <c r="T2710" s="211" t="str">
        <f>IFERROR(__xludf.DUMMYFUNCTION("""COMPUTED_VALUE"""),"Bpk. Kohir (Maintenance Velg)")</f>
        <v>Bpk. Kohir (Maintenance Velg)</v>
      </c>
      <c r="U2710" s="215">
        <f>IFERROR(__xludf.DUMMYFUNCTION("""COMPUTED_VALUE"""),46081.63350694445)</f>
        <v>46081.63351</v>
      </c>
      <c r="V2710" s="211" t="str">
        <f>IFERROR(__xludf.DUMMYFUNCTION("""COMPUTED_VALUE"""),"Jl. Lkr. Bypass Krian Timur, Sidogolong, Watugolong, Kec. Krian, Kabupaten Sidoarjo, Jawa Timur 61262")</f>
        <v>Jl. Lkr. Bypass Krian Timur, Sidogolong, Watugolong, Kec. Krian, Kabupaten Sidoarjo, Jawa Timur 61262</v>
      </c>
      <c r="W2710" s="211" t="str">
        <f>IFERROR(__xludf.DUMMYFUNCTION("""COMPUTED_VALUE"""),"IN")</f>
        <v>IN</v>
      </c>
      <c r="X2710" s="211"/>
    </row>
    <row r="2711">
      <c r="A2711" s="210" t="str">
        <f>IFERROR(__xludf.DUMMYFUNCTION("""COMPUTED_VALUE"""),"1225501911")</f>
        <v>1225501911</v>
      </c>
      <c r="B2711" s="210" t="str">
        <f>IFERROR(__xludf.DUMMYFUNCTION("""COMPUTED_VALUE"""),"1225501911")</f>
        <v>1225501911</v>
      </c>
      <c r="C2711" s="213">
        <f>IFERROR(__xludf.DUMMYFUNCTION("""COMPUTED_VALUE"""),45999.465729166666)</f>
        <v>45999.46573</v>
      </c>
      <c r="D2711" s="211" t="str">
        <f>IFERROR(__xludf.DUMMYFUNCTION("""COMPUTED_VALUE"""),"b2b5f2c5")</f>
        <v>b2b5f2c5</v>
      </c>
      <c r="E2711" s="211" t="str">
        <f>IFERROR(__xludf.DUMMYFUNCTION("""COMPUTED_VALUE"""),"Bengkel Las Bpk. Ari")</f>
        <v>Bengkel Las Bpk. Ari</v>
      </c>
      <c r="F2711" s="211" t="str">
        <f>IFERROR(__xludf.DUMMYFUNCTION("""COMPUTED_VALUE"""),"ef306e54")</f>
        <v>ef306e54</v>
      </c>
      <c r="G2711" s="211" t="str">
        <f>IFERROR(__xludf.DUMMYFUNCTION("""COMPUTED_VALUE"""),"Karbondioksida")</f>
        <v>Karbondioksida</v>
      </c>
      <c r="H2711" s="211" t="str">
        <f>IFERROR(__xludf.DUMMYFUNCTION("""COMPUTED_VALUE"""),"OUT")</f>
        <v>OUT</v>
      </c>
      <c r="I2711" s="211" t="str">
        <f>IFERROR(__xludf.DUMMYFUNCTION("""COMPUTED_VALUE"""),"NORMAL")</f>
        <v>NORMAL</v>
      </c>
      <c r="J2711" s="211">
        <f>IFERROR(__xludf.DUMMYFUNCTION("""COMPUTED_VALUE"""),2.0)</f>
        <v>2</v>
      </c>
      <c r="K2711" s="210" t="str">
        <f>IFERROR(__xludf.DUMMYFUNCTION("""COMPUTED_VALUE"""),"13031 13039")</f>
        <v>13031 13039</v>
      </c>
      <c r="L2711" s="211">
        <f>IFERROR(__xludf.DUMMYFUNCTION("""COMPUTED_VALUE"""),180000.0)</f>
        <v>180000</v>
      </c>
      <c r="M2711" s="211"/>
      <c r="N2711" s="211"/>
      <c r="O2711" s="211"/>
      <c r="Q2711" s="210" t="str">
        <f>IFERROR(__xludf.DUMMYFUNCTION("""COMPUTED_VALUE"""),"0326192707")</f>
        <v>0326192707</v>
      </c>
      <c r="R2711" s="210" t="str">
        <f>IFERROR(__xludf.DUMMYFUNCTION("""COMPUTED_VALUE"""),"0326192707")</f>
        <v>0326192707</v>
      </c>
      <c r="S2711" s="211" t="str">
        <f>IFERROR(__xludf.DUMMYFUNCTION("""COMPUTED_VALUE"""),"a0f0ad2d")</f>
        <v>a0f0ad2d</v>
      </c>
      <c r="T2711" s="211" t="str">
        <f>IFERROR(__xludf.DUMMYFUNCTION("""COMPUTED_VALUE"""),"CV. Yulie Jaya")</f>
        <v>CV. Yulie Jaya</v>
      </c>
      <c r="U2711" s="215">
        <f>IFERROR(__xludf.DUMMYFUNCTION("""COMPUTED_VALUE"""),46083.355671296296)</f>
        <v>46083.35567</v>
      </c>
      <c r="V2711" s="211" t="str">
        <f>IFERROR(__xludf.DUMMYFUNCTION("""COMPUTED_VALUE"""),"JJH4+6RV, Badas, Barengkrajan, Kec. Krian, Kabupaten Sidoarjo, Jawa Timur 61262")</f>
        <v>JJH4+6RV, Badas, Barengkrajan, Kec. Krian, Kabupaten Sidoarjo, Jawa Timur 61262</v>
      </c>
      <c r="W2711" s="211" t="str">
        <f>IFERROR(__xludf.DUMMYFUNCTION("""COMPUTED_VALUE"""),"OUT")</f>
        <v>OUT</v>
      </c>
      <c r="X2711" s="211"/>
    </row>
    <row r="2712">
      <c r="A2712" s="210" t="str">
        <f>IFERROR(__xludf.DUMMYFUNCTION("""COMPUTED_VALUE"""),"1225501911")</f>
        <v>1225501911</v>
      </c>
      <c r="B2712" s="210" t="str">
        <f>IFERROR(__xludf.DUMMYFUNCTION("""COMPUTED_VALUE"""),"1225501911")</f>
        <v>1225501911</v>
      </c>
      <c r="C2712" s="213">
        <f>IFERROR(__xludf.DUMMYFUNCTION("""COMPUTED_VALUE"""),45999.465729166666)</f>
        <v>45999.46573</v>
      </c>
      <c r="D2712" s="211" t="str">
        <f>IFERROR(__xludf.DUMMYFUNCTION("""COMPUTED_VALUE"""),"b2b5f2c5")</f>
        <v>b2b5f2c5</v>
      </c>
      <c r="E2712" s="211" t="str">
        <f>IFERROR(__xludf.DUMMYFUNCTION("""COMPUTED_VALUE"""),"Bengkel Las Bpk. Ari")</f>
        <v>Bengkel Las Bpk. Ari</v>
      </c>
      <c r="F2712" s="211" t="str">
        <f>IFERROR(__xludf.DUMMYFUNCTION("""COMPUTED_VALUE"""),"f6aab7a9")</f>
        <v>f6aab7a9</v>
      </c>
      <c r="G2712" s="211" t="str">
        <f>IFERROR(__xludf.DUMMYFUNCTION("""COMPUTED_VALUE"""),"Oksigen 6m3 MR")</f>
        <v>Oksigen 6m3 MR</v>
      </c>
      <c r="H2712" s="211" t="str">
        <f>IFERROR(__xludf.DUMMYFUNCTION("""COMPUTED_VALUE"""),"OUT")</f>
        <v>OUT</v>
      </c>
      <c r="I2712" s="211" t="str">
        <f>IFERROR(__xludf.DUMMYFUNCTION("""COMPUTED_VALUE"""),"NORMAL")</f>
        <v>NORMAL</v>
      </c>
      <c r="J2712" s="211">
        <f>IFERROR(__xludf.DUMMYFUNCTION("""COMPUTED_VALUE"""),4.0)</f>
        <v>4</v>
      </c>
      <c r="K2712" s="210" t="str">
        <f>IFERROR(__xludf.DUMMYFUNCTION("""COMPUTED_VALUE"""),"01 02 03 04")</f>
        <v>01 02 03 04</v>
      </c>
      <c r="L2712" s="211">
        <f>IFERROR(__xludf.DUMMYFUNCTION("""COMPUTED_VALUE"""),55000.0)</f>
        <v>55000</v>
      </c>
      <c r="M2712" s="211"/>
      <c r="N2712" s="211"/>
      <c r="O2712" s="211"/>
      <c r="Q2712" s="210" t="str">
        <f>IFERROR(__xludf.DUMMYFUNCTION("""COMPUTED_VALUE"""),"0326172712")</f>
        <v>0326172712</v>
      </c>
      <c r="R2712" s="210" t="str">
        <f>IFERROR(__xludf.DUMMYFUNCTION("""COMPUTED_VALUE"""),"0326172712")</f>
        <v>0326172712</v>
      </c>
      <c r="S2712" s="211" t="str">
        <f>IFERROR(__xludf.DUMMYFUNCTION("""COMPUTED_VALUE"""),"eec2e801")</f>
        <v>eec2e801</v>
      </c>
      <c r="T2712" s="211" t="str">
        <f>IFERROR(__xludf.DUMMYFUNCTION("""COMPUTED_VALUE"""),"Mitra Wood Sejahtera")</f>
        <v>Mitra Wood Sejahtera</v>
      </c>
      <c r="U2712" s="215">
        <f>IFERROR(__xludf.DUMMYFUNCTION("""COMPUTED_VALUE"""),46083.42190972222)</f>
        <v>46083.42191</v>
      </c>
      <c r="V2712" s="211" t="str">
        <f>IFERROR(__xludf.DUMMYFUNCTION("""COMPUTED_VALUE"""),"Jl.cungkling, Jl. Tanggungan, Nanom Kidul, Lebaniwaras, Kec. Wringinanom, Kabupaten Gresik, Jawa Timur 61176")</f>
        <v>Jl.cungkling, Jl. Tanggungan, Nanom Kidul, Lebaniwaras, Kec. Wringinanom, Kabupaten Gresik, Jawa Timur 61176</v>
      </c>
      <c r="W2712" s="211" t="str">
        <f>IFERROR(__xludf.DUMMYFUNCTION("""COMPUTED_VALUE"""),"OUT")</f>
        <v>OUT</v>
      </c>
      <c r="X2712" s="211"/>
    </row>
    <row r="2713">
      <c r="A2713" s="210" t="str">
        <f>IFERROR(__xludf.DUMMYFUNCTION("""COMPUTED_VALUE"""),"122551913")</f>
        <v>122551913</v>
      </c>
      <c r="B2713" s="210" t="str">
        <f>IFERROR(__xludf.DUMMYFUNCTION("""COMPUTED_VALUE"""),"122551913")</f>
        <v>122551913</v>
      </c>
      <c r="C2713" s="213">
        <f>IFERROR(__xludf.DUMMYFUNCTION("""COMPUTED_VALUE"""),45999.46729166667)</f>
        <v>45999.46729</v>
      </c>
      <c r="D2713" s="211" t="str">
        <f>IFERROR(__xludf.DUMMYFUNCTION("""COMPUTED_VALUE"""),"f8a982a4")</f>
        <v>f8a982a4</v>
      </c>
      <c r="E2713" s="211" t="str">
        <f>IFERROR(__xludf.DUMMYFUNCTION("""COMPUTED_VALUE"""),"Bpk. Nasir")</f>
        <v>Bpk. Nasir</v>
      </c>
      <c r="F2713" s="211" t="str">
        <f>IFERROR(__xludf.DUMMYFUNCTION("""COMPUTED_VALUE"""),"8bdbe149")</f>
        <v>8bdbe149</v>
      </c>
      <c r="G2713" s="211" t="str">
        <f>IFERROR(__xludf.DUMMYFUNCTION("""COMPUTED_VALUE"""),"Oksigen 6m3")</f>
        <v>Oksigen 6m3</v>
      </c>
      <c r="H2713" s="211" t="str">
        <f>IFERROR(__xludf.DUMMYFUNCTION("""COMPUTED_VALUE"""),"OUT")</f>
        <v>OUT</v>
      </c>
      <c r="I2713" s="211" t="str">
        <f>IFERROR(__xludf.DUMMYFUNCTION("""COMPUTED_VALUE"""),"NORMAL")</f>
        <v>NORMAL</v>
      </c>
      <c r="J2713" s="211">
        <f>IFERROR(__xludf.DUMMYFUNCTION("""COMPUTED_VALUE"""),2.0)</f>
        <v>2</v>
      </c>
      <c r="K2713" s="210" t="str">
        <f>IFERROR(__xludf.DUMMYFUNCTION("""COMPUTED_VALUE"""),"1183 11185")</f>
        <v>1183 11185</v>
      </c>
      <c r="L2713" s="211">
        <f>IFERROR(__xludf.DUMMYFUNCTION("""COMPUTED_VALUE"""),70000.0)</f>
        <v>70000</v>
      </c>
      <c r="M2713" s="211"/>
      <c r="N2713" s="211"/>
      <c r="O2713" s="211"/>
      <c r="Q2713" s="210" t="str">
        <f>IFERROR(__xludf.DUMMYFUNCTION("""COMPUTED_VALUE"""),"1261336")</f>
        <v>1261336</v>
      </c>
      <c r="R2713" s="210" t="str">
        <f>IFERROR(__xludf.DUMMYFUNCTION("""COMPUTED_VALUE"""),"1261336")</f>
        <v>1261336</v>
      </c>
      <c r="S2713" s="211" t="str">
        <f>IFERROR(__xludf.DUMMYFUNCTION("""COMPUTED_VALUE"""),"a0f0ad2d")</f>
        <v>a0f0ad2d</v>
      </c>
      <c r="T2713" s="211" t="str">
        <f>IFERROR(__xludf.DUMMYFUNCTION("""COMPUTED_VALUE"""),"CV. Yulie Jaya")</f>
        <v>CV. Yulie Jaya</v>
      </c>
      <c r="U2713" s="215">
        <f>IFERROR(__xludf.DUMMYFUNCTION("""COMPUTED_VALUE"""),46083.49466435185)</f>
        <v>46083.49466</v>
      </c>
      <c r="V2713" s="211" t="str">
        <f>IFERROR(__xludf.DUMMYFUNCTION("""COMPUTED_VALUE"""),"JJH4+6RV, Badas, Barengkrajan, Kec. Krian, Kabupaten Sidoarjo, Jawa Timur 61262")</f>
        <v>JJH4+6RV, Badas, Barengkrajan, Kec. Krian, Kabupaten Sidoarjo, Jawa Timur 61262</v>
      </c>
      <c r="W2713" s="211" t="str">
        <f>IFERROR(__xludf.DUMMYFUNCTION("""COMPUTED_VALUE"""),"IN")</f>
        <v>IN</v>
      </c>
      <c r="X2713" s="211"/>
    </row>
    <row r="2714">
      <c r="A2714" s="210" t="str">
        <f>IFERROR(__xludf.DUMMYFUNCTION("""COMPUTED_VALUE"""),"122541914")</f>
        <v>122541914</v>
      </c>
      <c r="B2714" s="210" t="str">
        <f>IFERROR(__xludf.DUMMYFUNCTION("""COMPUTED_VALUE"""),"122541914")</f>
        <v>122541914</v>
      </c>
      <c r="C2714" s="213">
        <f>IFERROR(__xludf.DUMMYFUNCTION("""COMPUTED_VALUE"""),45999.46765046296)</f>
        <v>45999.46765</v>
      </c>
      <c r="D2714" s="211" t="str">
        <f>IFERROR(__xludf.DUMMYFUNCTION("""COMPUTED_VALUE"""),"ca4876e2")</f>
        <v>ca4876e2</v>
      </c>
      <c r="E2714" s="211" t="str">
        <f>IFERROR(__xludf.DUMMYFUNCTION("""COMPUTED_VALUE"""),"Bengkel Mustika Mojosari")</f>
        <v>Bengkel Mustika Mojosari</v>
      </c>
      <c r="F2714" s="211" t="str">
        <f>IFERROR(__xludf.DUMMYFUNCTION("""COMPUTED_VALUE"""),"8bdbe149")</f>
        <v>8bdbe149</v>
      </c>
      <c r="G2714" s="211" t="str">
        <f>IFERROR(__xludf.DUMMYFUNCTION("""COMPUTED_VALUE"""),"Oksigen 6m3")</f>
        <v>Oksigen 6m3</v>
      </c>
      <c r="H2714" s="211" t="str">
        <f>IFERROR(__xludf.DUMMYFUNCTION("""COMPUTED_VALUE"""),"OUT")</f>
        <v>OUT</v>
      </c>
      <c r="I2714" s="211" t="str">
        <f>IFERROR(__xludf.DUMMYFUNCTION("""COMPUTED_VALUE"""),"NORMAL")</f>
        <v>NORMAL</v>
      </c>
      <c r="J2714" s="211">
        <f>IFERROR(__xludf.DUMMYFUNCTION("""COMPUTED_VALUE"""),2.0)</f>
        <v>2</v>
      </c>
      <c r="K2714" s="210" t="str">
        <f>IFERROR(__xludf.DUMMYFUNCTION("""COMPUTED_VALUE"""),"11109 1106")</f>
        <v>11109 1106</v>
      </c>
      <c r="L2714" s="211">
        <f>IFERROR(__xludf.DUMMYFUNCTION("""COMPUTED_VALUE"""),65000.0)</f>
        <v>65000</v>
      </c>
      <c r="M2714" s="211"/>
      <c r="N2714" s="211"/>
      <c r="O2714" s="211"/>
      <c r="Q2714" s="210" t="str">
        <f>IFERROR(__xludf.DUMMYFUNCTION("""COMPUTED_VALUE"""),"1261337")</f>
        <v>1261337</v>
      </c>
      <c r="R2714" s="210" t="str">
        <f>IFERROR(__xludf.DUMMYFUNCTION("""COMPUTED_VALUE"""),"1261337")</f>
        <v>1261337</v>
      </c>
      <c r="S2714" s="211" t="str">
        <f>IFERROR(__xludf.DUMMYFUNCTION("""COMPUTED_VALUE"""),"b2b5f2c5")</f>
        <v>b2b5f2c5</v>
      </c>
      <c r="T2714" s="211" t="str">
        <f>IFERROR(__xludf.DUMMYFUNCTION("""COMPUTED_VALUE"""),"Bengkel Las Bpk. Ari")</f>
        <v>Bengkel Las Bpk. Ari</v>
      </c>
      <c r="U2714" s="215">
        <f>IFERROR(__xludf.DUMMYFUNCTION("""COMPUTED_VALUE"""),46083.55143518518)</f>
        <v>46083.55144</v>
      </c>
      <c r="V2714" s="211" t="str">
        <f>IFERROR(__xludf.DUMMYFUNCTION("""COMPUTED_VALUE"""),"Sumber Kembar, Wonodadi, Kec. Kutorejo, Kabupaten Mojokerto, Jawa Timur")</f>
        <v>Sumber Kembar, Wonodadi, Kec. Kutorejo, Kabupaten Mojokerto, Jawa Timur</v>
      </c>
      <c r="W2714" s="211" t="str">
        <f>IFERROR(__xludf.DUMMYFUNCTION("""COMPUTED_VALUE"""),"IN")</f>
        <v>IN</v>
      </c>
      <c r="X2714" s="211"/>
    </row>
    <row r="2715">
      <c r="A2715" s="210" t="str">
        <f>IFERROR(__xludf.DUMMYFUNCTION("""COMPUTED_VALUE"""),"1225241915")</f>
        <v>1225241915</v>
      </c>
      <c r="B2715" s="210" t="str">
        <f>IFERROR(__xludf.DUMMYFUNCTION("""COMPUTED_VALUE"""),"1225241915")</f>
        <v>1225241915</v>
      </c>
      <c r="C2715" s="213">
        <f>IFERROR(__xludf.DUMMYFUNCTION("""COMPUTED_VALUE"""),45999.46821759259)</f>
        <v>45999.46822</v>
      </c>
      <c r="D2715" s="211" t="str">
        <f>IFERROR(__xludf.DUMMYFUNCTION("""COMPUTED_VALUE"""),"3bcd7fe6")</f>
        <v>3bcd7fe6</v>
      </c>
      <c r="E2715" s="211" t="str">
        <f>IFERROR(__xludf.DUMMYFUNCTION("""COMPUTED_VALUE"""),"Bpk. Alvin (LB Group)")</f>
        <v>Bpk. Alvin (LB Group)</v>
      </c>
      <c r="F2715" s="211" t="str">
        <f>IFERROR(__xludf.DUMMYFUNCTION("""COMPUTED_VALUE"""),"7d2764f1")</f>
        <v>7d2764f1</v>
      </c>
      <c r="G2715" s="211" t="str">
        <f>IFERROR(__xludf.DUMMYFUNCTION("""COMPUTED_VALUE"""),"Oksigen 7m3")</f>
        <v>Oksigen 7m3</v>
      </c>
      <c r="H2715" s="211" t="str">
        <f>IFERROR(__xludf.DUMMYFUNCTION("""COMPUTED_VALUE"""),"OUT")</f>
        <v>OUT</v>
      </c>
      <c r="I2715" s="211" t="str">
        <f>IFERROR(__xludf.DUMMYFUNCTION("""COMPUTED_VALUE"""),"NORMAL")</f>
        <v>NORMAL</v>
      </c>
      <c r="J2715" s="211">
        <f>IFERROR(__xludf.DUMMYFUNCTION("""COMPUTED_VALUE"""),4.0)</f>
        <v>4</v>
      </c>
      <c r="K2715" s="210" t="str">
        <f>IFERROR(__xludf.DUMMYFUNCTION("""COMPUTED_VALUE"""),"11213 11214 11216 11227")</f>
        <v>11213 11214 11216 11227</v>
      </c>
      <c r="L2715" s="211">
        <f>IFERROR(__xludf.DUMMYFUNCTION("""COMPUTED_VALUE"""),55000.0)</f>
        <v>55000</v>
      </c>
      <c r="M2715" s="211"/>
      <c r="N2715" s="211"/>
      <c r="O2715" s="211"/>
      <c r="Q2715" s="210" t="str">
        <f>IFERROR(__xludf.DUMMYFUNCTION("""COMPUTED_VALUE"""),"032662713")</f>
        <v>032662713</v>
      </c>
      <c r="R2715" s="210" t="str">
        <f>IFERROR(__xludf.DUMMYFUNCTION("""COMPUTED_VALUE"""),"032662713")</f>
        <v>032662713</v>
      </c>
      <c r="S2715" s="211" t="str">
        <f>IFERROR(__xludf.DUMMYFUNCTION("""COMPUTED_VALUE"""),"de41c3e8")</f>
        <v>de41c3e8</v>
      </c>
      <c r="T2715" s="211" t="str">
        <f>IFERROR(__xludf.DUMMYFUNCTION("""COMPUTED_VALUE"""),"Bpk. Eko Mianto")</f>
        <v>Bpk. Eko Mianto</v>
      </c>
      <c r="U2715" s="215">
        <f>IFERROR(__xludf.DUMMYFUNCTION("""COMPUTED_VALUE"""),46083.558020833334)</f>
        <v>46083.55802</v>
      </c>
      <c r="V2715" s="211" t="str">
        <f>IFERROR(__xludf.DUMMYFUNCTION("""COMPUTED_VALUE"""),"The Graha Residen, Blok D4 No 33. Tropodo, Kec Krian, Kabupaten Sidaorjo, Jawa Timur 61262")</f>
        <v>The Graha Residen, Blok D4 No 33. Tropodo, Kec Krian, Kabupaten Sidaorjo, Jawa Timur 61262</v>
      </c>
      <c r="W2715" s="211" t="str">
        <f>IFERROR(__xludf.DUMMYFUNCTION("""COMPUTED_VALUE"""),"OUT")</f>
        <v>OUT</v>
      </c>
      <c r="X2715" s="211"/>
    </row>
    <row r="2716">
      <c r="A2716" s="210" t="str">
        <f>IFERROR(__xludf.DUMMYFUNCTION("""COMPUTED_VALUE"""),"122561916")</f>
        <v>122561916</v>
      </c>
      <c r="B2716" s="210" t="str">
        <f>IFERROR(__xludf.DUMMYFUNCTION("""COMPUTED_VALUE"""),"122561916")</f>
        <v>122561916</v>
      </c>
      <c r="C2716" s="213">
        <f>IFERROR(__xludf.DUMMYFUNCTION("""COMPUTED_VALUE"""),45999.46865740741)</f>
        <v>45999.46866</v>
      </c>
      <c r="D2716" s="211" t="str">
        <f>IFERROR(__xludf.DUMMYFUNCTION("""COMPUTED_VALUE"""),"63fc688a")</f>
        <v>63fc688a</v>
      </c>
      <c r="E2716" s="211" t="str">
        <f>IFERROR(__xludf.DUMMYFUNCTION("""COMPUTED_VALUE"""),"CV Malik Nusantara")</f>
        <v>CV Malik Nusantara</v>
      </c>
      <c r="F2716" s="211" t="str">
        <f>IFERROR(__xludf.DUMMYFUNCTION("""COMPUTED_VALUE"""),"8bdbe149")</f>
        <v>8bdbe149</v>
      </c>
      <c r="G2716" s="211" t="str">
        <f>IFERROR(__xludf.DUMMYFUNCTION("""COMPUTED_VALUE"""),"Oksigen 6m3")</f>
        <v>Oksigen 6m3</v>
      </c>
      <c r="H2716" s="211" t="str">
        <f>IFERROR(__xludf.DUMMYFUNCTION("""COMPUTED_VALUE"""),"OUT")</f>
        <v>OUT</v>
      </c>
      <c r="I2716" s="211" t="str">
        <f>IFERROR(__xludf.DUMMYFUNCTION("""COMPUTED_VALUE"""),"NORMAL")</f>
        <v>NORMAL</v>
      </c>
      <c r="J2716" s="211">
        <f>IFERROR(__xludf.DUMMYFUNCTION("""COMPUTED_VALUE"""),5.0)</f>
        <v>5</v>
      </c>
      <c r="K2716" s="210" t="str">
        <f>IFERROR(__xludf.DUMMYFUNCTION("""COMPUTED_VALUE"""),"11196 1156 11250 11248 11240")</f>
        <v>11196 1156 11250 11248 11240</v>
      </c>
      <c r="L2716" s="211">
        <f>IFERROR(__xludf.DUMMYFUNCTION("""COMPUTED_VALUE"""),65000.0)</f>
        <v>65000</v>
      </c>
      <c r="M2716" s="211"/>
      <c r="N2716" s="211"/>
      <c r="O2716" s="211"/>
      <c r="Q2716" s="210" t="str">
        <f>IFERROR(__xludf.DUMMYFUNCTION("""COMPUTED_VALUE"""),"1261325")</f>
        <v>1261325</v>
      </c>
      <c r="R2716" s="210" t="str">
        <f>IFERROR(__xludf.DUMMYFUNCTION("""COMPUTED_VALUE"""),"1261325")</f>
        <v>1261325</v>
      </c>
      <c r="S2716" s="211" t="str">
        <f>IFERROR(__xludf.DUMMYFUNCTION("""COMPUTED_VALUE"""),"eec2e801")</f>
        <v>eec2e801</v>
      </c>
      <c r="T2716" s="211" t="str">
        <f>IFERROR(__xludf.DUMMYFUNCTION("""COMPUTED_VALUE"""),"Mitra Wood Sejahtera")</f>
        <v>Mitra Wood Sejahtera</v>
      </c>
      <c r="U2716" s="215">
        <f>IFERROR(__xludf.DUMMYFUNCTION("""COMPUTED_VALUE"""),46083.591944444444)</f>
        <v>46083.59194</v>
      </c>
      <c r="V2716" s="211" t="str">
        <f>IFERROR(__xludf.DUMMYFUNCTION("""COMPUTED_VALUE"""),"Jl.cungkling, Jl. Tanggungan, Nanom Kidul, Lebaniwaras, Kec. Wringinanom, Kabupaten Gresik, Jawa Timur 61176")</f>
        <v>Jl.cungkling, Jl. Tanggungan, Nanom Kidul, Lebaniwaras, Kec. Wringinanom, Kabupaten Gresik, Jawa Timur 61176</v>
      </c>
      <c r="W2716" s="211" t="str">
        <f>IFERROR(__xludf.DUMMYFUNCTION("""COMPUTED_VALUE"""),"IN")</f>
        <v>IN</v>
      </c>
      <c r="X2716" s="211"/>
    </row>
    <row r="2717">
      <c r="A2717" s="210" t="str">
        <f>IFERROR(__xludf.DUMMYFUNCTION("""COMPUTED_VALUE"""),"122561916")</f>
        <v>122561916</v>
      </c>
      <c r="B2717" s="210" t="str">
        <f>IFERROR(__xludf.DUMMYFUNCTION("""COMPUTED_VALUE"""),"122561916")</f>
        <v>122561916</v>
      </c>
      <c r="C2717" s="213">
        <f>IFERROR(__xludf.DUMMYFUNCTION("""COMPUTED_VALUE"""),45999.46865740741)</f>
        <v>45999.46866</v>
      </c>
      <c r="D2717" s="211" t="str">
        <f>IFERROR(__xludf.DUMMYFUNCTION("""COMPUTED_VALUE"""),"63fc688a")</f>
        <v>63fc688a</v>
      </c>
      <c r="E2717" s="211" t="str">
        <f>IFERROR(__xludf.DUMMYFUNCTION("""COMPUTED_VALUE"""),"CV Malik Nusantara")</f>
        <v>CV Malik Nusantara</v>
      </c>
      <c r="F2717" s="211" t="str">
        <f>IFERROR(__xludf.DUMMYFUNCTION("""COMPUTED_VALUE"""),"be525f3b")</f>
        <v>be525f3b</v>
      </c>
      <c r="G2717" s="211" t="str">
        <f>IFERROR(__xludf.DUMMYFUNCTION("""COMPUTED_VALUE"""),"LPG 12kg")</f>
        <v>LPG 12kg</v>
      </c>
      <c r="H2717" s="211" t="str">
        <f>IFERROR(__xludf.DUMMYFUNCTION("""COMPUTED_VALUE"""),"OUT")</f>
        <v>OUT</v>
      </c>
      <c r="I2717" s="211" t="str">
        <f>IFERROR(__xludf.DUMMYFUNCTION("""COMPUTED_VALUE"""),"NORMAL")</f>
        <v>NORMAL</v>
      </c>
      <c r="J2717" s="211">
        <f>IFERROR(__xludf.DUMMYFUNCTION("""COMPUTED_VALUE"""),1.0)</f>
        <v>1</v>
      </c>
      <c r="K2717" s="210" t="str">
        <f>IFERROR(__xludf.DUMMYFUNCTION("""COMPUTED_VALUE"""),"01")</f>
        <v>01</v>
      </c>
      <c r="L2717" s="211">
        <f>IFERROR(__xludf.DUMMYFUNCTION("""COMPUTED_VALUE"""),200000.0)</f>
        <v>200000</v>
      </c>
      <c r="M2717" s="211"/>
      <c r="N2717" s="211"/>
      <c r="O2717" s="211"/>
      <c r="Q2717" s="210" t="str">
        <f>IFERROR(__xludf.DUMMYFUNCTION("""COMPUTED_VALUE"""),"1261326")</f>
        <v>1261326</v>
      </c>
      <c r="R2717" s="210" t="str">
        <f>IFERROR(__xludf.DUMMYFUNCTION("""COMPUTED_VALUE"""),"1261326")</f>
        <v>1261326</v>
      </c>
      <c r="S2717" s="211" t="str">
        <f>IFERROR(__xludf.DUMMYFUNCTION("""COMPUTED_VALUE"""),"785e0e07")</f>
        <v>785e0e07</v>
      </c>
      <c r="T2717" s="211" t="str">
        <f>IFERROR(__xludf.DUMMYFUNCTION("""COMPUTED_VALUE"""),"Bpk. Sukirno (Bejo)")</f>
        <v>Bpk. Sukirno (Bejo)</v>
      </c>
      <c r="U2717" s="215">
        <f>IFERROR(__xludf.DUMMYFUNCTION("""COMPUTED_VALUE"""),46083.592523148145)</f>
        <v>46083.59252</v>
      </c>
      <c r="V2717" s="211" t="str">
        <f>IFERROR(__xludf.DUMMYFUNCTION("""COMPUTED_VALUE"""),"Krajan I, Wringinanom, Kec. Wringinanom, Kabupaten Gresik, Jawa Timur 61176")</f>
        <v>Krajan I, Wringinanom, Kec. Wringinanom, Kabupaten Gresik, Jawa Timur 61176</v>
      </c>
      <c r="W2717" s="211" t="str">
        <f>IFERROR(__xludf.DUMMYFUNCTION("""COMPUTED_VALUE"""),"IN")</f>
        <v>IN</v>
      </c>
      <c r="X2717" s="211"/>
    </row>
    <row r="2718">
      <c r="A2718" s="210" t="str">
        <f>IFERROR(__xludf.DUMMYFUNCTION("""COMPUTED_VALUE"""),"122591917")</f>
        <v>122591917</v>
      </c>
      <c r="B2718" s="210" t="str">
        <f>IFERROR(__xludf.DUMMYFUNCTION("""COMPUTED_VALUE"""),"122591917")</f>
        <v>122591917</v>
      </c>
      <c r="C2718" s="213">
        <f>IFERROR(__xludf.DUMMYFUNCTION("""COMPUTED_VALUE"""),45999.469618055555)</f>
        <v>45999.46962</v>
      </c>
      <c r="D2718" s="211" t="str">
        <f>IFERROR(__xludf.DUMMYFUNCTION("""COMPUTED_VALUE"""),"eec2e801")</f>
        <v>eec2e801</v>
      </c>
      <c r="E2718" s="211" t="str">
        <f>IFERROR(__xludf.DUMMYFUNCTION("""COMPUTED_VALUE"""),"Mitra Wood Sejahtera")</f>
        <v>Mitra Wood Sejahtera</v>
      </c>
      <c r="F2718" s="211" t="str">
        <f>IFERROR(__xludf.DUMMYFUNCTION("""COMPUTED_VALUE"""),"8bdbe149")</f>
        <v>8bdbe149</v>
      </c>
      <c r="G2718" s="211" t="str">
        <f>IFERROR(__xludf.DUMMYFUNCTION("""COMPUTED_VALUE"""),"Oksigen 6m3")</f>
        <v>Oksigen 6m3</v>
      </c>
      <c r="H2718" s="211" t="str">
        <f>IFERROR(__xludf.DUMMYFUNCTION("""COMPUTED_VALUE"""),"OUT")</f>
        <v>OUT</v>
      </c>
      <c r="I2718" s="211" t="str">
        <f>IFERROR(__xludf.DUMMYFUNCTION("""COMPUTED_VALUE"""),"NORMAL")</f>
        <v>NORMAL</v>
      </c>
      <c r="J2718" s="211">
        <f>IFERROR(__xludf.DUMMYFUNCTION("""COMPUTED_VALUE"""),9.0)</f>
        <v>9</v>
      </c>
      <c r="K2718" s="210" t="str">
        <f>IFERROR(__xludf.DUMMYFUNCTION("""COMPUTED_VALUE"""),"11197 11294 11262 11279 11199 1197 1153 11256 11120")</f>
        <v>11197 11294 11262 11279 11199 1197 1153 11256 11120</v>
      </c>
      <c r="L2718" s="211">
        <f>IFERROR(__xludf.DUMMYFUNCTION("""COMPUTED_VALUE"""),55000.0)</f>
        <v>55000</v>
      </c>
      <c r="M2718" s="211"/>
      <c r="N2718" s="211"/>
      <c r="O2718" s="211"/>
      <c r="Q2718" s="210" t="str">
        <f>IFERROR(__xludf.DUMMYFUNCTION("""COMPUTED_VALUE"""),"1261327")</f>
        <v>1261327</v>
      </c>
      <c r="R2718" s="210" t="str">
        <f>IFERROR(__xludf.DUMMYFUNCTION("""COMPUTED_VALUE"""),"1261327")</f>
        <v>1261327</v>
      </c>
      <c r="S2718" s="211" t="str">
        <f>IFERROR(__xludf.DUMMYFUNCTION("""COMPUTED_VALUE"""),"3b04351a")</f>
        <v>3b04351a</v>
      </c>
      <c r="T2718" s="211" t="str">
        <f>IFERROR(__xludf.DUMMYFUNCTION("""COMPUTED_VALUE"""),"CV Usaha Logam Jaya")</f>
        <v>CV Usaha Logam Jaya</v>
      </c>
      <c r="U2718" s="215">
        <f>IFERROR(__xludf.DUMMYFUNCTION("""COMPUTED_VALUE"""),46083.59295138889)</f>
        <v>46083.59295</v>
      </c>
      <c r="V2718" s="211" t="str">
        <f>IFERROR(__xludf.DUMMYFUNCTION("""COMPUTED_VALUE"""),"Jl. Jetis Karya, Wonorejo, Jetis, Kec. Jetis, Kabupaten Mojokerto, Jawa Timur 61352")</f>
        <v>Jl. Jetis Karya, Wonorejo, Jetis, Kec. Jetis, Kabupaten Mojokerto, Jawa Timur 61352</v>
      </c>
      <c r="W2718" s="211" t="str">
        <f>IFERROR(__xludf.DUMMYFUNCTION("""COMPUTED_VALUE"""),"IN")</f>
        <v>IN</v>
      </c>
      <c r="X2718" s="211"/>
    </row>
    <row r="2719">
      <c r="A2719" s="210" t="str">
        <f>IFERROR(__xludf.DUMMYFUNCTION("""COMPUTED_VALUE"""),"122511918")</f>
        <v>122511918</v>
      </c>
      <c r="B2719" s="210" t="str">
        <f>IFERROR(__xludf.DUMMYFUNCTION("""COMPUTED_VALUE"""),"122511918")</f>
        <v>122511918</v>
      </c>
      <c r="C2719" s="213">
        <f>IFERROR(__xludf.DUMMYFUNCTION("""COMPUTED_VALUE"""),45999.615902777776)</f>
        <v>45999.6159</v>
      </c>
      <c r="D2719" s="211" t="str">
        <f>IFERROR(__xludf.DUMMYFUNCTION("""COMPUTED_VALUE"""),"6bfb8bcb")</f>
        <v>6bfb8bcb</v>
      </c>
      <c r="E2719" s="211" t="str">
        <f>IFERROR(__xludf.DUMMYFUNCTION("""COMPUTED_VALUE"""),"Bpk. Mashudul Chaq")</f>
        <v>Bpk. Mashudul Chaq</v>
      </c>
      <c r="F2719" s="211" t="str">
        <f>IFERROR(__xludf.DUMMYFUNCTION("""COMPUTED_VALUE"""),"f6aab7a9")</f>
        <v>f6aab7a9</v>
      </c>
      <c r="G2719" s="211" t="str">
        <f>IFERROR(__xludf.DUMMYFUNCTION("""COMPUTED_VALUE"""),"Oksigen 6m3 MR")</f>
        <v>Oksigen 6m3 MR</v>
      </c>
      <c r="H2719" s="211" t="str">
        <f>IFERROR(__xludf.DUMMYFUNCTION("""COMPUTED_VALUE"""),"OUT")</f>
        <v>OUT</v>
      </c>
      <c r="I2719" s="211" t="str">
        <f>IFERROR(__xludf.DUMMYFUNCTION("""COMPUTED_VALUE"""),"NORMAL")</f>
        <v>NORMAL</v>
      </c>
      <c r="J2719" s="211">
        <f>IFERROR(__xludf.DUMMYFUNCTION("""COMPUTED_VALUE"""),3.0)</f>
        <v>3</v>
      </c>
      <c r="K2719" s="211"/>
      <c r="L2719" s="211">
        <f>IFERROR(__xludf.DUMMYFUNCTION("""COMPUTED_VALUE"""),60000.0)</f>
        <v>60000</v>
      </c>
      <c r="M2719" s="211"/>
      <c r="N2719" s="211"/>
      <c r="O2719" s="211"/>
      <c r="Q2719" s="210" t="str">
        <f>IFERROR(__xludf.DUMMYFUNCTION("""COMPUTED_VALUE"""),"0326112716")</f>
        <v>0326112716</v>
      </c>
      <c r="R2719" s="210" t="str">
        <f>IFERROR(__xludf.DUMMYFUNCTION("""COMPUTED_VALUE"""),"0326112716")</f>
        <v>0326112716</v>
      </c>
      <c r="S2719" s="211" t="str">
        <f>IFERROR(__xludf.DUMMYFUNCTION("""COMPUTED_VALUE"""),"9828dfc5")</f>
        <v>9828dfc5</v>
      </c>
      <c r="T2719" s="211" t="str">
        <f>IFERROR(__xludf.DUMMYFUNCTION("""COMPUTED_VALUE"""),"Bpk. David")</f>
        <v>Bpk. David</v>
      </c>
      <c r="U2719" s="215">
        <f>IFERROR(__xludf.DUMMYFUNCTION("""COMPUTED_VALUE"""),46083.62048611111)</f>
        <v>46083.62049</v>
      </c>
      <c r="V2719" s="211" t="str">
        <f>IFERROR(__xludf.DUMMYFUNCTION("""COMPUTED_VALUE"""),"GHF3+R34, Jl. Kartini, Ngingas, Ngimbangan, Kec. Mojosari, Kabupaten Mojokerto, Jawa Timur 61382")</f>
        <v>GHF3+R34, Jl. Kartini, Ngingas, Ngimbangan, Kec. Mojosari, Kabupaten Mojokerto, Jawa Timur 61382</v>
      </c>
      <c r="W2719" s="211" t="str">
        <f>IFERROR(__xludf.DUMMYFUNCTION("""COMPUTED_VALUE"""),"OUT")</f>
        <v>OUT</v>
      </c>
      <c r="X2719" s="211"/>
    </row>
    <row r="2720">
      <c r="A2720" s="210" t="str">
        <f>IFERROR(__xludf.DUMMYFUNCTION("""COMPUTED_VALUE"""),"122511918")</f>
        <v>122511918</v>
      </c>
      <c r="B2720" s="210" t="str">
        <f>IFERROR(__xludf.DUMMYFUNCTION("""COMPUTED_VALUE"""),"122511918")</f>
        <v>122511918</v>
      </c>
      <c r="C2720" s="213">
        <f>IFERROR(__xludf.DUMMYFUNCTION("""COMPUTED_VALUE"""),45999.615902777776)</f>
        <v>45999.6159</v>
      </c>
      <c r="D2720" s="211" t="str">
        <f>IFERROR(__xludf.DUMMYFUNCTION("""COMPUTED_VALUE"""),"6bfb8bcb")</f>
        <v>6bfb8bcb</v>
      </c>
      <c r="E2720" s="211" t="str">
        <f>IFERROR(__xludf.DUMMYFUNCTION("""COMPUTED_VALUE"""),"Bpk. Mashudul Chaq")</f>
        <v>Bpk. Mashudul Chaq</v>
      </c>
      <c r="F2720" s="211" t="str">
        <f>IFERROR(__xludf.DUMMYFUNCTION("""COMPUTED_VALUE"""),"2690846b")</f>
        <v>2690846b</v>
      </c>
      <c r="G2720" s="211" t="str">
        <f>IFERROR(__xludf.DUMMYFUNCTION("""COMPUTED_VALUE"""),"Oksigen 1m3 MR")</f>
        <v>Oksigen 1m3 MR</v>
      </c>
      <c r="H2720" s="211" t="str">
        <f>IFERROR(__xludf.DUMMYFUNCTION("""COMPUTED_VALUE"""),"OUT")</f>
        <v>OUT</v>
      </c>
      <c r="I2720" s="211" t="str">
        <f>IFERROR(__xludf.DUMMYFUNCTION("""COMPUTED_VALUE"""),"NORMAL")</f>
        <v>NORMAL</v>
      </c>
      <c r="J2720" s="211">
        <f>IFERROR(__xludf.DUMMYFUNCTION("""COMPUTED_VALUE"""),1.0)</f>
        <v>1</v>
      </c>
      <c r="K2720" s="211"/>
      <c r="L2720" s="211">
        <f>IFERROR(__xludf.DUMMYFUNCTION("""COMPUTED_VALUE"""),45000.0)</f>
        <v>45000</v>
      </c>
      <c r="M2720" s="211"/>
      <c r="N2720" s="211"/>
      <c r="O2720" s="211"/>
      <c r="Q2720" s="210" t="str">
        <f>IFERROR(__xludf.DUMMYFUNCTION("""COMPUTED_VALUE"""),"1261330")</f>
        <v>1261330</v>
      </c>
      <c r="R2720" s="210" t="str">
        <f>IFERROR(__xludf.DUMMYFUNCTION("""COMPUTED_VALUE"""),"1261330")</f>
        <v>1261330</v>
      </c>
      <c r="S2720" s="211" t="str">
        <f>IFERROR(__xludf.DUMMYFUNCTION("""COMPUTED_VALUE"""),"9828dfc5")</f>
        <v>9828dfc5</v>
      </c>
      <c r="T2720" s="211" t="str">
        <f>IFERROR(__xludf.DUMMYFUNCTION("""COMPUTED_VALUE"""),"Bpk. David")</f>
        <v>Bpk. David</v>
      </c>
      <c r="U2720" s="215">
        <f>IFERROR(__xludf.DUMMYFUNCTION("""COMPUTED_VALUE"""),46083.700590277775)</f>
        <v>46083.70059</v>
      </c>
      <c r="V2720" s="211" t="str">
        <f>IFERROR(__xludf.DUMMYFUNCTION("""COMPUTED_VALUE"""),"GHF3+R34, Jl. Kartini, Ngingas, Ngimbangan, Kec. Mojosari, Kabupaten Mojokerto, Jawa Timur 61382")</f>
        <v>GHF3+R34, Jl. Kartini, Ngingas, Ngimbangan, Kec. Mojosari, Kabupaten Mojokerto, Jawa Timur 61382</v>
      </c>
      <c r="W2720" s="211" t="str">
        <f>IFERROR(__xludf.DUMMYFUNCTION("""COMPUTED_VALUE"""),"IN")</f>
        <v>IN</v>
      </c>
      <c r="X2720" s="211"/>
    </row>
    <row r="2721">
      <c r="A2721" s="210" t="str">
        <f>IFERROR(__xludf.DUMMYFUNCTION("""COMPUTED_VALUE"""),"1250904")</f>
        <v>1250904</v>
      </c>
      <c r="B2721" s="210" t="str">
        <f>IFERROR(__xludf.DUMMYFUNCTION("""COMPUTED_VALUE"""),"1250904")</f>
        <v>1250904</v>
      </c>
      <c r="C2721" s="213">
        <f>IFERROR(__xludf.DUMMYFUNCTION("""COMPUTED_VALUE"""),45999.62225694444)</f>
        <v>45999.62226</v>
      </c>
      <c r="D2721" s="211" t="str">
        <f>IFERROR(__xludf.DUMMYFUNCTION("""COMPUTED_VALUE"""),"ca4876e2")</f>
        <v>ca4876e2</v>
      </c>
      <c r="E2721" s="211" t="str">
        <f>IFERROR(__xludf.DUMMYFUNCTION("""COMPUTED_VALUE"""),"Bengkel Mustika Mojosari")</f>
        <v>Bengkel Mustika Mojosari</v>
      </c>
      <c r="F2721" s="211" t="str">
        <f>IFERROR(__xludf.DUMMYFUNCTION("""COMPUTED_VALUE"""),"7d2764f1")</f>
        <v>7d2764f1</v>
      </c>
      <c r="G2721" s="211" t="str">
        <f>IFERROR(__xludf.DUMMYFUNCTION("""COMPUTED_VALUE"""),"Oksigen 7m3")</f>
        <v>Oksigen 7m3</v>
      </c>
      <c r="H2721" s="211" t="str">
        <f>IFERROR(__xludf.DUMMYFUNCTION("""COMPUTED_VALUE"""),"IN")</f>
        <v>IN</v>
      </c>
      <c r="I2721" s="211" t="str">
        <f>IFERROR(__xludf.DUMMYFUNCTION("""COMPUTED_VALUE"""),"EMPTY")</f>
        <v>EMPTY</v>
      </c>
      <c r="J2721" s="211">
        <f>IFERROR(__xludf.DUMMYFUNCTION("""COMPUTED_VALUE"""),1.0)</f>
        <v>1</v>
      </c>
      <c r="K2721" s="210" t="str">
        <f>IFERROR(__xludf.DUMMYFUNCTION("""COMPUTED_VALUE"""),"1165")</f>
        <v>1165</v>
      </c>
      <c r="L2721" s="211">
        <f>IFERROR(__xludf.DUMMYFUNCTION("""COMPUTED_VALUE"""),0.0)</f>
        <v>0</v>
      </c>
      <c r="M2721" s="211"/>
      <c r="N2721" s="211"/>
      <c r="O2721" s="211"/>
      <c r="Q2721" s="210" t="str">
        <f>IFERROR(__xludf.DUMMYFUNCTION("""COMPUTED_VALUE"""),"1261338")</f>
        <v>1261338</v>
      </c>
      <c r="R2721" s="210" t="str">
        <f>IFERROR(__xludf.DUMMYFUNCTION("""COMPUTED_VALUE"""),"1261338")</f>
        <v>1261338</v>
      </c>
      <c r="S2721" s="211" t="str">
        <f>IFERROR(__xludf.DUMMYFUNCTION("""COMPUTED_VALUE"""),"de41c3e8")</f>
        <v>de41c3e8</v>
      </c>
      <c r="T2721" s="211" t="str">
        <f>IFERROR(__xludf.DUMMYFUNCTION("""COMPUTED_VALUE"""),"Bpk. Eko Mianto")</f>
        <v>Bpk. Eko Mianto</v>
      </c>
      <c r="U2721" s="215">
        <f>IFERROR(__xludf.DUMMYFUNCTION("""COMPUTED_VALUE"""),46083.70888888889)</f>
        <v>46083.70889</v>
      </c>
      <c r="V2721" s="211" t="str">
        <f>IFERROR(__xludf.DUMMYFUNCTION("""COMPUTED_VALUE"""),"The Graha Residen, Blok D4 No 33. Tropodo, Kec Krian, Kabupaten Sidaorjo, Jawa Timur 61262")</f>
        <v>The Graha Residen, Blok D4 No 33. Tropodo, Kec Krian, Kabupaten Sidaorjo, Jawa Timur 61262</v>
      </c>
      <c r="W2721" s="211" t="str">
        <f>IFERROR(__xludf.DUMMYFUNCTION("""COMPUTED_VALUE"""),"IN")</f>
        <v>IN</v>
      </c>
      <c r="X2721" s="211"/>
    </row>
    <row r="2722">
      <c r="A2722" s="210" t="str">
        <f>IFERROR(__xludf.DUMMYFUNCTION("""COMPUTED_VALUE"""),"1250898")</f>
        <v>1250898</v>
      </c>
      <c r="B2722" s="210" t="str">
        <f>IFERROR(__xludf.DUMMYFUNCTION("""COMPUTED_VALUE"""),"1250898")</f>
        <v>1250898</v>
      </c>
      <c r="C2722" s="213">
        <f>IFERROR(__xludf.DUMMYFUNCTION("""COMPUTED_VALUE"""),45999.622569444444)</f>
        <v>45999.62257</v>
      </c>
      <c r="D2722" s="211" t="str">
        <f>IFERROR(__xludf.DUMMYFUNCTION("""COMPUTED_VALUE"""),"b2b5f2c5")</f>
        <v>b2b5f2c5</v>
      </c>
      <c r="E2722" s="211" t="str">
        <f>IFERROR(__xludf.DUMMYFUNCTION("""COMPUTED_VALUE"""),"Bengkel Las Bpk. Ari")</f>
        <v>Bengkel Las Bpk. Ari</v>
      </c>
      <c r="F2722" s="211" t="str">
        <f>IFERROR(__xludf.DUMMYFUNCTION("""COMPUTED_VALUE"""),"8bdbe149")</f>
        <v>8bdbe149</v>
      </c>
      <c r="G2722" s="211" t="str">
        <f>IFERROR(__xludf.DUMMYFUNCTION("""COMPUTED_VALUE"""),"Oksigen 6m3")</f>
        <v>Oksigen 6m3</v>
      </c>
      <c r="H2722" s="211" t="str">
        <f>IFERROR(__xludf.DUMMYFUNCTION("""COMPUTED_VALUE"""),"IN")</f>
        <v>IN</v>
      </c>
      <c r="I2722" s="211" t="str">
        <f>IFERROR(__xludf.DUMMYFUNCTION("""COMPUTED_VALUE"""),"EMPTY")</f>
        <v>EMPTY</v>
      </c>
      <c r="J2722" s="211">
        <f>IFERROR(__xludf.DUMMYFUNCTION("""COMPUTED_VALUE"""),3.0)</f>
        <v>3</v>
      </c>
      <c r="K2722" s="210" t="str">
        <f>IFERROR(__xludf.DUMMYFUNCTION("""COMPUTED_VALUE"""),"1157 1147 11039")</f>
        <v>1157 1147 11039</v>
      </c>
      <c r="L2722" s="211">
        <f>IFERROR(__xludf.DUMMYFUNCTION("""COMPUTED_VALUE"""),0.0)</f>
        <v>0</v>
      </c>
      <c r="M2722" s="211"/>
      <c r="N2722" s="211"/>
      <c r="O2722" s="211"/>
      <c r="Q2722" s="210" t="str">
        <f>IFERROR(__xludf.DUMMYFUNCTION("""COMPUTED_VALUE"""),"0326242720")</f>
        <v>0326242720</v>
      </c>
      <c r="R2722" s="210" t="str">
        <f>IFERROR(__xludf.DUMMYFUNCTION("""COMPUTED_VALUE"""),"0326242720")</f>
        <v>0326242720</v>
      </c>
      <c r="S2722" s="211" t="str">
        <f>IFERROR(__xludf.DUMMYFUNCTION("""COMPUTED_VALUE"""),"63fc688a")</f>
        <v>63fc688a</v>
      </c>
      <c r="T2722" s="211" t="str">
        <f>IFERROR(__xludf.DUMMYFUNCTION("""COMPUTED_VALUE"""),"CV Malik Nusantara")</f>
        <v>CV Malik Nusantara</v>
      </c>
      <c r="U2722" s="215">
        <f>IFERROR(__xludf.DUMMYFUNCTION("""COMPUTED_VALUE"""),46084.35869212963)</f>
        <v>46084.35869</v>
      </c>
      <c r="V2722" s="211" t="str">
        <f>IFERROR(__xludf.DUMMYFUNCTION("""COMPUTED_VALUE"""),"Jl. Raya Balongbendo No.12, Suwaluh Utara, Suwaluh, Kec. BalongBendo, Kabupaten Sidoarjo, Jawa Timur 61263")</f>
        <v>Jl. Raya Balongbendo No.12, Suwaluh Utara, Suwaluh, Kec. BalongBendo, Kabupaten Sidoarjo, Jawa Timur 61263</v>
      </c>
      <c r="W2722" s="211" t="str">
        <f>IFERROR(__xludf.DUMMYFUNCTION("""COMPUTED_VALUE"""),"OUT")</f>
        <v>OUT</v>
      </c>
      <c r="X2722" s="211"/>
    </row>
    <row r="2723">
      <c r="A2723" s="210" t="str">
        <f>IFERROR(__xludf.DUMMYFUNCTION("""COMPUTED_VALUE"""),"1250898")</f>
        <v>1250898</v>
      </c>
      <c r="B2723" s="210" t="str">
        <f>IFERROR(__xludf.DUMMYFUNCTION("""COMPUTED_VALUE"""),"1250898")</f>
        <v>1250898</v>
      </c>
      <c r="C2723" s="213">
        <f>IFERROR(__xludf.DUMMYFUNCTION("""COMPUTED_VALUE"""),45999.622569444444)</f>
        <v>45999.62257</v>
      </c>
      <c r="D2723" s="211" t="str">
        <f>IFERROR(__xludf.DUMMYFUNCTION("""COMPUTED_VALUE"""),"b2b5f2c5")</f>
        <v>b2b5f2c5</v>
      </c>
      <c r="E2723" s="211" t="str">
        <f>IFERROR(__xludf.DUMMYFUNCTION("""COMPUTED_VALUE"""),"Bengkel Las Bpk. Ari")</f>
        <v>Bengkel Las Bpk. Ari</v>
      </c>
      <c r="F2723" s="211" t="str">
        <f>IFERROR(__xludf.DUMMYFUNCTION("""COMPUTED_VALUE"""),"ef306e54")</f>
        <v>ef306e54</v>
      </c>
      <c r="G2723" s="211" t="str">
        <f>IFERROR(__xludf.DUMMYFUNCTION("""COMPUTED_VALUE"""),"Karbondioksida")</f>
        <v>Karbondioksida</v>
      </c>
      <c r="H2723" s="211" t="str">
        <f>IFERROR(__xludf.DUMMYFUNCTION("""COMPUTED_VALUE"""),"IN")</f>
        <v>IN</v>
      </c>
      <c r="I2723" s="211" t="str">
        <f>IFERROR(__xludf.DUMMYFUNCTION("""COMPUTED_VALUE"""),"EMPTY")</f>
        <v>EMPTY</v>
      </c>
      <c r="J2723" s="211">
        <f>IFERROR(__xludf.DUMMYFUNCTION("""COMPUTED_VALUE"""),2.0)</f>
        <v>2</v>
      </c>
      <c r="K2723" s="210" t="str">
        <f>IFERROR(__xludf.DUMMYFUNCTION("""COMPUTED_VALUE"""),"13015 13026")</f>
        <v>13015 13026</v>
      </c>
      <c r="L2723" s="211">
        <f>IFERROR(__xludf.DUMMYFUNCTION("""COMPUTED_VALUE"""),0.0)</f>
        <v>0</v>
      </c>
      <c r="M2723" s="211"/>
      <c r="N2723" s="211"/>
      <c r="O2723" s="211"/>
      <c r="Q2723" s="210" t="str">
        <f>IFERROR(__xludf.DUMMYFUNCTION("""COMPUTED_VALUE"""),"032652723")</f>
        <v>032652723</v>
      </c>
      <c r="R2723" s="210" t="str">
        <f>IFERROR(__xludf.DUMMYFUNCTION("""COMPUTED_VALUE"""),"032652723")</f>
        <v>032652723</v>
      </c>
      <c r="S2723" s="211" t="str">
        <f>IFERROR(__xludf.DUMMYFUNCTION("""COMPUTED_VALUE"""),"d9b2fac5")</f>
        <v>d9b2fac5</v>
      </c>
      <c r="T2723" s="211" t="str">
        <f>IFERROR(__xludf.DUMMYFUNCTION("""COMPUTED_VALUE"""),"Dwi Riza ( Ponokawan)")</f>
        <v>Dwi Riza ( Ponokawan)</v>
      </c>
      <c r="U2723" s="215">
        <f>IFERROR(__xludf.DUMMYFUNCTION("""COMPUTED_VALUE"""),46084.37415509259)</f>
        <v>46084.37416</v>
      </c>
      <c r="V2723" s="211" t="str">
        <f>IFERROR(__xludf.DUMMYFUNCTION("""COMPUTED_VALUE"""),"Jl. Raya Ponokawan No.28 RT 07 RW 03 Kec. Krian Sidoarjo (Seberang Bengkel An.Nur/ Deretan Baraka Expres)")</f>
        <v>Jl. Raya Ponokawan No.28 RT 07 RW 03 Kec. Krian Sidoarjo (Seberang Bengkel An.Nur/ Deretan Baraka Expres)</v>
      </c>
      <c r="W2723" s="211" t="str">
        <f>IFERROR(__xludf.DUMMYFUNCTION("""COMPUTED_VALUE"""),"OUT")</f>
        <v>OUT</v>
      </c>
      <c r="X2723" s="211"/>
    </row>
    <row r="2724">
      <c r="A2724" s="210" t="str">
        <f>IFERROR(__xludf.DUMMYFUNCTION("""COMPUTED_VALUE"""),"1250905")</f>
        <v>1250905</v>
      </c>
      <c r="B2724" s="210" t="str">
        <f>IFERROR(__xludf.DUMMYFUNCTION("""COMPUTED_VALUE"""),"1250905")</f>
        <v>1250905</v>
      </c>
      <c r="C2724" s="213">
        <f>IFERROR(__xludf.DUMMYFUNCTION("""COMPUTED_VALUE"""),45999.681608796294)</f>
        <v>45999.68161</v>
      </c>
      <c r="D2724" s="211" t="str">
        <f>IFERROR(__xludf.DUMMYFUNCTION("""COMPUTED_VALUE"""),"eec2e801")</f>
        <v>eec2e801</v>
      </c>
      <c r="E2724" s="211" t="str">
        <f>IFERROR(__xludf.DUMMYFUNCTION("""COMPUTED_VALUE"""),"Mitra Wood Sejahtera")</f>
        <v>Mitra Wood Sejahtera</v>
      </c>
      <c r="F2724" s="211" t="str">
        <f>IFERROR(__xludf.DUMMYFUNCTION("""COMPUTED_VALUE"""),"8bdbe149")</f>
        <v>8bdbe149</v>
      </c>
      <c r="G2724" s="211" t="str">
        <f>IFERROR(__xludf.DUMMYFUNCTION("""COMPUTED_VALUE"""),"Oksigen 6m3")</f>
        <v>Oksigen 6m3</v>
      </c>
      <c r="H2724" s="211" t="str">
        <f>IFERROR(__xludf.DUMMYFUNCTION("""COMPUTED_VALUE"""),"IN")</f>
        <v>IN</v>
      </c>
      <c r="I2724" s="211" t="str">
        <f>IFERROR(__xludf.DUMMYFUNCTION("""COMPUTED_VALUE"""),"EMPTY")</f>
        <v>EMPTY</v>
      </c>
      <c r="J2724" s="211">
        <f>IFERROR(__xludf.DUMMYFUNCTION("""COMPUTED_VALUE"""),9.0)</f>
        <v>9</v>
      </c>
      <c r="K2724" s="210" t="str">
        <f>IFERROR(__xludf.DUMMYFUNCTION("""COMPUTED_VALUE"""),"11229 11252 11273 1158 11251 1149 11237 1142 11183")</f>
        <v>11229 11252 11273 1158 11251 1149 11237 1142 11183</v>
      </c>
      <c r="L2724" s="211">
        <f>IFERROR(__xludf.DUMMYFUNCTION("""COMPUTED_VALUE"""),0.0)</f>
        <v>0</v>
      </c>
      <c r="M2724" s="211"/>
      <c r="N2724" s="211"/>
      <c r="O2724" s="211"/>
      <c r="Q2724" s="210" t="str">
        <f>IFERROR(__xludf.DUMMYFUNCTION("""COMPUTED_VALUE"""),"032692724")</f>
        <v>032692724</v>
      </c>
      <c r="R2724" s="210" t="str">
        <f>IFERROR(__xludf.DUMMYFUNCTION("""COMPUTED_VALUE"""),"032692724")</f>
        <v>032692724</v>
      </c>
      <c r="S2724" s="211" t="str">
        <f>IFERROR(__xludf.DUMMYFUNCTION("""COMPUTED_VALUE"""),"1c4d5e93")</f>
        <v>1c4d5e93</v>
      </c>
      <c r="T2724" s="211" t="str">
        <f>IFERROR(__xludf.DUMMYFUNCTION("""COMPUTED_VALUE"""),"Karoseri Cipta Mitra Sukses")</f>
        <v>Karoseri Cipta Mitra Sukses</v>
      </c>
      <c r="U2724" s="215">
        <f>IFERROR(__xludf.DUMMYFUNCTION("""COMPUTED_VALUE"""),46084.374756944446)</f>
        <v>46084.37476</v>
      </c>
      <c r="V2724" s="211" t="str">
        <f>IFERROR(__xludf.DUMMYFUNCTION("""COMPUTED_VALUE"""),"JL. Bypass Krian No. 7800, Blok B No 11. Barengkrajan, Kec. Krian, Kabupaten Sidoarjo, Jawa Timur  61262")</f>
        <v>JL. Bypass Krian No. 7800, Blok B No 11. Barengkrajan, Kec. Krian, Kabupaten Sidoarjo, Jawa Timur  61262</v>
      </c>
      <c r="W2724" s="211" t="str">
        <f>IFERROR(__xludf.DUMMYFUNCTION("""COMPUTED_VALUE"""),"OUT")</f>
        <v>OUT</v>
      </c>
      <c r="X2724" s="211"/>
    </row>
    <row r="2725">
      <c r="A2725" s="210" t="str">
        <f>IFERROR(__xludf.DUMMYFUNCTION("""COMPUTED_VALUE"""),"1250922")</f>
        <v>1250922</v>
      </c>
      <c r="B2725" s="210" t="str">
        <f>IFERROR(__xludf.DUMMYFUNCTION("""COMPUTED_VALUE"""),"1250922")</f>
        <v>1250922</v>
      </c>
      <c r="C2725" s="213">
        <f>IFERROR(__xludf.DUMMYFUNCTION("""COMPUTED_VALUE"""),46000.354467592595)</f>
        <v>46000.35447</v>
      </c>
      <c r="D2725" s="211" t="str">
        <f>IFERROR(__xludf.DUMMYFUNCTION("""COMPUTED_VALUE"""),"3bcd7fe6")</f>
        <v>3bcd7fe6</v>
      </c>
      <c r="E2725" s="211" t="str">
        <f>IFERROR(__xludf.DUMMYFUNCTION("""COMPUTED_VALUE"""),"Bpk. Alvin (LB Group)")</f>
        <v>Bpk. Alvin (LB Group)</v>
      </c>
      <c r="F2725" s="211" t="str">
        <f>IFERROR(__xludf.DUMMYFUNCTION("""COMPUTED_VALUE"""),"f6aab7a9")</f>
        <v>f6aab7a9</v>
      </c>
      <c r="G2725" s="211" t="str">
        <f>IFERROR(__xludf.DUMMYFUNCTION("""COMPUTED_VALUE"""),"Oksigen 6m3 MR")</f>
        <v>Oksigen 6m3 MR</v>
      </c>
      <c r="H2725" s="211" t="str">
        <f>IFERROR(__xludf.DUMMYFUNCTION("""COMPUTED_VALUE"""),"IN")</f>
        <v>IN</v>
      </c>
      <c r="I2725" s="211" t="str">
        <f>IFERROR(__xludf.DUMMYFUNCTION("""COMPUTED_VALUE"""),"EMPTY")</f>
        <v>EMPTY</v>
      </c>
      <c r="J2725" s="211">
        <f>IFERROR(__xludf.DUMMYFUNCTION("""COMPUTED_VALUE"""),1.0)</f>
        <v>1</v>
      </c>
      <c r="K2725" s="210" t="str">
        <f>IFERROR(__xludf.DUMMYFUNCTION("""COMPUTED_VALUE"""),"01")</f>
        <v>01</v>
      </c>
      <c r="L2725" s="211">
        <f>IFERROR(__xludf.DUMMYFUNCTION("""COMPUTED_VALUE"""),0.0)</f>
        <v>0</v>
      </c>
      <c r="M2725" s="211"/>
      <c r="N2725" s="211"/>
      <c r="O2725" s="211"/>
      <c r="Q2725" s="210" t="str">
        <f>IFERROR(__xludf.DUMMYFUNCTION("""COMPUTED_VALUE"""),"0326902725")</f>
        <v>0326902725</v>
      </c>
      <c r="R2725" s="210" t="str">
        <f>IFERROR(__xludf.DUMMYFUNCTION("""COMPUTED_VALUE"""),"0326902725")</f>
        <v>0326902725</v>
      </c>
      <c r="S2725" s="211" t="str">
        <f>IFERROR(__xludf.DUMMYFUNCTION("""COMPUTED_VALUE"""),"b2b5f2c5")</f>
        <v>b2b5f2c5</v>
      </c>
      <c r="T2725" s="211" t="str">
        <f>IFERROR(__xludf.DUMMYFUNCTION("""COMPUTED_VALUE"""),"Bengkel Las Bpk. Ari")</f>
        <v>Bengkel Las Bpk. Ari</v>
      </c>
      <c r="U2725" s="215">
        <f>IFERROR(__xludf.DUMMYFUNCTION("""COMPUTED_VALUE"""),46084.38140046296)</f>
        <v>46084.3814</v>
      </c>
      <c r="V2725" s="211" t="str">
        <f>IFERROR(__xludf.DUMMYFUNCTION("""COMPUTED_VALUE"""),"Sumber Kembar, Wonodadi, Kec. Kutorejo, Kabupaten Mojokerto, Jawa Timur")</f>
        <v>Sumber Kembar, Wonodadi, Kec. Kutorejo, Kabupaten Mojokerto, Jawa Timur</v>
      </c>
      <c r="W2725" s="211" t="str">
        <f>IFERROR(__xludf.DUMMYFUNCTION("""COMPUTED_VALUE"""),"OUT")</f>
        <v>OUT</v>
      </c>
      <c r="X2725" s="211"/>
    </row>
    <row r="2726">
      <c r="A2726" s="210" t="str">
        <f>IFERROR(__xludf.DUMMYFUNCTION("""COMPUTED_VALUE"""),"1250922")</f>
        <v>1250922</v>
      </c>
      <c r="B2726" s="210" t="str">
        <f>IFERROR(__xludf.DUMMYFUNCTION("""COMPUTED_VALUE"""),"1250922")</f>
        <v>1250922</v>
      </c>
      <c r="C2726" s="213">
        <f>IFERROR(__xludf.DUMMYFUNCTION("""COMPUTED_VALUE"""),46000.354467592595)</f>
        <v>46000.35447</v>
      </c>
      <c r="D2726" s="211" t="str">
        <f>IFERROR(__xludf.DUMMYFUNCTION("""COMPUTED_VALUE"""),"3bcd7fe6")</f>
        <v>3bcd7fe6</v>
      </c>
      <c r="E2726" s="211" t="str">
        <f>IFERROR(__xludf.DUMMYFUNCTION("""COMPUTED_VALUE"""),"Bpk. Alvin (LB Group)")</f>
        <v>Bpk. Alvin (LB Group)</v>
      </c>
      <c r="F2726" s="211" t="str">
        <f>IFERROR(__xludf.DUMMYFUNCTION("""COMPUTED_VALUE"""),"8bdbe149")</f>
        <v>8bdbe149</v>
      </c>
      <c r="G2726" s="211" t="str">
        <f>IFERROR(__xludf.DUMMYFUNCTION("""COMPUTED_VALUE"""),"Oksigen 6m3")</f>
        <v>Oksigen 6m3</v>
      </c>
      <c r="H2726" s="211" t="str">
        <f>IFERROR(__xludf.DUMMYFUNCTION("""COMPUTED_VALUE"""),"IN")</f>
        <v>IN</v>
      </c>
      <c r="I2726" s="211" t="str">
        <f>IFERROR(__xludf.DUMMYFUNCTION("""COMPUTED_VALUE"""),"EMPTY")</f>
        <v>EMPTY</v>
      </c>
      <c r="J2726" s="211">
        <f>IFERROR(__xludf.DUMMYFUNCTION("""COMPUTED_VALUE"""),4.0)</f>
        <v>4</v>
      </c>
      <c r="K2726" s="210" t="str">
        <f>IFERROR(__xludf.DUMMYFUNCTION("""COMPUTED_VALUE"""),"11260 1176 11106 11236")</f>
        <v>11260 1176 11106 11236</v>
      </c>
      <c r="L2726" s="211">
        <f>IFERROR(__xludf.DUMMYFUNCTION("""COMPUTED_VALUE"""),0.0)</f>
        <v>0</v>
      </c>
      <c r="M2726" s="211"/>
      <c r="N2726" s="211"/>
      <c r="O2726" s="211"/>
      <c r="Q2726" s="210" t="str">
        <f>IFERROR(__xludf.DUMMYFUNCTION("""COMPUTED_VALUE"""),"0326102726")</f>
        <v>0326102726</v>
      </c>
      <c r="R2726" s="210" t="str">
        <f>IFERROR(__xludf.DUMMYFUNCTION("""COMPUTED_VALUE"""),"0326102726")</f>
        <v>0326102726</v>
      </c>
      <c r="S2726" s="211" t="str">
        <f>IFERROR(__xludf.DUMMYFUNCTION("""COMPUTED_VALUE"""),"1c4d5e93")</f>
        <v>1c4d5e93</v>
      </c>
      <c r="T2726" s="211" t="str">
        <f>IFERROR(__xludf.DUMMYFUNCTION("""COMPUTED_VALUE"""),"Karoseri Cipta Mitra Sukses")</f>
        <v>Karoseri Cipta Mitra Sukses</v>
      </c>
      <c r="U2726" s="215">
        <f>IFERROR(__xludf.DUMMYFUNCTION("""COMPUTED_VALUE"""),46084.477326388886)</f>
        <v>46084.47733</v>
      </c>
      <c r="V2726" s="211" t="str">
        <f>IFERROR(__xludf.DUMMYFUNCTION("""COMPUTED_VALUE"""),"JL. Bypass Krian No. 7800, Blok B No 11. Barengkrajan, Kec. Krian, Kabupaten Sidoarjo, Jawa Timur  61262")</f>
        <v>JL. Bypass Krian No. 7800, Blok B No 11. Barengkrajan, Kec. Krian, Kabupaten Sidoarjo, Jawa Timur  61262</v>
      </c>
      <c r="W2726" s="211" t="str">
        <f>IFERROR(__xludf.DUMMYFUNCTION("""COMPUTED_VALUE"""),"OUT")</f>
        <v>OUT</v>
      </c>
      <c r="X2726" s="211"/>
    </row>
    <row r="2727">
      <c r="A2727" s="210" t="str">
        <f>IFERROR(__xludf.DUMMYFUNCTION("""COMPUTED_VALUE"""),"1250922")</f>
        <v>1250922</v>
      </c>
      <c r="B2727" s="210" t="str">
        <f>IFERROR(__xludf.DUMMYFUNCTION("""COMPUTED_VALUE"""),"1250922")</f>
        <v>1250922</v>
      </c>
      <c r="C2727" s="213">
        <f>IFERROR(__xludf.DUMMYFUNCTION("""COMPUTED_VALUE"""),46000.354467592595)</f>
        <v>46000.35447</v>
      </c>
      <c r="D2727" s="211" t="str">
        <f>IFERROR(__xludf.DUMMYFUNCTION("""COMPUTED_VALUE"""),"3bcd7fe6")</f>
        <v>3bcd7fe6</v>
      </c>
      <c r="E2727" s="211" t="str">
        <f>IFERROR(__xludf.DUMMYFUNCTION("""COMPUTED_VALUE"""),"Bpk. Alvin (LB Group)")</f>
        <v>Bpk. Alvin (LB Group)</v>
      </c>
      <c r="F2727" s="211" t="str">
        <f>IFERROR(__xludf.DUMMYFUNCTION("""COMPUTED_VALUE"""),"7d2764f1")</f>
        <v>7d2764f1</v>
      </c>
      <c r="G2727" s="211" t="str">
        <f>IFERROR(__xludf.DUMMYFUNCTION("""COMPUTED_VALUE"""),"Oksigen 7m3")</f>
        <v>Oksigen 7m3</v>
      </c>
      <c r="H2727" s="211" t="str">
        <f>IFERROR(__xludf.DUMMYFUNCTION("""COMPUTED_VALUE"""),"IN")</f>
        <v>IN</v>
      </c>
      <c r="I2727" s="211" t="str">
        <f>IFERROR(__xludf.DUMMYFUNCTION("""COMPUTED_VALUE"""),"EMPTY")</f>
        <v>EMPTY</v>
      </c>
      <c r="J2727" s="211">
        <f>IFERROR(__xludf.DUMMYFUNCTION("""COMPUTED_VALUE"""),1.0)</f>
        <v>1</v>
      </c>
      <c r="K2727" s="210" t="str">
        <f>IFERROR(__xludf.DUMMYFUNCTION("""COMPUTED_VALUE"""),"11215")</f>
        <v>11215</v>
      </c>
      <c r="L2727" s="211">
        <f>IFERROR(__xludf.DUMMYFUNCTION("""COMPUTED_VALUE"""),0.0)</f>
        <v>0</v>
      </c>
      <c r="M2727" s="211"/>
      <c r="N2727" s="211"/>
      <c r="O2727" s="211"/>
      <c r="Q2727" s="210" t="str">
        <f>IFERROR(__xludf.DUMMYFUNCTION("""COMPUTED_VALUE"""),"032682727")</f>
        <v>032682727</v>
      </c>
      <c r="R2727" s="210" t="str">
        <f>IFERROR(__xludf.DUMMYFUNCTION("""COMPUTED_VALUE"""),"032682727")</f>
        <v>032682727</v>
      </c>
      <c r="S2727" s="211" t="str">
        <f>IFERROR(__xludf.DUMMYFUNCTION("""COMPUTED_VALUE"""),"9e5d8274")</f>
        <v>9e5d8274</v>
      </c>
      <c r="T2727" s="211" t="str">
        <f>IFERROR(__xludf.DUMMYFUNCTION("""COMPUTED_VALUE"""),"Bpk. Erry ( Lik Trosobo )")</f>
        <v>Bpk. Erry ( Lik Trosobo )</v>
      </c>
      <c r="U2727" s="215">
        <f>IFERROR(__xludf.DUMMYFUNCTION("""COMPUTED_VALUE"""),46084.58086805556)</f>
        <v>46084.58087</v>
      </c>
      <c r="V2727" s="211" t="str">
        <f>IFERROR(__xludf.DUMMYFUNCTION("""COMPUTED_VALUE"""),"Trosobo Taman")</f>
        <v>Trosobo Taman</v>
      </c>
      <c r="W2727" s="211" t="str">
        <f>IFERROR(__xludf.DUMMYFUNCTION("""COMPUTED_VALUE"""),"OUT")</f>
        <v>OUT</v>
      </c>
      <c r="X2727" s="211"/>
    </row>
    <row r="2728">
      <c r="A2728" s="210" t="str">
        <f>IFERROR(__xludf.DUMMYFUNCTION("""COMPUTED_VALUE"""),"1250921")</f>
        <v>1250921</v>
      </c>
      <c r="B2728" s="210" t="str">
        <f>IFERROR(__xludf.DUMMYFUNCTION("""COMPUTED_VALUE"""),"1250921")</f>
        <v>1250921</v>
      </c>
      <c r="C2728" s="213">
        <f>IFERROR(__xludf.DUMMYFUNCTION("""COMPUTED_VALUE"""),46000.35868055555)</f>
        <v>46000.35868</v>
      </c>
      <c r="D2728" s="211" t="str">
        <f>IFERROR(__xludf.DUMMYFUNCTION("""COMPUTED_VALUE"""),"63fc688a")</f>
        <v>63fc688a</v>
      </c>
      <c r="E2728" s="211" t="str">
        <f>IFERROR(__xludf.DUMMYFUNCTION("""COMPUTED_VALUE"""),"CV Malik Nusantara")</f>
        <v>CV Malik Nusantara</v>
      </c>
      <c r="F2728" s="211" t="str">
        <f>IFERROR(__xludf.DUMMYFUNCTION("""COMPUTED_VALUE"""),"7d2764f1")</f>
        <v>7d2764f1</v>
      </c>
      <c r="G2728" s="211" t="str">
        <f>IFERROR(__xludf.DUMMYFUNCTION("""COMPUTED_VALUE"""),"Oksigen 7m3")</f>
        <v>Oksigen 7m3</v>
      </c>
      <c r="H2728" s="211" t="str">
        <f>IFERROR(__xludf.DUMMYFUNCTION("""COMPUTED_VALUE"""),"IN")</f>
        <v>IN</v>
      </c>
      <c r="I2728" s="211" t="str">
        <f>IFERROR(__xludf.DUMMYFUNCTION("""COMPUTED_VALUE"""),"EMPTY")</f>
        <v>EMPTY</v>
      </c>
      <c r="J2728" s="211">
        <f>IFERROR(__xludf.DUMMYFUNCTION("""COMPUTED_VALUE"""),1.0)</f>
        <v>1</v>
      </c>
      <c r="K2728" s="210" t="str">
        <f>IFERROR(__xludf.DUMMYFUNCTION("""COMPUTED_VALUE"""),"11153")</f>
        <v>11153</v>
      </c>
      <c r="L2728" s="211">
        <f>IFERROR(__xludf.DUMMYFUNCTION("""COMPUTED_VALUE"""),0.0)</f>
        <v>0</v>
      </c>
      <c r="M2728" s="211"/>
      <c r="N2728" s="211"/>
      <c r="O2728" s="211"/>
      <c r="Q2728" s="210" t="str">
        <f>IFERROR(__xludf.DUMMYFUNCTION("""COMPUTED_VALUE"""),"032672728")</f>
        <v>032672728</v>
      </c>
      <c r="R2728" s="210" t="str">
        <f>IFERROR(__xludf.DUMMYFUNCTION("""COMPUTED_VALUE"""),"032672728")</f>
        <v>032672728</v>
      </c>
      <c r="S2728" s="211" t="str">
        <f>IFERROR(__xludf.DUMMYFUNCTION("""COMPUTED_VALUE"""),"9e66ced9")</f>
        <v>9e66ced9</v>
      </c>
      <c r="T2728" s="211" t="str">
        <f>IFERROR(__xludf.DUMMYFUNCTION("""COMPUTED_VALUE"""),"Bapak Angga")</f>
        <v>Bapak Angga</v>
      </c>
      <c r="U2728" s="215">
        <f>IFERROR(__xludf.DUMMYFUNCTION("""COMPUTED_VALUE"""),46084.58215277778)</f>
        <v>46084.58215</v>
      </c>
      <c r="V2728" s="211" t="str">
        <f>IFERROR(__xludf.DUMMYFUNCTION("""COMPUTED_VALUE"""),"Jl. Bypass Krian No.2, Tundungan, Sidomojo, Kec. Krian, Kabupaten Sidoarjo, Jawa Timur 61262")</f>
        <v>Jl. Bypass Krian No.2, Tundungan, Sidomojo, Kec. Krian, Kabupaten Sidoarjo, Jawa Timur 61262</v>
      </c>
      <c r="W2728" s="211" t="str">
        <f>IFERROR(__xludf.DUMMYFUNCTION("""COMPUTED_VALUE"""),"OUT")</f>
        <v>OUT</v>
      </c>
      <c r="X2728" s="211"/>
    </row>
    <row r="2729">
      <c r="A2729" s="210" t="str">
        <f>IFERROR(__xludf.DUMMYFUNCTION("""COMPUTED_VALUE"""),"1250921")</f>
        <v>1250921</v>
      </c>
      <c r="B2729" s="210" t="str">
        <f>IFERROR(__xludf.DUMMYFUNCTION("""COMPUTED_VALUE"""),"1250921")</f>
        <v>1250921</v>
      </c>
      <c r="C2729" s="213">
        <f>IFERROR(__xludf.DUMMYFUNCTION("""COMPUTED_VALUE"""),46000.35868055555)</f>
        <v>46000.35868</v>
      </c>
      <c r="D2729" s="211" t="str">
        <f>IFERROR(__xludf.DUMMYFUNCTION("""COMPUTED_VALUE"""),"63fc688a")</f>
        <v>63fc688a</v>
      </c>
      <c r="E2729" s="211" t="str">
        <f>IFERROR(__xludf.DUMMYFUNCTION("""COMPUTED_VALUE"""),"CV Malik Nusantara")</f>
        <v>CV Malik Nusantara</v>
      </c>
      <c r="F2729" s="211" t="str">
        <f>IFERROR(__xludf.DUMMYFUNCTION("""COMPUTED_VALUE"""),"8bdbe149")</f>
        <v>8bdbe149</v>
      </c>
      <c r="G2729" s="211" t="str">
        <f>IFERROR(__xludf.DUMMYFUNCTION("""COMPUTED_VALUE"""),"Oksigen 6m3")</f>
        <v>Oksigen 6m3</v>
      </c>
      <c r="H2729" s="211" t="str">
        <f>IFERROR(__xludf.DUMMYFUNCTION("""COMPUTED_VALUE"""),"IN")</f>
        <v>IN</v>
      </c>
      <c r="I2729" s="211" t="str">
        <f>IFERROR(__xludf.DUMMYFUNCTION("""COMPUTED_VALUE"""),"EMPTY")</f>
        <v>EMPTY</v>
      </c>
      <c r="J2729" s="211">
        <f>IFERROR(__xludf.DUMMYFUNCTION("""COMPUTED_VALUE"""),5.0)</f>
        <v>5</v>
      </c>
      <c r="K2729" s="210" t="str">
        <f>IFERROR(__xludf.DUMMYFUNCTION("""COMPUTED_VALUE"""),"11181 11266 1187 1116 11133")</f>
        <v>11181 11266 1187 1116 11133</v>
      </c>
      <c r="L2729" s="211">
        <f>IFERROR(__xludf.DUMMYFUNCTION("""COMPUTED_VALUE"""),0.0)</f>
        <v>0</v>
      </c>
      <c r="M2729" s="211"/>
      <c r="N2729" s="211"/>
      <c r="O2729" s="211"/>
      <c r="Q2729" s="210" t="str">
        <f>IFERROR(__xludf.DUMMYFUNCTION("""COMPUTED_VALUE"""),"032642729")</f>
        <v>032642729</v>
      </c>
      <c r="R2729" s="210" t="str">
        <f>IFERROR(__xludf.DUMMYFUNCTION("""COMPUTED_VALUE"""),"032642729")</f>
        <v>032642729</v>
      </c>
      <c r="S2729" s="211" t="str">
        <f>IFERROR(__xludf.DUMMYFUNCTION("""COMPUTED_VALUE"""),"58b72e0c")</f>
        <v>58b72e0c</v>
      </c>
      <c r="T2729" s="211" t="str">
        <f>IFERROR(__xludf.DUMMYFUNCTION("""COMPUTED_VALUE"""),"UD. Ais Jaya")</f>
        <v>UD. Ais Jaya</v>
      </c>
      <c r="U2729" s="215">
        <f>IFERROR(__xludf.DUMMYFUNCTION("""COMPUTED_VALUE"""),46085.379594907405)</f>
        <v>46085.37959</v>
      </c>
      <c r="V2729" s="211" t="str">
        <f>IFERROR(__xludf.DUMMYFUNCTION("""COMPUTED_VALUE"""),"Jl. Bypass Krian, Kraton, Kec. Krian, Kabupaten Sidoarjo, Jawa Timur 61262")</f>
        <v>Jl. Bypass Krian, Kraton, Kec. Krian, Kabupaten Sidoarjo, Jawa Timur 61262</v>
      </c>
      <c r="W2729" s="211" t="str">
        <f>IFERROR(__xludf.DUMMYFUNCTION("""COMPUTED_VALUE"""),"OUT")</f>
        <v>OUT</v>
      </c>
      <c r="X2729" s="211"/>
    </row>
    <row r="2730">
      <c r="A2730" s="210" t="str">
        <f>IFERROR(__xludf.DUMMYFUNCTION("""COMPUTED_VALUE"""),"1250920")</f>
        <v>1250920</v>
      </c>
      <c r="B2730" s="210" t="str">
        <f>IFERROR(__xludf.DUMMYFUNCTION("""COMPUTED_VALUE"""),"1250920")</f>
        <v>1250920</v>
      </c>
      <c r="C2730" s="213">
        <f>IFERROR(__xludf.DUMMYFUNCTION("""COMPUTED_VALUE"""),45999.46960648148)</f>
        <v>45999.46961</v>
      </c>
      <c r="D2730" s="211" t="str">
        <f>IFERROR(__xludf.DUMMYFUNCTION("""COMPUTED_VALUE"""),"6bfb8bcb")</f>
        <v>6bfb8bcb</v>
      </c>
      <c r="E2730" s="211" t="str">
        <f>IFERROR(__xludf.DUMMYFUNCTION("""COMPUTED_VALUE"""),"Bpk. Mashudul Chaq")</f>
        <v>Bpk. Mashudul Chaq</v>
      </c>
      <c r="F2730" s="211" t="str">
        <f>IFERROR(__xludf.DUMMYFUNCTION("""COMPUTED_VALUE"""),"f6aab7a9")</f>
        <v>f6aab7a9</v>
      </c>
      <c r="G2730" s="211" t="str">
        <f>IFERROR(__xludf.DUMMYFUNCTION("""COMPUTED_VALUE"""),"Oksigen 6m3 MR")</f>
        <v>Oksigen 6m3 MR</v>
      </c>
      <c r="H2730" s="211" t="str">
        <f>IFERROR(__xludf.DUMMYFUNCTION("""COMPUTED_VALUE"""),"IN")</f>
        <v>IN</v>
      </c>
      <c r="I2730" s="211" t="str">
        <f>IFERROR(__xludf.DUMMYFUNCTION("""COMPUTED_VALUE"""),"EMPTY")</f>
        <v>EMPTY</v>
      </c>
      <c r="J2730" s="211">
        <f>IFERROR(__xludf.DUMMYFUNCTION("""COMPUTED_VALUE"""),3.0)</f>
        <v>3</v>
      </c>
      <c r="K2730" s="210" t="str">
        <f>IFERROR(__xludf.DUMMYFUNCTION("""COMPUTED_VALUE"""),"01 02 03")</f>
        <v>01 02 03</v>
      </c>
      <c r="L2730" s="211">
        <f>IFERROR(__xludf.DUMMYFUNCTION("""COMPUTED_VALUE"""),0.0)</f>
        <v>0</v>
      </c>
      <c r="M2730" s="211"/>
      <c r="N2730" s="211"/>
      <c r="O2730" s="211"/>
      <c r="Q2730" s="210" t="str">
        <f>IFERROR(__xludf.DUMMYFUNCTION("""COMPUTED_VALUE"""),"032642730")</f>
        <v>032642730</v>
      </c>
      <c r="R2730" s="210" t="str">
        <f>IFERROR(__xludf.DUMMYFUNCTION("""COMPUTED_VALUE"""),"032642730")</f>
        <v>032642730</v>
      </c>
      <c r="S2730" s="211" t="str">
        <f>IFERROR(__xludf.DUMMYFUNCTION("""COMPUTED_VALUE"""),"057b6b99")</f>
        <v>057b6b99</v>
      </c>
      <c r="T2730" s="211" t="str">
        <f>IFERROR(__xludf.DUMMYFUNCTION("""COMPUTED_VALUE"""),"PT Anuta Utama Transport")</f>
        <v>PT Anuta Utama Transport</v>
      </c>
      <c r="U2730" s="215">
        <f>IFERROR(__xludf.DUMMYFUNCTION("""COMPUTED_VALUE"""),46085.38214120371)</f>
        <v>46085.38214</v>
      </c>
      <c r="V2730" s="211" t="str">
        <f>IFERROR(__xludf.DUMMYFUNCTION("""COMPUTED_VALUE"""),"Jl Raya ketimang KM 10, Kec. Wonoayu, Kab. Sidoarjo, Jawa Timur")</f>
        <v>Jl Raya ketimang KM 10, Kec. Wonoayu, Kab. Sidoarjo, Jawa Timur</v>
      </c>
      <c r="W2730" s="211" t="str">
        <f>IFERROR(__xludf.DUMMYFUNCTION("""COMPUTED_VALUE"""),"OUT")</f>
        <v>OUT</v>
      </c>
      <c r="X2730" s="211"/>
    </row>
    <row r="2731">
      <c r="A2731" s="210" t="str">
        <f>IFERROR(__xludf.DUMMYFUNCTION("""COMPUTED_VALUE"""),"1250920")</f>
        <v>1250920</v>
      </c>
      <c r="B2731" s="210" t="str">
        <f>IFERROR(__xludf.DUMMYFUNCTION("""COMPUTED_VALUE"""),"1250920")</f>
        <v>1250920</v>
      </c>
      <c r="C2731" s="213">
        <f>IFERROR(__xludf.DUMMYFUNCTION("""COMPUTED_VALUE"""),45999.46960648148)</f>
        <v>45999.46961</v>
      </c>
      <c r="D2731" s="211" t="str">
        <f>IFERROR(__xludf.DUMMYFUNCTION("""COMPUTED_VALUE"""),"6bfb8bcb")</f>
        <v>6bfb8bcb</v>
      </c>
      <c r="E2731" s="211" t="str">
        <f>IFERROR(__xludf.DUMMYFUNCTION("""COMPUTED_VALUE"""),"Bpk. Mashudul Chaq")</f>
        <v>Bpk. Mashudul Chaq</v>
      </c>
      <c r="F2731" s="211" t="str">
        <f>IFERROR(__xludf.DUMMYFUNCTION("""COMPUTED_VALUE"""),"2690846b")</f>
        <v>2690846b</v>
      </c>
      <c r="G2731" s="211" t="str">
        <f>IFERROR(__xludf.DUMMYFUNCTION("""COMPUTED_VALUE"""),"Oksigen 1m3 MR")</f>
        <v>Oksigen 1m3 MR</v>
      </c>
      <c r="H2731" s="211" t="str">
        <f>IFERROR(__xludf.DUMMYFUNCTION("""COMPUTED_VALUE"""),"IN")</f>
        <v>IN</v>
      </c>
      <c r="I2731" s="211" t="str">
        <f>IFERROR(__xludf.DUMMYFUNCTION("""COMPUTED_VALUE"""),"EMPTY")</f>
        <v>EMPTY</v>
      </c>
      <c r="J2731" s="211">
        <f>IFERROR(__xludf.DUMMYFUNCTION("""COMPUTED_VALUE"""),1.0)</f>
        <v>1</v>
      </c>
      <c r="K2731" s="210" t="str">
        <f>IFERROR(__xludf.DUMMYFUNCTION("""COMPUTED_VALUE"""),"01")</f>
        <v>01</v>
      </c>
      <c r="L2731" s="211">
        <f>IFERROR(__xludf.DUMMYFUNCTION("""COMPUTED_VALUE"""),0.0)</f>
        <v>0</v>
      </c>
      <c r="M2731" s="211"/>
      <c r="N2731" s="211"/>
      <c r="O2731" s="211"/>
      <c r="Q2731" s="210" t="str">
        <f>IFERROR(__xludf.DUMMYFUNCTION("""COMPUTED_VALUE"""),"032642731")</f>
        <v>032642731</v>
      </c>
      <c r="R2731" s="210" t="str">
        <f>IFERROR(__xludf.DUMMYFUNCTION("""COMPUTED_VALUE"""),"032642731")</f>
        <v>032642731</v>
      </c>
      <c r="S2731" s="211" t="str">
        <f>IFERROR(__xludf.DUMMYFUNCTION("""COMPUTED_VALUE"""),"8b765561")</f>
        <v>8b765561</v>
      </c>
      <c r="T2731" s="211" t="str">
        <f>IFERROR(__xludf.DUMMYFUNCTION("""COMPUTED_VALUE"""),"Bpk. Idris")</f>
        <v>Bpk. Idris</v>
      </c>
      <c r="U2731" s="215">
        <f>IFERROR(__xludf.DUMMYFUNCTION("""COMPUTED_VALUE"""),46085.389016203706)</f>
        <v>46085.38902</v>
      </c>
      <c r="V2731" s="211" t="str">
        <f>IFERROR(__xludf.DUMMYFUNCTION("""COMPUTED_VALUE"""),"JL. Soenandar Priyo Sudarmo, Balepanjang, Tropodo, Kec Krian, Kabupaten Sidoarjo, Jawa Timur")</f>
        <v>JL. Soenandar Priyo Sudarmo, Balepanjang, Tropodo, Kec Krian, Kabupaten Sidoarjo, Jawa Timur</v>
      </c>
      <c r="W2731" s="211" t="str">
        <f>IFERROR(__xludf.DUMMYFUNCTION("""COMPUTED_VALUE"""),"OUT")</f>
        <v>OUT</v>
      </c>
      <c r="X2731" s="211"/>
    </row>
    <row r="2732">
      <c r="A2732" s="210" t="str">
        <f>IFERROR(__xludf.DUMMYFUNCTION("""COMPUTED_VALUE"""),"1250906")</f>
        <v>1250906</v>
      </c>
      <c r="B2732" s="210" t="str">
        <f>IFERROR(__xludf.DUMMYFUNCTION("""COMPUTED_VALUE"""),"1250906")</f>
        <v>1250906</v>
      </c>
      <c r="C2732" s="213">
        <f>IFERROR(__xludf.DUMMYFUNCTION("""COMPUTED_VALUE"""),46000.39481481481)</f>
        <v>46000.39481</v>
      </c>
      <c r="D2732" s="211" t="str">
        <f>IFERROR(__xludf.DUMMYFUNCTION("""COMPUTED_VALUE"""),"182fb0fe")</f>
        <v>182fb0fe</v>
      </c>
      <c r="E2732" s="211" t="str">
        <f>IFERROR(__xludf.DUMMYFUNCTION("""COMPUTED_VALUE"""),"PT Amtech")</f>
        <v>PT Amtech</v>
      </c>
      <c r="F2732" s="211" t="str">
        <f>IFERROR(__xludf.DUMMYFUNCTION("""COMPUTED_VALUE"""),"8bdbe149")</f>
        <v>8bdbe149</v>
      </c>
      <c r="G2732" s="211" t="str">
        <f>IFERROR(__xludf.DUMMYFUNCTION("""COMPUTED_VALUE"""),"Oksigen 6m3")</f>
        <v>Oksigen 6m3</v>
      </c>
      <c r="H2732" s="211" t="str">
        <f>IFERROR(__xludf.DUMMYFUNCTION("""COMPUTED_VALUE"""),"IN")</f>
        <v>IN</v>
      </c>
      <c r="I2732" s="211" t="str">
        <f>IFERROR(__xludf.DUMMYFUNCTION("""COMPUTED_VALUE"""),"EMPTY")</f>
        <v>EMPTY</v>
      </c>
      <c r="J2732" s="211">
        <f>IFERROR(__xludf.DUMMYFUNCTION("""COMPUTED_VALUE"""),4.0)</f>
        <v>4</v>
      </c>
      <c r="K2732" s="210" t="str">
        <f>IFERROR(__xludf.DUMMYFUNCTION("""COMPUTED_VALUE"""),"1175 1119 11241 01")</f>
        <v>1175 1119 11241 01</v>
      </c>
      <c r="L2732" s="211">
        <f>IFERROR(__xludf.DUMMYFUNCTION("""COMPUTED_VALUE"""),0.0)</f>
        <v>0</v>
      </c>
      <c r="M2732" s="211"/>
      <c r="N2732" s="211" t="str">
        <f>IFERROR(__xludf.DUMMYFUNCTION("""COMPUTED_VALUE"""),"(01) Tabung ganti")</f>
        <v>(01) Tabung ganti</v>
      </c>
      <c r="O2732" s="211"/>
      <c r="Q2732" s="210" t="str">
        <f>IFERROR(__xludf.DUMMYFUNCTION("""COMPUTED_VALUE"""),"0326782732")</f>
        <v>0326782732</v>
      </c>
      <c r="R2732" s="210" t="str">
        <f>IFERROR(__xludf.DUMMYFUNCTION("""COMPUTED_VALUE"""),"0326782732")</f>
        <v>0326782732</v>
      </c>
      <c r="S2732" s="211" t="str">
        <f>IFERROR(__xludf.DUMMYFUNCTION("""COMPUTED_VALUE"""),"e86baf3b")</f>
        <v>e86baf3b</v>
      </c>
      <c r="T2732" s="211" t="str">
        <f>IFERROR(__xludf.DUMMYFUNCTION("""COMPUTED_VALUE"""),"PT GEMILANG CIPTA WAWASAN")</f>
        <v>PT GEMILANG CIPTA WAWASAN</v>
      </c>
      <c r="U2732" s="215">
        <f>IFERROR(__xludf.DUMMYFUNCTION("""COMPUTED_VALUE"""),46085.40555555555)</f>
        <v>46085.40556</v>
      </c>
      <c r="V2732" s="211" t="str">
        <f>IFERROR(__xludf.DUMMYFUNCTION("""COMPUTED_VALUE"""),"JL TEBET RAYA, 2A, TEBET BARAT, TEBET, KOTA ADM, JAKARTA SELATAN, DKI JAKARTA")</f>
        <v>JL TEBET RAYA, 2A, TEBET BARAT, TEBET, KOTA ADM, JAKARTA SELATAN, DKI JAKARTA</v>
      </c>
      <c r="W2732" s="211" t="str">
        <f>IFERROR(__xludf.DUMMYFUNCTION("""COMPUTED_VALUE"""),"OUT")</f>
        <v>OUT</v>
      </c>
      <c r="X2732" s="211"/>
    </row>
    <row r="2733">
      <c r="A2733" s="210" t="str">
        <f>IFERROR(__xludf.DUMMYFUNCTION("""COMPUTED_VALUE"""),"1250906")</f>
        <v>1250906</v>
      </c>
      <c r="B2733" s="210" t="str">
        <f>IFERROR(__xludf.DUMMYFUNCTION("""COMPUTED_VALUE"""),"1250906")</f>
        <v>1250906</v>
      </c>
      <c r="C2733" s="213">
        <f>IFERROR(__xludf.DUMMYFUNCTION("""COMPUTED_VALUE"""),46000.39481481481)</f>
        <v>46000.39481</v>
      </c>
      <c r="D2733" s="211" t="str">
        <f>IFERROR(__xludf.DUMMYFUNCTION("""COMPUTED_VALUE"""),"182fb0fe")</f>
        <v>182fb0fe</v>
      </c>
      <c r="E2733" s="211" t="str">
        <f>IFERROR(__xludf.DUMMYFUNCTION("""COMPUTED_VALUE"""),"PT Amtech")</f>
        <v>PT Amtech</v>
      </c>
      <c r="F2733" s="211" t="str">
        <f>IFERROR(__xludf.DUMMYFUNCTION("""COMPUTED_VALUE"""),"3b9d6a30")</f>
        <v>3b9d6a30</v>
      </c>
      <c r="G2733" s="211" t="str">
        <f>IFERROR(__xludf.DUMMYFUNCTION("""COMPUTED_VALUE"""),"Acetyline")</f>
        <v>Acetyline</v>
      </c>
      <c r="H2733" s="211" t="str">
        <f>IFERROR(__xludf.DUMMYFUNCTION("""COMPUTED_VALUE"""),"IN")</f>
        <v>IN</v>
      </c>
      <c r="I2733" s="211" t="str">
        <f>IFERROR(__xludf.DUMMYFUNCTION("""COMPUTED_VALUE"""),"EMPTY")</f>
        <v>EMPTY</v>
      </c>
      <c r="J2733" s="211">
        <f>IFERROR(__xludf.DUMMYFUNCTION("""COMPUTED_VALUE"""),5.0)</f>
        <v>5</v>
      </c>
      <c r="K2733" s="210" t="str">
        <f>IFERROR(__xludf.DUMMYFUNCTION("""COMPUTED_VALUE"""),"7955 7843 7818 7929 7905")</f>
        <v>7955 7843 7818 7929 7905</v>
      </c>
      <c r="L2733" s="211">
        <f>IFERROR(__xludf.DUMMYFUNCTION("""COMPUTED_VALUE"""),0.0)</f>
        <v>0</v>
      </c>
      <c r="M2733" s="211"/>
      <c r="N2733" s="211"/>
      <c r="O2733" s="211"/>
      <c r="Q2733" s="210" t="str">
        <f>IFERROR(__xludf.DUMMYFUNCTION("""COMPUTED_VALUE"""),"032612733")</f>
        <v>032612733</v>
      </c>
      <c r="R2733" s="210" t="str">
        <f>IFERROR(__xludf.DUMMYFUNCTION("""COMPUTED_VALUE"""),"032612733")</f>
        <v>032612733</v>
      </c>
      <c r="S2733" s="211" t="str">
        <f>IFERROR(__xludf.DUMMYFUNCTION("""COMPUTED_VALUE"""),"3abcf4e3")</f>
        <v>3abcf4e3</v>
      </c>
      <c r="T2733" s="211" t="str">
        <f>IFERROR(__xludf.DUMMYFUNCTION("""COMPUTED_VALUE"""),"CV Mukaya Teknik")</f>
        <v>CV Mukaya Teknik</v>
      </c>
      <c r="U2733" s="215">
        <f>IFERROR(__xludf.DUMMYFUNCTION("""COMPUTED_VALUE"""),46085.414675925924)</f>
        <v>46085.41468</v>
      </c>
      <c r="V2733" s="211" t="str">
        <f>IFERROR(__xludf.DUMMYFUNCTION("""COMPUTED_VALUE"""),"Mlirip  Krian, Singkalan, Kec. BalongBendo, Kabupaten Sidoarjo, Jawa Timur 61263")</f>
        <v>Mlirip  Krian, Singkalan, Kec. BalongBendo, Kabupaten Sidoarjo, Jawa Timur 61263</v>
      </c>
      <c r="W2733" s="211" t="str">
        <f>IFERROR(__xludf.DUMMYFUNCTION("""COMPUTED_VALUE"""),"OUT")</f>
        <v>OUT</v>
      </c>
      <c r="X2733" s="211"/>
    </row>
    <row r="2734">
      <c r="A2734" s="210" t="str">
        <f>IFERROR(__xludf.DUMMYFUNCTION("""COMPUTED_VALUE"""),"1250906")</f>
        <v>1250906</v>
      </c>
      <c r="B2734" s="210" t="str">
        <f>IFERROR(__xludf.DUMMYFUNCTION("""COMPUTED_VALUE"""),"1250906")</f>
        <v>1250906</v>
      </c>
      <c r="C2734" s="213">
        <f>IFERROR(__xludf.DUMMYFUNCTION("""COMPUTED_VALUE"""),46000.39481481481)</f>
        <v>46000.39481</v>
      </c>
      <c r="D2734" s="211" t="str">
        <f>IFERROR(__xludf.DUMMYFUNCTION("""COMPUTED_VALUE"""),"182fb0fe")</f>
        <v>182fb0fe</v>
      </c>
      <c r="E2734" s="211" t="str">
        <f>IFERROR(__xludf.DUMMYFUNCTION("""COMPUTED_VALUE"""),"PT Amtech")</f>
        <v>PT Amtech</v>
      </c>
      <c r="F2734" s="211" t="str">
        <f>IFERROR(__xludf.DUMMYFUNCTION("""COMPUTED_VALUE"""),"be525f3b")</f>
        <v>be525f3b</v>
      </c>
      <c r="G2734" s="211" t="str">
        <f>IFERROR(__xludf.DUMMYFUNCTION("""COMPUTED_VALUE"""),"LPG 12kg")</f>
        <v>LPG 12kg</v>
      </c>
      <c r="H2734" s="211" t="str">
        <f>IFERROR(__xludf.DUMMYFUNCTION("""COMPUTED_VALUE"""),"IN")</f>
        <v>IN</v>
      </c>
      <c r="I2734" s="211" t="str">
        <f>IFERROR(__xludf.DUMMYFUNCTION("""COMPUTED_VALUE"""),"EMPTY")</f>
        <v>EMPTY</v>
      </c>
      <c r="J2734" s="211">
        <f>IFERROR(__xludf.DUMMYFUNCTION("""COMPUTED_VALUE"""),2.0)</f>
        <v>2</v>
      </c>
      <c r="K2734" s="210" t="str">
        <f>IFERROR(__xludf.DUMMYFUNCTION("""COMPUTED_VALUE"""),"01 02")</f>
        <v>01 02</v>
      </c>
      <c r="L2734" s="211">
        <f>IFERROR(__xludf.DUMMYFUNCTION("""COMPUTED_VALUE"""),0.0)</f>
        <v>0</v>
      </c>
      <c r="M2734" s="211"/>
      <c r="N2734" s="211"/>
      <c r="O2734" s="211"/>
      <c r="Q2734" s="210" t="str">
        <f>IFERROR(__xludf.DUMMYFUNCTION("""COMPUTED_VALUE"""),"0326132734")</f>
        <v>0326132734</v>
      </c>
      <c r="R2734" s="210" t="str">
        <f>IFERROR(__xludf.DUMMYFUNCTION("""COMPUTED_VALUE"""),"0326132734")</f>
        <v>0326132734</v>
      </c>
      <c r="S2734" s="211" t="str">
        <f>IFERROR(__xludf.DUMMYFUNCTION("""COMPUTED_VALUE"""),"98c84274")</f>
        <v>98c84274</v>
      </c>
      <c r="T2734" s="211" t="str">
        <f>IFERROR(__xludf.DUMMYFUNCTION("""COMPUTED_VALUE"""),"Bengkel SBM (Pak Hari)")</f>
        <v>Bengkel SBM (Pak Hari)</v>
      </c>
      <c r="U2734" s="215">
        <f>IFERROR(__xludf.DUMMYFUNCTION("""COMPUTED_VALUE"""),46085.42167824074)</f>
        <v>46085.42168</v>
      </c>
      <c r="V2734"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734" s="211" t="str">
        <f>IFERROR(__xludf.DUMMYFUNCTION("""COMPUTED_VALUE"""),"OUT")</f>
        <v>OUT</v>
      </c>
      <c r="X2734" s="211"/>
    </row>
    <row r="2735">
      <c r="A2735" s="210" t="str">
        <f>IFERROR(__xludf.DUMMYFUNCTION("""COMPUTED_VALUE"""),"122551919")</f>
        <v>122551919</v>
      </c>
      <c r="B2735" s="210" t="str">
        <f>IFERROR(__xludf.DUMMYFUNCTION("""COMPUTED_VALUE"""),"122551919")</f>
        <v>122551919</v>
      </c>
      <c r="C2735" s="213">
        <f>IFERROR(__xludf.DUMMYFUNCTION("""COMPUTED_VALUE"""),46000.409317129626)</f>
        <v>46000.40932</v>
      </c>
      <c r="D2735" s="211" t="str">
        <f>IFERROR(__xludf.DUMMYFUNCTION("""COMPUTED_VALUE"""),"17a8e612")</f>
        <v>17a8e612</v>
      </c>
      <c r="E2735" s="211" t="str">
        <f>IFERROR(__xludf.DUMMYFUNCTION("""COMPUTED_VALUE"""),"Flashtech Machinery")</f>
        <v>Flashtech Machinery</v>
      </c>
      <c r="F2735" s="211" t="str">
        <f>IFERROR(__xludf.DUMMYFUNCTION("""COMPUTED_VALUE"""),"66af7c72")</f>
        <v>66af7c72</v>
      </c>
      <c r="G2735" s="211" t="str">
        <f>IFERROR(__xludf.DUMMYFUNCTION("""COMPUTED_VALUE"""),"Argon 6m3")</f>
        <v>Argon 6m3</v>
      </c>
      <c r="H2735" s="211" t="str">
        <f>IFERROR(__xludf.DUMMYFUNCTION("""COMPUTED_VALUE"""),"OUT")</f>
        <v>OUT</v>
      </c>
      <c r="I2735" s="211" t="str">
        <f>IFERROR(__xludf.DUMMYFUNCTION("""COMPUTED_VALUE"""),"NORMAL")</f>
        <v>NORMAL</v>
      </c>
      <c r="J2735" s="211">
        <f>IFERROR(__xludf.DUMMYFUNCTION("""COMPUTED_VALUE"""),2.0)</f>
        <v>2</v>
      </c>
      <c r="K2735" s="210" t="str">
        <f>IFERROR(__xludf.DUMMYFUNCTION("""COMPUTED_VALUE"""),"12083 12080")</f>
        <v>12083 12080</v>
      </c>
      <c r="L2735" s="211">
        <f>IFERROR(__xludf.DUMMYFUNCTION("""COMPUTED_VALUE"""),210000.0)</f>
        <v>210000</v>
      </c>
      <c r="M2735" s="211"/>
      <c r="N2735" s="211"/>
      <c r="O2735" s="211"/>
      <c r="Q2735" s="210" t="str">
        <f>IFERROR(__xludf.DUMMYFUNCTION("""COMPUTED_VALUE"""),"032682735")</f>
        <v>032682735</v>
      </c>
      <c r="R2735" s="210" t="str">
        <f>IFERROR(__xludf.DUMMYFUNCTION("""COMPUTED_VALUE"""),"032682735")</f>
        <v>032682735</v>
      </c>
      <c r="S2735" s="211" t="str">
        <f>IFERROR(__xludf.DUMMYFUNCTION("""COMPUTED_VALUE"""),"9e66ced9")</f>
        <v>9e66ced9</v>
      </c>
      <c r="T2735" s="211" t="str">
        <f>IFERROR(__xludf.DUMMYFUNCTION("""COMPUTED_VALUE"""),"Bapak Angga")</f>
        <v>Bapak Angga</v>
      </c>
      <c r="U2735" s="215">
        <f>IFERROR(__xludf.DUMMYFUNCTION("""COMPUTED_VALUE"""),46085.53488425926)</f>
        <v>46085.53488</v>
      </c>
      <c r="V2735" s="211" t="str">
        <f>IFERROR(__xludf.DUMMYFUNCTION("""COMPUTED_VALUE"""),"Jl. Bypass Krian No.2, Tundungan, Sidomojo, Kec. Krian, Kabupaten Sidoarjo, Jawa Timur 61262")</f>
        <v>Jl. Bypass Krian No.2, Tundungan, Sidomojo, Kec. Krian, Kabupaten Sidoarjo, Jawa Timur 61262</v>
      </c>
      <c r="W2735" s="211" t="str">
        <f>IFERROR(__xludf.DUMMYFUNCTION("""COMPUTED_VALUE"""),"OUT")</f>
        <v>OUT</v>
      </c>
      <c r="X2735" s="211"/>
    </row>
    <row r="2736">
      <c r="A2736" s="210" t="str">
        <f>IFERROR(__xludf.DUMMYFUNCTION("""COMPUTED_VALUE"""),"1225301927")</f>
        <v>1225301927</v>
      </c>
      <c r="B2736" s="210" t="str">
        <f>IFERROR(__xludf.DUMMYFUNCTION("""COMPUTED_VALUE"""),"1225301927")</f>
        <v>1225301927</v>
      </c>
      <c r="C2736" s="213">
        <f>IFERROR(__xludf.DUMMYFUNCTION("""COMPUTED_VALUE"""),46000.40974537037)</f>
        <v>46000.40975</v>
      </c>
      <c r="D2736" s="211" t="str">
        <f>IFERROR(__xludf.DUMMYFUNCTION("""COMPUTED_VALUE"""),"8f5ebaea")</f>
        <v>8f5ebaea</v>
      </c>
      <c r="E2736" s="211" t="str">
        <f>IFERROR(__xludf.DUMMYFUNCTION("""COMPUTED_VALUE"""),"PT Hua Zong Mesindo")</f>
        <v>PT Hua Zong Mesindo</v>
      </c>
      <c r="F2736" s="211" t="str">
        <f>IFERROR(__xludf.DUMMYFUNCTION("""COMPUTED_VALUE"""),"66af7c72")</f>
        <v>66af7c72</v>
      </c>
      <c r="G2736" s="211" t="str">
        <f>IFERROR(__xludf.DUMMYFUNCTION("""COMPUTED_VALUE"""),"Argon 6m3")</f>
        <v>Argon 6m3</v>
      </c>
      <c r="H2736" s="211" t="str">
        <f>IFERROR(__xludf.DUMMYFUNCTION("""COMPUTED_VALUE"""),"OUT")</f>
        <v>OUT</v>
      </c>
      <c r="I2736" s="211" t="str">
        <f>IFERROR(__xludf.DUMMYFUNCTION("""COMPUTED_VALUE"""),"NORMAL")</f>
        <v>NORMAL</v>
      </c>
      <c r="J2736" s="211">
        <f>IFERROR(__xludf.DUMMYFUNCTION("""COMPUTED_VALUE"""),3.0)</f>
        <v>3</v>
      </c>
      <c r="K2736" s="210" t="str">
        <f>IFERROR(__xludf.DUMMYFUNCTION("""COMPUTED_VALUE"""),"12053 12019 12077")</f>
        <v>12053 12019 12077</v>
      </c>
      <c r="L2736" s="211">
        <f>IFERROR(__xludf.DUMMYFUNCTION("""COMPUTED_VALUE"""),215000.0)</f>
        <v>215000</v>
      </c>
      <c r="M2736" s="211"/>
      <c r="N2736" s="211"/>
      <c r="O2736" s="211"/>
      <c r="Q2736" s="210" t="str">
        <f>IFERROR(__xludf.DUMMYFUNCTION("""COMPUTED_VALUE"""),"0326252736")</f>
        <v>0326252736</v>
      </c>
      <c r="R2736" s="210" t="str">
        <f>IFERROR(__xludf.DUMMYFUNCTION("""COMPUTED_VALUE"""),"0326252736")</f>
        <v>0326252736</v>
      </c>
      <c r="S2736" s="211" t="str">
        <f>IFERROR(__xludf.DUMMYFUNCTION("""COMPUTED_VALUE"""),"63fc688a")</f>
        <v>63fc688a</v>
      </c>
      <c r="T2736" s="211" t="str">
        <f>IFERROR(__xludf.DUMMYFUNCTION("""COMPUTED_VALUE"""),"CV Malik Nusantara")</f>
        <v>CV Malik Nusantara</v>
      </c>
      <c r="U2736" s="215">
        <f>IFERROR(__xludf.DUMMYFUNCTION("""COMPUTED_VALUE"""),46085.58221064815)</f>
        <v>46085.58221</v>
      </c>
      <c r="V2736" s="211" t="str">
        <f>IFERROR(__xludf.DUMMYFUNCTION("""COMPUTED_VALUE"""),"Jl. Raya Balongbendo No.12, Suwaluh Utara, Suwaluh, Kec. BalongBendo, Kabupaten Sidoarjo, Jawa Timur 61263")</f>
        <v>Jl. Raya Balongbendo No.12, Suwaluh Utara, Suwaluh, Kec. BalongBendo, Kabupaten Sidoarjo, Jawa Timur 61263</v>
      </c>
      <c r="W2736" s="211" t="str">
        <f>IFERROR(__xludf.DUMMYFUNCTION("""COMPUTED_VALUE"""),"OUT")</f>
        <v>OUT</v>
      </c>
      <c r="X2736" s="211"/>
    </row>
    <row r="2737">
      <c r="A2737" s="210" t="str">
        <f>IFERROR(__xludf.DUMMYFUNCTION("""COMPUTED_VALUE"""),"1225721928")</f>
        <v>1225721928</v>
      </c>
      <c r="B2737" s="210" t="str">
        <f>IFERROR(__xludf.DUMMYFUNCTION("""COMPUTED_VALUE"""),"1225721928")</f>
        <v>1225721928</v>
      </c>
      <c r="C2737" s="213">
        <f>IFERROR(__xludf.DUMMYFUNCTION("""COMPUTED_VALUE"""),46000.458391203705)</f>
        <v>46000.45839</v>
      </c>
      <c r="D2737" s="211" t="str">
        <f>IFERROR(__xludf.DUMMYFUNCTION("""COMPUTED_VALUE"""),"e86baf3b")</f>
        <v>e86baf3b</v>
      </c>
      <c r="E2737" s="211" t="str">
        <f>IFERROR(__xludf.DUMMYFUNCTION("""COMPUTED_VALUE"""),"PT GEMILANG CIPTA WAWASAN")</f>
        <v>PT GEMILANG CIPTA WAWASAN</v>
      </c>
      <c r="F2737" s="211" t="str">
        <f>IFERROR(__xludf.DUMMYFUNCTION("""COMPUTED_VALUE"""),"7d2764f1")</f>
        <v>7d2764f1</v>
      </c>
      <c r="G2737" s="211" t="str">
        <f>IFERROR(__xludf.DUMMYFUNCTION("""COMPUTED_VALUE"""),"Oksigen 7m3")</f>
        <v>Oksigen 7m3</v>
      </c>
      <c r="H2737" s="211" t="str">
        <f>IFERROR(__xludf.DUMMYFUNCTION("""COMPUTED_VALUE"""),"OUT")</f>
        <v>OUT</v>
      </c>
      <c r="I2737" s="211" t="str">
        <f>IFERROR(__xludf.DUMMYFUNCTION("""COMPUTED_VALUE"""),"NORMAL")</f>
        <v>NORMAL</v>
      </c>
      <c r="J2737" s="211">
        <f>IFERROR(__xludf.DUMMYFUNCTION("""COMPUTED_VALUE"""),5.0)</f>
        <v>5</v>
      </c>
      <c r="K2737" s="210" t="str">
        <f>IFERROR(__xludf.DUMMYFUNCTION("""COMPUTED_VALUE"""),"11143 11149 11154 11158 11146")</f>
        <v>11143 11149 11154 11158 11146</v>
      </c>
      <c r="L2737" s="211">
        <f>IFERROR(__xludf.DUMMYFUNCTION("""COMPUTED_VALUE"""),60000.0)</f>
        <v>60000</v>
      </c>
      <c r="M2737" s="211"/>
      <c r="N2737" s="211"/>
      <c r="O2737" s="211"/>
      <c r="Q2737" s="210" t="str">
        <f>IFERROR(__xludf.DUMMYFUNCTION("""COMPUTED_VALUE"""),"0326912737")</f>
        <v>0326912737</v>
      </c>
      <c r="R2737" s="210" t="str">
        <f>IFERROR(__xludf.DUMMYFUNCTION("""COMPUTED_VALUE"""),"0326912737")</f>
        <v>0326912737</v>
      </c>
      <c r="S2737" s="211" t="str">
        <f>IFERROR(__xludf.DUMMYFUNCTION("""COMPUTED_VALUE"""),"b2b5f2c5")</f>
        <v>b2b5f2c5</v>
      </c>
      <c r="T2737" s="211" t="str">
        <f>IFERROR(__xludf.DUMMYFUNCTION("""COMPUTED_VALUE"""),"Bengkel Las Bpk. Ari")</f>
        <v>Bengkel Las Bpk. Ari</v>
      </c>
      <c r="U2737" s="215">
        <f>IFERROR(__xludf.DUMMYFUNCTION("""COMPUTED_VALUE"""),46086.35990740741)</f>
        <v>46086.35991</v>
      </c>
      <c r="V2737" s="211" t="str">
        <f>IFERROR(__xludf.DUMMYFUNCTION("""COMPUTED_VALUE"""),"Sumber Kembar, Wonodadi, Kec. Kutorejo, Kabupaten Mojokerto, Jawa Timur")</f>
        <v>Sumber Kembar, Wonodadi, Kec. Kutorejo, Kabupaten Mojokerto, Jawa Timur</v>
      </c>
      <c r="W2737" s="211" t="str">
        <f>IFERROR(__xludf.DUMMYFUNCTION("""COMPUTED_VALUE"""),"OUT")</f>
        <v>OUT</v>
      </c>
      <c r="X2737" s="211"/>
    </row>
    <row r="2738">
      <c r="A2738" s="210" t="str">
        <f>IFERROR(__xludf.DUMMYFUNCTION("""COMPUTED_VALUE"""),"1225721928")</f>
        <v>1225721928</v>
      </c>
      <c r="B2738" s="210" t="str">
        <f>IFERROR(__xludf.DUMMYFUNCTION("""COMPUTED_VALUE"""),"1225721928")</f>
        <v>1225721928</v>
      </c>
      <c r="C2738" s="213">
        <f>IFERROR(__xludf.DUMMYFUNCTION("""COMPUTED_VALUE"""),46000.458391203705)</f>
        <v>46000.45839</v>
      </c>
      <c r="D2738" s="211" t="str">
        <f>IFERROR(__xludf.DUMMYFUNCTION("""COMPUTED_VALUE"""),"e86baf3b")</f>
        <v>e86baf3b</v>
      </c>
      <c r="E2738" s="211" t="str">
        <f>IFERROR(__xludf.DUMMYFUNCTION("""COMPUTED_VALUE"""),"PT GEMILANG CIPTA WAWASAN")</f>
        <v>PT GEMILANG CIPTA WAWASAN</v>
      </c>
      <c r="F2738" s="211" t="str">
        <f>IFERROR(__xludf.DUMMYFUNCTION("""COMPUTED_VALUE"""),"66af7c72")</f>
        <v>66af7c72</v>
      </c>
      <c r="G2738" s="211" t="str">
        <f>IFERROR(__xludf.DUMMYFUNCTION("""COMPUTED_VALUE"""),"Argon 6m3")</f>
        <v>Argon 6m3</v>
      </c>
      <c r="H2738" s="211" t="str">
        <f>IFERROR(__xludf.DUMMYFUNCTION("""COMPUTED_VALUE"""),"OUT")</f>
        <v>OUT</v>
      </c>
      <c r="I2738" s="211" t="str">
        <f>IFERROR(__xludf.DUMMYFUNCTION("""COMPUTED_VALUE"""),"NORMAL")</f>
        <v>NORMAL</v>
      </c>
      <c r="J2738" s="211">
        <f>IFERROR(__xludf.DUMMYFUNCTION("""COMPUTED_VALUE"""),5.0)</f>
        <v>5</v>
      </c>
      <c r="K2738" s="210" t="str">
        <f>IFERROR(__xludf.DUMMYFUNCTION("""COMPUTED_VALUE"""),"12076 12075 12029 12039 12048")</f>
        <v>12076 12075 12029 12039 12048</v>
      </c>
      <c r="L2738" s="211">
        <f>IFERROR(__xludf.DUMMYFUNCTION("""COMPUTED_VALUE"""),200000.0)</f>
        <v>200000</v>
      </c>
      <c r="M2738" s="211"/>
      <c r="N2738" s="211"/>
      <c r="O2738" s="211"/>
      <c r="Q2738" s="210" t="str">
        <f>IFERROR(__xludf.DUMMYFUNCTION("""COMPUTED_VALUE"""),"1261348")</f>
        <v>1261348</v>
      </c>
      <c r="R2738" s="210" t="str">
        <f>IFERROR(__xludf.DUMMYFUNCTION("""COMPUTED_VALUE"""),"1261348")</f>
        <v>1261348</v>
      </c>
      <c r="S2738" s="211" t="str">
        <f>IFERROR(__xludf.DUMMYFUNCTION("""COMPUTED_VALUE"""),"9e5d8274")</f>
        <v>9e5d8274</v>
      </c>
      <c r="T2738" s="211" t="str">
        <f>IFERROR(__xludf.DUMMYFUNCTION("""COMPUTED_VALUE"""),"Bpk. Erry ( Lik Trosobo )")</f>
        <v>Bpk. Erry ( Lik Trosobo )</v>
      </c>
      <c r="U2738" s="215">
        <f>IFERROR(__xludf.DUMMYFUNCTION("""COMPUTED_VALUE"""),46084.3647337963)</f>
        <v>46084.36473</v>
      </c>
      <c r="V2738" s="211" t="str">
        <f>IFERROR(__xludf.DUMMYFUNCTION("""COMPUTED_VALUE"""),"Trosobo Taman")</f>
        <v>Trosobo Taman</v>
      </c>
      <c r="W2738" s="211" t="str">
        <f>IFERROR(__xludf.DUMMYFUNCTION("""COMPUTED_VALUE"""),"IN")</f>
        <v>IN</v>
      </c>
      <c r="X2738" s="211"/>
    </row>
    <row r="2739">
      <c r="A2739" s="211"/>
      <c r="B2739" s="211"/>
      <c r="C2739" s="211"/>
      <c r="D2739" s="211"/>
      <c r="E2739" s="211"/>
      <c r="F2739" s="211"/>
      <c r="G2739" s="211"/>
      <c r="H2739" s="211"/>
      <c r="I2739" s="211"/>
      <c r="J2739" s="211"/>
      <c r="K2739" s="211"/>
      <c r="L2739" s="211"/>
      <c r="M2739" s="211"/>
      <c r="N2739" s="211"/>
      <c r="O2739" s="211"/>
      <c r="Q2739" s="210" t="str">
        <f>IFERROR(__xludf.DUMMYFUNCTION("""COMPUTED_VALUE"""),"1261339")</f>
        <v>1261339</v>
      </c>
      <c r="R2739" s="210" t="str">
        <f>IFERROR(__xludf.DUMMYFUNCTION("""COMPUTED_VALUE"""),"1261339")</f>
        <v>1261339</v>
      </c>
      <c r="S2739" s="211" t="str">
        <f>IFERROR(__xludf.DUMMYFUNCTION("""COMPUTED_VALUE"""),"ec231cc9")</f>
        <v>ec231cc9</v>
      </c>
      <c r="T2739" s="211" t="str">
        <f>IFERROR(__xludf.DUMMYFUNCTION("""COMPUTED_VALUE"""),"Bpk. Kohir (Maintenance Velg)")</f>
        <v>Bpk. Kohir (Maintenance Velg)</v>
      </c>
      <c r="U2739" s="215">
        <f>IFERROR(__xludf.DUMMYFUNCTION("""COMPUTED_VALUE"""),46084.365798611114)</f>
        <v>46084.3658</v>
      </c>
      <c r="V2739" s="211" t="str">
        <f>IFERROR(__xludf.DUMMYFUNCTION("""COMPUTED_VALUE"""),"Jl. Lkr. Bypass Krian Timur, Sidogolong, Watugolong, Kec. Krian, Kabupaten Sidoarjo, Jawa Timur 61262")</f>
        <v>Jl. Lkr. Bypass Krian Timur, Sidogolong, Watugolong, Kec. Krian, Kabupaten Sidoarjo, Jawa Timur 61262</v>
      </c>
      <c r="W2739" s="211" t="str">
        <f>IFERROR(__xludf.DUMMYFUNCTION("""COMPUTED_VALUE"""),"IN")</f>
        <v>IN</v>
      </c>
      <c r="X2739" s="211"/>
    </row>
    <row r="2740">
      <c r="A2740" s="210" t="str">
        <f>IFERROR(__xludf.DUMMYFUNCTION("""COMPUTED_VALUE"""),"122581930")</f>
        <v>122581930</v>
      </c>
      <c r="B2740" s="210" t="str">
        <f>IFERROR(__xludf.DUMMYFUNCTION("""COMPUTED_VALUE"""),"122581930")</f>
        <v>122581930</v>
      </c>
      <c r="C2740" s="213">
        <f>IFERROR(__xludf.DUMMYFUNCTION("""COMPUTED_VALUE"""),46000.53853009259)</f>
        <v>46000.53853</v>
      </c>
      <c r="D2740" s="211" t="str">
        <f>IFERROR(__xludf.DUMMYFUNCTION("""COMPUTED_VALUE"""),"440df1db")</f>
        <v>440df1db</v>
      </c>
      <c r="E2740" s="211" t="str">
        <f>IFERROR(__xludf.DUMMYFUNCTION("""COMPUTED_VALUE"""),"PT. Mecca Abadi Sejahtera")</f>
        <v>PT. Mecca Abadi Sejahtera</v>
      </c>
      <c r="F2740" s="211" t="str">
        <f>IFERROR(__xludf.DUMMYFUNCTION("""COMPUTED_VALUE"""),"ef306e54")</f>
        <v>ef306e54</v>
      </c>
      <c r="G2740" s="211" t="str">
        <f>IFERROR(__xludf.DUMMYFUNCTION("""COMPUTED_VALUE"""),"Karbondioksida")</f>
        <v>Karbondioksida</v>
      </c>
      <c r="H2740" s="211" t="str">
        <f>IFERROR(__xludf.DUMMYFUNCTION("""COMPUTED_VALUE"""),"OUT")</f>
        <v>OUT</v>
      </c>
      <c r="I2740" s="211" t="str">
        <f>IFERROR(__xludf.DUMMYFUNCTION("""COMPUTED_VALUE"""),"NORMAL")</f>
        <v>NORMAL</v>
      </c>
      <c r="J2740" s="211">
        <f>IFERROR(__xludf.DUMMYFUNCTION("""COMPUTED_VALUE"""),5.0)</f>
        <v>5</v>
      </c>
      <c r="K2740" s="210" t="str">
        <f>IFERROR(__xludf.DUMMYFUNCTION("""COMPUTED_VALUE"""),"13042 13021 13020 13043 13037")</f>
        <v>13042 13021 13020 13043 13037</v>
      </c>
      <c r="L2740" s="211">
        <f>IFERROR(__xludf.DUMMYFUNCTION("""COMPUTED_VALUE"""),190000.0)</f>
        <v>190000</v>
      </c>
      <c r="M2740" s="211"/>
      <c r="N2740" s="211"/>
      <c r="O2740" s="211"/>
      <c r="Q2740" s="210" t="str">
        <f>IFERROR(__xludf.DUMMYFUNCTION("""COMPUTED_VALUE"""),"1261350")</f>
        <v>1261350</v>
      </c>
      <c r="R2740" s="210" t="str">
        <f>IFERROR(__xludf.DUMMYFUNCTION("""COMPUTED_VALUE"""),"1261350")</f>
        <v>1261350</v>
      </c>
      <c r="S2740" s="211" t="str">
        <f>IFERROR(__xludf.DUMMYFUNCTION("""COMPUTED_VALUE"""),"d9b2fac5")</f>
        <v>d9b2fac5</v>
      </c>
      <c r="T2740" s="211" t="str">
        <f>IFERROR(__xludf.DUMMYFUNCTION("""COMPUTED_VALUE"""),"Dwi Riza ( Ponokawan)")</f>
        <v>Dwi Riza ( Ponokawan)</v>
      </c>
      <c r="U2740" s="215">
        <f>IFERROR(__xludf.DUMMYFUNCTION("""COMPUTED_VALUE"""),46084.36623842592)</f>
        <v>46084.36624</v>
      </c>
      <c r="V2740" s="211" t="str">
        <f>IFERROR(__xludf.DUMMYFUNCTION("""COMPUTED_VALUE"""),"Jl. Raya Ponokawan No.28 RT 07 RW 03 Kec. Krian Sidoarjo (Seberang Bengkel An.Nur/ Deretan Baraka Expres)")</f>
        <v>Jl. Raya Ponokawan No.28 RT 07 RW 03 Kec. Krian Sidoarjo (Seberang Bengkel An.Nur/ Deretan Baraka Expres)</v>
      </c>
      <c r="W2740" s="211" t="str">
        <f>IFERROR(__xludf.DUMMYFUNCTION("""COMPUTED_VALUE"""),"IN")</f>
        <v>IN</v>
      </c>
      <c r="X2740" s="211"/>
    </row>
    <row r="2741">
      <c r="A2741" s="210" t="str">
        <f>IFERROR(__xludf.DUMMYFUNCTION("""COMPUTED_VALUE"""),"122551931")</f>
        <v>122551931</v>
      </c>
      <c r="B2741" s="210" t="str">
        <f>IFERROR(__xludf.DUMMYFUNCTION("""COMPUTED_VALUE"""),"122551931")</f>
        <v>122551931</v>
      </c>
      <c r="C2741" s="213">
        <f>IFERROR(__xludf.DUMMYFUNCTION("""COMPUTED_VALUE"""),46000.54605324074)</f>
        <v>46000.54605</v>
      </c>
      <c r="D2741" s="211" t="str">
        <f>IFERROR(__xludf.DUMMYFUNCTION("""COMPUTED_VALUE"""),"bdb5baf3")</f>
        <v>bdb5baf3</v>
      </c>
      <c r="E2741" s="211" t="str">
        <f>IFERROR(__xludf.DUMMYFUNCTION("""COMPUTED_VALUE"""),"Bpk. Abdul")</f>
        <v>Bpk. Abdul</v>
      </c>
      <c r="F2741" s="211" t="str">
        <f>IFERROR(__xludf.DUMMYFUNCTION("""COMPUTED_VALUE"""),"3b9d6a30")</f>
        <v>3b9d6a30</v>
      </c>
      <c r="G2741" s="211" t="str">
        <f>IFERROR(__xludf.DUMMYFUNCTION("""COMPUTED_VALUE"""),"Acetyline")</f>
        <v>Acetyline</v>
      </c>
      <c r="H2741" s="211" t="str">
        <f>IFERROR(__xludf.DUMMYFUNCTION("""COMPUTED_VALUE"""),"OUT")</f>
        <v>OUT</v>
      </c>
      <c r="I2741" s="211" t="str">
        <f>IFERROR(__xludf.DUMMYFUNCTION("""COMPUTED_VALUE"""),"NORMAL")</f>
        <v>NORMAL</v>
      </c>
      <c r="J2741" s="211">
        <f>IFERROR(__xludf.DUMMYFUNCTION("""COMPUTED_VALUE"""),1.0)</f>
        <v>1</v>
      </c>
      <c r="K2741" s="210" t="str">
        <f>IFERROR(__xludf.DUMMYFUNCTION("""COMPUTED_VALUE"""),"7814")</f>
        <v>7814</v>
      </c>
      <c r="L2741" s="211">
        <f>IFERROR(__xludf.DUMMYFUNCTION("""COMPUTED_VALUE"""),430000.0)</f>
        <v>430000</v>
      </c>
      <c r="M2741" s="211"/>
      <c r="N2741" s="211" t="str">
        <f>IFERROR(__xludf.DUMMYFUNCTION("""COMPUTED_VALUE"""),"TABUNG BAS")</f>
        <v>TABUNG BAS</v>
      </c>
      <c r="O2741" s="211"/>
      <c r="Q2741" s="210" t="str">
        <f>IFERROR(__xludf.DUMMYFUNCTION("""COMPUTED_VALUE"""),"1261340")</f>
        <v>1261340</v>
      </c>
      <c r="R2741" s="210" t="str">
        <f>IFERROR(__xludf.DUMMYFUNCTION("""COMPUTED_VALUE"""),"1261340")</f>
        <v>1261340</v>
      </c>
      <c r="S2741" s="211" t="str">
        <f>IFERROR(__xludf.DUMMYFUNCTION("""COMPUTED_VALUE"""),"1c4d5e93")</f>
        <v>1c4d5e93</v>
      </c>
      <c r="T2741" s="211" t="str">
        <f>IFERROR(__xludf.DUMMYFUNCTION("""COMPUTED_VALUE"""),"Karoseri Cipta Mitra Sukses")</f>
        <v>Karoseri Cipta Mitra Sukses</v>
      </c>
      <c r="U2741" s="215">
        <f>IFERROR(__xludf.DUMMYFUNCTION("""COMPUTED_VALUE"""),46084.366956018515)</f>
        <v>46084.36696</v>
      </c>
      <c r="V2741" s="211" t="str">
        <f>IFERROR(__xludf.DUMMYFUNCTION("""COMPUTED_VALUE"""),"JL. Bypass Krian No. 7800, Blok B No 11. Barengkrajan, Kec. Krian, Kabupaten Sidoarjo, Jawa Timur  61262")</f>
        <v>JL. Bypass Krian No. 7800, Blok B No 11. Barengkrajan, Kec. Krian, Kabupaten Sidoarjo, Jawa Timur  61262</v>
      </c>
      <c r="W2741" s="211" t="str">
        <f>IFERROR(__xludf.DUMMYFUNCTION("""COMPUTED_VALUE"""),"IN")</f>
        <v>IN</v>
      </c>
      <c r="X2741" s="211"/>
    </row>
    <row r="2742">
      <c r="A2742" s="210" t="str">
        <f>IFERROR(__xludf.DUMMYFUNCTION("""COMPUTED_VALUE"""),"1250907")</f>
        <v>1250907</v>
      </c>
      <c r="B2742" s="210" t="str">
        <f>IFERROR(__xludf.DUMMYFUNCTION("""COMPUTED_VALUE"""),"1250907")</f>
        <v>1250907</v>
      </c>
      <c r="C2742" s="213">
        <f>IFERROR(__xludf.DUMMYFUNCTION("""COMPUTED_VALUE"""),46000.56899305555)</f>
        <v>46000.56899</v>
      </c>
      <c r="D2742" s="211" t="str">
        <f>IFERROR(__xludf.DUMMYFUNCTION("""COMPUTED_VALUE"""),"b2b5f2c5")</f>
        <v>b2b5f2c5</v>
      </c>
      <c r="E2742" s="211" t="str">
        <f>IFERROR(__xludf.DUMMYFUNCTION("""COMPUTED_VALUE"""),"Bengkel Las Bpk. Ari")</f>
        <v>Bengkel Las Bpk. Ari</v>
      </c>
      <c r="F2742" s="211" t="str">
        <f>IFERROR(__xludf.DUMMYFUNCTION("""COMPUTED_VALUE"""),"8bdbe149")</f>
        <v>8bdbe149</v>
      </c>
      <c r="G2742" s="211" t="str">
        <f>IFERROR(__xludf.DUMMYFUNCTION("""COMPUTED_VALUE"""),"Oksigen 6m3")</f>
        <v>Oksigen 6m3</v>
      </c>
      <c r="H2742" s="211" t="str">
        <f>IFERROR(__xludf.DUMMYFUNCTION("""COMPUTED_VALUE"""),"IN")</f>
        <v>IN</v>
      </c>
      <c r="I2742" s="211" t="str">
        <f>IFERROR(__xludf.DUMMYFUNCTION("""COMPUTED_VALUE"""),"EMPTY")</f>
        <v>EMPTY</v>
      </c>
      <c r="J2742" s="211">
        <f>IFERROR(__xludf.DUMMYFUNCTION("""COMPUTED_VALUE"""),1.0)</f>
        <v>1</v>
      </c>
      <c r="K2742" s="210" t="str">
        <f>IFERROR(__xludf.DUMMYFUNCTION("""COMPUTED_VALUE"""),"11310")</f>
        <v>11310</v>
      </c>
      <c r="L2742" s="211">
        <f>IFERROR(__xludf.DUMMYFUNCTION("""COMPUTED_VALUE"""),0.0)</f>
        <v>0</v>
      </c>
      <c r="M2742" s="211"/>
      <c r="N2742" s="211"/>
      <c r="O2742" s="211"/>
      <c r="Q2742" s="211"/>
      <c r="R2742" s="211"/>
      <c r="S2742" s="211"/>
      <c r="T2742" s="211"/>
      <c r="U2742" s="211"/>
      <c r="V2742" s="211"/>
      <c r="W2742" s="211"/>
      <c r="X2742" s="211"/>
    </row>
    <row r="2743">
      <c r="A2743" s="210" t="str">
        <f>IFERROR(__xludf.DUMMYFUNCTION("""COMPUTED_VALUE"""),"1250907")</f>
        <v>1250907</v>
      </c>
      <c r="B2743" s="210" t="str">
        <f>IFERROR(__xludf.DUMMYFUNCTION("""COMPUTED_VALUE"""),"1250907")</f>
        <v>1250907</v>
      </c>
      <c r="C2743" s="213">
        <f>IFERROR(__xludf.DUMMYFUNCTION("""COMPUTED_VALUE"""),46000.56899305555)</f>
        <v>46000.56899</v>
      </c>
      <c r="D2743" s="211" t="str">
        <f>IFERROR(__xludf.DUMMYFUNCTION("""COMPUTED_VALUE"""),"b2b5f2c5")</f>
        <v>b2b5f2c5</v>
      </c>
      <c r="E2743" s="211" t="str">
        <f>IFERROR(__xludf.DUMMYFUNCTION("""COMPUTED_VALUE"""),"Bengkel Las Bpk. Ari")</f>
        <v>Bengkel Las Bpk. Ari</v>
      </c>
      <c r="F2743" s="211" t="str">
        <f>IFERROR(__xludf.DUMMYFUNCTION("""COMPUTED_VALUE"""),"ef306e54")</f>
        <v>ef306e54</v>
      </c>
      <c r="G2743" s="211" t="str">
        <f>IFERROR(__xludf.DUMMYFUNCTION("""COMPUTED_VALUE"""),"Karbondioksida")</f>
        <v>Karbondioksida</v>
      </c>
      <c r="H2743" s="211" t="str">
        <f>IFERROR(__xludf.DUMMYFUNCTION("""COMPUTED_VALUE"""),"IN")</f>
        <v>IN</v>
      </c>
      <c r="I2743" s="211" t="str">
        <f>IFERROR(__xludf.DUMMYFUNCTION("""COMPUTED_VALUE"""),"EMPTY")</f>
        <v>EMPTY</v>
      </c>
      <c r="J2743" s="211">
        <f>IFERROR(__xludf.DUMMYFUNCTION("""COMPUTED_VALUE"""),1.0)</f>
        <v>1</v>
      </c>
      <c r="K2743" s="210" t="str">
        <f>IFERROR(__xludf.DUMMYFUNCTION("""COMPUTED_VALUE"""),"13046")</f>
        <v>13046</v>
      </c>
      <c r="L2743" s="211">
        <f>IFERROR(__xludf.DUMMYFUNCTION("""COMPUTED_VALUE"""),0.0)</f>
        <v>0</v>
      </c>
      <c r="M2743" s="211"/>
      <c r="N2743" s="211"/>
      <c r="O2743" s="211"/>
      <c r="Q2743" s="210" t="str">
        <f>IFERROR(__xludf.DUMMYFUNCTION("""COMPUTED_VALUE"""),"1261328")</f>
        <v>1261328</v>
      </c>
      <c r="R2743" s="210" t="str">
        <f>IFERROR(__xludf.DUMMYFUNCTION("""COMPUTED_VALUE"""),"1261328")</f>
        <v>1261328</v>
      </c>
      <c r="S2743" s="211" t="str">
        <f>IFERROR(__xludf.DUMMYFUNCTION("""COMPUTED_VALUE"""),"b2b5f2c5")</f>
        <v>b2b5f2c5</v>
      </c>
      <c r="T2743" s="211" t="str">
        <f>IFERROR(__xludf.DUMMYFUNCTION("""COMPUTED_VALUE"""),"Bengkel Las Bpk. Ari")</f>
        <v>Bengkel Las Bpk. Ari</v>
      </c>
      <c r="U2743" s="215">
        <f>IFERROR(__xludf.DUMMYFUNCTION("""COMPUTED_VALUE"""),46084.36818287037)</f>
        <v>46084.36818</v>
      </c>
      <c r="V2743" s="211" t="str">
        <f>IFERROR(__xludf.DUMMYFUNCTION("""COMPUTED_VALUE"""),"Sumber Kembar, Wonodadi, Kec. Kutorejo, Kabupaten Mojokerto, Jawa Timur")</f>
        <v>Sumber Kembar, Wonodadi, Kec. Kutorejo, Kabupaten Mojokerto, Jawa Timur</v>
      </c>
      <c r="W2743" s="211" t="str">
        <f>IFERROR(__xludf.DUMMYFUNCTION("""COMPUTED_VALUE"""),"IN")</f>
        <v>IN</v>
      </c>
      <c r="X2743" s="211"/>
    </row>
    <row r="2744">
      <c r="A2744" s="210" t="str">
        <f>IFERROR(__xludf.DUMMYFUNCTION("""COMPUTED_VALUE"""),"1250908")</f>
        <v>1250908</v>
      </c>
      <c r="B2744" s="210" t="str">
        <f>IFERROR(__xludf.DUMMYFUNCTION("""COMPUTED_VALUE"""),"1250908")</f>
        <v>1250908</v>
      </c>
      <c r="C2744" s="213">
        <f>IFERROR(__xludf.DUMMYFUNCTION("""COMPUTED_VALUE"""),46000.61530092593)</f>
        <v>46000.6153</v>
      </c>
      <c r="D2744" s="211" t="str">
        <f>IFERROR(__xludf.DUMMYFUNCTION("""COMPUTED_VALUE"""),"440df1db")</f>
        <v>440df1db</v>
      </c>
      <c r="E2744" s="211" t="str">
        <f>IFERROR(__xludf.DUMMYFUNCTION("""COMPUTED_VALUE"""),"PT. Mecca Abadi Sejahtera")</f>
        <v>PT. Mecca Abadi Sejahtera</v>
      </c>
      <c r="F2744" s="211" t="str">
        <f>IFERROR(__xludf.DUMMYFUNCTION("""COMPUTED_VALUE"""),"ef306e54")</f>
        <v>ef306e54</v>
      </c>
      <c r="G2744" s="211" t="str">
        <f>IFERROR(__xludf.DUMMYFUNCTION("""COMPUTED_VALUE"""),"Karbondioksida")</f>
        <v>Karbondioksida</v>
      </c>
      <c r="H2744" s="211" t="str">
        <f>IFERROR(__xludf.DUMMYFUNCTION("""COMPUTED_VALUE"""),"IN")</f>
        <v>IN</v>
      </c>
      <c r="I2744" s="211" t="str">
        <f>IFERROR(__xludf.DUMMYFUNCTION("""COMPUTED_VALUE"""),"EMPTY")</f>
        <v>EMPTY</v>
      </c>
      <c r="J2744" s="211">
        <f>IFERROR(__xludf.DUMMYFUNCTION("""COMPUTED_VALUE"""),5.0)</f>
        <v>5</v>
      </c>
      <c r="K2744" s="210" t="str">
        <f>IFERROR(__xludf.DUMMYFUNCTION("""COMPUTED_VALUE"""),"13048 13017 13028 13012 13030")</f>
        <v>13048 13017 13028 13012 13030</v>
      </c>
      <c r="L2744" s="211">
        <f>IFERROR(__xludf.DUMMYFUNCTION("""COMPUTED_VALUE"""),0.0)</f>
        <v>0</v>
      </c>
      <c r="M2744" s="211"/>
      <c r="N2744" s="211"/>
      <c r="O2744" s="211"/>
      <c r="Q2744" s="210" t="str">
        <f>IFERROR(__xludf.DUMMYFUNCTION("""COMPUTED_VALUE"""),"1261329")</f>
        <v>1261329</v>
      </c>
      <c r="R2744" s="210" t="str">
        <f>IFERROR(__xludf.DUMMYFUNCTION("""COMPUTED_VALUE"""),"1261329")</f>
        <v>1261329</v>
      </c>
      <c r="S2744" s="211" t="str">
        <f>IFERROR(__xludf.DUMMYFUNCTION("""COMPUTED_VALUE"""),"63fc688a")</f>
        <v>63fc688a</v>
      </c>
      <c r="T2744" s="211" t="str">
        <f>IFERROR(__xludf.DUMMYFUNCTION("""COMPUTED_VALUE"""),"CV Malik Nusantara")</f>
        <v>CV Malik Nusantara</v>
      </c>
      <c r="U2744" s="215">
        <f>IFERROR(__xludf.DUMMYFUNCTION("""COMPUTED_VALUE"""),46084.37099537037)</f>
        <v>46084.371</v>
      </c>
      <c r="V2744" s="211" t="str">
        <f>IFERROR(__xludf.DUMMYFUNCTION("""COMPUTED_VALUE"""),"Jl. Raya Balongbendo No.12, Suwaluh Utara, Suwaluh, Kec. BalongBendo, Kabupaten Sidoarjo, Jawa Timur 61263")</f>
        <v>Jl. Raya Balongbendo No.12, Suwaluh Utara, Suwaluh, Kec. BalongBendo, Kabupaten Sidoarjo, Jawa Timur 61263</v>
      </c>
      <c r="W2744" s="211" t="str">
        <f>IFERROR(__xludf.DUMMYFUNCTION("""COMPUTED_VALUE"""),"IN")</f>
        <v>IN</v>
      </c>
      <c r="X2744" s="211"/>
    </row>
    <row r="2745">
      <c r="A2745" s="210" t="str">
        <f>IFERROR(__xludf.DUMMYFUNCTION("""COMPUTED_VALUE"""),"122531930")</f>
        <v>122531930</v>
      </c>
      <c r="B2745" s="210" t="str">
        <f>IFERROR(__xludf.DUMMYFUNCTION("""COMPUTED_VALUE"""),"122531930")</f>
        <v>122531930</v>
      </c>
      <c r="C2745" s="213">
        <f>IFERROR(__xludf.DUMMYFUNCTION("""COMPUTED_VALUE"""),46001.34027777778)</f>
        <v>46001.34028</v>
      </c>
      <c r="D2745" s="211" t="str">
        <f>IFERROR(__xludf.DUMMYFUNCTION("""COMPUTED_VALUE"""),"3b04351a")</f>
        <v>3b04351a</v>
      </c>
      <c r="E2745" s="211" t="str">
        <f>IFERROR(__xludf.DUMMYFUNCTION("""COMPUTED_VALUE"""),"CV Usaha Logam Jaya ( Bpk Putra )")</f>
        <v>CV Usaha Logam Jaya ( Bpk Putra )</v>
      </c>
      <c r="F2745" s="211" t="str">
        <f>IFERROR(__xludf.DUMMYFUNCTION("""COMPUTED_VALUE"""),"8bdbe149")</f>
        <v>8bdbe149</v>
      </c>
      <c r="G2745" s="211" t="str">
        <f>IFERROR(__xludf.DUMMYFUNCTION("""COMPUTED_VALUE"""),"Oksigen 6m3")</f>
        <v>Oksigen 6m3</v>
      </c>
      <c r="H2745" s="211" t="str">
        <f>IFERROR(__xludf.DUMMYFUNCTION("""COMPUTED_VALUE"""),"OUT")</f>
        <v>OUT</v>
      </c>
      <c r="I2745" s="211" t="str">
        <f>IFERROR(__xludf.DUMMYFUNCTION("""COMPUTED_VALUE"""),"NORMAL")</f>
        <v>NORMAL</v>
      </c>
      <c r="J2745" s="211">
        <f>IFERROR(__xludf.DUMMYFUNCTION("""COMPUTED_VALUE"""),20.0)</f>
        <v>20</v>
      </c>
      <c r="K2745" s="210" t="str">
        <f>IFERROR(__xludf.DUMMYFUNCTION("""COMPUTED_VALUE"""),"11275 11133 11181 1187 11236 11266 11273 11106 11183 1116 1158 11251 11237 11255 11229 11257 1162 1104 1141 1130")</f>
        <v>11275 11133 11181 1187 11236 11266 11273 11106 11183 1116 1158 11251 11237 11255 11229 11257 1162 1104 1141 1130</v>
      </c>
      <c r="L2745" s="211">
        <f>IFERROR(__xludf.DUMMYFUNCTION("""COMPUTED_VALUE"""),60000.0)</f>
        <v>60000</v>
      </c>
      <c r="M2745" s="211"/>
      <c r="N2745" s="211"/>
      <c r="O2745" s="211"/>
      <c r="Q2745" s="210" t="str">
        <f>IFERROR(__xludf.DUMMYFUNCTION("""COMPUTED_VALUE"""),"1261351")</f>
        <v>1261351</v>
      </c>
      <c r="R2745" s="210" t="str">
        <f>IFERROR(__xludf.DUMMYFUNCTION("""COMPUTED_VALUE"""),"1261351")</f>
        <v>1261351</v>
      </c>
      <c r="S2745" s="211" t="str">
        <f>IFERROR(__xludf.DUMMYFUNCTION("""COMPUTED_VALUE"""),"f98b1e81")</f>
        <v>f98b1e81</v>
      </c>
      <c r="T2745" s="211" t="str">
        <f>IFERROR(__xludf.DUMMYFUNCTION("""COMPUTED_VALUE"""),"Bpk. Agus Salim")</f>
        <v>Bpk. Agus Salim</v>
      </c>
      <c r="U2745" s="215">
        <f>IFERROR(__xludf.DUMMYFUNCTION("""COMPUTED_VALUE"""),46085.37152777778)</f>
        <v>46085.37153</v>
      </c>
      <c r="V2745" s="211" t="str">
        <f>IFERROR(__xludf.DUMMYFUNCTION("""COMPUTED_VALUE"""),"Jl. Parengan RT. 18, RW 04,Kraton, Kec. Krian Sidoarjo, Jawa Timur")</f>
        <v>Jl. Parengan RT. 18, RW 04,Kraton, Kec. Krian Sidoarjo, Jawa Timur</v>
      </c>
      <c r="W2745" s="211" t="str">
        <f>IFERROR(__xludf.DUMMYFUNCTION("""COMPUTED_VALUE"""),"IN")</f>
        <v>IN</v>
      </c>
      <c r="X2745" s="211"/>
    </row>
    <row r="2746">
      <c r="A2746" s="210" t="str">
        <f>IFERROR(__xludf.DUMMYFUNCTION("""COMPUTED_VALUE"""),"1225391929")</f>
        <v>1225391929</v>
      </c>
      <c r="B2746" s="210" t="str">
        <f>IFERROR(__xludf.DUMMYFUNCTION("""COMPUTED_VALUE"""),"1225391929")</f>
        <v>1225391929</v>
      </c>
      <c r="C2746" s="213">
        <f>IFERROR(__xludf.DUMMYFUNCTION("""COMPUTED_VALUE"""),46000.463530092595)</f>
        <v>46000.46353</v>
      </c>
      <c r="D2746" s="211" t="str">
        <f>IFERROR(__xludf.DUMMYFUNCTION("""COMPUTED_VALUE"""),"01158be1")</f>
        <v>01158be1</v>
      </c>
      <c r="E2746" s="211" t="str">
        <f>IFERROR(__xludf.DUMMYFUNCTION("""COMPUTED_VALUE"""),"GYF")</f>
        <v>GYF</v>
      </c>
      <c r="F2746" s="211" t="str">
        <f>IFERROR(__xludf.DUMMYFUNCTION("""COMPUTED_VALUE"""),"8bdbe149")</f>
        <v>8bdbe149</v>
      </c>
      <c r="G2746" s="211" t="str">
        <f>IFERROR(__xludf.DUMMYFUNCTION("""COMPUTED_VALUE"""),"Oksigen 6m3")</f>
        <v>Oksigen 6m3</v>
      </c>
      <c r="H2746" s="211" t="str">
        <f>IFERROR(__xludf.DUMMYFUNCTION("""COMPUTED_VALUE"""),"OUT")</f>
        <v>OUT</v>
      </c>
      <c r="I2746" s="211" t="str">
        <f>IFERROR(__xludf.DUMMYFUNCTION("""COMPUTED_VALUE"""),"NORMAL")</f>
        <v>NORMAL</v>
      </c>
      <c r="J2746" s="211">
        <f>IFERROR(__xludf.DUMMYFUNCTION("""COMPUTED_VALUE"""),8.0)</f>
        <v>8</v>
      </c>
      <c r="K2746" s="210" t="str">
        <f>IFERROR(__xludf.DUMMYFUNCTION("""COMPUTED_VALUE"""),"1142 1157 11252 11260 1147 1149 1176 11309")</f>
        <v>1142 1157 11252 11260 1147 1149 1176 11309</v>
      </c>
      <c r="L2746" s="211">
        <f>IFERROR(__xludf.DUMMYFUNCTION("""COMPUTED_VALUE"""),45000.0)</f>
        <v>45000</v>
      </c>
      <c r="M2746" s="211"/>
      <c r="N2746" s="211"/>
      <c r="O2746" s="211"/>
      <c r="Q2746" s="210" t="str">
        <f>IFERROR(__xludf.DUMMYFUNCTION("""COMPUTED_VALUE"""),"1261346")</f>
        <v>1261346</v>
      </c>
      <c r="R2746" s="210" t="str">
        <f>IFERROR(__xludf.DUMMYFUNCTION("""COMPUTED_VALUE"""),"1261346")</f>
        <v>1261346</v>
      </c>
      <c r="S2746" s="211" t="str">
        <f>IFERROR(__xludf.DUMMYFUNCTION("""COMPUTED_VALUE"""),"98c84274")</f>
        <v>98c84274</v>
      </c>
      <c r="T2746" s="211" t="str">
        <f>IFERROR(__xludf.DUMMYFUNCTION("""COMPUTED_VALUE"""),"Bengkel SBM (Pak Hari)")</f>
        <v>Bengkel SBM (Pak Hari)</v>
      </c>
      <c r="U2746" s="215">
        <f>IFERROR(__xludf.DUMMYFUNCTION("""COMPUTED_VALUE"""),46085.371886574074)</f>
        <v>46085.37189</v>
      </c>
      <c r="V2746"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746" s="211" t="str">
        <f>IFERROR(__xludf.DUMMYFUNCTION("""COMPUTED_VALUE"""),"IN")</f>
        <v>IN</v>
      </c>
      <c r="X2746" s="211"/>
    </row>
    <row r="2747">
      <c r="A2747" s="210" t="str">
        <f>IFERROR(__xludf.DUMMYFUNCTION("""COMPUTED_VALUE"""),"1225391929")</f>
        <v>1225391929</v>
      </c>
      <c r="B2747" s="210" t="str">
        <f>IFERROR(__xludf.DUMMYFUNCTION("""COMPUTED_VALUE"""),"1225391929")</f>
        <v>1225391929</v>
      </c>
      <c r="C2747" s="213">
        <f>IFERROR(__xludf.DUMMYFUNCTION("""COMPUTED_VALUE"""),46000.463530092595)</f>
        <v>46000.46353</v>
      </c>
      <c r="D2747" s="211" t="str">
        <f>IFERROR(__xludf.DUMMYFUNCTION("""COMPUTED_VALUE"""),"01158be1")</f>
        <v>01158be1</v>
      </c>
      <c r="E2747" s="211" t="str">
        <f>IFERROR(__xludf.DUMMYFUNCTION("""COMPUTED_VALUE"""),"GYF")</f>
        <v>GYF</v>
      </c>
      <c r="F2747" s="211" t="str">
        <f>IFERROR(__xludf.DUMMYFUNCTION("""COMPUTED_VALUE"""),"7d2764f1")</f>
        <v>7d2764f1</v>
      </c>
      <c r="G2747" s="211" t="str">
        <f>IFERROR(__xludf.DUMMYFUNCTION("""COMPUTED_VALUE"""),"Oksigen 7m3")</f>
        <v>Oksigen 7m3</v>
      </c>
      <c r="H2747" s="211" t="str">
        <f>IFERROR(__xludf.DUMMYFUNCTION("""COMPUTED_VALUE"""),"OUT")</f>
        <v>OUT</v>
      </c>
      <c r="I2747" s="211" t="str">
        <f>IFERROR(__xludf.DUMMYFUNCTION("""COMPUTED_VALUE"""),"NORMAL")</f>
        <v>NORMAL</v>
      </c>
      <c r="J2747" s="211">
        <f>IFERROR(__xludf.DUMMYFUNCTION("""COMPUTED_VALUE"""),2.0)</f>
        <v>2</v>
      </c>
      <c r="K2747" s="210" t="str">
        <f>IFERROR(__xludf.DUMMYFUNCTION("""COMPUTED_VALUE"""),"1165 11215")</f>
        <v>1165 11215</v>
      </c>
      <c r="L2747" s="211">
        <f>IFERROR(__xludf.DUMMYFUNCTION("""COMPUTED_VALUE"""),45000.0)</f>
        <v>45000</v>
      </c>
      <c r="M2747" s="211"/>
      <c r="N2747" s="211"/>
      <c r="O2747" s="211"/>
      <c r="Q2747" s="210" t="str">
        <f>IFERROR(__xludf.DUMMYFUNCTION("""COMPUTED_VALUE"""),"1261353")</f>
        <v>1261353</v>
      </c>
      <c r="R2747" s="210" t="str">
        <f>IFERROR(__xludf.DUMMYFUNCTION("""COMPUTED_VALUE"""),"1261353")</f>
        <v>1261353</v>
      </c>
      <c r="S2747" s="211" t="str">
        <f>IFERROR(__xludf.DUMMYFUNCTION("""COMPUTED_VALUE"""),"057b6b99")</f>
        <v>057b6b99</v>
      </c>
      <c r="T2747" s="211" t="str">
        <f>IFERROR(__xludf.DUMMYFUNCTION("""COMPUTED_VALUE"""),"PT Anuta Utama Transport")</f>
        <v>PT Anuta Utama Transport</v>
      </c>
      <c r="U2747" s="215">
        <f>IFERROR(__xludf.DUMMYFUNCTION("""COMPUTED_VALUE"""),46085.37275462963)</f>
        <v>46085.37275</v>
      </c>
      <c r="V2747" s="211" t="str">
        <f>IFERROR(__xludf.DUMMYFUNCTION("""COMPUTED_VALUE"""),"Jl Raya ketimang KM 10, Kec. Wonoayu, Kab. Sidoarjo, Jawa Timur")</f>
        <v>Jl Raya ketimang KM 10, Kec. Wonoayu, Kab. Sidoarjo, Jawa Timur</v>
      </c>
      <c r="W2747" s="211" t="str">
        <f>IFERROR(__xludf.DUMMYFUNCTION("""COMPUTED_VALUE"""),"IN")</f>
        <v>IN</v>
      </c>
      <c r="X2747" s="211"/>
    </row>
    <row r="2748">
      <c r="A2748" s="210" t="str">
        <f>IFERROR(__xludf.DUMMYFUNCTION("""COMPUTED_VALUE"""),"1250924")</f>
        <v>1250924</v>
      </c>
      <c r="B2748" s="210" t="str">
        <f>IFERROR(__xludf.DUMMYFUNCTION("""COMPUTED_VALUE"""),"1250924")</f>
        <v>1250924</v>
      </c>
      <c r="C2748" s="213">
        <f>IFERROR(__xludf.DUMMYFUNCTION("""COMPUTED_VALUE"""),46000.70586805556)</f>
        <v>46000.70587</v>
      </c>
      <c r="D2748" s="211" t="str">
        <f>IFERROR(__xludf.DUMMYFUNCTION("""COMPUTED_VALUE"""),"e86baf3b")</f>
        <v>e86baf3b</v>
      </c>
      <c r="E2748" s="211" t="str">
        <f>IFERROR(__xludf.DUMMYFUNCTION("""COMPUTED_VALUE"""),"PT GEMILANG CIPTA WAWASAN")</f>
        <v>PT GEMILANG CIPTA WAWASAN</v>
      </c>
      <c r="F2748" s="211" t="str">
        <f>IFERROR(__xludf.DUMMYFUNCTION("""COMPUTED_VALUE"""),"8bdbe149")</f>
        <v>8bdbe149</v>
      </c>
      <c r="G2748" s="211" t="str">
        <f>IFERROR(__xludf.DUMMYFUNCTION("""COMPUTED_VALUE"""),"Oksigen 6m3")</f>
        <v>Oksigen 6m3</v>
      </c>
      <c r="H2748" s="211" t="str">
        <f>IFERROR(__xludf.DUMMYFUNCTION("""COMPUTED_VALUE"""),"IN")</f>
        <v>IN</v>
      </c>
      <c r="I2748" s="211" t="str">
        <f>IFERROR(__xludf.DUMMYFUNCTION("""COMPUTED_VALUE"""),"EMPTY")</f>
        <v>EMPTY</v>
      </c>
      <c r="J2748" s="211">
        <f>IFERROR(__xludf.DUMMYFUNCTION("""COMPUTED_VALUE"""),7.0)</f>
        <v>7</v>
      </c>
      <c r="K2748" s="210" t="str">
        <f>IFERROR(__xludf.DUMMYFUNCTION("""COMPUTED_VALUE"""),"1104 11275 1141 1130 11255 1162 11257")</f>
        <v>1104 11275 1141 1130 11255 1162 11257</v>
      </c>
      <c r="L2748" s="211">
        <f>IFERROR(__xludf.DUMMYFUNCTION("""COMPUTED_VALUE"""),0.0)</f>
        <v>0</v>
      </c>
      <c r="M2748" s="211"/>
      <c r="N2748" s="211"/>
      <c r="O2748" s="211"/>
      <c r="Q2748" s="210" t="str">
        <f>IFERROR(__xludf.DUMMYFUNCTION("""COMPUTED_VALUE"""),"1261352")</f>
        <v>1261352</v>
      </c>
      <c r="R2748" s="210" t="str">
        <f>IFERROR(__xludf.DUMMYFUNCTION("""COMPUTED_VALUE"""),"1261352")</f>
        <v>1261352</v>
      </c>
      <c r="S2748" s="211" t="str">
        <f>IFERROR(__xludf.DUMMYFUNCTION("""COMPUTED_VALUE"""),"8b765561")</f>
        <v>8b765561</v>
      </c>
      <c r="T2748" s="211" t="str">
        <f>IFERROR(__xludf.DUMMYFUNCTION("""COMPUTED_VALUE"""),"Bpk. Idris")</f>
        <v>Bpk. Idris</v>
      </c>
      <c r="U2748" s="215">
        <f>IFERROR(__xludf.DUMMYFUNCTION("""COMPUTED_VALUE"""),46085.37355324074)</f>
        <v>46085.37355</v>
      </c>
      <c r="V2748" s="211" t="str">
        <f>IFERROR(__xludf.DUMMYFUNCTION("""COMPUTED_VALUE"""),"JL. Soenandar Priyo Sudarmo, Balepanjang, Tropodo, Kec Krian, Kabupaten Sidoarjo, Jawa Timur")</f>
        <v>JL. Soenandar Priyo Sudarmo, Balepanjang, Tropodo, Kec Krian, Kabupaten Sidoarjo, Jawa Timur</v>
      </c>
      <c r="W2748" s="211" t="str">
        <f>IFERROR(__xludf.DUMMYFUNCTION("""COMPUTED_VALUE"""),"IN")</f>
        <v>IN</v>
      </c>
      <c r="X2748" s="211"/>
    </row>
    <row r="2749">
      <c r="A2749" s="210" t="str">
        <f>IFERROR(__xludf.DUMMYFUNCTION("""COMPUTED_VALUE"""),"1250924")</f>
        <v>1250924</v>
      </c>
      <c r="B2749" s="210" t="str">
        <f>IFERROR(__xludf.DUMMYFUNCTION("""COMPUTED_VALUE"""),"1250924")</f>
        <v>1250924</v>
      </c>
      <c r="C2749" s="213">
        <f>IFERROR(__xludf.DUMMYFUNCTION("""COMPUTED_VALUE"""),46000.70586805556)</f>
        <v>46000.70587</v>
      </c>
      <c r="D2749" s="211" t="str">
        <f>IFERROR(__xludf.DUMMYFUNCTION("""COMPUTED_VALUE"""),"e86baf3b")</f>
        <v>e86baf3b</v>
      </c>
      <c r="E2749" s="211" t="str">
        <f>IFERROR(__xludf.DUMMYFUNCTION("""COMPUTED_VALUE"""),"PT GEMILANG CIPTA WAWASAN")</f>
        <v>PT GEMILANG CIPTA WAWASAN</v>
      </c>
      <c r="F2749" s="211" t="str">
        <f>IFERROR(__xludf.DUMMYFUNCTION("""COMPUTED_VALUE"""),"66af7c72")</f>
        <v>66af7c72</v>
      </c>
      <c r="G2749" s="211" t="str">
        <f>IFERROR(__xludf.DUMMYFUNCTION("""COMPUTED_VALUE"""),"Argon 6m3")</f>
        <v>Argon 6m3</v>
      </c>
      <c r="H2749" s="211" t="str">
        <f>IFERROR(__xludf.DUMMYFUNCTION("""COMPUTED_VALUE"""),"IN")</f>
        <v>IN</v>
      </c>
      <c r="I2749" s="211" t="str">
        <f>IFERROR(__xludf.DUMMYFUNCTION("""COMPUTED_VALUE"""),"EMPTY")</f>
        <v>EMPTY</v>
      </c>
      <c r="J2749" s="211">
        <f>IFERROR(__xludf.DUMMYFUNCTION("""COMPUTED_VALUE"""),25.0)</f>
        <v>25</v>
      </c>
      <c r="K2749" s="210" t="str">
        <f>IFERROR(__xludf.DUMMYFUNCTION("""COMPUTED_VALUE"""),"12025 12028 12002 12045 12003 12033 12063 12047 12036 12078 12069 12005 12067 12042 12017 12056 12074 12009 12043 12062 12023 12027 12010 12050 12044")</f>
        <v>12025 12028 12002 12045 12003 12033 12063 12047 12036 12078 12069 12005 12067 12042 12017 12056 12074 12009 12043 12062 12023 12027 12010 12050 12044</v>
      </c>
      <c r="L2749" s="211">
        <f>IFERROR(__xludf.DUMMYFUNCTION("""COMPUTED_VALUE"""),0.0)</f>
        <v>0</v>
      </c>
      <c r="M2749" s="211"/>
      <c r="N2749" s="211"/>
      <c r="O2749" s="211"/>
      <c r="Q2749" s="210" t="str">
        <f>IFERROR(__xludf.DUMMYFUNCTION("""COMPUTED_VALUE"""),"1261347")</f>
        <v>1261347</v>
      </c>
      <c r="R2749" s="210" t="str">
        <f>IFERROR(__xludf.DUMMYFUNCTION("""COMPUTED_VALUE"""),"1261347")</f>
        <v>1261347</v>
      </c>
      <c r="S2749" s="211" t="str">
        <f>IFERROR(__xludf.DUMMYFUNCTION("""COMPUTED_VALUE"""),"58b72e0c")</f>
        <v>58b72e0c</v>
      </c>
      <c r="T2749" s="211" t="str">
        <f>IFERROR(__xludf.DUMMYFUNCTION("""COMPUTED_VALUE"""),"UD. Ais Jaya")</f>
        <v>UD. Ais Jaya</v>
      </c>
      <c r="U2749" s="215">
        <f>IFERROR(__xludf.DUMMYFUNCTION("""COMPUTED_VALUE"""),46085.37384259259)</f>
        <v>46085.37384</v>
      </c>
      <c r="V2749" s="211" t="str">
        <f>IFERROR(__xludf.DUMMYFUNCTION("""COMPUTED_VALUE"""),"Jl. Bypass Krian, Kraton, Kec. Krian, Kabupaten Sidoarjo, Jawa Timur 61262")</f>
        <v>Jl. Bypass Krian, Kraton, Kec. Krian, Kabupaten Sidoarjo, Jawa Timur 61262</v>
      </c>
      <c r="W2749" s="211" t="str">
        <f>IFERROR(__xludf.DUMMYFUNCTION("""COMPUTED_VALUE"""),"IN")</f>
        <v>IN</v>
      </c>
      <c r="X2749" s="211"/>
    </row>
    <row r="2750">
      <c r="A2750" s="210" t="str">
        <f>IFERROR(__xludf.DUMMYFUNCTION("""COMPUTED_VALUE"""),"122531930")</f>
        <v>122531930</v>
      </c>
      <c r="B2750" s="210" t="str">
        <f>IFERROR(__xludf.DUMMYFUNCTION("""COMPUTED_VALUE"""),"122531930")</f>
        <v>122531930</v>
      </c>
      <c r="C2750" s="213">
        <f>IFERROR(__xludf.DUMMYFUNCTION("""COMPUTED_VALUE"""),46001.34027777778)</f>
        <v>46001.34028</v>
      </c>
      <c r="D2750" s="211" t="str">
        <f>IFERROR(__xludf.DUMMYFUNCTION("""COMPUTED_VALUE"""),"3b04351a")</f>
        <v>3b04351a</v>
      </c>
      <c r="E2750" s="211" t="str">
        <f>IFERROR(__xludf.DUMMYFUNCTION("""COMPUTED_VALUE"""),"CV Usaha Logam Jaya ( Bpk Putra )")</f>
        <v>CV Usaha Logam Jaya ( Bpk Putra )</v>
      </c>
      <c r="F2750" s="211" t="str">
        <f>IFERROR(__xludf.DUMMYFUNCTION("""COMPUTED_VALUE"""),"be525f3b")</f>
        <v>be525f3b</v>
      </c>
      <c r="G2750" s="211" t="str">
        <f>IFERROR(__xludf.DUMMYFUNCTION("""COMPUTED_VALUE"""),"LPG 12kg")</f>
        <v>LPG 12kg</v>
      </c>
      <c r="H2750" s="211" t="str">
        <f>IFERROR(__xludf.DUMMYFUNCTION("""COMPUTED_VALUE"""),"OUT")</f>
        <v>OUT</v>
      </c>
      <c r="I2750" s="211" t="str">
        <f>IFERROR(__xludf.DUMMYFUNCTION("""COMPUTED_VALUE"""),"NORMAL")</f>
        <v>NORMAL</v>
      </c>
      <c r="J2750" s="211">
        <f>IFERROR(__xludf.DUMMYFUNCTION("""COMPUTED_VALUE"""),3.0)</f>
        <v>3</v>
      </c>
      <c r="K2750" s="210" t="str">
        <f>IFERROR(__xludf.DUMMYFUNCTION("""COMPUTED_VALUE"""),"01 02 03")</f>
        <v>01 02 03</v>
      </c>
      <c r="L2750" s="211">
        <f>IFERROR(__xludf.DUMMYFUNCTION("""COMPUTED_VALUE"""),210000.0)</f>
        <v>210000</v>
      </c>
      <c r="M2750" s="211"/>
      <c r="N2750" s="211"/>
      <c r="O2750" s="211"/>
      <c r="Q2750" s="210" t="str">
        <f>IFERROR(__xludf.DUMMYFUNCTION("""COMPUTED_VALUE"""),"0326202738")</f>
        <v>0326202738</v>
      </c>
      <c r="R2750" s="210" t="str">
        <f>IFERROR(__xludf.DUMMYFUNCTION("""COMPUTED_VALUE"""),"0326202738")</f>
        <v>0326202738</v>
      </c>
      <c r="S2750" s="211" t="str">
        <f>IFERROR(__xludf.DUMMYFUNCTION("""COMPUTED_VALUE"""),"a0f0ad2d")</f>
        <v>a0f0ad2d</v>
      </c>
      <c r="T2750" s="211" t="str">
        <f>IFERROR(__xludf.DUMMYFUNCTION("""COMPUTED_VALUE"""),"CV. Yulie Jaya")</f>
        <v>CV. Yulie Jaya</v>
      </c>
      <c r="U2750" s="215">
        <f>IFERROR(__xludf.DUMMYFUNCTION("""COMPUTED_VALUE"""),46086.37599537037)</f>
        <v>46086.376</v>
      </c>
      <c r="V2750" s="211" t="str">
        <f>IFERROR(__xludf.DUMMYFUNCTION("""COMPUTED_VALUE"""),"JJH4+6RV, Badas, Barengkrajan, Kec. Krian, Kabupaten Sidoarjo, Jawa Timur 61262")</f>
        <v>JJH4+6RV, Badas, Barengkrajan, Kec. Krian, Kabupaten Sidoarjo, Jawa Timur 61262</v>
      </c>
      <c r="W2750" s="211" t="str">
        <f>IFERROR(__xludf.DUMMYFUNCTION("""COMPUTED_VALUE"""),"OUT")</f>
        <v>OUT</v>
      </c>
      <c r="X2750" s="211"/>
    </row>
    <row r="2751">
      <c r="A2751" s="210" t="str">
        <f>IFERROR(__xludf.DUMMYFUNCTION("""COMPUTED_VALUE"""),"1225391929")</f>
        <v>1225391929</v>
      </c>
      <c r="B2751" s="210" t="str">
        <f>IFERROR(__xludf.DUMMYFUNCTION("""COMPUTED_VALUE"""),"1225391929")</f>
        <v>1225391929</v>
      </c>
      <c r="C2751" s="213">
        <f>IFERROR(__xludf.DUMMYFUNCTION("""COMPUTED_VALUE"""),46001.34027777778)</f>
        <v>46001.34028</v>
      </c>
      <c r="D2751" s="211" t="str">
        <f>IFERROR(__xludf.DUMMYFUNCTION("""COMPUTED_VALUE"""),"01158be1")</f>
        <v>01158be1</v>
      </c>
      <c r="E2751" s="211" t="str">
        <f>IFERROR(__xludf.DUMMYFUNCTION("""COMPUTED_VALUE"""),"GYF")</f>
        <v>GYF</v>
      </c>
      <c r="F2751" s="211" t="str">
        <f>IFERROR(__xludf.DUMMYFUNCTION("""COMPUTED_VALUE"""),"66af7c72")</f>
        <v>66af7c72</v>
      </c>
      <c r="G2751" s="211" t="str">
        <f>IFERROR(__xludf.DUMMYFUNCTION("""COMPUTED_VALUE"""),"Argon 6m3")</f>
        <v>Argon 6m3</v>
      </c>
      <c r="H2751" s="211" t="str">
        <f>IFERROR(__xludf.DUMMYFUNCTION("""COMPUTED_VALUE"""),"OUT")</f>
        <v>OUT</v>
      </c>
      <c r="I2751" s="211" t="str">
        <f>IFERROR(__xludf.DUMMYFUNCTION("""COMPUTED_VALUE"""),"NORMAL")</f>
        <v>NORMAL</v>
      </c>
      <c r="J2751" s="211">
        <f>IFERROR(__xludf.DUMMYFUNCTION("""COMPUTED_VALUE"""),1.0)</f>
        <v>1</v>
      </c>
      <c r="K2751" s="210" t="str">
        <f>IFERROR(__xludf.DUMMYFUNCTION("""COMPUTED_VALUE"""),"12031")</f>
        <v>12031</v>
      </c>
      <c r="L2751" s="211">
        <f>IFERROR(__xludf.DUMMYFUNCTION("""COMPUTED_VALUE"""),200000.0)</f>
        <v>200000</v>
      </c>
      <c r="M2751" s="211"/>
      <c r="N2751" s="211"/>
      <c r="O2751" s="211"/>
      <c r="Q2751" s="210" t="str">
        <f>IFERROR(__xludf.DUMMYFUNCTION("""COMPUTED_VALUE"""),"1261354")</f>
        <v>1261354</v>
      </c>
      <c r="R2751" s="210" t="str">
        <f>IFERROR(__xludf.DUMMYFUNCTION("""COMPUTED_VALUE"""),"1261354")</f>
        <v>1261354</v>
      </c>
      <c r="S2751" s="211" t="str">
        <f>IFERROR(__xludf.DUMMYFUNCTION("""COMPUTED_VALUE"""),"a0f0ad2d")</f>
        <v>a0f0ad2d</v>
      </c>
      <c r="T2751" s="211" t="str">
        <f>IFERROR(__xludf.DUMMYFUNCTION("""COMPUTED_VALUE"""),"CV. Yulie Jaya")</f>
        <v>CV. Yulie Jaya</v>
      </c>
      <c r="U2751" s="215">
        <f>IFERROR(__xludf.DUMMYFUNCTION("""COMPUTED_VALUE"""),46086.50802083333)</f>
        <v>46086.50802</v>
      </c>
      <c r="V2751" s="211" t="str">
        <f>IFERROR(__xludf.DUMMYFUNCTION("""COMPUTED_VALUE"""),"JJH4+6RV, Badas, Barengkrajan, Kec. Krian, Kabupaten Sidoarjo, Jawa Timur 61262")</f>
        <v>JJH4+6RV, Badas, Barengkrajan, Kec. Krian, Kabupaten Sidoarjo, Jawa Timur 61262</v>
      </c>
      <c r="W2751" s="211" t="str">
        <f>IFERROR(__xludf.DUMMYFUNCTION("""COMPUTED_VALUE"""),"IN")</f>
        <v>IN</v>
      </c>
      <c r="X2751" s="211"/>
    </row>
    <row r="2752">
      <c r="A2752" s="210" t="str">
        <f>IFERROR(__xludf.DUMMYFUNCTION("""COMPUTED_VALUE"""),"122511935")</f>
        <v>122511935</v>
      </c>
      <c r="B2752" s="210" t="str">
        <f>IFERROR(__xludf.DUMMYFUNCTION("""COMPUTED_VALUE"""),"122511935")</f>
        <v>122511935</v>
      </c>
      <c r="C2752" s="213">
        <f>IFERROR(__xludf.DUMMYFUNCTION("""COMPUTED_VALUE"""),46001.46277777778)</f>
        <v>46001.46278</v>
      </c>
      <c r="D2752" s="211" t="str">
        <f>IFERROR(__xludf.DUMMYFUNCTION("""COMPUTED_VALUE"""),"880b1d17")</f>
        <v>880b1d17</v>
      </c>
      <c r="E2752" s="211" t="str">
        <f>IFERROR(__xludf.DUMMYFUNCTION("""COMPUTED_VALUE"""),"Bpk. Suyadi")</f>
        <v>Bpk. Suyadi</v>
      </c>
      <c r="F2752" s="211" t="str">
        <f>IFERROR(__xludf.DUMMYFUNCTION("""COMPUTED_VALUE"""),"ef306e54")</f>
        <v>ef306e54</v>
      </c>
      <c r="G2752" s="211" t="str">
        <f>IFERROR(__xludf.DUMMYFUNCTION("""COMPUTED_VALUE"""),"Karbondioksida")</f>
        <v>Karbondioksida</v>
      </c>
      <c r="H2752" s="211" t="str">
        <f>IFERROR(__xludf.DUMMYFUNCTION("""COMPUTED_VALUE"""),"OUT")</f>
        <v>OUT</v>
      </c>
      <c r="I2752" s="211" t="str">
        <f>IFERROR(__xludf.DUMMYFUNCTION("""COMPUTED_VALUE"""),"NORMAL")</f>
        <v>NORMAL</v>
      </c>
      <c r="J2752" s="211">
        <f>IFERROR(__xludf.DUMMYFUNCTION("""COMPUTED_VALUE"""),8.0)</f>
        <v>8</v>
      </c>
      <c r="K2752" s="210" t="str">
        <f>IFERROR(__xludf.DUMMYFUNCTION("""COMPUTED_VALUE"""),"13032 13035 13047 13015 13050 13051 13052 13026")</f>
        <v>13032 13035 13047 13015 13050 13051 13052 13026</v>
      </c>
      <c r="L2752" s="211">
        <f>IFERROR(__xludf.DUMMYFUNCTION("""COMPUTED_VALUE"""),200000.0)</f>
        <v>200000</v>
      </c>
      <c r="M2752" s="211"/>
      <c r="N2752" s="211"/>
      <c r="O2752" s="211"/>
      <c r="Q2752" s="210" t="str">
        <f>IFERROR(__xludf.DUMMYFUNCTION("""COMPUTED_VALUE"""),"1261355")</f>
        <v>1261355</v>
      </c>
      <c r="R2752" s="210" t="str">
        <f>IFERROR(__xludf.DUMMYFUNCTION("""COMPUTED_VALUE"""),"1261355")</f>
        <v>1261355</v>
      </c>
      <c r="S2752" s="211" t="str">
        <f>IFERROR(__xludf.DUMMYFUNCTION("""COMPUTED_VALUE"""),"d9b2fac5")</f>
        <v>d9b2fac5</v>
      </c>
      <c r="T2752" s="211" t="str">
        <f>IFERROR(__xludf.DUMMYFUNCTION("""COMPUTED_VALUE"""),"Dwi Riza ( Ponokawan)")</f>
        <v>Dwi Riza ( Ponokawan)</v>
      </c>
      <c r="U2752" s="215">
        <f>IFERROR(__xludf.DUMMYFUNCTION("""COMPUTED_VALUE"""),46086.50896990741)</f>
        <v>46086.50897</v>
      </c>
      <c r="V2752" s="211" t="str">
        <f>IFERROR(__xludf.DUMMYFUNCTION("""COMPUTED_VALUE"""),"Jl. Raya Ponokawan No.28 RT 07 RW 03 Kec. Krian Sidoarjo (Seberang Bengkel An.Nur/ Deretan Baraka Expres)")</f>
        <v>Jl. Raya Ponokawan No.28 RT 07 RW 03 Kec. Krian Sidoarjo (Seberang Bengkel An.Nur/ Deretan Baraka Expres)</v>
      </c>
      <c r="W2752" s="211" t="str">
        <f>IFERROR(__xludf.DUMMYFUNCTION("""COMPUTED_VALUE"""),"IN")</f>
        <v>IN</v>
      </c>
      <c r="X2752" s="211"/>
    </row>
    <row r="2753">
      <c r="A2753" s="210" t="str">
        <f>IFERROR(__xludf.DUMMYFUNCTION("""COMPUTED_VALUE"""),"1250909")</f>
        <v>1250909</v>
      </c>
      <c r="B2753" s="210" t="str">
        <f>IFERROR(__xludf.DUMMYFUNCTION("""COMPUTED_VALUE"""),"1250909")</f>
        <v>1250909</v>
      </c>
      <c r="C2753" s="213">
        <f>IFERROR(__xludf.DUMMYFUNCTION("""COMPUTED_VALUE"""),46001.50571759259)</f>
        <v>46001.50572</v>
      </c>
      <c r="D2753" s="211" t="str">
        <f>IFERROR(__xludf.DUMMYFUNCTION("""COMPUTED_VALUE"""),"01158be1")</f>
        <v>01158be1</v>
      </c>
      <c r="E2753" s="211" t="str">
        <f>IFERROR(__xludf.DUMMYFUNCTION("""COMPUTED_VALUE"""),"GYF")</f>
        <v>GYF</v>
      </c>
      <c r="F2753" s="211" t="str">
        <f>IFERROR(__xludf.DUMMYFUNCTION("""COMPUTED_VALUE"""),"8bdbe149")</f>
        <v>8bdbe149</v>
      </c>
      <c r="G2753" s="211" t="str">
        <f>IFERROR(__xludf.DUMMYFUNCTION("""COMPUTED_VALUE"""),"Oksigen 6m3")</f>
        <v>Oksigen 6m3</v>
      </c>
      <c r="H2753" s="211" t="str">
        <f>IFERROR(__xludf.DUMMYFUNCTION("""COMPUTED_VALUE"""),"IN")</f>
        <v>IN</v>
      </c>
      <c r="I2753" s="211" t="str">
        <f>IFERROR(__xludf.DUMMYFUNCTION("""COMPUTED_VALUE"""),"EMPTY")</f>
        <v>EMPTY</v>
      </c>
      <c r="J2753" s="211">
        <f>IFERROR(__xludf.DUMMYFUNCTION("""COMPUTED_VALUE"""),5.0)</f>
        <v>5</v>
      </c>
      <c r="K2753" s="210" t="str">
        <f>IFERROR(__xludf.DUMMYFUNCTION("""COMPUTED_VALUE"""),"11128 11122 11287 11267 11186")</f>
        <v>11128 11122 11287 11267 11186</v>
      </c>
      <c r="L2753" s="211">
        <f>IFERROR(__xludf.DUMMYFUNCTION("""COMPUTED_VALUE"""),0.0)</f>
        <v>0</v>
      </c>
      <c r="M2753" s="211"/>
      <c r="N2753" s="211"/>
      <c r="O2753" s="211"/>
      <c r="Q2753" s="210" t="str">
        <f>IFERROR(__xludf.DUMMYFUNCTION("""COMPUTED_VALUE"""),"1261357")</f>
        <v>1261357</v>
      </c>
      <c r="R2753" s="210" t="str">
        <f>IFERROR(__xludf.DUMMYFUNCTION("""COMPUTED_VALUE"""),"1261357")</f>
        <v>1261357</v>
      </c>
      <c r="S2753" s="211" t="str">
        <f>IFERROR(__xludf.DUMMYFUNCTION("""COMPUTED_VALUE"""),"63fc688a")</f>
        <v>63fc688a</v>
      </c>
      <c r="T2753" s="211" t="str">
        <f>IFERROR(__xludf.DUMMYFUNCTION("""COMPUTED_VALUE"""),"CV Malik Nusantara")</f>
        <v>CV Malik Nusantara</v>
      </c>
      <c r="U2753" s="215">
        <f>IFERROR(__xludf.DUMMYFUNCTION("""COMPUTED_VALUE"""),46086.50954861111)</f>
        <v>46086.50955</v>
      </c>
      <c r="V2753" s="211" t="str">
        <f>IFERROR(__xludf.DUMMYFUNCTION("""COMPUTED_VALUE"""),"Jl. Raya Balongbendo No.12, Suwaluh Utara, Suwaluh, Kec. BalongBendo, Kabupaten Sidoarjo, Jawa Timur 61263")</f>
        <v>Jl. Raya Balongbendo No.12, Suwaluh Utara, Suwaluh, Kec. BalongBendo, Kabupaten Sidoarjo, Jawa Timur 61263</v>
      </c>
      <c r="W2753" s="211" t="str">
        <f>IFERROR(__xludf.DUMMYFUNCTION("""COMPUTED_VALUE"""),"IN")</f>
        <v>IN</v>
      </c>
      <c r="X2753" s="211"/>
    </row>
    <row r="2754">
      <c r="A2754" s="210" t="str">
        <f>IFERROR(__xludf.DUMMYFUNCTION("""COMPUTED_VALUE"""),"1250925")</f>
        <v>1250925</v>
      </c>
      <c r="B2754" s="210" t="str">
        <f>IFERROR(__xludf.DUMMYFUNCTION("""COMPUTED_VALUE"""),"1250925")</f>
        <v>1250925</v>
      </c>
      <c r="C2754" s="213">
        <f>IFERROR(__xludf.DUMMYFUNCTION("""COMPUTED_VALUE"""),46001.620208333334)</f>
        <v>46001.62021</v>
      </c>
      <c r="D2754" s="211" t="str">
        <f>IFERROR(__xludf.DUMMYFUNCTION("""COMPUTED_VALUE"""),"3b04351a")</f>
        <v>3b04351a</v>
      </c>
      <c r="E2754" s="211" t="str">
        <f>IFERROR(__xludf.DUMMYFUNCTION("""COMPUTED_VALUE"""),"CV Usaha Logam Jaya")</f>
        <v>CV Usaha Logam Jaya</v>
      </c>
      <c r="F2754" s="211" t="str">
        <f>IFERROR(__xludf.DUMMYFUNCTION("""COMPUTED_VALUE"""),"8bdbe149")</f>
        <v>8bdbe149</v>
      </c>
      <c r="G2754" s="211" t="str">
        <f>IFERROR(__xludf.DUMMYFUNCTION("""COMPUTED_VALUE"""),"Oksigen 6m3")</f>
        <v>Oksigen 6m3</v>
      </c>
      <c r="H2754" s="211" t="str">
        <f>IFERROR(__xludf.DUMMYFUNCTION("""COMPUTED_VALUE"""),"IN")</f>
        <v>IN</v>
      </c>
      <c r="I2754" s="211" t="str">
        <f>IFERROR(__xludf.DUMMYFUNCTION("""COMPUTED_VALUE"""),"EMPTY")</f>
        <v>EMPTY</v>
      </c>
      <c r="J2754" s="211">
        <f>IFERROR(__xludf.DUMMYFUNCTION("""COMPUTED_VALUE"""),19.0)</f>
        <v>19</v>
      </c>
      <c r="K2754" s="210" t="str">
        <f>IFERROR(__xludf.DUMMYFUNCTION("""COMPUTED_VALUE"""),"11277 1186 11125 11246 11202 11290 11123 11249 11166 1166 11288 11130 11274 1164 1184 1181 11100 11263 1136")</f>
        <v>11277 1186 11125 11246 11202 11290 11123 11249 11166 1166 11288 11130 11274 1164 1184 1181 11100 11263 1136</v>
      </c>
      <c r="L2754" s="211">
        <f>IFERROR(__xludf.DUMMYFUNCTION("""COMPUTED_VALUE"""),0.0)</f>
        <v>0</v>
      </c>
      <c r="M2754" s="211"/>
      <c r="N2754" s="211"/>
      <c r="O2754" s="211"/>
      <c r="Q2754" s="210" t="str">
        <f>IFERROR(__xludf.DUMMYFUNCTION("""COMPUTED_VALUE"""),"1261356")</f>
        <v>1261356</v>
      </c>
      <c r="R2754" s="210" t="str">
        <f>IFERROR(__xludf.DUMMYFUNCTION("""COMPUTED_VALUE"""),"1261356")</f>
        <v>1261356</v>
      </c>
      <c r="S2754" s="211" t="str">
        <f>IFERROR(__xludf.DUMMYFUNCTION("""COMPUTED_VALUE"""),"440df1db")</f>
        <v>440df1db</v>
      </c>
      <c r="T2754" s="211" t="str">
        <f>IFERROR(__xludf.DUMMYFUNCTION("""COMPUTED_VALUE"""),"PT. Mecca Abadi Sejahtera")</f>
        <v>PT. Mecca Abadi Sejahtera</v>
      </c>
      <c r="U2754" s="215">
        <f>IFERROR(__xludf.DUMMYFUNCTION("""COMPUTED_VALUE"""),46086.510659722226)</f>
        <v>46086.51066</v>
      </c>
      <c r="V2754" s="211" t="str">
        <f>IFERROR(__xludf.DUMMYFUNCTION("""COMPUTED_VALUE"""),"Jl. Raya Sawocangkring, RT.006/RW.002, Sawo, Sawocangkring, Kec. Wonoayu, Kabupaten Sidoarjo, Jawa Timur 61261")</f>
        <v>Jl. Raya Sawocangkring, RT.006/RW.002, Sawo, Sawocangkring, Kec. Wonoayu, Kabupaten Sidoarjo, Jawa Timur 61261</v>
      </c>
      <c r="W2754" s="211" t="str">
        <f>IFERROR(__xludf.DUMMYFUNCTION("""COMPUTED_VALUE"""),"IN")</f>
        <v>IN</v>
      </c>
      <c r="X2754" s="211"/>
    </row>
    <row r="2755">
      <c r="A2755" s="210" t="str">
        <f>IFERROR(__xludf.DUMMYFUNCTION("""COMPUTED_VALUE"""),"122521937")</f>
        <v>122521937</v>
      </c>
      <c r="B2755" s="210" t="str">
        <f>IFERROR(__xludf.DUMMYFUNCTION("""COMPUTED_VALUE"""),"122521937")</f>
        <v>122521937</v>
      </c>
      <c r="C2755" s="213">
        <f>IFERROR(__xludf.DUMMYFUNCTION("""COMPUTED_VALUE"""),46001.62689814815)</f>
        <v>46001.6269</v>
      </c>
      <c r="D2755" s="211" t="str">
        <f>IFERROR(__xludf.DUMMYFUNCTION("""COMPUTED_VALUE"""),"9828dfc5")</f>
        <v>9828dfc5</v>
      </c>
      <c r="E2755" s="211" t="str">
        <f>IFERROR(__xludf.DUMMYFUNCTION("""COMPUTED_VALUE"""),"Bpk. David")</f>
        <v>Bpk. David</v>
      </c>
      <c r="F2755" s="211" t="str">
        <f>IFERROR(__xludf.DUMMYFUNCTION("""COMPUTED_VALUE"""),"8bdbe149")</f>
        <v>8bdbe149</v>
      </c>
      <c r="G2755" s="211" t="str">
        <f>IFERROR(__xludf.DUMMYFUNCTION("""COMPUTED_VALUE"""),"Oksigen 6m3")</f>
        <v>Oksigen 6m3</v>
      </c>
      <c r="H2755" s="211" t="str">
        <f>IFERROR(__xludf.DUMMYFUNCTION("""COMPUTED_VALUE"""),"OUT")</f>
        <v>OUT</v>
      </c>
      <c r="I2755" s="211" t="str">
        <f>IFERROR(__xludf.DUMMYFUNCTION("""COMPUTED_VALUE"""),"NORMAL")</f>
        <v>NORMAL</v>
      </c>
      <c r="J2755" s="211">
        <f>IFERROR(__xludf.DUMMYFUNCTION("""COMPUTED_VALUE"""),5.0)</f>
        <v>5</v>
      </c>
      <c r="K2755" s="210" t="str">
        <f>IFERROR(__xludf.DUMMYFUNCTION("""COMPUTED_VALUE"""),"11202 11290 1184 11277 11263")</f>
        <v>11202 11290 1184 11277 11263</v>
      </c>
      <c r="L2755" s="211">
        <f>IFERROR(__xludf.DUMMYFUNCTION("""COMPUTED_VALUE"""),60000.0)</f>
        <v>60000</v>
      </c>
      <c r="M2755" s="211"/>
      <c r="N2755" s="211"/>
      <c r="O2755" s="211"/>
      <c r="Q2755" s="210" t="str">
        <f>IFERROR(__xludf.DUMMYFUNCTION("""COMPUTED_VALUE"""),"032662751")</f>
        <v>032662751</v>
      </c>
      <c r="R2755" s="210" t="str">
        <f>IFERROR(__xludf.DUMMYFUNCTION("""COMPUTED_VALUE"""),"032662751")</f>
        <v>032662751</v>
      </c>
      <c r="S2755" s="211" t="str">
        <f>IFERROR(__xludf.DUMMYFUNCTION("""COMPUTED_VALUE"""),"d9b2fac5")</f>
        <v>d9b2fac5</v>
      </c>
      <c r="T2755" s="211" t="str">
        <f>IFERROR(__xludf.DUMMYFUNCTION("""COMPUTED_VALUE"""),"Dwi Riza ( Ponokawan)")</f>
        <v>Dwi Riza ( Ponokawan)</v>
      </c>
      <c r="U2755" s="215">
        <f>IFERROR(__xludf.DUMMYFUNCTION("""COMPUTED_VALUE"""),46086.563252314816)</f>
        <v>46086.56325</v>
      </c>
      <c r="V2755" s="211" t="str">
        <f>IFERROR(__xludf.DUMMYFUNCTION("""COMPUTED_VALUE"""),"Jl. Raya Ponokawan No.28 RT 07 RW 03 Kec. Krian Sidoarjo (Seberang Bengkel An.Nur/ Deretan Baraka Expres)")</f>
        <v>Jl. Raya Ponokawan No.28 RT 07 RW 03 Kec. Krian Sidoarjo (Seberang Bengkel An.Nur/ Deretan Baraka Expres)</v>
      </c>
      <c r="W2755" s="211" t="str">
        <f>IFERROR(__xludf.DUMMYFUNCTION("""COMPUTED_VALUE"""),"OUT")</f>
        <v>OUT</v>
      </c>
      <c r="X2755" s="211"/>
    </row>
    <row r="2756">
      <c r="A2756" s="210" t="str">
        <f>IFERROR(__xludf.DUMMYFUNCTION("""COMPUTED_VALUE"""),"1225511940")</f>
        <v>1225511940</v>
      </c>
      <c r="B2756" s="210" t="str">
        <f>IFERROR(__xludf.DUMMYFUNCTION("""COMPUTED_VALUE"""),"1225511940")</f>
        <v>1225511940</v>
      </c>
      <c r="C2756" s="213">
        <f>IFERROR(__xludf.DUMMYFUNCTION("""COMPUTED_VALUE"""),46001.627430555556)</f>
        <v>46001.62743</v>
      </c>
      <c r="D2756" s="211" t="str">
        <f>IFERROR(__xludf.DUMMYFUNCTION("""COMPUTED_VALUE"""),"b2b5f2c5")</f>
        <v>b2b5f2c5</v>
      </c>
      <c r="E2756" s="211" t="str">
        <f>IFERROR(__xludf.DUMMYFUNCTION("""COMPUTED_VALUE"""),"Bengkel Las Bpk. Ari")</f>
        <v>Bengkel Las Bpk. Ari</v>
      </c>
      <c r="F2756" s="211" t="str">
        <f>IFERROR(__xludf.DUMMYFUNCTION("""COMPUTED_VALUE"""),"8bdbe149")</f>
        <v>8bdbe149</v>
      </c>
      <c r="G2756" s="211" t="str">
        <f>IFERROR(__xludf.DUMMYFUNCTION("""COMPUTED_VALUE"""),"Oksigen 6m3")</f>
        <v>Oksigen 6m3</v>
      </c>
      <c r="H2756" s="211" t="str">
        <f>IFERROR(__xludf.DUMMYFUNCTION("""COMPUTED_VALUE"""),"OUT")</f>
        <v>OUT</v>
      </c>
      <c r="I2756" s="211" t="str">
        <f>IFERROR(__xludf.DUMMYFUNCTION("""COMPUTED_VALUE"""),"NORMAL")</f>
        <v>NORMAL</v>
      </c>
      <c r="J2756" s="211">
        <f>IFERROR(__xludf.DUMMYFUNCTION("""COMPUTED_VALUE"""),4.0)</f>
        <v>4</v>
      </c>
      <c r="K2756" s="210" t="str">
        <f>IFERROR(__xludf.DUMMYFUNCTION("""COMPUTED_VALUE"""),"11246 11100 1181 11288")</f>
        <v>11246 11100 1181 11288</v>
      </c>
      <c r="L2756" s="211">
        <f>IFERROR(__xludf.DUMMYFUNCTION("""COMPUTED_VALUE"""),60000.0)</f>
        <v>60000</v>
      </c>
      <c r="M2756" s="211"/>
      <c r="N2756" s="211"/>
      <c r="O2756" s="211"/>
      <c r="Q2756" s="210" t="str">
        <f>IFERROR(__xludf.DUMMYFUNCTION("""COMPUTED_VALUE"""),"1261345")</f>
        <v>1261345</v>
      </c>
      <c r="R2756" s="210" t="str">
        <f>IFERROR(__xludf.DUMMYFUNCTION("""COMPUTED_VALUE"""),"1261345")</f>
        <v>1261345</v>
      </c>
      <c r="S2756" s="211" t="str">
        <f>IFERROR(__xludf.DUMMYFUNCTION("""COMPUTED_VALUE"""),"03ff52db")</f>
        <v>03ff52db</v>
      </c>
      <c r="T2756" s="211" t="str">
        <f>IFERROR(__xludf.DUMMYFUNCTION("""COMPUTED_VALUE"""),"Aneka Teknik Logam")</f>
        <v>Aneka Teknik Logam</v>
      </c>
      <c r="U2756" s="215">
        <f>IFERROR(__xludf.DUMMYFUNCTION("""COMPUTED_VALUE"""),46086.568553240744)</f>
        <v>46086.56855</v>
      </c>
      <c r="V2756" s="211" t="str">
        <f>IFERROR(__xludf.DUMMYFUNCTION("""COMPUTED_VALUE"""),"HH8G+MQC, Areng Areng, Tropodo, Kec. Krian, Kabupaten Sidoarjo, Jawa Timur 61262")</f>
        <v>HH8G+MQC, Areng Areng, Tropodo, Kec. Krian, Kabupaten Sidoarjo, Jawa Timur 61262</v>
      </c>
      <c r="W2756" s="211" t="str">
        <f>IFERROR(__xludf.DUMMYFUNCTION("""COMPUTED_VALUE"""),"IN")</f>
        <v>IN</v>
      </c>
      <c r="X2756" s="211"/>
    </row>
    <row r="2757">
      <c r="A2757" s="210" t="str">
        <f>IFERROR(__xludf.DUMMYFUNCTION("""COMPUTED_VALUE"""),"1225511940")</f>
        <v>1225511940</v>
      </c>
      <c r="B2757" s="210" t="str">
        <f>IFERROR(__xludf.DUMMYFUNCTION("""COMPUTED_VALUE"""),"1225511940")</f>
        <v>1225511940</v>
      </c>
      <c r="C2757" s="213">
        <f>IFERROR(__xludf.DUMMYFUNCTION("""COMPUTED_VALUE"""),46001.627430555556)</f>
        <v>46001.62743</v>
      </c>
      <c r="D2757" s="211" t="str">
        <f>IFERROR(__xludf.DUMMYFUNCTION("""COMPUTED_VALUE"""),"b2b5f2c5")</f>
        <v>b2b5f2c5</v>
      </c>
      <c r="E2757" s="211" t="str">
        <f>IFERROR(__xludf.DUMMYFUNCTION("""COMPUTED_VALUE"""),"Bengkel Las Bpk. Ari")</f>
        <v>Bengkel Las Bpk. Ari</v>
      </c>
      <c r="F2757" s="211" t="str">
        <f>IFERROR(__xludf.DUMMYFUNCTION("""COMPUTED_VALUE"""),"ef306e54")</f>
        <v>ef306e54</v>
      </c>
      <c r="G2757" s="211" t="str">
        <f>IFERROR(__xludf.DUMMYFUNCTION("""COMPUTED_VALUE"""),"Karbondioksida")</f>
        <v>Karbondioksida</v>
      </c>
      <c r="H2757" s="211" t="str">
        <f>IFERROR(__xludf.DUMMYFUNCTION("""COMPUTED_VALUE"""),"OUT")</f>
        <v>OUT</v>
      </c>
      <c r="I2757" s="211" t="str">
        <f>IFERROR(__xludf.DUMMYFUNCTION("""COMPUTED_VALUE"""),"NORMAL")</f>
        <v>NORMAL</v>
      </c>
      <c r="J2757" s="211">
        <f>IFERROR(__xludf.DUMMYFUNCTION("""COMPUTED_VALUE"""),2.0)</f>
        <v>2</v>
      </c>
      <c r="K2757" s="210" t="str">
        <f>IFERROR(__xludf.DUMMYFUNCTION("""COMPUTED_VALUE"""),"13048 13018")</f>
        <v>13048 13018</v>
      </c>
      <c r="L2757" s="211">
        <f>IFERROR(__xludf.DUMMYFUNCTION("""COMPUTED_VALUE"""),180000.0)</f>
        <v>180000</v>
      </c>
      <c r="M2757" s="211"/>
      <c r="N2757" s="211"/>
      <c r="O2757" s="211"/>
      <c r="Q2757" s="210" t="str">
        <f>IFERROR(__xludf.DUMMYFUNCTION("""COMPUTED_VALUE"""),"1261344")</f>
        <v>1261344</v>
      </c>
      <c r="R2757" s="210" t="str">
        <f>IFERROR(__xludf.DUMMYFUNCTION("""COMPUTED_VALUE"""),"1261344")</f>
        <v>1261344</v>
      </c>
      <c r="S2757" s="211" t="str">
        <f>IFERROR(__xludf.DUMMYFUNCTION("""COMPUTED_VALUE"""),"b2b5f2c5")</f>
        <v>b2b5f2c5</v>
      </c>
      <c r="T2757" s="211" t="str">
        <f>IFERROR(__xludf.DUMMYFUNCTION("""COMPUTED_VALUE"""),"Bengkel Las Bpk. Ari")</f>
        <v>Bengkel Las Bpk. Ari</v>
      </c>
      <c r="U2757" s="215">
        <f>IFERROR(__xludf.DUMMYFUNCTION("""COMPUTED_VALUE"""),46086.568877314814)</f>
        <v>46086.56888</v>
      </c>
      <c r="V2757" s="211" t="str">
        <f>IFERROR(__xludf.DUMMYFUNCTION("""COMPUTED_VALUE"""),"Sumber Kembar, Wonodadi, Kec. Kutorejo, Kabupaten Mojokerto, Jawa Timur")</f>
        <v>Sumber Kembar, Wonodadi, Kec. Kutorejo, Kabupaten Mojokerto, Jawa Timur</v>
      </c>
      <c r="W2757" s="211" t="str">
        <f>IFERROR(__xludf.DUMMYFUNCTION("""COMPUTED_VALUE"""),"IN")</f>
        <v>IN</v>
      </c>
      <c r="X2757" s="211"/>
    </row>
    <row r="2758">
      <c r="A2758" s="210" t="str">
        <f>IFERROR(__xludf.DUMMYFUNCTION("""COMPUTED_VALUE"""),"122561941")</f>
        <v>122561941</v>
      </c>
      <c r="B2758" s="210" t="str">
        <f>IFERROR(__xludf.DUMMYFUNCTION("""COMPUTED_VALUE"""),"122561941")</f>
        <v>122561941</v>
      </c>
      <c r="C2758" s="213">
        <f>IFERROR(__xludf.DUMMYFUNCTION("""COMPUTED_VALUE"""),46001.63265046296)</f>
        <v>46001.63265</v>
      </c>
      <c r="D2758" s="211" t="str">
        <f>IFERROR(__xludf.DUMMYFUNCTION("""COMPUTED_VALUE"""),"9e66ced9")</f>
        <v>9e66ced9</v>
      </c>
      <c r="E2758" s="211" t="str">
        <f>IFERROR(__xludf.DUMMYFUNCTION("""COMPUTED_VALUE"""),"Bapak Angga")</f>
        <v>Bapak Angga</v>
      </c>
      <c r="F2758" s="211" t="str">
        <f>IFERROR(__xludf.DUMMYFUNCTION("""COMPUTED_VALUE"""),"8bdbe149")</f>
        <v>8bdbe149</v>
      </c>
      <c r="G2758" s="211" t="str">
        <f>IFERROR(__xludf.DUMMYFUNCTION("""COMPUTED_VALUE"""),"Oksigen 6m3")</f>
        <v>Oksigen 6m3</v>
      </c>
      <c r="H2758" s="211" t="str">
        <f>IFERROR(__xludf.DUMMYFUNCTION("""COMPUTED_VALUE"""),"OUT")</f>
        <v>OUT</v>
      </c>
      <c r="I2758" s="211" t="str">
        <f>IFERROR(__xludf.DUMMYFUNCTION("""COMPUTED_VALUE"""),"NORMAL")</f>
        <v>NORMAL</v>
      </c>
      <c r="J2758" s="211">
        <f>IFERROR(__xludf.DUMMYFUNCTION("""COMPUTED_VALUE"""),5.0)</f>
        <v>5</v>
      </c>
      <c r="K2758" s="210" t="str">
        <f>IFERROR(__xludf.DUMMYFUNCTION("""COMPUTED_VALUE"""),"1175 11267 11241 1164 11122")</f>
        <v>1175 11267 11241 1164 11122</v>
      </c>
      <c r="L2758" s="211">
        <f>IFERROR(__xludf.DUMMYFUNCTION("""COMPUTED_VALUE"""),50000.0)</f>
        <v>50000</v>
      </c>
      <c r="M2758" s="211"/>
      <c r="N2758" s="211"/>
      <c r="O2758" s="211"/>
      <c r="Q2758" s="210" t="str">
        <f>IFERROR(__xludf.DUMMYFUNCTION("""COMPUTED_VALUE"""),"1261359")</f>
        <v>1261359</v>
      </c>
      <c r="R2758" s="210" t="str">
        <f>IFERROR(__xludf.DUMMYFUNCTION("""COMPUTED_VALUE"""),"1261359")</f>
        <v>1261359</v>
      </c>
      <c r="S2758" s="211" t="str">
        <f>IFERROR(__xludf.DUMMYFUNCTION("""COMPUTED_VALUE"""),"1c4d5e93")</f>
        <v>1c4d5e93</v>
      </c>
      <c r="T2758" s="211" t="str">
        <f>IFERROR(__xludf.DUMMYFUNCTION("""COMPUTED_VALUE"""),"Karoseri Cipta Mitra Sukses")</f>
        <v>Karoseri Cipta Mitra Sukses</v>
      </c>
      <c r="U2758" s="215">
        <f>IFERROR(__xludf.DUMMYFUNCTION("""COMPUTED_VALUE"""),46086.614212962966)</f>
        <v>46086.61421</v>
      </c>
      <c r="V2758" s="211" t="str">
        <f>IFERROR(__xludf.DUMMYFUNCTION("""COMPUTED_VALUE"""),"JL. Bypass Krian No. 7800, Blok B No 11. Barengkrajan, Kec. Krian, Kabupaten Sidoarjo, Jawa Timur  61262")</f>
        <v>JL. Bypass Krian No. 7800, Blok B No 11. Barengkrajan, Kec. Krian, Kabupaten Sidoarjo, Jawa Timur  61262</v>
      </c>
      <c r="W2758" s="211" t="str">
        <f>IFERROR(__xludf.DUMMYFUNCTION("""COMPUTED_VALUE"""),"IN")</f>
        <v>IN</v>
      </c>
      <c r="X2758" s="211"/>
    </row>
    <row r="2759">
      <c r="A2759" s="210" t="str">
        <f>IFERROR(__xludf.DUMMYFUNCTION("""COMPUTED_VALUE"""),"1225301942")</f>
        <v>1225301942</v>
      </c>
      <c r="B2759" s="210" t="str">
        <f>IFERROR(__xludf.DUMMYFUNCTION("""COMPUTED_VALUE"""),"1225301942")</f>
        <v>1225301942</v>
      </c>
      <c r="C2759" s="213">
        <f>IFERROR(__xludf.DUMMYFUNCTION("""COMPUTED_VALUE"""),46001.6346875)</f>
        <v>46001.63469</v>
      </c>
      <c r="D2759" s="211" t="str">
        <f>IFERROR(__xludf.DUMMYFUNCTION("""COMPUTED_VALUE"""),"ec231cc9")</f>
        <v>ec231cc9</v>
      </c>
      <c r="E2759" s="211" t="str">
        <f>IFERROR(__xludf.DUMMYFUNCTION("""COMPUTED_VALUE"""),"Bpk. Kohir (Maintenance Velg)")</f>
        <v>Bpk. Kohir (Maintenance Velg)</v>
      </c>
      <c r="F2759" s="211" t="str">
        <f>IFERROR(__xludf.DUMMYFUNCTION("""COMPUTED_VALUE"""),"8bdbe149")</f>
        <v>8bdbe149</v>
      </c>
      <c r="G2759" s="211" t="str">
        <f>IFERROR(__xludf.DUMMYFUNCTION("""COMPUTED_VALUE"""),"Oksigen 6m3")</f>
        <v>Oksigen 6m3</v>
      </c>
      <c r="H2759" s="211" t="str">
        <f>IFERROR(__xludf.DUMMYFUNCTION("""COMPUTED_VALUE"""),"OUT")</f>
        <v>OUT</v>
      </c>
      <c r="I2759" s="211" t="str">
        <f>IFERROR(__xludf.DUMMYFUNCTION("""COMPUTED_VALUE"""),"NORMAL")</f>
        <v>NORMAL</v>
      </c>
      <c r="J2759" s="211">
        <f>IFERROR(__xludf.DUMMYFUNCTION("""COMPUTED_VALUE"""),4.0)</f>
        <v>4</v>
      </c>
      <c r="K2759" s="210" t="str">
        <f>IFERROR(__xludf.DUMMYFUNCTION("""COMPUTED_VALUE"""),"11310 1136 1166 11287")</f>
        <v>11310 1136 1166 11287</v>
      </c>
      <c r="L2759" s="211">
        <f>IFERROR(__xludf.DUMMYFUNCTION("""COMPUTED_VALUE"""),55000.0)</f>
        <v>55000</v>
      </c>
      <c r="M2759" s="211"/>
      <c r="N2759" s="211"/>
      <c r="O2759" s="211"/>
      <c r="Q2759" s="210" t="str">
        <f>IFERROR(__xludf.DUMMYFUNCTION("""COMPUTED_VALUE"""),"1261358")</f>
        <v>1261358</v>
      </c>
      <c r="R2759" s="210" t="str">
        <f>IFERROR(__xludf.DUMMYFUNCTION("""COMPUTED_VALUE"""),"1261358")</f>
        <v>1261358</v>
      </c>
      <c r="S2759" s="211" t="str">
        <f>IFERROR(__xludf.DUMMYFUNCTION("""COMPUTED_VALUE"""),"8ea74d81")</f>
        <v>8ea74d81</v>
      </c>
      <c r="T2759" s="211" t="str">
        <f>IFERROR(__xludf.DUMMYFUNCTION("""COMPUTED_VALUE"""),"Bengkel Adi Putra")</f>
        <v>Bengkel Adi Putra</v>
      </c>
      <c r="U2759" s="215">
        <f>IFERROR(__xludf.DUMMYFUNCTION("""COMPUTED_VALUE"""),46086.61456018518)</f>
        <v>46086.61456</v>
      </c>
      <c r="V2759" s="211" t="str">
        <f>IFERROR(__xludf.DUMMYFUNCTION("""COMPUTED_VALUE"""),"Bypass Balongbendo")</f>
        <v>Bypass Balongbendo</v>
      </c>
      <c r="W2759" s="211" t="str">
        <f>IFERROR(__xludf.DUMMYFUNCTION("""COMPUTED_VALUE"""),"IN")</f>
        <v>IN</v>
      </c>
      <c r="X2759" s="211"/>
    </row>
    <row r="2760">
      <c r="A2760" s="210" t="str">
        <f>IFERROR(__xludf.DUMMYFUNCTION("""COMPUTED_VALUE"""),"122581943")</f>
        <v>122581943</v>
      </c>
      <c r="B2760" s="210" t="str">
        <f>IFERROR(__xludf.DUMMYFUNCTION("""COMPUTED_VALUE"""),"122581943")</f>
        <v>122581943</v>
      </c>
      <c r="C2760" s="213">
        <f>IFERROR(__xludf.DUMMYFUNCTION("""COMPUTED_VALUE"""),46001.647986111115)</f>
        <v>46001.64799</v>
      </c>
      <c r="D2760" s="211" t="str">
        <f>IFERROR(__xludf.DUMMYFUNCTION("""COMPUTED_VALUE"""),"a0f0ad2d")</f>
        <v>a0f0ad2d</v>
      </c>
      <c r="E2760" s="211" t="str">
        <f>IFERROR(__xludf.DUMMYFUNCTION("""COMPUTED_VALUE"""),"CV. Yulie Jaya")</f>
        <v>CV. Yulie Jaya</v>
      </c>
      <c r="F2760" s="211" t="str">
        <f>IFERROR(__xludf.DUMMYFUNCTION("""COMPUTED_VALUE"""),"be525f3b")</f>
        <v>be525f3b</v>
      </c>
      <c r="G2760" s="211" t="str">
        <f>IFERROR(__xludf.DUMMYFUNCTION("""COMPUTED_VALUE"""),"LPG 12kg")</f>
        <v>LPG 12kg</v>
      </c>
      <c r="H2760" s="211" t="str">
        <f>IFERROR(__xludf.DUMMYFUNCTION("""COMPUTED_VALUE"""),"OUT")</f>
        <v>OUT</v>
      </c>
      <c r="I2760" s="211" t="str">
        <f>IFERROR(__xludf.DUMMYFUNCTION("""COMPUTED_VALUE"""),"NORMAL")</f>
        <v>NORMAL</v>
      </c>
      <c r="J2760" s="211">
        <f>IFERROR(__xludf.DUMMYFUNCTION("""COMPUTED_VALUE"""),1.0)</f>
        <v>1</v>
      </c>
      <c r="K2760" s="210" t="str">
        <f>IFERROR(__xludf.DUMMYFUNCTION("""COMPUTED_VALUE"""),"01")</f>
        <v>01</v>
      </c>
      <c r="L2760" s="211">
        <f>IFERROR(__xludf.DUMMYFUNCTION("""COMPUTED_VALUE"""),215000.0)</f>
        <v>215000</v>
      </c>
      <c r="M2760" s="211"/>
      <c r="N2760" s="211"/>
      <c r="O2760" s="211"/>
      <c r="Q2760" s="210" t="str">
        <f>IFERROR(__xludf.DUMMYFUNCTION("""COMPUTED_VALUE"""),"1261360")</f>
        <v>1261360</v>
      </c>
      <c r="R2760" s="210" t="str">
        <f>IFERROR(__xludf.DUMMYFUNCTION("""COMPUTED_VALUE"""),"1261360")</f>
        <v>1261360</v>
      </c>
      <c r="S2760" s="211" t="str">
        <f>IFERROR(__xludf.DUMMYFUNCTION("""COMPUTED_VALUE"""),"4ec68cf6")</f>
        <v>4ec68cf6</v>
      </c>
      <c r="T2760" s="211" t="str">
        <f>IFERROR(__xludf.DUMMYFUNCTION("""COMPUTED_VALUE"""),"CV Sido Mukti Karya")</f>
        <v>CV Sido Mukti Karya</v>
      </c>
      <c r="U2760" s="215">
        <f>IFERROR(__xludf.DUMMYFUNCTION("""COMPUTED_VALUE"""),46086.61493055556)</f>
        <v>46086.61493</v>
      </c>
      <c r="V2760" s="211" t="str">
        <f>IFERROR(__xludf.DUMMYFUNCTION("""COMPUTED_VALUE"""),"Pergudangan Center Point no A3, Kemangsen")</f>
        <v>Pergudangan Center Point no A3, Kemangsen</v>
      </c>
      <c r="W2760" s="211" t="str">
        <f>IFERROR(__xludf.DUMMYFUNCTION("""COMPUTED_VALUE"""),"IN")</f>
        <v>IN</v>
      </c>
      <c r="X2760" s="211"/>
    </row>
    <row r="2761">
      <c r="A2761" s="210" t="str">
        <f>IFERROR(__xludf.DUMMYFUNCTION("""COMPUTED_VALUE"""),"1250931")</f>
        <v>1250931</v>
      </c>
      <c r="B2761" s="210" t="str">
        <f>IFERROR(__xludf.DUMMYFUNCTION("""COMPUTED_VALUE"""),"1250931")</f>
        <v>1250931</v>
      </c>
      <c r="C2761" s="213">
        <f>IFERROR(__xludf.DUMMYFUNCTION("""COMPUTED_VALUE"""),46002.36263888889)</f>
        <v>46002.36264</v>
      </c>
      <c r="D2761" s="211" t="str">
        <f>IFERROR(__xludf.DUMMYFUNCTION("""COMPUTED_VALUE"""),"b2b5f2c5")</f>
        <v>b2b5f2c5</v>
      </c>
      <c r="E2761" s="211" t="str">
        <f>IFERROR(__xludf.DUMMYFUNCTION("""COMPUTED_VALUE"""),"Bengkel Las Bpk. Ari")</f>
        <v>Bengkel Las Bpk. Ari</v>
      </c>
      <c r="F2761" s="211" t="str">
        <f>IFERROR(__xludf.DUMMYFUNCTION("""COMPUTED_VALUE"""),"8bdbe149")</f>
        <v>8bdbe149</v>
      </c>
      <c r="G2761" s="211" t="str">
        <f>IFERROR(__xludf.DUMMYFUNCTION("""COMPUTED_VALUE"""),"Oksigen 6m3")</f>
        <v>Oksigen 6m3</v>
      </c>
      <c r="H2761" s="211" t="str">
        <f>IFERROR(__xludf.DUMMYFUNCTION("""COMPUTED_VALUE"""),"IN")</f>
        <v>IN</v>
      </c>
      <c r="I2761" s="211" t="str">
        <f>IFERROR(__xludf.DUMMYFUNCTION("""COMPUTED_VALUE"""),"EMPTY")</f>
        <v>EMPTY</v>
      </c>
      <c r="J2761" s="211">
        <f>IFERROR(__xludf.DUMMYFUNCTION("""COMPUTED_VALUE"""),4.0)</f>
        <v>4</v>
      </c>
      <c r="K2761" s="210" t="str">
        <f>IFERROR(__xludf.DUMMYFUNCTION("""COMPUTED_VALUE"""),"11308 11184 11234 1190")</f>
        <v>11308 11184 11234 1190</v>
      </c>
      <c r="L2761" s="211">
        <f>IFERROR(__xludf.DUMMYFUNCTION("""COMPUTED_VALUE"""),0.0)</f>
        <v>0</v>
      </c>
      <c r="M2761" s="211"/>
      <c r="N2761" s="211"/>
      <c r="O2761" s="211"/>
      <c r="Q2761" s="210" t="str">
        <f>IFERROR(__xludf.DUMMYFUNCTION("""COMPUTED_VALUE"""),"0326262756")</f>
        <v>0326262756</v>
      </c>
      <c r="R2761" s="210" t="str">
        <f>IFERROR(__xludf.DUMMYFUNCTION("""COMPUTED_VALUE"""),"0326262756")</f>
        <v>0326262756</v>
      </c>
      <c r="S2761" s="211" t="str">
        <f>IFERROR(__xludf.DUMMYFUNCTION("""COMPUTED_VALUE"""),"63fc688a")</f>
        <v>63fc688a</v>
      </c>
      <c r="T2761" s="211" t="str">
        <f>IFERROR(__xludf.DUMMYFUNCTION("""COMPUTED_VALUE"""),"CV Malik Nusantara")</f>
        <v>CV Malik Nusantara</v>
      </c>
      <c r="U2761" s="215">
        <f>IFERROR(__xludf.DUMMYFUNCTION("""COMPUTED_VALUE"""),46086.63920138889)</f>
        <v>46086.6392</v>
      </c>
      <c r="V2761" s="211" t="str">
        <f>IFERROR(__xludf.DUMMYFUNCTION("""COMPUTED_VALUE"""),"Jl. Raya Balongbendo No.12, Suwaluh Utara, Suwaluh, Kec. BalongBendo, Kabupaten Sidoarjo, Jawa Timur 61263")</f>
        <v>Jl. Raya Balongbendo No.12, Suwaluh Utara, Suwaluh, Kec. BalongBendo, Kabupaten Sidoarjo, Jawa Timur 61263</v>
      </c>
      <c r="W2761" s="211" t="str">
        <f>IFERROR(__xludf.DUMMYFUNCTION("""COMPUTED_VALUE"""),"OUT")</f>
        <v>OUT</v>
      </c>
      <c r="X2761" s="211"/>
    </row>
    <row r="2762">
      <c r="A2762" s="210" t="str">
        <f>IFERROR(__xludf.DUMMYFUNCTION("""COMPUTED_VALUE"""),"1250931")</f>
        <v>1250931</v>
      </c>
      <c r="B2762" s="210" t="str">
        <f>IFERROR(__xludf.DUMMYFUNCTION("""COMPUTED_VALUE"""),"1250931")</f>
        <v>1250931</v>
      </c>
      <c r="C2762" s="213">
        <f>IFERROR(__xludf.DUMMYFUNCTION("""COMPUTED_VALUE"""),46002.36263888889)</f>
        <v>46002.36264</v>
      </c>
      <c r="D2762" s="211" t="str">
        <f>IFERROR(__xludf.DUMMYFUNCTION("""COMPUTED_VALUE"""),"b2b5f2c5")</f>
        <v>b2b5f2c5</v>
      </c>
      <c r="E2762" s="211" t="str">
        <f>IFERROR(__xludf.DUMMYFUNCTION("""COMPUTED_VALUE"""),"Bengkel Las Bpk. Ari")</f>
        <v>Bengkel Las Bpk. Ari</v>
      </c>
      <c r="F2762" s="211" t="str">
        <f>IFERROR(__xludf.DUMMYFUNCTION("""COMPUTED_VALUE"""),"ef306e54")</f>
        <v>ef306e54</v>
      </c>
      <c r="G2762" s="211" t="str">
        <f>IFERROR(__xludf.DUMMYFUNCTION("""COMPUTED_VALUE"""),"Karbondioksida")</f>
        <v>Karbondioksida</v>
      </c>
      <c r="H2762" s="211" t="str">
        <f>IFERROR(__xludf.DUMMYFUNCTION("""COMPUTED_VALUE"""),"IN")</f>
        <v>IN</v>
      </c>
      <c r="I2762" s="211" t="str">
        <f>IFERROR(__xludf.DUMMYFUNCTION("""COMPUTED_VALUE"""),"EMPTY")</f>
        <v>EMPTY</v>
      </c>
      <c r="J2762" s="211">
        <f>IFERROR(__xludf.DUMMYFUNCTION("""COMPUTED_VALUE"""),1.0)</f>
        <v>1</v>
      </c>
      <c r="K2762" s="210" t="str">
        <f>IFERROR(__xludf.DUMMYFUNCTION("""COMPUTED_VALUE"""),"13008")</f>
        <v>13008</v>
      </c>
      <c r="L2762" s="211">
        <f>IFERROR(__xludf.DUMMYFUNCTION("""COMPUTED_VALUE"""),0.0)</f>
        <v>0</v>
      </c>
      <c r="M2762" s="211"/>
      <c r="N2762" s="211"/>
      <c r="O2762" s="211"/>
      <c r="Q2762" s="211"/>
      <c r="R2762" s="211"/>
      <c r="S2762" s="211"/>
      <c r="T2762" s="211"/>
      <c r="U2762" s="211"/>
      <c r="V2762" s="211"/>
      <c r="W2762" s="211"/>
      <c r="X2762" s="211"/>
    </row>
    <row r="2763">
      <c r="A2763" s="210" t="str">
        <f>IFERROR(__xludf.DUMMYFUNCTION("""COMPUTED_VALUE"""),"1250930")</f>
        <v>1250930</v>
      </c>
      <c r="B2763" s="210" t="str">
        <f>IFERROR(__xludf.DUMMYFUNCTION("""COMPUTED_VALUE"""),"1250930")</f>
        <v>1250930</v>
      </c>
      <c r="C2763" s="213">
        <f>IFERROR(__xludf.DUMMYFUNCTION("""COMPUTED_VALUE"""),46002.363275462965)</f>
        <v>46002.36328</v>
      </c>
      <c r="D2763" s="211" t="str">
        <f>IFERROR(__xludf.DUMMYFUNCTION("""COMPUTED_VALUE"""),"9828dfc5")</f>
        <v>9828dfc5</v>
      </c>
      <c r="E2763" s="211" t="str">
        <f>IFERROR(__xludf.DUMMYFUNCTION("""COMPUTED_VALUE"""),"Bpk. David")</f>
        <v>Bpk. David</v>
      </c>
      <c r="F2763" s="211" t="str">
        <f>IFERROR(__xludf.DUMMYFUNCTION("""COMPUTED_VALUE"""),"8bdbe149")</f>
        <v>8bdbe149</v>
      </c>
      <c r="G2763" s="211" t="str">
        <f>IFERROR(__xludf.DUMMYFUNCTION("""COMPUTED_VALUE"""),"Oksigen 6m3")</f>
        <v>Oksigen 6m3</v>
      </c>
      <c r="H2763" s="211" t="str">
        <f>IFERROR(__xludf.DUMMYFUNCTION("""COMPUTED_VALUE"""),"IN")</f>
        <v>IN</v>
      </c>
      <c r="I2763" s="211" t="str">
        <f>IFERROR(__xludf.DUMMYFUNCTION("""COMPUTED_VALUE"""),"EMPTY")</f>
        <v>EMPTY</v>
      </c>
      <c r="J2763" s="211">
        <f>IFERROR(__xludf.DUMMYFUNCTION("""COMPUTED_VALUE"""),3.0)</f>
        <v>3</v>
      </c>
      <c r="K2763" s="210" t="str">
        <f>IFERROR(__xludf.DUMMYFUNCTION("""COMPUTED_VALUE"""),"1129 1152 11114")</f>
        <v>1129 1152 11114</v>
      </c>
      <c r="L2763" s="211">
        <f>IFERROR(__xludf.DUMMYFUNCTION("""COMPUTED_VALUE"""),0.0)</f>
        <v>0</v>
      </c>
      <c r="M2763" s="211"/>
      <c r="N2763" s="211"/>
      <c r="O2763" s="211"/>
      <c r="Q2763" s="210" t="str">
        <f>IFERROR(__xludf.DUMMYFUNCTION("""COMPUTED_VALUE"""),"0326102763")</f>
        <v>0326102763</v>
      </c>
      <c r="R2763" s="210" t="str">
        <f>IFERROR(__xludf.DUMMYFUNCTION("""COMPUTED_VALUE"""),"0326102763")</f>
        <v>0326102763</v>
      </c>
      <c r="S2763" s="211" t="str">
        <f>IFERROR(__xludf.DUMMYFUNCTION("""COMPUTED_VALUE"""),"9e66ced9")</f>
        <v>9e66ced9</v>
      </c>
      <c r="T2763" s="211" t="str">
        <f>IFERROR(__xludf.DUMMYFUNCTION("""COMPUTED_VALUE"""),"Bapak Angga")</f>
        <v>Bapak Angga</v>
      </c>
      <c r="U2763" s="215">
        <f>IFERROR(__xludf.DUMMYFUNCTION("""COMPUTED_VALUE"""),46087.357152777775)</f>
        <v>46087.35715</v>
      </c>
      <c r="V2763" s="211" t="str">
        <f>IFERROR(__xludf.DUMMYFUNCTION("""COMPUTED_VALUE"""),"Jl. Bypass Krian No.2, Tundungan, Sidomojo, Kec. Krian, Kabupaten Sidoarjo, Jawa Timur 61262")</f>
        <v>Jl. Bypass Krian No.2, Tundungan, Sidomojo, Kec. Krian, Kabupaten Sidoarjo, Jawa Timur 61262</v>
      </c>
      <c r="W2763" s="211" t="str">
        <f>IFERROR(__xludf.DUMMYFUNCTION("""COMPUTED_VALUE"""),"OUT")</f>
        <v>OUT</v>
      </c>
      <c r="X2763" s="211"/>
    </row>
    <row r="2764">
      <c r="A2764" s="210" t="str">
        <f>IFERROR(__xludf.DUMMYFUNCTION("""COMPUTED_VALUE"""),"1225281944")</f>
        <v>1225281944</v>
      </c>
      <c r="B2764" s="210" t="str">
        <f>IFERROR(__xludf.DUMMYFUNCTION("""COMPUTED_VALUE"""),"1225281944")</f>
        <v>1225281944</v>
      </c>
      <c r="C2764" s="213">
        <f>IFERROR(__xludf.DUMMYFUNCTION("""COMPUTED_VALUE"""),46002.368576388886)</f>
        <v>46002.36858</v>
      </c>
      <c r="D2764" s="211" t="str">
        <f>IFERROR(__xludf.DUMMYFUNCTION("""COMPUTED_VALUE"""),"2d88931c")</f>
        <v>2d88931c</v>
      </c>
      <c r="E2764" s="211" t="str">
        <f>IFERROR(__xludf.DUMMYFUNCTION("""COMPUTED_VALUE"""),"PT Dunia Berkat Marga Mulya")</f>
        <v>PT Dunia Berkat Marga Mulya</v>
      </c>
      <c r="F2764" s="211" t="str">
        <f>IFERROR(__xludf.DUMMYFUNCTION("""COMPUTED_VALUE"""),"8bdbe149")</f>
        <v>8bdbe149</v>
      </c>
      <c r="G2764" s="211" t="str">
        <f>IFERROR(__xludf.DUMMYFUNCTION("""COMPUTED_VALUE"""),"Oksigen 6m3")</f>
        <v>Oksigen 6m3</v>
      </c>
      <c r="H2764" s="211" t="str">
        <f>IFERROR(__xludf.DUMMYFUNCTION("""COMPUTED_VALUE"""),"OUT")</f>
        <v>OUT</v>
      </c>
      <c r="I2764" s="211" t="str">
        <f>IFERROR(__xludf.DUMMYFUNCTION("""COMPUTED_VALUE"""),"NORMAL")</f>
        <v>NORMAL</v>
      </c>
      <c r="J2764" s="211">
        <f>IFERROR(__xludf.DUMMYFUNCTION("""COMPUTED_VALUE"""),5.0)</f>
        <v>5</v>
      </c>
      <c r="K2764" s="210" t="str">
        <f>IFERROR(__xludf.DUMMYFUNCTION("""COMPUTED_VALUE"""),"11125 1119 11249 1186 11128")</f>
        <v>11125 1119 11249 1186 11128</v>
      </c>
      <c r="L2764" s="211">
        <f>IFERROR(__xludf.DUMMYFUNCTION("""COMPUTED_VALUE"""),60000.0)</f>
        <v>60000</v>
      </c>
      <c r="M2764" s="211"/>
      <c r="N2764" s="211"/>
      <c r="O2764" s="211"/>
      <c r="Q2764" s="210" t="str">
        <f>IFERROR(__xludf.DUMMYFUNCTION("""COMPUTED_VALUE"""),"0326402764")</f>
        <v>0326402764</v>
      </c>
      <c r="R2764" s="210" t="str">
        <f>IFERROR(__xludf.DUMMYFUNCTION("""COMPUTED_VALUE"""),"0326402764")</f>
        <v>0326402764</v>
      </c>
      <c r="S2764" s="211" t="str">
        <f>IFERROR(__xludf.DUMMYFUNCTION("""COMPUTED_VALUE"""),"ce83e171")</f>
        <v>ce83e171</v>
      </c>
      <c r="T2764" s="211" t="str">
        <f>IFERROR(__xludf.DUMMYFUNCTION("""COMPUTED_VALUE"""),"Bpk. Sulaiman")</f>
        <v>Bpk. Sulaiman</v>
      </c>
      <c r="U2764" s="215">
        <f>IFERROR(__xludf.DUMMYFUNCTION("""COMPUTED_VALUE"""),46087.39318287037)</f>
        <v>46087.39318</v>
      </c>
      <c r="V2764" s="211" t="str">
        <f>IFERROR(__xludf.DUMMYFUNCTION("""COMPUTED_VALUE"""),"Jl. Raya Kramat Temenggung No.43, Kramat, Kramat Temenggung, Kec. Tarik, Kabupaten Sidoarjo, Jawa Timur 61265")</f>
        <v>Jl. Raya Kramat Temenggung No.43, Kramat, Kramat Temenggung, Kec. Tarik, Kabupaten Sidoarjo, Jawa Timur 61265</v>
      </c>
      <c r="W2764" s="211" t="str">
        <f>IFERROR(__xludf.DUMMYFUNCTION("""COMPUTED_VALUE"""),"OUT")</f>
        <v>OUT</v>
      </c>
      <c r="X2764" s="211"/>
    </row>
    <row r="2765">
      <c r="A2765" s="210" t="str">
        <f>IFERROR(__xludf.DUMMYFUNCTION("""COMPUTED_VALUE"""),"1225201947")</f>
        <v>1225201947</v>
      </c>
      <c r="B2765" s="210" t="str">
        <f>IFERROR(__xludf.DUMMYFUNCTION("""COMPUTED_VALUE"""),"1225201947")</f>
        <v>1225201947</v>
      </c>
      <c r="C2765" s="213">
        <f>IFERROR(__xludf.DUMMYFUNCTION("""COMPUTED_VALUE"""),46002.38863425926)</f>
        <v>46002.38863</v>
      </c>
      <c r="D2765" s="211" t="str">
        <f>IFERROR(__xludf.DUMMYFUNCTION("""COMPUTED_VALUE"""),"4ec68cf6")</f>
        <v>4ec68cf6</v>
      </c>
      <c r="E2765" s="211" t="str">
        <f>IFERROR(__xludf.DUMMYFUNCTION("""COMPUTED_VALUE"""),"CV Sido Mukti Karya")</f>
        <v>CV Sido Mukti Karya</v>
      </c>
      <c r="F2765" s="211" t="str">
        <f>IFERROR(__xludf.DUMMYFUNCTION("""COMPUTED_VALUE"""),"7d2764f1")</f>
        <v>7d2764f1</v>
      </c>
      <c r="G2765" s="211" t="str">
        <f>IFERROR(__xludf.DUMMYFUNCTION("""COMPUTED_VALUE"""),"Oksigen 7m3")</f>
        <v>Oksigen 7m3</v>
      </c>
      <c r="H2765" s="211" t="str">
        <f>IFERROR(__xludf.DUMMYFUNCTION("""COMPUTED_VALUE"""),"OUT")</f>
        <v>OUT</v>
      </c>
      <c r="I2765" s="211" t="str">
        <f>IFERROR(__xludf.DUMMYFUNCTION("""COMPUTED_VALUE"""),"NORMAL")</f>
        <v>NORMAL</v>
      </c>
      <c r="J2765" s="211">
        <f>IFERROR(__xludf.DUMMYFUNCTION("""COMPUTED_VALUE"""),2.0)</f>
        <v>2</v>
      </c>
      <c r="K2765" s="210" t="str">
        <f>IFERROR(__xludf.DUMMYFUNCTION("""COMPUTED_VALUE"""),"11153 11166")</f>
        <v>11153 11166</v>
      </c>
      <c r="L2765" s="211">
        <f>IFERROR(__xludf.DUMMYFUNCTION("""COMPUTED_VALUE"""),60000.0)</f>
        <v>60000</v>
      </c>
      <c r="M2765" s="211"/>
      <c r="N2765" s="211"/>
      <c r="O2765" s="211"/>
      <c r="Q2765" s="210" t="str">
        <f>IFERROR(__xludf.DUMMYFUNCTION("""COMPUTED_VALUE"""),"0326132765")</f>
        <v>0326132765</v>
      </c>
      <c r="R2765" s="210" t="str">
        <f>IFERROR(__xludf.DUMMYFUNCTION("""COMPUTED_VALUE"""),"0326132765")</f>
        <v>0326132765</v>
      </c>
      <c r="S2765" s="211" t="str">
        <f>IFERROR(__xludf.DUMMYFUNCTION("""COMPUTED_VALUE"""),"3b04351a")</f>
        <v>3b04351a</v>
      </c>
      <c r="T2765" s="211" t="str">
        <f>IFERROR(__xludf.DUMMYFUNCTION("""COMPUTED_VALUE"""),"CV Usaha Logam Jaya")</f>
        <v>CV Usaha Logam Jaya</v>
      </c>
      <c r="U2765" s="215">
        <f>IFERROR(__xludf.DUMMYFUNCTION("""COMPUTED_VALUE"""),46087.41871527778)</f>
        <v>46087.41872</v>
      </c>
      <c r="V2765" s="211" t="str">
        <f>IFERROR(__xludf.DUMMYFUNCTION("""COMPUTED_VALUE"""),"Jl. Jetis Karya, Wonorejo, Jetis, Kec. Jetis, Kabupaten Mojokerto, Jawa Timur 61352")</f>
        <v>Jl. Jetis Karya, Wonorejo, Jetis, Kec. Jetis, Kabupaten Mojokerto, Jawa Timur 61352</v>
      </c>
      <c r="W2765" s="211" t="str">
        <f>IFERROR(__xludf.DUMMYFUNCTION("""COMPUTED_VALUE"""),"OTHER")</f>
        <v>OTHER</v>
      </c>
      <c r="X2765" s="211"/>
    </row>
    <row r="2766">
      <c r="A2766" s="210" t="str">
        <f>IFERROR(__xludf.DUMMYFUNCTION("""COMPUTED_VALUE"""),"1225201947")</f>
        <v>1225201947</v>
      </c>
      <c r="B2766" s="210" t="str">
        <f>IFERROR(__xludf.DUMMYFUNCTION("""COMPUTED_VALUE"""),"1225201947")</f>
        <v>1225201947</v>
      </c>
      <c r="C2766" s="213">
        <f>IFERROR(__xludf.DUMMYFUNCTION("""COMPUTED_VALUE"""),46002.38863425926)</f>
        <v>46002.38863</v>
      </c>
      <c r="D2766" s="211" t="str">
        <f>IFERROR(__xludf.DUMMYFUNCTION("""COMPUTED_VALUE"""),"4ec68cf6")</f>
        <v>4ec68cf6</v>
      </c>
      <c r="E2766" s="211" t="str">
        <f>IFERROR(__xludf.DUMMYFUNCTION("""COMPUTED_VALUE"""),"CV Sido Mukti Karya")</f>
        <v>CV Sido Mukti Karya</v>
      </c>
      <c r="F2766" s="211" t="str">
        <f>IFERROR(__xludf.DUMMYFUNCTION("""COMPUTED_VALUE"""),"8bdbe149")</f>
        <v>8bdbe149</v>
      </c>
      <c r="G2766" s="211" t="str">
        <f>IFERROR(__xludf.DUMMYFUNCTION("""COMPUTED_VALUE"""),"Oksigen 6m3")</f>
        <v>Oksigen 6m3</v>
      </c>
      <c r="H2766" s="211" t="str">
        <f>IFERROR(__xludf.DUMMYFUNCTION("""COMPUTED_VALUE"""),"OUT")</f>
        <v>OUT</v>
      </c>
      <c r="I2766" s="211" t="str">
        <f>IFERROR(__xludf.DUMMYFUNCTION("""COMPUTED_VALUE"""),"NORMAL")</f>
        <v>NORMAL</v>
      </c>
      <c r="J2766" s="211">
        <f>IFERROR(__xludf.DUMMYFUNCTION("""COMPUTED_VALUE"""),4.0)</f>
        <v>4</v>
      </c>
      <c r="K2766" s="210" t="str">
        <f>IFERROR(__xludf.DUMMYFUNCTION("""COMPUTED_VALUE"""),"11186 11274 11123 11280")</f>
        <v>11186 11274 11123 11280</v>
      </c>
      <c r="L2766" s="211">
        <f>IFERROR(__xludf.DUMMYFUNCTION("""COMPUTED_VALUE"""),60000.0)</f>
        <v>60000</v>
      </c>
      <c r="M2766" s="211"/>
      <c r="N2766" s="211"/>
      <c r="O2766" s="211"/>
      <c r="Q2766" s="210" t="str">
        <f>IFERROR(__xludf.DUMMYFUNCTION("""COMPUTED_VALUE"""),"0326102765")</f>
        <v>0326102765</v>
      </c>
      <c r="R2766" s="210" t="str">
        <f>IFERROR(__xludf.DUMMYFUNCTION("""COMPUTED_VALUE"""),"0326102765")</f>
        <v>0326102765</v>
      </c>
      <c r="S2766" s="211" t="str">
        <f>IFERROR(__xludf.DUMMYFUNCTION("""COMPUTED_VALUE"""),"9e66ced9")</f>
        <v>9e66ced9</v>
      </c>
      <c r="T2766" s="211" t="str">
        <f>IFERROR(__xludf.DUMMYFUNCTION("""COMPUTED_VALUE"""),"Bapak Angga")</f>
        <v>Bapak Angga</v>
      </c>
      <c r="U2766" s="215">
        <f>IFERROR(__xludf.DUMMYFUNCTION("""COMPUTED_VALUE"""),46087.42591435185)</f>
        <v>46087.42591</v>
      </c>
      <c r="V2766" s="211" t="str">
        <f>IFERROR(__xludf.DUMMYFUNCTION("""COMPUTED_VALUE"""),"Jl. Bypass Krian No.2, Tundungan, Sidomojo, Kec. Krian, Kabupaten Sidoarjo, Jawa Timur 61262")</f>
        <v>Jl. Bypass Krian No.2, Tundungan, Sidomojo, Kec. Krian, Kabupaten Sidoarjo, Jawa Timur 61262</v>
      </c>
      <c r="W2766" s="211" t="str">
        <f>IFERROR(__xludf.DUMMYFUNCTION("""COMPUTED_VALUE"""),"OUT")</f>
        <v>OUT</v>
      </c>
      <c r="X2766" s="211"/>
    </row>
    <row r="2767">
      <c r="A2767" s="210" t="str">
        <f>IFERROR(__xludf.DUMMYFUNCTION("""COMPUTED_VALUE"""),"1225201947")</f>
        <v>1225201947</v>
      </c>
      <c r="B2767" s="210" t="str">
        <f>IFERROR(__xludf.DUMMYFUNCTION("""COMPUTED_VALUE"""),"1225201947")</f>
        <v>1225201947</v>
      </c>
      <c r="C2767" s="213">
        <f>IFERROR(__xludf.DUMMYFUNCTION("""COMPUTED_VALUE"""),46002.38863425926)</f>
        <v>46002.38863</v>
      </c>
      <c r="D2767" s="211" t="str">
        <f>IFERROR(__xludf.DUMMYFUNCTION("""COMPUTED_VALUE"""),"4ec68cf6")</f>
        <v>4ec68cf6</v>
      </c>
      <c r="E2767" s="211" t="str">
        <f>IFERROR(__xludf.DUMMYFUNCTION("""COMPUTED_VALUE"""),"CV Sido Mukti Karya")</f>
        <v>CV Sido Mukti Karya</v>
      </c>
      <c r="F2767" s="211" t="str">
        <f>IFERROR(__xludf.DUMMYFUNCTION("""COMPUTED_VALUE"""),"ef306e54")</f>
        <v>ef306e54</v>
      </c>
      <c r="G2767" s="211" t="str">
        <f>IFERROR(__xludf.DUMMYFUNCTION("""COMPUTED_VALUE"""),"Karbondioksida")</f>
        <v>Karbondioksida</v>
      </c>
      <c r="H2767" s="211" t="str">
        <f>IFERROR(__xludf.DUMMYFUNCTION("""COMPUTED_VALUE"""),"OUT")</f>
        <v>OUT</v>
      </c>
      <c r="I2767" s="211" t="str">
        <f>IFERROR(__xludf.DUMMYFUNCTION("""COMPUTED_VALUE"""),"NORMAL")</f>
        <v>NORMAL</v>
      </c>
      <c r="J2767" s="211">
        <f>IFERROR(__xludf.DUMMYFUNCTION("""COMPUTED_VALUE"""),2.0)</f>
        <v>2</v>
      </c>
      <c r="K2767" s="210" t="str">
        <f>IFERROR(__xludf.DUMMYFUNCTION("""COMPUTED_VALUE"""),"13012 13046")</f>
        <v>13012 13046</v>
      </c>
      <c r="L2767" s="211">
        <f>IFERROR(__xludf.DUMMYFUNCTION("""COMPUTED_VALUE"""),180000.0)</f>
        <v>180000</v>
      </c>
      <c r="M2767" s="211"/>
      <c r="N2767" s="211"/>
      <c r="O2767" s="211"/>
      <c r="Q2767" s="210" t="str">
        <f>IFERROR(__xludf.DUMMYFUNCTION("""COMPUTED_VALUE"""),"1261361")</f>
        <v>1261361</v>
      </c>
      <c r="R2767" s="210" t="str">
        <f>IFERROR(__xludf.DUMMYFUNCTION("""COMPUTED_VALUE"""),"1261361")</f>
        <v>1261361</v>
      </c>
      <c r="S2767" s="211" t="str">
        <f>IFERROR(__xludf.DUMMYFUNCTION("""COMPUTED_VALUE"""),"b2b5f2c5")</f>
        <v>b2b5f2c5</v>
      </c>
      <c r="T2767" s="211" t="str">
        <f>IFERROR(__xludf.DUMMYFUNCTION("""COMPUTED_VALUE"""),"Bengkel Las Bpk. Ari")</f>
        <v>Bengkel Las Bpk. Ari</v>
      </c>
      <c r="U2767" s="215">
        <f>IFERROR(__xludf.DUMMYFUNCTION("""COMPUTED_VALUE"""),46087.46199074074)</f>
        <v>46087.46199</v>
      </c>
      <c r="V2767" s="211" t="str">
        <f>IFERROR(__xludf.DUMMYFUNCTION("""COMPUTED_VALUE"""),"Sumber Kembar, Wonodadi, Kec. Kutorejo, Kabupaten Mojokerto, Jawa Timur")</f>
        <v>Sumber Kembar, Wonodadi, Kec. Kutorejo, Kabupaten Mojokerto, Jawa Timur</v>
      </c>
      <c r="W2767" s="211" t="str">
        <f>IFERROR(__xludf.DUMMYFUNCTION("""COMPUTED_VALUE"""),"IN")</f>
        <v>IN</v>
      </c>
      <c r="X2767" s="211"/>
    </row>
    <row r="2768">
      <c r="A2768" s="210" t="str">
        <f>IFERROR(__xludf.DUMMYFUNCTION("""COMPUTED_VALUE"""),"1250929")</f>
        <v>1250929</v>
      </c>
      <c r="B2768" s="210" t="str">
        <f>IFERROR(__xludf.DUMMYFUNCTION("""COMPUTED_VALUE"""),"1250929")</f>
        <v>1250929</v>
      </c>
      <c r="C2768" s="213">
        <f>IFERROR(__xludf.DUMMYFUNCTION("""COMPUTED_VALUE"""),46002.47635416667)</f>
        <v>46002.47635</v>
      </c>
      <c r="D2768" s="211" t="str">
        <f>IFERROR(__xludf.DUMMYFUNCTION("""COMPUTED_VALUE"""),"58b72e0c")</f>
        <v>58b72e0c</v>
      </c>
      <c r="E2768" s="211" t="str">
        <f>IFERROR(__xludf.DUMMYFUNCTION("""COMPUTED_VALUE"""),"UD. Ais Jaya")</f>
        <v>UD. Ais Jaya</v>
      </c>
      <c r="F2768" s="211" t="str">
        <f>IFERROR(__xludf.DUMMYFUNCTION("""COMPUTED_VALUE"""),"7d2764f1")</f>
        <v>7d2764f1</v>
      </c>
      <c r="G2768" s="211" t="str">
        <f>IFERROR(__xludf.DUMMYFUNCTION("""COMPUTED_VALUE"""),"Oksigen 7m3")</f>
        <v>Oksigen 7m3</v>
      </c>
      <c r="H2768" s="211" t="str">
        <f>IFERROR(__xludf.DUMMYFUNCTION("""COMPUTED_VALUE"""),"IN")</f>
        <v>IN</v>
      </c>
      <c r="I2768" s="211" t="str">
        <f>IFERROR(__xludf.DUMMYFUNCTION("""COMPUTED_VALUE"""),"EMPTY")</f>
        <v>EMPTY</v>
      </c>
      <c r="J2768" s="211">
        <f>IFERROR(__xludf.DUMMYFUNCTION("""COMPUTED_VALUE"""),2.0)</f>
        <v>2</v>
      </c>
      <c r="K2768" s="210" t="str">
        <f>IFERROR(__xludf.DUMMYFUNCTION("""COMPUTED_VALUE"""),"11147 11168")</f>
        <v>11147 11168</v>
      </c>
      <c r="L2768" s="211">
        <f>IFERROR(__xludf.DUMMYFUNCTION("""COMPUTED_VALUE"""),0.0)</f>
        <v>0</v>
      </c>
      <c r="M2768" s="211"/>
      <c r="N2768" s="211"/>
      <c r="O2768" s="211"/>
      <c r="Q2768" s="210" t="str">
        <f>IFERROR(__xludf.DUMMYFUNCTION("""COMPUTED_VALUE"""),"0326272767")</f>
        <v>0326272767</v>
      </c>
      <c r="R2768" s="210" t="str">
        <f>IFERROR(__xludf.DUMMYFUNCTION("""COMPUTED_VALUE"""),"0326272767")</f>
        <v>0326272767</v>
      </c>
      <c r="S2768" s="211" t="str">
        <f>IFERROR(__xludf.DUMMYFUNCTION("""COMPUTED_VALUE"""),"63fc688a")</f>
        <v>63fc688a</v>
      </c>
      <c r="T2768" s="211" t="str">
        <f>IFERROR(__xludf.DUMMYFUNCTION("""COMPUTED_VALUE"""),"CV Malik Nusantara")</f>
        <v>CV Malik Nusantara</v>
      </c>
      <c r="U2768" s="215">
        <f>IFERROR(__xludf.DUMMYFUNCTION("""COMPUTED_VALUE"""),46087.484456018516)</f>
        <v>46087.48446</v>
      </c>
      <c r="V2768" s="211" t="str">
        <f>IFERROR(__xludf.DUMMYFUNCTION("""COMPUTED_VALUE"""),"Jl. Raya Balongbendo No.12, Suwaluh Utara, Suwaluh, Kec. BalongBendo, Kabupaten Sidoarjo, Jawa Timur 61263")</f>
        <v>Jl. Raya Balongbendo No.12, Suwaluh Utara, Suwaluh, Kec. BalongBendo, Kabupaten Sidoarjo, Jawa Timur 61263</v>
      </c>
      <c r="W2768" s="211" t="str">
        <f>IFERROR(__xludf.DUMMYFUNCTION("""COMPUTED_VALUE"""),"OUT")</f>
        <v>OUT</v>
      </c>
      <c r="X2768" s="211"/>
    </row>
    <row r="2769">
      <c r="A2769" s="210" t="str">
        <f>IFERROR(__xludf.DUMMYFUNCTION("""COMPUTED_VALUE"""),"1250928")</f>
        <v>1250928</v>
      </c>
      <c r="B2769" s="210" t="str">
        <f>IFERROR(__xludf.DUMMYFUNCTION("""COMPUTED_VALUE"""),"1250928")</f>
        <v>1250928</v>
      </c>
      <c r="C2769" s="213">
        <f>IFERROR(__xludf.DUMMYFUNCTION("""COMPUTED_VALUE"""),46002.47692129629)</f>
        <v>46002.47692</v>
      </c>
      <c r="D2769" s="211" t="str">
        <f>IFERROR(__xludf.DUMMYFUNCTION("""COMPUTED_VALUE"""),"ec231cc9")</f>
        <v>ec231cc9</v>
      </c>
      <c r="E2769" s="211" t="str">
        <f>IFERROR(__xludf.DUMMYFUNCTION("""COMPUTED_VALUE"""),"Bpk. Kohir (Maintenance Velg)")</f>
        <v>Bpk. Kohir (Maintenance Velg)</v>
      </c>
      <c r="F2769" s="211" t="str">
        <f>IFERROR(__xludf.DUMMYFUNCTION("""COMPUTED_VALUE"""),"7d2764f1")</f>
        <v>7d2764f1</v>
      </c>
      <c r="G2769" s="211" t="str">
        <f>IFERROR(__xludf.DUMMYFUNCTION("""COMPUTED_VALUE"""),"Oksigen 7m3")</f>
        <v>Oksigen 7m3</v>
      </c>
      <c r="H2769" s="211" t="str">
        <f>IFERROR(__xludf.DUMMYFUNCTION("""COMPUTED_VALUE"""),"IN")</f>
        <v>IN</v>
      </c>
      <c r="I2769" s="211" t="str">
        <f>IFERROR(__xludf.DUMMYFUNCTION("""COMPUTED_VALUE"""),"EMPTY")</f>
        <v>EMPTY</v>
      </c>
      <c r="J2769" s="211">
        <f>IFERROR(__xludf.DUMMYFUNCTION("""COMPUTED_VALUE"""),4.0)</f>
        <v>4</v>
      </c>
      <c r="K2769" s="210" t="str">
        <f>IFERROR(__xludf.DUMMYFUNCTION("""COMPUTED_VALUE"""),"11222 11219 11217 11269")</f>
        <v>11222 11219 11217 11269</v>
      </c>
      <c r="L2769" s="211">
        <f>IFERROR(__xludf.DUMMYFUNCTION("""COMPUTED_VALUE"""),0.0)</f>
        <v>0</v>
      </c>
      <c r="M2769" s="211"/>
      <c r="N2769" s="211"/>
      <c r="O2769" s="211"/>
      <c r="Q2769" s="210" t="str">
        <f>IFERROR(__xludf.DUMMYFUNCTION("""COMPUTED_VALUE"""),"0326112769")</f>
        <v>0326112769</v>
      </c>
      <c r="R2769" s="210" t="str">
        <f>IFERROR(__xludf.DUMMYFUNCTION("""COMPUTED_VALUE"""),"0326112769")</f>
        <v>0326112769</v>
      </c>
      <c r="S2769" s="211" t="str">
        <f>IFERROR(__xludf.DUMMYFUNCTION("""COMPUTED_VALUE"""),"1c4d5e93")</f>
        <v>1c4d5e93</v>
      </c>
      <c r="T2769" s="211" t="str">
        <f>IFERROR(__xludf.DUMMYFUNCTION("""COMPUTED_VALUE"""),"Karoseri Cipta Mitra Sukses")</f>
        <v>Karoseri Cipta Mitra Sukses</v>
      </c>
      <c r="U2769" s="215">
        <f>IFERROR(__xludf.DUMMYFUNCTION("""COMPUTED_VALUE"""),46087.485914351855)</f>
        <v>46087.48591</v>
      </c>
      <c r="V2769" s="211" t="str">
        <f>IFERROR(__xludf.DUMMYFUNCTION("""COMPUTED_VALUE"""),"JL. Bypass Krian No. 7800, Blok B No 11. Barengkrajan, Kec. Krian, Kabupaten Sidoarjo, Jawa Timur  61262")</f>
        <v>JL. Bypass Krian No. 7800, Blok B No 11. Barengkrajan, Kec. Krian, Kabupaten Sidoarjo, Jawa Timur  61262</v>
      </c>
      <c r="W2769" s="211" t="str">
        <f>IFERROR(__xludf.DUMMYFUNCTION("""COMPUTED_VALUE"""),"OUT")</f>
        <v>OUT</v>
      </c>
      <c r="X2769" s="211"/>
    </row>
    <row r="2770">
      <c r="A2770" s="210" t="str">
        <f>IFERROR(__xludf.DUMMYFUNCTION("""COMPUTED_VALUE"""),"1250928")</f>
        <v>1250928</v>
      </c>
      <c r="B2770" s="210" t="str">
        <f>IFERROR(__xludf.DUMMYFUNCTION("""COMPUTED_VALUE"""),"1250928")</f>
        <v>1250928</v>
      </c>
      <c r="C2770" s="213">
        <f>IFERROR(__xludf.DUMMYFUNCTION("""COMPUTED_VALUE"""),46002.47692129629)</f>
        <v>46002.47692</v>
      </c>
      <c r="D2770" s="211" t="str">
        <f>IFERROR(__xludf.DUMMYFUNCTION("""COMPUTED_VALUE"""),"ec231cc9")</f>
        <v>ec231cc9</v>
      </c>
      <c r="E2770" s="211" t="str">
        <f>IFERROR(__xludf.DUMMYFUNCTION("""COMPUTED_VALUE"""),"Bpk. Kohir (Maintenance Velg)")</f>
        <v>Bpk. Kohir (Maintenance Velg)</v>
      </c>
      <c r="F2770" s="211" t="str">
        <f>IFERROR(__xludf.DUMMYFUNCTION("""COMPUTED_VALUE"""),"ef306e54")</f>
        <v>ef306e54</v>
      </c>
      <c r="G2770" s="211" t="str">
        <f>IFERROR(__xludf.DUMMYFUNCTION("""COMPUTED_VALUE"""),"Karbondioksida")</f>
        <v>Karbondioksida</v>
      </c>
      <c r="H2770" s="211" t="str">
        <f>IFERROR(__xludf.DUMMYFUNCTION("""COMPUTED_VALUE"""),"IN")</f>
        <v>IN</v>
      </c>
      <c r="I2770" s="211" t="str">
        <f>IFERROR(__xludf.DUMMYFUNCTION("""COMPUTED_VALUE"""),"EMPTY")</f>
        <v>EMPTY</v>
      </c>
      <c r="J2770" s="211">
        <f>IFERROR(__xludf.DUMMYFUNCTION("""COMPUTED_VALUE"""),2.0)</f>
        <v>2</v>
      </c>
      <c r="K2770" s="210" t="str">
        <f>IFERROR(__xludf.DUMMYFUNCTION("""COMPUTED_VALUE"""),"13007 13029")</f>
        <v>13007 13029</v>
      </c>
      <c r="L2770" s="211">
        <f>IFERROR(__xludf.DUMMYFUNCTION("""COMPUTED_VALUE"""),0.0)</f>
        <v>0</v>
      </c>
      <c r="M2770" s="211"/>
      <c r="N2770" s="211"/>
      <c r="O2770" s="211"/>
      <c r="Q2770" s="210" t="str">
        <f>IFERROR(__xludf.DUMMYFUNCTION("""COMPUTED_VALUE"""),"1261362")</f>
        <v>1261362</v>
      </c>
      <c r="R2770" s="210" t="str">
        <f>IFERROR(__xludf.DUMMYFUNCTION("""COMPUTED_VALUE"""),"1261362")</f>
        <v>1261362</v>
      </c>
      <c r="S2770" s="211" t="str">
        <f>IFERROR(__xludf.DUMMYFUNCTION("""COMPUTED_VALUE"""),"9e66ced9")</f>
        <v>9e66ced9</v>
      </c>
      <c r="T2770" s="211" t="str">
        <f>IFERROR(__xludf.DUMMYFUNCTION("""COMPUTED_VALUE"""),"Bapak Angga")</f>
        <v>Bapak Angga</v>
      </c>
      <c r="U2770" s="215">
        <f>IFERROR(__xludf.DUMMYFUNCTION("""COMPUTED_VALUE"""),46087.52228009259)</f>
        <v>46087.52228</v>
      </c>
      <c r="V2770" s="211" t="str">
        <f>IFERROR(__xludf.DUMMYFUNCTION("""COMPUTED_VALUE"""),"Jl. Bypass Krian No.2, Tundungan, Sidomojo, Kec. Krian, Kabupaten Sidoarjo, Jawa Timur 61262")</f>
        <v>Jl. Bypass Krian No.2, Tundungan, Sidomojo, Kec. Krian, Kabupaten Sidoarjo, Jawa Timur 61262</v>
      </c>
      <c r="W2770" s="211" t="str">
        <f>IFERROR(__xludf.DUMMYFUNCTION("""COMPUTED_VALUE"""),"IN")</f>
        <v>IN</v>
      </c>
      <c r="X2770" s="211"/>
    </row>
    <row r="2771">
      <c r="A2771" s="210" t="str">
        <f>IFERROR(__xludf.DUMMYFUNCTION("""COMPUTED_VALUE"""),"1250926.")</f>
        <v>1250926.</v>
      </c>
      <c r="B2771" s="210" t="str">
        <f>IFERROR(__xludf.DUMMYFUNCTION("""COMPUTED_VALUE"""),"1250926.")</f>
        <v>1250926.</v>
      </c>
      <c r="C2771" s="213">
        <f>IFERROR(__xludf.DUMMYFUNCTION("""COMPUTED_VALUE"""),46002.47813657407)</f>
        <v>46002.47814</v>
      </c>
      <c r="D2771" s="211" t="str">
        <f>IFERROR(__xludf.DUMMYFUNCTION("""COMPUTED_VALUE"""),"4ec68cf6")</f>
        <v>4ec68cf6</v>
      </c>
      <c r="E2771" s="211" t="str">
        <f>IFERROR(__xludf.DUMMYFUNCTION("""COMPUTED_VALUE"""),"CV Sido Mukti Karya")</f>
        <v>CV Sido Mukti Karya</v>
      </c>
      <c r="F2771" s="211" t="str">
        <f>IFERROR(__xludf.DUMMYFUNCTION("""COMPUTED_VALUE"""),"7d2764f1")</f>
        <v>7d2764f1</v>
      </c>
      <c r="G2771" s="211" t="str">
        <f>IFERROR(__xludf.DUMMYFUNCTION("""COMPUTED_VALUE"""),"Oksigen 7m3")</f>
        <v>Oksigen 7m3</v>
      </c>
      <c r="H2771" s="211" t="str">
        <f>IFERROR(__xludf.DUMMYFUNCTION("""COMPUTED_VALUE"""),"IN")</f>
        <v>IN</v>
      </c>
      <c r="I2771" s="211" t="str">
        <f>IFERROR(__xludf.DUMMYFUNCTION("""COMPUTED_VALUE"""),"EMPTY")</f>
        <v>EMPTY</v>
      </c>
      <c r="J2771" s="211">
        <f>IFERROR(__xludf.DUMMYFUNCTION("""COMPUTED_VALUE"""),1.0)</f>
        <v>1</v>
      </c>
      <c r="K2771" s="210" t="str">
        <f>IFERROR(__xludf.DUMMYFUNCTION("""COMPUTED_VALUE"""),"11167")</f>
        <v>11167</v>
      </c>
      <c r="L2771" s="211">
        <f>IFERROR(__xludf.DUMMYFUNCTION("""COMPUTED_VALUE"""),0.0)</f>
        <v>0</v>
      </c>
      <c r="M2771" s="211"/>
      <c r="N2771" s="211"/>
      <c r="O2771" s="211"/>
      <c r="Q2771" s="210" t="str">
        <f>IFERROR(__xludf.DUMMYFUNCTION("""COMPUTED_VALUE"""),"1261364")</f>
        <v>1261364</v>
      </c>
      <c r="R2771" s="210" t="str">
        <f>IFERROR(__xludf.DUMMYFUNCTION("""COMPUTED_VALUE"""),"1261364")</f>
        <v>1261364</v>
      </c>
      <c r="S2771" s="211" t="str">
        <f>IFERROR(__xludf.DUMMYFUNCTION("""COMPUTED_VALUE"""),"1c4d5e93")</f>
        <v>1c4d5e93</v>
      </c>
      <c r="T2771" s="211" t="str">
        <f>IFERROR(__xludf.DUMMYFUNCTION("""COMPUTED_VALUE"""),"Karoseri Cipta Mitra Sukses")</f>
        <v>Karoseri Cipta Mitra Sukses</v>
      </c>
      <c r="U2771" s="215">
        <f>IFERROR(__xludf.DUMMYFUNCTION("""COMPUTED_VALUE"""),46087.64550925926)</f>
        <v>46087.64551</v>
      </c>
      <c r="V2771" s="211" t="str">
        <f>IFERROR(__xludf.DUMMYFUNCTION("""COMPUTED_VALUE"""),"JL. Bypass Krian No. 7800, Blok B No 11. Barengkrajan, Kec. Krian, Kabupaten Sidoarjo, Jawa Timur  61262")</f>
        <v>JL. Bypass Krian No. 7800, Blok B No 11. Barengkrajan, Kec. Krian, Kabupaten Sidoarjo, Jawa Timur  61262</v>
      </c>
      <c r="W2771" s="211" t="str">
        <f>IFERROR(__xludf.DUMMYFUNCTION("""COMPUTED_VALUE"""),"IN")</f>
        <v>IN</v>
      </c>
      <c r="X2771" s="211"/>
    </row>
    <row r="2772">
      <c r="A2772" s="210" t="str">
        <f>IFERROR(__xludf.DUMMYFUNCTION("""COMPUTED_VALUE"""),"1250926.")</f>
        <v>1250926.</v>
      </c>
      <c r="B2772" s="210" t="str">
        <f>IFERROR(__xludf.DUMMYFUNCTION("""COMPUTED_VALUE"""),"1250926.")</f>
        <v>1250926.</v>
      </c>
      <c r="C2772" s="213">
        <f>IFERROR(__xludf.DUMMYFUNCTION("""COMPUTED_VALUE"""),46002.47813657407)</f>
        <v>46002.47814</v>
      </c>
      <c r="D2772" s="211" t="str">
        <f>IFERROR(__xludf.DUMMYFUNCTION("""COMPUTED_VALUE"""),"4ec68cf6")</f>
        <v>4ec68cf6</v>
      </c>
      <c r="E2772" s="211" t="str">
        <f>IFERROR(__xludf.DUMMYFUNCTION("""COMPUTED_VALUE"""),"CV Sido Mukti Karya")</f>
        <v>CV Sido Mukti Karya</v>
      </c>
      <c r="F2772" s="211" t="str">
        <f>IFERROR(__xludf.DUMMYFUNCTION("""COMPUTED_VALUE"""),"ef306e54")</f>
        <v>ef306e54</v>
      </c>
      <c r="G2772" s="211" t="str">
        <f>IFERROR(__xludf.DUMMYFUNCTION("""COMPUTED_VALUE"""),"Karbondioksida")</f>
        <v>Karbondioksida</v>
      </c>
      <c r="H2772" s="211" t="str">
        <f>IFERROR(__xludf.DUMMYFUNCTION("""COMPUTED_VALUE"""),"IN")</f>
        <v>IN</v>
      </c>
      <c r="I2772" s="211" t="str">
        <f>IFERROR(__xludf.DUMMYFUNCTION("""COMPUTED_VALUE"""),"EMPTY")</f>
        <v>EMPTY</v>
      </c>
      <c r="J2772" s="211">
        <f>IFERROR(__xludf.DUMMYFUNCTION("""COMPUTED_VALUE"""),2.0)</f>
        <v>2</v>
      </c>
      <c r="K2772" s="210" t="str">
        <f>IFERROR(__xludf.DUMMYFUNCTION("""COMPUTED_VALUE"""),"13003 13027")</f>
        <v>13003 13027</v>
      </c>
      <c r="L2772" s="211">
        <f>IFERROR(__xludf.DUMMYFUNCTION("""COMPUTED_VALUE"""),0.0)</f>
        <v>0</v>
      </c>
      <c r="M2772" s="211"/>
      <c r="N2772" s="211"/>
      <c r="O2772" s="211"/>
      <c r="Q2772" s="210" t="str">
        <f>IFERROR(__xludf.DUMMYFUNCTION("""COMPUTED_VALUE"""),"1261365")</f>
        <v>1261365</v>
      </c>
      <c r="R2772" s="210" t="str">
        <f>IFERROR(__xludf.DUMMYFUNCTION("""COMPUTED_VALUE"""),"1261365")</f>
        <v>1261365</v>
      </c>
      <c r="S2772" s="211" t="str">
        <f>IFERROR(__xludf.DUMMYFUNCTION("""COMPUTED_VALUE"""),"a0f0ad2d")</f>
        <v>a0f0ad2d</v>
      </c>
      <c r="T2772" s="211" t="str">
        <f>IFERROR(__xludf.DUMMYFUNCTION("""COMPUTED_VALUE"""),"CV. Yulie Jaya")</f>
        <v>CV. Yulie Jaya</v>
      </c>
      <c r="U2772" s="215">
        <f>IFERROR(__xludf.DUMMYFUNCTION("""COMPUTED_VALUE"""),46087.64591435185)</f>
        <v>46087.64591</v>
      </c>
      <c r="V2772" s="211" t="str">
        <f>IFERROR(__xludf.DUMMYFUNCTION("""COMPUTED_VALUE"""),"JJH4+6RV, Badas, Barengkrajan, Kec. Krian, Kabupaten Sidoarjo, Jawa Timur 61262")</f>
        <v>JJH4+6RV, Badas, Barengkrajan, Kec. Krian, Kabupaten Sidoarjo, Jawa Timur 61262</v>
      </c>
      <c r="W2772" s="211" t="str">
        <f>IFERROR(__xludf.DUMMYFUNCTION("""COMPUTED_VALUE"""),"IN")</f>
        <v>IN</v>
      </c>
      <c r="X2772" s="211"/>
    </row>
    <row r="2773">
      <c r="A2773" s="210" t="str">
        <f>IFERROR(__xludf.DUMMYFUNCTION("""COMPUTED_VALUE"""),"1250927")</f>
        <v>1250927</v>
      </c>
      <c r="B2773" s="210" t="str">
        <f>IFERROR(__xludf.DUMMYFUNCTION("""COMPUTED_VALUE"""),"1250927")</f>
        <v>1250927</v>
      </c>
      <c r="C2773" s="213">
        <f>IFERROR(__xludf.DUMMYFUNCTION("""COMPUTED_VALUE"""),46002.47896990741)</f>
        <v>46002.47897</v>
      </c>
      <c r="D2773" s="211" t="str">
        <f>IFERROR(__xludf.DUMMYFUNCTION("""COMPUTED_VALUE"""),"a0f0ad2d")</f>
        <v>a0f0ad2d</v>
      </c>
      <c r="E2773" s="211" t="str">
        <f>IFERROR(__xludf.DUMMYFUNCTION("""COMPUTED_VALUE"""),"CV. Yulie Jaya")</f>
        <v>CV. Yulie Jaya</v>
      </c>
      <c r="F2773" s="211" t="str">
        <f>IFERROR(__xludf.DUMMYFUNCTION("""COMPUTED_VALUE"""),"be525f3b")</f>
        <v>be525f3b</v>
      </c>
      <c r="G2773" s="211" t="str">
        <f>IFERROR(__xludf.DUMMYFUNCTION("""COMPUTED_VALUE"""),"LPG 12kg")</f>
        <v>LPG 12kg</v>
      </c>
      <c r="H2773" s="211" t="str">
        <f>IFERROR(__xludf.DUMMYFUNCTION("""COMPUTED_VALUE"""),"IN")</f>
        <v>IN</v>
      </c>
      <c r="I2773" s="211" t="str">
        <f>IFERROR(__xludf.DUMMYFUNCTION("""COMPUTED_VALUE"""),"EMPTY")</f>
        <v>EMPTY</v>
      </c>
      <c r="J2773" s="211">
        <f>IFERROR(__xludf.DUMMYFUNCTION("""COMPUTED_VALUE"""),1.0)</f>
        <v>1</v>
      </c>
      <c r="K2773" s="210" t="str">
        <f>IFERROR(__xludf.DUMMYFUNCTION("""COMPUTED_VALUE"""),"01")</f>
        <v>01</v>
      </c>
      <c r="L2773" s="211">
        <f>IFERROR(__xludf.DUMMYFUNCTION("""COMPUTED_VALUE"""),0.0)</f>
        <v>0</v>
      </c>
      <c r="M2773" s="211"/>
      <c r="N2773" s="211"/>
      <c r="O2773" s="211"/>
      <c r="Q2773" s="210" t="str">
        <f>IFERROR(__xludf.DUMMYFUNCTION("""COMPUTED_VALUE"""),"1261363")</f>
        <v>1261363</v>
      </c>
      <c r="R2773" s="210" t="str">
        <f>IFERROR(__xludf.DUMMYFUNCTION("""COMPUTED_VALUE"""),"1261363")</f>
        <v>1261363</v>
      </c>
      <c r="S2773" s="211" t="str">
        <f>IFERROR(__xludf.DUMMYFUNCTION("""COMPUTED_VALUE"""),"63fc688a")</f>
        <v>63fc688a</v>
      </c>
      <c r="T2773" s="211" t="str">
        <f>IFERROR(__xludf.DUMMYFUNCTION("""COMPUTED_VALUE"""),"CV Malik Nusantara")</f>
        <v>CV Malik Nusantara</v>
      </c>
      <c r="U2773" s="215">
        <f>IFERROR(__xludf.DUMMYFUNCTION("""COMPUTED_VALUE"""),46087.64699074074)</f>
        <v>46087.64699</v>
      </c>
      <c r="V2773" s="211" t="str">
        <f>IFERROR(__xludf.DUMMYFUNCTION("""COMPUTED_VALUE"""),"Jl. Raya Balongbendo No.12, Suwaluh Utara, Suwaluh, Kec. BalongBendo, Kabupaten Sidoarjo, Jawa Timur 61263")</f>
        <v>Jl. Raya Balongbendo No.12, Suwaluh Utara, Suwaluh, Kec. BalongBendo, Kabupaten Sidoarjo, Jawa Timur 61263</v>
      </c>
      <c r="W2773" s="211" t="str">
        <f>IFERROR(__xludf.DUMMYFUNCTION("""COMPUTED_VALUE"""),"IN")</f>
        <v>IN</v>
      </c>
      <c r="X2773" s="211"/>
    </row>
    <row r="2774">
      <c r="A2774" s="210" t="str">
        <f>IFERROR(__xludf.DUMMYFUNCTION("""COMPUTED_VALUE"""),"1250927")</f>
        <v>1250927</v>
      </c>
      <c r="B2774" s="210" t="str">
        <f>IFERROR(__xludf.DUMMYFUNCTION("""COMPUTED_VALUE"""),"1250927")</f>
        <v>1250927</v>
      </c>
      <c r="C2774" s="213">
        <f>IFERROR(__xludf.DUMMYFUNCTION("""COMPUTED_VALUE"""),46002.47896990741)</f>
        <v>46002.47897</v>
      </c>
      <c r="D2774" s="211" t="str">
        <f>IFERROR(__xludf.DUMMYFUNCTION("""COMPUTED_VALUE"""),"a0f0ad2d")</f>
        <v>a0f0ad2d</v>
      </c>
      <c r="E2774" s="211" t="str">
        <f>IFERROR(__xludf.DUMMYFUNCTION("""COMPUTED_VALUE"""),"CV. Yulie Jaya")</f>
        <v>CV. Yulie Jaya</v>
      </c>
      <c r="F2774" s="211" t="str">
        <f>IFERROR(__xludf.DUMMYFUNCTION("""COMPUTED_VALUE"""),"7d2764f1")</f>
        <v>7d2764f1</v>
      </c>
      <c r="G2774" s="211" t="str">
        <f>IFERROR(__xludf.DUMMYFUNCTION("""COMPUTED_VALUE"""),"Oksigen 7m3")</f>
        <v>Oksigen 7m3</v>
      </c>
      <c r="H2774" s="211" t="str">
        <f>IFERROR(__xludf.DUMMYFUNCTION("""COMPUTED_VALUE"""),"IN")</f>
        <v>IN</v>
      </c>
      <c r="I2774" s="211" t="str">
        <f>IFERROR(__xludf.DUMMYFUNCTION("""COMPUTED_VALUE"""),"EMPTY")</f>
        <v>EMPTY</v>
      </c>
      <c r="J2774" s="211">
        <f>IFERROR(__xludf.DUMMYFUNCTION("""COMPUTED_VALUE"""),7.0)</f>
        <v>7</v>
      </c>
      <c r="K2774" s="210" t="str">
        <f>IFERROR(__xludf.DUMMYFUNCTION("""COMPUTED_VALUE"""),"11303 11150 11151 11229 11223 11226 11141")</f>
        <v>11303 11150 11151 11229 11223 11226 11141</v>
      </c>
      <c r="L2774" s="211">
        <f>IFERROR(__xludf.DUMMYFUNCTION("""COMPUTED_VALUE"""),0.0)</f>
        <v>0</v>
      </c>
      <c r="M2774" s="211"/>
      <c r="N2774" s="211"/>
      <c r="O2774" s="211"/>
      <c r="Q2774" s="210" t="str">
        <f>IFERROR(__xludf.DUMMYFUNCTION("""COMPUTED_VALUE"""),"1261343")</f>
        <v>1261343</v>
      </c>
      <c r="R2774" s="210" t="str">
        <f>IFERROR(__xludf.DUMMYFUNCTION("""COMPUTED_VALUE"""),"1261343")</f>
        <v>1261343</v>
      </c>
      <c r="S2774" s="211" t="str">
        <f>IFERROR(__xludf.DUMMYFUNCTION("""COMPUTED_VALUE"""),"ce83e171")</f>
        <v>ce83e171</v>
      </c>
      <c r="T2774" s="211" t="str">
        <f>IFERROR(__xludf.DUMMYFUNCTION("""COMPUTED_VALUE"""),"Bpk. Sulaiman")</f>
        <v>Bpk. Sulaiman</v>
      </c>
      <c r="U2774" s="215">
        <f>IFERROR(__xludf.DUMMYFUNCTION("""COMPUTED_VALUE"""),46087.65759259259)</f>
        <v>46087.65759</v>
      </c>
      <c r="V2774" s="211" t="str">
        <f>IFERROR(__xludf.DUMMYFUNCTION("""COMPUTED_VALUE"""),"Jl. Raya Kramat Temenggung No.43, Kramat, Kramat Temenggung, Kec. Tarik, Kabupaten Sidoarjo, Jawa Timur 61265")</f>
        <v>Jl. Raya Kramat Temenggung No.43, Kramat, Kramat Temenggung, Kec. Tarik, Kabupaten Sidoarjo, Jawa Timur 61265</v>
      </c>
      <c r="W2774" s="211" t="str">
        <f>IFERROR(__xludf.DUMMYFUNCTION("""COMPUTED_VALUE"""),"IN")</f>
        <v>IN</v>
      </c>
      <c r="X2774" s="211"/>
    </row>
    <row r="2775">
      <c r="A2775" s="210" t="str">
        <f>IFERROR(__xludf.DUMMYFUNCTION("""COMPUTED_VALUE"""),"1250927")</f>
        <v>1250927</v>
      </c>
      <c r="B2775" s="210" t="str">
        <f>IFERROR(__xludf.DUMMYFUNCTION("""COMPUTED_VALUE"""),"1250927")</f>
        <v>1250927</v>
      </c>
      <c r="C2775" s="213">
        <f>IFERROR(__xludf.DUMMYFUNCTION("""COMPUTED_VALUE"""),46002.47896990741)</f>
        <v>46002.47897</v>
      </c>
      <c r="D2775" s="211" t="str">
        <f>IFERROR(__xludf.DUMMYFUNCTION("""COMPUTED_VALUE"""),"a0f0ad2d")</f>
        <v>a0f0ad2d</v>
      </c>
      <c r="E2775" s="211" t="str">
        <f>IFERROR(__xludf.DUMMYFUNCTION("""COMPUTED_VALUE"""),"CV. Yulie Jaya")</f>
        <v>CV. Yulie Jaya</v>
      </c>
      <c r="F2775" s="211" t="str">
        <f>IFERROR(__xludf.DUMMYFUNCTION("""COMPUTED_VALUE"""),"8bdbe149")</f>
        <v>8bdbe149</v>
      </c>
      <c r="G2775" s="211" t="str">
        <f>IFERROR(__xludf.DUMMYFUNCTION("""COMPUTED_VALUE"""),"Oksigen 6m3")</f>
        <v>Oksigen 6m3</v>
      </c>
      <c r="H2775" s="211" t="str">
        <f>IFERROR(__xludf.DUMMYFUNCTION("""COMPUTED_VALUE"""),"IN")</f>
        <v>IN</v>
      </c>
      <c r="I2775" s="211" t="str">
        <f>IFERROR(__xludf.DUMMYFUNCTION("""COMPUTED_VALUE"""),"EMPTY")</f>
        <v>EMPTY</v>
      </c>
      <c r="J2775" s="211">
        <f>IFERROR(__xludf.DUMMYFUNCTION("""COMPUTED_VALUE"""),1.0)</f>
        <v>1</v>
      </c>
      <c r="K2775" s="210" t="str">
        <f>IFERROR(__xludf.DUMMYFUNCTION("""COMPUTED_VALUE"""),"11112")</f>
        <v>11112</v>
      </c>
      <c r="L2775" s="211">
        <f>IFERROR(__xludf.DUMMYFUNCTION("""COMPUTED_VALUE"""),0.0)</f>
        <v>0</v>
      </c>
      <c r="M2775" s="211"/>
      <c r="N2775" s="211"/>
      <c r="O2775" s="211"/>
      <c r="Q2775" s="210" t="str">
        <f>IFERROR(__xludf.DUMMYFUNCTION("""COMPUTED_VALUE"""),"1261342")</f>
        <v>1261342</v>
      </c>
      <c r="R2775" s="210" t="str">
        <f>IFERROR(__xludf.DUMMYFUNCTION("""COMPUTED_VALUE"""),"1261342")</f>
        <v>1261342</v>
      </c>
      <c r="S2775" s="211" t="str">
        <f>IFERROR(__xludf.DUMMYFUNCTION("""COMPUTED_VALUE"""),"01158be1")</f>
        <v>01158be1</v>
      </c>
      <c r="T2775" s="211" t="str">
        <f>IFERROR(__xludf.DUMMYFUNCTION("""COMPUTED_VALUE"""),"GYF")</f>
        <v>GYF</v>
      </c>
      <c r="U2775" s="215">
        <f>IFERROR(__xludf.DUMMYFUNCTION("""COMPUTED_VALUE"""),46087.658009259256)</f>
        <v>46087.65801</v>
      </c>
      <c r="V2775" s="211" t="str">
        <f>IFERROR(__xludf.DUMMYFUNCTION("""COMPUTED_VALUE"""),"Kangkungan, Lengkong, Kec. Mojoanyar, Kabupaten Mojokerto, Jawa Timur")</f>
        <v>Kangkungan, Lengkong, Kec. Mojoanyar, Kabupaten Mojokerto, Jawa Timur</v>
      </c>
      <c r="W2775" s="211" t="str">
        <f>IFERROR(__xludf.DUMMYFUNCTION("""COMPUTED_VALUE"""),"IN")</f>
        <v>IN</v>
      </c>
      <c r="X2775" s="211"/>
    </row>
    <row r="2776">
      <c r="A2776" s="210" t="str">
        <f>IFERROR(__xludf.DUMMYFUNCTION("""COMPUTED_VALUE"""),"12050940")</f>
        <v>12050940</v>
      </c>
      <c r="B2776" s="210" t="str">
        <f>IFERROR(__xludf.DUMMYFUNCTION("""COMPUTED_VALUE"""),"12050940")</f>
        <v>12050940</v>
      </c>
      <c r="C2776" s="213">
        <f>IFERROR(__xludf.DUMMYFUNCTION("""COMPUTED_VALUE"""),46002.482303240744)</f>
        <v>46002.4823</v>
      </c>
      <c r="D2776" s="211" t="str">
        <f>IFERROR(__xludf.DUMMYFUNCTION("""COMPUTED_VALUE"""),"9e66ced9")</f>
        <v>9e66ced9</v>
      </c>
      <c r="E2776" s="211" t="str">
        <f>IFERROR(__xludf.DUMMYFUNCTION("""COMPUTED_VALUE"""),"Bapak Angga")</f>
        <v>Bapak Angga</v>
      </c>
      <c r="F2776" s="211" t="str">
        <f>IFERROR(__xludf.DUMMYFUNCTION("""COMPUTED_VALUE"""),"7d2764f1")</f>
        <v>7d2764f1</v>
      </c>
      <c r="G2776" s="211" t="str">
        <f>IFERROR(__xludf.DUMMYFUNCTION("""COMPUTED_VALUE"""),"Oksigen 7m3")</f>
        <v>Oksigen 7m3</v>
      </c>
      <c r="H2776" s="211" t="str">
        <f>IFERROR(__xludf.DUMMYFUNCTION("""COMPUTED_VALUE"""),"IN")</f>
        <v>IN</v>
      </c>
      <c r="I2776" s="211" t="str">
        <f>IFERROR(__xludf.DUMMYFUNCTION("""COMPUTED_VALUE"""),"EMPTY")</f>
        <v>EMPTY</v>
      </c>
      <c r="J2776" s="211">
        <f>IFERROR(__xludf.DUMMYFUNCTION("""COMPUTED_VALUE"""),1.0)</f>
        <v>1</v>
      </c>
      <c r="K2776" s="210" t="str">
        <f>IFERROR(__xludf.DUMMYFUNCTION("""COMPUTED_VALUE"""),"11306")</f>
        <v>11306</v>
      </c>
      <c r="L2776" s="211">
        <f>IFERROR(__xludf.DUMMYFUNCTION("""COMPUTED_VALUE"""),0.0)</f>
        <v>0</v>
      </c>
      <c r="M2776" s="211"/>
      <c r="N2776" s="211"/>
      <c r="O2776" s="211"/>
      <c r="Q2776" s="210" t="str">
        <f>IFERROR(__xludf.DUMMYFUNCTION("""COMPUTED_VALUE"""),"032672770")</f>
        <v>032672770</v>
      </c>
      <c r="R2776" s="210" t="str">
        <f>IFERROR(__xludf.DUMMYFUNCTION("""COMPUTED_VALUE"""),"032672770")</f>
        <v>032672770</v>
      </c>
      <c r="S2776" s="211" t="str">
        <f>IFERROR(__xludf.DUMMYFUNCTION("""COMPUTED_VALUE"""),"de41c3e8")</f>
        <v>de41c3e8</v>
      </c>
      <c r="T2776" s="211" t="str">
        <f>IFERROR(__xludf.DUMMYFUNCTION("""COMPUTED_VALUE"""),"Bpk. Eko Mianto")</f>
        <v>Bpk. Eko Mianto</v>
      </c>
      <c r="U2776" s="215">
        <f>IFERROR(__xludf.DUMMYFUNCTION("""COMPUTED_VALUE"""),46088.350486111114)</f>
        <v>46088.35049</v>
      </c>
      <c r="V2776" s="211" t="str">
        <f>IFERROR(__xludf.DUMMYFUNCTION("""COMPUTED_VALUE"""),"The Graha Residen, Blok D4 No 33. Tropodo, Kec Krian, Kabupaten Sidaorjo, Jawa Timur 61262")</f>
        <v>The Graha Residen, Blok D4 No 33. Tropodo, Kec Krian, Kabupaten Sidaorjo, Jawa Timur 61262</v>
      </c>
      <c r="W2776" s="211" t="str">
        <f>IFERROR(__xludf.DUMMYFUNCTION("""COMPUTED_VALUE"""),"OUT")</f>
        <v>OUT</v>
      </c>
      <c r="X2776" s="211"/>
    </row>
    <row r="2777">
      <c r="A2777" s="210" t="str">
        <f>IFERROR(__xludf.DUMMYFUNCTION("""COMPUTED_VALUE"""),"1250932")</f>
        <v>1250932</v>
      </c>
      <c r="B2777" s="210" t="str">
        <f>IFERROR(__xludf.DUMMYFUNCTION("""COMPUTED_VALUE"""),"1250932")</f>
        <v>1250932</v>
      </c>
      <c r="C2777" s="213">
        <f>IFERROR(__xludf.DUMMYFUNCTION("""COMPUTED_VALUE"""),46002.48363425926)</f>
        <v>46002.48363</v>
      </c>
      <c r="D2777" s="211" t="str">
        <f>IFERROR(__xludf.DUMMYFUNCTION("""COMPUTED_VALUE"""),"63fc688a")</f>
        <v>63fc688a</v>
      </c>
      <c r="E2777" s="211" t="str">
        <f>IFERROR(__xludf.DUMMYFUNCTION("""COMPUTED_VALUE"""),"CV Malik Nusantara")</f>
        <v>CV Malik Nusantara</v>
      </c>
      <c r="F2777" s="211" t="str">
        <f>IFERROR(__xludf.DUMMYFUNCTION("""COMPUTED_VALUE"""),"be525f3b")</f>
        <v>be525f3b</v>
      </c>
      <c r="G2777" s="211" t="str">
        <f>IFERROR(__xludf.DUMMYFUNCTION("""COMPUTED_VALUE"""),"LPG 12kg")</f>
        <v>LPG 12kg</v>
      </c>
      <c r="H2777" s="211" t="str">
        <f>IFERROR(__xludf.DUMMYFUNCTION("""COMPUTED_VALUE"""),"IN")</f>
        <v>IN</v>
      </c>
      <c r="I2777" s="211" t="str">
        <f>IFERROR(__xludf.DUMMYFUNCTION("""COMPUTED_VALUE"""),"EMPTY")</f>
        <v>EMPTY</v>
      </c>
      <c r="J2777" s="211">
        <f>IFERROR(__xludf.DUMMYFUNCTION("""COMPUTED_VALUE"""),1.0)</f>
        <v>1</v>
      </c>
      <c r="K2777" s="210" t="str">
        <f>IFERROR(__xludf.DUMMYFUNCTION("""COMPUTED_VALUE"""),"01")</f>
        <v>01</v>
      </c>
      <c r="L2777" s="211">
        <f>IFERROR(__xludf.DUMMYFUNCTION("""COMPUTED_VALUE"""),0.0)</f>
        <v>0</v>
      </c>
      <c r="M2777" s="211"/>
      <c r="N2777" s="211"/>
      <c r="O2777" s="211"/>
      <c r="Q2777" s="210" t="str">
        <f>IFERROR(__xludf.DUMMYFUNCTION("""COMPUTED_VALUE"""),"0326922777")</f>
        <v>0326922777</v>
      </c>
      <c r="R2777" s="210" t="str">
        <f>IFERROR(__xludf.DUMMYFUNCTION("""COMPUTED_VALUE"""),"0326922777")</f>
        <v>0326922777</v>
      </c>
      <c r="S2777" s="211" t="str">
        <f>IFERROR(__xludf.DUMMYFUNCTION("""COMPUTED_VALUE"""),"b2b5f2c5")</f>
        <v>b2b5f2c5</v>
      </c>
      <c r="T2777" s="211" t="str">
        <f>IFERROR(__xludf.DUMMYFUNCTION("""COMPUTED_VALUE"""),"Bengkel Las Bpk. Ari")</f>
        <v>Bengkel Las Bpk. Ari</v>
      </c>
      <c r="U2777" s="215">
        <f>IFERROR(__xludf.DUMMYFUNCTION("""COMPUTED_VALUE"""),46088.35086805555)</f>
        <v>46088.35087</v>
      </c>
      <c r="V2777" s="211" t="str">
        <f>IFERROR(__xludf.DUMMYFUNCTION("""COMPUTED_VALUE"""),"Sumber Kembar, Wonodadi, Kec. Kutorejo, Kabupaten Mojokerto, Jawa Timur")</f>
        <v>Sumber Kembar, Wonodadi, Kec. Kutorejo, Kabupaten Mojokerto, Jawa Timur</v>
      </c>
      <c r="W2777" s="211" t="str">
        <f>IFERROR(__xludf.DUMMYFUNCTION("""COMPUTED_VALUE"""),"OUT")</f>
        <v>OUT</v>
      </c>
      <c r="X2777" s="211"/>
    </row>
    <row r="2778">
      <c r="A2778" s="210" t="str">
        <f>IFERROR(__xludf.DUMMYFUNCTION("""COMPUTED_VALUE"""),"122541948")</f>
        <v>122541948</v>
      </c>
      <c r="B2778" s="210" t="str">
        <f>IFERROR(__xludf.DUMMYFUNCTION("""COMPUTED_VALUE"""),"122541948")</f>
        <v>122541948</v>
      </c>
      <c r="C2778" s="213">
        <f>IFERROR(__xludf.DUMMYFUNCTION("""COMPUTED_VALUE"""),46002.67917824074)</f>
        <v>46002.67918</v>
      </c>
      <c r="D2778" s="211" t="str">
        <f>IFERROR(__xludf.DUMMYFUNCTION("""COMPUTED_VALUE"""),"3b04351a")</f>
        <v>3b04351a</v>
      </c>
      <c r="E2778" s="211" t="str">
        <f>IFERROR(__xludf.DUMMYFUNCTION("""COMPUTED_VALUE"""),"CV Usaha Logam Jaya ( Bpk Putra )")</f>
        <v>CV Usaha Logam Jaya ( Bpk Putra )</v>
      </c>
      <c r="F2778" s="211" t="str">
        <f>IFERROR(__xludf.DUMMYFUNCTION("""COMPUTED_VALUE"""),"8bdbe149")</f>
        <v>8bdbe149</v>
      </c>
      <c r="G2778" s="211" t="str">
        <f>IFERROR(__xludf.DUMMYFUNCTION("""COMPUTED_VALUE"""),"Oksigen 6m3")</f>
        <v>Oksigen 6m3</v>
      </c>
      <c r="H2778" s="211" t="str">
        <f>IFERROR(__xludf.DUMMYFUNCTION("""COMPUTED_VALUE"""),"OUT")</f>
        <v>OUT</v>
      </c>
      <c r="I2778" s="211" t="str">
        <f>IFERROR(__xludf.DUMMYFUNCTION("""COMPUTED_VALUE"""),"NORMAL")</f>
        <v>NORMAL</v>
      </c>
      <c r="J2778" s="211">
        <f>IFERROR(__xludf.DUMMYFUNCTION("""COMPUTED_VALUE"""),7.0)</f>
        <v>7</v>
      </c>
      <c r="K2778" s="210" t="str">
        <f>IFERROR(__xludf.DUMMYFUNCTION("""COMPUTED_VALUE"""),"1190 11308 1129 1152 11114 11234 11112")</f>
        <v>1190 11308 1129 1152 11114 11234 11112</v>
      </c>
      <c r="L2778" s="211">
        <f>IFERROR(__xludf.DUMMYFUNCTION("""COMPUTED_VALUE"""),60000.0)</f>
        <v>60000</v>
      </c>
      <c r="M2778" s="211"/>
      <c r="N2778" s="211"/>
      <c r="O2778" s="211"/>
      <c r="Q2778" s="210" t="str">
        <f>IFERROR(__xludf.DUMMYFUNCTION("""COMPUTED_VALUE"""),"032672778")</f>
        <v>032672778</v>
      </c>
      <c r="R2778" s="210" t="str">
        <f>IFERROR(__xludf.DUMMYFUNCTION("""COMPUTED_VALUE"""),"032672778")</f>
        <v>032672778</v>
      </c>
      <c r="S2778" s="211" t="str">
        <f>IFERROR(__xludf.DUMMYFUNCTION("""COMPUTED_VALUE"""),"d9b2fac5")</f>
        <v>d9b2fac5</v>
      </c>
      <c r="T2778" s="211" t="str">
        <f>IFERROR(__xludf.DUMMYFUNCTION("""COMPUTED_VALUE"""),"Dwi Riza ( Ponokawan)")</f>
        <v>Dwi Riza ( Ponokawan)</v>
      </c>
      <c r="U2778" s="215">
        <f>IFERROR(__xludf.DUMMYFUNCTION("""COMPUTED_VALUE"""),46088.39173611111)</f>
        <v>46088.39174</v>
      </c>
      <c r="V2778" s="211" t="str">
        <f>IFERROR(__xludf.DUMMYFUNCTION("""COMPUTED_VALUE"""),"Jl. Raya Ponokawan No.28 RT 07 RW 03 Kec. Krian Sidoarjo (Seberang Bengkel An.Nur/ Deretan Baraka Expres)")</f>
        <v>Jl. Raya Ponokawan No.28 RT 07 RW 03 Kec. Krian Sidoarjo (Seberang Bengkel An.Nur/ Deretan Baraka Expres)</v>
      </c>
      <c r="W2778" s="211" t="str">
        <f>IFERROR(__xludf.DUMMYFUNCTION("""COMPUTED_VALUE"""),"OUT")</f>
        <v>OUT</v>
      </c>
      <c r="X2778" s="211"/>
    </row>
    <row r="2779">
      <c r="A2779" s="210" t="str">
        <f>IFERROR(__xludf.DUMMYFUNCTION("""COMPUTED_VALUE"""),"122541948")</f>
        <v>122541948</v>
      </c>
      <c r="B2779" s="210" t="str">
        <f>IFERROR(__xludf.DUMMYFUNCTION("""COMPUTED_VALUE"""),"122541948")</f>
        <v>122541948</v>
      </c>
      <c r="C2779" s="213">
        <f>IFERROR(__xludf.DUMMYFUNCTION("""COMPUTED_VALUE"""),46002.67917824074)</f>
        <v>46002.67918</v>
      </c>
      <c r="D2779" s="211" t="str">
        <f>IFERROR(__xludf.DUMMYFUNCTION("""COMPUTED_VALUE"""),"3b04351a")</f>
        <v>3b04351a</v>
      </c>
      <c r="E2779" s="211" t="str">
        <f>IFERROR(__xludf.DUMMYFUNCTION("""COMPUTED_VALUE"""),"CV Usaha Logam Jaya ( Bpk Putra )")</f>
        <v>CV Usaha Logam Jaya ( Bpk Putra )</v>
      </c>
      <c r="F2779" s="211" t="str">
        <f>IFERROR(__xludf.DUMMYFUNCTION("""COMPUTED_VALUE"""),"7d2764f1")</f>
        <v>7d2764f1</v>
      </c>
      <c r="G2779" s="211" t="str">
        <f>IFERROR(__xludf.DUMMYFUNCTION("""COMPUTED_VALUE"""),"Oksigen 7m3")</f>
        <v>Oksigen 7m3</v>
      </c>
      <c r="H2779" s="211" t="str">
        <f>IFERROR(__xludf.DUMMYFUNCTION("""COMPUTED_VALUE"""),"OUT")</f>
        <v>OUT</v>
      </c>
      <c r="I2779" s="211" t="str">
        <f>IFERROR(__xludf.DUMMYFUNCTION("""COMPUTED_VALUE"""),"NORMAL")</f>
        <v>NORMAL</v>
      </c>
      <c r="J2779" s="211">
        <f>IFERROR(__xludf.DUMMYFUNCTION("""COMPUTED_VALUE"""),13.0)</f>
        <v>13</v>
      </c>
      <c r="K2779" s="210" t="str">
        <f>IFERROR(__xludf.DUMMYFUNCTION("""COMPUTED_VALUE"""),"11151 11167 11303 11220 11168 11148 11269 11141 11306 11219 11147 11217 11150")</f>
        <v>11151 11167 11303 11220 11168 11148 11269 11141 11306 11219 11147 11217 11150</v>
      </c>
      <c r="L2779" s="211">
        <f>IFERROR(__xludf.DUMMYFUNCTION("""COMPUTED_VALUE"""),60000.0)</f>
        <v>60000</v>
      </c>
      <c r="M2779" s="211"/>
      <c r="N2779" s="211"/>
      <c r="O2779" s="211"/>
      <c r="Q2779" s="210" t="str">
        <f>IFERROR(__xludf.DUMMYFUNCTION("""COMPUTED_VALUE"""),"0326262779")</f>
        <v>0326262779</v>
      </c>
      <c r="R2779" s="210" t="str">
        <f>IFERROR(__xludf.DUMMYFUNCTION("""COMPUTED_VALUE"""),"0326262779")</f>
        <v>0326262779</v>
      </c>
      <c r="S2779" s="211" t="str">
        <f>IFERROR(__xludf.DUMMYFUNCTION("""COMPUTED_VALUE"""),"4ec68cf6")</f>
        <v>4ec68cf6</v>
      </c>
      <c r="T2779" s="211" t="str">
        <f>IFERROR(__xludf.DUMMYFUNCTION("""COMPUTED_VALUE"""),"CV Sido Mukti Karya")</f>
        <v>CV Sido Mukti Karya</v>
      </c>
      <c r="U2779" s="215">
        <f>IFERROR(__xludf.DUMMYFUNCTION("""COMPUTED_VALUE"""),46088.392013888886)</f>
        <v>46088.39201</v>
      </c>
      <c r="V2779" s="211" t="str">
        <f>IFERROR(__xludf.DUMMYFUNCTION("""COMPUTED_VALUE"""),"Pergudangan Center Point no A3, Kemangsen")</f>
        <v>Pergudangan Center Point no A3, Kemangsen</v>
      </c>
      <c r="W2779" s="211" t="str">
        <f>IFERROR(__xludf.DUMMYFUNCTION("""COMPUTED_VALUE"""),"OUT")</f>
        <v>OUT</v>
      </c>
      <c r="X2779" s="211"/>
    </row>
    <row r="2780">
      <c r="A2780" s="210" t="str">
        <f>IFERROR(__xludf.DUMMYFUNCTION("""COMPUTED_VALUE"""),"1225311955")</f>
        <v>1225311955</v>
      </c>
      <c r="B2780" s="210" t="str">
        <f>IFERROR(__xludf.DUMMYFUNCTION("""COMPUTED_VALUE"""),"1225311955")</f>
        <v>1225311955</v>
      </c>
      <c r="C2780" s="213">
        <f>IFERROR(__xludf.DUMMYFUNCTION("""COMPUTED_VALUE"""),46002.689409722225)</f>
        <v>46002.68941</v>
      </c>
      <c r="D2780" s="211" t="str">
        <f>IFERROR(__xludf.DUMMYFUNCTION("""COMPUTED_VALUE"""),"ec231cc9")</f>
        <v>ec231cc9</v>
      </c>
      <c r="E2780" s="211" t="str">
        <f>IFERROR(__xludf.DUMMYFUNCTION("""COMPUTED_VALUE"""),"Bpk. Kohir (Maintenance Velg)")</f>
        <v>Bpk. Kohir (Maintenance Velg)</v>
      </c>
      <c r="F2780" s="211" t="str">
        <f>IFERROR(__xludf.DUMMYFUNCTION("""COMPUTED_VALUE"""),"7d2764f1")</f>
        <v>7d2764f1</v>
      </c>
      <c r="G2780" s="211" t="str">
        <f>IFERROR(__xludf.DUMMYFUNCTION("""COMPUTED_VALUE"""),"Oksigen 7m3")</f>
        <v>Oksigen 7m3</v>
      </c>
      <c r="H2780" s="211" t="str">
        <f>IFERROR(__xludf.DUMMYFUNCTION("""COMPUTED_VALUE"""),"OUT")</f>
        <v>OUT</v>
      </c>
      <c r="I2780" s="211" t="str">
        <f>IFERROR(__xludf.DUMMYFUNCTION("""COMPUTED_VALUE"""),"NORMAL")</f>
        <v>NORMAL</v>
      </c>
      <c r="J2780" s="211">
        <f>IFERROR(__xludf.DUMMYFUNCTION("""COMPUTED_VALUE"""),2.0)</f>
        <v>2</v>
      </c>
      <c r="K2780" s="210" t="str">
        <f>IFERROR(__xludf.DUMMYFUNCTION("""COMPUTED_VALUE"""),"11223 11229")</f>
        <v>11223 11229</v>
      </c>
      <c r="L2780" s="211">
        <f>IFERROR(__xludf.DUMMYFUNCTION("""COMPUTED_VALUE"""),55000.0)</f>
        <v>55000</v>
      </c>
      <c r="M2780" s="211"/>
      <c r="N2780" s="211"/>
      <c r="O2780" s="211"/>
      <c r="Q2780" s="210" t="str">
        <f>IFERROR(__xludf.DUMMYFUNCTION("""COMPUTED_VALUE"""),"032622780")</f>
        <v>032622780</v>
      </c>
      <c r="R2780" s="210" t="str">
        <f>IFERROR(__xludf.DUMMYFUNCTION("""COMPUTED_VALUE"""),"032622780")</f>
        <v>032622780</v>
      </c>
      <c r="S2780" s="211" t="str">
        <f>IFERROR(__xludf.DUMMYFUNCTION("""COMPUTED_VALUE"""),"02c693f1")</f>
        <v>02c693f1</v>
      </c>
      <c r="T2780" s="211" t="str">
        <f>IFERROR(__xludf.DUMMYFUNCTION("""COMPUTED_VALUE"""),"Bpk. Rudi Jaya")</f>
        <v>Bpk. Rudi Jaya</v>
      </c>
      <c r="U2780" s="215">
        <f>IFERROR(__xludf.DUMMYFUNCTION("""COMPUTED_VALUE"""),46088.40530092592)</f>
        <v>46088.4053</v>
      </c>
      <c r="V2780" s="211" t="str">
        <f>IFERROR(__xludf.DUMMYFUNCTION("""COMPUTED_VALUE"""),"Ganting Tulangan, Jalan Raya kenongo ( Jual Beli Besi Tua ), Kec. Tulangan Kabupaten Sidoarjo Jawa Timur 61273")</f>
        <v>Ganting Tulangan, Jalan Raya kenongo ( Jual Beli Besi Tua ), Kec. Tulangan Kabupaten Sidoarjo Jawa Timur 61273</v>
      </c>
      <c r="W2780" s="211" t="str">
        <f>IFERROR(__xludf.DUMMYFUNCTION("""COMPUTED_VALUE"""),"OUT")</f>
        <v>OUT</v>
      </c>
      <c r="X2780" s="211"/>
    </row>
    <row r="2781">
      <c r="A2781" s="210" t="str">
        <f>IFERROR(__xludf.DUMMYFUNCTION("""COMPUTED_VALUE"""),"1225311955")</f>
        <v>1225311955</v>
      </c>
      <c r="B2781" s="210" t="str">
        <f>IFERROR(__xludf.DUMMYFUNCTION("""COMPUTED_VALUE"""),"1225311955")</f>
        <v>1225311955</v>
      </c>
      <c r="C2781" s="213">
        <f>IFERROR(__xludf.DUMMYFUNCTION("""COMPUTED_VALUE"""),46002.689409722225)</f>
        <v>46002.68941</v>
      </c>
      <c r="D2781" s="211" t="str">
        <f>IFERROR(__xludf.DUMMYFUNCTION("""COMPUTED_VALUE"""),"ec231cc9")</f>
        <v>ec231cc9</v>
      </c>
      <c r="E2781" s="211" t="str">
        <f>IFERROR(__xludf.DUMMYFUNCTION("""COMPUTED_VALUE"""),"Bpk. Kohir (Maintenance Velg)")</f>
        <v>Bpk. Kohir (Maintenance Velg)</v>
      </c>
      <c r="F2781" s="211" t="str">
        <f>IFERROR(__xludf.DUMMYFUNCTION("""COMPUTED_VALUE"""),"ef306e54")</f>
        <v>ef306e54</v>
      </c>
      <c r="G2781" s="211" t="str">
        <f>IFERROR(__xludf.DUMMYFUNCTION("""COMPUTED_VALUE"""),"Karbondioksida")</f>
        <v>Karbondioksida</v>
      </c>
      <c r="H2781" s="211" t="str">
        <f>IFERROR(__xludf.DUMMYFUNCTION("""COMPUTED_VALUE"""),"OUT")</f>
        <v>OUT</v>
      </c>
      <c r="I2781" s="211" t="str">
        <f>IFERROR(__xludf.DUMMYFUNCTION("""COMPUTED_VALUE"""),"NORMAL")</f>
        <v>NORMAL</v>
      </c>
      <c r="J2781" s="211">
        <f>IFERROR(__xludf.DUMMYFUNCTION("""COMPUTED_VALUE"""),2.0)</f>
        <v>2</v>
      </c>
      <c r="K2781" s="210" t="str">
        <f>IFERROR(__xludf.DUMMYFUNCTION("""COMPUTED_VALUE"""),"13008 13029")</f>
        <v>13008 13029</v>
      </c>
      <c r="L2781" s="211">
        <f>IFERROR(__xludf.DUMMYFUNCTION("""COMPUTED_VALUE"""),175000.0)</f>
        <v>175000</v>
      </c>
      <c r="M2781" s="211"/>
      <c r="N2781" s="211"/>
      <c r="O2781" s="211"/>
      <c r="Q2781" s="210" t="str">
        <f>IFERROR(__xludf.DUMMYFUNCTION("""COMPUTED_VALUE"""),"032652781")</f>
        <v>032652781</v>
      </c>
      <c r="R2781" s="210" t="str">
        <f>IFERROR(__xludf.DUMMYFUNCTION("""COMPUTED_VALUE"""),"032652781")</f>
        <v>032652781</v>
      </c>
      <c r="S2781" s="211" t="str">
        <f>IFERROR(__xludf.DUMMYFUNCTION("""COMPUTED_VALUE"""),"3a48ba8b")</f>
        <v>3a48ba8b</v>
      </c>
      <c r="T2781" s="211" t="str">
        <f>IFERROR(__xludf.DUMMYFUNCTION("""COMPUTED_VALUE"""),"Bpk. Kacung")</f>
        <v>Bpk. Kacung</v>
      </c>
      <c r="U2781" s="215">
        <f>IFERROR(__xludf.DUMMYFUNCTION("""COMPUTED_VALUE"""),46088.42587962963)</f>
        <v>46088.42588</v>
      </c>
      <c r="V2781" s="211" t="str">
        <f>IFERROR(__xludf.DUMMYFUNCTION("""COMPUTED_VALUE"""),"Parengan RT. 17 RW 04 Kraton Krian Sidoarjo")</f>
        <v>Parengan RT. 17 RW 04 Kraton Krian Sidoarjo</v>
      </c>
      <c r="W2781" s="211" t="str">
        <f>IFERROR(__xludf.DUMMYFUNCTION("""COMPUTED_VALUE"""),"OUT")</f>
        <v>OUT</v>
      </c>
      <c r="X2781" s="211"/>
    </row>
    <row r="2782">
      <c r="A2782" s="210" t="str">
        <f>IFERROR(__xludf.DUMMYFUNCTION("""COMPUTED_VALUE"""),"1250941")</f>
        <v>1250941</v>
      </c>
      <c r="B2782" s="210" t="str">
        <f>IFERROR(__xludf.DUMMYFUNCTION("""COMPUTED_VALUE"""),"1250941")</f>
        <v>1250941</v>
      </c>
      <c r="C2782" s="213">
        <f>IFERROR(__xludf.DUMMYFUNCTION("""COMPUTED_VALUE"""),46003.3496875)</f>
        <v>46003.34969</v>
      </c>
      <c r="D2782" s="211" t="str">
        <f>IFERROR(__xludf.DUMMYFUNCTION("""COMPUTED_VALUE"""),"ec231cc9")</f>
        <v>ec231cc9</v>
      </c>
      <c r="E2782" s="211" t="str">
        <f>IFERROR(__xludf.DUMMYFUNCTION("""COMPUTED_VALUE"""),"Bpk. Kohir (Maintenance Velg)")</f>
        <v>Bpk. Kohir (Maintenance Velg)</v>
      </c>
      <c r="F2782" s="211" t="str">
        <f>IFERROR(__xludf.DUMMYFUNCTION("""COMPUTED_VALUE"""),"8bdbe149")</f>
        <v>8bdbe149</v>
      </c>
      <c r="G2782" s="211" t="str">
        <f>IFERROR(__xludf.DUMMYFUNCTION("""COMPUTED_VALUE"""),"Oksigen 6m3")</f>
        <v>Oksigen 6m3</v>
      </c>
      <c r="H2782" s="211" t="str">
        <f>IFERROR(__xludf.DUMMYFUNCTION("""COMPUTED_VALUE"""),"IN")</f>
        <v>IN</v>
      </c>
      <c r="I2782" s="211" t="str">
        <f>IFERROR(__xludf.DUMMYFUNCTION("""COMPUTED_VALUE"""),"EMPTY")</f>
        <v>EMPTY</v>
      </c>
      <c r="J2782" s="211">
        <f>IFERROR(__xludf.DUMMYFUNCTION("""COMPUTED_VALUE"""),1.0)</f>
        <v>1</v>
      </c>
      <c r="K2782" s="210" t="str">
        <f>IFERROR(__xludf.DUMMYFUNCTION("""COMPUTED_VALUE"""),"1166")</f>
        <v>1166</v>
      </c>
      <c r="L2782" s="211">
        <f>IFERROR(__xludf.DUMMYFUNCTION("""COMPUTED_VALUE"""),0.0)</f>
        <v>0</v>
      </c>
      <c r="M2782" s="211"/>
      <c r="N2782" s="211"/>
      <c r="O2782" s="211"/>
      <c r="Q2782" s="210" t="str">
        <f>IFERROR(__xludf.DUMMYFUNCTION("""COMPUTED_VALUE"""),"1261381")</f>
        <v>1261381</v>
      </c>
      <c r="R2782" s="210" t="str">
        <f>IFERROR(__xludf.DUMMYFUNCTION("""COMPUTED_VALUE"""),"1261381")</f>
        <v>1261381</v>
      </c>
      <c r="S2782" s="211" t="str">
        <f>IFERROR(__xludf.DUMMYFUNCTION("""COMPUTED_VALUE"""),"9b941888")</f>
        <v>9b941888</v>
      </c>
      <c r="T2782" s="211" t="str">
        <f>IFERROR(__xludf.DUMMYFUNCTION("""COMPUTED_VALUE"""),"Mas Devi ( Parengan )")</f>
        <v>Mas Devi ( Parengan )</v>
      </c>
      <c r="U2782" s="215">
        <f>IFERROR(__xludf.DUMMYFUNCTION("""COMPUTED_VALUE"""),46088.429502314815)</f>
        <v>46088.4295</v>
      </c>
      <c r="V2782" s="211" t="str">
        <f>IFERROR(__xludf.DUMMYFUNCTION("""COMPUTED_VALUE"""),"Kraton Krian Sidoarjo, ( sebelah tower listrik )")</f>
        <v>Kraton Krian Sidoarjo, ( sebelah tower listrik )</v>
      </c>
      <c r="W2782" s="211" t="str">
        <f>IFERROR(__xludf.DUMMYFUNCTION("""COMPUTED_VALUE"""),"IN")</f>
        <v>IN</v>
      </c>
      <c r="X2782" s="211"/>
    </row>
    <row r="2783">
      <c r="A2783" s="210" t="str">
        <f>IFERROR(__xludf.DUMMYFUNCTION("""COMPUTED_VALUE"""),"1250941")</f>
        <v>1250941</v>
      </c>
      <c r="B2783" s="210" t="str">
        <f>IFERROR(__xludf.DUMMYFUNCTION("""COMPUTED_VALUE"""),"1250941")</f>
        <v>1250941</v>
      </c>
      <c r="C2783" s="213">
        <f>IFERROR(__xludf.DUMMYFUNCTION("""COMPUTED_VALUE"""),46003.3496875)</f>
        <v>46003.34969</v>
      </c>
      <c r="D2783" s="211" t="str">
        <f>IFERROR(__xludf.DUMMYFUNCTION("""COMPUTED_VALUE"""),"ec231cc9")</f>
        <v>ec231cc9</v>
      </c>
      <c r="E2783" s="211" t="str">
        <f>IFERROR(__xludf.DUMMYFUNCTION("""COMPUTED_VALUE"""),"Bpk. Kohir (Maintenance Velg)")</f>
        <v>Bpk. Kohir (Maintenance Velg)</v>
      </c>
      <c r="F2783" s="211" t="str">
        <f>IFERROR(__xludf.DUMMYFUNCTION("""COMPUTED_VALUE"""),"ef306e54")</f>
        <v>ef306e54</v>
      </c>
      <c r="G2783" s="211" t="str">
        <f>IFERROR(__xludf.DUMMYFUNCTION("""COMPUTED_VALUE"""),"Karbondioksida")</f>
        <v>Karbondioksida</v>
      </c>
      <c r="H2783" s="211" t="str">
        <f>IFERROR(__xludf.DUMMYFUNCTION("""COMPUTED_VALUE"""),"IN")</f>
        <v>IN</v>
      </c>
      <c r="I2783" s="211" t="str">
        <f>IFERROR(__xludf.DUMMYFUNCTION("""COMPUTED_VALUE"""),"EMPTY")</f>
        <v>EMPTY</v>
      </c>
      <c r="J2783" s="211">
        <f>IFERROR(__xludf.DUMMYFUNCTION("""COMPUTED_VALUE"""),1.0)</f>
        <v>1</v>
      </c>
      <c r="K2783" s="210" t="str">
        <f>IFERROR(__xludf.DUMMYFUNCTION("""COMPUTED_VALUE"""),"13034")</f>
        <v>13034</v>
      </c>
      <c r="L2783" s="211">
        <f>IFERROR(__xludf.DUMMYFUNCTION("""COMPUTED_VALUE"""),0.0)</f>
        <v>0</v>
      </c>
      <c r="M2783" s="211"/>
      <c r="N2783" s="211"/>
      <c r="O2783" s="211"/>
      <c r="Q2783" s="210" t="str">
        <f>IFERROR(__xludf.DUMMYFUNCTION("""COMPUTED_VALUE"""),"1261366")</f>
        <v>1261366</v>
      </c>
      <c r="R2783" s="210" t="str">
        <f>IFERROR(__xludf.DUMMYFUNCTION("""COMPUTED_VALUE"""),"1261366")</f>
        <v>1261366</v>
      </c>
      <c r="S2783" s="211" t="str">
        <f>IFERROR(__xludf.DUMMYFUNCTION("""COMPUTED_VALUE"""),"4ec68cf6")</f>
        <v>4ec68cf6</v>
      </c>
      <c r="T2783" s="211" t="str">
        <f>IFERROR(__xludf.DUMMYFUNCTION("""COMPUTED_VALUE"""),"CV Sido Mukti Karya")</f>
        <v>CV Sido Mukti Karya</v>
      </c>
      <c r="U2783" s="215">
        <f>IFERROR(__xludf.DUMMYFUNCTION("""COMPUTED_VALUE"""),46088.44525462963)</f>
        <v>46088.44525</v>
      </c>
      <c r="V2783" s="211" t="str">
        <f>IFERROR(__xludf.DUMMYFUNCTION("""COMPUTED_VALUE"""),"Pergudangan Center Point no A3, Kemangsen")</f>
        <v>Pergudangan Center Point no A3, Kemangsen</v>
      </c>
      <c r="W2783" s="211" t="str">
        <f>IFERROR(__xludf.DUMMYFUNCTION("""COMPUTED_VALUE"""),"IN")</f>
        <v>IN</v>
      </c>
      <c r="X2783" s="211"/>
    </row>
    <row r="2784">
      <c r="A2784" s="210" t="str">
        <f>IFERROR(__xludf.DUMMYFUNCTION("""COMPUTED_VALUE"""),"1250933")</f>
        <v>1250933</v>
      </c>
      <c r="B2784" s="210" t="str">
        <f>IFERROR(__xludf.DUMMYFUNCTION("""COMPUTED_VALUE"""),"1250933")</f>
        <v>1250933</v>
      </c>
      <c r="C2784" s="213">
        <f>IFERROR(__xludf.DUMMYFUNCTION("""COMPUTED_VALUE"""),46003.35018518518)</f>
        <v>46003.35019</v>
      </c>
      <c r="D2784" s="211" t="str">
        <f>IFERROR(__xludf.DUMMYFUNCTION("""COMPUTED_VALUE"""),"b218b89b")</f>
        <v>b218b89b</v>
      </c>
      <c r="E2784" s="211" t="str">
        <f>IFERROR(__xludf.DUMMYFUNCTION("""COMPUTED_VALUE"""),"PT Harapan Sentosa")</f>
        <v>PT Harapan Sentosa</v>
      </c>
      <c r="F2784" s="211" t="str">
        <f>IFERROR(__xludf.DUMMYFUNCTION("""COMPUTED_VALUE"""),"ef306e54")</f>
        <v>ef306e54</v>
      </c>
      <c r="G2784" s="211" t="str">
        <f>IFERROR(__xludf.DUMMYFUNCTION("""COMPUTED_VALUE"""),"Karbondioksida")</f>
        <v>Karbondioksida</v>
      </c>
      <c r="H2784" s="211" t="str">
        <f>IFERROR(__xludf.DUMMYFUNCTION("""COMPUTED_VALUE"""),"IN")</f>
        <v>IN</v>
      </c>
      <c r="I2784" s="211" t="str">
        <f>IFERROR(__xludf.DUMMYFUNCTION("""COMPUTED_VALUE"""),"EMPTY")</f>
        <v>EMPTY</v>
      </c>
      <c r="J2784" s="211">
        <f>IFERROR(__xludf.DUMMYFUNCTION("""COMPUTED_VALUE"""),1.0)</f>
        <v>1</v>
      </c>
      <c r="K2784" s="210" t="str">
        <f>IFERROR(__xludf.DUMMYFUNCTION("""COMPUTED_VALUE"""),"13005")</f>
        <v>13005</v>
      </c>
      <c r="L2784" s="211">
        <f>IFERROR(__xludf.DUMMYFUNCTION("""COMPUTED_VALUE"""),0.0)</f>
        <v>0</v>
      </c>
      <c r="M2784" s="211"/>
      <c r="N2784" s="211"/>
      <c r="O2784" s="211"/>
      <c r="Q2784" s="210" t="str">
        <f>IFERROR(__xludf.DUMMYFUNCTION("""COMPUTED_VALUE"""),"1261367")</f>
        <v>1261367</v>
      </c>
      <c r="R2784" s="210" t="str">
        <f>IFERROR(__xludf.DUMMYFUNCTION("""COMPUTED_VALUE"""),"1261367")</f>
        <v>1261367</v>
      </c>
      <c r="S2784" s="211" t="str">
        <f>IFERROR(__xludf.DUMMYFUNCTION("""COMPUTED_VALUE"""),"d9b2fac5")</f>
        <v>d9b2fac5</v>
      </c>
      <c r="T2784" s="211" t="str">
        <f>IFERROR(__xludf.DUMMYFUNCTION("""COMPUTED_VALUE"""),"Dwi Riza ( Ponokawan)")</f>
        <v>Dwi Riza ( Ponokawan)</v>
      </c>
      <c r="U2784" s="215">
        <f>IFERROR(__xludf.DUMMYFUNCTION("""COMPUTED_VALUE"""),46088.44587962963)</f>
        <v>46088.44588</v>
      </c>
      <c r="V2784" s="211" t="str">
        <f>IFERROR(__xludf.DUMMYFUNCTION("""COMPUTED_VALUE"""),"Jl. Raya Ponokawan No.28 RT 07 RW 03 Kec. Krian Sidoarjo (Seberang Bengkel An.Nur/ Deretan Baraka Expres)")</f>
        <v>Jl. Raya Ponokawan No.28 RT 07 RW 03 Kec. Krian Sidoarjo (Seberang Bengkel An.Nur/ Deretan Baraka Expres)</v>
      </c>
      <c r="W2784" s="211" t="str">
        <f>IFERROR(__xludf.DUMMYFUNCTION("""COMPUTED_VALUE"""),"IN")</f>
        <v>IN</v>
      </c>
      <c r="X2784" s="211"/>
    </row>
    <row r="2785">
      <c r="A2785" s="210" t="str">
        <f>IFERROR(__xludf.DUMMYFUNCTION("""COMPUTED_VALUE"""),"1225731956")</f>
        <v>1225731956</v>
      </c>
      <c r="B2785" s="210" t="str">
        <f>IFERROR(__xludf.DUMMYFUNCTION("""COMPUTED_VALUE"""),"1225731956")</f>
        <v>1225731956</v>
      </c>
      <c r="C2785" s="213">
        <f>IFERROR(__xludf.DUMMYFUNCTION("""COMPUTED_VALUE"""),46003.36601851852)</f>
        <v>46003.36602</v>
      </c>
      <c r="D2785" s="211" t="str">
        <f>IFERROR(__xludf.DUMMYFUNCTION("""COMPUTED_VALUE"""),"e86baf3b")</f>
        <v>e86baf3b</v>
      </c>
      <c r="E2785" s="211" t="str">
        <f>IFERROR(__xludf.DUMMYFUNCTION("""COMPUTED_VALUE"""),"PT GEMILANG CIPTA WAWASAN")</f>
        <v>PT GEMILANG CIPTA WAWASAN</v>
      </c>
      <c r="F2785" s="211" t="str">
        <f>IFERROR(__xludf.DUMMYFUNCTION("""COMPUTED_VALUE"""),"66af7c72")</f>
        <v>66af7c72</v>
      </c>
      <c r="G2785" s="211" t="str">
        <f>IFERROR(__xludf.DUMMYFUNCTION("""COMPUTED_VALUE"""),"Argon 6m3")</f>
        <v>Argon 6m3</v>
      </c>
      <c r="H2785" s="211" t="str">
        <f>IFERROR(__xludf.DUMMYFUNCTION("""COMPUTED_VALUE"""),"OUT")</f>
        <v>OUT</v>
      </c>
      <c r="I2785" s="211" t="str">
        <f>IFERROR(__xludf.DUMMYFUNCTION("""COMPUTED_VALUE"""),"NORMAL")</f>
        <v>NORMAL</v>
      </c>
      <c r="J2785" s="211">
        <f>IFERROR(__xludf.DUMMYFUNCTION("""COMPUTED_VALUE"""),15.0)</f>
        <v>15</v>
      </c>
      <c r="K2785" s="210" t="str">
        <f>IFERROR(__xludf.DUMMYFUNCTION("""COMPUTED_VALUE"""),"12084 12041 12064 12006 12057 12014 12065 12013 12038 12032 12015 12046 12026 12020 12066")</f>
        <v>12084 12041 12064 12006 12057 12014 12065 12013 12038 12032 12015 12046 12026 12020 12066</v>
      </c>
      <c r="L2785" s="211">
        <f>IFERROR(__xludf.DUMMYFUNCTION("""COMPUTED_VALUE"""),200000.0)</f>
        <v>200000</v>
      </c>
      <c r="M2785" s="211"/>
      <c r="N2785" s="211"/>
      <c r="O2785" s="211"/>
      <c r="Q2785" s="210" t="str">
        <f>IFERROR(__xludf.DUMMYFUNCTION("""COMPUTED_VALUE"""),"1261372")</f>
        <v>1261372</v>
      </c>
      <c r="R2785" s="210" t="str">
        <f>IFERROR(__xludf.DUMMYFUNCTION("""COMPUTED_VALUE"""),"1261372")</f>
        <v>1261372</v>
      </c>
      <c r="S2785" s="211" t="str">
        <f>IFERROR(__xludf.DUMMYFUNCTION("""COMPUTED_VALUE"""),"b2b5f2c5")</f>
        <v>b2b5f2c5</v>
      </c>
      <c r="T2785" s="211" t="str">
        <f>IFERROR(__xludf.DUMMYFUNCTION("""COMPUTED_VALUE"""),"Bengkel Las Bpk. Ari")</f>
        <v>Bengkel Las Bpk. Ari</v>
      </c>
      <c r="U2785" s="215">
        <f>IFERROR(__xludf.DUMMYFUNCTION("""COMPUTED_VALUE"""),46088.60706018518)</f>
        <v>46088.60706</v>
      </c>
      <c r="V2785" s="211" t="str">
        <f>IFERROR(__xludf.DUMMYFUNCTION("""COMPUTED_VALUE"""),"Sumber Kembar, Wonodadi, Kec. Kutorejo, Kabupaten Mojokerto, Jawa Timur")</f>
        <v>Sumber Kembar, Wonodadi, Kec. Kutorejo, Kabupaten Mojokerto, Jawa Timur</v>
      </c>
      <c r="W2785" s="211" t="str">
        <f>IFERROR(__xludf.DUMMYFUNCTION("""COMPUTED_VALUE"""),"IN")</f>
        <v>IN</v>
      </c>
      <c r="X2785" s="211"/>
    </row>
    <row r="2786">
      <c r="A2786" s="210" t="str">
        <f>IFERROR(__xludf.DUMMYFUNCTION("""COMPUTED_VALUE"""),"1225251959")</f>
        <v>1225251959</v>
      </c>
      <c r="B2786" s="210" t="str">
        <f>IFERROR(__xludf.DUMMYFUNCTION("""COMPUTED_VALUE"""),"1225251959")</f>
        <v>1225251959</v>
      </c>
      <c r="C2786" s="213">
        <f>IFERROR(__xludf.DUMMYFUNCTION("""COMPUTED_VALUE"""),46003.36959490741)</f>
        <v>46003.36959</v>
      </c>
      <c r="D2786" s="211" t="str">
        <f>IFERROR(__xludf.DUMMYFUNCTION("""COMPUTED_VALUE"""),"3bcd7fe6")</f>
        <v>3bcd7fe6</v>
      </c>
      <c r="E2786" s="211" t="str">
        <f>IFERROR(__xludf.DUMMYFUNCTION("""COMPUTED_VALUE"""),"Bpk. Alvin (LB Group)")</f>
        <v>Bpk. Alvin (LB Group)</v>
      </c>
      <c r="F2786" s="211" t="str">
        <f>IFERROR(__xludf.DUMMYFUNCTION("""COMPUTED_VALUE"""),"f6aab7a9")</f>
        <v>f6aab7a9</v>
      </c>
      <c r="G2786" s="211" t="str">
        <f>IFERROR(__xludf.DUMMYFUNCTION("""COMPUTED_VALUE"""),"Oksigen 6m3 MR")</f>
        <v>Oksigen 6m3 MR</v>
      </c>
      <c r="H2786" s="211" t="str">
        <f>IFERROR(__xludf.DUMMYFUNCTION("""COMPUTED_VALUE"""),"OUT")</f>
        <v>OUT</v>
      </c>
      <c r="I2786" s="211" t="str">
        <f>IFERROR(__xludf.DUMMYFUNCTION("""COMPUTED_VALUE"""),"NORMAL")</f>
        <v>NORMAL</v>
      </c>
      <c r="J2786" s="211">
        <f>IFERROR(__xludf.DUMMYFUNCTION("""COMPUTED_VALUE"""),1.0)</f>
        <v>1</v>
      </c>
      <c r="K2786" s="210" t="str">
        <f>IFERROR(__xludf.DUMMYFUNCTION("""COMPUTED_VALUE"""),"01")</f>
        <v>01</v>
      </c>
      <c r="L2786" s="211">
        <f>IFERROR(__xludf.DUMMYFUNCTION("""COMPUTED_VALUE"""),50000.0)</f>
        <v>50000</v>
      </c>
      <c r="M2786" s="211"/>
      <c r="N2786" s="211"/>
      <c r="O2786" s="211"/>
      <c r="Q2786" s="210" t="str">
        <f>IFERROR(__xludf.DUMMYFUNCTION("""COMPUTED_VALUE"""),"1261341")</f>
        <v>1261341</v>
      </c>
      <c r="R2786" s="210" t="str">
        <f>IFERROR(__xludf.DUMMYFUNCTION("""COMPUTED_VALUE"""),"1261341")</f>
        <v>1261341</v>
      </c>
      <c r="S2786" s="211" t="str">
        <f>IFERROR(__xludf.DUMMYFUNCTION("""COMPUTED_VALUE"""),"9828dfc5")</f>
        <v>9828dfc5</v>
      </c>
      <c r="T2786" s="211" t="str">
        <f>IFERROR(__xludf.DUMMYFUNCTION("""COMPUTED_VALUE"""),"Bpk. David")</f>
        <v>Bpk. David</v>
      </c>
      <c r="U2786" s="215">
        <f>IFERROR(__xludf.DUMMYFUNCTION("""COMPUTED_VALUE"""),46088.607453703706)</f>
        <v>46088.60745</v>
      </c>
      <c r="V2786" s="211" t="str">
        <f>IFERROR(__xludf.DUMMYFUNCTION("""COMPUTED_VALUE"""),"GHF3+R34, Jl. Kartini, Ngingas, Ngimbangan, Kec. Mojosari, Kabupaten Mojokerto, Jawa Timur 61382")</f>
        <v>GHF3+R34, Jl. Kartini, Ngingas, Ngimbangan, Kec. Mojosari, Kabupaten Mojokerto, Jawa Timur 61382</v>
      </c>
      <c r="W2786" s="211" t="str">
        <f>IFERROR(__xludf.DUMMYFUNCTION("""COMPUTED_VALUE"""),"IN")</f>
        <v>IN</v>
      </c>
      <c r="X2786" s="211"/>
    </row>
    <row r="2787">
      <c r="A2787" s="210" t="str">
        <f>IFERROR(__xludf.DUMMYFUNCTION("""COMPUTED_VALUE"""),"1250942")</f>
        <v>1250942</v>
      </c>
      <c r="B2787" s="210" t="str">
        <f>IFERROR(__xludf.DUMMYFUNCTION("""COMPUTED_VALUE"""),"1250942")</f>
        <v>1250942</v>
      </c>
      <c r="C2787" s="213">
        <f>IFERROR(__xludf.DUMMYFUNCTION("""COMPUTED_VALUE"""),46003.5030787037)</f>
        <v>46003.50308</v>
      </c>
      <c r="D2787" s="211" t="str">
        <f>IFERROR(__xludf.DUMMYFUNCTION("""COMPUTED_VALUE"""),"eec2e801")</f>
        <v>eec2e801</v>
      </c>
      <c r="E2787" s="211" t="str">
        <f>IFERROR(__xludf.DUMMYFUNCTION("""COMPUTED_VALUE"""),"Mitra Wood Sejahtera")</f>
        <v>Mitra Wood Sejahtera</v>
      </c>
      <c r="F2787" s="211" t="str">
        <f>IFERROR(__xludf.DUMMYFUNCTION("""COMPUTED_VALUE"""),"8bdbe149")</f>
        <v>8bdbe149</v>
      </c>
      <c r="G2787" s="211" t="str">
        <f>IFERROR(__xludf.DUMMYFUNCTION("""COMPUTED_VALUE"""),"Oksigen 6m3")</f>
        <v>Oksigen 6m3</v>
      </c>
      <c r="H2787" s="211" t="str">
        <f>IFERROR(__xludf.DUMMYFUNCTION("""COMPUTED_VALUE"""),"IN")</f>
        <v>IN</v>
      </c>
      <c r="I2787" s="211" t="str">
        <f>IFERROR(__xludf.DUMMYFUNCTION("""COMPUTED_VALUE"""),"EMPTY")</f>
        <v>EMPTY</v>
      </c>
      <c r="J2787" s="211">
        <f>IFERROR(__xludf.DUMMYFUNCTION("""COMPUTED_VALUE"""),1.0)</f>
        <v>1</v>
      </c>
      <c r="K2787" s="210" t="str">
        <f>IFERROR(__xludf.DUMMYFUNCTION("""COMPUTED_VALUE"""),"11200")</f>
        <v>11200</v>
      </c>
      <c r="L2787" s="211">
        <f>IFERROR(__xludf.DUMMYFUNCTION("""COMPUTED_VALUE"""),0.0)</f>
        <v>0</v>
      </c>
      <c r="M2787" s="211"/>
      <c r="N2787" s="211"/>
      <c r="O2787" s="211"/>
      <c r="Q2787" s="210" t="str">
        <f>IFERROR(__xludf.DUMMYFUNCTION("""COMPUTED_VALUE"""),"1261371")</f>
        <v>1261371</v>
      </c>
      <c r="R2787" s="210" t="str">
        <f>IFERROR(__xludf.DUMMYFUNCTION("""COMPUTED_VALUE"""),"1261371")</f>
        <v>1261371</v>
      </c>
      <c r="S2787" s="211" t="str">
        <f>IFERROR(__xludf.DUMMYFUNCTION("""COMPUTED_VALUE"""),"de41c3e8")</f>
        <v>de41c3e8</v>
      </c>
      <c r="T2787" s="211" t="str">
        <f>IFERROR(__xludf.DUMMYFUNCTION("""COMPUTED_VALUE"""),"Bpk. Eko Mianto")</f>
        <v>Bpk. Eko Mianto</v>
      </c>
      <c r="U2787" s="215">
        <f>IFERROR(__xludf.DUMMYFUNCTION("""COMPUTED_VALUE"""),46088.60885416667)</f>
        <v>46088.60885</v>
      </c>
      <c r="V2787" s="211" t="str">
        <f>IFERROR(__xludf.DUMMYFUNCTION("""COMPUTED_VALUE"""),"The Graha Residen, Blok D4 No 33. Tropodo, Kec Krian, Kabupaten Sidaorjo, Jawa Timur 61262")</f>
        <v>The Graha Residen, Blok D4 No 33. Tropodo, Kec Krian, Kabupaten Sidaorjo, Jawa Timur 61262</v>
      </c>
      <c r="W2787" s="211" t="str">
        <f>IFERROR(__xludf.DUMMYFUNCTION("""COMPUTED_VALUE"""),"IN")</f>
        <v>IN</v>
      </c>
      <c r="X2787" s="211"/>
    </row>
    <row r="2788">
      <c r="A2788" s="210" t="str">
        <f>IFERROR(__xludf.DUMMYFUNCTION("""COMPUTED_VALUE"""),"1250942")</f>
        <v>1250942</v>
      </c>
      <c r="B2788" s="210" t="str">
        <f>IFERROR(__xludf.DUMMYFUNCTION("""COMPUTED_VALUE"""),"1250942")</f>
        <v>1250942</v>
      </c>
      <c r="C2788" s="213">
        <f>IFERROR(__xludf.DUMMYFUNCTION("""COMPUTED_VALUE"""),46003.5030787037)</f>
        <v>46003.50308</v>
      </c>
      <c r="D2788" s="211" t="str">
        <f>IFERROR(__xludf.DUMMYFUNCTION("""COMPUTED_VALUE"""),"eec2e801")</f>
        <v>eec2e801</v>
      </c>
      <c r="E2788" s="211" t="str">
        <f>IFERROR(__xludf.DUMMYFUNCTION("""COMPUTED_VALUE"""),"Mitra Wood Sejahtera")</f>
        <v>Mitra Wood Sejahtera</v>
      </c>
      <c r="F2788" s="211" t="str">
        <f>IFERROR(__xludf.DUMMYFUNCTION("""COMPUTED_VALUE"""),"be525f3b")</f>
        <v>be525f3b</v>
      </c>
      <c r="G2788" s="211" t="str">
        <f>IFERROR(__xludf.DUMMYFUNCTION("""COMPUTED_VALUE"""),"LPG 12kg")</f>
        <v>LPG 12kg</v>
      </c>
      <c r="H2788" s="211" t="str">
        <f>IFERROR(__xludf.DUMMYFUNCTION("""COMPUTED_VALUE"""),"IN")</f>
        <v>IN</v>
      </c>
      <c r="I2788" s="211" t="str">
        <f>IFERROR(__xludf.DUMMYFUNCTION("""COMPUTED_VALUE"""),"EMPTY")</f>
        <v>EMPTY</v>
      </c>
      <c r="J2788" s="211">
        <f>IFERROR(__xludf.DUMMYFUNCTION("""COMPUTED_VALUE"""),1.0)</f>
        <v>1</v>
      </c>
      <c r="K2788" s="210" t="str">
        <f>IFERROR(__xludf.DUMMYFUNCTION("""COMPUTED_VALUE"""),"01")</f>
        <v>01</v>
      </c>
      <c r="L2788" s="211">
        <f>IFERROR(__xludf.DUMMYFUNCTION("""COMPUTED_VALUE"""),0.0)</f>
        <v>0</v>
      </c>
      <c r="M2788" s="211"/>
      <c r="N2788" s="211"/>
      <c r="O2788" s="211"/>
      <c r="Q2788" s="210" t="str">
        <f>IFERROR(__xludf.DUMMYFUNCTION("""COMPUTED_VALUE"""),"0326212782")</f>
        <v>0326212782</v>
      </c>
      <c r="R2788" s="210" t="str">
        <f>IFERROR(__xludf.DUMMYFUNCTION("""COMPUTED_VALUE"""),"0326212782")</f>
        <v>0326212782</v>
      </c>
      <c r="S2788" s="211" t="str">
        <f>IFERROR(__xludf.DUMMYFUNCTION("""COMPUTED_VALUE"""),"b218b89b")</f>
        <v>b218b89b</v>
      </c>
      <c r="T2788" s="211" t="str">
        <f>IFERROR(__xludf.DUMMYFUNCTION("""COMPUTED_VALUE"""),"PT Harapan Sentosa")</f>
        <v>PT Harapan Sentosa</v>
      </c>
      <c r="U2788" s="215">
        <f>IFERROR(__xludf.DUMMYFUNCTION("""COMPUTED_VALUE"""),46088.609560185185)</f>
        <v>46088.60956</v>
      </c>
      <c r="V2788" s="211" t="str">
        <f>IFERROR(__xludf.DUMMYFUNCTION("""COMPUTED_VALUE"""),"Seketi, Jl. Purboyo II Selatan, RT.02/RW.02, Seketi, Kec. BalongBendo, Kabupaten Sidoarjo, Jawa Timur 61263")</f>
        <v>Seketi, Jl. Purboyo II Selatan, RT.02/RW.02, Seketi, Kec. BalongBendo, Kabupaten Sidoarjo, Jawa Timur 61263</v>
      </c>
      <c r="W2788" s="211" t="str">
        <f>IFERROR(__xludf.DUMMYFUNCTION("""COMPUTED_VALUE"""),"OUT")</f>
        <v>OUT</v>
      </c>
      <c r="X2788" s="211"/>
    </row>
    <row r="2789">
      <c r="A2789" s="210" t="str">
        <f>IFERROR(__xludf.DUMMYFUNCTION("""COMPUTED_VALUE"""),"1225521960")</f>
        <v>1225521960</v>
      </c>
      <c r="B2789" s="210" t="str">
        <f>IFERROR(__xludf.DUMMYFUNCTION("""COMPUTED_VALUE"""),"1225521960")</f>
        <v>1225521960</v>
      </c>
      <c r="C2789" s="213">
        <f>IFERROR(__xludf.DUMMYFUNCTION("""COMPUTED_VALUE"""),46003.5471875)</f>
        <v>46003.54719</v>
      </c>
      <c r="D2789" s="211" t="str">
        <f>IFERROR(__xludf.DUMMYFUNCTION("""COMPUTED_VALUE"""),"b2b5f2c5")</f>
        <v>b2b5f2c5</v>
      </c>
      <c r="E2789" s="211" t="str">
        <f>IFERROR(__xludf.DUMMYFUNCTION("""COMPUTED_VALUE"""),"Bengkel Las Bpk. Ari")</f>
        <v>Bengkel Las Bpk. Ari</v>
      </c>
      <c r="F2789" s="211" t="str">
        <f>IFERROR(__xludf.DUMMYFUNCTION("""COMPUTED_VALUE"""),"ef306e54")</f>
        <v>ef306e54</v>
      </c>
      <c r="G2789" s="211" t="str">
        <f>IFERROR(__xludf.DUMMYFUNCTION("""COMPUTED_VALUE"""),"Karbondioksida")</f>
        <v>Karbondioksida</v>
      </c>
      <c r="H2789" s="211" t="str">
        <f>IFERROR(__xludf.DUMMYFUNCTION("""COMPUTED_VALUE"""),"OUT")</f>
        <v>OUT</v>
      </c>
      <c r="I2789" s="211" t="str">
        <f>IFERROR(__xludf.DUMMYFUNCTION("""COMPUTED_VALUE"""),"NORMAL")</f>
        <v>NORMAL</v>
      </c>
      <c r="J2789" s="211">
        <f>IFERROR(__xludf.DUMMYFUNCTION("""COMPUTED_VALUE"""),2.0)</f>
        <v>2</v>
      </c>
      <c r="K2789" s="210" t="str">
        <f>IFERROR(__xludf.DUMMYFUNCTION("""COMPUTED_VALUE"""),"13027 13003")</f>
        <v>13027 13003</v>
      </c>
      <c r="L2789" s="211">
        <f>IFERROR(__xludf.DUMMYFUNCTION("""COMPUTED_VALUE"""),180000.0)</f>
        <v>180000</v>
      </c>
      <c r="M2789" s="211"/>
      <c r="N2789" s="211"/>
      <c r="O2789" s="211"/>
      <c r="Q2789" s="210" t="str">
        <f>IFERROR(__xludf.DUMMYFUNCTION("""COMPUTED_VALUE"""),"0326282789")</f>
        <v>0326282789</v>
      </c>
      <c r="R2789" s="210" t="str">
        <f>IFERROR(__xludf.DUMMYFUNCTION("""COMPUTED_VALUE"""),"0326282789")</f>
        <v>0326282789</v>
      </c>
      <c r="S2789" s="211" t="str">
        <f>IFERROR(__xludf.DUMMYFUNCTION("""COMPUTED_VALUE"""),"63fc688a")</f>
        <v>63fc688a</v>
      </c>
      <c r="T2789" s="211" t="str">
        <f>IFERROR(__xludf.DUMMYFUNCTION("""COMPUTED_VALUE"""),"CV Malik Nusantara")</f>
        <v>CV Malik Nusantara</v>
      </c>
      <c r="U2789" s="215">
        <f>IFERROR(__xludf.DUMMYFUNCTION("""COMPUTED_VALUE"""),46088.642280092594)</f>
        <v>46088.64228</v>
      </c>
      <c r="V2789" s="211" t="str">
        <f>IFERROR(__xludf.DUMMYFUNCTION("""COMPUTED_VALUE"""),"Jl. Raya Balongbendo No.12, Suwaluh Utara, Suwaluh, Kec. BalongBendo, Kabupaten Sidoarjo, Jawa Timur 61263")</f>
        <v>Jl. Raya Balongbendo No.12, Suwaluh Utara, Suwaluh, Kec. BalongBendo, Kabupaten Sidoarjo, Jawa Timur 61263</v>
      </c>
      <c r="W2789" s="211" t="str">
        <f>IFERROR(__xludf.DUMMYFUNCTION("""COMPUTED_VALUE"""),"OUT")</f>
        <v>OUT</v>
      </c>
      <c r="X2789" s="211"/>
    </row>
    <row r="2790">
      <c r="A2790" s="210" t="str">
        <f>IFERROR(__xludf.DUMMYFUNCTION("""COMPUTED_VALUE"""),"1225521960")</f>
        <v>1225521960</v>
      </c>
      <c r="B2790" s="210" t="str">
        <f>IFERROR(__xludf.DUMMYFUNCTION("""COMPUTED_VALUE"""),"1225521960")</f>
        <v>1225521960</v>
      </c>
      <c r="C2790" s="213">
        <f>IFERROR(__xludf.DUMMYFUNCTION("""COMPUTED_VALUE"""),46003.5471875)</f>
        <v>46003.54719</v>
      </c>
      <c r="D2790" s="211" t="str">
        <f>IFERROR(__xludf.DUMMYFUNCTION("""COMPUTED_VALUE"""),"b2b5f2c5")</f>
        <v>b2b5f2c5</v>
      </c>
      <c r="E2790" s="211" t="str">
        <f>IFERROR(__xludf.DUMMYFUNCTION("""COMPUTED_VALUE"""),"Bengkel Las Bpk. Ari")</f>
        <v>Bengkel Las Bpk. Ari</v>
      </c>
      <c r="F2790" s="211" t="str">
        <f>IFERROR(__xludf.DUMMYFUNCTION("""COMPUTED_VALUE"""),"8bdbe149")</f>
        <v>8bdbe149</v>
      </c>
      <c r="G2790" s="211" t="str">
        <f>IFERROR(__xludf.DUMMYFUNCTION("""COMPUTED_VALUE"""),"Oksigen 6m3")</f>
        <v>Oksigen 6m3</v>
      </c>
      <c r="H2790" s="211" t="str">
        <f>IFERROR(__xludf.DUMMYFUNCTION("""COMPUTED_VALUE"""),"OUT")</f>
        <v>OUT</v>
      </c>
      <c r="I2790" s="211" t="str">
        <f>IFERROR(__xludf.DUMMYFUNCTION("""COMPUTED_VALUE"""),"NORMAL")</f>
        <v>NORMAL</v>
      </c>
      <c r="J2790" s="211">
        <f>IFERROR(__xludf.DUMMYFUNCTION("""COMPUTED_VALUE"""),6.0)</f>
        <v>6</v>
      </c>
      <c r="K2790" s="210" t="str">
        <f>IFERROR(__xludf.DUMMYFUNCTION("""COMPUTED_VALUE"""),"11266 1104 11275 1187 11236 1162")</f>
        <v>11266 1104 11275 1187 11236 1162</v>
      </c>
      <c r="L2790" s="211">
        <f>IFERROR(__xludf.DUMMYFUNCTION("""COMPUTED_VALUE"""),60000.0)</f>
        <v>60000</v>
      </c>
      <c r="M2790" s="211"/>
      <c r="N2790" s="211"/>
      <c r="O2790" s="211"/>
      <c r="Q2790" s="210" t="str">
        <f>IFERROR(__xludf.DUMMYFUNCTION("""COMPUTED_VALUE"""),"1261370")</f>
        <v>1261370</v>
      </c>
      <c r="R2790" s="210" t="str">
        <f>IFERROR(__xludf.DUMMYFUNCTION("""COMPUTED_VALUE"""),"1261370")</f>
        <v>1261370</v>
      </c>
      <c r="S2790" s="211" t="str">
        <f>IFERROR(__xludf.DUMMYFUNCTION("""COMPUTED_VALUE"""),"63fc688a")</f>
        <v>63fc688a</v>
      </c>
      <c r="T2790" s="211" t="str">
        <f>IFERROR(__xludf.DUMMYFUNCTION("""COMPUTED_VALUE"""),"CV Malik Nusantara")</f>
        <v>CV Malik Nusantara</v>
      </c>
      <c r="U2790" s="215">
        <f>IFERROR(__xludf.DUMMYFUNCTION("""COMPUTED_VALUE"""),46088.638391203705)</f>
        <v>46088.63839</v>
      </c>
      <c r="V2790" s="211" t="str">
        <f>IFERROR(__xludf.DUMMYFUNCTION("""COMPUTED_VALUE"""),"Jl. Raya Balongbendo No.12, Suwaluh Utara, Suwaluh, Kec. BalongBendo, Kabupaten Sidoarjo, Jawa Timur 61263")</f>
        <v>Jl. Raya Balongbendo No.12, Suwaluh Utara, Suwaluh, Kec. BalongBendo, Kabupaten Sidoarjo, Jawa Timur 61263</v>
      </c>
      <c r="W2790" s="211" t="str">
        <f>IFERROR(__xludf.DUMMYFUNCTION("""COMPUTED_VALUE"""),"IN")</f>
        <v>IN</v>
      </c>
      <c r="X2790" s="211"/>
    </row>
    <row r="2791">
      <c r="A2791" s="210" t="str">
        <f>IFERROR(__xludf.DUMMYFUNCTION("""COMPUTED_VALUE"""),"1250934")</f>
        <v>1250934</v>
      </c>
      <c r="B2791" s="210" t="str">
        <f>IFERROR(__xludf.DUMMYFUNCTION("""COMPUTED_VALUE"""),"1250934")</f>
        <v>1250934</v>
      </c>
      <c r="C2791" s="213">
        <f>IFERROR(__xludf.DUMMYFUNCTION("""COMPUTED_VALUE"""),46003.55142361111)</f>
        <v>46003.55142</v>
      </c>
      <c r="D2791" s="211" t="str">
        <f>IFERROR(__xludf.DUMMYFUNCTION("""COMPUTED_VALUE"""),"3b04351a")</f>
        <v>3b04351a</v>
      </c>
      <c r="E2791" s="211" t="str">
        <f>IFERROR(__xludf.DUMMYFUNCTION("""COMPUTED_VALUE"""),"CV Usaha Logam Jaya ( Bpk Putra )")</f>
        <v>CV Usaha Logam Jaya ( Bpk Putra )</v>
      </c>
      <c r="F2791" s="211" t="str">
        <f>IFERROR(__xludf.DUMMYFUNCTION("""COMPUTED_VALUE"""),"8bdbe149")</f>
        <v>8bdbe149</v>
      </c>
      <c r="G2791" s="211" t="str">
        <f>IFERROR(__xludf.DUMMYFUNCTION("""COMPUTED_VALUE"""),"Oksigen 6m3")</f>
        <v>Oksigen 6m3</v>
      </c>
      <c r="H2791" s="211" t="str">
        <f>IFERROR(__xludf.DUMMYFUNCTION("""COMPUTED_VALUE"""),"IN")</f>
        <v>IN</v>
      </c>
      <c r="I2791" s="211" t="str">
        <f>IFERROR(__xludf.DUMMYFUNCTION("""COMPUTED_VALUE"""),"EMPTY")</f>
        <v>EMPTY</v>
      </c>
      <c r="J2791" s="211">
        <f>IFERROR(__xludf.DUMMYFUNCTION("""COMPUTED_VALUE"""),20.0)</f>
        <v>20</v>
      </c>
      <c r="K2791" s="210" t="str">
        <f>IFERROR(__xludf.DUMMYFUNCTION("""COMPUTED_VALUE"""),"11266 1104 11275 1187 11236 1162 1141 11237 1130 11133 11181 11255 11257 1158 11251 11183 1116 11229 11106 11273")</f>
        <v>11266 1104 11275 1187 11236 1162 1141 11237 1130 11133 11181 11255 11257 1158 11251 11183 1116 11229 11106 11273</v>
      </c>
      <c r="L2791" s="211">
        <f>IFERROR(__xludf.DUMMYFUNCTION("""COMPUTED_VALUE"""),0.0)</f>
        <v>0</v>
      </c>
      <c r="M2791" s="211"/>
      <c r="N2791" s="211"/>
      <c r="O2791" s="211"/>
      <c r="Q2791" s="210" t="str">
        <f>IFERROR(__xludf.DUMMYFUNCTION("""COMPUTED_VALUE"""),"1261369")</f>
        <v>1261369</v>
      </c>
      <c r="R2791" s="210" t="str">
        <f>IFERROR(__xludf.DUMMYFUNCTION("""COMPUTED_VALUE"""),"1261369")</f>
        <v>1261369</v>
      </c>
      <c r="S2791" s="211" t="str">
        <f>IFERROR(__xludf.DUMMYFUNCTION("""COMPUTED_VALUE"""),"02c693f1")</f>
        <v>02c693f1</v>
      </c>
      <c r="T2791" s="211" t="str">
        <f>IFERROR(__xludf.DUMMYFUNCTION("""COMPUTED_VALUE"""),"Bpk. Rudi Jaya")</f>
        <v>Bpk. Rudi Jaya</v>
      </c>
      <c r="U2791" s="215">
        <f>IFERROR(__xludf.DUMMYFUNCTION("""COMPUTED_VALUE"""),46088.63960648148)</f>
        <v>46088.63961</v>
      </c>
      <c r="V2791" s="211" t="str">
        <f>IFERROR(__xludf.DUMMYFUNCTION("""COMPUTED_VALUE"""),"Ganting Tulangan, Jalan Raya kenongo ( Jual Beli Besi Tua ), Kec. Tulangan Kabupaten Sidoarjo Jawa Timur 61273")</f>
        <v>Ganting Tulangan, Jalan Raya kenongo ( Jual Beli Besi Tua ), Kec. Tulangan Kabupaten Sidoarjo Jawa Timur 61273</v>
      </c>
      <c r="W2791" s="211" t="str">
        <f>IFERROR(__xludf.DUMMYFUNCTION("""COMPUTED_VALUE"""),"IN")</f>
        <v>IN</v>
      </c>
      <c r="X2791" s="211"/>
    </row>
    <row r="2792">
      <c r="A2792" s="210" t="str">
        <f>IFERROR(__xludf.DUMMYFUNCTION("""COMPUTED_VALUE"""),"1250934")</f>
        <v>1250934</v>
      </c>
      <c r="B2792" s="210" t="str">
        <f>IFERROR(__xludf.DUMMYFUNCTION("""COMPUTED_VALUE"""),"1250934")</f>
        <v>1250934</v>
      </c>
      <c r="C2792" s="213">
        <f>IFERROR(__xludf.DUMMYFUNCTION("""COMPUTED_VALUE"""),46003.55142361111)</f>
        <v>46003.55142</v>
      </c>
      <c r="D2792" s="211" t="str">
        <f>IFERROR(__xludf.DUMMYFUNCTION("""COMPUTED_VALUE"""),"3b04351a")</f>
        <v>3b04351a</v>
      </c>
      <c r="E2792" s="211" t="str">
        <f>IFERROR(__xludf.DUMMYFUNCTION("""COMPUTED_VALUE"""),"CV Usaha Logam Jaya ( Bpk Putra )")</f>
        <v>CV Usaha Logam Jaya ( Bpk Putra )</v>
      </c>
      <c r="F2792" s="211" t="str">
        <f>IFERROR(__xludf.DUMMYFUNCTION("""COMPUTED_VALUE"""),"be525f3b")</f>
        <v>be525f3b</v>
      </c>
      <c r="G2792" s="211" t="str">
        <f>IFERROR(__xludf.DUMMYFUNCTION("""COMPUTED_VALUE"""),"LPG 12kg")</f>
        <v>LPG 12kg</v>
      </c>
      <c r="H2792" s="211" t="str">
        <f>IFERROR(__xludf.DUMMYFUNCTION("""COMPUTED_VALUE"""),"IN")</f>
        <v>IN</v>
      </c>
      <c r="I2792" s="211" t="str">
        <f>IFERROR(__xludf.DUMMYFUNCTION("""COMPUTED_VALUE"""),"EMPTY")</f>
        <v>EMPTY</v>
      </c>
      <c r="J2792" s="211">
        <f>IFERROR(__xludf.DUMMYFUNCTION("""COMPUTED_VALUE"""),2.0)</f>
        <v>2</v>
      </c>
      <c r="K2792" s="210" t="str">
        <f>IFERROR(__xludf.DUMMYFUNCTION("""COMPUTED_VALUE"""),"01 02")</f>
        <v>01 02</v>
      </c>
      <c r="L2792" s="211">
        <f>IFERROR(__xludf.DUMMYFUNCTION("""COMPUTED_VALUE"""),0.0)</f>
        <v>0</v>
      </c>
      <c r="M2792" s="211"/>
      <c r="N2792" s="211"/>
      <c r="O2792" s="211"/>
      <c r="Q2792" s="210" t="str">
        <f>IFERROR(__xludf.DUMMYFUNCTION("""COMPUTED_VALUE"""),"1261368")</f>
        <v>1261368</v>
      </c>
      <c r="R2792" s="210" t="str">
        <f>IFERROR(__xludf.DUMMYFUNCTION("""COMPUTED_VALUE"""),"1261368")</f>
        <v>1261368</v>
      </c>
      <c r="S2792" s="211" t="str">
        <f>IFERROR(__xludf.DUMMYFUNCTION("""COMPUTED_VALUE"""),"3a48ba8b")</f>
        <v>3a48ba8b</v>
      </c>
      <c r="T2792" s="211" t="str">
        <f>IFERROR(__xludf.DUMMYFUNCTION("""COMPUTED_VALUE"""),"Bpk. Kacung")</f>
        <v>Bpk. Kacung</v>
      </c>
      <c r="U2792" s="215">
        <f>IFERROR(__xludf.DUMMYFUNCTION("""COMPUTED_VALUE"""),46088.640081018515)</f>
        <v>46088.64008</v>
      </c>
      <c r="V2792" s="211" t="str">
        <f>IFERROR(__xludf.DUMMYFUNCTION("""COMPUTED_VALUE"""),"Parengan RT. 17 RW 04 Kraton Krian Sidoarjo")</f>
        <v>Parengan RT. 17 RW 04 Kraton Krian Sidoarjo</v>
      </c>
      <c r="W2792" s="211" t="str">
        <f>IFERROR(__xludf.DUMMYFUNCTION("""COMPUTED_VALUE"""),"IN")</f>
        <v>IN</v>
      </c>
      <c r="X2792" s="211"/>
    </row>
    <row r="2793">
      <c r="A2793" s="210" t="str">
        <f>IFERROR(__xludf.DUMMYFUNCTION("""COMPUTED_VALUE"""),"122541947")</f>
        <v>122541947</v>
      </c>
      <c r="B2793" s="210" t="str">
        <f>IFERROR(__xludf.DUMMYFUNCTION("""COMPUTED_VALUE"""),"122541947")</f>
        <v>122541947</v>
      </c>
      <c r="C2793" s="213">
        <f>IFERROR(__xludf.DUMMYFUNCTION("""COMPUTED_VALUE"""),46003.66237268518)</f>
        <v>46003.66237</v>
      </c>
      <c r="D2793" s="211" t="str">
        <f>IFERROR(__xludf.DUMMYFUNCTION("""COMPUTED_VALUE"""),"3b04351a")</f>
        <v>3b04351a</v>
      </c>
      <c r="E2793" s="211" t="str">
        <f>IFERROR(__xludf.DUMMYFUNCTION("""COMPUTED_VALUE"""),"CV Usaha Logam Jaya ( Bpk Putra )")</f>
        <v>CV Usaha Logam Jaya ( Bpk Putra )</v>
      </c>
      <c r="F2793" s="211" t="str">
        <f>IFERROR(__xludf.DUMMYFUNCTION("""COMPUTED_VALUE"""),"8bdbe149")</f>
        <v>8bdbe149</v>
      </c>
      <c r="G2793" s="211" t="str">
        <f>IFERROR(__xludf.DUMMYFUNCTION("""COMPUTED_VALUE"""),"Oksigen 6m3")</f>
        <v>Oksigen 6m3</v>
      </c>
      <c r="H2793" s="211" t="str">
        <f>IFERROR(__xludf.DUMMYFUNCTION("""COMPUTED_VALUE"""),"OUT")</f>
        <v>OUT</v>
      </c>
      <c r="I2793" s="211" t="str">
        <f>IFERROR(__xludf.DUMMYFUNCTION("""COMPUTED_VALUE"""),"NORMAL")</f>
        <v>NORMAL</v>
      </c>
      <c r="J2793" s="211">
        <f>IFERROR(__xludf.DUMMYFUNCTION("""COMPUTED_VALUE"""),10.0)</f>
        <v>10</v>
      </c>
      <c r="K2793" s="210" t="str">
        <f>IFERROR(__xludf.DUMMYFUNCTION("""COMPUTED_VALUE"""),"11257 1141 11273 11229 11181 1158 11133 11237 1166 11106")</f>
        <v>11257 1141 11273 11229 11181 1158 11133 11237 1166 11106</v>
      </c>
      <c r="L2793" s="211">
        <f>IFERROR(__xludf.DUMMYFUNCTION("""COMPUTED_VALUE"""),60000.0)</f>
        <v>60000</v>
      </c>
      <c r="M2793" s="211"/>
      <c r="N2793" s="211"/>
      <c r="O2793" s="211"/>
      <c r="Q2793" s="210" t="str">
        <f>IFERROR(__xludf.DUMMYFUNCTION("""COMPUTED_VALUE"""),"032612790")</f>
        <v>032612790</v>
      </c>
      <c r="R2793" s="210" t="str">
        <f>IFERROR(__xludf.DUMMYFUNCTION("""COMPUTED_VALUE"""),"032612790")</f>
        <v>032612790</v>
      </c>
      <c r="S2793" s="211" t="str">
        <f>IFERROR(__xludf.DUMMYFUNCTION("""COMPUTED_VALUE"""),"96254089")</f>
        <v>96254089</v>
      </c>
      <c r="T2793" s="211" t="str">
        <f>IFERROR(__xludf.DUMMYFUNCTION("""COMPUTED_VALUE"""),"Soni Baja")</f>
        <v>Soni Baja</v>
      </c>
      <c r="U2793" s="215">
        <f>IFERROR(__xludf.DUMMYFUNCTION("""COMPUTED_VALUE"""),46088.64165509259)</f>
        <v>46088.64166</v>
      </c>
      <c r="V2793" s="211" t="str">
        <f>IFERROR(__xludf.DUMMYFUNCTION("""COMPUTED_VALUE"""),"Jalan Raya Kemangsen Balongbendo Jawa Timur")</f>
        <v>Jalan Raya Kemangsen Balongbendo Jawa Timur</v>
      </c>
      <c r="W2793" s="211" t="str">
        <f>IFERROR(__xludf.DUMMYFUNCTION("""COMPUTED_VALUE"""),"OUT")</f>
        <v>OUT</v>
      </c>
      <c r="X2793" s="211"/>
    </row>
    <row r="2794">
      <c r="A2794" s="210" t="str">
        <f>IFERROR(__xludf.DUMMYFUNCTION("""COMPUTED_VALUE"""),"1225131948")</f>
        <v>1225131948</v>
      </c>
      <c r="B2794" s="210" t="str">
        <f>IFERROR(__xludf.DUMMYFUNCTION("""COMPUTED_VALUE"""),"1225131948")</f>
        <v>1225131948</v>
      </c>
      <c r="C2794" s="213">
        <f>IFERROR(__xludf.DUMMYFUNCTION("""COMPUTED_VALUE"""),46003.66371527778)</f>
        <v>46003.66372</v>
      </c>
      <c r="D2794" s="211" t="str">
        <f>IFERROR(__xludf.DUMMYFUNCTION("""COMPUTED_VALUE"""),"8ea74d81")</f>
        <v>8ea74d81</v>
      </c>
      <c r="E2794" s="211" t="str">
        <f>IFERROR(__xludf.DUMMYFUNCTION("""COMPUTED_VALUE"""),"Bengkel Adi Putra")</f>
        <v>Bengkel Adi Putra</v>
      </c>
      <c r="F2794" s="211" t="str">
        <f>IFERROR(__xludf.DUMMYFUNCTION("""COMPUTED_VALUE"""),"3b9d6a30")</f>
        <v>3b9d6a30</v>
      </c>
      <c r="G2794" s="211" t="str">
        <f>IFERROR(__xludf.DUMMYFUNCTION("""COMPUTED_VALUE"""),"Acetyline")</f>
        <v>Acetyline</v>
      </c>
      <c r="H2794" s="211" t="str">
        <f>IFERROR(__xludf.DUMMYFUNCTION("""COMPUTED_VALUE"""),"OUT")</f>
        <v>OUT</v>
      </c>
      <c r="I2794" s="211" t="str">
        <f>IFERROR(__xludf.DUMMYFUNCTION("""COMPUTED_VALUE"""),"NORMAL")</f>
        <v>NORMAL</v>
      </c>
      <c r="J2794" s="211">
        <f>IFERROR(__xludf.DUMMYFUNCTION("""COMPUTED_VALUE"""),1.0)</f>
        <v>1</v>
      </c>
      <c r="K2794" s="210" t="str">
        <f>IFERROR(__xludf.DUMMYFUNCTION("""COMPUTED_VALUE"""),"7956")</f>
        <v>7956</v>
      </c>
      <c r="L2794" s="211">
        <f>IFERROR(__xludf.DUMMYFUNCTION("""COMPUTED_VALUE"""),450000.0)</f>
        <v>450000</v>
      </c>
      <c r="M2794" s="211"/>
      <c r="N2794" s="211"/>
      <c r="O2794" s="211"/>
      <c r="Q2794" s="210" t="str">
        <f>IFERROR(__xludf.DUMMYFUNCTION("""COMPUTED_VALUE"""),"1261373")</f>
        <v>1261373</v>
      </c>
      <c r="R2794" s="210" t="str">
        <f>IFERROR(__xludf.DUMMYFUNCTION("""COMPUTED_VALUE"""),"1261373")</f>
        <v>1261373</v>
      </c>
      <c r="S2794" s="211" t="str">
        <f>IFERROR(__xludf.DUMMYFUNCTION("""COMPUTED_VALUE"""),"b218b89b")</f>
        <v>b218b89b</v>
      </c>
      <c r="T2794" s="211" t="str">
        <f>IFERROR(__xludf.DUMMYFUNCTION("""COMPUTED_VALUE"""),"PT Harapan Sentosa")</f>
        <v>PT Harapan Sentosa</v>
      </c>
      <c r="U2794" s="215">
        <f>IFERROR(__xludf.DUMMYFUNCTION("""COMPUTED_VALUE"""),46088.66840277778)</f>
        <v>46088.6684</v>
      </c>
      <c r="V2794" s="211" t="str">
        <f>IFERROR(__xludf.DUMMYFUNCTION("""COMPUTED_VALUE"""),"Seketi, Jl. Purboyo II Selatan, RT.02/RW.02, Seketi, Kec. BalongBendo, Kabupaten Sidoarjo, Jawa Timur 61263")</f>
        <v>Seketi, Jl. Purboyo II Selatan, RT.02/RW.02, Seketi, Kec. BalongBendo, Kabupaten Sidoarjo, Jawa Timur 61263</v>
      </c>
      <c r="W2794" s="211" t="str">
        <f>IFERROR(__xludf.DUMMYFUNCTION("""COMPUTED_VALUE"""),"IN")</f>
        <v>IN</v>
      </c>
      <c r="X2794" s="211"/>
    </row>
    <row r="2795">
      <c r="A2795" s="211"/>
      <c r="B2795" s="211"/>
      <c r="C2795" s="211"/>
      <c r="D2795" s="211"/>
      <c r="E2795" s="211"/>
      <c r="F2795" s="211"/>
      <c r="G2795" s="211"/>
      <c r="H2795" s="211"/>
      <c r="I2795" s="211"/>
      <c r="J2795" s="211"/>
      <c r="K2795" s="211"/>
      <c r="L2795" s="211"/>
      <c r="M2795" s="211"/>
      <c r="N2795" s="211"/>
      <c r="O2795" s="211"/>
      <c r="Q2795" s="210" t="str">
        <f>IFERROR(__xludf.DUMMYFUNCTION("""COMPUTED_VALUE"""),"0326132794")</f>
        <v>0326132794</v>
      </c>
      <c r="R2795" s="210" t="str">
        <f>IFERROR(__xludf.DUMMYFUNCTION("""COMPUTED_VALUE"""),"0326132794")</f>
        <v>0326132794</v>
      </c>
      <c r="S2795" s="211" t="str">
        <f>IFERROR(__xludf.DUMMYFUNCTION("""COMPUTED_VALUE"""),"dcdf8b31")</f>
        <v>dcdf8b31</v>
      </c>
      <c r="T2795" s="211" t="str">
        <f>IFERROR(__xludf.DUMMYFUNCTION("""COMPUTED_VALUE"""),"Bpk. Samsul (Jetis)")</f>
        <v>Bpk. Samsul (Jetis)</v>
      </c>
      <c r="U2795" s="215">
        <f>IFERROR(__xludf.DUMMYFUNCTION("""COMPUTED_VALUE"""),46090.36945601852)</f>
        <v>46090.36946</v>
      </c>
      <c r="V2795" s="211" t="str">
        <f>IFERROR(__xludf.DUMMYFUNCTION("""COMPUTED_VALUE"""),"HFWF+9FG, Sido Wangi, Paringan, Kec. Jetis, Kabupaten Mojokerto, Jawa Timur")</f>
        <v>HFWF+9FG, Sido Wangi, Paringan, Kec. Jetis, Kabupaten Mojokerto, Jawa Timur</v>
      </c>
      <c r="W2795" s="211" t="str">
        <f>IFERROR(__xludf.DUMMYFUNCTION("""COMPUTED_VALUE"""),"OUT")</f>
        <v>OUT</v>
      </c>
      <c r="X2795" s="211"/>
    </row>
    <row r="2796">
      <c r="A2796" s="210" t="str">
        <f>IFERROR(__xludf.DUMMYFUNCTION("""COMPUTED_VALUE"""),"122531966")</f>
        <v>122531966</v>
      </c>
      <c r="B2796" s="210" t="str">
        <f>IFERROR(__xludf.DUMMYFUNCTION("""COMPUTED_VALUE"""),"122531966")</f>
        <v>122531966</v>
      </c>
      <c r="C2796" s="213">
        <f>IFERROR(__xludf.DUMMYFUNCTION("""COMPUTED_VALUE"""),46004.35697916667)</f>
        <v>46004.35698</v>
      </c>
      <c r="D2796" s="211" t="str">
        <f>IFERROR(__xludf.DUMMYFUNCTION("""COMPUTED_VALUE"""),"f49860e4")</f>
        <v>f49860e4</v>
      </c>
      <c r="E2796" s="211" t="str">
        <f>IFERROR(__xludf.DUMMYFUNCTION("""COMPUTED_VALUE"""),"Mas Nur ( Jetis )")</f>
        <v>Mas Nur ( Jetis )</v>
      </c>
      <c r="F2796" s="211" t="str">
        <f>IFERROR(__xludf.DUMMYFUNCTION("""COMPUTED_VALUE"""),"8bdbe149")</f>
        <v>8bdbe149</v>
      </c>
      <c r="G2796" s="211" t="str">
        <f>IFERROR(__xludf.DUMMYFUNCTION("""COMPUTED_VALUE"""),"Oksigen 6m3")</f>
        <v>Oksigen 6m3</v>
      </c>
      <c r="H2796" s="211" t="str">
        <f>IFERROR(__xludf.DUMMYFUNCTION("""COMPUTED_VALUE"""),"OUT")</f>
        <v>OUT</v>
      </c>
      <c r="I2796" s="211" t="str">
        <f>IFERROR(__xludf.DUMMYFUNCTION("""COMPUTED_VALUE"""),"NORMAL")</f>
        <v>NORMAL</v>
      </c>
      <c r="J2796" s="211">
        <f>IFERROR(__xludf.DUMMYFUNCTION("""COMPUTED_VALUE"""),2.0)</f>
        <v>2</v>
      </c>
      <c r="K2796" s="210" t="str">
        <f>IFERROR(__xludf.DUMMYFUNCTION("""COMPUTED_VALUE"""),"11183 11255")</f>
        <v>11183 11255</v>
      </c>
      <c r="L2796" s="211">
        <f>IFERROR(__xludf.DUMMYFUNCTION("""COMPUTED_VALUE"""),60000.0)</f>
        <v>60000</v>
      </c>
      <c r="M2796" s="211"/>
      <c r="N2796" s="211"/>
      <c r="O2796" s="211"/>
      <c r="Q2796" s="210" t="str">
        <f>IFERROR(__xludf.DUMMYFUNCTION("""COMPUTED_VALUE"""),"0326132796")</f>
        <v>0326132796</v>
      </c>
      <c r="R2796" s="210" t="str">
        <f>IFERROR(__xludf.DUMMYFUNCTION("""COMPUTED_VALUE"""),"0326132796")</f>
        <v>0326132796</v>
      </c>
      <c r="S2796" s="211" t="str">
        <f>IFERROR(__xludf.DUMMYFUNCTION("""COMPUTED_VALUE"""),"3b04351a")</f>
        <v>3b04351a</v>
      </c>
      <c r="T2796" s="211" t="str">
        <f>IFERROR(__xludf.DUMMYFUNCTION("""COMPUTED_VALUE"""),"CV Usaha Logam Jaya")</f>
        <v>CV Usaha Logam Jaya</v>
      </c>
      <c r="U2796" s="215">
        <f>IFERROR(__xludf.DUMMYFUNCTION("""COMPUTED_VALUE"""),46090.36987268519)</f>
        <v>46090.36987</v>
      </c>
      <c r="V2796" s="211" t="str">
        <f>IFERROR(__xludf.DUMMYFUNCTION("""COMPUTED_VALUE"""),"Jl. Jetis Karya, Wonorejo, Jetis, Kec. Jetis, Kabupaten Mojokerto, Jawa Timur 61352")</f>
        <v>Jl. Jetis Karya, Wonorejo, Jetis, Kec. Jetis, Kabupaten Mojokerto, Jawa Timur 61352</v>
      </c>
      <c r="W2796" s="211" t="str">
        <f>IFERROR(__xludf.DUMMYFUNCTION("""COMPUTED_VALUE"""),"OUT")</f>
        <v>OUT</v>
      </c>
      <c r="X2796" s="211"/>
    </row>
    <row r="2797">
      <c r="A2797" s="210" t="str">
        <f>IFERROR(__xludf.DUMMYFUNCTION("""COMPUTED_VALUE"""),"1250943")</f>
        <v>1250943</v>
      </c>
      <c r="B2797" s="210" t="str">
        <f>IFERROR(__xludf.DUMMYFUNCTION("""COMPUTED_VALUE"""),"1250943")</f>
        <v>1250943</v>
      </c>
      <c r="C2797" s="213">
        <f>IFERROR(__xludf.DUMMYFUNCTION("""COMPUTED_VALUE"""),46004.365266203706)</f>
        <v>46004.36527</v>
      </c>
      <c r="D2797" s="211" t="str">
        <f>IFERROR(__xludf.DUMMYFUNCTION("""COMPUTED_VALUE"""),"b2b5f2c5")</f>
        <v>b2b5f2c5</v>
      </c>
      <c r="E2797" s="211" t="str">
        <f>IFERROR(__xludf.DUMMYFUNCTION("""COMPUTED_VALUE"""),"Bengkel Las Bpk. Ari")</f>
        <v>Bengkel Las Bpk. Ari</v>
      </c>
      <c r="F2797" s="211" t="str">
        <f>IFERROR(__xludf.DUMMYFUNCTION("""COMPUTED_VALUE"""),"ef306e54")</f>
        <v>ef306e54</v>
      </c>
      <c r="G2797" s="211" t="str">
        <f>IFERROR(__xludf.DUMMYFUNCTION("""COMPUTED_VALUE"""),"Karbondioksida")</f>
        <v>Karbondioksida</v>
      </c>
      <c r="H2797" s="211" t="str">
        <f>IFERROR(__xludf.DUMMYFUNCTION("""COMPUTED_VALUE"""),"IN")</f>
        <v>IN</v>
      </c>
      <c r="I2797" s="211" t="str">
        <f>IFERROR(__xludf.DUMMYFUNCTION("""COMPUTED_VALUE"""),"EMPTY")</f>
        <v>EMPTY</v>
      </c>
      <c r="J2797" s="211">
        <f>IFERROR(__xludf.DUMMYFUNCTION("""COMPUTED_VALUE"""),3.0)</f>
        <v>3</v>
      </c>
      <c r="K2797" s="210" t="str">
        <f>IFERROR(__xludf.DUMMYFUNCTION("""COMPUTED_VALUE"""),"13049 13039 13031")</f>
        <v>13049 13039 13031</v>
      </c>
      <c r="L2797" s="211">
        <f>IFERROR(__xludf.DUMMYFUNCTION("""COMPUTED_VALUE"""),0.0)</f>
        <v>0</v>
      </c>
      <c r="M2797" s="211"/>
      <c r="N2797" s="211"/>
      <c r="O2797" s="211"/>
      <c r="Q2797" s="210" t="str">
        <f>IFERROR(__xludf.DUMMYFUNCTION("""COMPUTED_VALUE"""),"0326152797")</f>
        <v>0326152797</v>
      </c>
      <c r="R2797" s="210" t="str">
        <f>IFERROR(__xludf.DUMMYFUNCTION("""COMPUTED_VALUE"""),"0326152797")</f>
        <v>0326152797</v>
      </c>
      <c r="S2797" s="211" t="str">
        <f>IFERROR(__xludf.DUMMYFUNCTION("""COMPUTED_VALUE"""),"734c6d17")</f>
        <v>734c6d17</v>
      </c>
      <c r="T2797" s="211" t="str">
        <f>IFERROR(__xludf.DUMMYFUNCTION("""COMPUTED_VALUE"""),"Bapak Ainol Yaqin ( Bpk. Ibnu )")</f>
        <v>Bapak Ainol Yaqin ( Bpk. Ibnu )</v>
      </c>
      <c r="U2797" s="215">
        <f>IFERROR(__xludf.DUMMYFUNCTION("""COMPUTED_VALUE"""),46090.40020833333)</f>
        <v>46090.40021</v>
      </c>
      <c r="V2797" s="211" t="str">
        <f>IFERROR(__xludf.DUMMYFUNCTION("""COMPUTED_VALUE"""),"Tanggul Wetan, Tanggul, Kec. Wonoayu, Kabupaten Sidoarjo, Jawa Timur")</f>
        <v>Tanggul Wetan, Tanggul, Kec. Wonoayu, Kabupaten Sidoarjo, Jawa Timur</v>
      </c>
      <c r="W2797" s="211" t="str">
        <f>IFERROR(__xludf.DUMMYFUNCTION("""COMPUTED_VALUE"""),"OUT")</f>
        <v>OUT</v>
      </c>
      <c r="X2797" s="211"/>
    </row>
    <row r="2798">
      <c r="A2798" s="210" t="str">
        <f>IFERROR(__xludf.DUMMYFUNCTION("""COMPUTED_VALUE"""),"1250943")</f>
        <v>1250943</v>
      </c>
      <c r="B2798" s="210" t="str">
        <f>IFERROR(__xludf.DUMMYFUNCTION("""COMPUTED_VALUE"""),"1250943")</f>
        <v>1250943</v>
      </c>
      <c r="C2798" s="213">
        <f>IFERROR(__xludf.DUMMYFUNCTION("""COMPUTED_VALUE"""),46004.365266203706)</f>
        <v>46004.36527</v>
      </c>
      <c r="D2798" s="211" t="str">
        <f>IFERROR(__xludf.DUMMYFUNCTION("""COMPUTED_VALUE"""),"b2b5f2c5")</f>
        <v>b2b5f2c5</v>
      </c>
      <c r="E2798" s="211" t="str">
        <f>IFERROR(__xludf.DUMMYFUNCTION("""COMPUTED_VALUE"""),"Bengkel Las Bpk. Ari")</f>
        <v>Bengkel Las Bpk. Ari</v>
      </c>
      <c r="F2798" s="211" t="str">
        <f>IFERROR(__xludf.DUMMYFUNCTION("""COMPUTED_VALUE"""),"8bdbe149")</f>
        <v>8bdbe149</v>
      </c>
      <c r="G2798" s="211" t="str">
        <f>IFERROR(__xludf.DUMMYFUNCTION("""COMPUTED_VALUE"""),"Oksigen 6m3")</f>
        <v>Oksigen 6m3</v>
      </c>
      <c r="H2798" s="211" t="str">
        <f>IFERROR(__xludf.DUMMYFUNCTION("""COMPUTED_VALUE"""),"IN")</f>
        <v>IN</v>
      </c>
      <c r="I2798" s="211" t="str">
        <f>IFERROR(__xludf.DUMMYFUNCTION("""COMPUTED_VALUE"""),"EMPTY")</f>
        <v>EMPTY</v>
      </c>
      <c r="J2798" s="211">
        <f>IFERROR(__xludf.DUMMYFUNCTION("""COMPUTED_VALUE"""),7.0)</f>
        <v>7</v>
      </c>
      <c r="K2798" s="210" t="str">
        <f>IFERROR(__xludf.DUMMYFUNCTION("""COMPUTED_VALUE"""),"11281 11289 1131 11284 11278 11124 11209")</f>
        <v>11281 11289 1131 11284 11278 11124 11209</v>
      </c>
      <c r="L2798" s="211">
        <f>IFERROR(__xludf.DUMMYFUNCTION("""COMPUTED_VALUE"""),0.0)</f>
        <v>0</v>
      </c>
      <c r="M2798" s="211"/>
      <c r="N2798" s="211"/>
      <c r="O2798" s="211"/>
      <c r="Q2798" s="210" t="str">
        <f>IFERROR(__xludf.DUMMYFUNCTION("""COMPUTED_VALUE"""),"0326162798")</f>
        <v>0326162798</v>
      </c>
      <c r="R2798" s="210" t="str">
        <f>IFERROR(__xludf.DUMMYFUNCTION("""COMPUTED_VALUE"""),"0326162798")</f>
        <v>0326162798</v>
      </c>
      <c r="S2798" s="211" t="str">
        <f>IFERROR(__xludf.DUMMYFUNCTION("""COMPUTED_VALUE"""),"734c6d17")</f>
        <v>734c6d17</v>
      </c>
      <c r="T2798" s="211" t="str">
        <f>IFERROR(__xludf.DUMMYFUNCTION("""COMPUTED_VALUE"""),"Bapak Ainol Yaqin ( Bpk. Ibnu )")</f>
        <v>Bapak Ainol Yaqin ( Bpk. Ibnu )</v>
      </c>
      <c r="U2798" s="215">
        <f>IFERROR(__xludf.DUMMYFUNCTION("""COMPUTED_VALUE"""),46090.401400462964)</f>
        <v>46090.4014</v>
      </c>
      <c r="V2798" s="211" t="str">
        <f>IFERROR(__xludf.DUMMYFUNCTION("""COMPUTED_VALUE"""),"Tanggul Wetan, Tanggul, Kec. Wonoayu, Kabupaten Sidoarjo, Jawa Timur")</f>
        <v>Tanggul Wetan, Tanggul, Kec. Wonoayu, Kabupaten Sidoarjo, Jawa Timur</v>
      </c>
      <c r="W2798" s="211" t="str">
        <f>IFERROR(__xludf.DUMMYFUNCTION("""COMPUTED_VALUE"""),"OUT")</f>
        <v>OUT</v>
      </c>
      <c r="X2798" s="211"/>
    </row>
    <row r="2799">
      <c r="A2799" s="210" t="str">
        <f>IFERROR(__xludf.DUMMYFUNCTION("""COMPUTED_VALUE"""),"122521967")</f>
        <v>122521967</v>
      </c>
      <c r="B2799" s="210" t="str">
        <f>IFERROR(__xludf.DUMMYFUNCTION("""COMPUTED_VALUE"""),"122521967")</f>
        <v>122521967</v>
      </c>
      <c r="C2799" s="213">
        <f>IFERROR(__xludf.DUMMYFUNCTION("""COMPUTED_VALUE"""),46004.438472222224)</f>
        <v>46004.43847</v>
      </c>
      <c r="D2799" s="211" t="str">
        <f>IFERROR(__xludf.DUMMYFUNCTION("""COMPUTED_VALUE"""),"03ff52db")</f>
        <v>03ff52db</v>
      </c>
      <c r="E2799" s="211" t="str">
        <f>IFERROR(__xludf.DUMMYFUNCTION("""COMPUTED_VALUE"""),"Aneka Teknik Logam")</f>
        <v>Aneka Teknik Logam</v>
      </c>
      <c r="F2799" s="211" t="str">
        <f>IFERROR(__xludf.DUMMYFUNCTION("""COMPUTED_VALUE"""),"8bdbe149")</f>
        <v>8bdbe149</v>
      </c>
      <c r="G2799" s="211" t="str">
        <f>IFERROR(__xludf.DUMMYFUNCTION("""COMPUTED_VALUE"""),"Oksigen 6m3")</f>
        <v>Oksigen 6m3</v>
      </c>
      <c r="H2799" s="211" t="str">
        <f>IFERROR(__xludf.DUMMYFUNCTION("""COMPUTED_VALUE"""),"OUT")</f>
        <v>OUT</v>
      </c>
      <c r="I2799" s="211" t="str">
        <f>IFERROR(__xludf.DUMMYFUNCTION("""COMPUTED_VALUE"""),"NORMAL")</f>
        <v>NORMAL</v>
      </c>
      <c r="J2799" s="211">
        <f>IFERROR(__xludf.DUMMYFUNCTION("""COMPUTED_VALUE"""),3.0)</f>
        <v>3</v>
      </c>
      <c r="K2799" s="210" t="str">
        <f>IFERROR(__xludf.DUMMYFUNCTION("""COMPUTED_VALUE"""),"1130 1116 11251")</f>
        <v>1130 1116 11251</v>
      </c>
      <c r="L2799" s="211">
        <f>IFERROR(__xludf.DUMMYFUNCTION("""COMPUTED_VALUE"""),60000.0)</f>
        <v>60000</v>
      </c>
      <c r="M2799" s="211"/>
      <c r="N2799" s="211"/>
      <c r="O2799" s="211"/>
      <c r="Q2799" s="210" t="str">
        <f>IFERROR(__xludf.DUMMYFUNCTION("""COMPUTED_VALUE"""),"0326172799")</f>
        <v>0326172799</v>
      </c>
      <c r="R2799" s="210" t="str">
        <f>IFERROR(__xludf.DUMMYFUNCTION("""COMPUTED_VALUE"""),"0326172799")</f>
        <v>0326172799</v>
      </c>
      <c r="S2799" s="211" t="str">
        <f>IFERROR(__xludf.DUMMYFUNCTION("""COMPUTED_VALUE"""),"734c6d17")</f>
        <v>734c6d17</v>
      </c>
      <c r="T2799" s="211" t="str">
        <f>IFERROR(__xludf.DUMMYFUNCTION("""COMPUTED_VALUE"""),"Bapak Ainol Yaqin ( Bpk. Ibnu )")</f>
        <v>Bapak Ainol Yaqin ( Bpk. Ibnu )</v>
      </c>
      <c r="U2799" s="215">
        <f>IFERROR(__xludf.DUMMYFUNCTION("""COMPUTED_VALUE"""),46090.40185185185)</f>
        <v>46090.40185</v>
      </c>
      <c r="V2799" s="211" t="str">
        <f>IFERROR(__xludf.DUMMYFUNCTION("""COMPUTED_VALUE"""),"Tanggul Wetan, Tanggul, Kec. Wonoayu, Kabupaten Sidoarjo, Jawa Timur")</f>
        <v>Tanggul Wetan, Tanggul, Kec. Wonoayu, Kabupaten Sidoarjo, Jawa Timur</v>
      </c>
      <c r="W2799" s="211" t="str">
        <f>IFERROR(__xludf.DUMMYFUNCTION("""COMPUTED_VALUE"""),"OUT")</f>
        <v>OUT</v>
      </c>
      <c r="X2799" s="211"/>
    </row>
    <row r="2800">
      <c r="A2800" s="210" t="str">
        <f>IFERROR(__xludf.DUMMYFUNCTION("""COMPUTED_VALUE"""),"1225531969")</f>
        <v>1225531969</v>
      </c>
      <c r="B2800" s="210" t="str">
        <f>IFERROR(__xludf.DUMMYFUNCTION("""COMPUTED_VALUE"""),"1225531969")</f>
        <v>1225531969</v>
      </c>
      <c r="C2800" s="213">
        <f>IFERROR(__xludf.DUMMYFUNCTION("""COMPUTED_VALUE"""),46004.44587962963)</f>
        <v>46004.44588</v>
      </c>
      <c r="D2800" s="211" t="str">
        <f>IFERROR(__xludf.DUMMYFUNCTION("""COMPUTED_VALUE"""),"b2b5f2c5")</f>
        <v>b2b5f2c5</v>
      </c>
      <c r="E2800" s="211" t="str">
        <f>IFERROR(__xludf.DUMMYFUNCTION("""COMPUTED_VALUE"""),"Bengkel Las Bpk. Ari")</f>
        <v>Bengkel Las Bpk. Ari</v>
      </c>
      <c r="F2800" s="211" t="str">
        <f>IFERROR(__xludf.DUMMYFUNCTION("""COMPUTED_VALUE"""),"8bdbe149")</f>
        <v>8bdbe149</v>
      </c>
      <c r="G2800" s="211" t="str">
        <f>IFERROR(__xludf.DUMMYFUNCTION("""COMPUTED_VALUE"""),"Oksigen 6m3")</f>
        <v>Oksigen 6m3</v>
      </c>
      <c r="H2800" s="211" t="str">
        <f>IFERROR(__xludf.DUMMYFUNCTION("""COMPUTED_VALUE"""),"OUT")</f>
        <v>OUT</v>
      </c>
      <c r="I2800" s="211" t="str">
        <f>IFERROR(__xludf.DUMMYFUNCTION("""COMPUTED_VALUE"""),"NORMAL")</f>
        <v>NORMAL</v>
      </c>
      <c r="J2800" s="211">
        <f>IFERROR(__xludf.DUMMYFUNCTION("""COMPUTED_VALUE"""),4.0)</f>
        <v>4</v>
      </c>
      <c r="K2800" s="210" t="str">
        <f>IFERROR(__xludf.DUMMYFUNCTION("""COMPUTED_VALUE"""),"11234 1190 11184 11104")</f>
        <v>11234 1190 11184 11104</v>
      </c>
      <c r="L2800" s="211">
        <f>IFERROR(__xludf.DUMMYFUNCTION("""COMPUTED_VALUE"""),60000.0)</f>
        <v>60000</v>
      </c>
      <c r="M2800" s="211"/>
      <c r="N2800" s="211"/>
      <c r="O2800" s="211"/>
      <c r="Q2800" s="210" t="str">
        <f>IFERROR(__xludf.DUMMYFUNCTION("""COMPUTED_VALUE"""),"032682800")</f>
        <v>032682800</v>
      </c>
      <c r="R2800" s="210" t="str">
        <f>IFERROR(__xludf.DUMMYFUNCTION("""COMPUTED_VALUE"""),"032682800")</f>
        <v>032682800</v>
      </c>
      <c r="S2800" s="211" t="str">
        <f>IFERROR(__xludf.DUMMYFUNCTION("""COMPUTED_VALUE"""),"de41c3e8")</f>
        <v>de41c3e8</v>
      </c>
      <c r="T2800" s="211" t="str">
        <f>IFERROR(__xludf.DUMMYFUNCTION("""COMPUTED_VALUE"""),"Bpk. Eko Mianto")</f>
        <v>Bpk. Eko Mianto</v>
      </c>
      <c r="U2800" s="215">
        <f>IFERROR(__xludf.DUMMYFUNCTION("""COMPUTED_VALUE"""),46090.42612268519)</f>
        <v>46090.42612</v>
      </c>
      <c r="V2800" s="211" t="str">
        <f>IFERROR(__xludf.DUMMYFUNCTION("""COMPUTED_VALUE"""),"The Graha Residen, Blok D4 No 33. Tropodo, Kec Krian, Kabupaten Sidaorjo, Jawa Timur 61262")</f>
        <v>The Graha Residen, Blok D4 No 33. Tropodo, Kec Krian, Kabupaten Sidaorjo, Jawa Timur 61262</v>
      </c>
      <c r="W2800" s="211" t="str">
        <f>IFERROR(__xludf.DUMMYFUNCTION("""COMPUTED_VALUE"""),"OUT")</f>
        <v>OUT</v>
      </c>
      <c r="X2800" s="211"/>
    </row>
    <row r="2801">
      <c r="A2801" s="210" t="str">
        <f>IFERROR(__xludf.DUMMYFUNCTION("""COMPUTED_VALUE"""),"1225531969")</f>
        <v>1225531969</v>
      </c>
      <c r="B2801" s="210" t="str">
        <f>IFERROR(__xludf.DUMMYFUNCTION("""COMPUTED_VALUE"""),"1225531969")</f>
        <v>1225531969</v>
      </c>
      <c r="C2801" s="213">
        <f>IFERROR(__xludf.DUMMYFUNCTION("""COMPUTED_VALUE"""),46004.44587962963)</f>
        <v>46004.44588</v>
      </c>
      <c r="D2801" s="211" t="str">
        <f>IFERROR(__xludf.DUMMYFUNCTION("""COMPUTED_VALUE"""),"b2b5f2c5")</f>
        <v>b2b5f2c5</v>
      </c>
      <c r="E2801" s="211" t="str">
        <f>IFERROR(__xludf.DUMMYFUNCTION("""COMPUTED_VALUE"""),"Bengkel Las Bpk. Ari")</f>
        <v>Bengkel Las Bpk. Ari</v>
      </c>
      <c r="F2801" s="211" t="str">
        <f>IFERROR(__xludf.DUMMYFUNCTION("""COMPUTED_VALUE"""),"7d2764f1")</f>
        <v>7d2764f1</v>
      </c>
      <c r="G2801" s="211" t="str">
        <f>IFERROR(__xludf.DUMMYFUNCTION("""COMPUTED_VALUE"""),"Oksigen 7m3")</f>
        <v>Oksigen 7m3</v>
      </c>
      <c r="H2801" s="211" t="str">
        <f>IFERROR(__xludf.DUMMYFUNCTION("""COMPUTED_VALUE"""),"OUT")</f>
        <v>OUT</v>
      </c>
      <c r="I2801" s="211" t="str">
        <f>IFERROR(__xludf.DUMMYFUNCTION("""COMPUTED_VALUE"""),"NORMAL")</f>
        <v>NORMAL</v>
      </c>
      <c r="J2801" s="211">
        <f>IFERROR(__xludf.DUMMYFUNCTION("""COMPUTED_VALUE"""),4.0)</f>
        <v>4</v>
      </c>
      <c r="K2801" s="210" t="str">
        <f>IFERROR(__xludf.DUMMYFUNCTION("""COMPUTED_VALUE"""),"11226 11269 11164 11174")</f>
        <v>11226 11269 11164 11174</v>
      </c>
      <c r="L2801" s="211">
        <f>IFERROR(__xludf.DUMMYFUNCTION("""COMPUTED_VALUE"""),60000.0)</f>
        <v>60000</v>
      </c>
      <c r="M2801" s="211"/>
      <c r="N2801" s="211"/>
      <c r="O2801" s="211"/>
      <c r="Q2801" s="210" t="str">
        <f>IFERROR(__xludf.DUMMYFUNCTION("""COMPUTED_VALUE"""),"1261375")</f>
        <v>1261375</v>
      </c>
      <c r="R2801" s="210" t="str">
        <f>IFERROR(__xludf.DUMMYFUNCTION("""COMPUTED_VALUE"""),"1261375")</f>
        <v>1261375</v>
      </c>
      <c r="S2801" s="211" t="str">
        <f>IFERROR(__xludf.DUMMYFUNCTION("""COMPUTED_VALUE"""),"3b04351a")</f>
        <v>3b04351a</v>
      </c>
      <c r="T2801" s="211" t="str">
        <f>IFERROR(__xludf.DUMMYFUNCTION("""COMPUTED_VALUE"""),"CV Usaha Logam Jaya")</f>
        <v>CV Usaha Logam Jaya</v>
      </c>
      <c r="U2801" s="215">
        <f>IFERROR(__xludf.DUMMYFUNCTION("""COMPUTED_VALUE"""),46090.470509259256)</f>
        <v>46090.47051</v>
      </c>
      <c r="V2801" s="211" t="str">
        <f>IFERROR(__xludf.DUMMYFUNCTION("""COMPUTED_VALUE"""),"Jl. Jetis Karya, Wonorejo, Jetis, Kec. Jetis, Kabupaten Mojokerto, Jawa Timur 61352")</f>
        <v>Jl. Jetis Karya, Wonorejo, Jetis, Kec. Jetis, Kabupaten Mojokerto, Jawa Timur 61352</v>
      </c>
      <c r="W2801" s="211" t="str">
        <f>IFERROR(__xludf.DUMMYFUNCTION("""COMPUTED_VALUE"""),"IN")</f>
        <v>IN</v>
      </c>
      <c r="X2801" s="211"/>
    </row>
    <row r="2802">
      <c r="A2802" s="210" t="str">
        <f>IFERROR(__xludf.DUMMYFUNCTION("""COMPUTED_VALUE"""),"1225531969")</f>
        <v>1225531969</v>
      </c>
      <c r="B2802" s="210" t="str">
        <f>IFERROR(__xludf.DUMMYFUNCTION("""COMPUTED_VALUE"""),"1225531969")</f>
        <v>1225531969</v>
      </c>
      <c r="C2802" s="213">
        <f>IFERROR(__xludf.DUMMYFUNCTION("""COMPUTED_VALUE"""),46004.44587962963)</f>
        <v>46004.44588</v>
      </c>
      <c r="D2802" s="211" t="str">
        <f>IFERROR(__xludf.DUMMYFUNCTION("""COMPUTED_VALUE"""),"b2b5f2c5")</f>
        <v>b2b5f2c5</v>
      </c>
      <c r="E2802" s="211" t="str">
        <f>IFERROR(__xludf.DUMMYFUNCTION("""COMPUTED_VALUE"""),"Bengkel Las Bpk. Ari")</f>
        <v>Bengkel Las Bpk. Ari</v>
      </c>
      <c r="F2802" s="211" t="str">
        <f>IFERROR(__xludf.DUMMYFUNCTION("""COMPUTED_VALUE"""),"ef306e54")</f>
        <v>ef306e54</v>
      </c>
      <c r="G2802" s="211" t="str">
        <f>IFERROR(__xludf.DUMMYFUNCTION("""COMPUTED_VALUE"""),"Karbondioksida")</f>
        <v>Karbondioksida</v>
      </c>
      <c r="H2802" s="211" t="str">
        <f>IFERROR(__xludf.DUMMYFUNCTION("""COMPUTED_VALUE"""),"OUT")</f>
        <v>OUT</v>
      </c>
      <c r="I2802" s="211" t="str">
        <f>IFERROR(__xludf.DUMMYFUNCTION("""COMPUTED_VALUE"""),"NORMAL")</f>
        <v>NORMAL</v>
      </c>
      <c r="J2802" s="211">
        <f>IFERROR(__xludf.DUMMYFUNCTION("""COMPUTED_VALUE"""),3.0)</f>
        <v>3</v>
      </c>
      <c r="K2802" s="210" t="str">
        <f>IFERROR(__xludf.DUMMYFUNCTION("""COMPUTED_VALUE"""),"13061 13062 13005")</f>
        <v>13061 13062 13005</v>
      </c>
      <c r="L2802" s="211">
        <f>IFERROR(__xludf.DUMMYFUNCTION("""COMPUTED_VALUE"""),180000.0)</f>
        <v>180000</v>
      </c>
      <c r="M2802" s="211"/>
      <c r="N2802" s="211"/>
      <c r="O2802" s="211"/>
      <c r="Q2802" s="210" t="str">
        <f>IFERROR(__xludf.DUMMYFUNCTION("""COMPUTED_VALUE"""),"1261374")</f>
        <v>1261374</v>
      </c>
      <c r="R2802" s="210" t="str">
        <f>IFERROR(__xludf.DUMMYFUNCTION("""COMPUTED_VALUE"""),"1261374")</f>
        <v>1261374</v>
      </c>
      <c r="S2802" s="211" t="str">
        <f>IFERROR(__xludf.DUMMYFUNCTION("""COMPUTED_VALUE"""),"dcdf8b31")</f>
        <v>dcdf8b31</v>
      </c>
      <c r="T2802" s="211" t="str">
        <f>IFERROR(__xludf.DUMMYFUNCTION("""COMPUTED_VALUE"""),"Bpk. Samsul (Jetis)")</f>
        <v>Bpk. Samsul (Jetis)</v>
      </c>
      <c r="U2802" s="215">
        <f>IFERROR(__xludf.DUMMYFUNCTION("""COMPUTED_VALUE"""),46090.47122685185)</f>
        <v>46090.47123</v>
      </c>
      <c r="V2802" s="211" t="str">
        <f>IFERROR(__xludf.DUMMYFUNCTION("""COMPUTED_VALUE"""),"HFWF+9FG, Sido Wangi, Paringan, Kec. Jetis, Kabupaten Mojokerto, Jawa Timur")</f>
        <v>HFWF+9FG, Sido Wangi, Paringan, Kec. Jetis, Kabupaten Mojokerto, Jawa Timur</v>
      </c>
      <c r="W2802" s="211" t="str">
        <f>IFERROR(__xludf.DUMMYFUNCTION("""COMPUTED_VALUE"""),"IN")</f>
        <v>IN</v>
      </c>
      <c r="X2802" s="211"/>
    </row>
    <row r="2803">
      <c r="A2803" s="210" t="str">
        <f>IFERROR(__xludf.DUMMYFUNCTION("""COMPUTED_VALUE"""),"1250936")</f>
        <v>1250936</v>
      </c>
      <c r="B2803" s="210" t="str">
        <f>IFERROR(__xludf.DUMMYFUNCTION("""COMPUTED_VALUE"""),"1250936")</f>
        <v>1250936</v>
      </c>
      <c r="C2803" s="213">
        <f>IFERROR(__xludf.DUMMYFUNCTION("""COMPUTED_VALUE"""),46004.44967592593)</f>
        <v>46004.44968</v>
      </c>
      <c r="D2803" s="211" t="str">
        <f>IFERROR(__xludf.DUMMYFUNCTION("""COMPUTED_VALUE"""),"3b04351a")</f>
        <v>3b04351a</v>
      </c>
      <c r="E2803" s="211" t="str">
        <f>IFERROR(__xludf.DUMMYFUNCTION("""COMPUTED_VALUE"""),"CV Usaha Logam Jaya ( Bpk Putra )")</f>
        <v>CV Usaha Logam Jaya ( Bpk Putra )</v>
      </c>
      <c r="F2803" s="211" t="str">
        <f>IFERROR(__xludf.DUMMYFUNCTION("""COMPUTED_VALUE"""),"8bdbe149")</f>
        <v>8bdbe149</v>
      </c>
      <c r="G2803" s="211" t="str">
        <f>IFERROR(__xludf.DUMMYFUNCTION("""COMPUTED_VALUE"""),"Oksigen 6m3")</f>
        <v>Oksigen 6m3</v>
      </c>
      <c r="H2803" s="211" t="str">
        <f>IFERROR(__xludf.DUMMYFUNCTION("""COMPUTED_VALUE"""),"IN")</f>
        <v>IN</v>
      </c>
      <c r="I2803" s="211" t="str">
        <f>IFERROR(__xludf.DUMMYFUNCTION("""COMPUTED_VALUE"""),"EMPTY")</f>
        <v>EMPTY</v>
      </c>
      <c r="J2803" s="211">
        <f>IFERROR(__xludf.DUMMYFUNCTION("""COMPUTED_VALUE"""),4.0)</f>
        <v>4</v>
      </c>
      <c r="K2803" s="210" t="str">
        <f>IFERROR(__xludf.DUMMYFUNCTION("""COMPUTED_VALUE"""),"11104 11234 1190 11184")</f>
        <v>11104 11234 1190 11184</v>
      </c>
      <c r="L2803" s="211">
        <f>IFERROR(__xludf.DUMMYFUNCTION("""COMPUTED_VALUE"""),0.0)</f>
        <v>0</v>
      </c>
      <c r="M2803" s="211"/>
      <c r="N2803" s="211"/>
      <c r="O2803" s="211"/>
      <c r="Q2803" s="210" t="str">
        <f>IFERROR(__xludf.DUMMYFUNCTION("""COMPUTED_VALUE"""),"1261382")</f>
        <v>1261382</v>
      </c>
      <c r="R2803" s="210" t="str">
        <f>IFERROR(__xludf.DUMMYFUNCTION("""COMPUTED_VALUE"""),"1261382")</f>
        <v>1261382</v>
      </c>
      <c r="S2803" s="211" t="str">
        <f>IFERROR(__xludf.DUMMYFUNCTION("""COMPUTED_VALUE"""),"734c6d17")</f>
        <v>734c6d17</v>
      </c>
      <c r="T2803" s="211" t="str">
        <f>IFERROR(__xludf.DUMMYFUNCTION("""COMPUTED_VALUE"""),"Bapak Ainol Yaqin ( Bpk. Ibnu )")</f>
        <v>Bapak Ainol Yaqin ( Bpk. Ibnu )</v>
      </c>
      <c r="U2803" s="215">
        <f>IFERROR(__xludf.DUMMYFUNCTION("""COMPUTED_VALUE"""),46090.502071759256)</f>
        <v>46090.50207</v>
      </c>
      <c r="V2803" s="211" t="str">
        <f>IFERROR(__xludf.DUMMYFUNCTION("""COMPUTED_VALUE"""),"Tanggul Wetan, Tanggul, Kec. Wonoayu, Kabupaten Sidoarjo, Jawa Timur")</f>
        <v>Tanggul Wetan, Tanggul, Kec. Wonoayu, Kabupaten Sidoarjo, Jawa Timur</v>
      </c>
      <c r="W2803" s="211" t="str">
        <f>IFERROR(__xludf.DUMMYFUNCTION("""COMPUTED_VALUE"""),"IN")</f>
        <v>IN</v>
      </c>
      <c r="X2803" s="211"/>
    </row>
    <row r="2804">
      <c r="A2804" s="210" t="str">
        <f>IFERROR(__xludf.DUMMYFUNCTION("""COMPUTED_VALUE"""),"1250936")</f>
        <v>1250936</v>
      </c>
      <c r="B2804" s="210" t="str">
        <f>IFERROR(__xludf.DUMMYFUNCTION("""COMPUTED_VALUE"""),"1250936")</f>
        <v>1250936</v>
      </c>
      <c r="C2804" s="213">
        <f>IFERROR(__xludf.DUMMYFUNCTION("""COMPUTED_VALUE"""),46004.44967592593)</f>
        <v>46004.44968</v>
      </c>
      <c r="D2804" s="211" t="str">
        <f>IFERROR(__xludf.DUMMYFUNCTION("""COMPUTED_VALUE"""),"3b04351a")</f>
        <v>3b04351a</v>
      </c>
      <c r="E2804" s="211" t="str">
        <f>IFERROR(__xludf.DUMMYFUNCTION("""COMPUTED_VALUE"""),"CV Usaha Logam Jaya ( Bpk Putra )")</f>
        <v>CV Usaha Logam Jaya ( Bpk Putra )</v>
      </c>
      <c r="F2804" s="211" t="str">
        <f>IFERROR(__xludf.DUMMYFUNCTION("""COMPUTED_VALUE"""),"7d2764f1")</f>
        <v>7d2764f1</v>
      </c>
      <c r="G2804" s="211" t="str">
        <f>IFERROR(__xludf.DUMMYFUNCTION("""COMPUTED_VALUE"""),"Oksigen 7m3")</f>
        <v>Oksigen 7m3</v>
      </c>
      <c r="H2804" s="211" t="str">
        <f>IFERROR(__xludf.DUMMYFUNCTION("""COMPUTED_VALUE"""),"IN")</f>
        <v>IN</v>
      </c>
      <c r="I2804" s="211" t="str">
        <f>IFERROR(__xludf.DUMMYFUNCTION("""COMPUTED_VALUE"""),"EMPTY")</f>
        <v>EMPTY</v>
      </c>
      <c r="J2804" s="211">
        <f>IFERROR(__xludf.DUMMYFUNCTION("""COMPUTED_VALUE"""),5.0)</f>
        <v>5</v>
      </c>
      <c r="K2804" s="210" t="str">
        <f>IFERROR(__xludf.DUMMYFUNCTION("""COMPUTED_VALUE"""),"11226 11269 11164 11174 11219")</f>
        <v>11226 11269 11164 11174 11219</v>
      </c>
      <c r="L2804" s="211">
        <f>IFERROR(__xludf.DUMMYFUNCTION("""COMPUTED_VALUE"""),0.0)</f>
        <v>0</v>
      </c>
      <c r="M2804" s="211"/>
      <c r="N2804" s="211"/>
      <c r="O2804" s="211"/>
      <c r="Q2804" s="210" t="str">
        <f>IFERROR(__xludf.DUMMYFUNCTION("""COMPUTED_VALUE"""),"032692801")</f>
        <v>032692801</v>
      </c>
      <c r="R2804" s="210" t="str">
        <f>IFERROR(__xludf.DUMMYFUNCTION("""COMPUTED_VALUE"""),"032692801")</f>
        <v>032692801</v>
      </c>
      <c r="S2804" s="211" t="str">
        <f>IFERROR(__xludf.DUMMYFUNCTION("""COMPUTED_VALUE"""),"9e5d8274")</f>
        <v>9e5d8274</v>
      </c>
      <c r="T2804" s="211" t="str">
        <f>IFERROR(__xludf.DUMMYFUNCTION("""COMPUTED_VALUE"""),"Bpk. Erry ( Lik Trosobo )")</f>
        <v>Bpk. Erry ( Lik Trosobo )</v>
      </c>
      <c r="U2804" s="215">
        <f>IFERROR(__xludf.DUMMYFUNCTION("""COMPUTED_VALUE"""),46090.51435185185)</f>
        <v>46090.51435</v>
      </c>
      <c r="V2804" s="211" t="str">
        <f>IFERROR(__xludf.DUMMYFUNCTION("""COMPUTED_VALUE"""),"Trosobo Taman")</f>
        <v>Trosobo Taman</v>
      </c>
      <c r="W2804" s="211" t="str">
        <f>IFERROR(__xludf.DUMMYFUNCTION("""COMPUTED_VALUE"""),"OUT")</f>
        <v>OUT</v>
      </c>
      <c r="X2804" s="211"/>
    </row>
    <row r="2805">
      <c r="A2805" s="210" t="str">
        <f>IFERROR(__xludf.DUMMYFUNCTION("""COMPUTED_VALUE"""),"1250944")</f>
        <v>1250944</v>
      </c>
      <c r="B2805" s="210" t="str">
        <f>IFERROR(__xludf.DUMMYFUNCTION("""COMPUTED_VALUE"""),"1250944")</f>
        <v>1250944</v>
      </c>
      <c r="C2805" s="213">
        <f>IFERROR(__xludf.DUMMYFUNCTION("""COMPUTED_VALUE"""),46004.45903935185)</f>
        <v>46004.45904</v>
      </c>
      <c r="D2805" s="211" t="str">
        <f>IFERROR(__xludf.DUMMYFUNCTION("""COMPUTED_VALUE"""),"dcdf8b31")</f>
        <v>dcdf8b31</v>
      </c>
      <c r="E2805" s="211" t="str">
        <f>IFERROR(__xludf.DUMMYFUNCTION("""COMPUTED_VALUE"""),"Bpk. Samsul (Jetis)")</f>
        <v>Bpk. Samsul (Jetis)</v>
      </c>
      <c r="F2805" s="211" t="str">
        <f>IFERROR(__xludf.DUMMYFUNCTION("""COMPUTED_VALUE"""),"7d2764f1")</f>
        <v>7d2764f1</v>
      </c>
      <c r="G2805" s="211" t="str">
        <f>IFERROR(__xludf.DUMMYFUNCTION("""COMPUTED_VALUE"""),"Oksigen 7m3")</f>
        <v>Oksigen 7m3</v>
      </c>
      <c r="H2805" s="211" t="str">
        <f>IFERROR(__xludf.DUMMYFUNCTION("""COMPUTED_VALUE"""),"IN")</f>
        <v>IN</v>
      </c>
      <c r="I2805" s="211" t="str">
        <f>IFERROR(__xludf.DUMMYFUNCTION("""COMPUTED_VALUE"""),"EMPTY")</f>
        <v>EMPTY</v>
      </c>
      <c r="J2805" s="211">
        <f>IFERROR(__xludf.DUMMYFUNCTION("""COMPUTED_VALUE"""),1.0)</f>
        <v>1</v>
      </c>
      <c r="K2805" s="210" t="str">
        <f>IFERROR(__xludf.DUMMYFUNCTION("""COMPUTED_VALUE"""),"11165")</f>
        <v>11165</v>
      </c>
      <c r="L2805" s="211">
        <f>IFERROR(__xludf.DUMMYFUNCTION("""COMPUTED_VALUE"""),0.0)</f>
        <v>0</v>
      </c>
      <c r="M2805" s="211"/>
      <c r="N2805" s="211"/>
      <c r="O2805" s="211"/>
      <c r="Q2805" s="210" t="str">
        <f>IFERROR(__xludf.DUMMYFUNCTION("""COMPUTED_VALUE"""),"1261383")</f>
        <v>1261383</v>
      </c>
      <c r="R2805" s="210" t="str">
        <f>IFERROR(__xludf.DUMMYFUNCTION("""COMPUTED_VALUE"""),"1261383")</f>
        <v>1261383</v>
      </c>
      <c r="S2805" s="211" t="str">
        <f>IFERROR(__xludf.DUMMYFUNCTION("""COMPUTED_VALUE"""),"1c4d5e93")</f>
        <v>1c4d5e93</v>
      </c>
      <c r="T2805" s="211" t="str">
        <f>IFERROR(__xludf.DUMMYFUNCTION("""COMPUTED_VALUE"""),"Karoseri Cipta Mitra Sukses")</f>
        <v>Karoseri Cipta Mitra Sukses</v>
      </c>
      <c r="U2805" s="215">
        <f>IFERROR(__xludf.DUMMYFUNCTION("""COMPUTED_VALUE"""),46090.658368055556)</f>
        <v>46090.65837</v>
      </c>
      <c r="V2805" s="211" t="str">
        <f>IFERROR(__xludf.DUMMYFUNCTION("""COMPUTED_VALUE"""),"JL. Bypass Krian No. 7800, Blok B No 11. Barengkrajan, Kec. Krian, Kabupaten Sidoarjo, Jawa Timur  61262")</f>
        <v>JL. Bypass Krian No. 7800, Blok B No 11. Barengkrajan, Kec. Krian, Kabupaten Sidoarjo, Jawa Timur  61262</v>
      </c>
      <c r="W2805" s="211" t="str">
        <f>IFERROR(__xludf.DUMMYFUNCTION("""COMPUTED_VALUE"""),"IN")</f>
        <v>IN</v>
      </c>
      <c r="X2805" s="211"/>
    </row>
    <row r="2806">
      <c r="A2806" s="210" t="str">
        <f>IFERROR(__xludf.DUMMYFUNCTION("""COMPUTED_VALUE"""),"1250945")</f>
        <v>1250945</v>
      </c>
      <c r="B2806" s="210" t="str">
        <f>IFERROR(__xludf.DUMMYFUNCTION("""COMPUTED_VALUE"""),"1250945")</f>
        <v>1250945</v>
      </c>
      <c r="C2806" s="213">
        <f>IFERROR(__xludf.DUMMYFUNCTION("""COMPUTED_VALUE"""),46004.45929398148)</f>
        <v>46004.45929</v>
      </c>
      <c r="D2806" s="211" t="str">
        <f>IFERROR(__xludf.DUMMYFUNCTION("""COMPUTED_VALUE"""),"f49860e4")</f>
        <v>f49860e4</v>
      </c>
      <c r="E2806" s="211" t="str">
        <f>IFERROR(__xludf.DUMMYFUNCTION("""COMPUTED_VALUE"""),"Mas Nur ( Jetis )")</f>
        <v>Mas Nur ( Jetis )</v>
      </c>
      <c r="F2806" s="211" t="str">
        <f>IFERROR(__xludf.DUMMYFUNCTION("""COMPUTED_VALUE"""),"8bdbe149")</f>
        <v>8bdbe149</v>
      </c>
      <c r="G2806" s="211" t="str">
        <f>IFERROR(__xludf.DUMMYFUNCTION("""COMPUTED_VALUE"""),"Oksigen 6m3")</f>
        <v>Oksigen 6m3</v>
      </c>
      <c r="H2806" s="211" t="str">
        <f>IFERROR(__xludf.DUMMYFUNCTION("""COMPUTED_VALUE"""),"IN")</f>
        <v>IN</v>
      </c>
      <c r="I2806" s="211" t="str">
        <f>IFERROR(__xludf.DUMMYFUNCTION("""COMPUTED_VALUE"""),"EMPTY")</f>
        <v>EMPTY</v>
      </c>
      <c r="J2806" s="211">
        <f>IFERROR(__xludf.DUMMYFUNCTION("""COMPUTED_VALUE"""),2.0)</f>
        <v>2</v>
      </c>
      <c r="K2806" s="210" t="str">
        <f>IFERROR(__xludf.DUMMYFUNCTION("""COMPUTED_VALUE"""),"1117 1148")</f>
        <v>1117 1148</v>
      </c>
      <c r="L2806" s="211">
        <f>IFERROR(__xludf.DUMMYFUNCTION("""COMPUTED_VALUE"""),0.0)</f>
        <v>0</v>
      </c>
      <c r="M2806" s="211"/>
      <c r="N2806" s="211"/>
      <c r="O2806" s="211"/>
      <c r="Q2806" s="210" t="str">
        <f>IFERROR(__xludf.DUMMYFUNCTION("""COMPUTED_VALUE"""),"1261384")</f>
        <v>1261384</v>
      </c>
      <c r="R2806" s="210" t="str">
        <f>IFERROR(__xludf.DUMMYFUNCTION("""COMPUTED_VALUE"""),"1261384")</f>
        <v>1261384</v>
      </c>
      <c r="S2806" s="211" t="str">
        <f>IFERROR(__xludf.DUMMYFUNCTION("""COMPUTED_VALUE"""),"a0f0ad2d")</f>
        <v>a0f0ad2d</v>
      </c>
      <c r="T2806" s="211" t="str">
        <f>IFERROR(__xludf.DUMMYFUNCTION("""COMPUTED_VALUE"""),"CV. Yulie Jaya")</f>
        <v>CV. Yulie Jaya</v>
      </c>
      <c r="U2806" s="215">
        <f>IFERROR(__xludf.DUMMYFUNCTION("""COMPUTED_VALUE"""),46090.65888888889)</f>
        <v>46090.65889</v>
      </c>
      <c r="V2806" s="211" t="str">
        <f>IFERROR(__xludf.DUMMYFUNCTION("""COMPUTED_VALUE"""),"JJH4+6RV, Badas, Barengkrajan, Kec. Krian, Kabupaten Sidoarjo, Jawa Timur 61262")</f>
        <v>JJH4+6RV, Badas, Barengkrajan, Kec. Krian, Kabupaten Sidoarjo, Jawa Timur 61262</v>
      </c>
      <c r="W2806" s="211" t="str">
        <f>IFERROR(__xludf.DUMMYFUNCTION("""COMPUTED_VALUE"""),"IN")</f>
        <v>IN</v>
      </c>
      <c r="X2806" s="211"/>
    </row>
    <row r="2807">
      <c r="A2807" s="210" t="str">
        <f>IFERROR(__xludf.DUMMYFUNCTION("""COMPUTED_VALUE"""),"1250935")</f>
        <v>1250935</v>
      </c>
      <c r="B2807" s="210" t="str">
        <f>IFERROR(__xludf.DUMMYFUNCTION("""COMPUTED_VALUE"""),"1250935")</f>
        <v>1250935</v>
      </c>
      <c r="C2807" s="213">
        <f>IFERROR(__xludf.DUMMYFUNCTION("""COMPUTED_VALUE"""),46004.460393518515)</f>
        <v>46004.46039</v>
      </c>
      <c r="D2807" s="211" t="str">
        <f>IFERROR(__xludf.DUMMYFUNCTION("""COMPUTED_VALUE"""),"8ea74d81")</f>
        <v>8ea74d81</v>
      </c>
      <c r="E2807" s="211" t="str">
        <f>IFERROR(__xludf.DUMMYFUNCTION("""COMPUTED_VALUE"""),"Bengkel Adi Putra")</f>
        <v>Bengkel Adi Putra</v>
      </c>
      <c r="F2807" s="211" t="str">
        <f>IFERROR(__xludf.DUMMYFUNCTION("""COMPUTED_VALUE"""),"3b9d6a30")</f>
        <v>3b9d6a30</v>
      </c>
      <c r="G2807" s="211" t="str">
        <f>IFERROR(__xludf.DUMMYFUNCTION("""COMPUTED_VALUE"""),"Acetyline")</f>
        <v>Acetyline</v>
      </c>
      <c r="H2807" s="211" t="str">
        <f>IFERROR(__xludf.DUMMYFUNCTION("""COMPUTED_VALUE"""),"IN")</f>
        <v>IN</v>
      </c>
      <c r="I2807" s="211" t="str">
        <f>IFERROR(__xludf.DUMMYFUNCTION("""COMPUTED_VALUE"""),"EMPTY")</f>
        <v>EMPTY</v>
      </c>
      <c r="J2807" s="211">
        <f>IFERROR(__xludf.DUMMYFUNCTION("""COMPUTED_VALUE"""),1.0)</f>
        <v>1</v>
      </c>
      <c r="K2807" s="210" t="str">
        <f>IFERROR(__xludf.DUMMYFUNCTION("""COMPUTED_VALUE"""),"7836")</f>
        <v>7836</v>
      </c>
      <c r="L2807" s="211">
        <f>IFERROR(__xludf.DUMMYFUNCTION("""COMPUTED_VALUE"""),0.0)</f>
        <v>0</v>
      </c>
      <c r="M2807" s="211"/>
      <c r="N2807" s="211"/>
      <c r="O2807" s="211"/>
      <c r="Q2807" s="210" t="str">
        <f>IFERROR(__xludf.DUMMYFUNCTION("""COMPUTED_VALUE"""),"1261376")</f>
        <v>1261376</v>
      </c>
      <c r="R2807" s="210" t="str">
        <f>IFERROR(__xludf.DUMMYFUNCTION("""COMPUTED_VALUE"""),"1261376")</f>
        <v>1261376</v>
      </c>
      <c r="S2807" s="211" t="str">
        <f>IFERROR(__xludf.DUMMYFUNCTION("""COMPUTED_VALUE"""),"de41c3e8")</f>
        <v>de41c3e8</v>
      </c>
      <c r="T2807" s="211" t="str">
        <f>IFERROR(__xludf.DUMMYFUNCTION("""COMPUTED_VALUE"""),"Bpk. Eko Mianto")</f>
        <v>Bpk. Eko Mianto</v>
      </c>
      <c r="U2807" s="215">
        <f>IFERROR(__xludf.DUMMYFUNCTION("""COMPUTED_VALUE"""),46090.680185185185)</f>
        <v>46090.68019</v>
      </c>
      <c r="V2807" s="211" t="str">
        <f>IFERROR(__xludf.DUMMYFUNCTION("""COMPUTED_VALUE"""),"The Graha Residen, Blok D4 No 33. Tropodo, Kec Krian, Kabupaten Sidaorjo, Jawa Timur 61262")</f>
        <v>The Graha Residen, Blok D4 No 33. Tropodo, Kec Krian, Kabupaten Sidaorjo, Jawa Timur 61262</v>
      </c>
      <c r="W2807" s="211" t="str">
        <f>IFERROR(__xludf.DUMMYFUNCTION("""COMPUTED_VALUE"""),"IN")</f>
        <v>IN</v>
      </c>
      <c r="X2807" s="211"/>
    </row>
    <row r="2808">
      <c r="A2808" s="210" t="str">
        <f>IFERROR(__xludf.DUMMYFUNCTION("""COMPUTED_VALUE"""),"1225321970")</f>
        <v>1225321970</v>
      </c>
      <c r="B2808" s="210" t="str">
        <f>IFERROR(__xludf.DUMMYFUNCTION("""COMPUTED_VALUE"""),"1225321970")</f>
        <v>1225321970</v>
      </c>
      <c r="C2808" s="213">
        <f>IFERROR(__xludf.DUMMYFUNCTION("""COMPUTED_VALUE"""),46004.49928240741)</f>
        <v>46004.49928</v>
      </c>
      <c r="D2808" s="211" t="str">
        <f>IFERROR(__xludf.DUMMYFUNCTION("""COMPUTED_VALUE"""),"ec231cc9")</f>
        <v>ec231cc9</v>
      </c>
      <c r="E2808" s="211" t="str">
        <f>IFERROR(__xludf.DUMMYFUNCTION("""COMPUTED_VALUE"""),"Bpk. Kohir (Maintenance Velg)")</f>
        <v>Bpk. Kohir (Maintenance Velg)</v>
      </c>
      <c r="F2808" s="211" t="str">
        <f>IFERROR(__xludf.DUMMYFUNCTION("""COMPUTED_VALUE"""),"ef306e54")</f>
        <v>ef306e54</v>
      </c>
      <c r="G2808" s="211" t="str">
        <f>IFERROR(__xludf.DUMMYFUNCTION("""COMPUTED_VALUE"""),"Karbondioksida")</f>
        <v>Karbondioksida</v>
      </c>
      <c r="H2808" s="211" t="str">
        <f>IFERROR(__xludf.DUMMYFUNCTION("""COMPUTED_VALUE"""),"OUT")</f>
        <v>OUT</v>
      </c>
      <c r="I2808" s="211" t="str">
        <f>IFERROR(__xludf.DUMMYFUNCTION("""COMPUTED_VALUE"""),"NORMAL")</f>
        <v>NORMAL</v>
      </c>
      <c r="J2808" s="211">
        <f>IFERROR(__xludf.DUMMYFUNCTION("""COMPUTED_VALUE"""),1.0)</f>
        <v>1</v>
      </c>
      <c r="K2808" s="210" t="str">
        <f>IFERROR(__xludf.DUMMYFUNCTION("""COMPUTED_VALUE"""),"13028")</f>
        <v>13028</v>
      </c>
      <c r="L2808" s="211">
        <f>IFERROR(__xludf.DUMMYFUNCTION("""COMPUTED_VALUE"""),175000.0)</f>
        <v>175000</v>
      </c>
      <c r="M2808" s="211"/>
      <c r="N2808" s="211"/>
      <c r="O2808" s="211"/>
      <c r="Q2808" s="210" t="str">
        <f>IFERROR(__xludf.DUMMYFUNCTION("""COMPUTED_VALUE"""),"0326292805")</f>
        <v>0326292805</v>
      </c>
      <c r="R2808" s="210" t="str">
        <f>IFERROR(__xludf.DUMMYFUNCTION("""COMPUTED_VALUE"""),"0326292805")</f>
        <v>0326292805</v>
      </c>
      <c r="S2808" s="211" t="str">
        <f>IFERROR(__xludf.DUMMYFUNCTION("""COMPUTED_VALUE"""),"63fc688a")</f>
        <v>63fc688a</v>
      </c>
      <c r="T2808" s="211" t="str">
        <f>IFERROR(__xludf.DUMMYFUNCTION("""COMPUTED_VALUE"""),"CV Malik Nusantara")</f>
        <v>CV Malik Nusantara</v>
      </c>
      <c r="U2808" s="215">
        <f>IFERROR(__xludf.DUMMYFUNCTION("""COMPUTED_VALUE"""),46091.34033564815)</f>
        <v>46091.34034</v>
      </c>
      <c r="V2808" s="211" t="str">
        <f>IFERROR(__xludf.DUMMYFUNCTION("""COMPUTED_VALUE"""),"Jl. Raya Balongbendo No.12, Suwaluh Utara, Suwaluh, Kec. BalongBendo, Kabupaten Sidoarjo, Jawa Timur 61263")</f>
        <v>Jl. Raya Balongbendo No.12, Suwaluh Utara, Suwaluh, Kec. BalongBendo, Kabupaten Sidoarjo, Jawa Timur 61263</v>
      </c>
      <c r="W2808" s="211" t="str">
        <f>IFERROR(__xludf.DUMMYFUNCTION("""COMPUTED_VALUE"""),"OUT")</f>
        <v>OUT</v>
      </c>
      <c r="X2808" s="211"/>
    </row>
    <row r="2809">
      <c r="A2809" s="210" t="str">
        <f>IFERROR(__xludf.DUMMYFUNCTION("""COMPUTED_VALUE"""),"1225321970")</f>
        <v>1225321970</v>
      </c>
      <c r="B2809" s="210" t="str">
        <f>IFERROR(__xludf.DUMMYFUNCTION("""COMPUTED_VALUE"""),"1225321970")</f>
        <v>1225321970</v>
      </c>
      <c r="C2809" s="213">
        <f>IFERROR(__xludf.DUMMYFUNCTION("""COMPUTED_VALUE"""),46004.49928240741)</f>
        <v>46004.49928</v>
      </c>
      <c r="D2809" s="211" t="str">
        <f>IFERROR(__xludf.DUMMYFUNCTION("""COMPUTED_VALUE"""),"ec231cc9")</f>
        <v>ec231cc9</v>
      </c>
      <c r="E2809" s="211" t="str">
        <f>IFERROR(__xludf.DUMMYFUNCTION("""COMPUTED_VALUE"""),"Bpk. Kohir (Maintenance Velg)")</f>
        <v>Bpk. Kohir (Maintenance Velg)</v>
      </c>
      <c r="F2809" s="211" t="str">
        <f>IFERROR(__xludf.DUMMYFUNCTION("""COMPUTED_VALUE"""),"8bdbe149")</f>
        <v>8bdbe149</v>
      </c>
      <c r="G2809" s="211" t="str">
        <f>IFERROR(__xludf.DUMMYFUNCTION("""COMPUTED_VALUE"""),"Oksigen 6m3")</f>
        <v>Oksigen 6m3</v>
      </c>
      <c r="H2809" s="211" t="str">
        <f>IFERROR(__xludf.DUMMYFUNCTION("""COMPUTED_VALUE"""),"OUT")</f>
        <v>OUT</v>
      </c>
      <c r="I2809" s="211" t="str">
        <f>IFERROR(__xludf.DUMMYFUNCTION("""COMPUTED_VALUE"""),"NORMAL")</f>
        <v>NORMAL</v>
      </c>
      <c r="J2809" s="211">
        <f>IFERROR(__xludf.DUMMYFUNCTION("""COMPUTED_VALUE"""),1.0)</f>
        <v>1</v>
      </c>
      <c r="K2809" s="210" t="str">
        <f>IFERROR(__xludf.DUMMYFUNCTION("""COMPUTED_VALUE"""),"11200")</f>
        <v>11200</v>
      </c>
      <c r="L2809" s="211">
        <f>IFERROR(__xludf.DUMMYFUNCTION("""COMPUTED_VALUE"""),55000.0)</f>
        <v>55000</v>
      </c>
      <c r="M2809" s="211"/>
      <c r="N2809" s="211"/>
      <c r="O2809" s="211"/>
      <c r="Q2809" s="210" t="str">
        <f>IFERROR(__xludf.DUMMYFUNCTION("""COMPUTED_VALUE"""),"032652809")</f>
        <v>032652809</v>
      </c>
      <c r="R2809" s="210" t="str">
        <f>IFERROR(__xludf.DUMMYFUNCTION("""COMPUTED_VALUE"""),"032652809")</f>
        <v>032652809</v>
      </c>
      <c r="S2809" s="211" t="str">
        <f>IFERROR(__xludf.DUMMYFUNCTION("""COMPUTED_VALUE"""),"1a1efff9")</f>
        <v>1a1efff9</v>
      </c>
      <c r="T2809" s="211" t="str">
        <f>IFERROR(__xludf.DUMMYFUNCTION("""COMPUTED_VALUE"""),"Bpk. Gito Mjs")</f>
        <v>Bpk. Gito Mjs</v>
      </c>
      <c r="U2809" s="215">
        <f>IFERROR(__xludf.DUMMYFUNCTION("""COMPUTED_VALUE"""),46091.34085648148)</f>
        <v>46091.34086</v>
      </c>
      <c r="V2809" s="211" t="str">
        <f>IFERROR(__xludf.DUMMYFUNCTION("""COMPUTED_VALUE"""),"FGRX+QQP, Kemloko, Jotangan, Kec. Mojosari, Kabupaten Mojokerto, Jawa Timur 61382")</f>
        <v>FGRX+QQP, Kemloko, Jotangan, Kec. Mojosari, Kabupaten Mojokerto, Jawa Timur 61382</v>
      </c>
      <c r="W2809" s="211" t="str">
        <f>IFERROR(__xludf.DUMMYFUNCTION("""COMPUTED_VALUE"""),"OUT")</f>
        <v>OUT</v>
      </c>
      <c r="X2809" s="211"/>
    </row>
    <row r="2810">
      <c r="A2810" s="210" t="str">
        <f>IFERROR(__xludf.DUMMYFUNCTION("""COMPUTED_VALUE"""),"1250950")</f>
        <v>1250950</v>
      </c>
      <c r="B2810" s="210" t="str">
        <f>IFERROR(__xludf.DUMMYFUNCTION("""COMPUTED_VALUE"""),"1250950")</f>
        <v>1250950</v>
      </c>
      <c r="C2810" s="213">
        <f>IFERROR(__xludf.DUMMYFUNCTION("""COMPUTED_VALUE"""),46004.60162037037)</f>
        <v>46004.60162</v>
      </c>
      <c r="D2810" s="211" t="str">
        <f>IFERROR(__xludf.DUMMYFUNCTION("""COMPUTED_VALUE"""),"8f5ebaea")</f>
        <v>8f5ebaea</v>
      </c>
      <c r="E2810" s="211" t="str">
        <f>IFERROR(__xludf.DUMMYFUNCTION("""COMPUTED_VALUE"""),"PT Hua Zong Mesindo")</f>
        <v>PT Hua Zong Mesindo</v>
      </c>
      <c r="F2810" s="211" t="str">
        <f>IFERROR(__xludf.DUMMYFUNCTION("""COMPUTED_VALUE"""),"8bdbe149")</f>
        <v>8bdbe149</v>
      </c>
      <c r="G2810" s="211" t="str">
        <f>IFERROR(__xludf.DUMMYFUNCTION("""COMPUTED_VALUE"""),"Oksigen 6m3")</f>
        <v>Oksigen 6m3</v>
      </c>
      <c r="H2810" s="211" t="str">
        <f>IFERROR(__xludf.DUMMYFUNCTION("""COMPUTED_VALUE"""),"IN")</f>
        <v>IN</v>
      </c>
      <c r="I2810" s="211" t="str">
        <f>IFERROR(__xludf.DUMMYFUNCTION("""COMPUTED_VALUE"""),"EMPTY")</f>
        <v>EMPTY</v>
      </c>
      <c r="J2810" s="211">
        <f>IFERROR(__xludf.DUMMYFUNCTION("""COMPUTED_VALUE"""),2.0)</f>
        <v>2</v>
      </c>
      <c r="K2810" s="210" t="str">
        <f>IFERROR(__xludf.DUMMYFUNCTION("""COMPUTED_VALUE"""),"11176 1139")</f>
        <v>11176 1139</v>
      </c>
      <c r="L2810" s="211">
        <f>IFERROR(__xludf.DUMMYFUNCTION("""COMPUTED_VALUE"""),0.0)</f>
        <v>0</v>
      </c>
      <c r="M2810" s="211"/>
      <c r="N2810" s="211"/>
      <c r="O2810" s="211"/>
      <c r="Q2810" s="210" t="str">
        <f>IFERROR(__xludf.DUMMYFUNCTION("""COMPUTED_VALUE"""),"0326932810")</f>
        <v>0326932810</v>
      </c>
      <c r="R2810" s="210" t="str">
        <f>IFERROR(__xludf.DUMMYFUNCTION("""COMPUTED_VALUE"""),"0326932810")</f>
        <v>0326932810</v>
      </c>
      <c r="S2810" s="211" t="str">
        <f>IFERROR(__xludf.DUMMYFUNCTION("""COMPUTED_VALUE"""),"b2b5f2c5")</f>
        <v>b2b5f2c5</v>
      </c>
      <c r="T2810" s="211" t="str">
        <f>IFERROR(__xludf.DUMMYFUNCTION("""COMPUTED_VALUE"""),"Bengkel Las Bpk. Ari")</f>
        <v>Bengkel Las Bpk. Ari</v>
      </c>
      <c r="U2810" s="215">
        <f>IFERROR(__xludf.DUMMYFUNCTION("""COMPUTED_VALUE"""),46091.34050925926)</f>
        <v>46091.34051</v>
      </c>
      <c r="V2810" s="211" t="str">
        <f>IFERROR(__xludf.DUMMYFUNCTION("""COMPUTED_VALUE"""),"Sumber Kembar, Wonodadi, Kec. Kutorejo, Kabupaten Mojokerto, Jawa Timur")</f>
        <v>Sumber Kembar, Wonodadi, Kec. Kutorejo, Kabupaten Mojokerto, Jawa Timur</v>
      </c>
      <c r="W2810" s="211" t="str">
        <f>IFERROR(__xludf.DUMMYFUNCTION("""COMPUTED_VALUE"""),"OUT")</f>
        <v>OUT</v>
      </c>
      <c r="X2810" s="211"/>
    </row>
    <row r="2811">
      <c r="A2811" s="210" t="str">
        <f>IFERROR(__xludf.DUMMYFUNCTION("""COMPUTED_VALUE"""),"122521975")</f>
        <v>122521975</v>
      </c>
      <c r="B2811" s="210" t="str">
        <f>IFERROR(__xludf.DUMMYFUNCTION("""COMPUTED_VALUE"""),"122521975")</f>
        <v>122521975</v>
      </c>
      <c r="C2811" s="213">
        <f>IFERROR(__xludf.DUMMYFUNCTION("""COMPUTED_VALUE"""),46006.37175925926)</f>
        <v>46006.37176</v>
      </c>
      <c r="D2811" s="211" t="str">
        <f>IFERROR(__xludf.DUMMYFUNCTION("""COMPUTED_VALUE"""),"9b941888")</f>
        <v>9b941888</v>
      </c>
      <c r="E2811" s="211" t="str">
        <f>IFERROR(__xludf.DUMMYFUNCTION("""COMPUTED_VALUE"""),"Mas Devi ( Parengan )")</f>
        <v>Mas Devi ( Parengan )</v>
      </c>
      <c r="F2811" s="211" t="str">
        <f>IFERROR(__xludf.DUMMYFUNCTION("""COMPUTED_VALUE"""),"7d2764f1")</f>
        <v>7d2764f1</v>
      </c>
      <c r="G2811" s="211" t="str">
        <f>IFERROR(__xludf.DUMMYFUNCTION("""COMPUTED_VALUE"""),"Oksigen 7m3")</f>
        <v>Oksigen 7m3</v>
      </c>
      <c r="H2811" s="211" t="str">
        <f>IFERROR(__xludf.DUMMYFUNCTION("""COMPUTED_VALUE"""),"OUT")</f>
        <v>OUT</v>
      </c>
      <c r="I2811" s="211" t="str">
        <f>IFERROR(__xludf.DUMMYFUNCTION("""COMPUTED_VALUE"""),"NORMAL")</f>
        <v>NORMAL</v>
      </c>
      <c r="J2811" s="211">
        <f>IFERROR(__xludf.DUMMYFUNCTION("""COMPUTED_VALUE"""),1.0)</f>
        <v>1</v>
      </c>
      <c r="K2811" s="210" t="str">
        <f>IFERROR(__xludf.DUMMYFUNCTION("""COMPUTED_VALUE"""),"11299")</f>
        <v>11299</v>
      </c>
      <c r="L2811" s="211">
        <f>IFERROR(__xludf.DUMMYFUNCTION("""COMPUTED_VALUE"""),80000.0)</f>
        <v>80000</v>
      </c>
      <c r="M2811" s="211"/>
      <c r="N2811" s="211"/>
      <c r="O2811" s="211"/>
      <c r="Q2811" s="210" t="str">
        <f>IFERROR(__xludf.DUMMYFUNCTION("""COMPUTED_VALUE"""),"0326142811")</f>
        <v>0326142811</v>
      </c>
      <c r="R2811" s="210" t="str">
        <f>IFERROR(__xludf.DUMMYFUNCTION("""COMPUTED_VALUE"""),"0326142811")</f>
        <v>0326142811</v>
      </c>
      <c r="S2811" s="211" t="str">
        <f>IFERROR(__xludf.DUMMYFUNCTION("""COMPUTED_VALUE"""),"98c84274")</f>
        <v>98c84274</v>
      </c>
      <c r="T2811" s="211" t="str">
        <f>IFERROR(__xludf.DUMMYFUNCTION("""COMPUTED_VALUE"""),"Bengkel SBM (Pak Hari)")</f>
        <v>Bengkel SBM (Pak Hari)</v>
      </c>
      <c r="U2811" s="215">
        <f>IFERROR(__xludf.DUMMYFUNCTION("""COMPUTED_VALUE"""),46091.37516203704)</f>
        <v>46091.37516</v>
      </c>
      <c r="V2811"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811" s="211" t="str">
        <f>IFERROR(__xludf.DUMMYFUNCTION("""COMPUTED_VALUE"""),"OUT")</f>
        <v>OUT</v>
      </c>
      <c r="X2811" s="211"/>
    </row>
    <row r="2812">
      <c r="A2812" s="210" t="str">
        <f>IFERROR(__xludf.DUMMYFUNCTION("""COMPUTED_VALUE"""),"1225401977")</f>
        <v>1225401977</v>
      </c>
      <c r="B2812" s="210" t="str">
        <f>IFERROR(__xludf.DUMMYFUNCTION("""COMPUTED_VALUE"""),"1225401977")</f>
        <v>1225401977</v>
      </c>
      <c r="C2812" s="213">
        <f>IFERROR(__xludf.DUMMYFUNCTION("""COMPUTED_VALUE"""),46006.37328703704)</f>
        <v>46006.37329</v>
      </c>
      <c r="D2812" s="211" t="str">
        <f>IFERROR(__xludf.DUMMYFUNCTION("""COMPUTED_VALUE"""),"01158be1")</f>
        <v>01158be1</v>
      </c>
      <c r="E2812" s="211" t="str">
        <f>IFERROR(__xludf.DUMMYFUNCTION("""COMPUTED_VALUE"""),"GYF")</f>
        <v>GYF</v>
      </c>
      <c r="F2812" s="211" t="str">
        <f>IFERROR(__xludf.DUMMYFUNCTION("""COMPUTED_VALUE"""),"8bdbe149")</f>
        <v>8bdbe149</v>
      </c>
      <c r="G2812" s="211" t="str">
        <f>IFERROR(__xludf.DUMMYFUNCTION("""COMPUTED_VALUE"""),"Oksigen 6m3")</f>
        <v>Oksigen 6m3</v>
      </c>
      <c r="H2812" s="211" t="str">
        <f>IFERROR(__xludf.DUMMYFUNCTION("""COMPUTED_VALUE"""),"OUT")</f>
        <v>OUT</v>
      </c>
      <c r="I2812" s="211" t="str">
        <f>IFERROR(__xludf.DUMMYFUNCTION("""COMPUTED_VALUE"""),"NORMAL")</f>
        <v>NORMAL</v>
      </c>
      <c r="J2812" s="211">
        <f>IFERROR(__xludf.DUMMYFUNCTION("""COMPUTED_VALUE"""),10.0)</f>
        <v>10</v>
      </c>
      <c r="K2812" s="210" t="str">
        <f>IFERROR(__xludf.DUMMYFUNCTION("""COMPUTED_VALUE"""),"11278 1117 11165 11209 11124 1189 11281 1148 11284 1131")</f>
        <v>11278 1117 11165 11209 11124 1189 11281 1148 11284 1131</v>
      </c>
      <c r="L2812" s="211">
        <f>IFERROR(__xludf.DUMMYFUNCTION("""COMPUTED_VALUE"""),45000.0)</f>
        <v>45000</v>
      </c>
      <c r="M2812" s="211"/>
      <c r="N2812" s="211"/>
      <c r="O2812" s="211"/>
      <c r="Q2812" s="210" t="str">
        <f>IFERROR(__xludf.DUMMYFUNCTION("""COMPUTED_VALUE"""),"0326142812")</f>
        <v>0326142812</v>
      </c>
      <c r="R2812" s="210" t="str">
        <f>IFERROR(__xludf.DUMMYFUNCTION("""COMPUTED_VALUE"""),"0326142812")</f>
        <v>0326142812</v>
      </c>
      <c r="S2812" s="211" t="str">
        <f>IFERROR(__xludf.DUMMYFUNCTION("""COMPUTED_VALUE"""),"ba97d58d")</f>
        <v>ba97d58d</v>
      </c>
      <c r="T2812" s="211" t="str">
        <f>IFERROR(__xludf.DUMMYFUNCTION("""COMPUTED_VALUE"""),"Bengkel Citra Mojosari")</f>
        <v>Bengkel Citra Mojosari</v>
      </c>
      <c r="U2812" s="215">
        <f>IFERROR(__xludf.DUMMYFUNCTION("""COMPUTED_VALUE"""),46091.398935185185)</f>
        <v>46091.39894</v>
      </c>
      <c r="V2812" s="211" t="str">
        <f>IFERROR(__xludf.DUMMYFUNCTION("""COMPUTED_VALUE"""),"Jl. Raden Wijaya, Kemloko, Jotangan, Kec. Mojosari, Kabupaten Mojokerto, Jawa Timur 61382")</f>
        <v>Jl. Raden Wijaya, Kemloko, Jotangan, Kec. Mojosari, Kabupaten Mojokerto, Jawa Timur 61382</v>
      </c>
      <c r="W2812" s="211" t="str">
        <f>IFERROR(__xludf.DUMMYFUNCTION("""COMPUTED_VALUE"""),"OUT")</f>
        <v>OUT</v>
      </c>
      <c r="X2812" s="211"/>
    </row>
    <row r="2813">
      <c r="A2813" s="210" t="str">
        <f>IFERROR(__xludf.DUMMYFUNCTION("""COMPUTED_VALUE"""),"122551978")</f>
        <v>122551978</v>
      </c>
      <c r="B2813" s="210" t="str">
        <f>IFERROR(__xludf.DUMMYFUNCTION("""COMPUTED_VALUE"""),"122551978")</f>
        <v>122551978</v>
      </c>
      <c r="C2813" s="213">
        <f>IFERROR(__xludf.DUMMYFUNCTION("""COMPUTED_VALUE"""),46006.3780787037)</f>
        <v>46006.37808</v>
      </c>
      <c r="D2813" s="211" t="str">
        <f>IFERROR(__xludf.DUMMYFUNCTION("""COMPUTED_VALUE"""),"734c6d17")</f>
        <v>734c6d17</v>
      </c>
      <c r="E2813" s="211" t="str">
        <f>IFERROR(__xludf.DUMMYFUNCTION("""COMPUTED_VALUE"""),"Bapak Ainol Yaqin ( Bpk. Ibnu )")</f>
        <v>Bapak Ainol Yaqin ( Bpk. Ibnu )</v>
      </c>
      <c r="F2813" s="211" t="str">
        <f>IFERROR(__xludf.DUMMYFUNCTION("""COMPUTED_VALUE"""),"7d2764f1")</f>
        <v>7d2764f1</v>
      </c>
      <c r="G2813" s="211" t="str">
        <f>IFERROR(__xludf.DUMMYFUNCTION("""COMPUTED_VALUE"""),"Oksigen 7m3")</f>
        <v>Oksigen 7m3</v>
      </c>
      <c r="H2813" s="211" t="str">
        <f>IFERROR(__xludf.DUMMYFUNCTION("""COMPUTED_VALUE"""),"OUT")</f>
        <v>OUT</v>
      </c>
      <c r="I2813" s="211" t="str">
        <f>IFERROR(__xludf.DUMMYFUNCTION("""COMPUTED_VALUE"""),"NORMAL")</f>
        <v>NORMAL</v>
      </c>
      <c r="J2813" s="211">
        <f>IFERROR(__xludf.DUMMYFUNCTION("""COMPUTED_VALUE"""),3.0)</f>
        <v>3</v>
      </c>
      <c r="K2813" s="210" t="str">
        <f>IFERROR(__xludf.DUMMYFUNCTION("""COMPUTED_VALUE"""),"11219 11222 11300")</f>
        <v>11219 11222 11300</v>
      </c>
      <c r="L2813" s="211">
        <f>IFERROR(__xludf.DUMMYFUNCTION("""COMPUTED_VALUE"""),60000.0)</f>
        <v>60000</v>
      </c>
      <c r="M2813" s="211"/>
      <c r="N2813" s="211"/>
      <c r="O2813" s="211"/>
      <c r="Q2813" s="210" t="str">
        <f>IFERROR(__xludf.DUMMYFUNCTION("""COMPUTED_VALUE"""),"1261390")</f>
        <v>1261390</v>
      </c>
      <c r="R2813" s="210" t="str">
        <f>IFERROR(__xludf.DUMMYFUNCTION("""COMPUTED_VALUE"""),"1261390")</f>
        <v>1261390</v>
      </c>
      <c r="S2813" s="211" t="str">
        <f>IFERROR(__xludf.DUMMYFUNCTION("""COMPUTED_VALUE"""),"98c84274")</f>
        <v>98c84274</v>
      </c>
      <c r="T2813" s="211" t="str">
        <f>IFERROR(__xludf.DUMMYFUNCTION("""COMPUTED_VALUE"""),"Bengkel SBM (Pak Hari)")</f>
        <v>Bengkel SBM (Pak Hari)</v>
      </c>
      <c r="U2813" s="215">
        <f>IFERROR(__xludf.DUMMYFUNCTION("""COMPUTED_VALUE"""),46066.603321759256)</f>
        <v>46066.60332</v>
      </c>
      <c r="V281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813" s="211" t="str">
        <f>IFERROR(__xludf.DUMMYFUNCTION("""COMPUTED_VALUE"""),"IN")</f>
        <v>IN</v>
      </c>
      <c r="X2813" s="211"/>
    </row>
    <row r="2814">
      <c r="A2814" s="210" t="str">
        <f>IFERROR(__xludf.DUMMYFUNCTION("""COMPUTED_VALUE"""),"1250937")</f>
        <v>1250937</v>
      </c>
      <c r="B2814" s="210" t="str">
        <f>IFERROR(__xludf.DUMMYFUNCTION("""COMPUTED_VALUE"""),"1250937")</f>
        <v>1250937</v>
      </c>
      <c r="C2814" s="213">
        <f>IFERROR(__xludf.DUMMYFUNCTION("""COMPUTED_VALUE"""),46006.38159722222)</f>
        <v>46006.3816</v>
      </c>
      <c r="D2814" s="211" t="str">
        <f>IFERROR(__xludf.DUMMYFUNCTION("""COMPUTED_VALUE"""),"03ff52db")</f>
        <v>03ff52db</v>
      </c>
      <c r="E2814" s="211" t="str">
        <f>IFERROR(__xludf.DUMMYFUNCTION("""COMPUTED_VALUE"""),"Aneka Teknik Logam")</f>
        <v>Aneka Teknik Logam</v>
      </c>
      <c r="F2814" s="211" t="str">
        <f>IFERROR(__xludf.DUMMYFUNCTION("""COMPUTED_VALUE"""),"7d2764f1")</f>
        <v>7d2764f1</v>
      </c>
      <c r="G2814" s="211" t="str">
        <f>IFERROR(__xludf.DUMMYFUNCTION("""COMPUTED_VALUE"""),"Oksigen 7m3")</f>
        <v>Oksigen 7m3</v>
      </c>
      <c r="H2814" s="211" t="str">
        <f>IFERROR(__xludf.DUMMYFUNCTION("""COMPUTED_VALUE"""),"IN")</f>
        <v>IN</v>
      </c>
      <c r="I2814" s="211" t="str">
        <f>IFERROR(__xludf.DUMMYFUNCTION("""COMPUTED_VALUE"""),"EMPTY")</f>
        <v>EMPTY</v>
      </c>
      <c r="J2814" s="211">
        <f>IFERROR(__xludf.DUMMYFUNCTION("""COMPUTED_VALUE"""),2.0)</f>
        <v>2</v>
      </c>
      <c r="K2814" s="210" t="str">
        <f>IFERROR(__xludf.DUMMYFUNCTION("""COMPUTED_VALUE"""),"11299 11300")</f>
        <v>11299 11300</v>
      </c>
      <c r="L2814" s="211">
        <f>IFERROR(__xludf.DUMMYFUNCTION("""COMPUTED_VALUE"""),0.0)</f>
        <v>0</v>
      </c>
      <c r="M2814" s="211"/>
      <c r="N2814" s="211"/>
      <c r="O2814" s="211"/>
      <c r="Q2814" s="210" t="str">
        <f>IFERROR(__xludf.DUMMYFUNCTION("""COMPUTED_VALUE"""),"1261377")</f>
        <v>1261377</v>
      </c>
      <c r="R2814" s="210" t="str">
        <f>IFERROR(__xludf.DUMMYFUNCTION("""COMPUTED_VALUE"""),"1261377")</f>
        <v>1261377</v>
      </c>
      <c r="S2814" s="211" t="str">
        <f>IFERROR(__xludf.DUMMYFUNCTION("""COMPUTED_VALUE"""),"63fc688a")</f>
        <v>63fc688a</v>
      </c>
      <c r="T2814" s="211" t="str">
        <f>IFERROR(__xludf.DUMMYFUNCTION("""COMPUTED_VALUE"""),"CV Malik Nusantara")</f>
        <v>CV Malik Nusantara</v>
      </c>
      <c r="U2814" s="215">
        <f>IFERROR(__xludf.DUMMYFUNCTION("""COMPUTED_VALUE"""),46091.450636574074)</f>
        <v>46091.45064</v>
      </c>
      <c r="V2814" s="211" t="str">
        <f>IFERROR(__xludf.DUMMYFUNCTION("""COMPUTED_VALUE"""),"Jl. Raya Balongbendo No.12, Suwaluh Utara, Suwaluh, Kec. BalongBendo, Kabupaten Sidoarjo, Jawa Timur 61263")</f>
        <v>Jl. Raya Balongbendo No.12, Suwaluh Utara, Suwaluh, Kec. BalongBendo, Kabupaten Sidoarjo, Jawa Timur 61263</v>
      </c>
      <c r="W2814" s="211" t="str">
        <f>IFERROR(__xludf.DUMMYFUNCTION("""COMPUTED_VALUE"""),"IN")</f>
        <v>IN</v>
      </c>
      <c r="X2814" s="211"/>
    </row>
    <row r="2815">
      <c r="A2815" s="210" t="str">
        <f>IFERROR(__xludf.DUMMYFUNCTION("""COMPUTED_VALUE"""),"1250938")</f>
        <v>1250938</v>
      </c>
      <c r="B2815" s="210" t="str">
        <f>IFERROR(__xludf.DUMMYFUNCTION("""COMPUTED_VALUE"""),"1250938")</f>
        <v>1250938</v>
      </c>
      <c r="C2815" s="213">
        <f>IFERROR(__xludf.DUMMYFUNCTION("""COMPUTED_VALUE"""),46006.38233796296)</f>
        <v>46006.38234</v>
      </c>
      <c r="D2815" s="211" t="str">
        <f>IFERROR(__xludf.DUMMYFUNCTION("""COMPUTED_VALUE"""),"b2b5f2c5")</f>
        <v>b2b5f2c5</v>
      </c>
      <c r="E2815" s="211" t="str">
        <f>IFERROR(__xludf.DUMMYFUNCTION("""COMPUTED_VALUE"""),"Bengkel Las Bpk. Ari")</f>
        <v>Bengkel Las Bpk. Ari</v>
      </c>
      <c r="F2815" s="211" t="str">
        <f>IFERROR(__xludf.DUMMYFUNCTION("""COMPUTED_VALUE"""),"8bdbe149")</f>
        <v>8bdbe149</v>
      </c>
      <c r="G2815" s="211" t="str">
        <f>IFERROR(__xludf.DUMMYFUNCTION("""COMPUTED_VALUE"""),"Oksigen 6m3")</f>
        <v>Oksigen 6m3</v>
      </c>
      <c r="H2815" s="211" t="str">
        <f>IFERROR(__xludf.DUMMYFUNCTION("""COMPUTED_VALUE"""),"IN")</f>
        <v>IN</v>
      </c>
      <c r="I2815" s="211" t="str">
        <f>IFERROR(__xludf.DUMMYFUNCTION("""COMPUTED_VALUE"""),"EMPTY")</f>
        <v>EMPTY</v>
      </c>
      <c r="J2815" s="211">
        <f>IFERROR(__xludf.DUMMYFUNCTION("""COMPUTED_VALUE"""),5.0)</f>
        <v>5</v>
      </c>
      <c r="K2815" s="210" t="str">
        <f>IFERROR(__xludf.DUMMYFUNCTION("""COMPUTED_VALUE"""),"11205 1198 1181 11288 1110")</f>
        <v>11205 1198 1181 11288 1110</v>
      </c>
      <c r="L2815" s="211">
        <f>IFERROR(__xludf.DUMMYFUNCTION("""COMPUTED_VALUE"""),0.0)</f>
        <v>0</v>
      </c>
      <c r="M2815" s="211"/>
      <c r="N2815" s="211"/>
      <c r="O2815" s="211"/>
      <c r="Q2815" s="210" t="str">
        <f>IFERROR(__xludf.DUMMYFUNCTION("""COMPUTED_VALUE"""),"1261378")</f>
        <v>1261378</v>
      </c>
      <c r="R2815" s="210" t="str">
        <f>IFERROR(__xludf.DUMMYFUNCTION("""COMPUTED_VALUE"""),"1261378")</f>
        <v>1261378</v>
      </c>
      <c r="S2815" s="211" t="str">
        <f>IFERROR(__xludf.DUMMYFUNCTION("""COMPUTED_VALUE"""),"d9b2fac5")</f>
        <v>d9b2fac5</v>
      </c>
      <c r="T2815" s="211" t="str">
        <f>IFERROR(__xludf.DUMMYFUNCTION("""COMPUTED_VALUE"""),"Dwi Riza ( Ponokawan)")</f>
        <v>Dwi Riza ( Ponokawan)</v>
      </c>
      <c r="U2815" s="215">
        <f>IFERROR(__xludf.DUMMYFUNCTION("""COMPUTED_VALUE"""),46091.451886574076)</f>
        <v>46091.45189</v>
      </c>
      <c r="V2815" s="211" t="str">
        <f>IFERROR(__xludf.DUMMYFUNCTION("""COMPUTED_VALUE"""),"Jl. Raya Ponokawan No.28 RT 07 RW 03 Kec. Krian Sidoarjo (Seberang Bengkel An.Nur/ Deretan Baraka Expres)")</f>
        <v>Jl. Raya Ponokawan No.28 RT 07 RW 03 Kec. Krian Sidoarjo (Seberang Bengkel An.Nur/ Deretan Baraka Expres)</v>
      </c>
      <c r="W2815" s="211" t="str">
        <f>IFERROR(__xludf.DUMMYFUNCTION("""COMPUTED_VALUE"""),"IN")</f>
        <v>IN</v>
      </c>
      <c r="X2815" s="211"/>
    </row>
    <row r="2816">
      <c r="A2816" s="210" t="str">
        <f>IFERROR(__xludf.DUMMYFUNCTION("""COMPUTED_VALUE"""),"1250937")</f>
        <v>1250937</v>
      </c>
      <c r="B2816" s="210" t="str">
        <f>IFERROR(__xludf.DUMMYFUNCTION("""COMPUTED_VALUE"""),"1250937")</f>
        <v>1250937</v>
      </c>
      <c r="C2816" s="213">
        <f>IFERROR(__xludf.DUMMYFUNCTION("""COMPUTED_VALUE"""),46006.38159722222)</f>
        <v>46006.3816</v>
      </c>
      <c r="D2816" s="211" t="str">
        <f>IFERROR(__xludf.DUMMYFUNCTION("""COMPUTED_VALUE"""),"03ff52db")</f>
        <v>03ff52db</v>
      </c>
      <c r="E2816" s="211" t="str">
        <f>IFERROR(__xludf.DUMMYFUNCTION("""COMPUTED_VALUE"""),"Aneka Teknik Logam")</f>
        <v>Aneka Teknik Logam</v>
      </c>
      <c r="F2816" s="211" t="str">
        <f>IFERROR(__xludf.DUMMYFUNCTION("""COMPUTED_VALUE"""),"f6aab7a9")</f>
        <v>f6aab7a9</v>
      </c>
      <c r="G2816" s="211" t="str">
        <f>IFERROR(__xludf.DUMMYFUNCTION("""COMPUTED_VALUE"""),"Oksigen 6m3 MR")</f>
        <v>Oksigen 6m3 MR</v>
      </c>
      <c r="H2816" s="211" t="str">
        <f>IFERROR(__xludf.DUMMYFUNCTION("""COMPUTED_VALUE"""),"IN")</f>
        <v>IN</v>
      </c>
      <c r="I2816" s="211" t="str">
        <f>IFERROR(__xludf.DUMMYFUNCTION("""COMPUTED_VALUE"""),"EMPTY")</f>
        <v>EMPTY</v>
      </c>
      <c r="J2816" s="211">
        <f>IFERROR(__xludf.DUMMYFUNCTION("""COMPUTED_VALUE"""),1.0)</f>
        <v>1</v>
      </c>
      <c r="K2816" s="210" t="str">
        <f>IFERROR(__xludf.DUMMYFUNCTION("""COMPUTED_VALUE"""),"01")</f>
        <v>01</v>
      </c>
      <c r="L2816" s="211">
        <f>IFERROR(__xludf.DUMMYFUNCTION("""COMPUTED_VALUE"""),0.0)</f>
        <v>0</v>
      </c>
      <c r="M2816" s="211"/>
      <c r="N2816" s="211"/>
      <c r="O2816" s="211"/>
      <c r="Q2816" s="210" t="str">
        <f>IFERROR(__xludf.DUMMYFUNCTION("""COMPUTED_VALUE"""),"1261386")</f>
        <v>1261386</v>
      </c>
      <c r="R2816" s="210" t="str">
        <f>IFERROR(__xludf.DUMMYFUNCTION("""COMPUTED_VALUE"""),"1261386")</f>
        <v>1261386</v>
      </c>
      <c r="S2816" s="211" t="str">
        <f>IFERROR(__xludf.DUMMYFUNCTION("""COMPUTED_VALUE"""),"ba97d58d")</f>
        <v>ba97d58d</v>
      </c>
      <c r="T2816" s="211" t="str">
        <f>IFERROR(__xludf.DUMMYFUNCTION("""COMPUTED_VALUE"""),"Bengkel Citra Mojosari")</f>
        <v>Bengkel Citra Mojosari</v>
      </c>
      <c r="U2816" s="215">
        <f>IFERROR(__xludf.DUMMYFUNCTION("""COMPUTED_VALUE"""),46091.60041666667)</f>
        <v>46091.60042</v>
      </c>
      <c r="V2816" s="211" t="str">
        <f>IFERROR(__xludf.DUMMYFUNCTION("""COMPUTED_VALUE"""),"Jl. Raden Wijaya, Kemloko, Jotangan, Kec. Mojosari, Kabupaten Mojokerto, Jawa Timur 61382")</f>
        <v>Jl. Raden Wijaya, Kemloko, Jotangan, Kec. Mojosari, Kabupaten Mojokerto, Jawa Timur 61382</v>
      </c>
      <c r="W2816" s="211" t="str">
        <f>IFERROR(__xludf.DUMMYFUNCTION("""COMPUTED_VALUE"""),"IN")</f>
        <v>IN</v>
      </c>
      <c r="X2816" s="211"/>
    </row>
    <row r="2817">
      <c r="A2817" s="210" t="str">
        <f>IFERROR(__xludf.DUMMYFUNCTION("""COMPUTED_VALUE"""),"1250946")</f>
        <v>1250946</v>
      </c>
      <c r="B2817" s="210" t="str">
        <f>IFERROR(__xludf.DUMMYFUNCTION("""COMPUTED_VALUE"""),"1250946")</f>
        <v>1250946</v>
      </c>
      <c r="C2817" s="213">
        <f>IFERROR(__xludf.DUMMYFUNCTION("""COMPUTED_VALUE"""),46006.4200462963)</f>
        <v>46006.42005</v>
      </c>
      <c r="D2817" s="211" t="str">
        <f>IFERROR(__xludf.DUMMYFUNCTION("""COMPUTED_VALUE"""),"734c6d17")</f>
        <v>734c6d17</v>
      </c>
      <c r="E2817" s="211" t="str">
        <f>IFERROR(__xludf.DUMMYFUNCTION("""COMPUTED_VALUE"""),"Bapak Ainol Yaqin ( Bpk. Ibnu )")</f>
        <v>Bapak Ainol Yaqin ( Bpk. Ibnu )</v>
      </c>
      <c r="F2817" s="211" t="str">
        <f>IFERROR(__xludf.DUMMYFUNCTION("""COMPUTED_VALUE"""),"7d2764f1")</f>
        <v>7d2764f1</v>
      </c>
      <c r="G2817" s="211" t="str">
        <f>IFERROR(__xludf.DUMMYFUNCTION("""COMPUTED_VALUE"""),"Oksigen 7m3")</f>
        <v>Oksigen 7m3</v>
      </c>
      <c r="H2817" s="211" t="str">
        <f>IFERROR(__xludf.DUMMYFUNCTION("""COMPUTED_VALUE"""),"IN")</f>
        <v>IN</v>
      </c>
      <c r="I2817" s="211" t="str">
        <f>IFERROR(__xludf.DUMMYFUNCTION("""COMPUTED_VALUE"""),"EMPTY")</f>
        <v>EMPTY</v>
      </c>
      <c r="J2817" s="211">
        <f>IFERROR(__xludf.DUMMYFUNCTION("""COMPUTED_VALUE"""),1.0)</f>
        <v>1</v>
      </c>
      <c r="K2817" s="210" t="str">
        <f>IFERROR(__xludf.DUMMYFUNCTION("""COMPUTED_VALUE"""),"11142")</f>
        <v>11142</v>
      </c>
      <c r="L2817" s="211">
        <f>IFERROR(__xludf.DUMMYFUNCTION("""COMPUTED_VALUE"""),0.0)</f>
        <v>0</v>
      </c>
      <c r="M2817" s="211"/>
      <c r="N2817" s="211"/>
      <c r="O2817" s="211"/>
      <c r="Q2817" s="210" t="str">
        <f>IFERROR(__xludf.DUMMYFUNCTION("""COMPUTED_VALUE"""),"1261387")</f>
        <v>1261387</v>
      </c>
      <c r="R2817" s="210" t="str">
        <f>IFERROR(__xludf.DUMMYFUNCTION("""COMPUTED_VALUE"""),"1261387")</f>
        <v>1261387</v>
      </c>
      <c r="S2817" s="211" t="str">
        <f>IFERROR(__xludf.DUMMYFUNCTION("""COMPUTED_VALUE"""),"1a1efff9")</f>
        <v>1a1efff9</v>
      </c>
      <c r="T2817" s="211" t="str">
        <f>IFERROR(__xludf.DUMMYFUNCTION("""COMPUTED_VALUE"""),"Bpk. Gito Mjs")</f>
        <v>Bpk. Gito Mjs</v>
      </c>
      <c r="U2817" s="215">
        <f>IFERROR(__xludf.DUMMYFUNCTION("""COMPUTED_VALUE"""),46091.60173611111)</f>
        <v>46091.60174</v>
      </c>
      <c r="V2817" s="211" t="str">
        <f>IFERROR(__xludf.DUMMYFUNCTION("""COMPUTED_VALUE"""),"FGRX+QQP, Kemloko, Jotangan, Kec. Mojosari, Kabupaten Mojokerto, Jawa Timur 61382")</f>
        <v>FGRX+QQP, Kemloko, Jotangan, Kec. Mojosari, Kabupaten Mojokerto, Jawa Timur 61382</v>
      </c>
      <c r="W2817" s="211" t="str">
        <f>IFERROR(__xludf.DUMMYFUNCTION("""COMPUTED_VALUE"""),"IN")</f>
        <v>IN</v>
      </c>
      <c r="X2817" s="211"/>
    </row>
    <row r="2818">
      <c r="A2818" s="210" t="str">
        <f>IFERROR(__xludf.DUMMYFUNCTION("""COMPUTED_VALUE"""),"1250946")</f>
        <v>1250946</v>
      </c>
      <c r="B2818" s="210" t="str">
        <f>IFERROR(__xludf.DUMMYFUNCTION("""COMPUTED_VALUE"""),"1250946")</f>
        <v>1250946</v>
      </c>
      <c r="C2818" s="213">
        <f>IFERROR(__xludf.DUMMYFUNCTION("""COMPUTED_VALUE"""),46006.4200462963)</f>
        <v>46006.42005</v>
      </c>
      <c r="D2818" s="211" t="str">
        <f>IFERROR(__xludf.DUMMYFUNCTION("""COMPUTED_VALUE"""),"734c6d17")</f>
        <v>734c6d17</v>
      </c>
      <c r="E2818" s="211" t="str">
        <f>IFERROR(__xludf.DUMMYFUNCTION("""COMPUTED_VALUE"""),"Bapak Ainol Yaqin ( Bpk. Ibnu )")</f>
        <v>Bapak Ainol Yaqin ( Bpk. Ibnu )</v>
      </c>
      <c r="F2818" s="211" t="str">
        <f>IFERROR(__xludf.DUMMYFUNCTION("""COMPUTED_VALUE"""),"8bdbe149")</f>
        <v>8bdbe149</v>
      </c>
      <c r="G2818" s="211" t="str">
        <f>IFERROR(__xludf.DUMMYFUNCTION("""COMPUTED_VALUE"""),"Oksigen 6m3")</f>
        <v>Oksigen 6m3</v>
      </c>
      <c r="H2818" s="211" t="str">
        <f>IFERROR(__xludf.DUMMYFUNCTION("""COMPUTED_VALUE"""),"IN")</f>
        <v>IN</v>
      </c>
      <c r="I2818" s="211" t="str">
        <f>IFERROR(__xludf.DUMMYFUNCTION("""COMPUTED_VALUE"""),"EMPTY")</f>
        <v>EMPTY</v>
      </c>
      <c r="J2818" s="211">
        <f>IFERROR(__xludf.DUMMYFUNCTION("""COMPUTED_VALUE"""),2.0)</f>
        <v>2</v>
      </c>
      <c r="K2818" s="210" t="str">
        <f>IFERROR(__xludf.DUMMYFUNCTION("""COMPUTED_VALUE"""),"11261 11105")</f>
        <v>11261 11105</v>
      </c>
      <c r="L2818" s="211">
        <f>IFERROR(__xludf.DUMMYFUNCTION("""COMPUTED_VALUE"""),0.0)</f>
        <v>0</v>
      </c>
      <c r="M2818" s="211"/>
      <c r="N2818" s="211"/>
      <c r="O2818" s="211"/>
      <c r="Q2818" s="210" t="str">
        <f>IFERROR(__xludf.DUMMYFUNCTION("""COMPUTED_VALUE"""),"1261388")</f>
        <v>1261388</v>
      </c>
      <c r="R2818" s="210" t="str">
        <f>IFERROR(__xludf.DUMMYFUNCTION("""COMPUTED_VALUE"""),"1261388")</f>
        <v>1261388</v>
      </c>
      <c r="S2818" s="211" t="str">
        <f>IFERROR(__xludf.DUMMYFUNCTION("""COMPUTED_VALUE"""),"b2b5f2c5")</f>
        <v>b2b5f2c5</v>
      </c>
      <c r="T2818" s="211" t="str">
        <f>IFERROR(__xludf.DUMMYFUNCTION("""COMPUTED_VALUE"""),"Bengkel Las Bpk. Ari")</f>
        <v>Bengkel Las Bpk. Ari</v>
      </c>
      <c r="U2818" s="215">
        <f>IFERROR(__xludf.DUMMYFUNCTION("""COMPUTED_VALUE"""),46091.602638888886)</f>
        <v>46091.60264</v>
      </c>
      <c r="V2818" s="211" t="str">
        <f>IFERROR(__xludf.DUMMYFUNCTION("""COMPUTED_VALUE"""),"Sumber Kembar, Wonodadi, Kec. Kutorejo, Kabupaten Mojokerto, Jawa Timur")</f>
        <v>Sumber Kembar, Wonodadi, Kec. Kutorejo, Kabupaten Mojokerto, Jawa Timur</v>
      </c>
      <c r="W2818" s="211" t="str">
        <f>IFERROR(__xludf.DUMMYFUNCTION("""COMPUTED_VALUE"""),"IN")</f>
        <v>IN</v>
      </c>
      <c r="X2818" s="211"/>
    </row>
    <row r="2819">
      <c r="A2819" s="210" t="str">
        <f>IFERROR(__xludf.DUMMYFUNCTION("""COMPUTED_VALUE"""),"122561979")</f>
        <v>122561979</v>
      </c>
      <c r="B2819" s="210" t="str">
        <f>IFERROR(__xludf.DUMMYFUNCTION("""COMPUTED_VALUE"""),"122561979")</f>
        <v>122561979</v>
      </c>
      <c r="C2819" s="213">
        <f>IFERROR(__xludf.DUMMYFUNCTION("""COMPUTED_VALUE"""),46006.51866898148)</f>
        <v>46006.51867</v>
      </c>
      <c r="D2819" s="211" t="str">
        <f>IFERROR(__xludf.DUMMYFUNCTION("""COMPUTED_VALUE"""),"f8a982a4")</f>
        <v>f8a982a4</v>
      </c>
      <c r="E2819" s="211" t="str">
        <f>IFERROR(__xludf.DUMMYFUNCTION("""COMPUTED_VALUE"""),"Bpk. Nasir")</f>
        <v>Bpk. Nasir</v>
      </c>
      <c r="F2819" s="211" t="str">
        <f>IFERROR(__xludf.DUMMYFUNCTION("""COMPUTED_VALUE"""),"8bdbe149")</f>
        <v>8bdbe149</v>
      </c>
      <c r="G2819" s="211" t="str">
        <f>IFERROR(__xludf.DUMMYFUNCTION("""COMPUTED_VALUE"""),"Oksigen 6m3")</f>
        <v>Oksigen 6m3</v>
      </c>
      <c r="H2819" s="211" t="str">
        <f>IFERROR(__xludf.DUMMYFUNCTION("""COMPUTED_VALUE"""),"OUT")</f>
        <v>OUT</v>
      </c>
      <c r="I2819" s="211" t="str">
        <f>IFERROR(__xludf.DUMMYFUNCTION("""COMPUTED_VALUE"""),"NORMAL")</f>
        <v>NORMAL</v>
      </c>
      <c r="J2819" s="211">
        <f>IFERROR(__xludf.DUMMYFUNCTION("""COMPUTED_VALUE"""),2.0)</f>
        <v>2</v>
      </c>
      <c r="K2819" s="210" t="str">
        <f>IFERROR(__xludf.DUMMYFUNCTION("""COMPUTED_VALUE"""),"1198 12")</f>
        <v>1198 12</v>
      </c>
      <c r="L2819" s="211">
        <f>IFERROR(__xludf.DUMMYFUNCTION("""COMPUTED_VALUE"""),70000.0)</f>
        <v>70000</v>
      </c>
      <c r="M2819" s="211"/>
      <c r="N2819" s="211"/>
      <c r="O2819" s="211"/>
      <c r="Q2819" s="210" t="str">
        <f>IFERROR(__xludf.DUMMYFUNCTION("""COMPUTED_VALUE"""),"1261385")</f>
        <v>1261385</v>
      </c>
      <c r="R2819" s="210" t="str">
        <f>IFERROR(__xludf.DUMMYFUNCTION("""COMPUTED_VALUE"""),"1261385")</f>
        <v>1261385</v>
      </c>
      <c r="S2819" s="211" t="str">
        <f>IFERROR(__xludf.DUMMYFUNCTION("""COMPUTED_VALUE"""),"98c84274")</f>
        <v>98c84274</v>
      </c>
      <c r="T2819" s="211" t="str">
        <f>IFERROR(__xludf.DUMMYFUNCTION("""COMPUTED_VALUE"""),"Bengkel SBM (Pak Hari)")</f>
        <v>Bengkel SBM (Pak Hari)</v>
      </c>
      <c r="U2819" s="215">
        <f>IFERROR(__xludf.DUMMYFUNCTION("""COMPUTED_VALUE"""),46091.603414351855)</f>
        <v>46091.60341</v>
      </c>
      <c r="V281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819" s="211" t="str">
        <f>IFERROR(__xludf.DUMMYFUNCTION("""COMPUTED_VALUE"""),"IN")</f>
        <v>IN</v>
      </c>
      <c r="X2819" s="211"/>
    </row>
    <row r="2820">
      <c r="A2820" s="210" t="str">
        <f>IFERROR(__xludf.DUMMYFUNCTION("""COMPUTED_VALUE"""),"122511983")</f>
        <v>122511983</v>
      </c>
      <c r="B2820" s="210" t="str">
        <f>IFERROR(__xludf.DUMMYFUNCTION("""COMPUTED_VALUE"""),"122511983")</f>
        <v>122511983</v>
      </c>
      <c r="C2820" s="213">
        <f>IFERROR(__xludf.DUMMYFUNCTION("""COMPUTED_VALUE"""),46006.521574074075)</f>
        <v>46006.52157</v>
      </c>
      <c r="D2820" s="211" t="str">
        <f>IFERROR(__xludf.DUMMYFUNCTION("""COMPUTED_VALUE"""),"d46989c9")</f>
        <v>d46989c9</v>
      </c>
      <c r="E2820" s="211" t="str">
        <f>IFERROR(__xludf.DUMMYFUNCTION("""COMPUTED_VALUE"""),"UD. Alin Jaya")</f>
        <v>UD. Alin Jaya</v>
      </c>
      <c r="F2820" s="211" t="str">
        <f>IFERROR(__xludf.DUMMYFUNCTION("""COMPUTED_VALUE"""),"8bdbe149")</f>
        <v>8bdbe149</v>
      </c>
      <c r="G2820" s="211" t="str">
        <f>IFERROR(__xludf.DUMMYFUNCTION("""COMPUTED_VALUE"""),"Oksigen 6m3")</f>
        <v>Oksigen 6m3</v>
      </c>
      <c r="H2820" s="211" t="str">
        <f>IFERROR(__xludf.DUMMYFUNCTION("""COMPUTED_VALUE"""),"OUT")</f>
        <v>OUT</v>
      </c>
      <c r="I2820" s="211" t="str">
        <f>IFERROR(__xludf.DUMMYFUNCTION("""COMPUTED_VALUE"""),"NORMAL")</f>
        <v>NORMAL</v>
      </c>
      <c r="J2820" s="211">
        <f>IFERROR(__xludf.DUMMYFUNCTION("""COMPUTED_VALUE"""),2.0)</f>
        <v>2</v>
      </c>
      <c r="K2820" s="210" t="str">
        <f>IFERROR(__xludf.DUMMYFUNCTION("""COMPUTED_VALUE"""),"1181 11288")</f>
        <v>1181 11288</v>
      </c>
      <c r="L2820" s="211">
        <f>IFERROR(__xludf.DUMMYFUNCTION("""COMPUTED_VALUE"""),65000.0)</f>
        <v>65000</v>
      </c>
      <c r="M2820" s="211"/>
      <c r="N2820" s="211"/>
      <c r="O2820" s="211"/>
      <c r="Q2820" s="210" t="str">
        <f>IFERROR(__xludf.DUMMYFUNCTION("""COMPUTED_VALUE"""),"1261380")</f>
        <v>1261380</v>
      </c>
      <c r="R2820" s="210" t="str">
        <f>IFERROR(__xludf.DUMMYFUNCTION("""COMPUTED_VALUE"""),"1261380")</f>
        <v>1261380</v>
      </c>
      <c r="S2820" s="211" t="str">
        <f>IFERROR(__xludf.DUMMYFUNCTION("""COMPUTED_VALUE"""),"9e66ced9")</f>
        <v>9e66ced9</v>
      </c>
      <c r="T2820" s="211" t="str">
        <f>IFERROR(__xludf.DUMMYFUNCTION("""COMPUTED_VALUE"""),"Bapak Angga")</f>
        <v>Bapak Angga</v>
      </c>
      <c r="U2820" s="215">
        <f>IFERROR(__xludf.DUMMYFUNCTION("""COMPUTED_VALUE"""),46091.6340162037)</f>
        <v>46091.63402</v>
      </c>
      <c r="V2820" s="211" t="str">
        <f>IFERROR(__xludf.DUMMYFUNCTION("""COMPUTED_VALUE"""),"Jl. Bypass Krian No.2, Tundungan, Sidomojo, Kec. Krian, Kabupaten Sidoarjo, Jawa Timur 61262")</f>
        <v>Jl. Bypass Krian No.2, Tundungan, Sidomojo, Kec. Krian, Kabupaten Sidoarjo, Jawa Timur 61262</v>
      </c>
      <c r="W2820" s="211" t="str">
        <f>IFERROR(__xludf.DUMMYFUNCTION("""COMPUTED_VALUE"""),"IN")</f>
        <v>IN</v>
      </c>
      <c r="X2820" s="211"/>
    </row>
    <row r="2821">
      <c r="A2821" s="210" t="str">
        <f>IFERROR(__xludf.DUMMYFUNCTION("""COMPUTED_VALUE"""),"122511984")</f>
        <v>122511984</v>
      </c>
      <c r="B2821" s="210" t="str">
        <f>IFERROR(__xludf.DUMMYFUNCTION("""COMPUTED_VALUE"""),"122511984")</f>
        <v>122511984</v>
      </c>
      <c r="C2821" s="213">
        <f>IFERROR(__xludf.DUMMYFUNCTION("""COMPUTED_VALUE"""),46006.52193287037)</f>
        <v>46006.52193</v>
      </c>
      <c r="D2821" s="211" t="str">
        <f>IFERROR(__xludf.DUMMYFUNCTION("""COMPUTED_VALUE"""),"1a1efff9")</f>
        <v>1a1efff9</v>
      </c>
      <c r="E2821" s="211" t="str">
        <f>IFERROR(__xludf.DUMMYFUNCTION("""COMPUTED_VALUE"""),"Bpk. Gito Mjs")</f>
        <v>Bpk. Gito Mjs</v>
      </c>
      <c r="F2821" s="211" t="str">
        <f>IFERROR(__xludf.DUMMYFUNCTION("""COMPUTED_VALUE"""),"8bdbe149")</f>
        <v>8bdbe149</v>
      </c>
      <c r="G2821" s="211" t="str">
        <f>IFERROR(__xludf.DUMMYFUNCTION("""COMPUTED_VALUE"""),"Oksigen 6m3")</f>
        <v>Oksigen 6m3</v>
      </c>
      <c r="H2821" s="211" t="str">
        <f>IFERROR(__xludf.DUMMYFUNCTION("""COMPUTED_VALUE"""),"OUT")</f>
        <v>OUT</v>
      </c>
      <c r="I2821" s="211" t="str">
        <f>IFERROR(__xludf.DUMMYFUNCTION("""COMPUTED_VALUE"""),"NORMAL")</f>
        <v>NORMAL</v>
      </c>
      <c r="J2821" s="211">
        <f>IFERROR(__xludf.DUMMYFUNCTION("""COMPUTED_VALUE"""),2.0)</f>
        <v>2</v>
      </c>
      <c r="K2821" s="210" t="str">
        <f>IFERROR(__xludf.DUMMYFUNCTION("""COMPUTED_VALUE"""),"11105 1110")</f>
        <v>11105 1110</v>
      </c>
      <c r="L2821" s="211">
        <f>IFERROR(__xludf.DUMMYFUNCTION("""COMPUTED_VALUE"""),75000.0)</f>
        <v>75000</v>
      </c>
      <c r="M2821" s="211"/>
      <c r="N2821" s="211"/>
      <c r="O2821" s="211"/>
      <c r="Q2821" s="210" t="str">
        <f>IFERROR(__xludf.DUMMYFUNCTION("""COMPUTED_VALUE"""),"1261379")</f>
        <v>1261379</v>
      </c>
      <c r="R2821" s="210" t="str">
        <f>IFERROR(__xludf.DUMMYFUNCTION("""COMPUTED_VALUE"""),"1261379")</f>
        <v>1261379</v>
      </c>
      <c r="S2821" s="211" t="str">
        <f>IFERROR(__xludf.DUMMYFUNCTION("""COMPUTED_VALUE"""),"2d88931c")</f>
        <v>2d88931c</v>
      </c>
      <c r="T2821" s="211" t="str">
        <f>IFERROR(__xludf.DUMMYFUNCTION("""COMPUTED_VALUE"""),"PT Dunia Berkat Marga Mulya")</f>
        <v>PT Dunia Berkat Marga Mulya</v>
      </c>
      <c r="U2821" s="215">
        <f>IFERROR(__xludf.DUMMYFUNCTION("""COMPUTED_VALUE"""),46091.63506944444)</f>
        <v>46091.63507</v>
      </c>
      <c r="V2821" s="211" t="str">
        <f>IFERROR(__xludf.DUMMYFUNCTION("""COMPUTED_VALUE"""),"JL JABARAN, WATESARI, BALONGBENDO, SIDOARJO, JAWA TIMUR")</f>
        <v>JL JABARAN, WATESARI, BALONGBENDO, SIDOARJO, JAWA TIMUR</v>
      </c>
      <c r="W2821" s="211" t="str">
        <f>IFERROR(__xludf.DUMMYFUNCTION("""COMPUTED_VALUE"""),"IN")</f>
        <v>IN</v>
      </c>
      <c r="X2821" s="211"/>
    </row>
    <row r="2822">
      <c r="A2822" s="210" t="str">
        <f>IFERROR(__xludf.DUMMYFUNCTION("""COMPUTED_VALUE"""),"1250955")</f>
        <v>1250955</v>
      </c>
      <c r="B2822" s="210" t="str">
        <f>IFERROR(__xludf.DUMMYFUNCTION("""COMPUTED_VALUE"""),"1250955")</f>
        <v>1250955</v>
      </c>
      <c r="C2822" s="213">
        <f>IFERROR(__xludf.DUMMYFUNCTION("""COMPUTED_VALUE"""),46006.53212962963)</f>
        <v>46006.53213</v>
      </c>
      <c r="D2822" s="211" t="str">
        <f>IFERROR(__xludf.DUMMYFUNCTION("""COMPUTED_VALUE"""),"01158be1")</f>
        <v>01158be1</v>
      </c>
      <c r="E2822" s="211" t="str">
        <f>IFERROR(__xludf.DUMMYFUNCTION("""COMPUTED_VALUE"""),"GYF")</f>
        <v>GYF</v>
      </c>
      <c r="F2822" s="211" t="str">
        <f>IFERROR(__xludf.DUMMYFUNCTION("""COMPUTED_VALUE"""),"8bdbe149")</f>
        <v>8bdbe149</v>
      </c>
      <c r="G2822" s="211" t="str">
        <f>IFERROR(__xludf.DUMMYFUNCTION("""COMPUTED_VALUE"""),"Oksigen 6m3")</f>
        <v>Oksigen 6m3</v>
      </c>
      <c r="H2822" s="211" t="str">
        <f>IFERROR(__xludf.DUMMYFUNCTION("""COMPUTED_VALUE"""),"IN")</f>
        <v>IN</v>
      </c>
      <c r="I2822" s="211" t="str">
        <f>IFERROR(__xludf.DUMMYFUNCTION("""COMPUTED_VALUE"""),"EMPTY")</f>
        <v>EMPTY</v>
      </c>
      <c r="J2822" s="211">
        <f>IFERROR(__xludf.DUMMYFUNCTION("""COMPUTED_VALUE"""),11.0)</f>
        <v>11</v>
      </c>
      <c r="K2822" s="210" t="str">
        <f>IFERROR(__xludf.DUMMYFUNCTION("""COMPUTED_VALUE"""),"11296 11282 11242 1170 11118 11252 1142 11309 1149 1128 11312")</f>
        <v>11296 11282 11242 1170 11118 11252 1142 11309 1149 1128 11312</v>
      </c>
      <c r="L2822" s="211">
        <f>IFERROR(__xludf.DUMMYFUNCTION("""COMPUTED_VALUE"""),0.0)</f>
        <v>0</v>
      </c>
      <c r="M2822" s="211"/>
      <c r="N2822" s="211"/>
      <c r="O2822" s="211"/>
      <c r="Q2822" s="210" t="str">
        <f>IFERROR(__xludf.DUMMYFUNCTION("""COMPUTED_VALUE"""),"0326182813")</f>
        <v>0326182813</v>
      </c>
      <c r="R2822" s="210" t="str">
        <f>IFERROR(__xludf.DUMMYFUNCTION("""COMPUTED_VALUE"""),"0326182813")</f>
        <v>0326182813</v>
      </c>
      <c r="S2822" s="211" t="str">
        <f>IFERROR(__xludf.DUMMYFUNCTION("""COMPUTED_VALUE"""),"eec2e801")</f>
        <v>eec2e801</v>
      </c>
      <c r="T2822" s="211" t="str">
        <f>IFERROR(__xludf.DUMMYFUNCTION("""COMPUTED_VALUE"""),"Mitra Wood Sejahtera")</f>
        <v>Mitra Wood Sejahtera</v>
      </c>
      <c r="U2822" s="215">
        <f>IFERROR(__xludf.DUMMYFUNCTION("""COMPUTED_VALUE"""),46092.3809375)</f>
        <v>46092.38094</v>
      </c>
      <c r="V2822" s="211" t="str">
        <f>IFERROR(__xludf.DUMMYFUNCTION("""COMPUTED_VALUE"""),"Jl.cungkling, Jl. Tanggungan, Nanom Kidul, Lebaniwaras, Kec. Wringinanom, Kabupaten Gresik, Jawa Timur 61176")</f>
        <v>Jl.cungkling, Jl. Tanggungan, Nanom Kidul, Lebaniwaras, Kec. Wringinanom, Kabupaten Gresik, Jawa Timur 61176</v>
      </c>
      <c r="W2822" s="211" t="str">
        <f>IFERROR(__xludf.DUMMYFUNCTION("""COMPUTED_VALUE"""),"OUT")</f>
        <v>OUT</v>
      </c>
      <c r="X2822" s="211"/>
    </row>
    <row r="2823">
      <c r="A2823" s="210" t="str">
        <f>IFERROR(__xludf.DUMMYFUNCTION("""COMPUTED_VALUE"""),"1250955")</f>
        <v>1250955</v>
      </c>
      <c r="B2823" s="210" t="str">
        <f>IFERROR(__xludf.DUMMYFUNCTION("""COMPUTED_VALUE"""),"1250955")</f>
        <v>1250955</v>
      </c>
      <c r="C2823" s="213">
        <f>IFERROR(__xludf.DUMMYFUNCTION("""COMPUTED_VALUE"""),46006.53212962963)</f>
        <v>46006.53213</v>
      </c>
      <c r="D2823" s="211" t="str">
        <f>IFERROR(__xludf.DUMMYFUNCTION("""COMPUTED_VALUE"""),"01158be1")</f>
        <v>01158be1</v>
      </c>
      <c r="E2823" s="211" t="str">
        <f>IFERROR(__xludf.DUMMYFUNCTION("""COMPUTED_VALUE"""),"GYF")</f>
        <v>GYF</v>
      </c>
      <c r="F2823" s="211" t="str">
        <f>IFERROR(__xludf.DUMMYFUNCTION("""COMPUTED_VALUE"""),"7d2764f1")</f>
        <v>7d2764f1</v>
      </c>
      <c r="G2823" s="211" t="str">
        <f>IFERROR(__xludf.DUMMYFUNCTION("""COMPUTED_VALUE"""),"Oksigen 7m3")</f>
        <v>Oksigen 7m3</v>
      </c>
      <c r="H2823" s="211" t="str">
        <f>IFERROR(__xludf.DUMMYFUNCTION("""COMPUTED_VALUE"""),"IN")</f>
        <v>IN</v>
      </c>
      <c r="I2823" s="211" t="str">
        <f>IFERROR(__xludf.DUMMYFUNCTION("""COMPUTED_VALUE"""),"EMPTY")</f>
        <v>EMPTY</v>
      </c>
      <c r="J2823" s="211">
        <f>IFERROR(__xludf.DUMMYFUNCTION("""COMPUTED_VALUE"""),2.0)</f>
        <v>2</v>
      </c>
      <c r="K2823" s="210" t="str">
        <f>IFERROR(__xludf.DUMMYFUNCTION("""COMPUTED_VALUE"""),"11215 11140")</f>
        <v>11215 11140</v>
      </c>
      <c r="L2823" s="211">
        <f>IFERROR(__xludf.DUMMYFUNCTION("""COMPUTED_VALUE"""),0.0)</f>
        <v>0</v>
      </c>
      <c r="M2823" s="211"/>
      <c r="N2823" s="211"/>
      <c r="O2823" s="211"/>
      <c r="Q2823" s="210" t="str">
        <f>IFERROR(__xludf.DUMMYFUNCTION("""COMPUTED_VALUE"""),"0326122823")</f>
        <v>0326122823</v>
      </c>
      <c r="R2823" s="210" t="str">
        <f>IFERROR(__xludf.DUMMYFUNCTION("""COMPUTED_VALUE"""),"0326122823")</f>
        <v>0326122823</v>
      </c>
      <c r="S2823" s="211" t="str">
        <f>IFERROR(__xludf.DUMMYFUNCTION("""COMPUTED_VALUE"""),"9828dfc5")</f>
        <v>9828dfc5</v>
      </c>
      <c r="T2823" s="211" t="str">
        <f>IFERROR(__xludf.DUMMYFUNCTION("""COMPUTED_VALUE"""),"Bpk. David")</f>
        <v>Bpk. David</v>
      </c>
      <c r="U2823" s="215">
        <f>IFERROR(__xludf.DUMMYFUNCTION("""COMPUTED_VALUE"""),46092.40855324074)</f>
        <v>46092.40855</v>
      </c>
      <c r="V2823" s="211" t="str">
        <f>IFERROR(__xludf.DUMMYFUNCTION("""COMPUTED_VALUE"""),"GHF3+R34, Jl. Kartini, Ngingas, Ngimbangan, Kec. Mojosari, Kabupaten Mojokerto, Jawa Timur 61382")</f>
        <v>GHF3+R34, Jl. Kartini, Ngingas, Ngimbangan, Kec. Mojosari, Kabupaten Mojokerto, Jawa Timur 61382</v>
      </c>
      <c r="W2823" s="211" t="str">
        <f>IFERROR(__xludf.DUMMYFUNCTION("""COMPUTED_VALUE"""),"OUT")</f>
        <v>OUT</v>
      </c>
      <c r="X2823" s="211"/>
    </row>
    <row r="2824">
      <c r="A2824" s="210" t="str">
        <f>IFERROR(__xludf.DUMMYFUNCTION("""COMPUTED_VALUE"""),"1250939")</f>
        <v>1250939</v>
      </c>
      <c r="B2824" s="210" t="str">
        <f>IFERROR(__xludf.DUMMYFUNCTION("""COMPUTED_VALUE"""),"1250939")</f>
        <v>1250939</v>
      </c>
      <c r="C2824" s="213">
        <f>IFERROR(__xludf.DUMMYFUNCTION("""COMPUTED_VALUE"""),46006.53486111111)</f>
        <v>46006.53486</v>
      </c>
      <c r="D2824" s="211" t="str">
        <f>IFERROR(__xludf.DUMMYFUNCTION("""COMPUTED_VALUE"""),"9b941888")</f>
        <v>9b941888</v>
      </c>
      <c r="E2824" s="211" t="str">
        <f>IFERROR(__xludf.DUMMYFUNCTION("""COMPUTED_VALUE"""),"Mas Devi ( Parengan )")</f>
        <v>Mas Devi ( Parengan )</v>
      </c>
      <c r="F2824" s="211" t="str">
        <f>IFERROR(__xludf.DUMMYFUNCTION("""COMPUTED_VALUE"""),"7d2764f1")</f>
        <v>7d2764f1</v>
      </c>
      <c r="G2824" s="211" t="str">
        <f>IFERROR(__xludf.DUMMYFUNCTION("""COMPUTED_VALUE"""),"Oksigen 7m3")</f>
        <v>Oksigen 7m3</v>
      </c>
      <c r="H2824" s="211" t="str">
        <f>IFERROR(__xludf.DUMMYFUNCTION("""COMPUTED_VALUE"""),"IN")</f>
        <v>IN</v>
      </c>
      <c r="I2824" s="211" t="str">
        <f>IFERROR(__xludf.DUMMYFUNCTION("""COMPUTED_VALUE"""),"EMPTY")</f>
        <v>EMPTY</v>
      </c>
      <c r="J2824" s="211">
        <f>IFERROR(__xludf.DUMMYFUNCTION("""COMPUTED_VALUE"""),1.0)</f>
        <v>1</v>
      </c>
      <c r="K2824" s="210" t="str">
        <f>IFERROR(__xludf.DUMMYFUNCTION("""COMPUTED_VALUE"""),"76")</f>
        <v>76</v>
      </c>
      <c r="L2824" s="211">
        <f>IFERROR(__xludf.DUMMYFUNCTION("""COMPUTED_VALUE"""),0.0)</f>
        <v>0</v>
      </c>
      <c r="M2824" s="211"/>
      <c r="N2824" s="211"/>
      <c r="O2824" s="211"/>
      <c r="Q2824" s="210" t="str">
        <f>IFERROR(__xludf.DUMMYFUNCTION("""COMPUTED_VALUE"""),"1261391")</f>
        <v>1261391</v>
      </c>
      <c r="R2824" s="210" t="str">
        <f>IFERROR(__xludf.DUMMYFUNCTION("""COMPUTED_VALUE"""),"1261391")</f>
        <v>1261391</v>
      </c>
      <c r="S2824" s="211" t="str">
        <f>IFERROR(__xludf.DUMMYFUNCTION("""COMPUTED_VALUE"""),"9828dfc5")</f>
        <v>9828dfc5</v>
      </c>
      <c r="T2824" s="211" t="str">
        <f>IFERROR(__xludf.DUMMYFUNCTION("""COMPUTED_VALUE"""),"Bpk. David")</f>
        <v>Bpk. David</v>
      </c>
      <c r="U2824" s="215">
        <f>IFERROR(__xludf.DUMMYFUNCTION("""COMPUTED_VALUE"""),46092.5621875)</f>
        <v>46092.56219</v>
      </c>
      <c r="V2824" s="211" t="str">
        <f>IFERROR(__xludf.DUMMYFUNCTION("""COMPUTED_VALUE"""),"GHF3+R34, Jl. Kartini, Ngingas, Ngimbangan, Kec. Mojosari, Kabupaten Mojokerto, Jawa Timur 61382")</f>
        <v>GHF3+R34, Jl. Kartini, Ngingas, Ngimbangan, Kec. Mojosari, Kabupaten Mojokerto, Jawa Timur 61382</v>
      </c>
      <c r="W2824" s="211" t="str">
        <f>IFERROR(__xludf.DUMMYFUNCTION("""COMPUTED_VALUE"""),"IN")</f>
        <v>IN</v>
      </c>
      <c r="X2824" s="211"/>
    </row>
    <row r="2825">
      <c r="A2825" s="210" t="str">
        <f>IFERROR(__xludf.DUMMYFUNCTION("""COMPUTED_VALUE"""),"1250956")</f>
        <v>1250956</v>
      </c>
      <c r="B2825" s="210" t="str">
        <f>IFERROR(__xludf.DUMMYFUNCTION("""COMPUTED_VALUE"""),"1250956")</f>
        <v>1250956</v>
      </c>
      <c r="C2825" s="213">
        <f>IFERROR(__xludf.DUMMYFUNCTION("""COMPUTED_VALUE"""),46006.53570601852)</f>
        <v>46006.53571</v>
      </c>
      <c r="D2825" s="211" t="str">
        <f>IFERROR(__xludf.DUMMYFUNCTION("""COMPUTED_VALUE"""),"b2b5f2c5")</f>
        <v>b2b5f2c5</v>
      </c>
      <c r="E2825" s="211" t="str">
        <f>IFERROR(__xludf.DUMMYFUNCTION("""COMPUTED_VALUE"""),"Bengkel Las Bpk. Ari")</f>
        <v>Bengkel Las Bpk. Ari</v>
      </c>
      <c r="F2825" s="211" t="str">
        <f>IFERROR(__xludf.DUMMYFUNCTION("""COMPUTED_VALUE"""),"ef306e54")</f>
        <v>ef306e54</v>
      </c>
      <c r="G2825" s="211" t="str">
        <f>IFERROR(__xludf.DUMMYFUNCTION("""COMPUTED_VALUE"""),"Karbondioksida")</f>
        <v>Karbondioksida</v>
      </c>
      <c r="H2825" s="211" t="str">
        <f>IFERROR(__xludf.DUMMYFUNCTION("""COMPUTED_VALUE"""),"IN")</f>
        <v>IN</v>
      </c>
      <c r="I2825" s="211" t="str">
        <f>IFERROR(__xludf.DUMMYFUNCTION("""COMPUTED_VALUE"""),"EMPTY")</f>
        <v>EMPTY</v>
      </c>
      <c r="J2825" s="211">
        <f>IFERROR(__xludf.DUMMYFUNCTION("""COMPUTED_VALUE"""),2.0)</f>
        <v>2</v>
      </c>
      <c r="K2825" s="210" t="str">
        <f>IFERROR(__xludf.DUMMYFUNCTION("""COMPUTED_VALUE"""),"13003 13013")</f>
        <v>13003 13013</v>
      </c>
      <c r="L2825" s="211">
        <f>IFERROR(__xludf.DUMMYFUNCTION("""COMPUTED_VALUE"""),0.0)</f>
        <v>0</v>
      </c>
      <c r="M2825" s="211"/>
      <c r="N2825" s="211"/>
      <c r="O2825" s="211"/>
      <c r="Q2825" s="210" t="str">
        <f>IFERROR(__xludf.DUMMYFUNCTION("""COMPUTED_VALUE"""),"0326222824")</f>
        <v>0326222824</v>
      </c>
      <c r="R2825" s="210" t="str">
        <f>IFERROR(__xludf.DUMMYFUNCTION("""COMPUTED_VALUE"""),"0326222824")</f>
        <v>0326222824</v>
      </c>
      <c r="S2825" s="211" t="str">
        <f>IFERROR(__xludf.DUMMYFUNCTION("""COMPUTED_VALUE"""),"b218b89b")</f>
        <v>b218b89b</v>
      </c>
      <c r="T2825" s="211" t="str">
        <f>IFERROR(__xludf.DUMMYFUNCTION("""COMPUTED_VALUE"""),"PT Harapan Sentosa")</f>
        <v>PT Harapan Sentosa</v>
      </c>
      <c r="U2825" s="215">
        <f>IFERROR(__xludf.DUMMYFUNCTION("""COMPUTED_VALUE"""),46092.632372685184)</f>
        <v>46092.63237</v>
      </c>
      <c r="V2825" s="211" t="str">
        <f>IFERROR(__xludf.DUMMYFUNCTION("""COMPUTED_VALUE"""),"Seketi, Jl. Purboyo II Selatan, RT.02/RW.02, Seketi, Kec. BalongBendo, Kabupaten Sidoarjo, Jawa Timur 61263")</f>
        <v>Seketi, Jl. Purboyo II Selatan, RT.02/RW.02, Seketi, Kec. BalongBendo, Kabupaten Sidoarjo, Jawa Timur 61263</v>
      </c>
      <c r="W2825" s="211" t="str">
        <f>IFERROR(__xludf.DUMMYFUNCTION("""COMPUTED_VALUE"""),"OUT")</f>
        <v>OUT</v>
      </c>
      <c r="X2825" s="211"/>
    </row>
    <row r="2826">
      <c r="A2826" s="210" t="str">
        <f>IFERROR(__xludf.DUMMYFUNCTION("""COMPUTED_VALUE"""),"122551985")</f>
        <v>122551985</v>
      </c>
      <c r="B2826" s="210" t="str">
        <f>IFERROR(__xludf.DUMMYFUNCTION("""COMPUTED_VALUE"""),"122551985")</f>
        <v>122551985</v>
      </c>
      <c r="C2826" s="213">
        <f>IFERROR(__xludf.DUMMYFUNCTION("""COMPUTED_VALUE"""),46006.57986111111)</f>
        <v>46006.57986</v>
      </c>
      <c r="D2826" s="211" t="str">
        <f>IFERROR(__xludf.DUMMYFUNCTION("""COMPUTED_VALUE"""),"ed4307f6")</f>
        <v>ed4307f6</v>
      </c>
      <c r="E2826" s="211" t="str">
        <f>IFERROR(__xludf.DUMMYFUNCTION("""COMPUTED_VALUE"""),"Bpk. Andi (Jetis)")</f>
        <v>Bpk. Andi (Jetis)</v>
      </c>
      <c r="F2826" s="211" t="str">
        <f>IFERROR(__xludf.DUMMYFUNCTION("""COMPUTED_VALUE"""),"f6aab7a9")</f>
        <v>f6aab7a9</v>
      </c>
      <c r="G2826" s="211" t="str">
        <f>IFERROR(__xludf.DUMMYFUNCTION("""COMPUTED_VALUE"""),"Oksigen 6m3 MR")</f>
        <v>Oksigen 6m3 MR</v>
      </c>
      <c r="H2826" s="211" t="str">
        <f>IFERROR(__xludf.DUMMYFUNCTION("""COMPUTED_VALUE"""),"OUT")</f>
        <v>OUT</v>
      </c>
      <c r="I2826" s="211" t="str">
        <f>IFERROR(__xludf.DUMMYFUNCTION("""COMPUTED_VALUE"""),"NORMAL")</f>
        <v>NORMAL</v>
      </c>
      <c r="J2826" s="211">
        <f>IFERROR(__xludf.DUMMYFUNCTION("""COMPUTED_VALUE"""),32.0)</f>
        <v>32</v>
      </c>
      <c r="K2826" s="211"/>
      <c r="L2826" s="211">
        <f>IFERROR(__xludf.DUMMYFUNCTION("""COMPUTED_VALUE"""),50000.0)</f>
        <v>50000</v>
      </c>
      <c r="M2826" s="211"/>
      <c r="N2826" s="211"/>
      <c r="O2826" s="211"/>
      <c r="Q2826" s="210" t="str">
        <f>IFERROR(__xludf.DUMMYFUNCTION("""COMPUTED_VALUE"""),"1261389")</f>
        <v>1261389</v>
      </c>
      <c r="R2826" s="210" t="str">
        <f>IFERROR(__xludf.DUMMYFUNCTION("""COMPUTED_VALUE"""),"1261389")</f>
        <v>1261389</v>
      </c>
      <c r="S2826" s="211" t="str">
        <f>IFERROR(__xludf.DUMMYFUNCTION("""COMPUTED_VALUE"""),"f49860e4")</f>
        <v>f49860e4</v>
      </c>
      <c r="T2826" s="211" t="str">
        <f>IFERROR(__xludf.DUMMYFUNCTION("""COMPUTED_VALUE"""),"Mas Nur ( Jetis )")</f>
        <v>Mas Nur ( Jetis )</v>
      </c>
      <c r="U2826" s="215">
        <f>IFERROR(__xludf.DUMMYFUNCTION("""COMPUTED_VALUE"""),46092.62332175926)</f>
        <v>46092.62332</v>
      </c>
      <c r="V2826" s="211" t="str">
        <f>IFERROR(__xludf.DUMMYFUNCTION("""COMPUTED_VALUE"""),"HFVF+CCG, JL.Raya Jetis, jetis, Kec. Jetis Kabupaten Mojokerto Jawa Timur 61352")</f>
        <v>HFVF+CCG, JL.Raya Jetis, jetis, Kec. Jetis Kabupaten Mojokerto Jawa Timur 61352</v>
      </c>
      <c r="W2826" s="211" t="str">
        <f>IFERROR(__xludf.DUMMYFUNCTION("""COMPUTED_VALUE"""),"IN")</f>
        <v>IN</v>
      </c>
      <c r="X2826" s="211"/>
    </row>
    <row r="2827">
      <c r="A2827" s="210" t="str">
        <f>IFERROR(__xludf.DUMMYFUNCTION("""COMPUTED_VALUE"""),"4122511878")</f>
        <v>4122511878</v>
      </c>
      <c r="B2827" s="210" t="str">
        <f>IFERROR(__xludf.DUMMYFUNCTION("""COMPUTED_VALUE"""),"4122511878")</f>
        <v>4122511878</v>
      </c>
      <c r="C2827" s="213">
        <f>IFERROR(__xludf.DUMMYFUNCTION("""COMPUTED_VALUE"""),46006.580046296294)</f>
        <v>46006.58005</v>
      </c>
      <c r="D2827" s="211" t="str">
        <f>IFERROR(__xludf.DUMMYFUNCTION("""COMPUTED_VALUE"""),"ed4307f6")</f>
        <v>ed4307f6</v>
      </c>
      <c r="E2827" s="211" t="str">
        <f>IFERROR(__xludf.DUMMYFUNCTION("""COMPUTED_VALUE"""),"Bpk. Andi (Jetis)")</f>
        <v>Bpk. Andi (Jetis)</v>
      </c>
      <c r="F2827" s="211" t="str">
        <f>IFERROR(__xludf.DUMMYFUNCTION("""COMPUTED_VALUE"""),"f6aab7a9")</f>
        <v>f6aab7a9</v>
      </c>
      <c r="G2827" s="211" t="str">
        <f>IFERROR(__xludf.DUMMYFUNCTION("""COMPUTED_VALUE"""),"Oksigen 6m3 MR")</f>
        <v>Oksigen 6m3 MR</v>
      </c>
      <c r="H2827" s="211" t="str">
        <f>IFERROR(__xludf.DUMMYFUNCTION("""COMPUTED_VALUE"""),"OTHER")</f>
        <v>OTHER</v>
      </c>
      <c r="I2827" s="211" t="str">
        <f>IFERROR(__xludf.DUMMYFUNCTION("""COMPUTED_VALUE"""),"RETUR CLAIM")</f>
        <v>RETUR CLAIM</v>
      </c>
      <c r="J2827" s="211">
        <f>IFERROR(__xludf.DUMMYFUNCTION("""COMPUTED_VALUE"""),1.0)</f>
        <v>1</v>
      </c>
      <c r="K2827" s="211"/>
      <c r="L2827" s="211">
        <f>IFERROR(__xludf.DUMMYFUNCTION("""COMPUTED_VALUE"""),0.0)</f>
        <v>0</v>
      </c>
      <c r="M2827" s="211"/>
      <c r="N2827" s="211"/>
      <c r="O2827" s="211"/>
      <c r="Q2827" s="210" t="str">
        <f>IFERROR(__xludf.DUMMYFUNCTION("""COMPUTED_VALUE"""),"1261392")</f>
        <v>1261392</v>
      </c>
      <c r="R2827" s="210" t="str">
        <f>IFERROR(__xludf.DUMMYFUNCTION("""COMPUTED_VALUE"""),"1261392")</f>
        <v>1261392</v>
      </c>
      <c r="S2827" s="211" t="str">
        <f>IFERROR(__xludf.DUMMYFUNCTION("""COMPUTED_VALUE"""),"01158be1")</f>
        <v>01158be1</v>
      </c>
      <c r="T2827" s="211" t="str">
        <f>IFERROR(__xludf.DUMMYFUNCTION("""COMPUTED_VALUE"""),"GYF")</f>
        <v>GYF</v>
      </c>
      <c r="U2827" s="215">
        <f>IFERROR(__xludf.DUMMYFUNCTION("""COMPUTED_VALUE"""),46092.623773148145)</f>
        <v>46092.62377</v>
      </c>
      <c r="V2827" s="211" t="str">
        <f>IFERROR(__xludf.DUMMYFUNCTION("""COMPUTED_VALUE"""),"Kangkungan, Lengkong, Kec. Mojoanyar, Kabupaten Mojokerto, Jawa Timur")</f>
        <v>Kangkungan, Lengkong, Kec. Mojoanyar, Kabupaten Mojokerto, Jawa Timur</v>
      </c>
      <c r="W2827" s="211" t="str">
        <f>IFERROR(__xludf.DUMMYFUNCTION("""COMPUTED_VALUE"""),"IN")</f>
        <v>IN</v>
      </c>
      <c r="X2827" s="211"/>
    </row>
    <row r="2828">
      <c r="A2828" s="210" t="str">
        <f>IFERROR(__xludf.DUMMYFUNCTION("""COMPUTED_VALUE"""),"1250947")</f>
        <v>1250947</v>
      </c>
      <c r="B2828" s="210" t="str">
        <f>IFERROR(__xludf.DUMMYFUNCTION("""COMPUTED_VALUE"""),"1250947")</f>
        <v>1250947</v>
      </c>
      <c r="C2828" s="213">
        <f>IFERROR(__xludf.DUMMYFUNCTION("""COMPUTED_VALUE"""),46006.610451388886)</f>
        <v>46006.61045</v>
      </c>
      <c r="D2828" s="211" t="str">
        <f>IFERROR(__xludf.DUMMYFUNCTION("""COMPUTED_VALUE"""),"ed4307f6")</f>
        <v>ed4307f6</v>
      </c>
      <c r="E2828" s="211" t="str">
        <f>IFERROR(__xludf.DUMMYFUNCTION("""COMPUTED_VALUE"""),"Bpk. Andi (Jetis)")</f>
        <v>Bpk. Andi (Jetis)</v>
      </c>
      <c r="F2828" s="211" t="str">
        <f>IFERROR(__xludf.DUMMYFUNCTION("""COMPUTED_VALUE"""),"f6aab7a9")</f>
        <v>f6aab7a9</v>
      </c>
      <c r="G2828" s="211" t="str">
        <f>IFERROR(__xludf.DUMMYFUNCTION("""COMPUTED_VALUE"""),"Oksigen 6m3 MR")</f>
        <v>Oksigen 6m3 MR</v>
      </c>
      <c r="H2828" s="211" t="str">
        <f>IFERROR(__xludf.DUMMYFUNCTION("""COMPUTED_VALUE"""),"IN")</f>
        <v>IN</v>
      </c>
      <c r="I2828" s="211" t="str">
        <f>IFERROR(__xludf.DUMMYFUNCTION("""COMPUTED_VALUE"""),"EMPTY")</f>
        <v>EMPTY</v>
      </c>
      <c r="J2828" s="211">
        <f>IFERROR(__xludf.DUMMYFUNCTION("""COMPUTED_VALUE"""),33.0)</f>
        <v>33</v>
      </c>
      <c r="K2828" s="211"/>
      <c r="L2828" s="211">
        <f>IFERROR(__xludf.DUMMYFUNCTION("""COMPUTED_VALUE"""),0.0)</f>
        <v>0</v>
      </c>
      <c r="M2828" s="211"/>
      <c r="N2828" s="211"/>
      <c r="O2828" s="211"/>
      <c r="Q2828" s="211"/>
      <c r="R2828" s="211"/>
      <c r="S2828" s="211"/>
      <c r="T2828" s="211"/>
      <c r="U2828" s="211"/>
      <c r="V2828" s="211"/>
      <c r="W2828" s="211"/>
      <c r="X2828" s="211"/>
    </row>
    <row r="2829">
      <c r="A2829" s="210" t="str">
        <f>IFERROR(__xludf.DUMMYFUNCTION("""COMPUTED_VALUE"""),"1225541989")</f>
        <v>1225541989</v>
      </c>
      <c r="B2829" s="210" t="str">
        <f>IFERROR(__xludf.DUMMYFUNCTION("""COMPUTED_VALUE"""),"1225541989")</f>
        <v>1225541989</v>
      </c>
      <c r="C2829" s="213">
        <f>IFERROR(__xludf.DUMMYFUNCTION("""COMPUTED_VALUE"""),46006.69016203703)</f>
        <v>46006.69016</v>
      </c>
      <c r="D2829" s="211" t="str">
        <f>IFERROR(__xludf.DUMMYFUNCTION("""COMPUTED_VALUE"""),"b2b5f2c5")</f>
        <v>b2b5f2c5</v>
      </c>
      <c r="E2829" s="211" t="str">
        <f>IFERROR(__xludf.DUMMYFUNCTION("""COMPUTED_VALUE"""),"Bengkel Las Bpk. Ari")</f>
        <v>Bengkel Las Bpk. Ari</v>
      </c>
      <c r="F2829" s="211" t="str">
        <f>IFERROR(__xludf.DUMMYFUNCTION("""COMPUTED_VALUE"""),"8bdbe149")</f>
        <v>8bdbe149</v>
      </c>
      <c r="G2829" s="211" t="str">
        <f>IFERROR(__xludf.DUMMYFUNCTION("""COMPUTED_VALUE"""),"Oksigen 6m3")</f>
        <v>Oksigen 6m3</v>
      </c>
      <c r="H2829" s="211" t="str">
        <f>IFERROR(__xludf.DUMMYFUNCTION("""COMPUTED_VALUE"""),"OUT")</f>
        <v>OUT</v>
      </c>
      <c r="I2829" s="211" t="str">
        <f>IFERROR(__xludf.DUMMYFUNCTION("""COMPUTED_VALUE"""),"NORMAL")</f>
        <v>NORMAL</v>
      </c>
      <c r="J2829" s="211">
        <f>IFERROR(__xludf.DUMMYFUNCTION("""COMPUTED_VALUE"""),6.0)</f>
        <v>6</v>
      </c>
      <c r="K2829" s="210" t="str">
        <f>IFERROR(__xludf.DUMMYFUNCTION("""COMPUTED_VALUE"""),"1142 11252 11282 1170 1139 11312")</f>
        <v>1142 11252 11282 1170 1139 11312</v>
      </c>
      <c r="L2829" s="211">
        <f>IFERROR(__xludf.DUMMYFUNCTION("""COMPUTED_VALUE"""),60000.0)</f>
        <v>60000</v>
      </c>
      <c r="M2829" s="211"/>
      <c r="N2829" s="211"/>
      <c r="O2829" s="211"/>
      <c r="Q2829" s="210" t="str">
        <f>IFERROR(__xludf.DUMMYFUNCTION("""COMPUTED_VALUE"""),"032622826")</f>
        <v>032622826</v>
      </c>
      <c r="R2829" s="210" t="str">
        <f>IFERROR(__xludf.DUMMYFUNCTION("""COMPUTED_VALUE"""),"032622826")</f>
        <v>032622826</v>
      </c>
      <c r="S2829" s="211" t="str">
        <f>IFERROR(__xludf.DUMMYFUNCTION("""COMPUTED_VALUE"""),"96254089")</f>
        <v>96254089</v>
      </c>
      <c r="T2829" s="211" t="str">
        <f>IFERROR(__xludf.DUMMYFUNCTION("""COMPUTED_VALUE"""),"Soni Baja")</f>
        <v>Soni Baja</v>
      </c>
      <c r="U2829" s="215">
        <f>IFERROR(__xludf.DUMMYFUNCTION("""COMPUTED_VALUE"""),46092.63710648148)</f>
        <v>46092.63711</v>
      </c>
      <c r="V2829" s="211" t="str">
        <f>IFERROR(__xludf.DUMMYFUNCTION("""COMPUTED_VALUE"""),"Jalan Raya Kemangsen Balongbendo Jawa Timur")</f>
        <v>Jalan Raya Kemangsen Balongbendo Jawa Timur</v>
      </c>
      <c r="W2829" s="211" t="str">
        <f>IFERROR(__xludf.DUMMYFUNCTION("""COMPUTED_VALUE"""),"OUT")</f>
        <v>OUT</v>
      </c>
      <c r="X2829" s="211"/>
    </row>
    <row r="2830">
      <c r="A2830" s="210" t="str">
        <f>IFERROR(__xludf.DUMMYFUNCTION("""COMPUTED_VALUE"""),"122591992")</f>
        <v>122591992</v>
      </c>
      <c r="B2830" s="210" t="str">
        <f>IFERROR(__xludf.DUMMYFUNCTION("""COMPUTED_VALUE"""),"122591992")</f>
        <v>122591992</v>
      </c>
      <c r="C2830" s="213">
        <f>IFERROR(__xludf.DUMMYFUNCTION("""COMPUTED_VALUE"""),46007.35030092593)</f>
        <v>46007.3503</v>
      </c>
      <c r="D2830" s="211" t="str">
        <f>IFERROR(__xludf.DUMMYFUNCTION("""COMPUTED_VALUE"""),"a0f0ad2d")</f>
        <v>a0f0ad2d</v>
      </c>
      <c r="E2830" s="211" t="str">
        <f>IFERROR(__xludf.DUMMYFUNCTION("""COMPUTED_VALUE"""),"CV. Yulie Jaya")</f>
        <v>CV. Yulie Jaya</v>
      </c>
      <c r="F2830" s="211" t="str">
        <f>IFERROR(__xludf.DUMMYFUNCTION("""COMPUTED_VALUE"""),"7d2764f1")</f>
        <v>7d2764f1</v>
      </c>
      <c r="G2830" s="211" t="str">
        <f>IFERROR(__xludf.DUMMYFUNCTION("""COMPUTED_VALUE"""),"Oksigen 7m3")</f>
        <v>Oksigen 7m3</v>
      </c>
      <c r="H2830" s="211" t="str">
        <f>IFERROR(__xludf.DUMMYFUNCTION("""COMPUTED_VALUE"""),"OUT")</f>
        <v>OUT</v>
      </c>
      <c r="I2830" s="211" t="str">
        <f>IFERROR(__xludf.DUMMYFUNCTION("""COMPUTED_VALUE"""),"NORMAL")</f>
        <v>NORMAL</v>
      </c>
      <c r="J2830" s="211">
        <f>IFERROR(__xludf.DUMMYFUNCTION("""COMPUTED_VALUE"""),3.0)</f>
        <v>3</v>
      </c>
      <c r="K2830" s="210" t="str">
        <f>IFERROR(__xludf.DUMMYFUNCTION("""COMPUTED_VALUE"""),"1128 11140 11215")</f>
        <v>1128 11140 11215</v>
      </c>
      <c r="L2830" s="211">
        <f>IFERROR(__xludf.DUMMYFUNCTION("""COMPUTED_VALUE"""),60000.0)</f>
        <v>60000</v>
      </c>
      <c r="M2830" s="211"/>
      <c r="N2830" s="211"/>
      <c r="O2830" s="211"/>
      <c r="Q2830" s="210" t="str">
        <f>IFERROR(__xludf.DUMMYFUNCTION("""COMPUTED_VALUE"""),"1261402")</f>
        <v>1261402</v>
      </c>
      <c r="R2830" s="210" t="str">
        <f>IFERROR(__xludf.DUMMYFUNCTION("""COMPUTED_VALUE"""),"1261402")</f>
        <v>1261402</v>
      </c>
      <c r="S2830" s="211" t="str">
        <f>IFERROR(__xludf.DUMMYFUNCTION("""COMPUTED_VALUE"""),"8ea74d81")</f>
        <v>8ea74d81</v>
      </c>
      <c r="T2830" s="211" t="str">
        <f>IFERROR(__xludf.DUMMYFUNCTION("""COMPUTED_VALUE"""),"Bengkel Adi Putra")</f>
        <v>Bengkel Adi Putra</v>
      </c>
      <c r="U2830" s="215">
        <f>IFERROR(__xludf.DUMMYFUNCTION("""COMPUTED_VALUE"""),46092.65185185185)</f>
        <v>46092.65185</v>
      </c>
      <c r="V2830" s="211" t="str">
        <f>IFERROR(__xludf.DUMMYFUNCTION("""COMPUTED_VALUE"""),"Bypass Balongbendo")</f>
        <v>Bypass Balongbendo</v>
      </c>
      <c r="W2830" s="211" t="str">
        <f>IFERROR(__xludf.DUMMYFUNCTION("""COMPUTED_VALUE"""),"IN")</f>
        <v>IN</v>
      </c>
      <c r="X2830" s="211"/>
    </row>
    <row r="2831">
      <c r="A2831" s="210" t="str">
        <f>IFERROR(__xludf.DUMMYFUNCTION("""COMPUTED_VALUE"""),"122591992")</f>
        <v>122591992</v>
      </c>
      <c r="B2831" s="210" t="str">
        <f>IFERROR(__xludf.DUMMYFUNCTION("""COMPUTED_VALUE"""),"122591992")</f>
        <v>122591992</v>
      </c>
      <c r="C2831" s="213">
        <f>IFERROR(__xludf.DUMMYFUNCTION("""COMPUTED_VALUE"""),46007.35030092593)</f>
        <v>46007.3503</v>
      </c>
      <c r="D2831" s="211" t="str">
        <f>IFERROR(__xludf.DUMMYFUNCTION("""COMPUTED_VALUE"""),"a0f0ad2d")</f>
        <v>a0f0ad2d</v>
      </c>
      <c r="E2831" s="211" t="str">
        <f>IFERROR(__xludf.DUMMYFUNCTION("""COMPUTED_VALUE"""),"CV. Yulie Jaya")</f>
        <v>CV. Yulie Jaya</v>
      </c>
      <c r="F2831" s="211" t="str">
        <f>IFERROR(__xludf.DUMMYFUNCTION("""COMPUTED_VALUE"""),"8bdbe149")</f>
        <v>8bdbe149</v>
      </c>
      <c r="G2831" s="211" t="str">
        <f>IFERROR(__xludf.DUMMYFUNCTION("""COMPUTED_VALUE"""),"Oksigen 6m3")</f>
        <v>Oksigen 6m3</v>
      </c>
      <c r="H2831" s="211" t="str">
        <f>IFERROR(__xludf.DUMMYFUNCTION("""COMPUTED_VALUE"""),"OUT")</f>
        <v>OUT</v>
      </c>
      <c r="I2831" s="211" t="str">
        <f>IFERROR(__xludf.DUMMYFUNCTION("""COMPUTED_VALUE"""),"NORMAL")</f>
        <v>NORMAL</v>
      </c>
      <c r="J2831" s="211">
        <f>IFERROR(__xludf.DUMMYFUNCTION("""COMPUTED_VALUE"""),5.0)</f>
        <v>5</v>
      </c>
      <c r="K2831" s="210" t="str">
        <f>IFERROR(__xludf.DUMMYFUNCTION("""COMPUTED_VALUE"""),"11296 11118 11176 1149 11309")</f>
        <v>11296 11118 11176 1149 11309</v>
      </c>
      <c r="L2831" s="211">
        <f>IFERROR(__xludf.DUMMYFUNCTION("""COMPUTED_VALUE"""),65000.0)</f>
        <v>65000</v>
      </c>
      <c r="M2831" s="211"/>
      <c r="N2831" s="211"/>
      <c r="O2831" s="211"/>
      <c r="Q2831" s="210" t="str">
        <f>IFERROR(__xludf.DUMMYFUNCTION("""COMPUTED_VALUE"""),"1261401")</f>
        <v>1261401</v>
      </c>
      <c r="R2831" s="210" t="str">
        <f>IFERROR(__xludf.DUMMYFUNCTION("""COMPUTED_VALUE"""),"1261401")</f>
        <v>1261401</v>
      </c>
      <c r="S2831" s="211" t="str">
        <f>IFERROR(__xludf.DUMMYFUNCTION("""COMPUTED_VALUE"""),"8f5ebaea")</f>
        <v>8f5ebaea</v>
      </c>
      <c r="T2831" s="211" t="str">
        <f>IFERROR(__xludf.DUMMYFUNCTION("""COMPUTED_VALUE"""),"PT Hua Zong Mesindo")</f>
        <v>PT Hua Zong Mesindo</v>
      </c>
      <c r="U2831" s="215">
        <f>IFERROR(__xludf.DUMMYFUNCTION("""COMPUTED_VALUE"""),46092.6574537037)</f>
        <v>46092.65745</v>
      </c>
      <c r="V2831" s="211" t="str">
        <f>IFERROR(__xludf.DUMMYFUNCTION("""COMPUTED_VALUE"""),"Jl. Bypass Krian, Sidotemo, Sidomulyo, Kec. Krian, Kabupaten Sidoarjo, Jawa Timur 61262")</f>
        <v>Jl. Bypass Krian, Sidotemo, Sidomulyo, Kec. Krian, Kabupaten Sidoarjo, Jawa Timur 61262</v>
      </c>
      <c r="W2831" s="211" t="str">
        <f>IFERROR(__xludf.DUMMYFUNCTION("""COMPUTED_VALUE"""),"IN")</f>
        <v>IN</v>
      </c>
      <c r="X2831" s="211"/>
    </row>
    <row r="2832">
      <c r="A2832" s="210" t="str">
        <f>IFERROR(__xludf.DUMMYFUNCTION("""COMPUTED_VALUE"""),"122591992")</f>
        <v>122591992</v>
      </c>
      <c r="B2832" s="210" t="str">
        <f>IFERROR(__xludf.DUMMYFUNCTION("""COMPUTED_VALUE"""),"122591992")</f>
        <v>122591992</v>
      </c>
      <c r="C2832" s="213">
        <f>IFERROR(__xludf.DUMMYFUNCTION("""COMPUTED_VALUE"""),46007.35030092593)</f>
        <v>46007.3503</v>
      </c>
      <c r="D2832" s="211" t="str">
        <f>IFERROR(__xludf.DUMMYFUNCTION("""COMPUTED_VALUE"""),"a0f0ad2d")</f>
        <v>a0f0ad2d</v>
      </c>
      <c r="E2832" s="211" t="str">
        <f>IFERROR(__xludf.DUMMYFUNCTION("""COMPUTED_VALUE"""),"CV. Yulie Jaya")</f>
        <v>CV. Yulie Jaya</v>
      </c>
      <c r="F2832" s="211" t="str">
        <f>IFERROR(__xludf.DUMMYFUNCTION("""COMPUTED_VALUE"""),"be525f3b")</f>
        <v>be525f3b</v>
      </c>
      <c r="G2832" s="211" t="str">
        <f>IFERROR(__xludf.DUMMYFUNCTION("""COMPUTED_VALUE"""),"LPG 12kg")</f>
        <v>LPG 12kg</v>
      </c>
      <c r="H2832" s="211" t="str">
        <f>IFERROR(__xludf.DUMMYFUNCTION("""COMPUTED_VALUE"""),"OUT")</f>
        <v>OUT</v>
      </c>
      <c r="I2832" s="211" t="str">
        <f>IFERROR(__xludf.DUMMYFUNCTION("""COMPUTED_VALUE"""),"NORMAL")</f>
        <v>NORMAL</v>
      </c>
      <c r="J2832" s="211">
        <f>IFERROR(__xludf.DUMMYFUNCTION("""COMPUTED_VALUE"""),2.0)</f>
        <v>2</v>
      </c>
      <c r="K2832" s="210" t="str">
        <f>IFERROR(__xludf.DUMMYFUNCTION("""COMPUTED_VALUE"""),"01 02")</f>
        <v>01 02</v>
      </c>
      <c r="L2832" s="211">
        <f>IFERROR(__xludf.DUMMYFUNCTION("""COMPUTED_VALUE"""),215000.0)</f>
        <v>215000</v>
      </c>
      <c r="M2832" s="211"/>
      <c r="N2832" s="211"/>
      <c r="O2832" s="211"/>
      <c r="Q2832" s="210" t="str">
        <f>IFERROR(__xludf.DUMMYFUNCTION("""COMPUTED_VALUE"""),"12061390")</f>
        <v>12061390</v>
      </c>
      <c r="R2832" s="210" t="str">
        <f>IFERROR(__xludf.DUMMYFUNCTION("""COMPUTED_VALUE"""),"1261411")</f>
        <v>1261411</v>
      </c>
      <c r="S2832" s="211" t="str">
        <f>IFERROR(__xludf.DUMMYFUNCTION("""COMPUTED_VALUE"""),"eec2e801")</f>
        <v>eec2e801</v>
      </c>
      <c r="T2832" s="211" t="str">
        <f>IFERROR(__xludf.DUMMYFUNCTION("""COMPUTED_VALUE"""),"Mitra Wood Sejahtera")</f>
        <v>Mitra Wood Sejahtera</v>
      </c>
      <c r="U2832" s="215">
        <f>IFERROR(__xludf.DUMMYFUNCTION("""COMPUTED_VALUE"""),46092.623078703706)</f>
        <v>46092.62308</v>
      </c>
      <c r="V2832" s="211" t="str">
        <f>IFERROR(__xludf.DUMMYFUNCTION("""COMPUTED_VALUE"""),"Jl.cungkling, Jl. Tanggungan, Nanom Kidul, Lebaniwaras, Kec. Wringinanom, Kabupaten Gresik, Jawa Timur 61176")</f>
        <v>Jl.cungkling, Jl. Tanggungan, Nanom Kidul, Lebaniwaras, Kec. Wringinanom, Kabupaten Gresik, Jawa Timur 61176</v>
      </c>
      <c r="W2832" s="211" t="str">
        <f>IFERROR(__xludf.DUMMYFUNCTION("""COMPUTED_VALUE"""),"IN")</f>
        <v>IN</v>
      </c>
      <c r="X2832" s="211"/>
    </row>
    <row r="2833">
      <c r="A2833" s="210" t="str">
        <f>IFERROR(__xludf.DUMMYFUNCTION("""COMPUTED_VALUE"""),"122521993")</f>
        <v>122521993</v>
      </c>
      <c r="B2833" s="210" t="str">
        <f>IFERROR(__xludf.DUMMYFUNCTION("""COMPUTED_VALUE"""),"122521993")</f>
        <v>122521993</v>
      </c>
      <c r="C2833" s="213">
        <f>IFERROR(__xludf.DUMMYFUNCTION("""COMPUTED_VALUE"""),46007.3566087963)</f>
        <v>46007.35661</v>
      </c>
      <c r="D2833" s="211" t="str">
        <f>IFERROR(__xludf.DUMMYFUNCTION("""COMPUTED_VALUE"""),"a1508027")</f>
        <v>a1508027</v>
      </c>
      <c r="E2833" s="211" t="str">
        <f>IFERROR(__xludf.DUMMYFUNCTION("""COMPUTED_VALUE"""),"Agus Budiono")</f>
        <v>Agus Budiono</v>
      </c>
      <c r="F2833" s="211" t="str">
        <f>IFERROR(__xludf.DUMMYFUNCTION("""COMPUTED_VALUE"""),"8bdbe149")</f>
        <v>8bdbe149</v>
      </c>
      <c r="G2833" s="211" t="str">
        <f>IFERROR(__xludf.DUMMYFUNCTION("""COMPUTED_VALUE"""),"Oksigen 6m3")</f>
        <v>Oksigen 6m3</v>
      </c>
      <c r="H2833" s="211" t="str">
        <f>IFERROR(__xludf.DUMMYFUNCTION("""COMPUTED_VALUE"""),"OUT")</f>
        <v>OUT</v>
      </c>
      <c r="I2833" s="211" t="str">
        <f>IFERROR(__xludf.DUMMYFUNCTION("""COMPUTED_VALUE"""),"NORMAL")</f>
        <v>NORMAL</v>
      </c>
      <c r="J2833" s="211">
        <f>IFERROR(__xludf.DUMMYFUNCTION("""COMPUTED_VALUE"""),1.0)</f>
        <v>1</v>
      </c>
      <c r="K2833" s="210" t="str">
        <f>IFERROR(__xludf.DUMMYFUNCTION("""COMPUTED_VALUE"""),"76")</f>
        <v>76</v>
      </c>
      <c r="L2833" s="211">
        <f>IFERROR(__xludf.DUMMYFUNCTION("""COMPUTED_VALUE"""),80000.0)</f>
        <v>80000</v>
      </c>
      <c r="M2833" s="211"/>
      <c r="N2833" s="211"/>
      <c r="O2833" s="211"/>
      <c r="Q2833" s="210" t="str">
        <f>IFERROR(__xludf.DUMMYFUNCTION("""COMPUTED_VALUE"""),"1261412")</f>
        <v>1261412</v>
      </c>
      <c r="R2833" s="210" t="str">
        <f>IFERROR(__xludf.DUMMYFUNCTION("""COMPUTED_VALUE"""),"1261412")</f>
        <v>1261412</v>
      </c>
      <c r="S2833" s="211" t="str">
        <f>IFERROR(__xludf.DUMMYFUNCTION("""COMPUTED_VALUE"""),"96254089")</f>
        <v>96254089</v>
      </c>
      <c r="T2833" s="211" t="str">
        <f>IFERROR(__xludf.DUMMYFUNCTION("""COMPUTED_VALUE"""),"Soni Baja")</f>
        <v>Soni Baja</v>
      </c>
      <c r="U2833" s="215">
        <f>IFERROR(__xludf.DUMMYFUNCTION("""COMPUTED_VALUE"""),46092.61908564815)</f>
        <v>46092.61909</v>
      </c>
      <c r="V2833" s="211" t="str">
        <f>IFERROR(__xludf.DUMMYFUNCTION("""COMPUTED_VALUE"""),"Jalan Raya Kemangsen Balongbendo Jawa Timur")</f>
        <v>Jalan Raya Kemangsen Balongbendo Jawa Timur</v>
      </c>
      <c r="W2833" s="211" t="str">
        <f>IFERROR(__xludf.DUMMYFUNCTION("""COMPUTED_VALUE"""),"IN")</f>
        <v>IN</v>
      </c>
      <c r="X2833" s="211"/>
    </row>
    <row r="2834">
      <c r="A2834" s="210" t="str">
        <f>IFERROR(__xludf.DUMMYFUNCTION("""COMPUTED_VALUE"""),"1250948")</f>
        <v>1250948</v>
      </c>
      <c r="B2834" s="210" t="str">
        <f>IFERROR(__xludf.DUMMYFUNCTION("""COMPUTED_VALUE"""),"1250948")</f>
        <v>1250948</v>
      </c>
      <c r="C2834" s="213">
        <f>IFERROR(__xludf.DUMMYFUNCTION("""COMPUTED_VALUE"""),46007.35724537037)</f>
        <v>46007.35725</v>
      </c>
      <c r="D2834" s="211" t="str">
        <f>IFERROR(__xludf.DUMMYFUNCTION("""COMPUTED_VALUE"""),"3b04351a")</f>
        <v>3b04351a</v>
      </c>
      <c r="E2834" s="211" t="str">
        <f>IFERROR(__xludf.DUMMYFUNCTION("""COMPUTED_VALUE"""),"CV Usaha Logam Jaya ( Bpk Putra )")</f>
        <v>CV Usaha Logam Jaya ( Bpk Putra )</v>
      </c>
      <c r="F2834" s="211" t="str">
        <f>IFERROR(__xludf.DUMMYFUNCTION("""COMPUTED_VALUE"""),"7d2764f1")</f>
        <v>7d2764f1</v>
      </c>
      <c r="G2834" s="211" t="str">
        <f>IFERROR(__xludf.DUMMYFUNCTION("""COMPUTED_VALUE"""),"Oksigen 7m3")</f>
        <v>Oksigen 7m3</v>
      </c>
      <c r="H2834" s="211" t="str">
        <f>IFERROR(__xludf.DUMMYFUNCTION("""COMPUTED_VALUE"""),"IN")</f>
        <v>IN</v>
      </c>
      <c r="I2834" s="211" t="str">
        <f>IFERROR(__xludf.DUMMYFUNCTION("""COMPUTED_VALUE"""),"EMPTY")</f>
        <v>EMPTY</v>
      </c>
      <c r="J2834" s="211">
        <f>IFERROR(__xludf.DUMMYFUNCTION("""COMPUTED_VALUE"""),5.0)</f>
        <v>5</v>
      </c>
      <c r="K2834" s="210" t="str">
        <f>IFERROR(__xludf.DUMMYFUNCTION("""COMPUTED_VALUE"""),"11151 11303 11167 11306 11141")</f>
        <v>11151 11303 11167 11306 11141</v>
      </c>
      <c r="L2834" s="211">
        <f>IFERROR(__xludf.DUMMYFUNCTION("""COMPUTED_VALUE"""),0.0)</f>
        <v>0</v>
      </c>
      <c r="M2834" s="211"/>
      <c r="N2834" s="211"/>
      <c r="O2834" s="211"/>
      <c r="Q2834" s="210" t="str">
        <f>IFERROR(__xludf.DUMMYFUNCTION("""COMPUTED_VALUE"""),"032692830")</f>
        <v>032692830</v>
      </c>
      <c r="R2834" s="210" t="str">
        <f>IFERROR(__xludf.DUMMYFUNCTION("""COMPUTED_VALUE"""),"032692830")</f>
        <v>032692830</v>
      </c>
      <c r="S2834" s="211" t="str">
        <f>IFERROR(__xludf.DUMMYFUNCTION("""COMPUTED_VALUE"""),"de41c3e8")</f>
        <v>de41c3e8</v>
      </c>
      <c r="T2834" s="211" t="str">
        <f>IFERROR(__xludf.DUMMYFUNCTION("""COMPUTED_VALUE"""),"Bpk. Eko Mianto")</f>
        <v>Bpk. Eko Mianto</v>
      </c>
      <c r="U2834" s="215">
        <f>IFERROR(__xludf.DUMMYFUNCTION("""COMPUTED_VALUE"""),46093.340891203705)</f>
        <v>46093.34089</v>
      </c>
      <c r="V2834" s="211" t="str">
        <f>IFERROR(__xludf.DUMMYFUNCTION("""COMPUTED_VALUE"""),"The Graha Residen, Blok D4 No 33. Tropodo, Kec Krian, Kabupaten Sidaorjo, Jawa Timur 61262")</f>
        <v>The Graha Residen, Blok D4 No 33. Tropodo, Kec Krian, Kabupaten Sidaorjo, Jawa Timur 61262</v>
      </c>
      <c r="W2834" s="211" t="str">
        <f>IFERROR(__xludf.DUMMYFUNCTION("""COMPUTED_VALUE"""),"OUT")</f>
        <v>OUT</v>
      </c>
      <c r="X2834" s="211"/>
    </row>
    <row r="2835">
      <c r="A2835" s="210" t="str">
        <f>IFERROR(__xludf.DUMMYFUNCTION("""COMPUTED_VALUE"""),"1250948")</f>
        <v>1250948</v>
      </c>
      <c r="B2835" s="210" t="str">
        <f>IFERROR(__xludf.DUMMYFUNCTION("""COMPUTED_VALUE"""),"1250948")</f>
        <v>1250948</v>
      </c>
      <c r="C2835" s="213">
        <f>IFERROR(__xludf.DUMMYFUNCTION("""COMPUTED_VALUE"""),46007.35724537037)</f>
        <v>46007.35725</v>
      </c>
      <c r="D2835" s="211" t="str">
        <f>IFERROR(__xludf.DUMMYFUNCTION("""COMPUTED_VALUE"""),"3b04351a")</f>
        <v>3b04351a</v>
      </c>
      <c r="E2835" s="211" t="str">
        <f>IFERROR(__xludf.DUMMYFUNCTION("""COMPUTED_VALUE"""),"CV Usaha Logam Jaya ( Bpk Putra )")</f>
        <v>CV Usaha Logam Jaya ( Bpk Putra )</v>
      </c>
      <c r="F2835" s="211" t="str">
        <f>IFERROR(__xludf.DUMMYFUNCTION("""COMPUTED_VALUE"""),"8bdbe149")</f>
        <v>8bdbe149</v>
      </c>
      <c r="G2835" s="211" t="str">
        <f>IFERROR(__xludf.DUMMYFUNCTION("""COMPUTED_VALUE"""),"Oksigen 6m3")</f>
        <v>Oksigen 6m3</v>
      </c>
      <c r="H2835" s="211" t="str">
        <f>IFERROR(__xludf.DUMMYFUNCTION("""COMPUTED_VALUE"""),"IN")</f>
        <v>IN</v>
      </c>
      <c r="I2835" s="211" t="str">
        <f>IFERROR(__xludf.DUMMYFUNCTION("""COMPUTED_VALUE"""),"EMPTY")</f>
        <v>EMPTY</v>
      </c>
      <c r="J2835" s="211">
        <f>IFERROR(__xludf.DUMMYFUNCTION("""COMPUTED_VALUE"""),7.0)</f>
        <v>7</v>
      </c>
      <c r="K2835" s="210" t="str">
        <f>IFERROR(__xludf.DUMMYFUNCTION("""COMPUTED_VALUE"""),"11106 11273 11257 1129 11112 11308 11114")</f>
        <v>11106 11273 11257 1129 11112 11308 11114</v>
      </c>
      <c r="L2835" s="211">
        <f>IFERROR(__xludf.DUMMYFUNCTION("""COMPUTED_VALUE"""),0.0)</f>
        <v>0</v>
      </c>
      <c r="M2835" s="211"/>
      <c r="N2835" s="211"/>
      <c r="O2835" s="211"/>
      <c r="Q2835" s="210" t="str">
        <f>IFERROR(__xludf.DUMMYFUNCTION("""COMPUTED_VALUE"""),"1261393")</f>
        <v>1261393</v>
      </c>
      <c r="R2835" s="210" t="str">
        <f>IFERROR(__xludf.DUMMYFUNCTION("""COMPUTED_VALUE"""),"1261393")</f>
        <v>1261393</v>
      </c>
      <c r="S2835" s="211" t="str">
        <f>IFERROR(__xludf.DUMMYFUNCTION("""COMPUTED_VALUE"""),"b218b89b")</f>
        <v>b218b89b</v>
      </c>
      <c r="T2835" s="211" t="str">
        <f>IFERROR(__xludf.DUMMYFUNCTION("""COMPUTED_VALUE"""),"PT Harapan Sentosa")</f>
        <v>PT Harapan Sentosa</v>
      </c>
      <c r="U2835" s="215">
        <f>IFERROR(__xludf.DUMMYFUNCTION("""COMPUTED_VALUE"""),46092.68716435185)</f>
        <v>46092.68716</v>
      </c>
      <c r="V2835" s="211" t="str">
        <f>IFERROR(__xludf.DUMMYFUNCTION("""COMPUTED_VALUE"""),"Seketi, Jl. Purboyo II Selatan, RT.02/RW.02, Seketi, Kec. BalongBendo, Kabupaten Sidoarjo, Jawa Timur 61263")</f>
        <v>Seketi, Jl. Purboyo II Selatan, RT.02/RW.02, Seketi, Kec. BalongBendo, Kabupaten Sidoarjo, Jawa Timur 61263</v>
      </c>
      <c r="W2835" s="211" t="str">
        <f>IFERROR(__xludf.DUMMYFUNCTION("""COMPUTED_VALUE"""),"IN")</f>
        <v>IN</v>
      </c>
      <c r="X2835" s="211"/>
    </row>
    <row r="2836">
      <c r="A2836" s="210" t="str">
        <f>IFERROR(__xludf.DUMMYFUNCTION("""COMPUTED_VALUE"""),"1250948")</f>
        <v>1250948</v>
      </c>
      <c r="B2836" s="210" t="str">
        <f>IFERROR(__xludf.DUMMYFUNCTION("""COMPUTED_VALUE"""),"1250948")</f>
        <v>1250948</v>
      </c>
      <c r="C2836" s="213">
        <f>IFERROR(__xludf.DUMMYFUNCTION("""COMPUTED_VALUE"""),46007.35724537037)</f>
        <v>46007.35725</v>
      </c>
      <c r="D2836" s="211" t="str">
        <f>IFERROR(__xludf.DUMMYFUNCTION("""COMPUTED_VALUE"""),"3b04351a")</f>
        <v>3b04351a</v>
      </c>
      <c r="E2836" s="211" t="str">
        <f>IFERROR(__xludf.DUMMYFUNCTION("""COMPUTED_VALUE"""),"CV Usaha Logam Jaya ( Bpk Putra )")</f>
        <v>CV Usaha Logam Jaya ( Bpk Putra )</v>
      </c>
      <c r="F2836" s="211" t="str">
        <f>IFERROR(__xludf.DUMMYFUNCTION("""COMPUTED_VALUE"""),"be525f3b")</f>
        <v>be525f3b</v>
      </c>
      <c r="G2836" s="211" t="str">
        <f>IFERROR(__xludf.DUMMYFUNCTION("""COMPUTED_VALUE"""),"LPG 12kg")</f>
        <v>LPG 12kg</v>
      </c>
      <c r="H2836" s="211" t="str">
        <f>IFERROR(__xludf.DUMMYFUNCTION("""COMPUTED_VALUE"""),"IN")</f>
        <v>IN</v>
      </c>
      <c r="I2836" s="211" t="str">
        <f>IFERROR(__xludf.DUMMYFUNCTION("""COMPUTED_VALUE"""),"EMPTY")</f>
        <v>EMPTY</v>
      </c>
      <c r="J2836" s="211">
        <f>IFERROR(__xludf.DUMMYFUNCTION("""COMPUTED_VALUE"""),1.0)</f>
        <v>1</v>
      </c>
      <c r="K2836" s="210" t="str">
        <f>IFERROR(__xludf.DUMMYFUNCTION("""COMPUTED_VALUE"""),"01")</f>
        <v>01</v>
      </c>
      <c r="L2836" s="211">
        <f>IFERROR(__xludf.DUMMYFUNCTION("""COMPUTED_VALUE"""),0.0)</f>
        <v>0</v>
      </c>
      <c r="M2836" s="211"/>
      <c r="N2836" s="211"/>
      <c r="O2836" s="211"/>
      <c r="Q2836" s="210" t="str">
        <f>IFERROR(__xludf.DUMMYFUNCTION("""COMPUTED_VALUE"""),"4032612766")</f>
        <v>4032612766</v>
      </c>
      <c r="R2836" s="210" t="str">
        <f>IFERROR(__xludf.DUMMYFUNCTION("""COMPUTED_VALUE"""),"4032612766")</f>
        <v>4032612766</v>
      </c>
      <c r="S2836" s="211" t="str">
        <f>IFERROR(__xludf.DUMMYFUNCTION("""COMPUTED_VALUE"""),"8ec7a1d6")</f>
        <v>8ec7a1d6</v>
      </c>
      <c r="T2836" s="211" t="str">
        <f>IFERROR(__xludf.DUMMYFUNCTION("""COMPUTED_VALUE"""),"CV Bumi Anugerah Sentosa")</f>
        <v>CV Bumi Anugerah Sentosa</v>
      </c>
      <c r="U2836" s="215">
        <f>IFERROR(__xludf.DUMMYFUNCTION("""COMPUTED_VALUE"""),46093.69027777778)</f>
        <v>46093.69028</v>
      </c>
      <c r="V2836" s="211" t="str">
        <f>IFERROR(__xludf.DUMMYFUNCTION("""COMPUTED_VALUE"""),"Sumber Kembar 007/008, Wonodadi, Kec. Kutorejo, Kabupaten Mojokerto, Jawa Timur, Indonesia")</f>
        <v>Sumber Kembar 007/008, Wonodadi, Kec. Kutorejo, Kabupaten Mojokerto, Jawa Timur, Indonesia</v>
      </c>
      <c r="W2836" s="211" t="str">
        <f>IFERROR(__xludf.DUMMYFUNCTION("""COMPUTED_VALUE"""),"OTHER")</f>
        <v>OTHER</v>
      </c>
      <c r="X2836" s="211"/>
    </row>
    <row r="2837">
      <c r="A2837" s="210" t="str">
        <f>IFERROR(__xludf.DUMMYFUNCTION("""COMPUTED_VALUE"""),"1250957")</f>
        <v>1250957</v>
      </c>
      <c r="B2837" s="210" t="str">
        <f>IFERROR(__xludf.DUMMYFUNCTION("""COMPUTED_VALUE"""),"1250957")</f>
        <v>1250957</v>
      </c>
      <c r="C2837" s="213">
        <f>IFERROR(__xludf.DUMMYFUNCTION("""COMPUTED_VALUE"""),46007.36577546296)</f>
        <v>46007.36578</v>
      </c>
      <c r="D2837" s="211" t="str">
        <f>IFERROR(__xludf.DUMMYFUNCTION("""COMPUTED_VALUE"""),"e76bc39c")</f>
        <v>e76bc39c</v>
      </c>
      <c r="E2837" s="211" t="str">
        <f>IFERROR(__xludf.DUMMYFUNCTION("""COMPUTED_VALUE"""),"Bpk. Irul")</f>
        <v>Bpk. Irul</v>
      </c>
      <c r="F2837" s="211" t="str">
        <f>IFERROR(__xludf.DUMMYFUNCTION("""COMPUTED_VALUE"""),"8bdbe149")</f>
        <v>8bdbe149</v>
      </c>
      <c r="G2837" s="211" t="str">
        <f>IFERROR(__xludf.DUMMYFUNCTION("""COMPUTED_VALUE"""),"Oksigen 6m3")</f>
        <v>Oksigen 6m3</v>
      </c>
      <c r="H2837" s="211" t="str">
        <f>IFERROR(__xludf.DUMMYFUNCTION("""COMPUTED_VALUE"""),"IN")</f>
        <v>IN</v>
      </c>
      <c r="I2837" s="211" t="str">
        <f>IFERROR(__xludf.DUMMYFUNCTION("""COMPUTED_VALUE"""),"EMPTY")</f>
        <v>EMPTY</v>
      </c>
      <c r="J2837" s="211">
        <f>IFERROR(__xludf.DUMMYFUNCTION("""COMPUTED_VALUE"""),2.0)</f>
        <v>2</v>
      </c>
      <c r="K2837" s="210" t="str">
        <f>IFERROR(__xludf.DUMMYFUNCTION("""COMPUTED_VALUE"""),"11173 11139")</f>
        <v>11173 11139</v>
      </c>
      <c r="L2837" s="211">
        <f>IFERROR(__xludf.DUMMYFUNCTION("""COMPUTED_VALUE"""),0.0)</f>
        <v>0</v>
      </c>
      <c r="M2837" s="211"/>
      <c r="N2837" s="211"/>
      <c r="O2837" s="211"/>
      <c r="Q2837" s="210" t="str">
        <f>IFERROR(__xludf.DUMMYFUNCTION("""COMPUTED_VALUE"""),"0326302835")</f>
        <v>0326302835</v>
      </c>
      <c r="R2837" s="210" t="str">
        <f>IFERROR(__xludf.DUMMYFUNCTION("""COMPUTED_VALUE"""),"0326302835")</f>
        <v>0326302835</v>
      </c>
      <c r="S2837" s="211" t="str">
        <f>IFERROR(__xludf.DUMMYFUNCTION("""COMPUTED_VALUE"""),"63fc688a")</f>
        <v>63fc688a</v>
      </c>
      <c r="T2837" s="211" t="str">
        <f>IFERROR(__xludf.DUMMYFUNCTION("""COMPUTED_VALUE"""),"CV Malik Nusantara")</f>
        <v>CV Malik Nusantara</v>
      </c>
      <c r="U2837" s="215">
        <f>IFERROR(__xludf.DUMMYFUNCTION("""COMPUTED_VALUE"""),46093.35859953704)</f>
        <v>46093.3586</v>
      </c>
      <c r="V2837" s="211" t="str">
        <f>IFERROR(__xludf.DUMMYFUNCTION("""COMPUTED_VALUE"""),"Jl. Raya Balongbendo No.12, Suwaluh Utara, Suwaluh, Kec. BalongBendo, Kabupaten Sidoarjo, Jawa Timur 61263")</f>
        <v>Jl. Raya Balongbendo No.12, Suwaluh Utara, Suwaluh, Kec. BalongBendo, Kabupaten Sidoarjo, Jawa Timur 61263</v>
      </c>
      <c r="W2837" s="211" t="str">
        <f>IFERROR(__xludf.DUMMYFUNCTION("""COMPUTED_VALUE"""),"OUT")</f>
        <v>OUT</v>
      </c>
      <c r="X2837" s="211"/>
    </row>
    <row r="2838">
      <c r="A2838" s="210" t="str">
        <f>IFERROR(__xludf.DUMMYFUNCTION("""COMPUTED_VALUE"""),"1250949")</f>
        <v>1250949</v>
      </c>
      <c r="B2838" s="210" t="str">
        <f>IFERROR(__xludf.DUMMYFUNCTION("""COMPUTED_VALUE"""),"1250949")</f>
        <v>1250949</v>
      </c>
      <c r="C2838" s="213">
        <f>IFERROR(__xludf.DUMMYFUNCTION("""COMPUTED_VALUE"""),46007.42722222222)</f>
        <v>46007.42722</v>
      </c>
      <c r="D2838" s="211" t="str">
        <f>IFERROR(__xludf.DUMMYFUNCTION("""COMPUTED_VALUE"""),"a0f0ad2d")</f>
        <v>a0f0ad2d</v>
      </c>
      <c r="E2838" s="211" t="str">
        <f>IFERROR(__xludf.DUMMYFUNCTION("""COMPUTED_VALUE"""),"CV. Yulie Jaya")</f>
        <v>CV. Yulie Jaya</v>
      </c>
      <c r="F2838" s="211" t="str">
        <f>IFERROR(__xludf.DUMMYFUNCTION("""COMPUTED_VALUE"""),"8bdbe149")</f>
        <v>8bdbe149</v>
      </c>
      <c r="G2838" s="211" t="str">
        <f>IFERROR(__xludf.DUMMYFUNCTION("""COMPUTED_VALUE"""),"Oksigen 6m3")</f>
        <v>Oksigen 6m3</v>
      </c>
      <c r="H2838" s="211" t="str">
        <f>IFERROR(__xludf.DUMMYFUNCTION("""COMPUTED_VALUE"""),"IN")</f>
        <v>IN</v>
      </c>
      <c r="I2838" s="211" t="str">
        <f>IFERROR(__xludf.DUMMYFUNCTION("""COMPUTED_VALUE"""),"EMPTY")</f>
        <v>EMPTY</v>
      </c>
      <c r="J2838" s="211">
        <f>IFERROR(__xludf.DUMMYFUNCTION("""COMPUTED_VALUE"""),1.0)</f>
        <v>1</v>
      </c>
      <c r="K2838" s="210" t="str">
        <f>IFERROR(__xludf.DUMMYFUNCTION("""COMPUTED_VALUE"""),"11177")</f>
        <v>11177</v>
      </c>
      <c r="L2838" s="211">
        <f>IFERROR(__xludf.DUMMYFUNCTION("""COMPUTED_VALUE"""),0.0)</f>
        <v>0</v>
      </c>
      <c r="M2838" s="211"/>
      <c r="N2838" s="211"/>
      <c r="O2838" s="211"/>
      <c r="Q2838" s="210" t="str">
        <f>IFERROR(__xludf.DUMMYFUNCTION("""COMPUTED_VALUE"""),"1261394")</f>
        <v>1261394</v>
      </c>
      <c r="R2838" s="210" t="str">
        <f>IFERROR(__xludf.DUMMYFUNCTION("""COMPUTED_VALUE"""),"1261394")</f>
        <v>1261394</v>
      </c>
      <c r="S2838" s="211" t="str">
        <f>IFERROR(__xludf.DUMMYFUNCTION("""COMPUTED_VALUE"""),"7b9d8eba")</f>
        <v>7b9d8eba</v>
      </c>
      <c r="T2838" s="211" t="str">
        <f>IFERROR(__xludf.DUMMYFUNCTION("""COMPUTED_VALUE"""),"PT PELANGI INDOKARYA")</f>
        <v>PT PELANGI INDOKARYA</v>
      </c>
      <c r="U2838" s="215">
        <f>IFERROR(__xludf.DUMMYFUNCTION("""COMPUTED_VALUE"""),46093.49789351852)</f>
        <v>46093.49789</v>
      </c>
      <c r="V2838"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838" s="211" t="str">
        <f>IFERROR(__xludf.DUMMYFUNCTION("""COMPUTED_VALUE"""),"IN")</f>
        <v>IN</v>
      </c>
      <c r="X2838" s="211"/>
    </row>
    <row r="2839">
      <c r="A2839" s="210" t="str">
        <f>IFERROR(__xludf.DUMMYFUNCTION("""COMPUTED_VALUE"""),"1250949")</f>
        <v>1250949</v>
      </c>
      <c r="B2839" s="210" t="str">
        <f>IFERROR(__xludf.DUMMYFUNCTION("""COMPUTED_VALUE"""),"1250949")</f>
        <v>1250949</v>
      </c>
      <c r="C2839" s="213">
        <f>IFERROR(__xludf.DUMMYFUNCTION("""COMPUTED_VALUE"""),46007.42722222222)</f>
        <v>46007.42722</v>
      </c>
      <c r="D2839" s="211" t="str">
        <f>IFERROR(__xludf.DUMMYFUNCTION("""COMPUTED_VALUE"""),"a0f0ad2d")</f>
        <v>a0f0ad2d</v>
      </c>
      <c r="E2839" s="211" t="str">
        <f>IFERROR(__xludf.DUMMYFUNCTION("""COMPUTED_VALUE"""),"CV. Yulie Jaya")</f>
        <v>CV. Yulie Jaya</v>
      </c>
      <c r="F2839" s="211" t="str">
        <f>IFERROR(__xludf.DUMMYFUNCTION("""COMPUTED_VALUE"""),"be525f3b")</f>
        <v>be525f3b</v>
      </c>
      <c r="G2839" s="211" t="str">
        <f>IFERROR(__xludf.DUMMYFUNCTION("""COMPUTED_VALUE"""),"LPG 12kg")</f>
        <v>LPG 12kg</v>
      </c>
      <c r="H2839" s="211" t="str">
        <f>IFERROR(__xludf.DUMMYFUNCTION("""COMPUTED_VALUE"""),"IN")</f>
        <v>IN</v>
      </c>
      <c r="I2839" s="211" t="str">
        <f>IFERROR(__xludf.DUMMYFUNCTION("""COMPUTED_VALUE"""),"EMPTY")</f>
        <v>EMPTY</v>
      </c>
      <c r="J2839" s="211">
        <f>IFERROR(__xludf.DUMMYFUNCTION("""COMPUTED_VALUE"""),2.0)</f>
        <v>2</v>
      </c>
      <c r="K2839" s="210" t="str">
        <f>IFERROR(__xludf.DUMMYFUNCTION("""COMPUTED_VALUE"""),"01 02")</f>
        <v>01 02</v>
      </c>
      <c r="L2839" s="211">
        <f>IFERROR(__xludf.DUMMYFUNCTION("""COMPUTED_VALUE"""),0.0)</f>
        <v>0</v>
      </c>
      <c r="M2839" s="211"/>
      <c r="N2839" s="211"/>
      <c r="O2839" s="211"/>
      <c r="Q2839" s="210" t="str">
        <f>IFERROR(__xludf.DUMMYFUNCTION("""COMPUTED_VALUE"""),"1261395")</f>
        <v>1261395</v>
      </c>
      <c r="R2839" s="210" t="str">
        <f>IFERROR(__xludf.DUMMYFUNCTION("""COMPUTED_VALUE"""),"1261395")</f>
        <v>1261395</v>
      </c>
      <c r="S2839" s="211" t="str">
        <f>IFERROR(__xludf.DUMMYFUNCTION("""COMPUTED_VALUE"""),"63fc688a")</f>
        <v>63fc688a</v>
      </c>
      <c r="T2839" s="211" t="str">
        <f>IFERROR(__xludf.DUMMYFUNCTION("""COMPUTED_VALUE"""),"CV Malik Nusantara")</f>
        <v>CV Malik Nusantara</v>
      </c>
      <c r="U2839" s="215">
        <f>IFERROR(__xludf.DUMMYFUNCTION("""COMPUTED_VALUE"""),46093.50048611111)</f>
        <v>46093.50049</v>
      </c>
      <c r="V2839" s="211" t="str">
        <f>IFERROR(__xludf.DUMMYFUNCTION("""COMPUTED_VALUE"""),"Jl. Raya Balongbendo No.12, Suwaluh Utara, Suwaluh, Kec. BalongBendo, Kabupaten Sidoarjo, Jawa Timur 61263")</f>
        <v>Jl. Raya Balongbendo No.12, Suwaluh Utara, Suwaluh, Kec. BalongBendo, Kabupaten Sidoarjo, Jawa Timur 61263</v>
      </c>
      <c r="W2839" s="211" t="str">
        <f>IFERROR(__xludf.DUMMYFUNCTION("""COMPUTED_VALUE"""),"IN")</f>
        <v>IN</v>
      </c>
      <c r="X2839" s="211"/>
    </row>
    <row r="2840">
      <c r="A2840" s="210" t="str">
        <f>IFERROR(__xludf.DUMMYFUNCTION("""COMPUTED_VALUE"""),"1250949")</f>
        <v>1250949</v>
      </c>
      <c r="B2840" s="210" t="str">
        <f>IFERROR(__xludf.DUMMYFUNCTION("""COMPUTED_VALUE"""),"1250949")</f>
        <v>1250949</v>
      </c>
      <c r="C2840" s="213">
        <f>IFERROR(__xludf.DUMMYFUNCTION("""COMPUTED_VALUE"""),46007.42722222222)</f>
        <v>46007.42722</v>
      </c>
      <c r="D2840" s="211" t="str">
        <f>IFERROR(__xludf.DUMMYFUNCTION("""COMPUTED_VALUE"""),"a0f0ad2d")</f>
        <v>a0f0ad2d</v>
      </c>
      <c r="E2840" s="211" t="str">
        <f>IFERROR(__xludf.DUMMYFUNCTION("""COMPUTED_VALUE"""),"CV. Yulie Jaya")</f>
        <v>CV. Yulie Jaya</v>
      </c>
      <c r="F2840" s="211" t="str">
        <f>IFERROR(__xludf.DUMMYFUNCTION("""COMPUTED_VALUE"""),"7d2764f1")</f>
        <v>7d2764f1</v>
      </c>
      <c r="G2840" s="211" t="str">
        <f>IFERROR(__xludf.DUMMYFUNCTION("""COMPUTED_VALUE"""),"Oksigen 7m3")</f>
        <v>Oksigen 7m3</v>
      </c>
      <c r="H2840" s="211" t="str">
        <f>IFERROR(__xludf.DUMMYFUNCTION("""COMPUTED_VALUE"""),"IN")</f>
        <v>IN</v>
      </c>
      <c r="I2840" s="211" t="str">
        <f>IFERROR(__xludf.DUMMYFUNCTION("""COMPUTED_VALUE"""),"EMPTY")</f>
        <v>EMPTY</v>
      </c>
      <c r="J2840" s="211">
        <f>IFERROR(__xludf.DUMMYFUNCTION("""COMPUTED_VALUE"""),5.0)</f>
        <v>5</v>
      </c>
      <c r="K2840" s="210" t="str">
        <f>IFERROR(__xludf.DUMMYFUNCTION("""COMPUTED_VALUE"""),"11144 11228 11169 11145 11155")</f>
        <v>11144 11228 11169 11145 11155</v>
      </c>
      <c r="L2840" s="211">
        <f>IFERROR(__xludf.DUMMYFUNCTION("""COMPUTED_VALUE"""),0.0)</f>
        <v>0</v>
      </c>
      <c r="M2840" s="211"/>
      <c r="N2840" s="211"/>
      <c r="O2840" s="211"/>
      <c r="Q2840" s="210" t="str">
        <f>IFERROR(__xludf.DUMMYFUNCTION("""COMPUTED_VALUE"""),"1261396")</f>
        <v>1261396</v>
      </c>
      <c r="R2840" s="210" t="str">
        <f>IFERROR(__xludf.DUMMYFUNCTION("""COMPUTED_VALUE"""),"1261396")</f>
        <v>1261396</v>
      </c>
      <c r="S2840" s="211" t="str">
        <f>IFERROR(__xludf.DUMMYFUNCTION("""COMPUTED_VALUE"""),"98c84274")</f>
        <v>98c84274</v>
      </c>
      <c r="T2840" s="211" t="str">
        <f>IFERROR(__xludf.DUMMYFUNCTION("""COMPUTED_VALUE"""),"Bengkel SBM (Pak Hari)")</f>
        <v>Bengkel SBM (Pak Hari)</v>
      </c>
      <c r="U2840" s="215">
        <f>IFERROR(__xludf.DUMMYFUNCTION("""COMPUTED_VALUE"""),46093.50234953704)</f>
        <v>46093.50235</v>
      </c>
      <c r="V2840"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840" s="211" t="str">
        <f>IFERROR(__xludf.DUMMYFUNCTION("""COMPUTED_VALUE"""),"IN")</f>
        <v>IN</v>
      </c>
      <c r="X2840" s="211"/>
    </row>
    <row r="2841">
      <c r="A2841" s="210" t="str">
        <f>IFERROR(__xludf.DUMMYFUNCTION("""COMPUTED_VALUE"""),"1250961")</f>
        <v>1250961</v>
      </c>
      <c r="B2841" s="210" t="str">
        <f>IFERROR(__xludf.DUMMYFUNCTION("""COMPUTED_VALUE"""),"1250961")</f>
        <v>1250961</v>
      </c>
      <c r="C2841" s="213">
        <f>IFERROR(__xludf.DUMMYFUNCTION("""COMPUTED_VALUE"""),46007.62226851852)</f>
        <v>46007.62227</v>
      </c>
      <c r="D2841" s="211" t="str">
        <f>IFERROR(__xludf.DUMMYFUNCTION("""COMPUTED_VALUE"""),"b218b89b")</f>
        <v>b218b89b</v>
      </c>
      <c r="E2841" s="211" t="str">
        <f>IFERROR(__xludf.DUMMYFUNCTION("""COMPUTED_VALUE"""),"PT Harapan Sentosa")</f>
        <v>PT Harapan Sentosa</v>
      </c>
      <c r="F2841" s="211" t="str">
        <f>IFERROR(__xludf.DUMMYFUNCTION("""COMPUTED_VALUE"""),"8bdbe149")</f>
        <v>8bdbe149</v>
      </c>
      <c r="G2841" s="211" t="str">
        <f>IFERROR(__xludf.DUMMYFUNCTION("""COMPUTED_VALUE"""),"Oksigen 6m3")</f>
        <v>Oksigen 6m3</v>
      </c>
      <c r="H2841" s="211" t="str">
        <f>IFERROR(__xludf.DUMMYFUNCTION("""COMPUTED_VALUE"""),"IN")</f>
        <v>IN</v>
      </c>
      <c r="I2841" s="211" t="str">
        <f>IFERROR(__xludf.DUMMYFUNCTION("""COMPUTED_VALUE"""),"EMPTY")</f>
        <v>EMPTY</v>
      </c>
      <c r="J2841" s="211">
        <f>IFERROR(__xludf.DUMMYFUNCTION("""COMPUTED_VALUE"""),2.0)</f>
        <v>2</v>
      </c>
      <c r="K2841" s="210" t="str">
        <f>IFERROR(__xludf.DUMMYFUNCTION("""COMPUTED_VALUE"""),"1115 11127")</f>
        <v>1115 11127</v>
      </c>
      <c r="L2841" s="211">
        <f>IFERROR(__xludf.DUMMYFUNCTION("""COMPUTED_VALUE"""),0.0)</f>
        <v>0</v>
      </c>
      <c r="M2841" s="211"/>
      <c r="N2841" s="211"/>
      <c r="O2841" s="211"/>
      <c r="Q2841" s="210" t="str">
        <f>IFERROR(__xludf.DUMMYFUNCTION("""COMPUTED_VALUE"""),"0326272838")</f>
        <v>0326272838</v>
      </c>
      <c r="R2841" s="210" t="str">
        <f>IFERROR(__xludf.DUMMYFUNCTION("""COMPUTED_VALUE"""),"0326272838")</f>
        <v>0326272838</v>
      </c>
      <c r="S2841" s="211" t="str">
        <f>IFERROR(__xludf.DUMMYFUNCTION("""COMPUTED_VALUE"""),"8ea74d81")</f>
        <v>8ea74d81</v>
      </c>
      <c r="T2841" s="211" t="str">
        <f>IFERROR(__xludf.DUMMYFUNCTION("""COMPUTED_VALUE"""),"Bengkel Adi Putra")</f>
        <v>Bengkel Adi Putra</v>
      </c>
      <c r="U2841" s="215">
        <f>IFERROR(__xludf.DUMMYFUNCTION("""COMPUTED_VALUE"""),46093.50443287037)</f>
        <v>46093.50443</v>
      </c>
      <c r="V2841" s="211" t="str">
        <f>IFERROR(__xludf.DUMMYFUNCTION("""COMPUTED_VALUE"""),"Bypass Balongbendo")</f>
        <v>Bypass Balongbendo</v>
      </c>
      <c r="W2841" s="211" t="str">
        <f>IFERROR(__xludf.DUMMYFUNCTION("""COMPUTED_VALUE"""),"OUT")</f>
        <v>OUT</v>
      </c>
      <c r="X2841" s="211"/>
    </row>
    <row r="2842">
      <c r="A2842" s="210" t="str">
        <f>IFERROR(__xludf.DUMMYFUNCTION("""COMPUTED_VALUE"""),"1250962")</f>
        <v>1250962</v>
      </c>
      <c r="B2842" s="210" t="str">
        <f>IFERROR(__xludf.DUMMYFUNCTION("""COMPUTED_VALUE"""),"1250962")</f>
        <v>1250962</v>
      </c>
      <c r="C2842" s="213">
        <f>IFERROR(__xludf.DUMMYFUNCTION("""COMPUTED_VALUE"""),46007.622662037036)</f>
        <v>46007.62266</v>
      </c>
      <c r="D2842" s="211" t="str">
        <f>IFERROR(__xludf.DUMMYFUNCTION("""COMPUTED_VALUE"""),"63fc688a")</f>
        <v>63fc688a</v>
      </c>
      <c r="E2842" s="211" t="str">
        <f>IFERROR(__xludf.DUMMYFUNCTION("""COMPUTED_VALUE"""),"CV Malik Nusantara")</f>
        <v>CV Malik Nusantara</v>
      </c>
      <c r="F2842" s="211" t="str">
        <f>IFERROR(__xludf.DUMMYFUNCTION("""COMPUTED_VALUE"""),"8bdbe149")</f>
        <v>8bdbe149</v>
      </c>
      <c r="G2842" s="211" t="str">
        <f>IFERROR(__xludf.DUMMYFUNCTION("""COMPUTED_VALUE"""),"Oksigen 6m3")</f>
        <v>Oksigen 6m3</v>
      </c>
      <c r="H2842" s="211" t="str">
        <f>IFERROR(__xludf.DUMMYFUNCTION("""COMPUTED_VALUE"""),"IN")</f>
        <v>IN</v>
      </c>
      <c r="I2842" s="211" t="str">
        <f>IFERROR(__xludf.DUMMYFUNCTION("""COMPUTED_VALUE"""),"EMPTY")</f>
        <v>EMPTY</v>
      </c>
      <c r="J2842" s="211">
        <f>IFERROR(__xludf.DUMMYFUNCTION("""COMPUTED_VALUE"""),4.0)</f>
        <v>4</v>
      </c>
      <c r="K2842" s="210" t="str">
        <f>IFERROR(__xludf.DUMMYFUNCTION("""COMPUTED_VALUE"""),"11250 1194 11240 1163")</f>
        <v>11250 1194 11240 1163</v>
      </c>
      <c r="L2842" s="211">
        <f>IFERROR(__xludf.DUMMYFUNCTION("""COMPUTED_VALUE"""),0.0)</f>
        <v>0</v>
      </c>
      <c r="M2842" s="211"/>
      <c r="N2842" s="211"/>
      <c r="O2842" s="211"/>
      <c r="Q2842" s="210" t="str">
        <f>IFERROR(__xludf.DUMMYFUNCTION("""COMPUTED_VALUE"""),"1261403")</f>
        <v>1261403</v>
      </c>
      <c r="R2842" s="210" t="str">
        <f>IFERROR(__xludf.DUMMYFUNCTION("""COMPUTED_VALUE"""),"1261403")</f>
        <v>1261403</v>
      </c>
      <c r="S2842" s="211" t="str">
        <f>IFERROR(__xludf.DUMMYFUNCTION("""COMPUTED_VALUE"""),"de41c3e8")</f>
        <v>de41c3e8</v>
      </c>
      <c r="T2842" s="211" t="str">
        <f>IFERROR(__xludf.DUMMYFUNCTION("""COMPUTED_VALUE"""),"Bpk. Eko Mianto")</f>
        <v>Bpk. Eko Mianto</v>
      </c>
      <c r="U2842" s="215">
        <f>IFERROR(__xludf.DUMMYFUNCTION("""COMPUTED_VALUE"""),46093.54340277778)</f>
        <v>46093.5434</v>
      </c>
      <c r="V2842" s="211" t="str">
        <f>IFERROR(__xludf.DUMMYFUNCTION("""COMPUTED_VALUE"""),"The Graha Residen, Blok D4 No 33. Tropodo, Kec Krian, Kabupaten Sidaorjo, Jawa Timur 61262")</f>
        <v>The Graha Residen, Blok D4 No 33. Tropodo, Kec Krian, Kabupaten Sidaorjo, Jawa Timur 61262</v>
      </c>
      <c r="W2842" s="211" t="str">
        <f>IFERROR(__xludf.DUMMYFUNCTION("""COMPUTED_VALUE"""),"IN")</f>
        <v>IN</v>
      </c>
      <c r="X2842" s="211"/>
    </row>
    <row r="2843">
      <c r="A2843" s="210" t="str">
        <f>IFERROR(__xludf.DUMMYFUNCTION("""COMPUTED_VALUE"""),"1250960")</f>
        <v>1250960</v>
      </c>
      <c r="B2843" s="210" t="str">
        <f>IFERROR(__xludf.DUMMYFUNCTION("""COMPUTED_VALUE"""),"1250960")</f>
        <v>1250960</v>
      </c>
      <c r="C2843" s="213">
        <f>IFERROR(__xludf.DUMMYFUNCTION("""COMPUTED_VALUE"""),46007.62378472222)</f>
        <v>46007.62378</v>
      </c>
      <c r="D2843" s="211" t="str">
        <f>IFERROR(__xludf.DUMMYFUNCTION("""COMPUTED_VALUE"""),"2d88931c")</f>
        <v>2d88931c</v>
      </c>
      <c r="E2843" s="211" t="str">
        <f>IFERROR(__xludf.DUMMYFUNCTION("""COMPUTED_VALUE"""),"PT Dunia Berkat Marga Mulya")</f>
        <v>PT Dunia Berkat Marga Mulya</v>
      </c>
      <c r="F2843" s="211" t="str">
        <f>IFERROR(__xludf.DUMMYFUNCTION("""COMPUTED_VALUE"""),"8bdbe149")</f>
        <v>8bdbe149</v>
      </c>
      <c r="G2843" s="211" t="str">
        <f>IFERROR(__xludf.DUMMYFUNCTION("""COMPUTED_VALUE"""),"Oksigen 6m3")</f>
        <v>Oksigen 6m3</v>
      </c>
      <c r="H2843" s="211" t="str">
        <f>IFERROR(__xludf.DUMMYFUNCTION("""COMPUTED_VALUE"""),"IN")</f>
        <v>IN</v>
      </c>
      <c r="I2843" s="211" t="str">
        <f>IFERROR(__xludf.DUMMYFUNCTION("""COMPUTED_VALUE"""),"EMPTY")</f>
        <v>EMPTY</v>
      </c>
      <c r="J2843" s="211">
        <f>IFERROR(__xludf.DUMMYFUNCTION("""COMPUTED_VALUE"""),2.0)</f>
        <v>2</v>
      </c>
      <c r="K2843" s="210" t="str">
        <f>IFERROR(__xludf.DUMMYFUNCTION("""COMPUTED_VALUE"""),"1138 1169")</f>
        <v>1138 1169</v>
      </c>
      <c r="L2843" s="211">
        <f>IFERROR(__xludf.DUMMYFUNCTION("""COMPUTED_VALUE"""),0.0)</f>
        <v>0</v>
      </c>
      <c r="M2843" s="211"/>
      <c r="N2843" s="211"/>
      <c r="O2843" s="211"/>
      <c r="Q2843" s="210" t="str">
        <f>IFERROR(__xludf.DUMMYFUNCTION("""COMPUTED_VALUE"""),"1261404")</f>
        <v>1261404</v>
      </c>
      <c r="R2843" s="210" t="str">
        <f>IFERROR(__xludf.DUMMYFUNCTION("""COMPUTED_VALUE"""),"1261404")</f>
        <v>1261404</v>
      </c>
      <c r="S2843" s="211" t="str">
        <f>IFERROR(__xludf.DUMMYFUNCTION("""COMPUTED_VALUE"""),"b2b5f2c5")</f>
        <v>b2b5f2c5</v>
      </c>
      <c r="T2843" s="211" t="str">
        <f>IFERROR(__xludf.DUMMYFUNCTION("""COMPUTED_VALUE"""),"Bengkel Las Bpk. Ari")</f>
        <v>Bengkel Las Bpk. Ari</v>
      </c>
      <c r="U2843" s="215">
        <f>IFERROR(__xludf.DUMMYFUNCTION("""COMPUTED_VALUE"""),46093.54789351852)</f>
        <v>46093.54789</v>
      </c>
      <c r="V2843" s="211" t="str">
        <f>IFERROR(__xludf.DUMMYFUNCTION("""COMPUTED_VALUE"""),"Sumber Kembar, Wonodadi, Kec. Kutorejo, Kabupaten Mojokerto, Jawa Timur")</f>
        <v>Sumber Kembar, Wonodadi, Kec. Kutorejo, Kabupaten Mojokerto, Jawa Timur</v>
      </c>
      <c r="W2843" s="211" t="str">
        <f>IFERROR(__xludf.DUMMYFUNCTION("""COMPUTED_VALUE"""),"IN")</f>
        <v>IN</v>
      </c>
      <c r="X2843" s="211"/>
    </row>
    <row r="2844">
      <c r="A2844" s="210" t="str">
        <f>IFERROR(__xludf.DUMMYFUNCTION("""COMPUTED_VALUE"""),"122561994")</f>
        <v>122561994</v>
      </c>
      <c r="B2844" s="210" t="str">
        <f>IFERROR(__xludf.DUMMYFUNCTION("""COMPUTED_VALUE"""),"122561994")</f>
        <v>122561994</v>
      </c>
      <c r="C2844" s="213">
        <f>IFERROR(__xludf.DUMMYFUNCTION("""COMPUTED_VALUE"""),46007.62871527778)</f>
        <v>46007.62872</v>
      </c>
      <c r="D2844" s="211" t="str">
        <f>IFERROR(__xludf.DUMMYFUNCTION("""COMPUTED_VALUE"""),"3b04351a")</f>
        <v>3b04351a</v>
      </c>
      <c r="E2844" s="211" t="str">
        <f>IFERROR(__xludf.DUMMYFUNCTION("""COMPUTED_VALUE"""),"CV Usaha Logam Jaya ( Bpk Putra )")</f>
        <v>CV Usaha Logam Jaya ( Bpk Putra )</v>
      </c>
      <c r="F2844" s="211" t="str">
        <f>IFERROR(__xludf.DUMMYFUNCTION("""COMPUTED_VALUE"""),"be525f3b")</f>
        <v>be525f3b</v>
      </c>
      <c r="G2844" s="211" t="str">
        <f>IFERROR(__xludf.DUMMYFUNCTION("""COMPUTED_VALUE"""),"LPG 12kg")</f>
        <v>LPG 12kg</v>
      </c>
      <c r="H2844" s="211" t="str">
        <f>IFERROR(__xludf.DUMMYFUNCTION("""COMPUTED_VALUE"""),"OUT")</f>
        <v>OUT</v>
      </c>
      <c r="I2844" s="211" t="str">
        <f>IFERROR(__xludf.DUMMYFUNCTION("""COMPUTED_VALUE"""),"NORMAL")</f>
        <v>NORMAL</v>
      </c>
      <c r="J2844" s="211">
        <f>IFERROR(__xludf.DUMMYFUNCTION("""COMPUTED_VALUE"""),1.0)</f>
        <v>1</v>
      </c>
      <c r="K2844" s="210" t="str">
        <f>IFERROR(__xludf.DUMMYFUNCTION("""COMPUTED_VALUE"""),"01")</f>
        <v>01</v>
      </c>
      <c r="L2844" s="211">
        <f>IFERROR(__xludf.DUMMYFUNCTION("""COMPUTED_VALUE"""),210000.0)</f>
        <v>210000</v>
      </c>
      <c r="M2844" s="211"/>
      <c r="N2844" s="211"/>
      <c r="O2844" s="211"/>
      <c r="Q2844" s="210" t="str">
        <f>IFERROR(__xludf.DUMMYFUNCTION("""COMPUTED_VALUE"""),"0326462842")</f>
        <v>0326462842</v>
      </c>
      <c r="R2844" s="210" t="str">
        <f>IFERROR(__xludf.DUMMYFUNCTION("""COMPUTED_VALUE"""),"0326462842")</f>
        <v>0326462842</v>
      </c>
      <c r="S2844" s="211" t="str">
        <f>IFERROR(__xludf.DUMMYFUNCTION("""COMPUTED_VALUE"""),"01158be1")</f>
        <v>01158be1</v>
      </c>
      <c r="T2844" s="211" t="str">
        <f>IFERROR(__xludf.DUMMYFUNCTION("""COMPUTED_VALUE"""),"GYF")</f>
        <v>GYF</v>
      </c>
      <c r="U2844" s="215">
        <f>IFERROR(__xludf.DUMMYFUNCTION("""COMPUTED_VALUE"""),46093.55886574074)</f>
        <v>46093.55887</v>
      </c>
      <c r="V2844" s="211" t="str">
        <f>IFERROR(__xludf.DUMMYFUNCTION("""COMPUTED_VALUE"""),"Kangkungan, Lengkong, Kec. Mojoanyar, Kabupaten Mojokerto, Jawa Timur")</f>
        <v>Kangkungan, Lengkong, Kec. Mojoanyar, Kabupaten Mojokerto, Jawa Timur</v>
      </c>
      <c r="W2844" s="211" t="str">
        <f>IFERROR(__xludf.DUMMYFUNCTION("""COMPUTED_VALUE"""),"OUT")</f>
        <v>OUT</v>
      </c>
      <c r="X2844" s="211"/>
    </row>
    <row r="2845">
      <c r="A2845" s="210" t="str">
        <f>IFERROR(__xludf.DUMMYFUNCTION("""COMPUTED_VALUE"""),"122561994")</f>
        <v>122561994</v>
      </c>
      <c r="B2845" s="210" t="str">
        <f>IFERROR(__xludf.DUMMYFUNCTION("""COMPUTED_VALUE"""),"122561994")</f>
        <v>122561994</v>
      </c>
      <c r="C2845" s="213">
        <f>IFERROR(__xludf.DUMMYFUNCTION("""COMPUTED_VALUE"""),46007.62871527778)</f>
        <v>46007.62872</v>
      </c>
      <c r="D2845" s="211" t="str">
        <f>IFERROR(__xludf.DUMMYFUNCTION("""COMPUTED_VALUE"""),"3b04351a")</f>
        <v>3b04351a</v>
      </c>
      <c r="E2845" s="211" t="str">
        <f>IFERROR(__xludf.DUMMYFUNCTION("""COMPUTED_VALUE"""),"CV Usaha Logam Jaya ( Bpk Putra )")</f>
        <v>CV Usaha Logam Jaya ( Bpk Putra )</v>
      </c>
      <c r="F2845" s="211" t="str">
        <f>IFERROR(__xludf.DUMMYFUNCTION("""COMPUTED_VALUE"""),"8bdbe149")</f>
        <v>8bdbe149</v>
      </c>
      <c r="G2845" s="211" t="str">
        <f>IFERROR(__xludf.DUMMYFUNCTION("""COMPUTED_VALUE"""),"Oksigen 6m3")</f>
        <v>Oksigen 6m3</v>
      </c>
      <c r="H2845" s="211" t="str">
        <f>IFERROR(__xludf.DUMMYFUNCTION("""COMPUTED_VALUE"""),"OUT")</f>
        <v>OUT</v>
      </c>
      <c r="I2845" s="211" t="str">
        <f>IFERROR(__xludf.DUMMYFUNCTION("""COMPUTED_VALUE"""),"NORMAL")</f>
        <v>NORMAL</v>
      </c>
      <c r="J2845" s="211">
        <f>IFERROR(__xludf.DUMMYFUNCTION("""COMPUTED_VALUE"""),5.0)</f>
        <v>5</v>
      </c>
      <c r="K2845" s="210" t="str">
        <f>IFERROR(__xludf.DUMMYFUNCTION("""COMPUTED_VALUE"""),"11308 11257 1115 1194 11240")</f>
        <v>11308 11257 1115 1194 11240</v>
      </c>
      <c r="L2845" s="211">
        <f>IFERROR(__xludf.DUMMYFUNCTION("""COMPUTED_VALUE"""),60000.0)</f>
        <v>60000</v>
      </c>
      <c r="M2845" s="211"/>
      <c r="N2845" s="211"/>
      <c r="O2845" s="211"/>
      <c r="Q2845" s="210" t="str">
        <f>IFERROR(__xludf.DUMMYFUNCTION("""COMPUTED_VALUE"""),"0326212845")</f>
        <v>0326212845</v>
      </c>
      <c r="R2845" s="210" t="str">
        <f>IFERROR(__xludf.DUMMYFUNCTION("""COMPUTED_VALUE"""),"0326212845")</f>
        <v>0326212845</v>
      </c>
      <c r="S2845" s="211" t="str">
        <f>IFERROR(__xludf.DUMMYFUNCTION("""COMPUTED_VALUE"""),"a0f0ad2d")</f>
        <v>a0f0ad2d</v>
      </c>
      <c r="T2845" s="211" t="str">
        <f>IFERROR(__xludf.DUMMYFUNCTION("""COMPUTED_VALUE"""),"CV. Yulie Jaya")</f>
        <v>CV. Yulie Jaya</v>
      </c>
      <c r="U2845" s="215">
        <f>IFERROR(__xludf.DUMMYFUNCTION("""COMPUTED_VALUE"""),46093.560648148145)</f>
        <v>46093.56065</v>
      </c>
      <c r="V2845" s="211" t="str">
        <f>IFERROR(__xludf.DUMMYFUNCTION("""COMPUTED_VALUE"""),"JJH4+6RV, Badas, Barengkrajan, Kec. Krian, Kabupaten Sidoarjo, Jawa Timur 61262")</f>
        <v>JJH4+6RV, Badas, Barengkrajan, Kec. Krian, Kabupaten Sidoarjo, Jawa Timur 61262</v>
      </c>
      <c r="W2845" s="211" t="str">
        <f>IFERROR(__xludf.DUMMYFUNCTION("""COMPUTED_VALUE"""),"OUT")</f>
        <v>OUT</v>
      </c>
      <c r="X2845" s="211"/>
    </row>
    <row r="2846">
      <c r="A2846" s="210" t="str">
        <f>IFERROR(__xludf.DUMMYFUNCTION("""COMPUTED_VALUE"""),"122561994")</f>
        <v>122561994</v>
      </c>
      <c r="B2846" s="210" t="str">
        <f>IFERROR(__xludf.DUMMYFUNCTION("""COMPUTED_VALUE"""),"122561994")</f>
        <v>122561994</v>
      </c>
      <c r="C2846" s="213">
        <f>IFERROR(__xludf.DUMMYFUNCTION("""COMPUTED_VALUE"""),46007.62871527778)</f>
        <v>46007.62872</v>
      </c>
      <c r="D2846" s="211" t="str">
        <f>IFERROR(__xludf.DUMMYFUNCTION("""COMPUTED_VALUE"""),"3b04351a")</f>
        <v>3b04351a</v>
      </c>
      <c r="E2846" s="211" t="str">
        <f>IFERROR(__xludf.DUMMYFUNCTION("""COMPUTED_VALUE"""),"CV Usaha Logam Jaya ( Bpk Putra )")</f>
        <v>CV Usaha Logam Jaya ( Bpk Putra )</v>
      </c>
      <c r="F2846" s="211" t="str">
        <f>IFERROR(__xludf.DUMMYFUNCTION("""COMPUTED_VALUE"""),"7d2764f1")</f>
        <v>7d2764f1</v>
      </c>
      <c r="G2846" s="211" t="str">
        <f>IFERROR(__xludf.DUMMYFUNCTION("""COMPUTED_VALUE"""),"Oksigen 7m3")</f>
        <v>Oksigen 7m3</v>
      </c>
      <c r="H2846" s="211" t="str">
        <f>IFERROR(__xludf.DUMMYFUNCTION("""COMPUTED_VALUE"""),"OUT")</f>
        <v>OUT</v>
      </c>
      <c r="I2846" s="211" t="str">
        <f>IFERROR(__xludf.DUMMYFUNCTION("""COMPUTED_VALUE"""),"NORMAL")</f>
        <v>NORMAL</v>
      </c>
      <c r="J2846" s="211">
        <f>IFERROR(__xludf.DUMMYFUNCTION("""COMPUTED_VALUE"""),10.0)</f>
        <v>10</v>
      </c>
      <c r="K2846" s="210" t="str">
        <f>IFERROR(__xludf.DUMMYFUNCTION("""COMPUTED_VALUE"""),"11306 11228 11303 11169 11167 11141 11145 11144 11151 11155")</f>
        <v>11306 11228 11303 11169 11167 11141 11145 11144 11151 11155</v>
      </c>
      <c r="L2846" s="211">
        <f>IFERROR(__xludf.DUMMYFUNCTION("""COMPUTED_VALUE"""),60000.0)</f>
        <v>60000</v>
      </c>
      <c r="M2846" s="211"/>
      <c r="N2846" s="211"/>
      <c r="O2846" s="211"/>
      <c r="Q2846" s="210" t="str">
        <f>IFERROR(__xludf.DUMMYFUNCTION("""COMPUTED_VALUE"""),"1261397")</f>
        <v>1261397</v>
      </c>
      <c r="R2846" s="210" t="str">
        <f>IFERROR(__xludf.DUMMYFUNCTION("""COMPUTED_VALUE"""),"1261397")</f>
        <v>1261397</v>
      </c>
      <c r="S2846" s="211" t="str">
        <f>IFERROR(__xludf.DUMMYFUNCTION("""COMPUTED_VALUE"""),"4ec68cf6")</f>
        <v>4ec68cf6</v>
      </c>
      <c r="T2846" s="211" t="str">
        <f>IFERROR(__xludf.DUMMYFUNCTION("""COMPUTED_VALUE"""),"CV Sido Mukti Karya")</f>
        <v>CV Sido Mukti Karya</v>
      </c>
      <c r="U2846" s="215">
        <f>IFERROR(__xludf.DUMMYFUNCTION("""COMPUTED_VALUE"""),46093.65510416667)</f>
        <v>46093.6551</v>
      </c>
      <c r="V2846" s="211" t="str">
        <f>IFERROR(__xludf.DUMMYFUNCTION("""COMPUTED_VALUE"""),"Pergudangan Center Point no A3, Kemangsen")</f>
        <v>Pergudangan Center Point no A3, Kemangsen</v>
      </c>
      <c r="W2846" s="211" t="str">
        <f>IFERROR(__xludf.DUMMYFUNCTION("""COMPUTED_VALUE"""),"IN")</f>
        <v>IN</v>
      </c>
      <c r="X2846" s="211"/>
    </row>
    <row r="2847">
      <c r="A2847" s="210" t="str">
        <f>IFERROR(__xludf.DUMMYFUNCTION("""COMPUTED_VALUE"""),"1225552001")</f>
        <v>1225552001</v>
      </c>
      <c r="B2847" s="210" t="str">
        <f>IFERROR(__xludf.DUMMYFUNCTION("""COMPUTED_VALUE"""),"1225552001")</f>
        <v>1225552001</v>
      </c>
      <c r="C2847" s="213">
        <f>IFERROR(__xludf.DUMMYFUNCTION("""COMPUTED_VALUE"""),46007.64796296296)</f>
        <v>46007.64796</v>
      </c>
      <c r="D2847" s="211" t="str">
        <f>IFERROR(__xludf.DUMMYFUNCTION("""COMPUTED_VALUE"""),"b2b5f2c5")</f>
        <v>b2b5f2c5</v>
      </c>
      <c r="E2847" s="211" t="str">
        <f>IFERROR(__xludf.DUMMYFUNCTION("""COMPUTED_VALUE"""),"Bengkel Las Bpk. Ari")</f>
        <v>Bengkel Las Bpk. Ari</v>
      </c>
      <c r="F2847" s="211" t="str">
        <f>IFERROR(__xludf.DUMMYFUNCTION("""COMPUTED_VALUE"""),"8bdbe149")</f>
        <v>8bdbe149</v>
      </c>
      <c r="G2847" s="211" t="str">
        <f>IFERROR(__xludf.DUMMYFUNCTION("""COMPUTED_VALUE"""),"Oksigen 6m3")</f>
        <v>Oksigen 6m3</v>
      </c>
      <c r="H2847" s="211" t="str">
        <f>IFERROR(__xludf.DUMMYFUNCTION("""COMPUTED_VALUE"""),"OUT")</f>
        <v>OUT</v>
      </c>
      <c r="I2847" s="211" t="str">
        <f>IFERROR(__xludf.DUMMYFUNCTION("""COMPUTED_VALUE"""),"NORMAL")</f>
        <v>NORMAL</v>
      </c>
      <c r="J2847" s="211">
        <f>IFERROR(__xludf.DUMMYFUNCTION("""COMPUTED_VALUE"""),5.0)</f>
        <v>5</v>
      </c>
      <c r="K2847" s="210" t="str">
        <f>IFERROR(__xludf.DUMMYFUNCTION("""COMPUTED_VALUE"""),"11177 11127 11112 1138 1163")</f>
        <v>11177 11127 11112 1138 1163</v>
      </c>
      <c r="L2847" s="211">
        <f>IFERROR(__xludf.DUMMYFUNCTION("""COMPUTED_VALUE"""),60000.0)</f>
        <v>60000</v>
      </c>
      <c r="M2847" s="211"/>
      <c r="N2847" s="211"/>
      <c r="O2847" s="211"/>
      <c r="Q2847" s="210" t="str">
        <f>IFERROR(__xludf.DUMMYFUNCTION("""COMPUTED_VALUE"""),"1261398")</f>
        <v>1261398</v>
      </c>
      <c r="R2847" s="210" t="str">
        <f>IFERROR(__xludf.DUMMYFUNCTION("""COMPUTED_VALUE"""),"1261398")</f>
        <v>1261398</v>
      </c>
      <c r="S2847" s="211" t="str">
        <f>IFERROR(__xludf.DUMMYFUNCTION("""COMPUTED_VALUE"""),"a0f0ad2d")</f>
        <v>a0f0ad2d</v>
      </c>
      <c r="T2847" s="211" t="str">
        <f>IFERROR(__xludf.DUMMYFUNCTION("""COMPUTED_VALUE"""),"CV. Yulie Jaya")</f>
        <v>CV. Yulie Jaya</v>
      </c>
      <c r="U2847" s="215">
        <f>IFERROR(__xludf.DUMMYFUNCTION("""COMPUTED_VALUE"""),46093.65545138889)</f>
        <v>46093.65545</v>
      </c>
      <c r="V2847" s="211" t="str">
        <f>IFERROR(__xludf.DUMMYFUNCTION("""COMPUTED_VALUE"""),"JJH4+6RV, Badas, Barengkrajan, Kec. Krian, Kabupaten Sidoarjo, Jawa Timur 61262")</f>
        <v>JJH4+6RV, Badas, Barengkrajan, Kec. Krian, Kabupaten Sidoarjo, Jawa Timur 61262</v>
      </c>
      <c r="W2847" s="211" t="str">
        <f>IFERROR(__xludf.DUMMYFUNCTION("""COMPUTED_VALUE"""),"IN")</f>
        <v>IN</v>
      </c>
      <c r="X2847" s="211"/>
    </row>
    <row r="2848">
      <c r="A2848" s="210" t="str">
        <f>IFERROR(__xludf.DUMMYFUNCTION("""COMPUTED_VALUE"""),"122572002")</f>
        <v>122572002</v>
      </c>
      <c r="B2848" s="210" t="str">
        <f>IFERROR(__xludf.DUMMYFUNCTION("""COMPUTED_VALUE"""),"122572002")</f>
        <v>122572002</v>
      </c>
      <c r="C2848" s="213">
        <f>IFERROR(__xludf.DUMMYFUNCTION("""COMPUTED_VALUE"""),46007.64859953704)</f>
        <v>46007.6486</v>
      </c>
      <c r="D2848" s="211" t="str">
        <f>IFERROR(__xludf.DUMMYFUNCTION("""COMPUTED_VALUE"""),"63fc688a")</f>
        <v>63fc688a</v>
      </c>
      <c r="E2848" s="211" t="str">
        <f>IFERROR(__xludf.DUMMYFUNCTION("""COMPUTED_VALUE"""),"CV Malik Nusantara")</f>
        <v>CV Malik Nusantara</v>
      </c>
      <c r="F2848" s="211" t="str">
        <f>IFERROR(__xludf.DUMMYFUNCTION("""COMPUTED_VALUE"""),"8bdbe149")</f>
        <v>8bdbe149</v>
      </c>
      <c r="G2848" s="211" t="str">
        <f>IFERROR(__xludf.DUMMYFUNCTION("""COMPUTED_VALUE"""),"Oksigen 6m3")</f>
        <v>Oksigen 6m3</v>
      </c>
      <c r="H2848" s="211" t="str">
        <f>IFERROR(__xludf.DUMMYFUNCTION("""COMPUTED_VALUE"""),"OUT")</f>
        <v>OUT</v>
      </c>
      <c r="I2848" s="211" t="str">
        <f>IFERROR(__xludf.DUMMYFUNCTION("""COMPUTED_VALUE"""),"NORMAL")</f>
        <v>NORMAL</v>
      </c>
      <c r="J2848" s="211">
        <f>IFERROR(__xludf.DUMMYFUNCTION("""COMPUTED_VALUE"""),5.0)</f>
        <v>5</v>
      </c>
      <c r="K2848" s="210" t="str">
        <f>IFERROR(__xludf.DUMMYFUNCTION("""COMPUTED_VALUE"""),"1129 1169 11250 11114 11273")</f>
        <v>1129 1169 11250 11114 11273</v>
      </c>
      <c r="L2848" s="211">
        <f>IFERROR(__xludf.DUMMYFUNCTION("""COMPUTED_VALUE"""),65000.0)</f>
        <v>65000</v>
      </c>
      <c r="M2848" s="211"/>
      <c r="N2848" s="211"/>
      <c r="O2848" s="211"/>
      <c r="Q2848" s="210" t="str">
        <f>IFERROR(__xludf.DUMMYFUNCTION("""COMPUTED_VALUE"""),"032632846")</f>
        <v>032632846</v>
      </c>
      <c r="R2848" s="210" t="str">
        <f>IFERROR(__xludf.DUMMYFUNCTION("""COMPUTED_VALUE"""),"032632846")</f>
        <v>032632846</v>
      </c>
      <c r="S2848" s="211" t="str">
        <f>IFERROR(__xludf.DUMMYFUNCTION("""COMPUTED_VALUE"""),"02c693f1")</f>
        <v>02c693f1</v>
      </c>
      <c r="T2848" s="211" t="str">
        <f>IFERROR(__xludf.DUMMYFUNCTION("""COMPUTED_VALUE"""),"Bpk. Rudi Jaya")</f>
        <v>Bpk. Rudi Jaya</v>
      </c>
      <c r="U2848" s="215">
        <f>IFERROR(__xludf.DUMMYFUNCTION("""COMPUTED_VALUE"""),46094.34043981481)</f>
        <v>46094.34044</v>
      </c>
      <c r="V2848" s="211" t="str">
        <f>IFERROR(__xludf.DUMMYFUNCTION("""COMPUTED_VALUE"""),"Ganting Tulangan, Jalan Raya kenongo ( Jual Beli Besi Tua ), Kec. Tulangan Kabupaten Sidoarjo Jawa Timur 61273")</f>
        <v>Ganting Tulangan, Jalan Raya kenongo ( Jual Beli Besi Tua ), Kec. Tulangan Kabupaten Sidoarjo Jawa Timur 61273</v>
      </c>
      <c r="W2848" s="211" t="str">
        <f>IFERROR(__xludf.DUMMYFUNCTION("""COMPUTED_VALUE"""),"OUT")</f>
        <v>OUT</v>
      </c>
      <c r="X2848" s="211"/>
    </row>
    <row r="2849">
      <c r="A2849" s="210" t="str">
        <f>IFERROR(__xludf.DUMMYFUNCTION("""COMPUTED_VALUE"""),"1225552001")</f>
        <v>1225552001</v>
      </c>
      <c r="B2849" s="210" t="str">
        <f>IFERROR(__xludf.DUMMYFUNCTION("""COMPUTED_VALUE"""),"1225552001")</f>
        <v>1225552001</v>
      </c>
      <c r="C2849" s="213">
        <f>IFERROR(__xludf.DUMMYFUNCTION("""COMPUTED_VALUE"""),46007.64796296296)</f>
        <v>46007.64796</v>
      </c>
      <c r="D2849" s="211" t="str">
        <f>IFERROR(__xludf.DUMMYFUNCTION("""COMPUTED_VALUE"""),"b2b5f2c5")</f>
        <v>b2b5f2c5</v>
      </c>
      <c r="E2849" s="211" t="str">
        <f>IFERROR(__xludf.DUMMYFUNCTION("""COMPUTED_VALUE"""),"Bengkel Las Bpk. Ari")</f>
        <v>Bengkel Las Bpk. Ari</v>
      </c>
      <c r="F2849" s="211" t="str">
        <f>IFERROR(__xludf.DUMMYFUNCTION("""COMPUTED_VALUE"""),"ef306e54")</f>
        <v>ef306e54</v>
      </c>
      <c r="G2849" s="211" t="str">
        <f>IFERROR(__xludf.DUMMYFUNCTION("""COMPUTED_VALUE"""),"Karbondioksida")</f>
        <v>Karbondioksida</v>
      </c>
      <c r="H2849" s="211" t="str">
        <f>IFERROR(__xludf.DUMMYFUNCTION("""COMPUTED_VALUE"""),"OUT")</f>
        <v>OUT</v>
      </c>
      <c r="I2849" s="211" t="str">
        <f>IFERROR(__xludf.DUMMYFUNCTION("""COMPUTED_VALUE"""),"NORMAL")</f>
        <v>NORMAL</v>
      </c>
      <c r="J2849" s="211">
        <f>IFERROR(__xludf.DUMMYFUNCTION("""COMPUTED_VALUE"""),2.0)</f>
        <v>2</v>
      </c>
      <c r="K2849" s="210" t="str">
        <f>IFERROR(__xludf.DUMMYFUNCTION("""COMPUTED_VALUE"""),"13030 13007")</f>
        <v>13030 13007</v>
      </c>
      <c r="L2849" s="211">
        <f>IFERROR(__xludf.DUMMYFUNCTION("""COMPUTED_VALUE"""),180000.0)</f>
        <v>180000</v>
      </c>
      <c r="M2849" s="211"/>
      <c r="N2849" s="211"/>
      <c r="O2849" s="211"/>
      <c r="Q2849" s="210" t="str">
        <f>IFERROR(__xludf.DUMMYFUNCTION("""COMPUTED_VALUE"""),"032682849")</f>
        <v>032682849</v>
      </c>
      <c r="R2849" s="210" t="str">
        <f>IFERROR(__xludf.DUMMYFUNCTION("""COMPUTED_VALUE"""),"032682849")</f>
        <v>032682849</v>
      </c>
      <c r="S2849" s="211" t="str">
        <f>IFERROR(__xludf.DUMMYFUNCTION("""COMPUTED_VALUE"""),"d9b2fac5")</f>
        <v>d9b2fac5</v>
      </c>
      <c r="T2849" s="211" t="str">
        <f>IFERROR(__xludf.DUMMYFUNCTION("""COMPUTED_VALUE"""),"Dwi Riza ( Ponokawan)")</f>
        <v>Dwi Riza ( Ponokawan)</v>
      </c>
      <c r="U2849" s="215">
        <f>IFERROR(__xludf.DUMMYFUNCTION("""COMPUTED_VALUE"""),46094.57302083333)</f>
        <v>46094.57302</v>
      </c>
      <c r="V2849" s="211" t="str">
        <f>IFERROR(__xludf.DUMMYFUNCTION("""COMPUTED_VALUE"""),"Jl. Raya Ponokawan No.28 RT 07 RW 03 Kec. Krian Sidoarjo (Seberang Bengkel An.Nur/ Deretan Baraka Expres)")</f>
        <v>Jl. Raya Ponokawan No.28 RT 07 RW 03 Kec. Krian Sidoarjo (Seberang Bengkel An.Nur/ Deretan Baraka Expres)</v>
      </c>
      <c r="W2849" s="211" t="str">
        <f>IFERROR(__xludf.DUMMYFUNCTION("""COMPUTED_VALUE"""),"OUT")</f>
        <v>OUT</v>
      </c>
      <c r="X2849" s="211"/>
    </row>
    <row r="2850">
      <c r="A2850" s="210" t="str">
        <f>IFERROR(__xludf.DUMMYFUNCTION("""COMPUTED_VALUE"""),"1250958")</f>
        <v>1250958</v>
      </c>
      <c r="B2850" s="210" t="str">
        <f>IFERROR(__xludf.DUMMYFUNCTION("""COMPUTED_VALUE"""),"1250958")</f>
        <v>1250958</v>
      </c>
      <c r="C2850" s="213">
        <f>IFERROR(__xludf.DUMMYFUNCTION("""COMPUTED_VALUE"""),46007.66018518519)</f>
        <v>46007.66019</v>
      </c>
      <c r="D2850" s="211" t="str">
        <f>IFERROR(__xludf.DUMMYFUNCTION("""COMPUTED_VALUE"""),"5f23ba17")</f>
        <v>5f23ba17</v>
      </c>
      <c r="E2850" s="211" t="str">
        <f>IFERROR(__xludf.DUMMYFUNCTION("""COMPUTED_VALUE"""),"Bpk. Joko (Gresik)")</f>
        <v>Bpk. Joko (Gresik)</v>
      </c>
      <c r="F2850" s="211" t="str">
        <f>IFERROR(__xludf.DUMMYFUNCTION("""COMPUTED_VALUE"""),"ef306e54")</f>
        <v>ef306e54</v>
      </c>
      <c r="G2850" s="211" t="str">
        <f>IFERROR(__xludf.DUMMYFUNCTION("""COMPUTED_VALUE"""),"Karbondioksida")</f>
        <v>Karbondioksida</v>
      </c>
      <c r="H2850" s="211" t="str">
        <f>IFERROR(__xludf.DUMMYFUNCTION("""COMPUTED_VALUE"""),"IN")</f>
        <v>IN</v>
      </c>
      <c r="I2850" s="211" t="str">
        <f>IFERROR(__xludf.DUMMYFUNCTION("""COMPUTED_VALUE"""),"EMPTY")</f>
        <v>EMPTY</v>
      </c>
      <c r="J2850" s="211">
        <f>IFERROR(__xludf.DUMMYFUNCTION("""COMPUTED_VALUE"""),2.0)</f>
        <v>2</v>
      </c>
      <c r="K2850" s="210" t="str">
        <f>IFERROR(__xludf.DUMMYFUNCTION("""COMPUTED_VALUE"""),"1125 1127")</f>
        <v>1125 1127</v>
      </c>
      <c r="L2850" s="211">
        <f>IFERROR(__xludf.DUMMYFUNCTION("""COMPUTED_VALUE"""),0.0)</f>
        <v>0</v>
      </c>
      <c r="M2850" s="211"/>
      <c r="N2850" s="211"/>
      <c r="O2850" s="211"/>
      <c r="Q2850" s="210" t="str">
        <f>IFERROR(__xludf.DUMMYFUNCTION("""COMPUTED_VALUE"""),"1261399")</f>
        <v>1261399</v>
      </c>
      <c r="R2850" s="210" t="str">
        <f>IFERROR(__xludf.DUMMYFUNCTION("""COMPUTED_VALUE"""),"1261399")</f>
        <v>1261399</v>
      </c>
      <c r="S2850" s="211" t="str">
        <f>IFERROR(__xludf.DUMMYFUNCTION("""COMPUTED_VALUE"""),"02c693f1")</f>
        <v>02c693f1</v>
      </c>
      <c r="T2850" s="211" t="str">
        <f>IFERROR(__xludf.DUMMYFUNCTION("""COMPUTED_VALUE"""),"Bpk. Rudi Jaya")</f>
        <v>Bpk. Rudi Jaya</v>
      </c>
      <c r="U2850" s="215">
        <f>IFERROR(__xludf.DUMMYFUNCTION("""COMPUTED_VALUE"""),46094.57670138889)</f>
        <v>46094.5767</v>
      </c>
      <c r="V2850" s="211" t="str">
        <f>IFERROR(__xludf.DUMMYFUNCTION("""COMPUTED_VALUE"""),"Ganting Tulangan, Jalan Raya kenongo ( Jual Beli Besi Tua ), Kec. Tulangan Kabupaten Sidoarjo Jawa Timur 61273")</f>
        <v>Ganting Tulangan, Jalan Raya kenongo ( Jual Beli Besi Tua ), Kec. Tulangan Kabupaten Sidoarjo Jawa Timur 61273</v>
      </c>
      <c r="W2850" s="211" t="str">
        <f>IFERROR(__xludf.DUMMYFUNCTION("""COMPUTED_VALUE"""),"IN")</f>
        <v>IN</v>
      </c>
      <c r="X2850" s="211"/>
    </row>
    <row r="2851">
      <c r="A2851" s="210" t="str">
        <f>IFERROR(__xludf.DUMMYFUNCTION("""COMPUTED_VALUE"""),"1250958")</f>
        <v>1250958</v>
      </c>
      <c r="B2851" s="210" t="str">
        <f>IFERROR(__xludf.DUMMYFUNCTION("""COMPUTED_VALUE"""),"1250958")</f>
        <v>1250958</v>
      </c>
      <c r="C2851" s="213">
        <f>IFERROR(__xludf.DUMMYFUNCTION("""COMPUTED_VALUE"""),46007.66018518519)</f>
        <v>46007.66019</v>
      </c>
      <c r="D2851" s="211" t="str">
        <f>IFERROR(__xludf.DUMMYFUNCTION("""COMPUTED_VALUE"""),"5f23ba17")</f>
        <v>5f23ba17</v>
      </c>
      <c r="E2851" s="211" t="str">
        <f>IFERROR(__xludf.DUMMYFUNCTION("""COMPUTED_VALUE"""),"Bpk. Joko (Gresik)")</f>
        <v>Bpk. Joko (Gresik)</v>
      </c>
      <c r="F2851" s="211" t="str">
        <f>IFERROR(__xludf.DUMMYFUNCTION("""COMPUTED_VALUE"""),"439cf836")</f>
        <v>439cf836</v>
      </c>
      <c r="G2851" s="211" t="str">
        <f>IFERROR(__xludf.DUMMYFUNCTION("""COMPUTED_VALUE"""),"Karbondioksida MR")</f>
        <v>Karbondioksida MR</v>
      </c>
      <c r="H2851" s="211" t="str">
        <f>IFERROR(__xludf.DUMMYFUNCTION("""COMPUTED_VALUE"""),"IN")</f>
        <v>IN</v>
      </c>
      <c r="I2851" s="211" t="str">
        <f>IFERROR(__xludf.DUMMYFUNCTION("""COMPUTED_VALUE"""),"EMPTY")</f>
        <v>EMPTY</v>
      </c>
      <c r="J2851" s="211">
        <f>IFERROR(__xludf.DUMMYFUNCTION("""COMPUTED_VALUE"""),1.0)</f>
        <v>1</v>
      </c>
      <c r="K2851" s="210" t="str">
        <f>IFERROR(__xludf.DUMMYFUNCTION("""COMPUTED_VALUE"""),"01")</f>
        <v>01</v>
      </c>
      <c r="L2851" s="211">
        <f>IFERROR(__xludf.DUMMYFUNCTION("""COMPUTED_VALUE"""),0.0)</f>
        <v>0</v>
      </c>
      <c r="M2851" s="211"/>
      <c r="N2851" s="211"/>
      <c r="O2851" s="211"/>
      <c r="Q2851" s="210" t="str">
        <f>IFERROR(__xludf.DUMMYFUNCTION("""COMPUTED_VALUE"""),"1261400")</f>
        <v>1261400</v>
      </c>
      <c r="R2851" s="210" t="str">
        <f>IFERROR(__xludf.DUMMYFUNCTION("""COMPUTED_VALUE"""),"1261400")</f>
        <v>1261400</v>
      </c>
      <c r="S2851" s="211" t="str">
        <f>IFERROR(__xludf.DUMMYFUNCTION("""COMPUTED_VALUE"""),"ba97d58d")</f>
        <v>ba97d58d</v>
      </c>
      <c r="T2851" s="211" t="str">
        <f>IFERROR(__xludf.DUMMYFUNCTION("""COMPUTED_VALUE"""),"Bengkel Citra Mojosari")</f>
        <v>Bengkel Citra Mojosari</v>
      </c>
      <c r="U2851" s="215">
        <f>IFERROR(__xludf.DUMMYFUNCTION("""COMPUTED_VALUE"""),46094.577199074076)</f>
        <v>46094.5772</v>
      </c>
      <c r="V2851" s="211" t="str">
        <f>IFERROR(__xludf.DUMMYFUNCTION("""COMPUTED_VALUE"""),"Jl. Raden Wijaya, Kemloko, Jotangan, Kec. Mojosari, Kabupaten Mojokerto, Jawa Timur 61382")</f>
        <v>Jl. Raden Wijaya, Kemloko, Jotangan, Kec. Mojosari, Kabupaten Mojokerto, Jawa Timur 61382</v>
      </c>
      <c r="W2851" s="211" t="str">
        <f>IFERROR(__xludf.DUMMYFUNCTION("""COMPUTED_VALUE"""),"IN")</f>
        <v>IN</v>
      </c>
      <c r="X2851" s="211"/>
    </row>
    <row r="2852">
      <c r="A2852" s="210" t="str">
        <f>IFERROR(__xludf.DUMMYFUNCTION("""COMPUTED_VALUE"""),"1250958")</f>
        <v>1250958</v>
      </c>
      <c r="B2852" s="210" t="str">
        <f>IFERROR(__xludf.DUMMYFUNCTION("""COMPUTED_VALUE"""),"1250958")</f>
        <v>1250958</v>
      </c>
      <c r="C2852" s="213">
        <f>IFERROR(__xludf.DUMMYFUNCTION("""COMPUTED_VALUE"""),46007.66018518519)</f>
        <v>46007.66019</v>
      </c>
      <c r="D2852" s="211" t="str">
        <f>IFERROR(__xludf.DUMMYFUNCTION("""COMPUTED_VALUE"""),"5f23ba17")</f>
        <v>5f23ba17</v>
      </c>
      <c r="E2852" s="211" t="str">
        <f>IFERROR(__xludf.DUMMYFUNCTION("""COMPUTED_VALUE"""),"Bpk. Joko (Gresik)")</f>
        <v>Bpk. Joko (Gresik)</v>
      </c>
      <c r="F2852" s="211" t="str">
        <f>IFERROR(__xludf.DUMMYFUNCTION("""COMPUTED_VALUE"""),"f6aab7a9")</f>
        <v>f6aab7a9</v>
      </c>
      <c r="G2852" s="211" t="str">
        <f>IFERROR(__xludf.DUMMYFUNCTION("""COMPUTED_VALUE"""),"Oksigen 6m3 MR")</f>
        <v>Oksigen 6m3 MR</v>
      </c>
      <c r="H2852" s="211" t="str">
        <f>IFERROR(__xludf.DUMMYFUNCTION("""COMPUTED_VALUE"""),"IN")</f>
        <v>IN</v>
      </c>
      <c r="I2852" s="211" t="str">
        <f>IFERROR(__xludf.DUMMYFUNCTION("""COMPUTED_VALUE"""),"EMPTY")</f>
        <v>EMPTY</v>
      </c>
      <c r="J2852" s="211">
        <f>IFERROR(__xludf.DUMMYFUNCTION("""COMPUTED_VALUE"""),13.0)</f>
        <v>13</v>
      </c>
      <c r="K2852" s="211"/>
      <c r="L2852" s="211">
        <f>IFERROR(__xludf.DUMMYFUNCTION("""COMPUTED_VALUE"""),0.0)</f>
        <v>0</v>
      </c>
      <c r="M2852" s="211"/>
      <c r="N2852" s="211"/>
      <c r="O2852" s="211"/>
      <c r="Q2852" s="210" t="str">
        <f>IFERROR(__xludf.DUMMYFUNCTION("""COMPUTED_VALUE"""),"0326122850")</f>
        <v>0326122850</v>
      </c>
      <c r="R2852" s="210" t="str">
        <f>IFERROR(__xludf.DUMMYFUNCTION("""COMPUTED_VALUE"""),"0326122850")</f>
        <v>0326122850</v>
      </c>
      <c r="S2852" s="211" t="str">
        <f>IFERROR(__xludf.DUMMYFUNCTION("""COMPUTED_VALUE"""),"1c4d5e93")</f>
        <v>1c4d5e93</v>
      </c>
      <c r="T2852" s="211" t="str">
        <f>IFERROR(__xludf.DUMMYFUNCTION("""COMPUTED_VALUE"""),"Karoseri Cipta Mitra Sukses")</f>
        <v>Karoseri Cipta Mitra Sukses</v>
      </c>
      <c r="U2852" s="215">
        <f>IFERROR(__xludf.DUMMYFUNCTION("""COMPUTED_VALUE"""),46094.5787037037)</f>
        <v>46094.5787</v>
      </c>
      <c r="V2852" s="211" t="str">
        <f>IFERROR(__xludf.DUMMYFUNCTION("""COMPUTED_VALUE"""),"JL. Bypass Krian No. 7800, Blok B No 11. Barengkrajan, Kec. Krian, Kabupaten Sidoarjo, Jawa Timur  61262")</f>
        <v>JL. Bypass Krian No. 7800, Blok B No 11. Barengkrajan, Kec. Krian, Kabupaten Sidoarjo, Jawa Timur  61262</v>
      </c>
      <c r="W2852" s="211" t="str">
        <f>IFERROR(__xludf.DUMMYFUNCTION("""COMPUTED_VALUE"""),"OUT")</f>
        <v>OUT</v>
      </c>
      <c r="X2852" s="211"/>
    </row>
    <row r="2853">
      <c r="A2853" s="211"/>
      <c r="B2853" s="211"/>
      <c r="C2853" s="211"/>
      <c r="D2853" s="211"/>
      <c r="E2853" s="211"/>
      <c r="F2853" s="211"/>
      <c r="G2853" s="211"/>
      <c r="H2853" s="211"/>
      <c r="I2853" s="211"/>
      <c r="J2853" s="211"/>
      <c r="K2853" s="211"/>
      <c r="L2853" s="211"/>
      <c r="M2853" s="211"/>
      <c r="N2853" s="211"/>
      <c r="O2853" s="211"/>
      <c r="Q2853" s="210" t="str">
        <f>IFERROR(__xludf.DUMMYFUNCTION("""COMPUTED_VALUE"""),"0326102853")</f>
        <v>0326102853</v>
      </c>
      <c r="R2853" s="210" t="str">
        <f>IFERROR(__xludf.DUMMYFUNCTION("""COMPUTED_VALUE"""),"0326102853")</f>
        <v>0326102853</v>
      </c>
      <c r="S2853" s="211" t="str">
        <f>IFERROR(__xludf.DUMMYFUNCTION("""COMPUTED_VALUE"""),"de41c3e8")</f>
        <v>de41c3e8</v>
      </c>
      <c r="T2853" s="211" t="str">
        <f>IFERROR(__xludf.DUMMYFUNCTION("""COMPUTED_VALUE"""),"Bpk. Eko Mianto")</f>
        <v>Bpk. Eko Mianto</v>
      </c>
      <c r="U2853" s="215">
        <f>IFERROR(__xludf.DUMMYFUNCTION("""COMPUTED_VALUE"""),46094.58085648148)</f>
        <v>46094.58086</v>
      </c>
      <c r="V2853" s="211" t="str">
        <f>IFERROR(__xludf.DUMMYFUNCTION("""COMPUTED_VALUE"""),"The Graha Residen, Blok D4 No 33. Tropodo, Kec Krian, Kabupaten Sidaorjo, Jawa Timur 61262")</f>
        <v>The Graha Residen, Blok D4 No 33. Tropodo, Kec Krian, Kabupaten Sidaorjo, Jawa Timur 61262</v>
      </c>
      <c r="W2853" s="211" t="str">
        <f>IFERROR(__xludf.DUMMYFUNCTION("""COMPUTED_VALUE"""),"OUT")</f>
        <v>OUT</v>
      </c>
      <c r="X2853" s="211"/>
    </row>
    <row r="2854">
      <c r="A2854" s="210" t="str">
        <f>IFERROR(__xludf.DUMMYFUNCTION("""COMPUTED_VALUE"""),"1250959")</f>
        <v>1250959</v>
      </c>
      <c r="B2854" s="210" t="str">
        <f>IFERROR(__xludf.DUMMYFUNCTION("""COMPUTED_VALUE"""),"1250959")</f>
        <v>1250959</v>
      </c>
      <c r="C2854" s="213">
        <f>IFERROR(__xludf.DUMMYFUNCTION("""COMPUTED_VALUE"""),46007.66123842593)</f>
        <v>46007.66124</v>
      </c>
      <c r="D2854" s="211" t="str">
        <f>IFERROR(__xludf.DUMMYFUNCTION("""COMPUTED_VALUE"""),"eec2e801")</f>
        <v>eec2e801</v>
      </c>
      <c r="E2854" s="211" t="str">
        <f>IFERROR(__xludf.DUMMYFUNCTION("""COMPUTED_VALUE"""),"Mitra Wood Sejahtera")</f>
        <v>Mitra Wood Sejahtera</v>
      </c>
      <c r="F2854" s="211" t="str">
        <f>IFERROR(__xludf.DUMMYFUNCTION("""COMPUTED_VALUE"""),"8bdbe149")</f>
        <v>8bdbe149</v>
      </c>
      <c r="G2854" s="211" t="str">
        <f>IFERROR(__xludf.DUMMYFUNCTION("""COMPUTED_VALUE"""),"Oksigen 6m3")</f>
        <v>Oksigen 6m3</v>
      </c>
      <c r="H2854" s="211" t="str">
        <f>IFERROR(__xludf.DUMMYFUNCTION("""COMPUTED_VALUE"""),"IN")</f>
        <v>IN</v>
      </c>
      <c r="I2854" s="211" t="str">
        <f>IFERROR(__xludf.DUMMYFUNCTION("""COMPUTED_VALUE"""),"EMPTY")</f>
        <v>EMPTY</v>
      </c>
      <c r="J2854" s="211">
        <f>IFERROR(__xludf.DUMMYFUNCTION("""COMPUTED_VALUE"""),4.0)</f>
        <v>4</v>
      </c>
      <c r="K2854" s="210" t="str">
        <f>IFERROR(__xludf.DUMMYFUNCTION("""COMPUTED_VALUE"""),"1137 11256 11262 11235")</f>
        <v>1137 11256 11262 11235</v>
      </c>
      <c r="L2854" s="211">
        <f>IFERROR(__xludf.DUMMYFUNCTION("""COMPUTED_VALUE"""),0.0)</f>
        <v>0</v>
      </c>
      <c r="M2854" s="211"/>
      <c r="N2854" s="211"/>
      <c r="O2854" s="211"/>
      <c r="Q2854" s="210" t="str">
        <f>IFERROR(__xludf.DUMMYFUNCTION("""COMPUTED_VALUE"""),"4032612837")</f>
        <v>4032612837</v>
      </c>
      <c r="R2854" s="210" t="str">
        <f>IFERROR(__xludf.DUMMYFUNCTION("""COMPUTED_VALUE"""),"4032612837")</f>
        <v>4032612837</v>
      </c>
      <c r="S2854" s="211" t="str">
        <f>IFERROR(__xludf.DUMMYFUNCTION("""COMPUTED_VALUE"""),"de41c3e8")</f>
        <v>de41c3e8</v>
      </c>
      <c r="T2854" s="211" t="str">
        <f>IFERROR(__xludf.DUMMYFUNCTION("""COMPUTED_VALUE"""),"Bpk. Eko Mianto")</f>
        <v>Bpk. Eko Mianto</v>
      </c>
      <c r="U2854" s="215">
        <f>IFERROR(__xludf.DUMMYFUNCTION("""COMPUTED_VALUE"""),46094.58181712963)</f>
        <v>46094.58182</v>
      </c>
      <c r="V2854" s="211" t="str">
        <f>IFERROR(__xludf.DUMMYFUNCTION("""COMPUTED_VALUE"""),"The Graha Residen, Blok D4 No 33. Tropodo, Kec Krian, Kabupaten Sidaorjo, Jawa Timur 61262")</f>
        <v>The Graha Residen, Blok D4 No 33. Tropodo, Kec Krian, Kabupaten Sidaorjo, Jawa Timur 61262</v>
      </c>
      <c r="W2854" s="211" t="str">
        <f>IFERROR(__xludf.DUMMYFUNCTION("""COMPUTED_VALUE"""),"OTHER")</f>
        <v>OTHER</v>
      </c>
      <c r="X2854" s="211"/>
    </row>
    <row r="2855">
      <c r="A2855" s="210" t="str">
        <f>IFERROR(__xludf.DUMMYFUNCTION("""COMPUTED_VALUE"""),"1250951")</f>
        <v>1250951</v>
      </c>
      <c r="B2855" s="210" t="str">
        <f>IFERROR(__xludf.DUMMYFUNCTION("""COMPUTED_VALUE"""),"1250951")</f>
        <v>1250951</v>
      </c>
      <c r="C2855" s="213">
        <f>IFERROR(__xludf.DUMMYFUNCTION("""COMPUTED_VALUE"""),46008.356886574074)</f>
        <v>46008.35689</v>
      </c>
      <c r="D2855" s="211" t="str">
        <f>IFERROR(__xludf.DUMMYFUNCTION("""COMPUTED_VALUE"""),"b2b5f2c5")</f>
        <v>b2b5f2c5</v>
      </c>
      <c r="E2855" s="211" t="str">
        <f>IFERROR(__xludf.DUMMYFUNCTION("""COMPUTED_VALUE"""),"Bengkel Las Bpk. Ari")</f>
        <v>Bengkel Las Bpk. Ari</v>
      </c>
      <c r="F2855" s="211" t="str">
        <f>IFERROR(__xludf.DUMMYFUNCTION("""COMPUTED_VALUE"""),"8bdbe149")</f>
        <v>8bdbe149</v>
      </c>
      <c r="G2855" s="211" t="str">
        <f>IFERROR(__xludf.DUMMYFUNCTION("""COMPUTED_VALUE"""),"Oksigen 6m3")</f>
        <v>Oksigen 6m3</v>
      </c>
      <c r="H2855" s="211" t="str">
        <f>IFERROR(__xludf.DUMMYFUNCTION("""COMPUTED_VALUE"""),"IN")</f>
        <v>IN</v>
      </c>
      <c r="I2855" s="211" t="str">
        <f>IFERROR(__xludf.DUMMYFUNCTION("""COMPUTED_VALUE"""),"EMPTY")</f>
        <v>EMPTY</v>
      </c>
      <c r="J2855" s="211">
        <f>IFERROR(__xludf.DUMMYFUNCTION("""COMPUTED_VALUE"""),5.0)</f>
        <v>5</v>
      </c>
      <c r="K2855" s="210" t="str">
        <f>IFERROR(__xludf.DUMMYFUNCTION("""COMPUTED_VALUE"""),"11275 11236 1104 1187 11246")</f>
        <v>11275 11236 1104 1187 11246</v>
      </c>
      <c r="L2855" s="211">
        <f>IFERROR(__xludf.DUMMYFUNCTION("""COMPUTED_VALUE"""),0.0)</f>
        <v>0</v>
      </c>
      <c r="M2855" s="211"/>
      <c r="N2855" s="211"/>
      <c r="O2855" s="211"/>
      <c r="Q2855" s="210" t="str">
        <f>IFERROR(__xludf.DUMMYFUNCTION("""COMPUTED_VALUE"""),"0326152854")</f>
        <v>0326152854</v>
      </c>
      <c r="R2855" s="210" t="str">
        <f>IFERROR(__xludf.DUMMYFUNCTION("""COMPUTED_VALUE"""),"0326152854")</f>
        <v>0326152854</v>
      </c>
      <c r="S2855" s="211" t="str">
        <f>IFERROR(__xludf.DUMMYFUNCTION("""COMPUTED_VALUE"""),"ba97d58d")</f>
        <v>ba97d58d</v>
      </c>
      <c r="T2855" s="211" t="str">
        <f>IFERROR(__xludf.DUMMYFUNCTION("""COMPUTED_VALUE"""),"Bengkel Citra Mojosari")</f>
        <v>Bengkel Citra Mojosari</v>
      </c>
      <c r="U2855" s="215">
        <f>IFERROR(__xludf.DUMMYFUNCTION("""COMPUTED_VALUE"""),46094.420011574075)</f>
        <v>46094.42001</v>
      </c>
      <c r="V2855" s="211" t="str">
        <f>IFERROR(__xludf.DUMMYFUNCTION("""COMPUTED_VALUE"""),"Jl. Raden Wijaya, Kemloko, Jotangan, Kec. Mojosari, Kabupaten Mojokerto, Jawa Timur 61382")</f>
        <v>Jl. Raden Wijaya, Kemloko, Jotangan, Kec. Mojosari, Kabupaten Mojokerto, Jawa Timur 61382</v>
      </c>
      <c r="W2855" s="211" t="str">
        <f>IFERROR(__xludf.DUMMYFUNCTION("""COMPUTED_VALUE"""),"OUT")</f>
        <v>OUT</v>
      </c>
      <c r="X2855" s="211"/>
    </row>
    <row r="2856">
      <c r="A2856" s="210" t="str">
        <f>IFERROR(__xludf.DUMMYFUNCTION("""COMPUTED_VALUE"""),"1250951")</f>
        <v>1250951</v>
      </c>
      <c r="B2856" s="210" t="str">
        <f>IFERROR(__xludf.DUMMYFUNCTION("""COMPUTED_VALUE"""),"1250951")</f>
        <v>1250951</v>
      </c>
      <c r="C2856" s="213">
        <f>IFERROR(__xludf.DUMMYFUNCTION("""COMPUTED_VALUE"""),46008.356886574074)</f>
        <v>46008.35689</v>
      </c>
      <c r="D2856" s="211" t="str">
        <f>IFERROR(__xludf.DUMMYFUNCTION("""COMPUTED_VALUE"""),"b2b5f2c5")</f>
        <v>b2b5f2c5</v>
      </c>
      <c r="E2856" s="211" t="str">
        <f>IFERROR(__xludf.DUMMYFUNCTION("""COMPUTED_VALUE"""),"Bengkel Las Bpk. Ari")</f>
        <v>Bengkel Las Bpk. Ari</v>
      </c>
      <c r="F2856" s="211" t="str">
        <f>IFERROR(__xludf.DUMMYFUNCTION("""COMPUTED_VALUE"""),"ef306e54")</f>
        <v>ef306e54</v>
      </c>
      <c r="G2856" s="211" t="str">
        <f>IFERROR(__xludf.DUMMYFUNCTION("""COMPUTED_VALUE"""),"Karbondioksida")</f>
        <v>Karbondioksida</v>
      </c>
      <c r="H2856" s="211" t="str">
        <f>IFERROR(__xludf.DUMMYFUNCTION("""COMPUTED_VALUE"""),"IN")</f>
        <v>IN</v>
      </c>
      <c r="I2856" s="211" t="str">
        <f>IFERROR(__xludf.DUMMYFUNCTION("""COMPUTED_VALUE"""),"EMPTY")</f>
        <v>EMPTY</v>
      </c>
      <c r="J2856" s="211">
        <f>IFERROR(__xludf.DUMMYFUNCTION("""COMPUTED_VALUE"""),1.0)</f>
        <v>1</v>
      </c>
      <c r="K2856" s="210" t="str">
        <f>IFERROR(__xludf.DUMMYFUNCTION("""COMPUTED_VALUE"""),"13027")</f>
        <v>13027</v>
      </c>
      <c r="L2856" s="211">
        <f>IFERROR(__xludf.DUMMYFUNCTION("""COMPUTED_VALUE"""),0.0)</f>
        <v>0</v>
      </c>
      <c r="M2856" s="211"/>
      <c r="N2856" s="211"/>
      <c r="O2856" s="211"/>
      <c r="Q2856" s="210" t="str">
        <f>IFERROR(__xludf.DUMMYFUNCTION("""COMPUTED_VALUE"""),"1261405")</f>
        <v>1261405</v>
      </c>
      <c r="R2856" s="210" t="str">
        <f>IFERROR(__xludf.DUMMYFUNCTION("""COMPUTED_VALUE"""),"1261405")</f>
        <v>1261405</v>
      </c>
      <c r="S2856" s="211" t="str">
        <f>IFERROR(__xludf.DUMMYFUNCTION("""COMPUTED_VALUE"""),"ce83e171")</f>
        <v>ce83e171</v>
      </c>
      <c r="T2856" s="211" t="str">
        <f>IFERROR(__xludf.DUMMYFUNCTION("""COMPUTED_VALUE"""),"Bpk. Sulaiman")</f>
        <v>Bpk. Sulaiman</v>
      </c>
      <c r="U2856" s="215">
        <f>IFERROR(__xludf.DUMMYFUNCTION("""COMPUTED_VALUE"""),46094.66028935185)</f>
        <v>46094.66029</v>
      </c>
      <c r="V2856" s="211" t="str">
        <f>IFERROR(__xludf.DUMMYFUNCTION("""COMPUTED_VALUE"""),"Jl. Raya Kramat Temenggung No.43, Kramat, Kramat Temenggung, Kec. Tarik, Kabupaten Sidoarjo, Jawa Timur 61265")</f>
        <v>Jl. Raya Kramat Temenggung No.43, Kramat, Kramat Temenggung, Kec. Tarik, Kabupaten Sidoarjo, Jawa Timur 61265</v>
      </c>
      <c r="W2856" s="211" t="str">
        <f>IFERROR(__xludf.DUMMYFUNCTION("""COMPUTED_VALUE"""),"IN")</f>
        <v>IN</v>
      </c>
      <c r="X2856" s="211"/>
    </row>
    <row r="2857">
      <c r="A2857" s="210" t="str">
        <f>IFERROR(__xludf.DUMMYFUNCTION("""COMPUTED_VALUE"""),"1225332003")</f>
        <v>1225332003</v>
      </c>
      <c r="B2857" s="210" t="str">
        <f>IFERROR(__xludf.DUMMYFUNCTION("""COMPUTED_VALUE"""),"1225332003")</f>
        <v>1225332003</v>
      </c>
      <c r="C2857" s="213">
        <f>IFERROR(__xludf.DUMMYFUNCTION("""COMPUTED_VALUE"""),46008.35888888889)</f>
        <v>46008.35889</v>
      </c>
      <c r="D2857" s="211" t="str">
        <f>IFERROR(__xludf.DUMMYFUNCTION("""COMPUTED_VALUE"""),"ce83e171")</f>
        <v>ce83e171</v>
      </c>
      <c r="E2857" s="211" t="str">
        <f>IFERROR(__xludf.DUMMYFUNCTION("""COMPUTED_VALUE"""),"Bpk. Sulaiman")</f>
        <v>Bpk. Sulaiman</v>
      </c>
      <c r="F2857" s="211" t="str">
        <f>IFERROR(__xludf.DUMMYFUNCTION("""COMPUTED_VALUE"""),"7d2764f1")</f>
        <v>7d2764f1</v>
      </c>
      <c r="G2857" s="211" t="str">
        <f>IFERROR(__xludf.DUMMYFUNCTION("""COMPUTED_VALUE"""),"Oksigen 7m3")</f>
        <v>Oksigen 7m3</v>
      </c>
      <c r="H2857" s="211" t="str">
        <f>IFERROR(__xludf.DUMMYFUNCTION("""COMPUTED_VALUE"""),"OUT")</f>
        <v>OUT</v>
      </c>
      <c r="I2857" s="211" t="str">
        <f>IFERROR(__xludf.DUMMYFUNCTION("""COMPUTED_VALUE"""),"NORMAL")</f>
        <v>NORMAL</v>
      </c>
      <c r="J2857" s="211">
        <f>IFERROR(__xludf.DUMMYFUNCTION("""COMPUTED_VALUE"""),2.0)</f>
        <v>2</v>
      </c>
      <c r="K2857" s="210" t="str">
        <f>IFERROR(__xludf.DUMMYFUNCTION("""COMPUTED_VALUE"""),"11173 11139")</f>
        <v>11173 11139</v>
      </c>
      <c r="L2857" s="211">
        <f>IFERROR(__xludf.DUMMYFUNCTION("""COMPUTED_VALUE"""),55000.0)</f>
        <v>55000</v>
      </c>
      <c r="M2857" s="211"/>
      <c r="N2857" s="211"/>
      <c r="O2857" s="211"/>
      <c r="Q2857" s="210" t="str">
        <f>IFERROR(__xludf.DUMMYFUNCTION("""COMPUTED_VALUE"""),"1261406")</f>
        <v>1261406</v>
      </c>
      <c r="R2857" s="210" t="str">
        <f>IFERROR(__xludf.DUMMYFUNCTION("""COMPUTED_VALUE"""),"1261406")</f>
        <v>1261406</v>
      </c>
      <c r="S2857" s="211" t="str">
        <f>IFERROR(__xludf.DUMMYFUNCTION("""COMPUTED_VALUE"""),"eec2e801")</f>
        <v>eec2e801</v>
      </c>
      <c r="T2857" s="211" t="str">
        <f>IFERROR(__xludf.DUMMYFUNCTION("""COMPUTED_VALUE"""),"Mitra Wood Sejahtera")</f>
        <v>Mitra Wood Sejahtera</v>
      </c>
      <c r="U2857" s="215">
        <f>IFERROR(__xludf.DUMMYFUNCTION("""COMPUTED_VALUE"""),46094.66090277778)</f>
        <v>46094.6609</v>
      </c>
      <c r="V2857" s="211" t="str">
        <f>IFERROR(__xludf.DUMMYFUNCTION("""COMPUTED_VALUE"""),"Jl.cungkling, Jl. Tanggungan, Nanom Kidul, Lebaniwaras, Kec. Wringinanom, Kabupaten Gresik, Jawa Timur 61176")</f>
        <v>Jl.cungkling, Jl. Tanggungan, Nanom Kidul, Lebaniwaras, Kec. Wringinanom, Kabupaten Gresik, Jawa Timur 61176</v>
      </c>
      <c r="W2857" s="211" t="str">
        <f>IFERROR(__xludf.DUMMYFUNCTION("""COMPUTED_VALUE"""),"IN")</f>
        <v>IN</v>
      </c>
      <c r="X2857" s="211"/>
    </row>
    <row r="2858">
      <c r="A2858" s="210" t="str">
        <f>IFERROR(__xludf.DUMMYFUNCTION("""COMPUTED_VALUE"""),"1225382007")</f>
        <v>1225382007</v>
      </c>
      <c r="B2858" s="210" t="str">
        <f>IFERROR(__xludf.DUMMYFUNCTION("""COMPUTED_VALUE"""),"1225382007")</f>
        <v>1225382007</v>
      </c>
      <c r="C2858" s="213">
        <f>IFERROR(__xludf.DUMMYFUNCTION("""COMPUTED_VALUE"""),46008.375555555554)</f>
        <v>46008.37556</v>
      </c>
      <c r="D2858" s="211" t="str">
        <f>IFERROR(__xludf.DUMMYFUNCTION("""COMPUTED_VALUE"""),"5f23ba17")</f>
        <v>5f23ba17</v>
      </c>
      <c r="E2858" s="211" t="str">
        <f>IFERROR(__xludf.DUMMYFUNCTION("""COMPUTED_VALUE"""),"Bpk. Joko (Gresik)")</f>
        <v>Bpk. Joko (Gresik)</v>
      </c>
      <c r="F2858" s="211" t="str">
        <f>IFERROR(__xludf.DUMMYFUNCTION("""COMPUTED_VALUE"""),"f6aab7a9")</f>
        <v>f6aab7a9</v>
      </c>
      <c r="G2858" s="211" t="str">
        <f>IFERROR(__xludf.DUMMYFUNCTION("""COMPUTED_VALUE"""),"Oksigen 6m3 MR")</f>
        <v>Oksigen 6m3 MR</v>
      </c>
      <c r="H2858" s="211" t="str">
        <f>IFERROR(__xludf.DUMMYFUNCTION("""COMPUTED_VALUE"""),"OUT")</f>
        <v>OUT</v>
      </c>
      <c r="I2858" s="211" t="str">
        <f>IFERROR(__xludf.DUMMYFUNCTION("""COMPUTED_VALUE"""),"NORMAL")</f>
        <v>NORMAL</v>
      </c>
      <c r="J2858" s="211">
        <f>IFERROR(__xludf.DUMMYFUNCTION("""COMPUTED_VALUE"""),13.0)</f>
        <v>13</v>
      </c>
      <c r="K2858" s="210" t="str">
        <f>IFERROR(__xludf.DUMMYFUNCTION("""COMPUTED_VALUE"""),"01 02 03 04 05 06 07 08 09 10 11 12 13")</f>
        <v>01 02 03 04 05 06 07 08 09 10 11 12 13</v>
      </c>
      <c r="L2858" s="211">
        <f>IFERROR(__xludf.DUMMYFUNCTION("""COMPUTED_VALUE"""),55000.0)</f>
        <v>55000</v>
      </c>
      <c r="M2858" s="211"/>
      <c r="N2858" s="211"/>
      <c r="O2858" s="211"/>
      <c r="Q2858" s="210" t="str">
        <f>IFERROR(__xludf.DUMMYFUNCTION("""COMPUTED_VALUE"""),"1261414")</f>
        <v>1261414</v>
      </c>
      <c r="R2858" s="210" t="str">
        <f>IFERROR(__xludf.DUMMYFUNCTION("""COMPUTED_VALUE"""),"1261414")</f>
        <v>1261414</v>
      </c>
      <c r="S2858" s="211" t="str">
        <f>IFERROR(__xludf.DUMMYFUNCTION("""COMPUTED_VALUE"""),"d9b2fac5")</f>
        <v>d9b2fac5</v>
      </c>
      <c r="T2858" s="211" t="str">
        <f>IFERROR(__xludf.DUMMYFUNCTION("""COMPUTED_VALUE"""),"Dwi Riza ( Ponokawan)")</f>
        <v>Dwi Riza ( Ponokawan)</v>
      </c>
      <c r="U2858" s="215">
        <f>IFERROR(__xludf.DUMMYFUNCTION("""COMPUTED_VALUE"""),46094.66605324074)</f>
        <v>46094.66605</v>
      </c>
      <c r="V2858" s="211" t="str">
        <f>IFERROR(__xludf.DUMMYFUNCTION("""COMPUTED_VALUE"""),"Jl. Raya Ponokawan No.28 RT 07 RW 03 Kec. Krian Sidoarjo (Seberang Bengkel An.Nur/ Deretan Baraka Expres)")</f>
        <v>Jl. Raya Ponokawan No.28 RT 07 RW 03 Kec. Krian Sidoarjo (Seberang Bengkel An.Nur/ Deretan Baraka Expres)</v>
      </c>
      <c r="W2858" s="211" t="str">
        <f>IFERROR(__xludf.DUMMYFUNCTION("""COMPUTED_VALUE"""),"IN")</f>
        <v>IN</v>
      </c>
      <c r="X2858" s="211"/>
    </row>
    <row r="2859">
      <c r="A2859" s="210" t="str">
        <f>IFERROR(__xludf.DUMMYFUNCTION("""COMPUTED_VALUE"""),"1225382007")</f>
        <v>1225382007</v>
      </c>
      <c r="B2859" s="210" t="str">
        <f>IFERROR(__xludf.DUMMYFUNCTION("""COMPUTED_VALUE"""),"1225382007")</f>
        <v>1225382007</v>
      </c>
      <c r="C2859" s="213">
        <f>IFERROR(__xludf.DUMMYFUNCTION("""COMPUTED_VALUE"""),46008.375555555554)</f>
        <v>46008.37556</v>
      </c>
      <c r="D2859" s="211" t="str">
        <f>IFERROR(__xludf.DUMMYFUNCTION("""COMPUTED_VALUE"""),"5f23ba17")</f>
        <v>5f23ba17</v>
      </c>
      <c r="E2859" s="211" t="str">
        <f>IFERROR(__xludf.DUMMYFUNCTION("""COMPUTED_VALUE"""),"Bpk. Joko (Gresik)")</f>
        <v>Bpk. Joko (Gresik)</v>
      </c>
      <c r="F2859" s="211" t="str">
        <f>IFERROR(__xludf.DUMMYFUNCTION("""COMPUTED_VALUE"""),"ef306e54")</f>
        <v>ef306e54</v>
      </c>
      <c r="G2859" s="211" t="str">
        <f>IFERROR(__xludf.DUMMYFUNCTION("""COMPUTED_VALUE"""),"Karbondioksida")</f>
        <v>Karbondioksida</v>
      </c>
      <c r="H2859" s="211" t="str">
        <f>IFERROR(__xludf.DUMMYFUNCTION("""COMPUTED_VALUE"""),"OUT")</f>
        <v>OUT</v>
      </c>
      <c r="I2859" s="211" t="str">
        <f>IFERROR(__xludf.DUMMYFUNCTION("""COMPUTED_VALUE"""),"NORMAL")</f>
        <v>NORMAL</v>
      </c>
      <c r="J2859" s="211">
        <f>IFERROR(__xludf.DUMMYFUNCTION("""COMPUTED_VALUE"""),1.0)</f>
        <v>1</v>
      </c>
      <c r="K2859" s="210" t="str">
        <f>IFERROR(__xludf.DUMMYFUNCTION("""COMPUTED_VALUE"""),"13031")</f>
        <v>13031</v>
      </c>
      <c r="L2859" s="211">
        <f>IFERROR(__xludf.DUMMYFUNCTION("""COMPUTED_VALUE"""),160000.0)</f>
        <v>160000</v>
      </c>
      <c r="M2859" s="211"/>
      <c r="N2859" s="211" t="str">
        <f>IFERROR(__xludf.DUMMYFUNCTION("""COMPUTED_VALUE"""),"Ganti MR")</f>
        <v>Ganti MR</v>
      </c>
      <c r="O2859" s="211"/>
      <c r="Q2859" s="210" t="str">
        <f>IFERROR(__xludf.DUMMYFUNCTION("""COMPUTED_VALUE"""),"1261413")</f>
        <v>1261413</v>
      </c>
      <c r="R2859" s="210" t="str">
        <f>IFERROR(__xludf.DUMMYFUNCTION("""COMPUTED_VALUE"""),"1261413")</f>
        <v>1261413</v>
      </c>
      <c r="S2859" s="211" t="str">
        <f>IFERROR(__xludf.DUMMYFUNCTION("""COMPUTED_VALUE"""),"1c4d5e93")</f>
        <v>1c4d5e93</v>
      </c>
      <c r="T2859" s="211" t="str">
        <f>IFERROR(__xludf.DUMMYFUNCTION("""COMPUTED_VALUE"""),"Karoseri Cipta Mitra Sukses")</f>
        <v>Karoseri Cipta Mitra Sukses</v>
      </c>
      <c r="U2859" s="215">
        <f>IFERROR(__xludf.DUMMYFUNCTION("""COMPUTED_VALUE"""),46094.6665625)</f>
        <v>46094.66656</v>
      </c>
      <c r="V2859" s="211" t="str">
        <f>IFERROR(__xludf.DUMMYFUNCTION("""COMPUTED_VALUE"""),"JL. Bypass Krian No. 7800, Blok B No 11. Barengkrajan, Kec. Krian, Kabupaten Sidoarjo, Jawa Timur  61262")</f>
        <v>JL. Bypass Krian No. 7800, Blok B No 11. Barengkrajan, Kec. Krian, Kabupaten Sidoarjo, Jawa Timur  61262</v>
      </c>
      <c r="W2859" s="211" t="str">
        <f>IFERROR(__xludf.DUMMYFUNCTION("""COMPUTED_VALUE"""),"IN")</f>
        <v>IN</v>
      </c>
      <c r="X2859" s="211"/>
    </row>
    <row r="2860">
      <c r="A2860" s="210" t="str">
        <f>IFERROR(__xludf.DUMMYFUNCTION("""COMPUTED_VALUE"""),"1225392008")</f>
        <v>1225392008</v>
      </c>
      <c r="B2860" s="210" t="str">
        <f>IFERROR(__xludf.DUMMYFUNCTION("""COMPUTED_VALUE"""),"1225392008")</f>
        <v>1225392008</v>
      </c>
      <c r="C2860" s="213">
        <f>IFERROR(__xludf.DUMMYFUNCTION("""COMPUTED_VALUE"""),46008.416817129626)</f>
        <v>46008.41682</v>
      </c>
      <c r="D2860" s="211" t="str">
        <f>IFERROR(__xludf.DUMMYFUNCTION("""COMPUTED_VALUE"""),"785e0e07")</f>
        <v>785e0e07</v>
      </c>
      <c r="E2860" s="211" t="str">
        <f>IFERROR(__xludf.DUMMYFUNCTION("""COMPUTED_VALUE"""),"Bpk. Sukirno (Bejo)")</f>
        <v>Bpk. Sukirno (Bejo)</v>
      </c>
      <c r="F2860" s="211" t="str">
        <f>IFERROR(__xludf.DUMMYFUNCTION("""COMPUTED_VALUE"""),"7d2764f1")</f>
        <v>7d2764f1</v>
      </c>
      <c r="G2860" s="211" t="str">
        <f>IFERROR(__xludf.DUMMYFUNCTION("""COMPUTED_VALUE"""),"Oksigen 7m3")</f>
        <v>Oksigen 7m3</v>
      </c>
      <c r="H2860" s="211" t="str">
        <f>IFERROR(__xludf.DUMMYFUNCTION("""COMPUTED_VALUE"""),"OUT")</f>
        <v>OUT</v>
      </c>
      <c r="I2860" s="211" t="str">
        <f>IFERROR(__xludf.DUMMYFUNCTION("""COMPUTED_VALUE"""),"NORMAL")</f>
        <v>NORMAL</v>
      </c>
      <c r="J2860" s="211">
        <f>IFERROR(__xludf.DUMMYFUNCTION("""COMPUTED_VALUE"""),3.0)</f>
        <v>3</v>
      </c>
      <c r="K2860" s="210" t="str">
        <f>IFERROR(__xludf.DUMMYFUNCTION("""COMPUTED_VALUE"""),"11142 11313 01")</f>
        <v>11142 11313 01</v>
      </c>
      <c r="L2860" s="211">
        <f>IFERROR(__xludf.DUMMYFUNCTION("""COMPUTED_VALUE"""),60000.0)</f>
        <v>60000</v>
      </c>
      <c r="M2860" s="211"/>
      <c r="N2860" s="211" t="str">
        <f>IFERROR(__xludf.DUMMYFUNCTION("""COMPUTED_VALUE"""),"01 ( Botol JA )")</f>
        <v>01 ( Botol JA )</v>
      </c>
      <c r="O2860" s="211"/>
      <c r="Q2860" s="210" t="str">
        <f>IFERROR(__xludf.DUMMYFUNCTION("""COMPUTED_VALUE"""),"0326312856")</f>
        <v>0326312856</v>
      </c>
      <c r="R2860" s="210" t="str">
        <f>IFERROR(__xludf.DUMMYFUNCTION("""COMPUTED_VALUE"""),"0326312856")</f>
        <v>0326312856</v>
      </c>
      <c r="S2860" s="211" t="str">
        <f>IFERROR(__xludf.DUMMYFUNCTION("""COMPUTED_VALUE"""),"63fc688a")</f>
        <v>63fc688a</v>
      </c>
      <c r="T2860" s="211" t="str">
        <f>IFERROR(__xludf.DUMMYFUNCTION("""COMPUTED_VALUE"""),"CV Malik Nusantara")</f>
        <v>CV Malik Nusantara</v>
      </c>
      <c r="U2860" s="215">
        <f>IFERROR(__xludf.DUMMYFUNCTION("""COMPUTED_VALUE"""),46095.39371527778)</f>
        <v>46095.39372</v>
      </c>
      <c r="V2860" s="211" t="str">
        <f>IFERROR(__xludf.DUMMYFUNCTION("""COMPUTED_VALUE"""),"Jl. Raya Balongbendo No.12, Suwaluh Utara, Suwaluh, Kec. BalongBendo, Kabupaten Sidoarjo, Jawa Timur 61263")</f>
        <v>Jl. Raya Balongbendo No.12, Suwaluh Utara, Suwaluh, Kec. BalongBendo, Kabupaten Sidoarjo, Jawa Timur 61263</v>
      </c>
      <c r="W2860" s="211" t="str">
        <f>IFERROR(__xludf.DUMMYFUNCTION("""COMPUTED_VALUE"""),"OUT")</f>
        <v>OUT</v>
      </c>
      <c r="X2860" s="211"/>
    </row>
    <row r="2861">
      <c r="A2861" s="210" t="str">
        <f>IFERROR(__xludf.DUMMYFUNCTION("""COMPUTED_VALUE"""),"1225392008")</f>
        <v>1225392008</v>
      </c>
      <c r="B2861" s="210" t="str">
        <f>IFERROR(__xludf.DUMMYFUNCTION("""COMPUTED_VALUE"""),"1225392008")</f>
        <v>1225392008</v>
      </c>
      <c r="C2861" s="213">
        <f>IFERROR(__xludf.DUMMYFUNCTION("""COMPUTED_VALUE"""),46008.416817129626)</f>
        <v>46008.41682</v>
      </c>
      <c r="D2861" s="211" t="str">
        <f>IFERROR(__xludf.DUMMYFUNCTION("""COMPUTED_VALUE"""),"785e0e07")</f>
        <v>785e0e07</v>
      </c>
      <c r="E2861" s="211" t="str">
        <f>IFERROR(__xludf.DUMMYFUNCTION("""COMPUTED_VALUE"""),"Bpk. Sukirno (Bejo)")</f>
        <v>Bpk. Sukirno (Bejo)</v>
      </c>
      <c r="F2861" s="211" t="str">
        <f>IFERROR(__xludf.DUMMYFUNCTION("""COMPUTED_VALUE"""),"8bdbe149")</f>
        <v>8bdbe149</v>
      </c>
      <c r="G2861" s="211" t="str">
        <f>IFERROR(__xludf.DUMMYFUNCTION("""COMPUTED_VALUE"""),"Oksigen 6m3")</f>
        <v>Oksigen 6m3</v>
      </c>
      <c r="H2861" s="211" t="str">
        <f>IFERROR(__xludf.DUMMYFUNCTION("""COMPUTED_VALUE"""),"OUT")</f>
        <v>OUT</v>
      </c>
      <c r="I2861" s="211" t="str">
        <f>IFERROR(__xludf.DUMMYFUNCTION("""COMPUTED_VALUE"""),"NORMAL")</f>
        <v>NORMAL</v>
      </c>
      <c r="J2861" s="211">
        <f>IFERROR(__xludf.DUMMYFUNCTION("""COMPUTED_VALUE"""),7.0)</f>
        <v>7</v>
      </c>
      <c r="K2861" s="210" t="str">
        <f>IFERROR(__xludf.DUMMYFUNCTION("""COMPUTED_VALUE"""),"11106 1105 11261 1137 11256 11262 11235")</f>
        <v>11106 1105 11261 1137 11256 11262 11235</v>
      </c>
      <c r="L2861" s="211">
        <f>IFERROR(__xludf.DUMMYFUNCTION("""COMPUTED_VALUE"""),60000.0)</f>
        <v>60000</v>
      </c>
      <c r="M2861" s="211"/>
      <c r="N2861" s="211"/>
      <c r="O2861" s="211"/>
      <c r="Q2861" s="210" t="str">
        <f>IFERROR(__xludf.DUMMYFUNCTION("""COMPUTED_VALUE"""),"0326492861")</f>
        <v>0326492861</v>
      </c>
      <c r="R2861" s="210" t="str">
        <f>IFERROR(__xludf.DUMMYFUNCTION("""COMPUTED_VALUE"""),"0326492861")</f>
        <v>0326492861</v>
      </c>
      <c r="S2861" s="211" t="str">
        <f>IFERROR(__xludf.DUMMYFUNCTION("""COMPUTED_VALUE"""),"ec231cc9")</f>
        <v>ec231cc9</v>
      </c>
      <c r="T2861" s="211" t="str">
        <f>IFERROR(__xludf.DUMMYFUNCTION("""COMPUTED_VALUE"""),"Bpk. Kohir (Maintenance Velg)")</f>
        <v>Bpk. Kohir (Maintenance Velg)</v>
      </c>
      <c r="U2861" s="215">
        <f>IFERROR(__xludf.DUMMYFUNCTION("""COMPUTED_VALUE"""),46095.39873842592)</f>
        <v>46095.39874</v>
      </c>
      <c r="V2861" s="211" t="str">
        <f>IFERROR(__xludf.DUMMYFUNCTION("""COMPUTED_VALUE"""),"Jl. Lkr. Bypass Krian Timur, Sidogolong, Watugolong, Kec. Krian, Kabupaten Sidoarjo, Jawa Timur 61262")</f>
        <v>Jl. Lkr. Bypass Krian Timur, Sidogolong, Watugolong, Kec. Krian, Kabupaten Sidoarjo, Jawa Timur 61262</v>
      </c>
      <c r="W2861" s="211" t="str">
        <f>IFERROR(__xludf.DUMMYFUNCTION("""COMPUTED_VALUE"""),"OUT")</f>
        <v>OUT</v>
      </c>
      <c r="X2861" s="211"/>
    </row>
    <row r="2862">
      <c r="A2862" s="210" t="str">
        <f>IFERROR(__xludf.DUMMYFUNCTION("""COMPUTED_VALUE"""),"1250952")</f>
        <v>1250952</v>
      </c>
      <c r="B2862" s="210" t="str">
        <f>IFERROR(__xludf.DUMMYFUNCTION("""COMPUTED_VALUE"""),"1250952")</f>
        <v>1250952</v>
      </c>
      <c r="C2862" s="213">
        <f>IFERROR(__xludf.DUMMYFUNCTION("""COMPUTED_VALUE"""),46008.42153935185)</f>
        <v>46008.42154</v>
      </c>
      <c r="D2862" s="211" t="str">
        <f>IFERROR(__xludf.DUMMYFUNCTION("""COMPUTED_VALUE"""),"ce83e171")</f>
        <v>ce83e171</v>
      </c>
      <c r="E2862" s="211" t="str">
        <f>IFERROR(__xludf.DUMMYFUNCTION("""COMPUTED_VALUE"""),"Bpk. Sulaiman")</f>
        <v>Bpk. Sulaiman</v>
      </c>
      <c r="F2862" s="211" t="str">
        <f>IFERROR(__xludf.DUMMYFUNCTION("""COMPUTED_VALUE"""),"7d2764f1")</f>
        <v>7d2764f1</v>
      </c>
      <c r="G2862" s="211" t="str">
        <f>IFERROR(__xludf.DUMMYFUNCTION("""COMPUTED_VALUE"""),"Oksigen 7m3")</f>
        <v>Oksigen 7m3</v>
      </c>
      <c r="H2862" s="211" t="str">
        <f>IFERROR(__xludf.DUMMYFUNCTION("""COMPUTED_VALUE"""),"IN")</f>
        <v>IN</v>
      </c>
      <c r="I2862" s="211" t="str">
        <f>IFERROR(__xludf.DUMMYFUNCTION("""COMPUTED_VALUE"""),"EMPTY")</f>
        <v>EMPTY</v>
      </c>
      <c r="J2862" s="211">
        <f>IFERROR(__xludf.DUMMYFUNCTION("""COMPUTED_VALUE"""),1.0)</f>
        <v>1</v>
      </c>
      <c r="K2862" s="210" t="str">
        <f>IFERROR(__xludf.DUMMYFUNCTION("""COMPUTED_VALUE"""),"11307")</f>
        <v>11307</v>
      </c>
      <c r="L2862" s="211">
        <f>IFERROR(__xludf.DUMMYFUNCTION("""COMPUTED_VALUE"""),0.0)</f>
        <v>0</v>
      </c>
      <c r="M2862" s="211"/>
      <c r="N2862" s="211"/>
      <c r="O2862" s="211"/>
      <c r="Q2862" s="210" t="str">
        <f>IFERROR(__xludf.DUMMYFUNCTION("""COMPUTED_VALUE"""),"0326122862")</f>
        <v>0326122862</v>
      </c>
      <c r="R2862" s="210" t="str">
        <f>IFERROR(__xludf.DUMMYFUNCTION("""COMPUTED_VALUE"""),"0326122862")</f>
        <v>0326122862</v>
      </c>
      <c r="S2862" s="211" t="str">
        <f>IFERROR(__xludf.DUMMYFUNCTION("""COMPUTED_VALUE"""),"17a8e612")</f>
        <v>17a8e612</v>
      </c>
      <c r="T2862" s="211" t="str">
        <f>IFERROR(__xludf.DUMMYFUNCTION("""COMPUTED_VALUE"""),"Flashtech Machinery")</f>
        <v>Flashtech Machinery</v>
      </c>
      <c r="U2862" s="215">
        <f>IFERROR(__xludf.DUMMYFUNCTION("""COMPUTED_VALUE"""),46095.4587962963)</f>
        <v>46095.4588</v>
      </c>
      <c r="V2862" s="211" t="str">
        <f>IFERROR(__xludf.DUMMYFUNCTION("""COMPUTED_VALUE"""),"Pergudangan Point Center blok A no.4, Kemangsen")</f>
        <v>Pergudangan Point Center blok A no.4, Kemangsen</v>
      </c>
      <c r="W2862" s="211" t="str">
        <f>IFERROR(__xludf.DUMMYFUNCTION("""COMPUTED_VALUE"""),"OUT")</f>
        <v>OUT</v>
      </c>
      <c r="X2862" s="211"/>
    </row>
    <row r="2863">
      <c r="A2863" s="210" t="str">
        <f>IFERROR(__xludf.DUMMYFUNCTION("""COMPUTED_VALUE"""),"1250952")</f>
        <v>1250952</v>
      </c>
      <c r="B2863" s="210" t="str">
        <f>IFERROR(__xludf.DUMMYFUNCTION("""COMPUTED_VALUE"""),"1250952")</f>
        <v>1250952</v>
      </c>
      <c r="C2863" s="213">
        <f>IFERROR(__xludf.DUMMYFUNCTION("""COMPUTED_VALUE"""),46008.42153935185)</f>
        <v>46008.42154</v>
      </c>
      <c r="D2863" s="211" t="str">
        <f>IFERROR(__xludf.DUMMYFUNCTION("""COMPUTED_VALUE"""),"ce83e171")</f>
        <v>ce83e171</v>
      </c>
      <c r="E2863" s="211" t="str">
        <f>IFERROR(__xludf.DUMMYFUNCTION("""COMPUTED_VALUE"""),"Bpk. Sulaiman")</f>
        <v>Bpk. Sulaiman</v>
      </c>
      <c r="F2863" s="211" t="str">
        <f>IFERROR(__xludf.DUMMYFUNCTION("""COMPUTED_VALUE"""),"f6aab7a9")</f>
        <v>f6aab7a9</v>
      </c>
      <c r="G2863" s="211" t="str">
        <f>IFERROR(__xludf.DUMMYFUNCTION("""COMPUTED_VALUE"""),"Oksigen 6m3 MR")</f>
        <v>Oksigen 6m3 MR</v>
      </c>
      <c r="H2863" s="211" t="str">
        <f>IFERROR(__xludf.DUMMYFUNCTION("""COMPUTED_VALUE"""),"IN")</f>
        <v>IN</v>
      </c>
      <c r="I2863" s="211" t="str">
        <f>IFERROR(__xludf.DUMMYFUNCTION("""COMPUTED_VALUE"""),"EMPTY")</f>
        <v>EMPTY</v>
      </c>
      <c r="J2863" s="211">
        <f>IFERROR(__xludf.DUMMYFUNCTION("""COMPUTED_VALUE"""),5.0)</f>
        <v>5</v>
      </c>
      <c r="K2863" s="210" t="str">
        <f>IFERROR(__xludf.DUMMYFUNCTION("""COMPUTED_VALUE"""),"76 75 01 02 03")</f>
        <v>76 75 01 02 03</v>
      </c>
      <c r="L2863" s="211">
        <f>IFERROR(__xludf.DUMMYFUNCTION("""COMPUTED_VALUE"""),0.0)</f>
        <v>0</v>
      </c>
      <c r="M2863" s="211"/>
      <c r="N2863" s="211"/>
      <c r="O2863" s="211"/>
      <c r="Q2863" s="210" t="str">
        <f>IFERROR(__xludf.DUMMYFUNCTION("""COMPUTED_VALUE"""),"1261407")</f>
        <v>1261407</v>
      </c>
      <c r="R2863" s="210" t="str">
        <f>IFERROR(__xludf.DUMMYFUNCTION("""COMPUTED_VALUE"""),"1261407")</f>
        <v>1261407</v>
      </c>
      <c r="S2863" s="211" t="str">
        <f>IFERROR(__xludf.DUMMYFUNCTION("""COMPUTED_VALUE"""),"63fc688a")</f>
        <v>63fc688a</v>
      </c>
      <c r="T2863" s="211" t="str">
        <f>IFERROR(__xludf.DUMMYFUNCTION("""COMPUTED_VALUE"""),"CV Malik Nusantara")</f>
        <v>CV Malik Nusantara</v>
      </c>
      <c r="U2863" s="215">
        <f>IFERROR(__xludf.DUMMYFUNCTION("""COMPUTED_VALUE"""),46095.47052083333)</f>
        <v>46095.47052</v>
      </c>
      <c r="V2863" s="211" t="str">
        <f>IFERROR(__xludf.DUMMYFUNCTION("""COMPUTED_VALUE"""),"Jl. Raya Balongbendo No.12, Suwaluh Utara, Suwaluh, Kec. BalongBendo, Kabupaten Sidoarjo, Jawa Timur 61263")</f>
        <v>Jl. Raya Balongbendo No.12, Suwaluh Utara, Suwaluh, Kec. BalongBendo, Kabupaten Sidoarjo, Jawa Timur 61263</v>
      </c>
      <c r="W2863" s="211" t="str">
        <f>IFERROR(__xludf.DUMMYFUNCTION("""COMPUTED_VALUE"""),"IN")</f>
        <v>IN</v>
      </c>
      <c r="X2863" s="211"/>
    </row>
    <row r="2864">
      <c r="A2864" s="210" t="str">
        <f>IFERROR(__xludf.DUMMYFUNCTION("""COMPUTED_VALUE"""),"1225102003")</f>
        <v>1225102003</v>
      </c>
      <c r="B2864" s="210" t="str">
        <f>IFERROR(__xludf.DUMMYFUNCTION("""COMPUTED_VALUE"""),"1225102003")</f>
        <v>1225102003</v>
      </c>
      <c r="C2864" s="213">
        <f>IFERROR(__xludf.DUMMYFUNCTION("""COMPUTED_VALUE"""),46009.34777777778)</f>
        <v>46009.34778</v>
      </c>
      <c r="D2864" s="211" t="str">
        <f>IFERROR(__xludf.DUMMYFUNCTION("""COMPUTED_VALUE"""),"eec2e801")</f>
        <v>eec2e801</v>
      </c>
      <c r="E2864" s="211" t="str">
        <f>IFERROR(__xludf.DUMMYFUNCTION("""COMPUTED_VALUE"""),"Mitra Wood Sejahtera")</f>
        <v>Mitra Wood Sejahtera</v>
      </c>
      <c r="F2864" s="211" t="str">
        <f>IFERROR(__xludf.DUMMYFUNCTION("""COMPUTED_VALUE"""),"be525f3b")</f>
        <v>be525f3b</v>
      </c>
      <c r="G2864" s="211" t="str">
        <f>IFERROR(__xludf.DUMMYFUNCTION("""COMPUTED_VALUE"""),"LPG 12kg")</f>
        <v>LPG 12kg</v>
      </c>
      <c r="H2864" s="211" t="str">
        <f>IFERROR(__xludf.DUMMYFUNCTION("""COMPUTED_VALUE"""),"OUT")</f>
        <v>OUT</v>
      </c>
      <c r="I2864" s="211" t="str">
        <f>IFERROR(__xludf.DUMMYFUNCTION("""COMPUTED_VALUE"""),"NORMAL")</f>
        <v>NORMAL</v>
      </c>
      <c r="J2864" s="211">
        <f>IFERROR(__xludf.DUMMYFUNCTION("""COMPUTED_VALUE"""),1.0)</f>
        <v>1</v>
      </c>
      <c r="K2864" s="210" t="str">
        <f>IFERROR(__xludf.DUMMYFUNCTION("""COMPUTED_VALUE"""),"01")</f>
        <v>01</v>
      </c>
      <c r="L2864" s="211">
        <f>IFERROR(__xludf.DUMMYFUNCTION("""COMPUTED_VALUE"""),210000.0)</f>
        <v>210000</v>
      </c>
      <c r="M2864" s="211"/>
      <c r="N2864" s="211"/>
      <c r="O2864" s="211"/>
      <c r="Q2864" s="210" t="str">
        <f>IFERROR(__xludf.DUMMYFUNCTION("""COMPUTED_VALUE"""),"1261408")</f>
        <v>1261408</v>
      </c>
      <c r="R2864" s="210" t="str">
        <f>IFERROR(__xludf.DUMMYFUNCTION("""COMPUTED_VALUE"""),"1261408")</f>
        <v>1261408</v>
      </c>
      <c r="S2864" s="211" t="str">
        <f>IFERROR(__xludf.DUMMYFUNCTION("""COMPUTED_VALUE"""),"ec231cc9")</f>
        <v>ec231cc9</v>
      </c>
      <c r="T2864" s="211" t="str">
        <f>IFERROR(__xludf.DUMMYFUNCTION("""COMPUTED_VALUE"""),"Bpk. Kohir (Maintenance Velg)")</f>
        <v>Bpk. Kohir (Maintenance Velg)</v>
      </c>
      <c r="U2864" s="215">
        <f>IFERROR(__xludf.DUMMYFUNCTION("""COMPUTED_VALUE"""),46095.47164351852)</f>
        <v>46095.47164</v>
      </c>
      <c r="V2864" s="211" t="str">
        <f>IFERROR(__xludf.DUMMYFUNCTION("""COMPUTED_VALUE"""),"Jl. Lkr. Bypass Krian Timur, Sidogolong, Watugolong, Kec. Krian, Kabupaten Sidoarjo, Jawa Timur 61262")</f>
        <v>Jl. Lkr. Bypass Krian Timur, Sidogolong, Watugolong, Kec. Krian, Kabupaten Sidoarjo, Jawa Timur 61262</v>
      </c>
      <c r="W2864" s="211" t="str">
        <f>IFERROR(__xludf.DUMMYFUNCTION("""COMPUTED_VALUE"""),"IN")</f>
        <v>IN</v>
      </c>
      <c r="X2864" s="211"/>
    </row>
    <row r="2865">
      <c r="A2865" s="210" t="str">
        <f>IFERROR(__xludf.DUMMYFUNCTION("""COMPUTED_VALUE"""),"1225102003")</f>
        <v>1225102003</v>
      </c>
      <c r="B2865" s="210" t="str">
        <f>IFERROR(__xludf.DUMMYFUNCTION("""COMPUTED_VALUE"""),"1225102003")</f>
        <v>1225102003</v>
      </c>
      <c r="C2865" s="213">
        <f>IFERROR(__xludf.DUMMYFUNCTION("""COMPUTED_VALUE"""),46009.34777777778)</f>
        <v>46009.34778</v>
      </c>
      <c r="D2865" s="211" t="str">
        <f>IFERROR(__xludf.DUMMYFUNCTION("""COMPUTED_VALUE"""),"eec2e801")</f>
        <v>eec2e801</v>
      </c>
      <c r="E2865" s="211" t="str">
        <f>IFERROR(__xludf.DUMMYFUNCTION("""COMPUTED_VALUE"""),"Mitra Wood Sejahtera")</f>
        <v>Mitra Wood Sejahtera</v>
      </c>
      <c r="F2865" s="211" t="str">
        <f>IFERROR(__xludf.DUMMYFUNCTION("""COMPUTED_VALUE"""),"8bdbe149")</f>
        <v>8bdbe149</v>
      </c>
      <c r="G2865" s="211" t="str">
        <f>IFERROR(__xludf.DUMMYFUNCTION("""COMPUTED_VALUE"""),"Oksigen 6m3")</f>
        <v>Oksigen 6m3</v>
      </c>
      <c r="H2865" s="211" t="str">
        <f>IFERROR(__xludf.DUMMYFUNCTION("""COMPUTED_VALUE"""),"OUT")</f>
        <v>OUT</v>
      </c>
      <c r="I2865" s="211" t="str">
        <f>IFERROR(__xludf.DUMMYFUNCTION("""COMPUTED_VALUE"""),"NORMAL")</f>
        <v>NORMAL</v>
      </c>
      <c r="J2865" s="211">
        <f>IFERROR(__xludf.DUMMYFUNCTION("""COMPUTED_VALUE"""),5.0)</f>
        <v>5</v>
      </c>
      <c r="K2865" s="210" t="str">
        <f>IFERROR(__xludf.DUMMYFUNCTION("""COMPUTED_VALUE"""),"1141 11181 1158 11229 1166")</f>
        <v>1141 11181 1158 11229 1166</v>
      </c>
      <c r="L2865" s="211">
        <f>IFERROR(__xludf.DUMMYFUNCTION("""COMPUTED_VALUE"""),55000.0)</f>
        <v>55000</v>
      </c>
      <c r="M2865" s="211"/>
      <c r="N2865" s="211"/>
      <c r="O2865" s="211"/>
      <c r="Q2865" s="210" t="str">
        <f>IFERROR(__xludf.DUMMYFUNCTION("""COMPUTED_VALUE"""),"0326322863")</f>
        <v>0326322863</v>
      </c>
      <c r="R2865" s="210" t="str">
        <f>IFERROR(__xludf.DUMMYFUNCTION("""COMPUTED_VALUE"""),"0326322863")</f>
        <v>0326322863</v>
      </c>
      <c r="S2865" s="211" t="str">
        <f>IFERROR(__xludf.DUMMYFUNCTION("""COMPUTED_VALUE"""),"63fc688a")</f>
        <v>63fc688a</v>
      </c>
      <c r="T2865" s="211" t="str">
        <f>IFERROR(__xludf.DUMMYFUNCTION("""COMPUTED_VALUE"""),"CV Malik Nusantara")</f>
        <v>CV Malik Nusantara</v>
      </c>
      <c r="U2865" s="215">
        <f>IFERROR(__xludf.DUMMYFUNCTION("""COMPUTED_VALUE"""),46095.61319444444)</f>
        <v>46095.61319</v>
      </c>
      <c r="V2865" s="211" t="str">
        <f>IFERROR(__xludf.DUMMYFUNCTION("""COMPUTED_VALUE"""),"Jl. Raya Balongbendo No.12, Suwaluh Utara, Suwaluh, Kec. BalongBendo, Kabupaten Sidoarjo, Jawa Timur 61263")</f>
        <v>Jl. Raya Balongbendo No.12, Suwaluh Utara, Suwaluh, Kec. BalongBendo, Kabupaten Sidoarjo, Jawa Timur 61263</v>
      </c>
      <c r="W2865" s="211" t="str">
        <f>IFERROR(__xludf.DUMMYFUNCTION("""COMPUTED_VALUE"""),"OUT")</f>
        <v>OUT</v>
      </c>
      <c r="X2865" s="211"/>
    </row>
    <row r="2866">
      <c r="A2866" s="210" t="str">
        <f>IFERROR(__xludf.DUMMYFUNCTION("""COMPUTED_VALUE"""),"1225242006")</f>
        <v>1225242006</v>
      </c>
      <c r="B2866" s="210" t="str">
        <f>IFERROR(__xludf.DUMMYFUNCTION("""COMPUTED_VALUE"""),"1225242006")</f>
        <v>1225242006</v>
      </c>
      <c r="C2866" s="213">
        <f>IFERROR(__xludf.DUMMYFUNCTION("""COMPUTED_VALUE"""),46008.61765046296)</f>
        <v>46008.61765</v>
      </c>
      <c r="D2866" s="211" t="str">
        <f>IFERROR(__xludf.DUMMYFUNCTION("""COMPUTED_VALUE"""),"7b9d8eba")</f>
        <v>7b9d8eba</v>
      </c>
      <c r="E2866" s="211" t="str">
        <f>IFERROR(__xludf.DUMMYFUNCTION("""COMPUTED_VALUE"""),"PT PELANGI INDOKARYA")</f>
        <v>PT PELANGI INDOKARYA</v>
      </c>
      <c r="F2866" s="211" t="str">
        <f>IFERROR(__xludf.DUMMYFUNCTION("""COMPUTED_VALUE"""),"8bdbe149")</f>
        <v>8bdbe149</v>
      </c>
      <c r="G2866" s="211" t="str">
        <f>IFERROR(__xludf.DUMMYFUNCTION("""COMPUTED_VALUE"""),"Oksigen 6m3")</f>
        <v>Oksigen 6m3</v>
      </c>
      <c r="H2866" s="211" t="str">
        <f>IFERROR(__xludf.DUMMYFUNCTION("""COMPUTED_VALUE"""),"OUT")</f>
        <v>OUT</v>
      </c>
      <c r="I2866" s="211" t="str">
        <f>IFERROR(__xludf.DUMMYFUNCTION("""COMPUTED_VALUE"""),"NORMAL")</f>
        <v>NORMAL</v>
      </c>
      <c r="J2866" s="211">
        <f>IFERROR(__xludf.DUMMYFUNCTION("""COMPUTED_VALUE"""),2.0)</f>
        <v>2</v>
      </c>
      <c r="K2866" s="210" t="str">
        <f>IFERROR(__xludf.DUMMYFUNCTION("""COMPUTED_VALUE"""),"11133 11237")</f>
        <v>11133 11237</v>
      </c>
      <c r="L2866" s="211">
        <f>IFERROR(__xludf.DUMMYFUNCTION("""COMPUTED_VALUE"""),60000.0)</f>
        <v>60000</v>
      </c>
      <c r="M2866" s="211"/>
      <c r="N2866" s="211"/>
      <c r="O2866" s="211"/>
      <c r="Q2866" s="210" t="str">
        <f>IFERROR(__xludf.DUMMYFUNCTION("""COMPUTED_VALUE"""),"1261415")</f>
        <v>1261415</v>
      </c>
      <c r="R2866" s="210" t="str">
        <f>IFERROR(__xludf.DUMMYFUNCTION("""COMPUTED_VALUE"""),"1261415")</f>
        <v>1261415</v>
      </c>
      <c r="S2866" s="211" t="str">
        <f>IFERROR(__xludf.DUMMYFUNCTION("""COMPUTED_VALUE"""),"9828dfc5")</f>
        <v>9828dfc5</v>
      </c>
      <c r="T2866" s="211" t="str">
        <f>IFERROR(__xludf.DUMMYFUNCTION("""COMPUTED_VALUE"""),"Bpk. David")</f>
        <v>Bpk. David</v>
      </c>
      <c r="U2866" s="215">
        <f>IFERROR(__xludf.DUMMYFUNCTION("""COMPUTED_VALUE"""),46095.61451388889)</f>
        <v>46095.61451</v>
      </c>
      <c r="V2866" s="211" t="str">
        <f>IFERROR(__xludf.DUMMYFUNCTION("""COMPUTED_VALUE"""),"GHF3+R34, Jl. Kartini, Ngingas, Ngimbangan, Kec. Mojosari, Kabupaten Mojokerto, Jawa Timur 61382")</f>
        <v>GHF3+R34, Jl. Kartini, Ngingas, Ngimbangan, Kec. Mojosari, Kabupaten Mojokerto, Jawa Timur 61382</v>
      </c>
      <c r="W2866" s="211" t="str">
        <f>IFERROR(__xludf.DUMMYFUNCTION("""COMPUTED_VALUE"""),"IN")</f>
        <v>IN</v>
      </c>
      <c r="X2866" s="211"/>
    </row>
    <row r="2867">
      <c r="A2867" s="210" t="str">
        <f>IFERROR(__xludf.DUMMYFUNCTION("""COMPUTED_VALUE"""),"1225242006")</f>
        <v>1225242006</v>
      </c>
      <c r="B2867" s="210" t="str">
        <f>IFERROR(__xludf.DUMMYFUNCTION("""COMPUTED_VALUE"""),"1225242006")</f>
        <v>1225242006</v>
      </c>
      <c r="C2867" s="213">
        <f>IFERROR(__xludf.DUMMYFUNCTION("""COMPUTED_VALUE"""),46008.61765046296)</f>
        <v>46008.61765</v>
      </c>
      <c r="D2867" s="211" t="str">
        <f>IFERROR(__xludf.DUMMYFUNCTION("""COMPUTED_VALUE"""),"7b9d8eba")</f>
        <v>7b9d8eba</v>
      </c>
      <c r="E2867" s="211" t="str">
        <f>IFERROR(__xludf.DUMMYFUNCTION("""COMPUTED_VALUE"""),"PT PELANGI INDOKARYA")</f>
        <v>PT PELANGI INDOKARYA</v>
      </c>
      <c r="F2867" s="211" t="str">
        <f>IFERROR(__xludf.DUMMYFUNCTION("""COMPUTED_VALUE"""),"ef306e54")</f>
        <v>ef306e54</v>
      </c>
      <c r="G2867" s="211" t="str">
        <f>IFERROR(__xludf.DUMMYFUNCTION("""COMPUTED_VALUE"""),"Karbondioksida")</f>
        <v>Karbondioksida</v>
      </c>
      <c r="H2867" s="211" t="str">
        <f>IFERROR(__xludf.DUMMYFUNCTION("""COMPUTED_VALUE"""),"OUT")</f>
        <v>OUT</v>
      </c>
      <c r="I2867" s="211" t="str">
        <f>IFERROR(__xludf.DUMMYFUNCTION("""COMPUTED_VALUE"""),"NORMAL")</f>
        <v>NORMAL</v>
      </c>
      <c r="J2867" s="211">
        <f>IFERROR(__xludf.DUMMYFUNCTION("""COMPUTED_VALUE"""),2.0)</f>
        <v>2</v>
      </c>
      <c r="K2867" s="210" t="str">
        <f>IFERROR(__xludf.DUMMYFUNCTION("""COMPUTED_VALUE"""),"13034 13039")</f>
        <v>13034 13039</v>
      </c>
      <c r="L2867" s="211">
        <f>IFERROR(__xludf.DUMMYFUNCTION("""COMPUTED_VALUE"""),190000.0)</f>
        <v>190000</v>
      </c>
      <c r="M2867" s="211"/>
      <c r="N2867" s="211"/>
      <c r="O2867" s="211"/>
      <c r="Q2867" s="210" t="str">
        <f>IFERROR(__xludf.DUMMYFUNCTION("""COMPUTED_VALUE"""),"1261416")</f>
        <v>1261416</v>
      </c>
      <c r="R2867" s="210" t="str">
        <f>IFERROR(__xludf.DUMMYFUNCTION("""COMPUTED_VALUE"""),"1261416")</f>
        <v>1261416</v>
      </c>
      <c r="S2867" s="211" t="str">
        <f>IFERROR(__xludf.DUMMYFUNCTION("""COMPUTED_VALUE"""),"b2b5f2c5")</f>
        <v>b2b5f2c5</v>
      </c>
      <c r="T2867" s="211" t="str">
        <f>IFERROR(__xludf.DUMMYFUNCTION("""COMPUTED_VALUE"""),"Bengkel Las Bpk. Ari")</f>
        <v>Bengkel Las Bpk. Ari</v>
      </c>
      <c r="U2867" s="215">
        <f>IFERROR(__xludf.DUMMYFUNCTION("""COMPUTED_VALUE"""),46095.61503472222)</f>
        <v>46095.61503</v>
      </c>
      <c r="V2867" s="211" t="str">
        <f>IFERROR(__xludf.DUMMYFUNCTION("""COMPUTED_VALUE"""),"Sumber Kembar, Wonodadi, Kec. Kutorejo, Kabupaten Mojokerto, Jawa Timur")</f>
        <v>Sumber Kembar, Wonodadi, Kec. Kutorejo, Kabupaten Mojokerto, Jawa Timur</v>
      </c>
      <c r="W2867" s="211" t="str">
        <f>IFERROR(__xludf.DUMMYFUNCTION("""COMPUTED_VALUE"""),"IN")</f>
        <v>IN</v>
      </c>
      <c r="X2867" s="211"/>
    </row>
    <row r="2868">
      <c r="A2868" s="210" t="str">
        <f>IFERROR(__xludf.DUMMYFUNCTION("""COMPUTED_VALUE"""),"1250953")</f>
        <v>1250953</v>
      </c>
      <c r="B2868" s="210" t="str">
        <f>IFERROR(__xludf.DUMMYFUNCTION("""COMPUTED_VALUE"""),"1250953")</f>
        <v>1250953</v>
      </c>
      <c r="C2868" s="213">
        <f>IFERROR(__xludf.DUMMYFUNCTION("""COMPUTED_VALUE"""),46008.62008101852)</f>
        <v>46008.62008</v>
      </c>
      <c r="D2868" s="211" t="str">
        <f>IFERROR(__xludf.DUMMYFUNCTION("""COMPUTED_VALUE"""),"785e0e07")</f>
        <v>785e0e07</v>
      </c>
      <c r="E2868" s="211" t="str">
        <f>IFERROR(__xludf.DUMMYFUNCTION("""COMPUTED_VALUE"""),"Bpk. Sukirno (Bejo)")</f>
        <v>Bpk. Sukirno (Bejo)</v>
      </c>
      <c r="F2868" s="211" t="str">
        <f>IFERROR(__xludf.DUMMYFUNCTION("""COMPUTED_VALUE"""),"8bdbe149")</f>
        <v>8bdbe149</v>
      </c>
      <c r="G2868" s="211" t="str">
        <f>IFERROR(__xludf.DUMMYFUNCTION("""COMPUTED_VALUE"""),"Oksigen 6m3")</f>
        <v>Oksigen 6m3</v>
      </c>
      <c r="H2868" s="211" t="str">
        <f>IFERROR(__xludf.DUMMYFUNCTION("""COMPUTED_VALUE"""),"IN")</f>
        <v>IN</v>
      </c>
      <c r="I2868" s="211" t="str">
        <f>IFERROR(__xludf.DUMMYFUNCTION("""COMPUTED_VALUE"""),"EMPTY")</f>
        <v>EMPTY</v>
      </c>
      <c r="J2868" s="211">
        <f>IFERROR(__xludf.DUMMYFUNCTION("""COMPUTED_VALUE"""),5.0)</f>
        <v>5</v>
      </c>
      <c r="K2868" s="210" t="str">
        <f>IFERROR(__xludf.DUMMYFUNCTION("""COMPUTED_VALUE"""),"11111 1135 1194 1188 11103")</f>
        <v>11111 1135 1194 1188 11103</v>
      </c>
      <c r="L2868" s="211">
        <f>IFERROR(__xludf.DUMMYFUNCTION("""COMPUTED_VALUE"""),0.0)</f>
        <v>0</v>
      </c>
      <c r="M2868" s="211"/>
      <c r="N2868" s="211"/>
      <c r="O2868" s="211"/>
      <c r="Q2868" s="210" t="str">
        <f>IFERROR(__xludf.DUMMYFUNCTION("""COMPUTED_VALUE"""),"0326942866")</f>
        <v>0326942866</v>
      </c>
      <c r="R2868" s="210" t="str">
        <f>IFERROR(__xludf.DUMMYFUNCTION("""COMPUTED_VALUE"""),"0326942866")</f>
        <v>0326942866</v>
      </c>
      <c r="S2868" s="211" t="str">
        <f>IFERROR(__xludf.DUMMYFUNCTION("""COMPUTED_VALUE"""),"b2b5f2c5")</f>
        <v>b2b5f2c5</v>
      </c>
      <c r="T2868" s="211" t="str">
        <f>IFERROR(__xludf.DUMMYFUNCTION("""COMPUTED_VALUE"""),"Bengkel Las Bpk. Ari")</f>
        <v>Bengkel Las Bpk. Ari</v>
      </c>
      <c r="U2868" s="215">
        <f>IFERROR(__xludf.DUMMYFUNCTION("""COMPUTED_VALUE"""),46097.36738425926)</f>
        <v>46097.36738</v>
      </c>
      <c r="V2868" s="211" t="str">
        <f>IFERROR(__xludf.DUMMYFUNCTION("""COMPUTED_VALUE"""),"Sumber Kembar, Wonodadi, Kec. Kutorejo, Kabupaten Mojokerto, Jawa Timur")</f>
        <v>Sumber Kembar, Wonodadi, Kec. Kutorejo, Kabupaten Mojokerto, Jawa Timur</v>
      </c>
      <c r="W2868" s="211" t="str">
        <f>IFERROR(__xludf.DUMMYFUNCTION("""COMPUTED_VALUE"""),"OUT")</f>
        <v>OUT</v>
      </c>
      <c r="X2868" s="211"/>
    </row>
    <row r="2869">
      <c r="A2869" s="210" t="str">
        <f>IFERROR(__xludf.DUMMYFUNCTION("""COMPUTED_VALUE"""),"1250963")</f>
        <v>1250963</v>
      </c>
      <c r="B2869" s="210" t="str">
        <f>IFERROR(__xludf.DUMMYFUNCTION("""COMPUTED_VALUE"""),"1250963")</f>
        <v>1250963</v>
      </c>
      <c r="C2869" s="213">
        <f>IFERROR(__xludf.DUMMYFUNCTION("""COMPUTED_VALUE"""),46008.459710648145)</f>
        <v>46008.45971</v>
      </c>
      <c r="D2869" s="211" t="str">
        <f>IFERROR(__xludf.DUMMYFUNCTION("""COMPUTED_VALUE"""),"3b04351a")</f>
        <v>3b04351a</v>
      </c>
      <c r="E2869" s="211" t="str">
        <f>IFERROR(__xludf.DUMMYFUNCTION("""COMPUTED_VALUE"""),"CV Usaha Logam Jaya")</f>
        <v>CV Usaha Logam Jaya</v>
      </c>
      <c r="F2869" s="211" t="str">
        <f>IFERROR(__xludf.DUMMYFUNCTION("""COMPUTED_VALUE"""),"7d2764f1")</f>
        <v>7d2764f1</v>
      </c>
      <c r="G2869" s="211" t="str">
        <f>IFERROR(__xludf.DUMMYFUNCTION("""COMPUTED_VALUE"""),"Oksigen 7m3")</f>
        <v>Oksigen 7m3</v>
      </c>
      <c r="H2869" s="211" t="str">
        <f>IFERROR(__xludf.DUMMYFUNCTION("""COMPUTED_VALUE"""),"IN")</f>
        <v>IN</v>
      </c>
      <c r="I2869" s="211" t="str">
        <f>IFERROR(__xludf.DUMMYFUNCTION("""COMPUTED_VALUE"""),"EMPTY")</f>
        <v>EMPTY</v>
      </c>
      <c r="J2869" s="211">
        <f>IFERROR(__xludf.DUMMYFUNCTION("""COMPUTED_VALUE"""),5.0)</f>
        <v>5</v>
      </c>
      <c r="K2869" s="210" t="str">
        <f>IFERROR(__xludf.DUMMYFUNCTION("""COMPUTED_VALUE"""),"11147 11150 11168 11217 11229")</f>
        <v>11147 11150 11168 11217 11229</v>
      </c>
      <c r="L2869" s="211">
        <f>IFERROR(__xludf.DUMMYFUNCTION("""COMPUTED_VALUE"""),0.0)</f>
        <v>0</v>
      </c>
      <c r="M2869" s="211"/>
      <c r="N2869" s="211"/>
      <c r="O2869" s="211"/>
      <c r="Q2869" s="210" t="str">
        <f>IFERROR(__xludf.DUMMYFUNCTION("""COMPUTED_VALUE"""),"1261418")</f>
        <v>1261418</v>
      </c>
      <c r="R2869" s="210" t="str">
        <f>IFERROR(__xludf.DUMMYFUNCTION("""COMPUTED_VALUE"""),"1261418")</f>
        <v>1261418</v>
      </c>
      <c r="S2869" s="211" t="str">
        <f>IFERROR(__xludf.DUMMYFUNCTION("""COMPUTED_VALUE"""),"b0735da4")</f>
        <v>b0735da4</v>
      </c>
      <c r="T2869" s="211" t="str">
        <f>IFERROR(__xludf.DUMMYFUNCTION("""COMPUTED_VALUE"""),"Bpk. Amer Ciro")</f>
        <v>Bpk. Amer Ciro</v>
      </c>
      <c r="U2869" s="215">
        <f>IFERROR(__xludf.DUMMYFUNCTION("""COMPUTED_VALUE"""),46097.59061342593)</f>
        <v>46097.59061</v>
      </c>
      <c r="V2869" s="211" t="str">
        <f>IFERROR(__xludf.DUMMYFUNCTION("""COMPUTED_VALUE"""),"HFJR+FV8 Bakungtemenggungan, Kabupaten Sidoarjo, Jawa Timur")</f>
        <v>HFJR+FV8 Bakungtemenggungan, Kabupaten Sidoarjo, Jawa Timur</v>
      </c>
      <c r="W2869" s="211" t="str">
        <f>IFERROR(__xludf.DUMMYFUNCTION("""COMPUTED_VALUE"""),"IN")</f>
        <v>IN</v>
      </c>
      <c r="X2869" s="211"/>
    </row>
    <row r="2870">
      <c r="A2870" s="210" t="str">
        <f>IFERROR(__xludf.DUMMYFUNCTION("""COMPUTED_VALUE"""),"1250963")</f>
        <v>1250963</v>
      </c>
      <c r="B2870" s="210" t="str">
        <f>IFERROR(__xludf.DUMMYFUNCTION("""COMPUTED_VALUE"""),"1250963")</f>
        <v>1250963</v>
      </c>
      <c r="C2870" s="213">
        <f>IFERROR(__xludf.DUMMYFUNCTION("""COMPUTED_VALUE"""),46008.459710648145)</f>
        <v>46008.45971</v>
      </c>
      <c r="D2870" s="211" t="str">
        <f>IFERROR(__xludf.DUMMYFUNCTION("""COMPUTED_VALUE"""),"3b04351a")</f>
        <v>3b04351a</v>
      </c>
      <c r="E2870" s="211" t="str">
        <f>IFERROR(__xludf.DUMMYFUNCTION("""COMPUTED_VALUE"""),"CV Usaha Logam Jaya")</f>
        <v>CV Usaha Logam Jaya</v>
      </c>
      <c r="F2870" s="211" t="str">
        <f>IFERROR(__xludf.DUMMYFUNCTION("""COMPUTED_VALUE"""),"8bdbe149")</f>
        <v>8bdbe149</v>
      </c>
      <c r="G2870" s="211" t="str">
        <f>IFERROR(__xludf.DUMMYFUNCTION("""COMPUTED_VALUE"""),"Oksigen 6m3")</f>
        <v>Oksigen 6m3</v>
      </c>
      <c r="H2870" s="211" t="str">
        <f>IFERROR(__xludf.DUMMYFUNCTION("""COMPUTED_VALUE"""),"IN")</f>
        <v>IN</v>
      </c>
      <c r="I2870" s="211" t="str">
        <f>IFERROR(__xludf.DUMMYFUNCTION("""COMPUTED_VALUE"""),"EMPTY")</f>
        <v>EMPTY</v>
      </c>
      <c r="J2870" s="211">
        <f>IFERROR(__xludf.DUMMYFUNCTION("""COMPUTED_VALUE"""),6.0)</f>
        <v>6</v>
      </c>
      <c r="K2870" s="210" t="str">
        <f>IFERROR(__xludf.DUMMYFUNCTION("""COMPUTED_VALUE"""),"11181 1158 1141 11133 11237 1166")</f>
        <v>11181 1158 1141 11133 11237 1166</v>
      </c>
      <c r="L2870" s="211">
        <f>IFERROR(__xludf.DUMMYFUNCTION("""COMPUTED_VALUE"""),0.0)</f>
        <v>0</v>
      </c>
      <c r="M2870" s="211"/>
      <c r="N2870" s="211"/>
      <c r="O2870" s="211"/>
      <c r="Q2870" s="210" t="str">
        <f>IFERROR(__xludf.DUMMYFUNCTION("""COMPUTED_VALUE"""),"1261419")</f>
        <v>1261419</v>
      </c>
      <c r="R2870" s="210" t="str">
        <f>IFERROR(__xludf.DUMMYFUNCTION("""COMPUTED_VALUE"""),"1261419")</f>
        <v>1261419</v>
      </c>
      <c r="S2870" s="211" t="str">
        <f>IFERROR(__xludf.DUMMYFUNCTION("""COMPUTED_VALUE"""),"63fc688a")</f>
        <v>63fc688a</v>
      </c>
      <c r="T2870" s="211" t="str">
        <f>IFERROR(__xludf.DUMMYFUNCTION("""COMPUTED_VALUE"""),"CV Malik Nusantara")</f>
        <v>CV Malik Nusantara</v>
      </c>
      <c r="U2870" s="215">
        <f>IFERROR(__xludf.DUMMYFUNCTION("""COMPUTED_VALUE"""),46097.591261574074)</f>
        <v>46097.59126</v>
      </c>
      <c r="V2870" s="211" t="str">
        <f>IFERROR(__xludf.DUMMYFUNCTION("""COMPUTED_VALUE"""),"Jl. Raya Balongbendo No.12, Suwaluh Utara, Suwaluh, Kec. BalongBendo, Kabupaten Sidoarjo, Jawa Timur 61263")</f>
        <v>Jl. Raya Balongbendo No.12, Suwaluh Utara, Suwaluh, Kec. BalongBendo, Kabupaten Sidoarjo, Jawa Timur 61263</v>
      </c>
      <c r="W2870" s="211" t="str">
        <f>IFERROR(__xludf.DUMMYFUNCTION("""COMPUTED_VALUE"""),"IN")</f>
        <v>IN</v>
      </c>
      <c r="X2870" s="211"/>
    </row>
    <row r="2871">
      <c r="A2871" s="210" t="str">
        <f>IFERROR(__xludf.DUMMYFUNCTION("""COMPUTED_VALUE"""),"122532012")</f>
        <v>122532012</v>
      </c>
      <c r="B2871" s="210" t="str">
        <f>IFERROR(__xludf.DUMMYFUNCTION("""COMPUTED_VALUE"""),"122532012")</f>
        <v>122532012</v>
      </c>
      <c r="C2871" s="213">
        <f>IFERROR(__xludf.DUMMYFUNCTION("""COMPUTED_VALUE"""),46008.68491898148)</f>
        <v>46008.68492</v>
      </c>
      <c r="D2871" s="211" t="str">
        <f>IFERROR(__xludf.DUMMYFUNCTION("""COMPUTED_VALUE"""),"9b941888")</f>
        <v>9b941888</v>
      </c>
      <c r="E2871" s="211" t="str">
        <f>IFERROR(__xludf.DUMMYFUNCTION("""COMPUTED_VALUE"""),"Mas Devi ( Parengan )")</f>
        <v>Mas Devi ( Parengan )</v>
      </c>
      <c r="F2871" s="211" t="str">
        <f>IFERROR(__xludf.DUMMYFUNCTION("""COMPUTED_VALUE"""),"7d2764f1")</f>
        <v>7d2764f1</v>
      </c>
      <c r="G2871" s="211" t="str">
        <f>IFERROR(__xludf.DUMMYFUNCTION("""COMPUTED_VALUE"""),"Oksigen 7m3")</f>
        <v>Oksigen 7m3</v>
      </c>
      <c r="H2871" s="211" t="str">
        <f>IFERROR(__xludf.DUMMYFUNCTION("""COMPUTED_VALUE"""),"OUT")</f>
        <v>OUT</v>
      </c>
      <c r="I2871" s="211" t="str">
        <f>IFERROR(__xludf.DUMMYFUNCTION("""COMPUTED_VALUE"""),"NORMAL")</f>
        <v>NORMAL</v>
      </c>
      <c r="J2871" s="211">
        <f>IFERROR(__xludf.DUMMYFUNCTION("""COMPUTED_VALUE"""),1.0)</f>
        <v>1</v>
      </c>
      <c r="K2871" s="210" t="str">
        <f>IFERROR(__xludf.DUMMYFUNCTION("""COMPUTED_VALUE"""),"76")</f>
        <v>76</v>
      </c>
      <c r="L2871" s="211">
        <f>IFERROR(__xludf.DUMMYFUNCTION("""COMPUTED_VALUE"""),80000.0)</f>
        <v>80000</v>
      </c>
      <c r="M2871" s="211"/>
      <c r="N2871" s="211"/>
      <c r="O2871" s="211"/>
      <c r="Q2871" s="210" t="str">
        <f>IFERROR(__xludf.DUMMYFUNCTION("""COMPUTED_VALUE"""),"1261420")</f>
        <v>1261420</v>
      </c>
      <c r="R2871" s="210" t="str">
        <f>IFERROR(__xludf.DUMMYFUNCTION("""COMPUTED_VALUE"""),"1261420")</f>
        <v>1261420</v>
      </c>
      <c r="S2871" s="211" t="str">
        <f>IFERROR(__xludf.DUMMYFUNCTION("""COMPUTED_VALUE"""),"98c84274")</f>
        <v>98c84274</v>
      </c>
      <c r="T2871" s="211" t="str">
        <f>IFERROR(__xludf.DUMMYFUNCTION("""COMPUTED_VALUE"""),"Bengkel SBM (Pak Hari)")</f>
        <v>Bengkel SBM (Pak Hari)</v>
      </c>
      <c r="U2871" s="215">
        <f>IFERROR(__xludf.DUMMYFUNCTION("""COMPUTED_VALUE"""),46097.59332175926)</f>
        <v>46097.59332</v>
      </c>
      <c r="V2871"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871" s="211" t="str">
        <f>IFERROR(__xludf.DUMMYFUNCTION("""COMPUTED_VALUE"""),"IN")</f>
        <v>IN</v>
      </c>
      <c r="X2871" s="211"/>
    </row>
    <row r="2872">
      <c r="A2872" s="210" t="str">
        <f>IFERROR(__xludf.DUMMYFUNCTION("""COMPUTED_VALUE"""),"1225342015")</f>
        <v>1225342015</v>
      </c>
      <c r="B2872" s="210" t="str">
        <f>IFERROR(__xludf.DUMMYFUNCTION("""COMPUTED_VALUE"""),"1225342015")</f>
        <v>1225342015</v>
      </c>
      <c r="C2872" s="213">
        <f>IFERROR(__xludf.DUMMYFUNCTION("""COMPUTED_VALUE"""),46009.34375)</f>
        <v>46009.34375</v>
      </c>
      <c r="D2872" s="211" t="str">
        <f>IFERROR(__xludf.DUMMYFUNCTION("""COMPUTED_VALUE"""),"ce83e171")</f>
        <v>ce83e171</v>
      </c>
      <c r="E2872" s="211" t="str">
        <f>IFERROR(__xludf.DUMMYFUNCTION("""COMPUTED_VALUE"""),"Bpk. Sulaiman")</f>
        <v>Bpk. Sulaiman</v>
      </c>
      <c r="F2872" s="211" t="str">
        <f>IFERROR(__xludf.DUMMYFUNCTION("""COMPUTED_VALUE"""),"f6aab7a9")</f>
        <v>f6aab7a9</v>
      </c>
      <c r="G2872" s="211" t="str">
        <f>IFERROR(__xludf.DUMMYFUNCTION("""COMPUTED_VALUE"""),"Oksigen 6m3 MR")</f>
        <v>Oksigen 6m3 MR</v>
      </c>
      <c r="H2872" s="211" t="str">
        <f>IFERROR(__xludf.DUMMYFUNCTION("""COMPUTED_VALUE"""),"OUT")</f>
        <v>OUT</v>
      </c>
      <c r="I2872" s="211" t="str">
        <f>IFERROR(__xludf.DUMMYFUNCTION("""COMPUTED_VALUE"""),"NORMAL")</f>
        <v>NORMAL</v>
      </c>
      <c r="J2872" s="211">
        <f>IFERROR(__xludf.DUMMYFUNCTION("""COMPUTED_VALUE"""),5.0)</f>
        <v>5</v>
      </c>
      <c r="K2872" s="210" t="str">
        <f>IFERROR(__xludf.DUMMYFUNCTION("""COMPUTED_VALUE"""),"76 75 77 78 79")</f>
        <v>76 75 77 78 79</v>
      </c>
      <c r="L2872" s="211">
        <f>IFERROR(__xludf.DUMMYFUNCTION("""COMPUTED_VALUE"""),55000.0)</f>
        <v>55000</v>
      </c>
      <c r="M2872" s="211"/>
      <c r="N2872" s="211"/>
      <c r="O2872" s="211"/>
      <c r="Q2872" s="210" t="str">
        <f>IFERROR(__xludf.DUMMYFUNCTION("""COMPUTED_VALUE"""),"1261417")</f>
        <v>1261417</v>
      </c>
      <c r="R2872" s="210" t="str">
        <f>IFERROR(__xludf.DUMMYFUNCTION("""COMPUTED_VALUE"""),"1261417")</f>
        <v>1261417</v>
      </c>
      <c r="S2872" s="211" t="str">
        <f>IFERROR(__xludf.DUMMYFUNCTION("""COMPUTED_VALUE"""),"dcdf8b31")</f>
        <v>dcdf8b31</v>
      </c>
      <c r="T2872" s="211" t="str">
        <f>IFERROR(__xludf.DUMMYFUNCTION("""COMPUTED_VALUE"""),"Bpk. Samsul (Jetis)")</f>
        <v>Bpk. Samsul (Jetis)</v>
      </c>
      <c r="U2872" s="215">
        <f>IFERROR(__xludf.DUMMYFUNCTION("""COMPUTED_VALUE"""),46097.59369212963)</f>
        <v>46097.59369</v>
      </c>
      <c r="V2872" s="211" t="str">
        <f>IFERROR(__xludf.DUMMYFUNCTION("""COMPUTED_VALUE"""),"HFWF+9FG, Sido Wangi, Paringan, Kec. Jetis, Kabupaten Mojokerto, Jawa Timur")</f>
        <v>HFWF+9FG, Sido Wangi, Paringan, Kec. Jetis, Kabupaten Mojokerto, Jawa Timur</v>
      </c>
      <c r="W2872" s="211" t="str">
        <f>IFERROR(__xludf.DUMMYFUNCTION("""COMPUTED_VALUE"""),"IN")</f>
        <v>IN</v>
      </c>
      <c r="X2872" s="211"/>
    </row>
    <row r="2873">
      <c r="A2873" s="210" t="str">
        <f>IFERROR(__xludf.DUMMYFUNCTION("""COMPUTED_VALUE"""),"1225342015")</f>
        <v>1225342015</v>
      </c>
      <c r="B2873" s="210" t="str">
        <f>IFERROR(__xludf.DUMMYFUNCTION("""COMPUTED_VALUE"""),"1225342015")</f>
        <v>1225342015</v>
      </c>
      <c r="C2873" s="213">
        <f>IFERROR(__xludf.DUMMYFUNCTION("""COMPUTED_VALUE"""),46009.34375)</f>
        <v>46009.34375</v>
      </c>
      <c r="D2873" s="211" t="str">
        <f>IFERROR(__xludf.DUMMYFUNCTION("""COMPUTED_VALUE"""),"ce83e171")</f>
        <v>ce83e171</v>
      </c>
      <c r="E2873" s="211" t="str">
        <f>IFERROR(__xludf.DUMMYFUNCTION("""COMPUTED_VALUE"""),"Bpk. Sulaiman")</f>
        <v>Bpk. Sulaiman</v>
      </c>
      <c r="F2873" s="211" t="str">
        <f>IFERROR(__xludf.DUMMYFUNCTION("""COMPUTED_VALUE"""),"06f37aa7")</f>
        <v>06f37aa7</v>
      </c>
      <c r="G2873" s="211" t="str">
        <f>IFERROR(__xludf.DUMMYFUNCTION("""COMPUTED_VALUE"""),"Maintenance Serv")</f>
        <v>Maintenance Serv</v>
      </c>
      <c r="H2873" s="211" t="str">
        <f>IFERROR(__xludf.DUMMYFUNCTION("""COMPUTED_VALUE"""),"OUT")</f>
        <v>OUT</v>
      </c>
      <c r="I2873" s="211" t="str">
        <f>IFERROR(__xludf.DUMMYFUNCTION("""COMPUTED_VALUE"""),"NORMAL")</f>
        <v>NORMAL</v>
      </c>
      <c r="J2873" s="211">
        <f>IFERROR(__xludf.DUMMYFUNCTION("""COMPUTED_VALUE"""),3.0)</f>
        <v>3</v>
      </c>
      <c r="K2873" s="211"/>
      <c r="L2873" s="211">
        <f>IFERROR(__xludf.DUMMYFUNCTION("""COMPUTED_VALUE"""),30000.0)</f>
        <v>30000</v>
      </c>
      <c r="M2873" s="211"/>
      <c r="N2873" s="211"/>
      <c r="O2873" s="211"/>
      <c r="Q2873" s="210" t="str">
        <f>IFERROR(__xludf.DUMMYFUNCTION("""COMPUTED_VALUE"""),"1261431")</f>
        <v>1261431</v>
      </c>
      <c r="R2873" s="210" t="str">
        <f>IFERROR(__xludf.DUMMYFUNCTION("""COMPUTED_VALUE"""),"1261431")</f>
        <v>1261431</v>
      </c>
      <c r="S2873" s="211" t="str">
        <f>IFERROR(__xludf.DUMMYFUNCTION("""COMPUTED_VALUE"""),"b2b5f2c5")</f>
        <v>b2b5f2c5</v>
      </c>
      <c r="T2873" s="211" t="str">
        <f>IFERROR(__xludf.DUMMYFUNCTION("""COMPUTED_VALUE"""),"Bengkel Las Bpk. Ari")</f>
        <v>Bengkel Las Bpk. Ari</v>
      </c>
      <c r="U2873" s="215">
        <f>IFERROR(__xludf.DUMMYFUNCTION("""COMPUTED_VALUE"""),46097.62126157407)</f>
        <v>46097.62126</v>
      </c>
      <c r="V2873" s="211" t="str">
        <f>IFERROR(__xludf.DUMMYFUNCTION("""COMPUTED_VALUE"""),"Sumber Kembar, Wonodadi, Kec. Kutorejo, Kabupaten Mojokerto, Jawa Timur")</f>
        <v>Sumber Kembar, Wonodadi, Kec. Kutorejo, Kabupaten Mojokerto, Jawa Timur</v>
      </c>
      <c r="W2873" s="211" t="str">
        <f>IFERROR(__xludf.DUMMYFUNCTION("""COMPUTED_VALUE"""),"IN")</f>
        <v>IN</v>
      </c>
      <c r="X2873" s="211"/>
    </row>
    <row r="2874">
      <c r="A2874" s="210" t="str">
        <f>IFERROR(__xludf.DUMMYFUNCTION("""COMPUTED_VALUE"""),"1225342015")</f>
        <v>1225342015</v>
      </c>
      <c r="B2874" s="210" t="str">
        <f>IFERROR(__xludf.DUMMYFUNCTION("""COMPUTED_VALUE"""),"1225342015")</f>
        <v>1225342015</v>
      </c>
      <c r="C2874" s="213">
        <f>IFERROR(__xludf.DUMMYFUNCTION("""COMPUTED_VALUE"""),46009.34375)</f>
        <v>46009.34375</v>
      </c>
      <c r="D2874" s="211" t="str">
        <f>IFERROR(__xludf.DUMMYFUNCTION("""COMPUTED_VALUE"""),"ce83e171")</f>
        <v>ce83e171</v>
      </c>
      <c r="E2874" s="211" t="str">
        <f>IFERROR(__xludf.DUMMYFUNCTION("""COMPUTED_VALUE"""),"Bpk. Sulaiman")</f>
        <v>Bpk. Sulaiman</v>
      </c>
      <c r="F2874" s="211" t="str">
        <f>IFERROR(__xludf.DUMMYFUNCTION("""COMPUTED_VALUE"""),"374a168f")</f>
        <v>374a168f</v>
      </c>
      <c r="G2874" s="211" t="str">
        <f>IFERROR(__xludf.DUMMYFUNCTION("""COMPUTED_VALUE"""),"Pen (SOK)")</f>
        <v>Pen (SOK)</v>
      </c>
      <c r="H2874" s="211" t="str">
        <f>IFERROR(__xludf.DUMMYFUNCTION("""COMPUTED_VALUE"""),"OUT")</f>
        <v>OUT</v>
      </c>
      <c r="I2874" s="211" t="str">
        <f>IFERROR(__xludf.DUMMYFUNCTION("""COMPUTED_VALUE"""),"NORMAL")</f>
        <v>NORMAL</v>
      </c>
      <c r="J2874" s="211">
        <f>IFERROR(__xludf.DUMMYFUNCTION("""COMPUTED_VALUE"""),1.0)</f>
        <v>1</v>
      </c>
      <c r="K2874" s="211"/>
      <c r="L2874" s="211">
        <f>IFERROR(__xludf.DUMMYFUNCTION("""COMPUTED_VALUE"""),20000.0)</f>
        <v>20000</v>
      </c>
      <c r="M2874" s="211"/>
      <c r="N2874" s="211"/>
      <c r="O2874" s="211"/>
      <c r="Q2874" s="210" t="str">
        <f>IFERROR(__xludf.DUMMYFUNCTION("""COMPUTED_VALUE"""),"1261410")</f>
        <v>1261410</v>
      </c>
      <c r="R2874" s="210" t="str">
        <f>IFERROR(__xludf.DUMMYFUNCTION("""COMPUTED_VALUE"""),"1261410")</f>
        <v>1261410</v>
      </c>
      <c r="S2874" s="211" t="str">
        <f>IFERROR(__xludf.DUMMYFUNCTION("""COMPUTED_VALUE"""),"b218b89b")</f>
        <v>b218b89b</v>
      </c>
      <c r="T2874" s="211" t="str">
        <f>IFERROR(__xludf.DUMMYFUNCTION("""COMPUTED_VALUE"""),"PT Harapan Sentosa")</f>
        <v>PT Harapan Sentosa</v>
      </c>
      <c r="U2874" s="215">
        <f>IFERROR(__xludf.DUMMYFUNCTION("""COMPUTED_VALUE"""),46097.622094907405)</f>
        <v>46097.62209</v>
      </c>
      <c r="V2874" s="211" t="str">
        <f>IFERROR(__xludf.DUMMYFUNCTION("""COMPUTED_VALUE"""),"Seketi, Jl. Purboyo II Selatan, RT.02/RW.02, Seketi, Kec. BalongBendo, Kabupaten Sidoarjo, Jawa Timur 61263")</f>
        <v>Seketi, Jl. Purboyo II Selatan, RT.02/RW.02, Seketi, Kec. BalongBendo, Kabupaten Sidoarjo, Jawa Timur 61263</v>
      </c>
      <c r="W2874" s="211" t="str">
        <f>IFERROR(__xludf.DUMMYFUNCTION("""COMPUTED_VALUE"""),"IN")</f>
        <v>IN</v>
      </c>
      <c r="X2874" s="211"/>
    </row>
    <row r="2875">
      <c r="A2875" s="210" t="str">
        <f>IFERROR(__xludf.DUMMYFUNCTION("""COMPUTED_VALUE"""),"1225342015")</f>
        <v>1225342015</v>
      </c>
      <c r="B2875" s="210" t="str">
        <f>IFERROR(__xludf.DUMMYFUNCTION("""COMPUTED_VALUE"""),"1225342015")</f>
        <v>1225342015</v>
      </c>
      <c r="C2875" s="213">
        <f>IFERROR(__xludf.DUMMYFUNCTION("""COMPUTED_VALUE"""),46009.34375)</f>
        <v>46009.34375</v>
      </c>
      <c r="D2875" s="211" t="str">
        <f>IFERROR(__xludf.DUMMYFUNCTION("""COMPUTED_VALUE"""),"ce83e171")</f>
        <v>ce83e171</v>
      </c>
      <c r="E2875" s="211" t="str">
        <f>IFERROR(__xludf.DUMMYFUNCTION("""COMPUTED_VALUE"""),"Bpk. Sulaiman")</f>
        <v>Bpk. Sulaiman</v>
      </c>
      <c r="F2875" s="211" t="str">
        <f>IFERROR(__xludf.DUMMYFUNCTION("""COMPUTED_VALUE"""),"efa42bb1")</f>
        <v>efa42bb1</v>
      </c>
      <c r="G2875" s="211" t="str">
        <f>IFERROR(__xludf.DUMMYFUNCTION("""COMPUTED_VALUE"""),"Headwheel Valve")</f>
        <v>Headwheel Valve</v>
      </c>
      <c r="H2875" s="211" t="str">
        <f>IFERROR(__xludf.DUMMYFUNCTION("""COMPUTED_VALUE"""),"OUT")</f>
        <v>OUT</v>
      </c>
      <c r="I2875" s="211" t="str">
        <f>IFERROR(__xludf.DUMMYFUNCTION("""COMPUTED_VALUE"""),"NORMAL")</f>
        <v>NORMAL</v>
      </c>
      <c r="J2875" s="211">
        <f>IFERROR(__xludf.DUMMYFUNCTION("""COMPUTED_VALUE"""),2.0)</f>
        <v>2</v>
      </c>
      <c r="K2875" s="211"/>
      <c r="L2875" s="211">
        <f>IFERROR(__xludf.DUMMYFUNCTION("""COMPUTED_VALUE"""),15000.0)</f>
        <v>15000</v>
      </c>
      <c r="M2875" s="211"/>
      <c r="N2875" s="211"/>
      <c r="O2875" s="211"/>
      <c r="Q2875" s="210" t="str">
        <f>IFERROR(__xludf.DUMMYFUNCTION("""COMPUTED_VALUE"""),"0326132869")</f>
        <v>0326132869</v>
      </c>
      <c r="R2875" s="210" t="str">
        <f>IFERROR(__xludf.DUMMYFUNCTION("""COMPUTED_VALUE"""),"0326132869")</f>
        <v>0326132869</v>
      </c>
      <c r="S2875" s="211" t="str">
        <f>IFERROR(__xludf.DUMMYFUNCTION("""COMPUTED_VALUE"""),"17a8e612")</f>
        <v>17a8e612</v>
      </c>
      <c r="T2875" s="211" t="str">
        <f>IFERROR(__xludf.DUMMYFUNCTION("""COMPUTED_VALUE"""),"Flashtech Machinery")</f>
        <v>Flashtech Machinery</v>
      </c>
      <c r="U2875" s="215">
        <f>IFERROR(__xludf.DUMMYFUNCTION("""COMPUTED_VALUE"""),46097.644780092596)</f>
        <v>46097.64478</v>
      </c>
      <c r="V2875" s="211" t="str">
        <f>IFERROR(__xludf.DUMMYFUNCTION("""COMPUTED_VALUE"""),"Pergudangan Point Center blok A no.4, Kemangsen")</f>
        <v>Pergudangan Point Center blok A no.4, Kemangsen</v>
      </c>
      <c r="W2875" s="211" t="str">
        <f>IFERROR(__xludf.DUMMYFUNCTION("""COMPUTED_VALUE"""),"OUT")</f>
        <v>OUT</v>
      </c>
      <c r="X2875" s="211"/>
    </row>
    <row r="2876">
      <c r="A2876" s="210" t="str">
        <f>IFERROR(__xludf.DUMMYFUNCTION("""COMPUTED_VALUE"""),"1225392016")</f>
        <v>1225392016</v>
      </c>
      <c r="B2876" s="210" t="str">
        <f>IFERROR(__xludf.DUMMYFUNCTION("""COMPUTED_VALUE"""),"1225392016")</f>
        <v>1225392016</v>
      </c>
      <c r="C2876" s="213">
        <f>IFERROR(__xludf.DUMMYFUNCTION("""COMPUTED_VALUE"""),46009.35177083333)</f>
        <v>46009.35177</v>
      </c>
      <c r="D2876" s="211" t="str">
        <f>IFERROR(__xludf.DUMMYFUNCTION("""COMPUTED_VALUE"""),"5f23ba17")</f>
        <v>5f23ba17</v>
      </c>
      <c r="E2876" s="211" t="str">
        <f>IFERROR(__xludf.DUMMYFUNCTION("""COMPUTED_VALUE"""),"Bpk. Joko (Gresik)")</f>
        <v>Bpk. Joko (Gresik)</v>
      </c>
      <c r="F2876" s="211" t="str">
        <f>IFERROR(__xludf.DUMMYFUNCTION("""COMPUTED_VALUE"""),"439cf836")</f>
        <v>439cf836</v>
      </c>
      <c r="G2876" s="211" t="str">
        <f>IFERROR(__xludf.DUMMYFUNCTION("""COMPUTED_VALUE"""),"Karbondioksida MR")</f>
        <v>Karbondioksida MR</v>
      </c>
      <c r="H2876" s="211" t="str">
        <f>IFERROR(__xludf.DUMMYFUNCTION("""COMPUTED_VALUE"""),"OUT")</f>
        <v>OUT</v>
      </c>
      <c r="I2876" s="211" t="str">
        <f>IFERROR(__xludf.DUMMYFUNCTION("""COMPUTED_VALUE"""),"NORMAL")</f>
        <v>NORMAL</v>
      </c>
      <c r="J2876" s="211">
        <f>IFERROR(__xludf.DUMMYFUNCTION("""COMPUTED_VALUE"""),1.0)</f>
        <v>1</v>
      </c>
      <c r="K2876" s="210" t="str">
        <f>IFERROR(__xludf.DUMMYFUNCTION("""COMPUTED_VALUE"""),"01")</f>
        <v>01</v>
      </c>
      <c r="L2876" s="211">
        <f>IFERROR(__xludf.DUMMYFUNCTION("""COMPUTED_VALUE"""),160000.0)</f>
        <v>160000</v>
      </c>
      <c r="M2876" s="211"/>
      <c r="N2876" s="211"/>
      <c r="O2876" s="211"/>
      <c r="Q2876" s="210" t="str">
        <f>IFERROR(__xludf.DUMMYFUNCTION("""COMPUTED_VALUE"""),"1261422")</f>
        <v>1261422</v>
      </c>
      <c r="R2876" s="210" t="str">
        <f>IFERROR(__xludf.DUMMYFUNCTION("""COMPUTED_VALUE"""),"1261422")</f>
        <v>1261422</v>
      </c>
      <c r="S2876" s="211" t="str">
        <f>IFERROR(__xludf.DUMMYFUNCTION("""COMPUTED_VALUE"""),"58b72e0c")</f>
        <v>58b72e0c</v>
      </c>
      <c r="T2876" s="211" t="str">
        <f>IFERROR(__xludf.DUMMYFUNCTION("""COMPUTED_VALUE"""),"UD. Ais Jaya")</f>
        <v>UD. Ais Jaya</v>
      </c>
      <c r="U2876" s="215">
        <f>IFERROR(__xludf.DUMMYFUNCTION("""COMPUTED_VALUE"""),46097.66392361111)</f>
        <v>46097.66392</v>
      </c>
      <c r="V2876" s="211" t="str">
        <f>IFERROR(__xludf.DUMMYFUNCTION("""COMPUTED_VALUE"""),"Jl. Bypass Krian, Kraton, Kec. Krian, Kabupaten Sidoarjo, Jawa Timur 61262")</f>
        <v>Jl. Bypass Krian, Kraton, Kec. Krian, Kabupaten Sidoarjo, Jawa Timur 61262</v>
      </c>
      <c r="W2876" s="211" t="str">
        <f>IFERROR(__xludf.DUMMYFUNCTION("""COMPUTED_VALUE"""),"IN")</f>
        <v>IN</v>
      </c>
      <c r="X2876" s="211"/>
    </row>
    <row r="2877">
      <c r="A2877" s="210" t="str">
        <f>IFERROR(__xludf.DUMMYFUNCTION("""COMPUTED_VALUE"""),"122572017")</f>
        <v>122572017</v>
      </c>
      <c r="B2877" s="210" t="str">
        <f>IFERROR(__xludf.DUMMYFUNCTION("""COMPUTED_VALUE"""),"122572017")</f>
        <v>122572017</v>
      </c>
      <c r="C2877" s="213">
        <f>IFERROR(__xludf.DUMMYFUNCTION("""COMPUTED_VALUE"""),46009.360439814816)</f>
        <v>46009.36044</v>
      </c>
      <c r="D2877" s="211" t="str">
        <f>IFERROR(__xludf.DUMMYFUNCTION("""COMPUTED_VALUE"""),"3b04351a")</f>
        <v>3b04351a</v>
      </c>
      <c r="E2877" s="211" t="str">
        <f>IFERROR(__xludf.DUMMYFUNCTION("""COMPUTED_VALUE"""),"CV Usaha Logam Jaya ( Bpk Putra )")</f>
        <v>CV Usaha Logam Jaya ( Bpk Putra )</v>
      </c>
      <c r="F2877" s="211" t="str">
        <f>IFERROR(__xludf.DUMMYFUNCTION("""COMPUTED_VALUE"""),"7d2764f1")</f>
        <v>7d2764f1</v>
      </c>
      <c r="G2877" s="211" t="str">
        <f>IFERROR(__xludf.DUMMYFUNCTION("""COMPUTED_VALUE"""),"Oksigen 7m3")</f>
        <v>Oksigen 7m3</v>
      </c>
      <c r="H2877" s="211" t="str">
        <f>IFERROR(__xludf.DUMMYFUNCTION("""COMPUTED_VALUE"""),"OUT")</f>
        <v>OUT</v>
      </c>
      <c r="I2877" s="211" t="str">
        <f>IFERROR(__xludf.DUMMYFUNCTION("""COMPUTED_VALUE"""),"NORMAL")</f>
        <v>NORMAL</v>
      </c>
      <c r="J2877" s="211">
        <f>IFERROR(__xludf.DUMMYFUNCTION("""COMPUTED_VALUE"""),5.0)</f>
        <v>5</v>
      </c>
      <c r="K2877" s="210" t="str">
        <f>IFERROR(__xludf.DUMMYFUNCTION("""COMPUTED_VALUE"""),"11150 11217 11168 11147 11307")</f>
        <v>11150 11217 11168 11147 11307</v>
      </c>
      <c r="L2877" s="211">
        <f>IFERROR(__xludf.DUMMYFUNCTION("""COMPUTED_VALUE"""),60000.0)</f>
        <v>60000</v>
      </c>
      <c r="M2877" s="211"/>
      <c r="N2877" s="211"/>
      <c r="O2877" s="211"/>
      <c r="Q2877" s="210" t="str">
        <f>IFERROR(__xludf.DUMMYFUNCTION("""COMPUTED_VALUE"""),"1261421")</f>
        <v>1261421</v>
      </c>
      <c r="R2877" s="210" t="str">
        <f>IFERROR(__xludf.DUMMYFUNCTION("""COMPUTED_VALUE"""),"1261421")</f>
        <v>1261421</v>
      </c>
      <c r="S2877" s="211" t="str">
        <f>IFERROR(__xludf.DUMMYFUNCTION("""COMPUTED_VALUE"""),"a0f0ad2d")</f>
        <v>a0f0ad2d</v>
      </c>
      <c r="T2877" s="211" t="str">
        <f>IFERROR(__xludf.DUMMYFUNCTION("""COMPUTED_VALUE"""),"CV. Yulie Jaya")</f>
        <v>CV. Yulie Jaya</v>
      </c>
      <c r="U2877" s="215">
        <f>IFERROR(__xludf.DUMMYFUNCTION("""COMPUTED_VALUE"""),46097.66541666666)</f>
        <v>46097.66542</v>
      </c>
      <c r="V2877" s="211" t="str">
        <f>IFERROR(__xludf.DUMMYFUNCTION("""COMPUTED_VALUE"""),"JJH4+6RV, Badas, Barengkrajan, Kec. Krian, Kabupaten Sidoarjo, Jawa Timur 61262")</f>
        <v>JJH4+6RV, Badas, Barengkrajan, Kec. Krian, Kabupaten Sidoarjo, Jawa Timur 61262</v>
      </c>
      <c r="W2877" s="211" t="str">
        <f>IFERROR(__xludf.DUMMYFUNCTION("""COMPUTED_VALUE"""),"IN")</f>
        <v>IN</v>
      </c>
      <c r="X2877" s="211"/>
    </row>
    <row r="2878">
      <c r="A2878" s="210" t="str">
        <f>IFERROR(__xludf.DUMMYFUNCTION("""COMPUTED_VALUE"""),"122572017")</f>
        <v>122572017</v>
      </c>
      <c r="B2878" s="210" t="str">
        <f>IFERROR(__xludf.DUMMYFUNCTION("""COMPUTED_VALUE"""),"122572017")</f>
        <v>122572017</v>
      </c>
      <c r="C2878" s="213">
        <f>IFERROR(__xludf.DUMMYFUNCTION("""COMPUTED_VALUE"""),46009.360439814816)</f>
        <v>46009.36044</v>
      </c>
      <c r="D2878" s="211" t="str">
        <f>IFERROR(__xludf.DUMMYFUNCTION("""COMPUTED_VALUE"""),"3b04351a")</f>
        <v>3b04351a</v>
      </c>
      <c r="E2878" s="211" t="str">
        <f>IFERROR(__xludf.DUMMYFUNCTION("""COMPUTED_VALUE"""),"CV Usaha Logam Jaya ( Bpk Putra )")</f>
        <v>CV Usaha Logam Jaya ( Bpk Putra )</v>
      </c>
      <c r="F2878" s="211" t="str">
        <f>IFERROR(__xludf.DUMMYFUNCTION("""COMPUTED_VALUE"""),"8bdbe149")</f>
        <v>8bdbe149</v>
      </c>
      <c r="G2878" s="211" t="str">
        <f>IFERROR(__xludf.DUMMYFUNCTION("""COMPUTED_VALUE"""),"Oksigen 6m3")</f>
        <v>Oksigen 6m3</v>
      </c>
      <c r="H2878" s="211" t="str">
        <f>IFERROR(__xludf.DUMMYFUNCTION("""COMPUTED_VALUE"""),"OUT")</f>
        <v>OUT</v>
      </c>
      <c r="I2878" s="211" t="str">
        <f>IFERROR(__xludf.DUMMYFUNCTION("""COMPUTED_VALUE"""),"NORMAL")</f>
        <v>NORMAL</v>
      </c>
      <c r="J2878" s="211">
        <f>IFERROR(__xludf.DUMMYFUNCTION("""COMPUTED_VALUE"""),5.0)</f>
        <v>5</v>
      </c>
      <c r="K2878" s="210" t="str">
        <f>IFERROR(__xludf.DUMMYFUNCTION("""COMPUTED_VALUE"""),"11236 1104 11275 1187 1141")</f>
        <v>11236 1104 11275 1187 1141</v>
      </c>
      <c r="L2878" s="211">
        <f>IFERROR(__xludf.DUMMYFUNCTION("""COMPUTED_VALUE"""),60000.0)</f>
        <v>60000</v>
      </c>
      <c r="M2878" s="211"/>
      <c r="N2878" s="211"/>
      <c r="O2878" s="211"/>
      <c r="Q2878" s="210" t="str">
        <f>IFERROR(__xludf.DUMMYFUNCTION("""COMPUTED_VALUE"""),"0326332876")</f>
        <v>0326332876</v>
      </c>
      <c r="R2878" s="210" t="str">
        <f>IFERROR(__xludf.DUMMYFUNCTION("""COMPUTED_VALUE"""),"0326332876")</f>
        <v>0326332876</v>
      </c>
      <c r="S2878" s="211" t="str">
        <f>IFERROR(__xludf.DUMMYFUNCTION("""COMPUTED_VALUE"""),"63fc688a")</f>
        <v>63fc688a</v>
      </c>
      <c r="T2878" s="211" t="str">
        <f>IFERROR(__xludf.DUMMYFUNCTION("""COMPUTED_VALUE"""),"CV Malik Nusantara")</f>
        <v>CV Malik Nusantara</v>
      </c>
      <c r="U2878" s="215">
        <f>IFERROR(__xludf.DUMMYFUNCTION("""COMPUTED_VALUE"""),46098.36174768519)</f>
        <v>46098.36175</v>
      </c>
      <c r="V2878" s="211" t="str">
        <f>IFERROR(__xludf.DUMMYFUNCTION("""COMPUTED_VALUE"""),"Jl. Raya Balongbendo No.12, Suwaluh Utara, Suwaluh, Kec. BalongBendo, Kabupaten Sidoarjo, Jawa Timur 61263")</f>
        <v>Jl. Raya Balongbendo No.12, Suwaluh Utara, Suwaluh, Kec. BalongBendo, Kabupaten Sidoarjo, Jawa Timur 61263</v>
      </c>
      <c r="W2878" s="211" t="str">
        <f>IFERROR(__xludf.DUMMYFUNCTION("""COMPUTED_VALUE"""),"OUT")</f>
        <v>OUT</v>
      </c>
      <c r="X2878" s="211"/>
    </row>
    <row r="2879">
      <c r="A2879" s="210" t="str">
        <f>IFERROR(__xludf.DUMMYFUNCTION("""COMPUTED_VALUE"""),"1250964")</f>
        <v>1250964</v>
      </c>
      <c r="B2879" s="210" t="str">
        <f>IFERROR(__xludf.DUMMYFUNCTION("""COMPUTED_VALUE"""),"1250964")</f>
        <v>1250964</v>
      </c>
      <c r="C2879" s="213">
        <f>IFERROR(__xludf.DUMMYFUNCTION("""COMPUTED_VALUE"""),46009.371099537035)</f>
        <v>46009.3711</v>
      </c>
      <c r="D2879" s="211" t="str">
        <f>IFERROR(__xludf.DUMMYFUNCTION("""COMPUTED_VALUE"""),"7b9d8eba")</f>
        <v>7b9d8eba</v>
      </c>
      <c r="E2879" s="211" t="str">
        <f>IFERROR(__xludf.DUMMYFUNCTION("""COMPUTED_VALUE"""),"PT PELANGI INDOKARYA")</f>
        <v>PT PELANGI INDOKARYA</v>
      </c>
      <c r="F2879" s="211" t="str">
        <f>IFERROR(__xludf.DUMMYFUNCTION("""COMPUTED_VALUE"""),"8bdbe149")</f>
        <v>8bdbe149</v>
      </c>
      <c r="G2879" s="211" t="str">
        <f>IFERROR(__xludf.DUMMYFUNCTION("""COMPUTED_VALUE"""),"Oksigen 6m3")</f>
        <v>Oksigen 6m3</v>
      </c>
      <c r="H2879" s="211" t="str">
        <f>IFERROR(__xludf.DUMMYFUNCTION("""COMPUTED_VALUE"""),"IN")</f>
        <v>IN</v>
      </c>
      <c r="I2879" s="211" t="str">
        <f>IFERROR(__xludf.DUMMYFUNCTION("""COMPUTED_VALUE"""),"EMPTY")</f>
        <v>EMPTY</v>
      </c>
      <c r="J2879" s="211">
        <f>IFERROR(__xludf.DUMMYFUNCTION("""COMPUTED_VALUE"""),1.0)</f>
        <v>1</v>
      </c>
      <c r="K2879" s="210" t="str">
        <f>IFERROR(__xludf.DUMMYFUNCTION("""COMPUTED_VALUE"""),"1112")</f>
        <v>1112</v>
      </c>
      <c r="L2879" s="211">
        <f>IFERROR(__xludf.DUMMYFUNCTION("""COMPUTED_VALUE"""),0.0)</f>
        <v>0</v>
      </c>
      <c r="M2879" s="211"/>
      <c r="N2879" s="211"/>
      <c r="O2879" s="211"/>
      <c r="Q2879" s="210" t="str">
        <f>IFERROR(__xludf.DUMMYFUNCTION("""COMPUTED_VALUE"""),"0326222879")</f>
        <v>0326222879</v>
      </c>
      <c r="R2879" s="210" t="str">
        <f>IFERROR(__xludf.DUMMYFUNCTION("""COMPUTED_VALUE"""),"0326222879")</f>
        <v>0326222879</v>
      </c>
      <c r="S2879" s="211" t="str">
        <f>IFERROR(__xludf.DUMMYFUNCTION("""COMPUTED_VALUE"""),"a0f0ad2d")</f>
        <v>a0f0ad2d</v>
      </c>
      <c r="T2879" s="211" t="str">
        <f>IFERROR(__xludf.DUMMYFUNCTION("""COMPUTED_VALUE"""),"CV. Yulie Jaya")</f>
        <v>CV. Yulie Jaya</v>
      </c>
      <c r="U2879" s="215">
        <f>IFERROR(__xludf.DUMMYFUNCTION("""COMPUTED_VALUE"""),46098.36609953704)</f>
        <v>46098.3661</v>
      </c>
      <c r="V2879" s="211" t="str">
        <f>IFERROR(__xludf.DUMMYFUNCTION("""COMPUTED_VALUE"""),"JJH4+6RV, Badas, Barengkrajan, Kec. Krian, Kabupaten Sidoarjo, Jawa Timur 61262")</f>
        <v>JJH4+6RV, Badas, Barengkrajan, Kec. Krian, Kabupaten Sidoarjo, Jawa Timur 61262</v>
      </c>
      <c r="W2879" s="211" t="str">
        <f>IFERROR(__xludf.DUMMYFUNCTION("""COMPUTED_VALUE"""),"OUT")</f>
        <v>OUT</v>
      </c>
      <c r="X2879" s="211"/>
    </row>
    <row r="2880">
      <c r="A2880" s="210" t="str">
        <f>IFERROR(__xludf.DUMMYFUNCTION("""COMPUTED_VALUE"""),"1250964")</f>
        <v>1250964</v>
      </c>
      <c r="B2880" s="210" t="str">
        <f>IFERROR(__xludf.DUMMYFUNCTION("""COMPUTED_VALUE"""),"1250964")</f>
        <v>1250964</v>
      </c>
      <c r="C2880" s="213">
        <f>IFERROR(__xludf.DUMMYFUNCTION("""COMPUTED_VALUE"""),46009.371099537035)</f>
        <v>46009.3711</v>
      </c>
      <c r="D2880" s="211" t="str">
        <f>IFERROR(__xludf.DUMMYFUNCTION("""COMPUTED_VALUE"""),"7b9d8eba")</f>
        <v>7b9d8eba</v>
      </c>
      <c r="E2880" s="211" t="str">
        <f>IFERROR(__xludf.DUMMYFUNCTION("""COMPUTED_VALUE"""),"PT PELANGI INDOKARYA")</f>
        <v>PT PELANGI INDOKARYA</v>
      </c>
      <c r="F2880" s="211" t="str">
        <f>IFERROR(__xludf.DUMMYFUNCTION("""COMPUTED_VALUE"""),"ef306e54")</f>
        <v>ef306e54</v>
      </c>
      <c r="G2880" s="211" t="str">
        <f>IFERROR(__xludf.DUMMYFUNCTION("""COMPUTED_VALUE"""),"Karbondioksida")</f>
        <v>Karbondioksida</v>
      </c>
      <c r="H2880" s="211" t="str">
        <f>IFERROR(__xludf.DUMMYFUNCTION("""COMPUTED_VALUE"""),"IN")</f>
        <v>IN</v>
      </c>
      <c r="I2880" s="211" t="str">
        <f>IFERROR(__xludf.DUMMYFUNCTION("""COMPUTED_VALUE"""),"EMPTY")</f>
        <v>EMPTY</v>
      </c>
      <c r="J2880" s="211">
        <f>IFERROR(__xludf.DUMMYFUNCTION("""COMPUTED_VALUE"""),1.0)</f>
        <v>1</v>
      </c>
      <c r="K2880" s="210" t="str">
        <f>IFERROR(__xludf.DUMMYFUNCTION("""COMPUTED_VALUE"""),"13010")</f>
        <v>13010</v>
      </c>
      <c r="L2880" s="211">
        <f>IFERROR(__xludf.DUMMYFUNCTION("""COMPUTED_VALUE"""),0.0)</f>
        <v>0</v>
      </c>
      <c r="M2880" s="211"/>
      <c r="N2880" s="211"/>
      <c r="O2880" s="211"/>
      <c r="Q2880" s="210" t="str">
        <f>IFERROR(__xludf.DUMMYFUNCTION("""COMPUTED_VALUE"""),"1261433")</f>
        <v>1261433</v>
      </c>
      <c r="R2880" s="210" t="str">
        <f>IFERROR(__xludf.DUMMYFUNCTION("""COMPUTED_VALUE"""),"1261433")</f>
        <v>1261433</v>
      </c>
      <c r="S2880" s="211" t="str">
        <f>IFERROR(__xludf.DUMMYFUNCTION("""COMPUTED_VALUE"""),"f49860e4")</f>
        <v>f49860e4</v>
      </c>
      <c r="T2880" s="211" t="str">
        <f>IFERROR(__xludf.DUMMYFUNCTION("""COMPUTED_VALUE"""),"Mas Nur ( Jetis )")</f>
        <v>Mas Nur ( Jetis )</v>
      </c>
      <c r="U2880" s="215">
        <f>IFERROR(__xludf.DUMMYFUNCTION("""COMPUTED_VALUE"""),46098.50178240741)</f>
        <v>46098.50178</v>
      </c>
      <c r="V2880" s="211" t="str">
        <f>IFERROR(__xludf.DUMMYFUNCTION("""COMPUTED_VALUE"""),"HFVF+CCG, JL.Raya Jetis, jetis, Kec. Jetis Kabupaten Mojokerto Jawa Timur 61352")</f>
        <v>HFVF+CCG, JL.Raya Jetis, jetis, Kec. Jetis Kabupaten Mojokerto Jawa Timur 61352</v>
      </c>
      <c r="W2880" s="211" t="str">
        <f>IFERROR(__xludf.DUMMYFUNCTION("""COMPUTED_VALUE"""),"IN")</f>
        <v>IN</v>
      </c>
      <c r="X2880" s="211"/>
    </row>
    <row r="2881">
      <c r="A2881" s="210" t="str">
        <f>IFERROR(__xludf.DUMMYFUNCTION("""COMPUTED_VALUE"""),"1250965")</f>
        <v>1250965</v>
      </c>
      <c r="B2881" s="210" t="str">
        <f>IFERROR(__xludf.DUMMYFUNCTION("""COMPUTED_VALUE"""),"1250965")</f>
        <v>1250965</v>
      </c>
      <c r="C2881" s="213">
        <f>IFERROR(__xludf.DUMMYFUNCTION("""COMPUTED_VALUE"""),46009.37175925926)</f>
        <v>46009.37176</v>
      </c>
      <c r="D2881" s="211" t="str">
        <f>IFERROR(__xludf.DUMMYFUNCTION("""COMPUTED_VALUE"""),"9b941888")</f>
        <v>9b941888</v>
      </c>
      <c r="E2881" s="211" t="str">
        <f>IFERROR(__xludf.DUMMYFUNCTION("""COMPUTED_VALUE"""),"Mas Devi ( Parengan )")</f>
        <v>Mas Devi ( Parengan )</v>
      </c>
      <c r="F2881" s="211" t="str">
        <f>IFERROR(__xludf.DUMMYFUNCTION("""COMPUTED_VALUE"""),"7d2764f1")</f>
        <v>7d2764f1</v>
      </c>
      <c r="G2881" s="211" t="str">
        <f>IFERROR(__xludf.DUMMYFUNCTION("""COMPUTED_VALUE"""),"Oksigen 7m3")</f>
        <v>Oksigen 7m3</v>
      </c>
      <c r="H2881" s="211" t="str">
        <f>IFERROR(__xludf.DUMMYFUNCTION("""COMPUTED_VALUE"""),"IN")</f>
        <v>IN</v>
      </c>
      <c r="I2881" s="211" t="str">
        <f>IFERROR(__xludf.DUMMYFUNCTION("""COMPUTED_VALUE"""),"EMPTY")</f>
        <v>EMPTY</v>
      </c>
      <c r="J2881" s="211">
        <f>IFERROR(__xludf.DUMMYFUNCTION("""COMPUTED_VALUE"""),1.0)</f>
        <v>1</v>
      </c>
      <c r="K2881" s="210" t="str">
        <f>IFERROR(__xludf.DUMMYFUNCTION("""COMPUTED_VALUE"""),"11299")</f>
        <v>11299</v>
      </c>
      <c r="L2881" s="211">
        <f>IFERROR(__xludf.DUMMYFUNCTION("""COMPUTED_VALUE"""),0.0)</f>
        <v>0</v>
      </c>
      <c r="M2881" s="211"/>
      <c r="N2881" s="211"/>
      <c r="O2881" s="211"/>
      <c r="Q2881" s="210" t="str">
        <f>IFERROR(__xludf.DUMMYFUNCTION("""COMPUTED_VALUE"""),"1261432")</f>
        <v>1261432</v>
      </c>
      <c r="R2881" s="210" t="str">
        <f>IFERROR(__xludf.DUMMYFUNCTION("""COMPUTED_VALUE"""),"1261432")</f>
        <v>1261432</v>
      </c>
      <c r="S2881" s="211" t="str">
        <f>IFERROR(__xludf.DUMMYFUNCTION("""COMPUTED_VALUE"""),"d9b2fac5")</f>
        <v>d9b2fac5</v>
      </c>
      <c r="T2881" s="211" t="str">
        <f>IFERROR(__xludf.DUMMYFUNCTION("""COMPUTED_VALUE"""),"Dwi Riza ( Ponokawan)")</f>
        <v>Dwi Riza ( Ponokawan)</v>
      </c>
      <c r="U2881" s="215">
        <f>IFERROR(__xludf.DUMMYFUNCTION("""COMPUTED_VALUE"""),46098.504594907405)</f>
        <v>46098.50459</v>
      </c>
      <c r="V2881" s="211" t="str">
        <f>IFERROR(__xludf.DUMMYFUNCTION("""COMPUTED_VALUE"""),"Jl. Raya Ponokawan No.28 RT 07 RW 03 Kec. Krian Sidoarjo (Seberang Bengkel An.Nur/ Deretan Baraka Expres)")</f>
        <v>Jl. Raya Ponokawan No.28 RT 07 RW 03 Kec. Krian Sidoarjo (Seberang Bengkel An.Nur/ Deretan Baraka Expres)</v>
      </c>
      <c r="W2881" s="211" t="str">
        <f>IFERROR(__xludf.DUMMYFUNCTION("""COMPUTED_VALUE"""),"IN")</f>
        <v>IN</v>
      </c>
      <c r="X2881" s="211"/>
    </row>
    <row r="2882">
      <c r="A2882" s="210" t="str">
        <f>IFERROR(__xludf.DUMMYFUNCTION("""COMPUTED_VALUE"""),"1250966")</f>
        <v>1250966</v>
      </c>
      <c r="B2882" s="210" t="str">
        <f>IFERROR(__xludf.DUMMYFUNCTION("""COMPUTED_VALUE"""),"1250966")</f>
        <v>1250966</v>
      </c>
      <c r="C2882" s="213">
        <f>IFERROR(__xludf.DUMMYFUNCTION("""COMPUTED_VALUE"""),46009.47892361111)</f>
        <v>46009.47892</v>
      </c>
      <c r="D2882" s="211" t="str">
        <f>IFERROR(__xludf.DUMMYFUNCTION("""COMPUTED_VALUE"""),"3b04351a")</f>
        <v>3b04351a</v>
      </c>
      <c r="E2882" s="211" t="str">
        <f>IFERROR(__xludf.DUMMYFUNCTION("""COMPUTED_VALUE"""),"CV Usaha Logam Jaya ( Bpk Putra )")</f>
        <v>CV Usaha Logam Jaya ( Bpk Putra )</v>
      </c>
      <c r="F2882" s="211" t="str">
        <f>IFERROR(__xludf.DUMMYFUNCTION("""COMPUTED_VALUE"""),"be525f3b")</f>
        <v>be525f3b</v>
      </c>
      <c r="G2882" s="211" t="str">
        <f>IFERROR(__xludf.DUMMYFUNCTION("""COMPUTED_VALUE"""),"LPG 12kg")</f>
        <v>LPG 12kg</v>
      </c>
      <c r="H2882" s="211" t="str">
        <f>IFERROR(__xludf.DUMMYFUNCTION("""COMPUTED_VALUE"""),"IN")</f>
        <v>IN</v>
      </c>
      <c r="I2882" s="211" t="str">
        <f>IFERROR(__xludf.DUMMYFUNCTION("""COMPUTED_VALUE"""),"EMPTY")</f>
        <v>EMPTY</v>
      </c>
      <c r="J2882" s="211">
        <f>IFERROR(__xludf.DUMMYFUNCTION("""COMPUTED_VALUE"""),2.0)</f>
        <v>2</v>
      </c>
      <c r="K2882" s="210" t="str">
        <f>IFERROR(__xludf.DUMMYFUNCTION("""COMPUTED_VALUE"""),"01 02")</f>
        <v>01 02</v>
      </c>
      <c r="L2882" s="211">
        <f>IFERROR(__xludf.DUMMYFUNCTION("""COMPUTED_VALUE"""),0.0)</f>
        <v>0</v>
      </c>
      <c r="M2882" s="211"/>
      <c r="N2882" s="211"/>
      <c r="O2882" s="211"/>
      <c r="Q2882" s="210" t="str">
        <f>IFERROR(__xludf.DUMMYFUNCTION("""COMPUTED_VALUE"""),"1261434")</f>
        <v>1261434</v>
      </c>
      <c r="R2882" s="210" t="str">
        <f>IFERROR(__xludf.DUMMYFUNCTION("""COMPUTED_VALUE"""),"1261434")</f>
        <v>1261434</v>
      </c>
      <c r="S2882" s="211" t="str">
        <f>IFERROR(__xludf.DUMMYFUNCTION("""COMPUTED_VALUE"""),"e86baf3b")</f>
        <v>e86baf3b</v>
      </c>
      <c r="T2882" s="211" t="str">
        <f>IFERROR(__xludf.DUMMYFUNCTION("""COMPUTED_VALUE"""),"PT GEMILANG CIPTA WAWASAN")</f>
        <v>PT GEMILANG CIPTA WAWASAN</v>
      </c>
      <c r="U2882" s="215">
        <f>IFERROR(__xludf.DUMMYFUNCTION("""COMPUTED_VALUE"""),46098.50540509259)</f>
        <v>46098.50541</v>
      </c>
      <c r="V2882" s="211" t="str">
        <f>IFERROR(__xludf.DUMMYFUNCTION("""COMPUTED_VALUE"""),"JL TEBET RAYA, 2A, TEBET BARAT, TEBET, KOTA ADM, JAKARTA SELATAN, DKI JAKARTA")</f>
        <v>JL TEBET RAYA, 2A, TEBET BARAT, TEBET, KOTA ADM, JAKARTA SELATAN, DKI JAKARTA</v>
      </c>
      <c r="W2882" s="211" t="str">
        <f>IFERROR(__xludf.DUMMYFUNCTION("""COMPUTED_VALUE"""),"IN")</f>
        <v>IN</v>
      </c>
      <c r="X2882" s="211"/>
    </row>
    <row r="2883">
      <c r="A2883" s="210" t="str">
        <f>IFERROR(__xludf.DUMMYFUNCTION("""COMPUTED_VALUE"""),"1250966")</f>
        <v>1250966</v>
      </c>
      <c r="B2883" s="210" t="str">
        <f>IFERROR(__xludf.DUMMYFUNCTION("""COMPUTED_VALUE"""),"1250966")</f>
        <v>1250966</v>
      </c>
      <c r="C2883" s="213">
        <f>IFERROR(__xludf.DUMMYFUNCTION("""COMPUTED_VALUE"""),46009.47892361111)</f>
        <v>46009.47892</v>
      </c>
      <c r="D2883" s="211" t="str">
        <f>IFERROR(__xludf.DUMMYFUNCTION("""COMPUTED_VALUE"""),"3b04351a")</f>
        <v>3b04351a</v>
      </c>
      <c r="E2883" s="211" t="str">
        <f>IFERROR(__xludf.DUMMYFUNCTION("""COMPUTED_VALUE"""),"CV Usaha Logam Jaya ( Bpk Putra )")</f>
        <v>CV Usaha Logam Jaya ( Bpk Putra )</v>
      </c>
      <c r="F2883" s="211" t="str">
        <f>IFERROR(__xludf.DUMMYFUNCTION("""COMPUTED_VALUE"""),"8bdbe149")</f>
        <v>8bdbe149</v>
      </c>
      <c r="G2883" s="211" t="str">
        <f>IFERROR(__xludf.DUMMYFUNCTION("""COMPUTED_VALUE"""),"Oksigen 6m3")</f>
        <v>Oksigen 6m3</v>
      </c>
      <c r="H2883" s="211" t="str">
        <f>IFERROR(__xludf.DUMMYFUNCTION("""COMPUTED_VALUE"""),"IN")</f>
        <v>IN</v>
      </c>
      <c r="I2883" s="211" t="str">
        <f>IFERROR(__xludf.DUMMYFUNCTION("""COMPUTED_VALUE"""),"EMPTY")</f>
        <v>EMPTY</v>
      </c>
      <c r="J2883" s="211">
        <f>IFERROR(__xludf.DUMMYFUNCTION("""COMPUTED_VALUE"""),3.0)</f>
        <v>3</v>
      </c>
      <c r="K2883" s="210" t="str">
        <f>IFERROR(__xludf.DUMMYFUNCTION("""COMPUTED_VALUE"""),"11240 1115 1152")</f>
        <v>11240 1115 1152</v>
      </c>
      <c r="L2883" s="211">
        <f>IFERROR(__xludf.DUMMYFUNCTION("""COMPUTED_VALUE"""),0.0)</f>
        <v>0</v>
      </c>
      <c r="M2883" s="211"/>
      <c r="N2883" s="211"/>
      <c r="O2883" s="211"/>
      <c r="Q2883" s="210" t="str">
        <f>IFERROR(__xludf.DUMMYFUNCTION("""COMPUTED_VALUE"""),"1261430")</f>
        <v>1261430</v>
      </c>
      <c r="R2883" s="210" t="str">
        <f>IFERROR(__xludf.DUMMYFUNCTION("""COMPUTED_VALUE"""),"1261430")</f>
        <v>1261430</v>
      </c>
      <c r="S2883" s="211" t="str">
        <f>IFERROR(__xludf.DUMMYFUNCTION("""COMPUTED_VALUE"""),"9e66ced9")</f>
        <v>9e66ced9</v>
      </c>
      <c r="T2883" s="211" t="str">
        <f>IFERROR(__xludf.DUMMYFUNCTION("""COMPUTED_VALUE"""),"Bapak Angga")</f>
        <v>Bapak Angga</v>
      </c>
      <c r="U2883" s="215">
        <f>IFERROR(__xludf.DUMMYFUNCTION("""COMPUTED_VALUE"""),46098.660150462965)</f>
        <v>46098.66015</v>
      </c>
      <c r="V2883" s="211" t="str">
        <f>IFERROR(__xludf.DUMMYFUNCTION("""COMPUTED_VALUE"""),"Jl. Bypass Krian No.2, Tundungan, Sidomojo, Kec. Krian, Kabupaten Sidoarjo, Jawa Timur 61262")</f>
        <v>Jl. Bypass Krian No.2, Tundungan, Sidomojo, Kec. Krian, Kabupaten Sidoarjo, Jawa Timur 61262</v>
      </c>
      <c r="W2883" s="211" t="str">
        <f>IFERROR(__xludf.DUMMYFUNCTION("""COMPUTED_VALUE"""),"IN")</f>
        <v>IN</v>
      </c>
      <c r="X2883" s="211"/>
    </row>
    <row r="2884">
      <c r="A2884" s="210" t="str">
        <f>IFERROR(__xludf.DUMMYFUNCTION("""COMPUTED_VALUE"""),"1250966")</f>
        <v>1250966</v>
      </c>
      <c r="B2884" s="210" t="str">
        <f>IFERROR(__xludf.DUMMYFUNCTION("""COMPUTED_VALUE"""),"1250966")</f>
        <v>1250966</v>
      </c>
      <c r="C2884" s="213">
        <f>IFERROR(__xludf.DUMMYFUNCTION("""COMPUTED_VALUE"""),46009.47892361111)</f>
        <v>46009.47892</v>
      </c>
      <c r="D2884" s="211" t="str">
        <f>IFERROR(__xludf.DUMMYFUNCTION("""COMPUTED_VALUE"""),"3b04351a")</f>
        <v>3b04351a</v>
      </c>
      <c r="E2884" s="211" t="str">
        <f>IFERROR(__xludf.DUMMYFUNCTION("""COMPUTED_VALUE"""),"CV Usaha Logam Jaya ( Bpk Putra )")</f>
        <v>CV Usaha Logam Jaya ( Bpk Putra )</v>
      </c>
      <c r="F2884" s="211" t="str">
        <f>IFERROR(__xludf.DUMMYFUNCTION("""COMPUTED_VALUE"""),"7d2764f1")</f>
        <v>7d2764f1</v>
      </c>
      <c r="G2884" s="211" t="str">
        <f>IFERROR(__xludf.DUMMYFUNCTION("""COMPUTED_VALUE"""),"Oksigen 7m3")</f>
        <v>Oksigen 7m3</v>
      </c>
      <c r="H2884" s="211" t="str">
        <f>IFERROR(__xludf.DUMMYFUNCTION("""COMPUTED_VALUE"""),"IN")</f>
        <v>IN</v>
      </c>
      <c r="I2884" s="211" t="str">
        <f>IFERROR(__xludf.DUMMYFUNCTION("""COMPUTED_VALUE"""),"EMPTY")</f>
        <v>EMPTY</v>
      </c>
      <c r="J2884" s="211">
        <f>IFERROR(__xludf.DUMMYFUNCTION("""COMPUTED_VALUE"""),2.0)</f>
        <v>2</v>
      </c>
      <c r="K2884" s="210" t="str">
        <f>IFERROR(__xludf.DUMMYFUNCTION("""COMPUTED_VALUE"""),"11303 11228")</f>
        <v>11303 11228</v>
      </c>
      <c r="L2884" s="211">
        <f>IFERROR(__xludf.DUMMYFUNCTION("""COMPUTED_VALUE"""),0.0)</f>
        <v>0</v>
      </c>
      <c r="M2884" s="211"/>
      <c r="N2884" s="211"/>
      <c r="O2884" s="211"/>
      <c r="Q2884" s="210" t="str">
        <f>IFERROR(__xludf.DUMMYFUNCTION("""COMPUTED_VALUE"""),"1261424")</f>
        <v>1261424</v>
      </c>
      <c r="R2884" s="210" t="str">
        <f>IFERROR(__xludf.DUMMYFUNCTION("""COMPUTED_VALUE"""),"1261424")</f>
        <v>1261424</v>
      </c>
      <c r="S2884" s="211" t="str">
        <f>IFERROR(__xludf.DUMMYFUNCTION("""COMPUTED_VALUE"""),"a0f0ad2d")</f>
        <v>a0f0ad2d</v>
      </c>
      <c r="T2884" s="211" t="str">
        <f>IFERROR(__xludf.DUMMYFUNCTION("""COMPUTED_VALUE"""),"CV. Yulie Jaya")</f>
        <v>CV. Yulie Jaya</v>
      </c>
      <c r="U2884" s="215">
        <f>IFERROR(__xludf.DUMMYFUNCTION("""COMPUTED_VALUE"""),46098.66239583334)</f>
        <v>46098.6624</v>
      </c>
      <c r="V2884" s="211" t="str">
        <f>IFERROR(__xludf.DUMMYFUNCTION("""COMPUTED_VALUE"""),"JJH4+6RV, Badas, Barengkrajan, Kec. Krian, Kabupaten Sidoarjo, Jawa Timur 61262")</f>
        <v>JJH4+6RV, Badas, Barengkrajan, Kec. Krian, Kabupaten Sidoarjo, Jawa Timur 61262</v>
      </c>
      <c r="W2884" s="211" t="str">
        <f>IFERROR(__xludf.DUMMYFUNCTION("""COMPUTED_VALUE"""),"IN")</f>
        <v>IN</v>
      </c>
      <c r="X2884" s="211"/>
    </row>
    <row r="2885">
      <c r="A2885" s="210" t="str">
        <f>IFERROR(__xludf.DUMMYFUNCTION("""COMPUTED_VALUE"""),"122572018")</f>
        <v>122572018</v>
      </c>
      <c r="B2885" s="210" t="str">
        <f>IFERROR(__xludf.DUMMYFUNCTION("""COMPUTED_VALUE"""),"122572018")</f>
        <v>122572018</v>
      </c>
      <c r="C2885" s="213">
        <f>IFERROR(__xludf.DUMMYFUNCTION("""COMPUTED_VALUE"""),46009.48459490741)</f>
        <v>46009.48459</v>
      </c>
      <c r="D2885" s="211" t="str">
        <f>IFERROR(__xludf.DUMMYFUNCTION("""COMPUTED_VALUE"""),"ba97d58d")</f>
        <v>ba97d58d</v>
      </c>
      <c r="E2885" s="211" t="str">
        <f>IFERROR(__xludf.DUMMYFUNCTION("""COMPUTED_VALUE"""),"Bengkel Citra Mojosari")</f>
        <v>Bengkel Citra Mojosari</v>
      </c>
      <c r="F2885" s="211" t="str">
        <f>IFERROR(__xludf.DUMMYFUNCTION("""COMPUTED_VALUE"""),"8bdbe149")</f>
        <v>8bdbe149</v>
      </c>
      <c r="G2885" s="211" t="str">
        <f>IFERROR(__xludf.DUMMYFUNCTION("""COMPUTED_VALUE"""),"Oksigen 6m3")</f>
        <v>Oksigen 6m3</v>
      </c>
      <c r="H2885" s="211" t="str">
        <f>IFERROR(__xludf.DUMMYFUNCTION("""COMPUTED_VALUE"""),"OUT")</f>
        <v>OUT</v>
      </c>
      <c r="I2885" s="211" t="str">
        <f>IFERROR(__xludf.DUMMYFUNCTION("""COMPUTED_VALUE"""),"NORMAL")</f>
        <v>NORMAL</v>
      </c>
      <c r="J2885" s="211">
        <f>IFERROR(__xludf.DUMMYFUNCTION("""COMPUTED_VALUE"""),4.0)</f>
        <v>4</v>
      </c>
      <c r="K2885" s="210" t="str">
        <f>IFERROR(__xludf.DUMMYFUNCTION("""COMPUTED_VALUE"""),"1133 1194 11111 1188")</f>
        <v>1133 1194 11111 1188</v>
      </c>
      <c r="L2885" s="211">
        <f>IFERROR(__xludf.DUMMYFUNCTION("""COMPUTED_VALUE"""),65000.0)</f>
        <v>65000</v>
      </c>
      <c r="M2885" s="211"/>
      <c r="N2885" s="211"/>
      <c r="O2885" s="211"/>
      <c r="Q2885" s="210" t="str">
        <f>IFERROR(__xludf.DUMMYFUNCTION("""COMPUTED_VALUE"""),"1261423")</f>
        <v>1261423</v>
      </c>
      <c r="R2885" s="210" t="str">
        <f>IFERROR(__xludf.DUMMYFUNCTION("""COMPUTED_VALUE"""),"1261423")</f>
        <v>1261423</v>
      </c>
      <c r="S2885" s="211" t="str">
        <f>IFERROR(__xludf.DUMMYFUNCTION("""COMPUTED_VALUE"""),"63fc688a")</f>
        <v>63fc688a</v>
      </c>
      <c r="T2885" s="211" t="str">
        <f>IFERROR(__xludf.DUMMYFUNCTION("""COMPUTED_VALUE"""),"CV Malik Nusantara")</f>
        <v>CV Malik Nusantara</v>
      </c>
      <c r="U2885" s="215">
        <f>IFERROR(__xludf.DUMMYFUNCTION("""COMPUTED_VALUE"""),46098.662824074076)</f>
        <v>46098.66282</v>
      </c>
      <c r="V2885" s="211" t="str">
        <f>IFERROR(__xludf.DUMMYFUNCTION("""COMPUTED_VALUE"""),"Jl. Raya Balongbendo No.12, Suwaluh Utara, Suwaluh, Kec. BalongBendo, Kabupaten Sidoarjo, Jawa Timur 61263")</f>
        <v>Jl. Raya Balongbendo No.12, Suwaluh Utara, Suwaluh, Kec. BalongBendo, Kabupaten Sidoarjo, Jawa Timur 61263</v>
      </c>
      <c r="W2885" s="211" t="str">
        <f>IFERROR(__xludf.DUMMYFUNCTION("""COMPUTED_VALUE"""),"IN")</f>
        <v>IN</v>
      </c>
      <c r="X2885" s="211"/>
    </row>
    <row r="2886">
      <c r="A2886" s="210" t="str">
        <f>IFERROR(__xludf.DUMMYFUNCTION("""COMPUTED_VALUE"""),"1250970")</f>
        <v>1250970</v>
      </c>
      <c r="B2886" s="210" t="str">
        <f>IFERROR(__xludf.DUMMYFUNCTION("""COMPUTED_VALUE"""),"1250970")</f>
        <v>1250970</v>
      </c>
      <c r="C2886" s="213">
        <f>IFERROR(__xludf.DUMMYFUNCTION("""COMPUTED_VALUE"""),46009.49364583333)</f>
        <v>46009.49365</v>
      </c>
      <c r="D2886" s="211" t="str">
        <f>IFERROR(__xludf.DUMMYFUNCTION("""COMPUTED_VALUE"""),"ce83e171")</f>
        <v>ce83e171</v>
      </c>
      <c r="E2886" s="211" t="str">
        <f>IFERROR(__xludf.DUMMYFUNCTION("""COMPUTED_VALUE"""),"Bpk. Sulaiman")</f>
        <v>Bpk. Sulaiman</v>
      </c>
      <c r="F2886" s="211" t="str">
        <f>IFERROR(__xludf.DUMMYFUNCTION("""COMPUTED_VALUE"""),"7d2764f1")</f>
        <v>7d2764f1</v>
      </c>
      <c r="G2886" s="211" t="str">
        <f>IFERROR(__xludf.DUMMYFUNCTION("""COMPUTED_VALUE"""),"Oksigen 7m3")</f>
        <v>Oksigen 7m3</v>
      </c>
      <c r="H2886" s="211" t="str">
        <f>IFERROR(__xludf.DUMMYFUNCTION("""COMPUTED_VALUE"""),"IN")</f>
        <v>IN</v>
      </c>
      <c r="I2886" s="211" t="str">
        <f>IFERROR(__xludf.DUMMYFUNCTION("""COMPUTED_VALUE"""),"EMPTY")</f>
        <v>EMPTY</v>
      </c>
      <c r="J2886" s="211">
        <f>IFERROR(__xludf.DUMMYFUNCTION("""COMPUTED_VALUE"""),1.0)</f>
        <v>1</v>
      </c>
      <c r="K2886" s="210" t="str">
        <f>IFERROR(__xludf.DUMMYFUNCTION("""COMPUTED_VALUE"""),"11305")</f>
        <v>11305</v>
      </c>
      <c r="L2886" s="211">
        <f>IFERROR(__xludf.DUMMYFUNCTION("""COMPUTED_VALUE"""),0.0)</f>
        <v>0</v>
      </c>
      <c r="M2886" s="211"/>
      <c r="N2886" s="211"/>
      <c r="O2886" s="211"/>
      <c r="Q2886" s="210" t="str">
        <f>IFERROR(__xludf.DUMMYFUNCTION("""COMPUTED_VALUE"""),"1261441")</f>
        <v>1261441</v>
      </c>
      <c r="R2886" s="210" t="str">
        <f>IFERROR(__xludf.DUMMYFUNCTION("""COMPUTED_VALUE"""),"1261441")</f>
        <v>1261441</v>
      </c>
      <c r="S2886" s="211" t="str">
        <f>IFERROR(__xludf.DUMMYFUNCTION("""COMPUTED_VALUE"""),"057b6b99")</f>
        <v>057b6b99</v>
      </c>
      <c r="T2886" s="211" t="str">
        <f>IFERROR(__xludf.DUMMYFUNCTION("""COMPUTED_VALUE"""),"PT Anuta Utama Transport")</f>
        <v>PT Anuta Utama Transport</v>
      </c>
      <c r="U2886" s="215">
        <f>IFERROR(__xludf.DUMMYFUNCTION("""COMPUTED_VALUE"""),46098.66372685185)</f>
        <v>46098.66373</v>
      </c>
      <c r="V2886" s="211" t="str">
        <f>IFERROR(__xludf.DUMMYFUNCTION("""COMPUTED_VALUE"""),"Jl Raya ketimang KM 10, Kec. Wonoayu, Kab. Sidoarjo, Jawa Timur")</f>
        <v>Jl Raya ketimang KM 10, Kec. Wonoayu, Kab. Sidoarjo, Jawa Timur</v>
      </c>
      <c r="W2886" s="211" t="str">
        <f>IFERROR(__xludf.DUMMYFUNCTION("""COMPUTED_VALUE"""),"IN")</f>
        <v>IN</v>
      </c>
      <c r="X2886" s="211"/>
    </row>
    <row r="2887">
      <c r="A2887" s="210" t="str">
        <f>IFERROR(__xludf.DUMMYFUNCTION("""COMPUTED_VALUE"""),"1250954")</f>
        <v>1250954</v>
      </c>
      <c r="B2887" s="210" t="str">
        <f>IFERROR(__xludf.DUMMYFUNCTION("""COMPUTED_VALUE"""),"1250954")</f>
        <v>1250954</v>
      </c>
      <c r="C2887" s="213">
        <f>IFERROR(__xludf.DUMMYFUNCTION("""COMPUTED_VALUE"""),46009.494363425925)</f>
        <v>46009.49436</v>
      </c>
      <c r="D2887" s="211" t="str">
        <f>IFERROR(__xludf.DUMMYFUNCTION("""COMPUTED_VALUE"""),"e76bc39c")</f>
        <v>e76bc39c</v>
      </c>
      <c r="E2887" s="211" t="str">
        <f>IFERROR(__xludf.DUMMYFUNCTION("""COMPUTED_VALUE"""),"Bpk. Irul")</f>
        <v>Bpk. Irul</v>
      </c>
      <c r="F2887" s="211" t="str">
        <f>IFERROR(__xludf.DUMMYFUNCTION("""COMPUTED_VALUE"""),"8bdbe149")</f>
        <v>8bdbe149</v>
      </c>
      <c r="G2887" s="211" t="str">
        <f>IFERROR(__xludf.DUMMYFUNCTION("""COMPUTED_VALUE"""),"Oksigen 6m3")</f>
        <v>Oksigen 6m3</v>
      </c>
      <c r="H2887" s="211" t="str">
        <f>IFERROR(__xludf.DUMMYFUNCTION("""COMPUTED_VALUE"""),"IN")</f>
        <v>IN</v>
      </c>
      <c r="I2887" s="211" t="str">
        <f>IFERROR(__xludf.DUMMYFUNCTION("""COMPUTED_VALUE"""),"EMPTY")</f>
        <v>EMPTY</v>
      </c>
      <c r="J2887" s="211">
        <f>IFERROR(__xludf.DUMMYFUNCTION("""COMPUTED_VALUE"""),1.0)</f>
        <v>1</v>
      </c>
      <c r="K2887" s="210" t="str">
        <f>IFERROR(__xludf.DUMMYFUNCTION("""COMPUTED_VALUE"""),"11161")</f>
        <v>11161</v>
      </c>
      <c r="L2887" s="211">
        <f>IFERROR(__xludf.DUMMYFUNCTION("""COMPUTED_VALUE"""),0.0)</f>
        <v>0</v>
      </c>
      <c r="M2887" s="211"/>
      <c r="N2887" s="211"/>
      <c r="O2887" s="211"/>
      <c r="Q2887" s="210" t="str">
        <f>IFERROR(__xludf.DUMMYFUNCTION("""COMPUTED_VALUE"""),"1261427")</f>
        <v>1261427</v>
      </c>
      <c r="R2887" s="210" t="str">
        <f>IFERROR(__xludf.DUMMYFUNCTION("""COMPUTED_VALUE"""),"1261427")</f>
        <v>1261427</v>
      </c>
      <c r="S2887" s="211" t="str">
        <f>IFERROR(__xludf.DUMMYFUNCTION("""COMPUTED_VALUE"""),"58ae16eb")</f>
        <v>58ae16eb</v>
      </c>
      <c r="T2887" s="211" t="str">
        <f>IFERROR(__xludf.DUMMYFUNCTION("""COMPUTED_VALUE"""),"Bpk. Sahri")</f>
        <v>Bpk. Sahri</v>
      </c>
      <c r="U2887" s="215">
        <f>IFERROR(__xludf.DUMMYFUNCTION("""COMPUTED_VALUE"""),46098.66737268519)</f>
        <v>46098.66737</v>
      </c>
      <c r="V2887" s="211" t="str">
        <f>IFERROR(__xludf.DUMMYFUNCTION("""COMPUTED_VALUE"""),"Jl. Empu Gandring Klagen,RT.10 RW.04 Tropodo, Kec. Krian, Kabupaten Sidoarjo, Jawa Timur 61262")</f>
        <v>Jl. Empu Gandring Klagen,RT.10 RW.04 Tropodo, Kec. Krian, Kabupaten Sidoarjo, Jawa Timur 61262</v>
      </c>
      <c r="W2887" s="211" t="str">
        <f>IFERROR(__xludf.DUMMYFUNCTION("""COMPUTED_VALUE"""),"IN")</f>
        <v>IN</v>
      </c>
      <c r="X2887" s="211"/>
    </row>
    <row r="2888">
      <c r="A2888" s="210" t="str">
        <f>IFERROR(__xludf.DUMMYFUNCTION("""COMPUTED_VALUE"""),"1250954")</f>
        <v>1250954</v>
      </c>
      <c r="B2888" s="210" t="str">
        <f>IFERROR(__xludf.DUMMYFUNCTION("""COMPUTED_VALUE"""),"1250954")</f>
        <v>1250954</v>
      </c>
      <c r="C2888" s="213">
        <f>IFERROR(__xludf.DUMMYFUNCTION("""COMPUTED_VALUE"""),46009.494363425925)</f>
        <v>46009.49436</v>
      </c>
      <c r="D2888" s="211" t="str">
        <f>IFERROR(__xludf.DUMMYFUNCTION("""COMPUTED_VALUE"""),"e76bc39c")</f>
        <v>e76bc39c</v>
      </c>
      <c r="E2888" s="211" t="str">
        <f>IFERROR(__xludf.DUMMYFUNCTION("""COMPUTED_VALUE"""),"Bpk. Irul")</f>
        <v>Bpk. Irul</v>
      </c>
      <c r="F2888" s="211" t="str">
        <f>IFERROR(__xludf.DUMMYFUNCTION("""COMPUTED_VALUE"""),"be525f3b")</f>
        <v>be525f3b</v>
      </c>
      <c r="G2888" s="211" t="str">
        <f>IFERROR(__xludf.DUMMYFUNCTION("""COMPUTED_VALUE"""),"LPG 12kg")</f>
        <v>LPG 12kg</v>
      </c>
      <c r="H2888" s="211" t="str">
        <f>IFERROR(__xludf.DUMMYFUNCTION("""COMPUTED_VALUE"""),"IN")</f>
        <v>IN</v>
      </c>
      <c r="I2888" s="211" t="str">
        <f>IFERROR(__xludf.DUMMYFUNCTION("""COMPUTED_VALUE"""),"EMPTY")</f>
        <v>EMPTY</v>
      </c>
      <c r="J2888" s="211">
        <f>IFERROR(__xludf.DUMMYFUNCTION("""COMPUTED_VALUE"""),1.0)</f>
        <v>1</v>
      </c>
      <c r="K2888" s="210" t="str">
        <f>IFERROR(__xludf.DUMMYFUNCTION("""COMPUTED_VALUE"""),"01")</f>
        <v>01</v>
      </c>
      <c r="L2888" s="211">
        <f>IFERROR(__xludf.DUMMYFUNCTION("""COMPUTED_VALUE"""),0.0)</f>
        <v>0</v>
      </c>
      <c r="M2888" s="211"/>
      <c r="N2888" s="211"/>
      <c r="O2888" s="211"/>
      <c r="Q2888" s="210" t="str">
        <f>IFERROR(__xludf.DUMMYFUNCTION("""COMPUTED_VALUE"""),"1261426")</f>
        <v>1261426</v>
      </c>
      <c r="R2888" s="210" t="str">
        <f>IFERROR(__xludf.DUMMYFUNCTION("""COMPUTED_VALUE"""),"1261426")</f>
        <v>1261426</v>
      </c>
      <c r="S2888" s="211" t="str">
        <f>IFERROR(__xludf.DUMMYFUNCTION("""COMPUTED_VALUE"""),"734c6d17")</f>
        <v>734c6d17</v>
      </c>
      <c r="T2888" s="211" t="str">
        <f>IFERROR(__xludf.DUMMYFUNCTION("""COMPUTED_VALUE"""),"Bapak Ainol Yaqin ( Bpk. Ibnu )")</f>
        <v>Bapak Ainol Yaqin ( Bpk. Ibnu )</v>
      </c>
      <c r="U2888" s="215">
        <f>IFERROR(__xludf.DUMMYFUNCTION("""COMPUTED_VALUE"""),46098.66774305556)</f>
        <v>46098.66774</v>
      </c>
      <c r="V2888" s="211" t="str">
        <f>IFERROR(__xludf.DUMMYFUNCTION("""COMPUTED_VALUE"""),"Tanggul Wetan, Tanggul, Kec. Wonoayu, Kabupaten Sidoarjo, Jawa Timur")</f>
        <v>Tanggul Wetan, Tanggul, Kec. Wonoayu, Kabupaten Sidoarjo, Jawa Timur</v>
      </c>
      <c r="W2888" s="211" t="str">
        <f>IFERROR(__xludf.DUMMYFUNCTION("""COMPUTED_VALUE"""),"IN")</f>
        <v>IN</v>
      </c>
      <c r="X2888" s="211"/>
    </row>
    <row r="2889">
      <c r="A2889" s="210" t="str">
        <f>IFERROR(__xludf.DUMMYFUNCTION("""COMPUTED_VALUE"""),"1225562016")</f>
        <v>1225562016</v>
      </c>
      <c r="B2889" s="210" t="str">
        <f>IFERROR(__xludf.DUMMYFUNCTION("""COMPUTED_VALUE"""),"1225562016")</f>
        <v>1225562016</v>
      </c>
      <c r="C2889" s="213">
        <f>IFERROR(__xludf.DUMMYFUNCTION("""COMPUTED_VALUE"""),46009.59060185185)</f>
        <v>46009.5906</v>
      </c>
      <c r="D2889" s="211" t="str">
        <f>IFERROR(__xludf.DUMMYFUNCTION("""COMPUTED_VALUE"""),"b2b5f2c5")</f>
        <v>b2b5f2c5</v>
      </c>
      <c r="E2889" s="211" t="str">
        <f>IFERROR(__xludf.DUMMYFUNCTION("""COMPUTED_VALUE"""),"Bengkel Las Bpk. Ari")</f>
        <v>Bengkel Las Bpk. Ari</v>
      </c>
      <c r="F2889" s="211" t="str">
        <f>IFERROR(__xludf.DUMMYFUNCTION("""COMPUTED_VALUE"""),"ef306e54")</f>
        <v>ef306e54</v>
      </c>
      <c r="G2889" s="211" t="str">
        <f>IFERROR(__xludf.DUMMYFUNCTION("""COMPUTED_VALUE"""),"Karbondioksida")</f>
        <v>Karbondioksida</v>
      </c>
      <c r="H2889" s="211" t="str">
        <f>IFERROR(__xludf.DUMMYFUNCTION("""COMPUTED_VALUE"""),"OUT")</f>
        <v>OUT</v>
      </c>
      <c r="I2889" s="211" t="str">
        <f>IFERROR(__xludf.DUMMYFUNCTION("""COMPUTED_VALUE"""),"NORMAL")</f>
        <v>NORMAL</v>
      </c>
      <c r="J2889" s="211">
        <f>IFERROR(__xludf.DUMMYFUNCTION("""COMPUTED_VALUE"""),4.0)</f>
        <v>4</v>
      </c>
      <c r="K2889" s="210" t="str">
        <f>IFERROR(__xludf.DUMMYFUNCTION("""COMPUTED_VALUE"""),"13049 13017 13003 13002")</f>
        <v>13049 13017 13003 13002</v>
      </c>
      <c r="L2889" s="211">
        <f>IFERROR(__xludf.DUMMYFUNCTION("""COMPUTED_VALUE"""),180000.0)</f>
        <v>180000</v>
      </c>
      <c r="M2889" s="211"/>
      <c r="N2889" s="211"/>
      <c r="O2889" s="211"/>
      <c r="Q2889" s="210" t="str">
        <f>IFERROR(__xludf.DUMMYFUNCTION("""COMPUTED_VALUE"""),"1261425")</f>
        <v>1261425</v>
      </c>
      <c r="R2889" s="210" t="str">
        <f>IFERROR(__xludf.DUMMYFUNCTION("""COMPUTED_VALUE"""),"1261425")</f>
        <v>1261425</v>
      </c>
      <c r="S2889" s="211" t="str">
        <f>IFERROR(__xludf.DUMMYFUNCTION("""COMPUTED_VALUE"""),"734c6d17")</f>
        <v>734c6d17</v>
      </c>
      <c r="T2889" s="211" t="str">
        <f>IFERROR(__xludf.DUMMYFUNCTION("""COMPUTED_VALUE"""),"Bapak Ainol Yaqin ( Bpk. Ibnu )")</f>
        <v>Bapak Ainol Yaqin ( Bpk. Ibnu )</v>
      </c>
      <c r="U2889" s="215">
        <f>IFERROR(__xludf.DUMMYFUNCTION("""COMPUTED_VALUE"""),46098.6700462963)</f>
        <v>46098.67005</v>
      </c>
      <c r="V2889" s="211" t="str">
        <f>IFERROR(__xludf.DUMMYFUNCTION("""COMPUTED_VALUE"""),"Tanggul Wetan, Tanggul, Kec. Wonoayu, Kabupaten Sidoarjo, Jawa Timur")</f>
        <v>Tanggul Wetan, Tanggul, Kec. Wonoayu, Kabupaten Sidoarjo, Jawa Timur</v>
      </c>
      <c r="W2889" s="211" t="str">
        <f>IFERROR(__xludf.DUMMYFUNCTION("""COMPUTED_VALUE"""),"IN")</f>
        <v>IN</v>
      </c>
      <c r="X2889" s="211"/>
    </row>
    <row r="2890">
      <c r="A2890" s="210" t="str">
        <f>IFERROR(__xludf.DUMMYFUNCTION("""COMPUTED_VALUE"""),"122532017")</f>
        <v>122532017</v>
      </c>
      <c r="B2890" s="210" t="str">
        <f>IFERROR(__xludf.DUMMYFUNCTION("""COMPUTED_VALUE"""),"122532017")</f>
        <v>122532017</v>
      </c>
      <c r="C2890" s="213">
        <f>IFERROR(__xludf.DUMMYFUNCTION("""COMPUTED_VALUE"""),46009.591875)</f>
        <v>46009.59188</v>
      </c>
      <c r="D2890" s="211" t="str">
        <f>IFERROR(__xludf.DUMMYFUNCTION("""COMPUTED_VALUE"""),"03ff52db")</f>
        <v>03ff52db</v>
      </c>
      <c r="E2890" s="211" t="str">
        <f>IFERROR(__xludf.DUMMYFUNCTION("""COMPUTED_VALUE"""),"Aneka Teknik Logam")</f>
        <v>Aneka Teknik Logam</v>
      </c>
      <c r="F2890" s="211" t="str">
        <f>IFERROR(__xludf.DUMMYFUNCTION("""COMPUTED_VALUE"""),"f6aab7a9")</f>
        <v>f6aab7a9</v>
      </c>
      <c r="G2890" s="211" t="str">
        <f>IFERROR(__xludf.DUMMYFUNCTION("""COMPUTED_VALUE"""),"Oksigen 6m3 MR")</f>
        <v>Oksigen 6m3 MR</v>
      </c>
      <c r="H2890" s="211" t="str">
        <f>IFERROR(__xludf.DUMMYFUNCTION("""COMPUTED_VALUE"""),"OUT")</f>
        <v>OUT</v>
      </c>
      <c r="I2890" s="211" t="str">
        <f>IFERROR(__xludf.DUMMYFUNCTION("""COMPUTED_VALUE"""),"NORMAL")</f>
        <v>NORMAL</v>
      </c>
      <c r="J2890" s="211">
        <f>IFERROR(__xludf.DUMMYFUNCTION("""COMPUTED_VALUE"""),1.0)</f>
        <v>1</v>
      </c>
      <c r="K2890" s="210" t="str">
        <f>IFERROR(__xludf.DUMMYFUNCTION("""COMPUTED_VALUE"""),"01")</f>
        <v>01</v>
      </c>
      <c r="L2890" s="211">
        <f>IFERROR(__xludf.DUMMYFUNCTION("""COMPUTED_VALUE"""),60000.0)</f>
        <v>60000</v>
      </c>
      <c r="M2890" s="211"/>
      <c r="N2890" s="211"/>
      <c r="O2890" s="211"/>
      <c r="Q2890" s="210" t="str">
        <f>IFERROR(__xludf.DUMMYFUNCTION("""COMPUTED_VALUE"""),"1261428")</f>
        <v>1261428</v>
      </c>
      <c r="R2890" s="210" t="str">
        <f>IFERROR(__xludf.DUMMYFUNCTION("""COMPUTED_VALUE"""),"1261428")</f>
        <v>1261428</v>
      </c>
      <c r="S2890" s="211" t="str">
        <f>IFERROR(__xludf.DUMMYFUNCTION("""COMPUTED_VALUE"""),"8b765561")</f>
        <v>8b765561</v>
      </c>
      <c r="T2890" s="211" t="str">
        <f>IFERROR(__xludf.DUMMYFUNCTION("""COMPUTED_VALUE"""),"Bpk. Idris")</f>
        <v>Bpk. Idris</v>
      </c>
      <c r="U2890" s="215">
        <f>IFERROR(__xludf.DUMMYFUNCTION("""COMPUTED_VALUE"""),46098.671805555554)</f>
        <v>46098.67181</v>
      </c>
      <c r="V2890" s="211" t="str">
        <f>IFERROR(__xludf.DUMMYFUNCTION("""COMPUTED_VALUE"""),"JL. Soenandar Priyo Sudarmo, Balepanjang, Tropodo, Kec Krian, Kabupaten Sidoarjo, Jawa Timur")</f>
        <v>JL. Soenandar Priyo Sudarmo, Balepanjang, Tropodo, Kec Krian, Kabupaten Sidoarjo, Jawa Timur</v>
      </c>
      <c r="W2890" s="211" t="str">
        <f>IFERROR(__xludf.DUMMYFUNCTION("""COMPUTED_VALUE"""),"IN")</f>
        <v>IN</v>
      </c>
      <c r="X2890" s="211"/>
    </row>
    <row r="2891">
      <c r="A2891" s="210" t="str">
        <f>IFERROR(__xludf.DUMMYFUNCTION("""COMPUTED_VALUE"""),"1250967")</f>
        <v>1250967</v>
      </c>
      <c r="B2891" s="210" t="str">
        <f>IFERROR(__xludf.DUMMYFUNCTION("""COMPUTED_VALUE"""),"1250967")</f>
        <v>1250967</v>
      </c>
      <c r="C2891" s="213">
        <f>IFERROR(__xludf.DUMMYFUNCTION("""COMPUTED_VALUE"""),46009.599583333336)</f>
        <v>46009.59958</v>
      </c>
      <c r="D2891" s="211" t="str">
        <f>IFERROR(__xludf.DUMMYFUNCTION("""COMPUTED_VALUE"""),"ba97d58d")</f>
        <v>ba97d58d</v>
      </c>
      <c r="E2891" s="211" t="str">
        <f>IFERROR(__xludf.DUMMYFUNCTION("""COMPUTED_VALUE"""),"Bengkel Citra Mojosari")</f>
        <v>Bengkel Citra Mojosari</v>
      </c>
      <c r="F2891" s="211" t="str">
        <f>IFERROR(__xludf.DUMMYFUNCTION("""COMPUTED_VALUE"""),"7d2764f1")</f>
        <v>7d2764f1</v>
      </c>
      <c r="G2891" s="211" t="str">
        <f>IFERROR(__xludf.DUMMYFUNCTION("""COMPUTED_VALUE"""),"Oksigen 7m3")</f>
        <v>Oksigen 7m3</v>
      </c>
      <c r="H2891" s="211" t="str">
        <f>IFERROR(__xludf.DUMMYFUNCTION("""COMPUTED_VALUE"""),"IN")</f>
        <v>IN</v>
      </c>
      <c r="I2891" s="211" t="str">
        <f>IFERROR(__xludf.DUMMYFUNCTION("""COMPUTED_VALUE"""),"EMPTY")</f>
        <v>EMPTY</v>
      </c>
      <c r="J2891" s="211">
        <f>IFERROR(__xludf.DUMMYFUNCTION("""COMPUTED_VALUE"""),3.0)</f>
        <v>3</v>
      </c>
      <c r="K2891" s="210" t="str">
        <f>IFERROR(__xludf.DUMMYFUNCTION("""COMPUTED_VALUE"""),"11137 11221 11160")</f>
        <v>11137 11221 11160</v>
      </c>
      <c r="L2891" s="211">
        <f>IFERROR(__xludf.DUMMYFUNCTION("""COMPUTED_VALUE"""),0.0)</f>
        <v>0</v>
      </c>
      <c r="M2891" s="211"/>
      <c r="N2891" s="211"/>
      <c r="O2891" s="211"/>
      <c r="Q2891" s="210" t="str">
        <f>IFERROR(__xludf.DUMMYFUNCTION("""COMPUTED_VALUE"""),"1261429")</f>
        <v>1261429</v>
      </c>
      <c r="R2891" s="210" t="str">
        <f>IFERROR(__xludf.DUMMYFUNCTION("""COMPUTED_VALUE"""),"1261429")</f>
        <v>1261429</v>
      </c>
      <c r="S2891" s="211" t="str">
        <f>IFERROR(__xludf.DUMMYFUNCTION("""COMPUTED_VALUE"""),"734c6d17")</f>
        <v>734c6d17</v>
      </c>
      <c r="T2891" s="211" t="str">
        <f>IFERROR(__xludf.DUMMYFUNCTION("""COMPUTED_VALUE"""),"Bapak Ainol Yaqin ( Bpk. Ibnu )")</f>
        <v>Bapak Ainol Yaqin ( Bpk. Ibnu )</v>
      </c>
      <c r="U2891" s="215">
        <f>IFERROR(__xludf.DUMMYFUNCTION("""COMPUTED_VALUE"""),46098.67219907408)</f>
        <v>46098.6722</v>
      </c>
      <c r="V2891" s="211" t="str">
        <f>IFERROR(__xludf.DUMMYFUNCTION("""COMPUTED_VALUE"""),"Tanggul Wetan, Tanggul, Kec. Wonoayu, Kabupaten Sidoarjo, Jawa Timur")</f>
        <v>Tanggul Wetan, Tanggul, Kec. Wonoayu, Kabupaten Sidoarjo, Jawa Timur</v>
      </c>
      <c r="W2891" s="211" t="str">
        <f>IFERROR(__xludf.DUMMYFUNCTION("""COMPUTED_VALUE"""),"IN")</f>
        <v>IN</v>
      </c>
      <c r="X2891" s="211"/>
    </row>
    <row r="2892">
      <c r="A2892" s="210" t="str">
        <f>IFERROR(__xludf.DUMMYFUNCTION("""COMPUTED_VALUE"""),"1250967")</f>
        <v>1250967</v>
      </c>
      <c r="B2892" s="210" t="str">
        <f>IFERROR(__xludf.DUMMYFUNCTION("""COMPUTED_VALUE"""),"1250967")</f>
        <v>1250967</v>
      </c>
      <c r="C2892" s="213">
        <f>IFERROR(__xludf.DUMMYFUNCTION("""COMPUTED_VALUE"""),46009.599583333336)</f>
        <v>46009.59958</v>
      </c>
      <c r="D2892" s="211" t="str">
        <f>IFERROR(__xludf.DUMMYFUNCTION("""COMPUTED_VALUE"""),"ba97d58d")</f>
        <v>ba97d58d</v>
      </c>
      <c r="E2892" s="211" t="str">
        <f>IFERROR(__xludf.DUMMYFUNCTION("""COMPUTED_VALUE"""),"Bengkel Citra Mojosari")</f>
        <v>Bengkel Citra Mojosari</v>
      </c>
      <c r="F2892" s="211" t="str">
        <f>IFERROR(__xludf.DUMMYFUNCTION("""COMPUTED_VALUE"""),"8bdbe149")</f>
        <v>8bdbe149</v>
      </c>
      <c r="G2892" s="211" t="str">
        <f>IFERROR(__xludf.DUMMYFUNCTION("""COMPUTED_VALUE"""),"Oksigen 6m3")</f>
        <v>Oksigen 6m3</v>
      </c>
      <c r="H2892" s="211" t="str">
        <f>IFERROR(__xludf.DUMMYFUNCTION("""COMPUTED_VALUE"""),"IN")</f>
        <v>IN</v>
      </c>
      <c r="I2892" s="211" t="str">
        <f>IFERROR(__xludf.DUMMYFUNCTION("""COMPUTED_VALUE"""),"EMPTY")</f>
        <v>EMPTY</v>
      </c>
      <c r="J2892" s="211">
        <f>IFERROR(__xludf.DUMMYFUNCTION("""COMPUTED_VALUE"""),2.0)</f>
        <v>2</v>
      </c>
      <c r="K2892" s="210" t="str">
        <f>IFERROR(__xludf.DUMMYFUNCTION("""COMPUTED_VALUE"""),"1120 1113")</f>
        <v>1120 1113</v>
      </c>
      <c r="L2892" s="211">
        <f>IFERROR(__xludf.DUMMYFUNCTION("""COMPUTED_VALUE"""),0.0)</f>
        <v>0</v>
      </c>
      <c r="M2892" s="211"/>
      <c r="N2892" s="211"/>
      <c r="O2892" s="211"/>
      <c r="Q2892" s="210" t="str">
        <f>IFERROR(__xludf.DUMMYFUNCTION("""COMPUTED_VALUE"""),"0326132880")</f>
        <v>0326132880</v>
      </c>
      <c r="R2892" s="210" t="str">
        <f>IFERROR(__xludf.DUMMYFUNCTION("""COMPUTED_VALUE"""),"0326132880")</f>
        <v>0326132880</v>
      </c>
      <c r="S2892" s="211" t="str">
        <f>IFERROR(__xludf.DUMMYFUNCTION("""COMPUTED_VALUE"""),"9828dfc5")</f>
        <v>9828dfc5</v>
      </c>
      <c r="T2892" s="211" t="str">
        <f>IFERROR(__xludf.DUMMYFUNCTION("""COMPUTED_VALUE"""),"Bpk. David")</f>
        <v>Bpk. David</v>
      </c>
      <c r="U2892" s="215">
        <f>IFERROR(__xludf.DUMMYFUNCTION("""COMPUTED_VALUE"""),46106.35170138889)</f>
        <v>46106.3517</v>
      </c>
      <c r="V2892" s="211" t="str">
        <f>IFERROR(__xludf.DUMMYFUNCTION("""COMPUTED_VALUE"""),"GHF3+R34, Jl. Kartini, Ngingas, Ngimbangan, Kec. Mojosari, Kabupaten Mojokerto, Jawa Timur 61382")</f>
        <v>GHF3+R34, Jl. Kartini, Ngingas, Ngimbangan, Kec. Mojosari, Kabupaten Mojokerto, Jawa Timur 61382</v>
      </c>
      <c r="W2892" s="211" t="str">
        <f>IFERROR(__xludf.DUMMYFUNCTION("""COMPUTED_VALUE"""),"OUT")</f>
        <v>OUT</v>
      </c>
      <c r="X2892" s="211"/>
    </row>
    <row r="2893">
      <c r="A2893" s="210" t="str">
        <f>IFERROR(__xludf.DUMMYFUNCTION("""COMPUTED_VALUE"""),"1250968")</f>
        <v>1250968</v>
      </c>
      <c r="B2893" s="210" t="str">
        <f>IFERROR(__xludf.DUMMYFUNCTION("""COMPUTED_VALUE"""),"1250968")</f>
        <v>1250968</v>
      </c>
      <c r="C2893" s="213">
        <f>IFERROR(__xludf.DUMMYFUNCTION("""COMPUTED_VALUE"""),46009.602372685185)</f>
        <v>46009.60237</v>
      </c>
      <c r="D2893" s="211" t="str">
        <f>IFERROR(__xludf.DUMMYFUNCTION("""COMPUTED_VALUE"""),"b2b5f2c5")</f>
        <v>b2b5f2c5</v>
      </c>
      <c r="E2893" s="211" t="str">
        <f>IFERROR(__xludf.DUMMYFUNCTION("""COMPUTED_VALUE"""),"Bengkel Las Bpk. Ari")</f>
        <v>Bengkel Las Bpk. Ari</v>
      </c>
      <c r="F2893" s="211" t="str">
        <f>IFERROR(__xludf.DUMMYFUNCTION("""COMPUTED_VALUE"""),"ef306e54")</f>
        <v>ef306e54</v>
      </c>
      <c r="G2893" s="211" t="str">
        <f>IFERROR(__xludf.DUMMYFUNCTION("""COMPUTED_VALUE"""),"Karbondioksida")</f>
        <v>Karbondioksida</v>
      </c>
      <c r="H2893" s="211" t="str">
        <f>IFERROR(__xludf.DUMMYFUNCTION("""COMPUTED_VALUE"""),"IN")</f>
        <v>IN</v>
      </c>
      <c r="I2893" s="211" t="str">
        <f>IFERROR(__xludf.DUMMYFUNCTION("""COMPUTED_VALUE"""),"EMPTY")</f>
        <v>EMPTY</v>
      </c>
      <c r="J2893" s="211">
        <f>IFERROR(__xludf.DUMMYFUNCTION("""COMPUTED_VALUE"""),4.0)</f>
        <v>4</v>
      </c>
      <c r="K2893" s="210" t="str">
        <f>IFERROR(__xludf.DUMMYFUNCTION("""COMPUTED_VALUE"""),"13005 13007 13018 13048")</f>
        <v>13005 13007 13018 13048</v>
      </c>
      <c r="L2893" s="211">
        <f>IFERROR(__xludf.DUMMYFUNCTION("""COMPUTED_VALUE"""),0.0)</f>
        <v>0</v>
      </c>
      <c r="M2893" s="211"/>
      <c r="N2893" s="211"/>
      <c r="O2893" s="211"/>
      <c r="Q2893" s="210" t="str">
        <f>IFERROR(__xludf.DUMMYFUNCTION("""COMPUTED_VALUE"""),"0326232893")</f>
        <v>0326232893</v>
      </c>
      <c r="R2893" s="210" t="str">
        <f>IFERROR(__xludf.DUMMYFUNCTION("""COMPUTED_VALUE"""),"0326232893")</f>
        <v>0326232893</v>
      </c>
      <c r="S2893" s="211" t="str">
        <f>IFERROR(__xludf.DUMMYFUNCTION("""COMPUTED_VALUE"""),"b218b89b")</f>
        <v>b218b89b</v>
      </c>
      <c r="T2893" s="211" t="str">
        <f>IFERROR(__xludf.DUMMYFUNCTION("""COMPUTED_VALUE"""),"PT Harapan Sentosa")</f>
        <v>PT Harapan Sentosa</v>
      </c>
      <c r="U2893" s="215">
        <f>IFERROR(__xludf.DUMMYFUNCTION("""COMPUTED_VALUE"""),46106.42643518518)</f>
        <v>46106.42644</v>
      </c>
      <c r="V2893" s="211" t="str">
        <f>IFERROR(__xludf.DUMMYFUNCTION("""COMPUTED_VALUE"""),"Seketi, Jl. Purboyo II Selatan, RT.02/RW.02, Seketi, Kec. BalongBendo, Kabupaten Sidoarjo, Jawa Timur 61263")</f>
        <v>Seketi, Jl. Purboyo II Selatan, RT.02/RW.02, Seketi, Kec. BalongBendo, Kabupaten Sidoarjo, Jawa Timur 61263</v>
      </c>
      <c r="W2893" s="211" t="str">
        <f>IFERROR(__xludf.DUMMYFUNCTION("""COMPUTED_VALUE"""),"OUT")</f>
        <v>OUT</v>
      </c>
      <c r="X2893" s="211"/>
    </row>
    <row r="2894">
      <c r="A2894" s="210" t="str">
        <f>IFERROR(__xludf.DUMMYFUNCTION("""COMPUTED_VALUE"""),"1250968")</f>
        <v>1250968</v>
      </c>
      <c r="B2894" s="210" t="str">
        <f>IFERROR(__xludf.DUMMYFUNCTION("""COMPUTED_VALUE"""),"1250968")</f>
        <v>1250968</v>
      </c>
      <c r="C2894" s="213">
        <f>IFERROR(__xludf.DUMMYFUNCTION("""COMPUTED_VALUE"""),46009.602372685185)</f>
        <v>46009.60237</v>
      </c>
      <c r="D2894" s="211" t="str">
        <f>IFERROR(__xludf.DUMMYFUNCTION("""COMPUTED_VALUE"""),"b2b5f2c5")</f>
        <v>b2b5f2c5</v>
      </c>
      <c r="E2894" s="211" t="str">
        <f>IFERROR(__xludf.DUMMYFUNCTION("""COMPUTED_VALUE"""),"Bengkel Las Bpk. Ari")</f>
        <v>Bengkel Las Bpk. Ari</v>
      </c>
      <c r="F2894" s="211" t="str">
        <f>IFERROR(__xludf.DUMMYFUNCTION("""COMPUTED_VALUE"""),"8bdbe149")</f>
        <v>8bdbe149</v>
      </c>
      <c r="G2894" s="211" t="str">
        <f>IFERROR(__xludf.DUMMYFUNCTION("""COMPUTED_VALUE"""),"Oksigen 6m3")</f>
        <v>Oksigen 6m3</v>
      </c>
      <c r="H2894" s="211" t="str">
        <f>IFERROR(__xludf.DUMMYFUNCTION("""COMPUTED_VALUE"""),"IN")</f>
        <v>IN</v>
      </c>
      <c r="I2894" s="211" t="str">
        <f>IFERROR(__xludf.DUMMYFUNCTION("""COMPUTED_VALUE"""),"EMPTY")</f>
        <v>EMPTY</v>
      </c>
      <c r="J2894" s="211">
        <f>IFERROR(__xludf.DUMMYFUNCTION("""COMPUTED_VALUE"""),2.0)</f>
        <v>2</v>
      </c>
      <c r="K2894" s="210" t="str">
        <f>IFERROR(__xludf.DUMMYFUNCTION("""COMPUTED_VALUE"""),"11140 11266")</f>
        <v>11140 11266</v>
      </c>
      <c r="L2894" s="211">
        <f>IFERROR(__xludf.DUMMYFUNCTION("""COMPUTED_VALUE"""),0.0)</f>
        <v>0</v>
      </c>
      <c r="M2894" s="211"/>
      <c r="N2894" s="211"/>
      <c r="O2894" s="211"/>
      <c r="Q2894" s="210" t="str">
        <f>IFERROR(__xludf.DUMMYFUNCTION("""COMPUTED_VALUE"""),"1261435")</f>
        <v>1261435</v>
      </c>
      <c r="R2894" s="210" t="str">
        <f>IFERROR(__xludf.DUMMYFUNCTION("""COMPUTED_VALUE"""),"1261435")</f>
        <v>1261435</v>
      </c>
      <c r="S2894" s="211" t="str">
        <f>IFERROR(__xludf.DUMMYFUNCTION("""COMPUTED_VALUE"""),"9828dfc5")</f>
        <v>9828dfc5</v>
      </c>
      <c r="T2894" s="211" t="str">
        <f>IFERROR(__xludf.DUMMYFUNCTION("""COMPUTED_VALUE"""),"Bpk. David")</f>
        <v>Bpk. David</v>
      </c>
      <c r="U2894" s="215">
        <f>IFERROR(__xludf.DUMMYFUNCTION("""COMPUTED_VALUE"""),46106.45930555555)</f>
        <v>46106.45931</v>
      </c>
      <c r="V2894" s="211" t="str">
        <f>IFERROR(__xludf.DUMMYFUNCTION("""COMPUTED_VALUE"""),"GHF3+R34, Jl. Kartini, Ngingas, Ngimbangan, Kec. Mojosari, Kabupaten Mojokerto, Jawa Timur 61382")</f>
        <v>GHF3+R34, Jl. Kartini, Ngingas, Ngimbangan, Kec. Mojosari, Kabupaten Mojokerto, Jawa Timur 61382</v>
      </c>
      <c r="W2894" s="211" t="str">
        <f>IFERROR(__xludf.DUMMYFUNCTION("""COMPUTED_VALUE"""),"IN")</f>
        <v>IN</v>
      </c>
      <c r="X2894" s="211"/>
    </row>
    <row r="2895">
      <c r="A2895" s="210" t="str">
        <f>IFERROR(__xludf.DUMMYFUNCTION("""COMPUTED_VALUE"""),"1250968")</f>
        <v>1250968</v>
      </c>
      <c r="B2895" s="210" t="str">
        <f>IFERROR(__xludf.DUMMYFUNCTION("""COMPUTED_VALUE"""),"1250968")</f>
        <v>1250968</v>
      </c>
      <c r="C2895" s="213">
        <f>IFERROR(__xludf.DUMMYFUNCTION("""COMPUTED_VALUE"""),46009.602372685185)</f>
        <v>46009.60237</v>
      </c>
      <c r="D2895" s="211" t="str">
        <f>IFERROR(__xludf.DUMMYFUNCTION("""COMPUTED_VALUE"""),"b2b5f2c5")</f>
        <v>b2b5f2c5</v>
      </c>
      <c r="E2895" s="211" t="str">
        <f>IFERROR(__xludf.DUMMYFUNCTION("""COMPUTED_VALUE"""),"Bengkel Las Bpk. Ari")</f>
        <v>Bengkel Las Bpk. Ari</v>
      </c>
      <c r="F2895" s="211" t="str">
        <f>IFERROR(__xludf.DUMMYFUNCTION("""COMPUTED_VALUE"""),"7d2764f1")</f>
        <v>7d2764f1</v>
      </c>
      <c r="G2895" s="211" t="str">
        <f>IFERROR(__xludf.DUMMYFUNCTION("""COMPUTED_VALUE"""),"Oksigen 7m3")</f>
        <v>Oksigen 7m3</v>
      </c>
      <c r="H2895" s="211" t="str">
        <f>IFERROR(__xludf.DUMMYFUNCTION("""COMPUTED_VALUE"""),"IN")</f>
        <v>IN</v>
      </c>
      <c r="I2895" s="211" t="str">
        <f>IFERROR(__xludf.DUMMYFUNCTION("""COMPUTED_VALUE"""),"EMPTY")</f>
        <v>EMPTY</v>
      </c>
      <c r="J2895" s="211">
        <f>IFERROR(__xludf.DUMMYFUNCTION("""COMPUTED_VALUE"""),2.0)</f>
        <v>2</v>
      </c>
      <c r="K2895" s="210" t="str">
        <f>IFERROR(__xludf.DUMMYFUNCTION("""COMPUTED_VALUE"""),"11220 11226")</f>
        <v>11220 11226</v>
      </c>
      <c r="L2895" s="211">
        <f>IFERROR(__xludf.DUMMYFUNCTION("""COMPUTED_VALUE"""),0.0)</f>
        <v>0</v>
      </c>
      <c r="M2895" s="211"/>
      <c r="N2895" s="211"/>
      <c r="O2895" s="211"/>
      <c r="Q2895" s="210" t="str">
        <f>IFERROR(__xludf.DUMMYFUNCTION("""COMPUTED_VALUE"""),"1261450")</f>
        <v>1261450</v>
      </c>
      <c r="R2895" s="210" t="str">
        <f>IFERROR(__xludf.DUMMYFUNCTION("""COMPUTED_VALUE"""),"1261450")</f>
        <v>1261450</v>
      </c>
      <c r="S2895" s="211" t="str">
        <f>IFERROR(__xludf.DUMMYFUNCTION("""COMPUTED_VALUE"""),"b218b89b")</f>
        <v>b218b89b</v>
      </c>
      <c r="T2895" s="211" t="str">
        <f>IFERROR(__xludf.DUMMYFUNCTION("""COMPUTED_VALUE"""),"PT Harapan Sentosa")</f>
        <v>PT Harapan Sentosa</v>
      </c>
      <c r="U2895" s="215">
        <f>IFERROR(__xludf.DUMMYFUNCTION("""COMPUTED_VALUE"""),46106.55297453704)</f>
        <v>46106.55297</v>
      </c>
      <c r="V2895" s="211" t="str">
        <f>IFERROR(__xludf.DUMMYFUNCTION("""COMPUTED_VALUE"""),"Seketi, Jl. Purboyo II Selatan, RT.02/RW.02, Seketi, Kec. BalongBendo, Kabupaten Sidoarjo, Jawa Timur 61263")</f>
        <v>Seketi, Jl. Purboyo II Selatan, RT.02/RW.02, Seketi, Kec. BalongBendo, Kabupaten Sidoarjo, Jawa Timur 61263</v>
      </c>
      <c r="W2895" s="211" t="str">
        <f>IFERROR(__xludf.DUMMYFUNCTION("""COMPUTED_VALUE"""),"IN")</f>
        <v>IN</v>
      </c>
      <c r="X2895" s="211"/>
    </row>
    <row r="2896">
      <c r="A2896" s="210" t="str">
        <f>IFERROR(__xludf.DUMMYFUNCTION("""COMPUTED_VALUE"""),"1225332026")</f>
        <v>1225332026</v>
      </c>
      <c r="B2896" s="210" t="str">
        <f>IFERROR(__xludf.DUMMYFUNCTION("""COMPUTED_VALUE"""),"1225332026")</f>
        <v>1225332026</v>
      </c>
      <c r="C2896" s="213">
        <f>IFERROR(__xludf.DUMMYFUNCTION("""COMPUTED_VALUE"""),46009.70923611111)</f>
        <v>46009.70924</v>
      </c>
      <c r="D2896" s="211" t="str">
        <f>IFERROR(__xludf.DUMMYFUNCTION("""COMPUTED_VALUE"""),"ec231cc9")</f>
        <v>ec231cc9</v>
      </c>
      <c r="E2896" s="211" t="str">
        <f>IFERROR(__xludf.DUMMYFUNCTION("""COMPUTED_VALUE"""),"Bpk. Kohir (Maintenance Velg)")</f>
        <v>Bpk. Kohir (Maintenance Velg)</v>
      </c>
      <c r="F2896" s="211" t="str">
        <f>IFERROR(__xludf.DUMMYFUNCTION("""COMPUTED_VALUE"""),"8bdbe149")</f>
        <v>8bdbe149</v>
      </c>
      <c r="G2896" s="211" t="str">
        <f>IFERROR(__xludf.DUMMYFUNCTION("""COMPUTED_VALUE"""),"Oksigen 6m3")</f>
        <v>Oksigen 6m3</v>
      </c>
      <c r="H2896" s="211" t="str">
        <f>IFERROR(__xludf.DUMMYFUNCTION("""COMPUTED_VALUE"""),"OUT")</f>
        <v>OUT</v>
      </c>
      <c r="I2896" s="211" t="str">
        <f>IFERROR(__xludf.DUMMYFUNCTION("""COMPUTED_VALUE"""),"NORMAL")</f>
        <v>NORMAL</v>
      </c>
      <c r="J2896" s="211">
        <f>IFERROR(__xludf.DUMMYFUNCTION("""COMPUTED_VALUE"""),4.0)</f>
        <v>4</v>
      </c>
      <c r="K2896" s="210" t="str">
        <f>IFERROR(__xludf.DUMMYFUNCTION("""COMPUTED_VALUE"""),"11104 1113 1120 11103")</f>
        <v>11104 1113 1120 11103</v>
      </c>
      <c r="L2896" s="211">
        <f>IFERROR(__xludf.DUMMYFUNCTION("""COMPUTED_VALUE"""),55000.0)</f>
        <v>55000</v>
      </c>
      <c r="M2896" s="211"/>
      <c r="N2896" s="211"/>
      <c r="O2896" s="211"/>
      <c r="Q2896" s="210" t="str">
        <f>IFERROR(__xludf.DUMMYFUNCTION("""COMPUTED_VALUE"""),"0326952894")</f>
        <v>0326952894</v>
      </c>
      <c r="R2896" s="210" t="str">
        <f>IFERROR(__xludf.DUMMYFUNCTION("""COMPUTED_VALUE"""),"0326952894")</f>
        <v>0326952894</v>
      </c>
      <c r="S2896" s="211" t="str">
        <f>IFERROR(__xludf.DUMMYFUNCTION("""COMPUTED_VALUE"""),"b2b5f2c5")</f>
        <v>b2b5f2c5</v>
      </c>
      <c r="T2896" s="211" t="str">
        <f>IFERROR(__xludf.DUMMYFUNCTION("""COMPUTED_VALUE"""),"Bengkel Las Bpk. Ari")</f>
        <v>Bengkel Las Bpk. Ari</v>
      </c>
      <c r="U2896" s="215">
        <f>IFERROR(__xludf.DUMMYFUNCTION("""COMPUTED_VALUE"""),46107.39672453704)</f>
        <v>46107.39672</v>
      </c>
      <c r="V2896" s="211" t="str">
        <f>IFERROR(__xludf.DUMMYFUNCTION("""COMPUTED_VALUE"""),"Sumber Kembar, Wonodadi, Kec. Kutorejo, Kabupaten Mojokerto, Jawa Timur")</f>
        <v>Sumber Kembar, Wonodadi, Kec. Kutorejo, Kabupaten Mojokerto, Jawa Timur</v>
      </c>
      <c r="W2896" s="211" t="str">
        <f>IFERROR(__xludf.DUMMYFUNCTION("""COMPUTED_VALUE"""),"OUT")</f>
        <v>OUT</v>
      </c>
      <c r="X2896" s="211"/>
    </row>
    <row r="2897">
      <c r="A2897" s="210" t="str">
        <f>IFERROR(__xludf.DUMMYFUNCTION("""COMPUTED_VALUE"""),"250971")</f>
        <v>250971</v>
      </c>
      <c r="B2897" s="210" t="str">
        <f>IFERROR(__xludf.DUMMYFUNCTION("""COMPUTED_VALUE"""),"250971")</f>
        <v>250971</v>
      </c>
      <c r="C2897" s="213">
        <f>IFERROR(__xludf.DUMMYFUNCTION("""COMPUTED_VALUE"""),46010.3491087963)</f>
        <v>46010.34911</v>
      </c>
      <c r="D2897" s="211" t="str">
        <f>IFERROR(__xludf.DUMMYFUNCTION("""COMPUTED_VALUE"""),"8f5ebaea")</f>
        <v>8f5ebaea</v>
      </c>
      <c r="E2897" s="211" t="str">
        <f>IFERROR(__xludf.DUMMYFUNCTION("""COMPUTED_VALUE"""),"PT Hua Zong Mesindo")</f>
        <v>PT Hua Zong Mesindo</v>
      </c>
      <c r="F2897" s="211" t="str">
        <f>IFERROR(__xludf.DUMMYFUNCTION("""COMPUTED_VALUE"""),"8bdbe149")</f>
        <v>8bdbe149</v>
      </c>
      <c r="G2897" s="211" t="str">
        <f>IFERROR(__xludf.DUMMYFUNCTION("""COMPUTED_VALUE"""),"Oksigen 6m3")</f>
        <v>Oksigen 6m3</v>
      </c>
      <c r="H2897" s="211" t="str">
        <f>IFERROR(__xludf.DUMMYFUNCTION("""COMPUTED_VALUE"""),"IN")</f>
        <v>IN</v>
      </c>
      <c r="I2897" s="211" t="str">
        <f>IFERROR(__xludf.DUMMYFUNCTION("""COMPUTED_VALUE"""),"EMPTY")</f>
        <v>EMPTY</v>
      </c>
      <c r="J2897" s="211">
        <f>IFERROR(__xludf.DUMMYFUNCTION("""COMPUTED_VALUE"""),1.0)</f>
        <v>1</v>
      </c>
      <c r="K2897" s="210" t="str">
        <f>IFERROR(__xludf.DUMMYFUNCTION("""COMPUTED_VALUE"""),"1154")</f>
        <v>1154</v>
      </c>
      <c r="L2897" s="211">
        <f>IFERROR(__xludf.DUMMYFUNCTION("""COMPUTED_VALUE"""),0.0)</f>
        <v>0</v>
      </c>
      <c r="M2897" s="211"/>
      <c r="N2897" s="211"/>
      <c r="O2897" s="211"/>
      <c r="Q2897" s="210" t="str">
        <f>IFERROR(__xludf.DUMMYFUNCTION("""COMPUTED_VALUE"""),"1261447")</f>
        <v>1261447</v>
      </c>
      <c r="R2897" s="210" t="str">
        <f>IFERROR(__xludf.DUMMYFUNCTION("""COMPUTED_VALUE"""),"1261447")</f>
        <v>1261447</v>
      </c>
      <c r="S2897" s="211" t="str">
        <f>IFERROR(__xludf.DUMMYFUNCTION("""COMPUTED_VALUE"""),"1c4d5e93")</f>
        <v>1c4d5e93</v>
      </c>
      <c r="T2897" s="211" t="str">
        <f>IFERROR(__xludf.DUMMYFUNCTION("""COMPUTED_VALUE"""),"Karoseri Cipta Mitra Sukses")</f>
        <v>Karoseri Cipta Mitra Sukses</v>
      </c>
      <c r="U2897" s="215">
        <f>IFERROR(__xludf.DUMMYFUNCTION("""COMPUTED_VALUE"""),46107.49055555555)</f>
        <v>46107.49056</v>
      </c>
      <c r="V2897" s="211" t="str">
        <f>IFERROR(__xludf.DUMMYFUNCTION("""COMPUTED_VALUE"""),"JL. Bypass Krian No. 7800, Blok B No 11. Barengkrajan, Kec. Krian, Kabupaten Sidoarjo, Jawa Timur  61262")</f>
        <v>JL. Bypass Krian No. 7800, Blok B No 11. Barengkrajan, Kec. Krian, Kabupaten Sidoarjo, Jawa Timur  61262</v>
      </c>
      <c r="W2897" s="211" t="str">
        <f>IFERROR(__xludf.DUMMYFUNCTION("""COMPUTED_VALUE"""),"IN")</f>
        <v>IN</v>
      </c>
      <c r="X2897" s="211"/>
    </row>
    <row r="2898">
      <c r="A2898" s="210" t="str">
        <f>IFERROR(__xludf.DUMMYFUNCTION("""COMPUTED_VALUE"""),"1250972")</f>
        <v>1250972</v>
      </c>
      <c r="B2898" s="210" t="str">
        <f>IFERROR(__xludf.DUMMYFUNCTION("""COMPUTED_VALUE"""),"1250972")</f>
        <v>1250972</v>
      </c>
      <c r="C2898" s="213">
        <f>IFERROR(__xludf.DUMMYFUNCTION("""COMPUTED_VALUE"""),46010.35034722222)</f>
        <v>46010.35035</v>
      </c>
      <c r="D2898" s="211" t="str">
        <f>IFERROR(__xludf.DUMMYFUNCTION("""COMPUTED_VALUE"""),"03ff52db")</f>
        <v>03ff52db</v>
      </c>
      <c r="E2898" s="211" t="str">
        <f>IFERROR(__xludf.DUMMYFUNCTION("""COMPUTED_VALUE"""),"Aneka Teknik Logam")</f>
        <v>Aneka Teknik Logam</v>
      </c>
      <c r="F2898" s="211" t="str">
        <f>IFERROR(__xludf.DUMMYFUNCTION("""COMPUTED_VALUE"""),"f6aab7a9")</f>
        <v>f6aab7a9</v>
      </c>
      <c r="G2898" s="211" t="str">
        <f>IFERROR(__xludf.DUMMYFUNCTION("""COMPUTED_VALUE"""),"Oksigen 6m3 MR")</f>
        <v>Oksigen 6m3 MR</v>
      </c>
      <c r="H2898" s="211" t="str">
        <f>IFERROR(__xludf.DUMMYFUNCTION("""COMPUTED_VALUE"""),"IN")</f>
        <v>IN</v>
      </c>
      <c r="I2898" s="211" t="str">
        <f>IFERROR(__xludf.DUMMYFUNCTION("""COMPUTED_VALUE"""),"EMPTY")</f>
        <v>EMPTY</v>
      </c>
      <c r="J2898" s="211">
        <f>IFERROR(__xludf.DUMMYFUNCTION("""COMPUTED_VALUE"""),2.0)</f>
        <v>2</v>
      </c>
      <c r="K2898" s="210" t="str">
        <f>IFERROR(__xludf.DUMMYFUNCTION("""COMPUTED_VALUE"""),"01 02")</f>
        <v>01 02</v>
      </c>
      <c r="L2898" s="211">
        <f>IFERROR(__xludf.DUMMYFUNCTION("""COMPUTED_VALUE"""),0.0)</f>
        <v>0</v>
      </c>
      <c r="M2898" s="211"/>
      <c r="N2898" s="211"/>
      <c r="O2898" s="211"/>
      <c r="Q2898" s="210" t="str">
        <f>IFERROR(__xludf.DUMMYFUNCTION("""COMPUTED_VALUE"""),"1261449")</f>
        <v>1261449</v>
      </c>
      <c r="R2898" s="210" t="str">
        <f>IFERROR(__xludf.DUMMYFUNCTION("""COMPUTED_VALUE"""),"1261449")</f>
        <v>1261449</v>
      </c>
      <c r="S2898" s="211" t="str">
        <f>IFERROR(__xludf.DUMMYFUNCTION("""COMPUTED_VALUE"""),"9e5d8274")</f>
        <v>9e5d8274</v>
      </c>
      <c r="T2898" s="211" t="str">
        <f>IFERROR(__xludf.DUMMYFUNCTION("""COMPUTED_VALUE"""),"Bpk. Erry ( Lik Trosobo )")</f>
        <v>Bpk. Erry ( Lik Trosobo )</v>
      </c>
      <c r="U2898" s="215">
        <f>IFERROR(__xludf.DUMMYFUNCTION("""COMPUTED_VALUE"""),46107.49103009259)</f>
        <v>46107.49103</v>
      </c>
      <c r="V2898" s="211" t="str">
        <f>IFERROR(__xludf.DUMMYFUNCTION("""COMPUTED_VALUE"""),"Trosobo Taman")</f>
        <v>Trosobo Taman</v>
      </c>
      <c r="W2898" s="211" t="str">
        <f>IFERROR(__xludf.DUMMYFUNCTION("""COMPUTED_VALUE"""),"IN")</f>
        <v>IN</v>
      </c>
      <c r="X2898" s="211"/>
    </row>
    <row r="2899">
      <c r="A2899" s="210" t="str">
        <f>IFERROR(__xludf.DUMMYFUNCTION("""COMPUTED_VALUE"""),"122542029")</f>
        <v>122542029</v>
      </c>
      <c r="B2899" s="210" t="str">
        <f>IFERROR(__xludf.DUMMYFUNCTION("""COMPUTED_VALUE"""),"122542029")</f>
        <v>122542029</v>
      </c>
      <c r="C2899" s="213">
        <f>IFERROR(__xludf.DUMMYFUNCTION("""COMPUTED_VALUE"""),46010.35325231482)</f>
        <v>46010.35325</v>
      </c>
      <c r="D2899" s="211" t="str">
        <f>IFERROR(__xludf.DUMMYFUNCTION("""COMPUTED_VALUE"""),"9b941888")</f>
        <v>9b941888</v>
      </c>
      <c r="E2899" s="211" t="str">
        <f>IFERROR(__xludf.DUMMYFUNCTION("""COMPUTED_VALUE"""),"Mas Devi ( Parengan )")</f>
        <v>Mas Devi ( Parengan )</v>
      </c>
      <c r="F2899" s="211" t="str">
        <f>IFERROR(__xludf.DUMMYFUNCTION("""COMPUTED_VALUE"""),"7d2764f1")</f>
        <v>7d2764f1</v>
      </c>
      <c r="G2899" s="211" t="str">
        <f>IFERROR(__xludf.DUMMYFUNCTION("""COMPUTED_VALUE"""),"Oksigen 7m3")</f>
        <v>Oksigen 7m3</v>
      </c>
      <c r="H2899" s="211" t="str">
        <f>IFERROR(__xludf.DUMMYFUNCTION("""COMPUTED_VALUE"""),"OUT")</f>
        <v>OUT</v>
      </c>
      <c r="I2899" s="211" t="str">
        <f>IFERROR(__xludf.DUMMYFUNCTION("""COMPUTED_VALUE"""),"NORMAL")</f>
        <v>NORMAL</v>
      </c>
      <c r="J2899" s="211">
        <f>IFERROR(__xludf.DUMMYFUNCTION("""COMPUTED_VALUE"""),1.0)</f>
        <v>1</v>
      </c>
      <c r="K2899" s="210" t="str">
        <f>IFERROR(__xludf.DUMMYFUNCTION("""COMPUTED_VALUE"""),"11160")</f>
        <v>11160</v>
      </c>
      <c r="L2899" s="211">
        <f>IFERROR(__xludf.DUMMYFUNCTION("""COMPUTED_VALUE"""),80000.0)</f>
        <v>80000</v>
      </c>
      <c r="M2899" s="211"/>
      <c r="N2899" s="211"/>
      <c r="O2899" s="211"/>
      <c r="Q2899" s="210" t="str">
        <f>IFERROR(__xludf.DUMMYFUNCTION("""COMPUTED_VALUE"""),"1261448")</f>
        <v>1261448</v>
      </c>
      <c r="R2899" s="210" t="str">
        <f>IFERROR(__xludf.DUMMYFUNCTION("""COMPUTED_VALUE"""),"1261448")</f>
        <v>1261448</v>
      </c>
      <c r="S2899" s="211" t="str">
        <f>IFERROR(__xludf.DUMMYFUNCTION("""COMPUTED_VALUE"""),"a0f0ad2d")</f>
        <v>a0f0ad2d</v>
      </c>
      <c r="T2899" s="211" t="str">
        <f>IFERROR(__xludf.DUMMYFUNCTION("""COMPUTED_VALUE"""),"CV. Yulie Jaya")</f>
        <v>CV. Yulie Jaya</v>
      </c>
      <c r="U2899" s="215">
        <f>IFERROR(__xludf.DUMMYFUNCTION("""COMPUTED_VALUE"""),46107.49145833333)</f>
        <v>46107.49146</v>
      </c>
      <c r="V2899" s="211" t="str">
        <f>IFERROR(__xludf.DUMMYFUNCTION("""COMPUTED_VALUE"""),"JJH4+6RV, Badas, Barengkrajan, Kec. Krian, Kabupaten Sidoarjo, Jawa Timur 61262")</f>
        <v>JJH4+6RV, Badas, Barengkrajan, Kec. Krian, Kabupaten Sidoarjo, Jawa Timur 61262</v>
      </c>
      <c r="W2899" s="211" t="str">
        <f>IFERROR(__xludf.DUMMYFUNCTION("""COMPUTED_VALUE"""),"IN")</f>
        <v>IN</v>
      </c>
      <c r="X2899" s="211"/>
    </row>
    <row r="2900">
      <c r="A2900" s="210" t="str">
        <f>IFERROR(__xludf.DUMMYFUNCTION("""COMPUTED_VALUE"""),"1250973")</f>
        <v>1250973</v>
      </c>
      <c r="B2900" s="210" t="str">
        <f>IFERROR(__xludf.DUMMYFUNCTION("""COMPUTED_VALUE"""),"1250973")</f>
        <v>1250973</v>
      </c>
      <c r="C2900" s="213">
        <f>IFERROR(__xludf.DUMMYFUNCTION("""COMPUTED_VALUE"""),46010.3596412037)</f>
        <v>46010.35964</v>
      </c>
      <c r="D2900" s="211" t="str">
        <f>IFERROR(__xludf.DUMMYFUNCTION("""COMPUTED_VALUE"""),"ec231cc9")</f>
        <v>ec231cc9</v>
      </c>
      <c r="E2900" s="211" t="str">
        <f>IFERROR(__xludf.DUMMYFUNCTION("""COMPUTED_VALUE"""),"Bpk. Kohir (Maintenance Velg)")</f>
        <v>Bpk. Kohir (Maintenance Velg)</v>
      </c>
      <c r="F2900" s="211" t="str">
        <f>IFERROR(__xludf.DUMMYFUNCTION("""COMPUTED_VALUE"""),"8bdbe149")</f>
        <v>8bdbe149</v>
      </c>
      <c r="G2900" s="211" t="str">
        <f>IFERROR(__xludf.DUMMYFUNCTION("""COMPUTED_VALUE"""),"Oksigen 6m3")</f>
        <v>Oksigen 6m3</v>
      </c>
      <c r="H2900" s="211" t="str">
        <f>IFERROR(__xludf.DUMMYFUNCTION("""COMPUTED_VALUE"""),"IN")</f>
        <v>IN</v>
      </c>
      <c r="I2900" s="211" t="str">
        <f>IFERROR(__xludf.DUMMYFUNCTION("""COMPUTED_VALUE"""),"EMPTY")</f>
        <v>EMPTY</v>
      </c>
      <c r="J2900" s="211">
        <f>IFERROR(__xludf.DUMMYFUNCTION("""COMPUTED_VALUE"""),3.0)</f>
        <v>3</v>
      </c>
      <c r="K2900" s="210" t="str">
        <f>IFERROR(__xludf.DUMMYFUNCTION("""COMPUTED_VALUE"""),"1136 11200 11310")</f>
        <v>1136 11200 11310</v>
      </c>
      <c r="L2900" s="211">
        <f>IFERROR(__xludf.DUMMYFUNCTION("""COMPUTED_VALUE"""),0.0)</f>
        <v>0</v>
      </c>
      <c r="M2900" s="211"/>
      <c r="N2900" s="211"/>
      <c r="O2900" s="211"/>
      <c r="Q2900" s="210" t="str">
        <f>IFERROR(__xludf.DUMMYFUNCTION("""COMPUTED_VALUE"""),"1261437")</f>
        <v>1261437</v>
      </c>
      <c r="R2900" s="210" t="str">
        <f>IFERROR(__xludf.DUMMYFUNCTION("""COMPUTED_VALUE"""),"1261437")</f>
        <v>1261437</v>
      </c>
      <c r="S2900" s="211" t="str">
        <f>IFERROR(__xludf.DUMMYFUNCTION("""COMPUTED_VALUE"""),"b2b5f2c5")</f>
        <v>b2b5f2c5</v>
      </c>
      <c r="T2900" s="211" t="str">
        <f>IFERROR(__xludf.DUMMYFUNCTION("""COMPUTED_VALUE"""),"Bengkel Las Bpk. Ari")</f>
        <v>Bengkel Las Bpk. Ari</v>
      </c>
      <c r="U2900" s="215">
        <f>IFERROR(__xludf.DUMMYFUNCTION("""COMPUTED_VALUE"""),46107.53871527778)</f>
        <v>46107.53872</v>
      </c>
      <c r="V2900" s="211" t="str">
        <f>IFERROR(__xludf.DUMMYFUNCTION("""COMPUTED_VALUE"""),"Sumber Kembar, Wonodadi, Kec. Kutorejo, Kabupaten Mojokerto, Jawa Timur")</f>
        <v>Sumber Kembar, Wonodadi, Kec. Kutorejo, Kabupaten Mojokerto, Jawa Timur</v>
      </c>
      <c r="W2900" s="211" t="str">
        <f>IFERROR(__xludf.DUMMYFUNCTION("""COMPUTED_VALUE"""),"IN")</f>
        <v>IN</v>
      </c>
      <c r="X2900" s="211"/>
    </row>
    <row r="2901">
      <c r="A2901" s="210" t="str">
        <f>IFERROR(__xludf.DUMMYFUNCTION("""COMPUTED_VALUE"""),"1250973")</f>
        <v>1250973</v>
      </c>
      <c r="B2901" s="210" t="str">
        <f>IFERROR(__xludf.DUMMYFUNCTION("""COMPUTED_VALUE"""),"1250973")</f>
        <v>1250973</v>
      </c>
      <c r="C2901" s="213">
        <f>IFERROR(__xludf.DUMMYFUNCTION("""COMPUTED_VALUE"""),46010.3596412037)</f>
        <v>46010.35964</v>
      </c>
      <c r="D2901" s="211" t="str">
        <f>IFERROR(__xludf.DUMMYFUNCTION("""COMPUTED_VALUE"""),"ec231cc9")</f>
        <v>ec231cc9</v>
      </c>
      <c r="E2901" s="211" t="str">
        <f>IFERROR(__xludf.DUMMYFUNCTION("""COMPUTED_VALUE"""),"Bpk. Kohir (Maintenance Velg)")</f>
        <v>Bpk. Kohir (Maintenance Velg)</v>
      </c>
      <c r="F2901" s="211" t="str">
        <f>IFERROR(__xludf.DUMMYFUNCTION("""COMPUTED_VALUE"""),"ef306e54")</f>
        <v>ef306e54</v>
      </c>
      <c r="G2901" s="211" t="str">
        <f>IFERROR(__xludf.DUMMYFUNCTION("""COMPUTED_VALUE"""),"Karbondioksida")</f>
        <v>Karbondioksida</v>
      </c>
      <c r="H2901" s="211" t="str">
        <f>IFERROR(__xludf.DUMMYFUNCTION("""COMPUTED_VALUE"""),"IN")</f>
        <v>IN</v>
      </c>
      <c r="I2901" s="211" t="str">
        <f>IFERROR(__xludf.DUMMYFUNCTION("""COMPUTED_VALUE"""),"EMPTY")</f>
        <v>EMPTY</v>
      </c>
      <c r="J2901" s="211">
        <f>IFERROR(__xludf.DUMMYFUNCTION("""COMPUTED_VALUE"""),1.0)</f>
        <v>1</v>
      </c>
      <c r="K2901" s="210" t="str">
        <f>IFERROR(__xludf.DUMMYFUNCTION("""COMPUTED_VALUE"""),"13029")</f>
        <v>13029</v>
      </c>
      <c r="L2901" s="211">
        <f>IFERROR(__xludf.DUMMYFUNCTION("""COMPUTED_VALUE"""),0.0)</f>
        <v>0</v>
      </c>
      <c r="M2901" s="211"/>
      <c r="N2901" s="211"/>
      <c r="O2901" s="211"/>
      <c r="Q2901" s="210" t="str">
        <f>IFERROR(__xludf.DUMMYFUNCTION("""COMPUTED_VALUE"""),"1261436")</f>
        <v>1261436</v>
      </c>
      <c r="R2901" s="210" t="str">
        <f>IFERROR(__xludf.DUMMYFUNCTION("""COMPUTED_VALUE"""),"1261436")</f>
        <v>1261436</v>
      </c>
      <c r="S2901" s="211" t="str">
        <f>IFERROR(__xludf.DUMMYFUNCTION("""COMPUTED_VALUE"""),"de41c3e8")</f>
        <v>de41c3e8</v>
      </c>
      <c r="T2901" s="211" t="str">
        <f>IFERROR(__xludf.DUMMYFUNCTION("""COMPUTED_VALUE"""),"Bpk. Eko Mianto")</f>
        <v>Bpk. Eko Mianto</v>
      </c>
      <c r="U2901" s="215">
        <f>IFERROR(__xludf.DUMMYFUNCTION("""COMPUTED_VALUE"""),46107.53983796296)</f>
        <v>46107.53984</v>
      </c>
      <c r="V2901" s="211" t="str">
        <f>IFERROR(__xludf.DUMMYFUNCTION("""COMPUTED_VALUE"""),"The Graha Residen, Blok D4 No 33. Tropodo, Kec Krian, Kabupaten Sidaorjo, Jawa Timur 61262")</f>
        <v>The Graha Residen, Blok D4 No 33. Tropodo, Kec Krian, Kabupaten Sidaorjo, Jawa Timur 61262</v>
      </c>
      <c r="W2901" s="211" t="str">
        <f>IFERROR(__xludf.DUMMYFUNCTION("""COMPUTED_VALUE"""),"IN")</f>
        <v>IN</v>
      </c>
      <c r="X2901" s="211"/>
    </row>
    <row r="2902">
      <c r="A2902" s="210" t="str">
        <f>IFERROR(__xludf.DUMMYFUNCTION("""COMPUTED_VALUE"""),"1250973")</f>
        <v>1250973</v>
      </c>
      <c r="B2902" s="210" t="str">
        <f>IFERROR(__xludf.DUMMYFUNCTION("""COMPUTED_VALUE"""),"1250973")</f>
        <v>1250973</v>
      </c>
      <c r="C2902" s="213">
        <f>IFERROR(__xludf.DUMMYFUNCTION("""COMPUTED_VALUE"""),46010.3596412037)</f>
        <v>46010.35964</v>
      </c>
      <c r="D2902" s="211" t="str">
        <f>IFERROR(__xludf.DUMMYFUNCTION("""COMPUTED_VALUE"""),"ec231cc9")</f>
        <v>ec231cc9</v>
      </c>
      <c r="E2902" s="211" t="str">
        <f>IFERROR(__xludf.DUMMYFUNCTION("""COMPUTED_VALUE"""),"Bpk. Kohir (Maintenance Velg)")</f>
        <v>Bpk. Kohir (Maintenance Velg)</v>
      </c>
      <c r="F2902" s="211" t="str">
        <f>IFERROR(__xludf.DUMMYFUNCTION("""COMPUTED_VALUE"""),"7d2764f1")</f>
        <v>7d2764f1</v>
      </c>
      <c r="G2902" s="211" t="str">
        <f>IFERROR(__xludf.DUMMYFUNCTION("""COMPUTED_VALUE"""),"Oksigen 7m3")</f>
        <v>Oksigen 7m3</v>
      </c>
      <c r="H2902" s="211" t="str">
        <f>IFERROR(__xludf.DUMMYFUNCTION("""COMPUTED_VALUE"""),"IN")</f>
        <v>IN</v>
      </c>
      <c r="I2902" s="211" t="str">
        <f>IFERROR(__xludf.DUMMYFUNCTION("""COMPUTED_VALUE"""),"EMPTY")</f>
        <v>EMPTY</v>
      </c>
      <c r="J2902" s="211">
        <f>IFERROR(__xludf.DUMMYFUNCTION("""COMPUTED_VALUE"""),2.0)</f>
        <v>2</v>
      </c>
      <c r="K2902" s="210" t="str">
        <f>IFERROR(__xludf.DUMMYFUNCTION("""COMPUTED_VALUE"""),"11223 11229")</f>
        <v>11223 11229</v>
      </c>
      <c r="L2902" s="211">
        <f>IFERROR(__xludf.DUMMYFUNCTION("""COMPUTED_VALUE"""),0.0)</f>
        <v>0</v>
      </c>
      <c r="M2902" s="211"/>
      <c r="N2902" s="211"/>
      <c r="O2902" s="211"/>
      <c r="Q2902" s="210" t="str">
        <f>IFERROR(__xludf.DUMMYFUNCTION("""COMPUTED_VALUE"""),"4032612855")</f>
        <v>4032612855</v>
      </c>
      <c r="R2902" s="210" t="str">
        <f>IFERROR(__xludf.DUMMYFUNCTION("""COMPUTED_VALUE"""),"4032612855")</f>
        <v>4032612855</v>
      </c>
      <c r="S2902" s="211" t="str">
        <f>IFERROR(__xludf.DUMMYFUNCTION("""COMPUTED_VALUE"""),"dcdf8b31")</f>
        <v>dcdf8b31</v>
      </c>
      <c r="T2902" s="211" t="str">
        <f>IFERROR(__xludf.DUMMYFUNCTION("""COMPUTED_VALUE"""),"Bpk. Samsul (Jetis)")</f>
        <v>Bpk. Samsul (Jetis)</v>
      </c>
      <c r="U2902" s="215">
        <f>IFERROR(__xludf.DUMMYFUNCTION("""COMPUTED_VALUE"""),46108.375555555554)</f>
        <v>46108.37556</v>
      </c>
      <c r="V2902" s="211" t="str">
        <f>IFERROR(__xludf.DUMMYFUNCTION("""COMPUTED_VALUE"""),"HFWF+9FG, Sido Wangi, Paringan, Kec. Jetis, Kabupaten Mojokerto, Jawa Timur")</f>
        <v>HFWF+9FG, Sido Wangi, Paringan, Kec. Jetis, Kabupaten Mojokerto, Jawa Timur</v>
      </c>
      <c r="W2902" s="211" t="str">
        <f>IFERROR(__xludf.DUMMYFUNCTION("""COMPUTED_VALUE"""),"OTHER")</f>
        <v>OTHER</v>
      </c>
      <c r="X2902" s="211"/>
    </row>
    <row r="2903">
      <c r="A2903" s="210" t="str">
        <f>IFERROR(__xludf.DUMMYFUNCTION("""COMPUTED_VALUE"""),"1250969")</f>
        <v>1250969</v>
      </c>
      <c r="B2903" s="210" t="str">
        <f>IFERROR(__xludf.DUMMYFUNCTION("""COMPUTED_VALUE"""),"1250969")</f>
        <v>1250969</v>
      </c>
      <c r="C2903" s="213">
        <f>IFERROR(__xludf.DUMMYFUNCTION("""COMPUTED_VALUE"""),46010.371770833335)</f>
        <v>46010.37177</v>
      </c>
      <c r="D2903" s="211" t="str">
        <f>IFERROR(__xludf.DUMMYFUNCTION("""COMPUTED_VALUE"""),"9b941888")</f>
        <v>9b941888</v>
      </c>
      <c r="E2903" s="211" t="str">
        <f>IFERROR(__xludf.DUMMYFUNCTION("""COMPUTED_VALUE"""),"Mas Devi ( Parengan )")</f>
        <v>Mas Devi ( Parengan )</v>
      </c>
      <c r="F2903" s="211" t="str">
        <f>IFERROR(__xludf.DUMMYFUNCTION("""COMPUTED_VALUE"""),"7d2764f1")</f>
        <v>7d2764f1</v>
      </c>
      <c r="G2903" s="211" t="str">
        <f>IFERROR(__xludf.DUMMYFUNCTION("""COMPUTED_VALUE"""),"Oksigen 7m3")</f>
        <v>Oksigen 7m3</v>
      </c>
      <c r="H2903" s="211" t="str">
        <f>IFERROR(__xludf.DUMMYFUNCTION("""COMPUTED_VALUE"""),"IN")</f>
        <v>IN</v>
      </c>
      <c r="I2903" s="211" t="str">
        <f>IFERROR(__xludf.DUMMYFUNCTION("""COMPUTED_VALUE"""),"EMPTY")</f>
        <v>EMPTY</v>
      </c>
      <c r="J2903" s="211">
        <f>IFERROR(__xludf.DUMMYFUNCTION("""COMPUTED_VALUE"""),1.0)</f>
        <v>1</v>
      </c>
      <c r="K2903" s="210" t="str">
        <f>IFERROR(__xludf.DUMMYFUNCTION("""COMPUTED_VALUE"""),"76")</f>
        <v>76</v>
      </c>
      <c r="L2903" s="211">
        <f>IFERROR(__xludf.DUMMYFUNCTION("""COMPUTED_VALUE"""),0.0)</f>
        <v>0</v>
      </c>
      <c r="M2903" s="211"/>
      <c r="N2903" s="211"/>
      <c r="O2903" s="211"/>
      <c r="Q2903" s="210" t="str">
        <f>IFERROR(__xludf.DUMMYFUNCTION("""COMPUTED_VALUE"""),"0326142897")</f>
        <v>0326142897</v>
      </c>
      <c r="R2903" s="210" t="str">
        <f>IFERROR(__xludf.DUMMYFUNCTION("""COMPUTED_VALUE"""),"0326142897")</f>
        <v>0326142897</v>
      </c>
      <c r="S2903" s="211" t="str">
        <f>IFERROR(__xludf.DUMMYFUNCTION("""COMPUTED_VALUE"""),"dcdf8b31")</f>
        <v>dcdf8b31</v>
      </c>
      <c r="T2903" s="211" t="str">
        <f>IFERROR(__xludf.DUMMYFUNCTION("""COMPUTED_VALUE"""),"Bpk. Samsul (Jetis)")</f>
        <v>Bpk. Samsul (Jetis)</v>
      </c>
      <c r="U2903" s="215">
        <f>IFERROR(__xludf.DUMMYFUNCTION("""COMPUTED_VALUE"""),46108.37758101852)</f>
        <v>46108.37758</v>
      </c>
      <c r="V2903" s="211" t="str">
        <f>IFERROR(__xludf.DUMMYFUNCTION("""COMPUTED_VALUE"""),"HFWF+9FG, Sido Wangi, Paringan, Kec. Jetis, Kabupaten Mojokerto, Jawa Timur")</f>
        <v>HFWF+9FG, Sido Wangi, Paringan, Kec. Jetis, Kabupaten Mojokerto, Jawa Timur</v>
      </c>
      <c r="W2903" s="211" t="str">
        <f>IFERROR(__xludf.DUMMYFUNCTION("""COMPUTED_VALUE"""),"OUT")</f>
        <v>OUT</v>
      </c>
      <c r="X2903" s="211"/>
    </row>
    <row r="2904">
      <c r="A2904" s="210" t="str">
        <f>IFERROR(__xludf.DUMMYFUNCTION("""COMPUTED_VALUE"""),"1250968")</f>
        <v>1250968</v>
      </c>
      <c r="B2904" s="210" t="str">
        <f>IFERROR(__xludf.DUMMYFUNCTION("""COMPUTED_VALUE"""),"1250968")</f>
        <v>1250968</v>
      </c>
      <c r="C2904" s="213">
        <f>IFERROR(__xludf.DUMMYFUNCTION("""COMPUTED_VALUE"""),46009.602372685185)</f>
        <v>46009.60237</v>
      </c>
      <c r="D2904" s="211" t="str">
        <f>IFERROR(__xludf.DUMMYFUNCTION("""COMPUTED_VALUE"""),"b2b5f2c5")</f>
        <v>b2b5f2c5</v>
      </c>
      <c r="E2904" s="211" t="str">
        <f>IFERROR(__xludf.DUMMYFUNCTION("""COMPUTED_VALUE"""),"Bengkel Las Bpk. Ari")</f>
        <v>Bengkel Las Bpk. Ari</v>
      </c>
      <c r="F2904" s="211" t="str">
        <f>IFERROR(__xludf.DUMMYFUNCTION("""COMPUTED_VALUE"""),"f6aab7a9")</f>
        <v>f6aab7a9</v>
      </c>
      <c r="G2904" s="211" t="str">
        <f>IFERROR(__xludf.DUMMYFUNCTION("""COMPUTED_VALUE"""),"Oksigen 6m3 MR")</f>
        <v>Oksigen 6m3 MR</v>
      </c>
      <c r="H2904" s="211" t="str">
        <f>IFERROR(__xludf.DUMMYFUNCTION("""COMPUTED_VALUE"""),"IN")</f>
        <v>IN</v>
      </c>
      <c r="I2904" s="211" t="str">
        <f>IFERROR(__xludf.DUMMYFUNCTION("""COMPUTED_VALUE"""),"EMPTY")</f>
        <v>EMPTY</v>
      </c>
      <c r="J2904" s="211">
        <f>IFERROR(__xludf.DUMMYFUNCTION("""COMPUTED_VALUE"""),1.0)</f>
        <v>1</v>
      </c>
      <c r="K2904" s="210" t="str">
        <f>IFERROR(__xludf.DUMMYFUNCTION("""COMPUTED_VALUE"""),"01")</f>
        <v>01</v>
      </c>
      <c r="L2904" s="211">
        <f>IFERROR(__xludf.DUMMYFUNCTION("""COMPUTED_VALUE"""),0.0)</f>
        <v>0</v>
      </c>
      <c r="M2904" s="211"/>
      <c r="N2904" s="211"/>
      <c r="O2904" s="211"/>
      <c r="Q2904" s="210" t="str">
        <f>IFERROR(__xludf.DUMMYFUNCTION("""COMPUTED_VALUE"""),"0326192904")</f>
        <v>0326192904</v>
      </c>
      <c r="R2904" s="210" t="str">
        <f>IFERROR(__xludf.DUMMYFUNCTION("""COMPUTED_VALUE"""),"0326192904")</f>
        <v>0326192904</v>
      </c>
      <c r="S2904" s="211" t="str">
        <f>IFERROR(__xludf.DUMMYFUNCTION("""COMPUTED_VALUE"""),"eec2e801")</f>
        <v>eec2e801</v>
      </c>
      <c r="T2904" s="211" t="str">
        <f>IFERROR(__xludf.DUMMYFUNCTION("""COMPUTED_VALUE"""),"Mitra Wood Sejahtera")</f>
        <v>Mitra Wood Sejahtera</v>
      </c>
      <c r="U2904" s="215">
        <f>IFERROR(__xludf.DUMMYFUNCTION("""COMPUTED_VALUE"""),46108.38024305556)</f>
        <v>46108.38024</v>
      </c>
      <c r="V2904" s="211" t="str">
        <f>IFERROR(__xludf.DUMMYFUNCTION("""COMPUTED_VALUE"""),"Jl.cungkling, Jl. Tanggungan, Nanom Kidul, Lebaniwaras, Kec. Wringinanom, Kabupaten Gresik, Jawa Timur 61176")</f>
        <v>Jl.cungkling, Jl. Tanggungan, Nanom Kidul, Lebaniwaras, Kec. Wringinanom, Kabupaten Gresik, Jawa Timur 61176</v>
      </c>
      <c r="W2904" s="211" t="str">
        <f>IFERROR(__xludf.DUMMYFUNCTION("""COMPUTED_VALUE"""),"OUT")</f>
        <v>OUT</v>
      </c>
      <c r="X2904" s="211"/>
    </row>
    <row r="2905">
      <c r="A2905" s="210" t="str">
        <f>IFERROR(__xludf.DUMMYFUNCTION("""COMPUTED_VALUE"""),"122582032")</f>
        <v>122582032</v>
      </c>
      <c r="B2905" s="210" t="str">
        <f>IFERROR(__xludf.DUMMYFUNCTION("""COMPUTED_VALUE"""),"122582032")</f>
        <v>122582032</v>
      </c>
      <c r="C2905" s="213">
        <f>IFERROR(__xludf.DUMMYFUNCTION("""COMPUTED_VALUE"""),46010.39685185185)</f>
        <v>46010.39685</v>
      </c>
      <c r="D2905" s="211" t="str">
        <f>IFERROR(__xludf.DUMMYFUNCTION("""COMPUTED_VALUE"""),"63fc688a")</f>
        <v>63fc688a</v>
      </c>
      <c r="E2905" s="211" t="str">
        <f>IFERROR(__xludf.DUMMYFUNCTION("""COMPUTED_VALUE"""),"CV Malik Nusantara")</f>
        <v>CV Malik Nusantara</v>
      </c>
      <c r="F2905" s="211" t="str">
        <f>IFERROR(__xludf.DUMMYFUNCTION("""COMPUTED_VALUE"""),"be525f3b")</f>
        <v>be525f3b</v>
      </c>
      <c r="G2905" s="211" t="str">
        <f>IFERROR(__xludf.DUMMYFUNCTION("""COMPUTED_VALUE"""),"LPG 12kg")</f>
        <v>LPG 12kg</v>
      </c>
      <c r="H2905" s="211" t="str">
        <f>IFERROR(__xludf.DUMMYFUNCTION("""COMPUTED_VALUE"""),"OUT")</f>
        <v>OUT</v>
      </c>
      <c r="I2905" s="211" t="str">
        <f>IFERROR(__xludf.DUMMYFUNCTION("""COMPUTED_VALUE"""),"NORMAL")</f>
        <v>NORMAL</v>
      </c>
      <c r="J2905" s="211">
        <f>IFERROR(__xludf.DUMMYFUNCTION("""COMPUTED_VALUE"""),2.0)</f>
        <v>2</v>
      </c>
      <c r="K2905" s="210" t="str">
        <f>IFERROR(__xludf.DUMMYFUNCTION("""COMPUTED_VALUE"""),"01 02")</f>
        <v>01 02</v>
      </c>
      <c r="L2905" s="211">
        <f>IFERROR(__xludf.DUMMYFUNCTION("""COMPUTED_VALUE"""),200000.0)</f>
        <v>200000</v>
      </c>
      <c r="M2905" s="211"/>
      <c r="N2905" s="211"/>
      <c r="O2905" s="211"/>
      <c r="Q2905" s="210" t="str">
        <f>IFERROR(__xludf.DUMMYFUNCTION("""COMPUTED_VALUE"""),"0326312905")</f>
        <v>0326312905</v>
      </c>
      <c r="R2905" s="210" t="str">
        <f>IFERROR(__xludf.DUMMYFUNCTION("""COMPUTED_VALUE"""),"0326312905")</f>
        <v>0326312905</v>
      </c>
      <c r="S2905" s="211" t="str">
        <f>IFERROR(__xludf.DUMMYFUNCTION("""COMPUTED_VALUE"""),"2d88931c")</f>
        <v>2d88931c</v>
      </c>
      <c r="T2905" s="211" t="str">
        <f>IFERROR(__xludf.DUMMYFUNCTION("""COMPUTED_VALUE"""),"PT Dunia Berkat Marga Mulya")</f>
        <v>PT Dunia Berkat Marga Mulya</v>
      </c>
      <c r="U2905" s="215">
        <f>IFERROR(__xludf.DUMMYFUNCTION("""COMPUTED_VALUE"""),46108.39732638889)</f>
        <v>46108.39733</v>
      </c>
      <c r="V2905" s="211" t="str">
        <f>IFERROR(__xludf.DUMMYFUNCTION("""COMPUTED_VALUE"""),"JL JABARAN, WATESARI, BALONGBENDO, SIDOARJO, JAWA TIMUR")</f>
        <v>JL JABARAN, WATESARI, BALONGBENDO, SIDOARJO, JAWA TIMUR</v>
      </c>
      <c r="W2905" s="211" t="str">
        <f>IFERROR(__xludf.DUMMYFUNCTION("""COMPUTED_VALUE"""),"OUT")</f>
        <v>OUT</v>
      </c>
      <c r="X2905" s="211"/>
    </row>
    <row r="2906">
      <c r="A2906" s="210" t="str">
        <f>IFERROR(__xludf.DUMMYFUNCTION("""COMPUTED_VALUE"""),"122582032")</f>
        <v>122582032</v>
      </c>
      <c r="B2906" s="210" t="str">
        <f>IFERROR(__xludf.DUMMYFUNCTION("""COMPUTED_VALUE"""),"122582032")</f>
        <v>122582032</v>
      </c>
      <c r="C2906" s="213">
        <f>IFERROR(__xludf.DUMMYFUNCTION("""COMPUTED_VALUE"""),46010.39685185185)</f>
        <v>46010.39685</v>
      </c>
      <c r="D2906" s="211" t="str">
        <f>IFERROR(__xludf.DUMMYFUNCTION("""COMPUTED_VALUE"""),"63fc688a")</f>
        <v>63fc688a</v>
      </c>
      <c r="E2906" s="211" t="str">
        <f>IFERROR(__xludf.DUMMYFUNCTION("""COMPUTED_VALUE"""),"CV Malik Nusantara")</f>
        <v>CV Malik Nusantara</v>
      </c>
      <c r="F2906" s="211" t="str">
        <f>IFERROR(__xludf.DUMMYFUNCTION("""COMPUTED_VALUE"""),"ef306e54")</f>
        <v>ef306e54</v>
      </c>
      <c r="G2906" s="211" t="str">
        <f>IFERROR(__xludf.DUMMYFUNCTION("""COMPUTED_VALUE"""),"Karbondioksida")</f>
        <v>Karbondioksida</v>
      </c>
      <c r="H2906" s="211" t="str">
        <f>IFERROR(__xludf.DUMMYFUNCTION("""COMPUTED_VALUE"""),"OUT")</f>
        <v>OUT</v>
      </c>
      <c r="I2906" s="211" t="str">
        <f>IFERROR(__xludf.DUMMYFUNCTION("""COMPUTED_VALUE"""),"NORMAL")</f>
        <v>NORMAL</v>
      </c>
      <c r="J2906" s="211">
        <f>IFERROR(__xludf.DUMMYFUNCTION("""COMPUTED_VALUE"""),2.0)</f>
        <v>2</v>
      </c>
      <c r="K2906" s="210" t="str">
        <f>IFERROR(__xludf.DUMMYFUNCTION("""COMPUTED_VALUE"""),"13013 13058")</f>
        <v>13013 13058</v>
      </c>
      <c r="L2906" s="211">
        <f>IFERROR(__xludf.DUMMYFUNCTION("""COMPUTED_VALUE"""),190000.0)</f>
        <v>190000</v>
      </c>
      <c r="M2906" s="211"/>
      <c r="N2906" s="211"/>
      <c r="O2906" s="211"/>
      <c r="Q2906" s="210" t="str">
        <f>IFERROR(__xludf.DUMMYFUNCTION("""COMPUTED_VALUE"""),"0326272906")</f>
        <v>0326272906</v>
      </c>
      <c r="R2906" s="210" t="str">
        <f>IFERROR(__xludf.DUMMYFUNCTION("""COMPUTED_VALUE"""),"0326272906")</f>
        <v>0326272906</v>
      </c>
      <c r="S2906" s="211" t="str">
        <f>IFERROR(__xludf.DUMMYFUNCTION("""COMPUTED_VALUE"""),"4ec68cf6")</f>
        <v>4ec68cf6</v>
      </c>
      <c r="T2906" s="211" t="str">
        <f>IFERROR(__xludf.DUMMYFUNCTION("""COMPUTED_VALUE"""),"CV Sido Mukti Karya")</f>
        <v>CV Sido Mukti Karya</v>
      </c>
      <c r="U2906" s="215">
        <f>IFERROR(__xludf.DUMMYFUNCTION("""COMPUTED_VALUE"""),46108.552395833336)</f>
        <v>46108.5524</v>
      </c>
      <c r="V2906" s="211" t="str">
        <f>IFERROR(__xludf.DUMMYFUNCTION("""COMPUTED_VALUE"""),"Pergudangan Center Point no A3, Kemangsen")</f>
        <v>Pergudangan Center Point no A3, Kemangsen</v>
      </c>
      <c r="W2906" s="211" t="str">
        <f>IFERROR(__xludf.DUMMYFUNCTION("""COMPUTED_VALUE"""),"OUT")</f>
        <v>OUT</v>
      </c>
      <c r="X2906" s="211"/>
    </row>
    <row r="2907">
      <c r="A2907" s="210" t="str">
        <f>IFERROR(__xludf.DUMMYFUNCTION("""COMPUTED_VALUE"""),"1225212035")</f>
        <v>1225212035</v>
      </c>
      <c r="B2907" s="210" t="str">
        <f>IFERROR(__xludf.DUMMYFUNCTION("""COMPUTED_VALUE"""),"1225212035")</f>
        <v>1225212035</v>
      </c>
      <c r="C2907" s="213">
        <f>IFERROR(__xludf.DUMMYFUNCTION("""COMPUTED_VALUE"""),46010.42025462963)</f>
        <v>46010.42025</v>
      </c>
      <c r="D2907" s="211" t="str">
        <f>IFERROR(__xludf.DUMMYFUNCTION("""COMPUTED_VALUE"""),"4ec68cf6")</f>
        <v>4ec68cf6</v>
      </c>
      <c r="E2907" s="211" t="str">
        <f>IFERROR(__xludf.DUMMYFUNCTION("""COMPUTED_VALUE"""),"CV Sido Mukti Karya")</f>
        <v>CV Sido Mukti Karya</v>
      </c>
      <c r="F2907" s="211" t="str">
        <f>IFERROR(__xludf.DUMMYFUNCTION("""COMPUTED_VALUE"""),"ef306e54")</f>
        <v>ef306e54</v>
      </c>
      <c r="G2907" s="211" t="str">
        <f>IFERROR(__xludf.DUMMYFUNCTION("""COMPUTED_VALUE"""),"Karbondioksida")</f>
        <v>Karbondioksida</v>
      </c>
      <c r="H2907" s="211" t="str">
        <f>IFERROR(__xludf.DUMMYFUNCTION("""COMPUTED_VALUE"""),"OUT")</f>
        <v>OUT</v>
      </c>
      <c r="I2907" s="211" t="str">
        <f>IFERROR(__xludf.DUMMYFUNCTION("""COMPUTED_VALUE"""),"NORMAL")</f>
        <v>NORMAL</v>
      </c>
      <c r="J2907" s="211">
        <f>IFERROR(__xludf.DUMMYFUNCTION("""COMPUTED_VALUE"""),2.0)</f>
        <v>2</v>
      </c>
      <c r="K2907" s="210" t="str">
        <f>IFERROR(__xludf.DUMMYFUNCTION("""COMPUTED_VALUE"""),"13053 13057")</f>
        <v>13053 13057</v>
      </c>
      <c r="L2907" s="211">
        <f>IFERROR(__xludf.DUMMYFUNCTION("""COMPUTED_VALUE"""),180000.0)</f>
        <v>180000</v>
      </c>
      <c r="M2907" s="211"/>
      <c r="N2907" s="211"/>
      <c r="O2907" s="211"/>
      <c r="Q2907" s="210" t="str">
        <f>IFERROR(__xludf.DUMMYFUNCTION("""COMPUTED_VALUE"""),"1261438")</f>
        <v>1261438</v>
      </c>
      <c r="R2907" s="210" t="str">
        <f>IFERROR(__xludf.DUMMYFUNCTION("""COMPUTED_VALUE"""),"1261438")</f>
        <v>1261438</v>
      </c>
      <c r="S2907" s="211" t="str">
        <f>IFERROR(__xludf.DUMMYFUNCTION("""COMPUTED_VALUE"""),"eec2e801")</f>
        <v>eec2e801</v>
      </c>
      <c r="T2907" s="211" t="str">
        <f>IFERROR(__xludf.DUMMYFUNCTION("""COMPUTED_VALUE"""),"Mitra Wood Sejahtera")</f>
        <v>Mitra Wood Sejahtera</v>
      </c>
      <c r="U2907" s="215">
        <f>IFERROR(__xludf.DUMMYFUNCTION("""COMPUTED_VALUE"""),46108.59112268518)</f>
        <v>46108.59112</v>
      </c>
      <c r="V2907" s="211" t="str">
        <f>IFERROR(__xludf.DUMMYFUNCTION("""COMPUTED_VALUE"""),"Jl.cungkling, Jl. Tanggungan, Nanom Kidul, Lebaniwaras, Kec. Wringinanom, Kabupaten Gresik, Jawa Timur 61176")</f>
        <v>Jl.cungkling, Jl. Tanggungan, Nanom Kidul, Lebaniwaras, Kec. Wringinanom, Kabupaten Gresik, Jawa Timur 61176</v>
      </c>
      <c r="W2907" s="211" t="str">
        <f>IFERROR(__xludf.DUMMYFUNCTION("""COMPUTED_VALUE"""),"IN")</f>
        <v>IN</v>
      </c>
      <c r="X2907" s="211"/>
    </row>
    <row r="2908">
      <c r="A2908" s="210" t="str">
        <f>IFERROR(__xludf.DUMMYFUNCTION("""COMPUTED_VALUE"""),"122572036")</f>
        <v>122572036</v>
      </c>
      <c r="B2908" s="210" t="str">
        <f>IFERROR(__xludf.DUMMYFUNCTION("""COMPUTED_VALUE"""),"122572036")</f>
        <v>122572036</v>
      </c>
      <c r="C2908" s="213">
        <f>IFERROR(__xludf.DUMMYFUNCTION("""COMPUTED_VALUE"""),46010.43004629629)</f>
        <v>46010.43005</v>
      </c>
      <c r="D2908" s="211" t="str">
        <f>IFERROR(__xludf.DUMMYFUNCTION("""COMPUTED_VALUE"""),"f98b1e81")</f>
        <v>f98b1e81</v>
      </c>
      <c r="E2908" s="211" t="str">
        <f>IFERROR(__xludf.DUMMYFUNCTION("""COMPUTED_VALUE"""),"CV. Greenlife Tirta Sentosa")</f>
        <v>CV. Greenlife Tirta Sentosa</v>
      </c>
      <c r="F2908" s="211" t="str">
        <f>IFERROR(__xludf.DUMMYFUNCTION("""COMPUTED_VALUE"""),"7d2764f1")</f>
        <v>7d2764f1</v>
      </c>
      <c r="G2908" s="211" t="str">
        <f>IFERROR(__xludf.DUMMYFUNCTION("""COMPUTED_VALUE"""),"Oksigen 7m3")</f>
        <v>Oksigen 7m3</v>
      </c>
      <c r="H2908" s="211" t="str">
        <f>IFERROR(__xludf.DUMMYFUNCTION("""COMPUTED_VALUE"""),"OUT")</f>
        <v>OUT</v>
      </c>
      <c r="I2908" s="211" t="str">
        <f>IFERROR(__xludf.DUMMYFUNCTION("""COMPUTED_VALUE"""),"NORMAL")</f>
        <v>NORMAL</v>
      </c>
      <c r="J2908" s="211">
        <f>IFERROR(__xludf.DUMMYFUNCTION("""COMPUTED_VALUE"""),1.0)</f>
        <v>1</v>
      </c>
      <c r="K2908" s="210" t="str">
        <f>IFERROR(__xludf.DUMMYFUNCTION("""COMPUTED_VALUE"""),"11221")</f>
        <v>11221</v>
      </c>
      <c r="L2908" s="211">
        <f>IFERROR(__xludf.DUMMYFUNCTION("""COMPUTED_VALUE"""),80000.0)</f>
        <v>80000</v>
      </c>
      <c r="M2908" s="211"/>
      <c r="N2908" s="211"/>
      <c r="O2908" s="211"/>
      <c r="Q2908" s="210" t="str">
        <f>IFERROR(__xludf.DUMMYFUNCTION("""COMPUTED_VALUE"""),"1261471")</f>
        <v>1261471</v>
      </c>
      <c r="R2908" s="210" t="str">
        <f>IFERROR(__xludf.DUMMYFUNCTION("""COMPUTED_VALUE"""),"1261471")</f>
        <v>1261471</v>
      </c>
      <c r="S2908" s="211" t="str">
        <f>IFERROR(__xludf.DUMMYFUNCTION("""COMPUTED_VALUE"""),"4ec68cf6")</f>
        <v>4ec68cf6</v>
      </c>
      <c r="T2908" s="211" t="str">
        <f>IFERROR(__xludf.DUMMYFUNCTION("""COMPUTED_VALUE"""),"CV Sido Mukti Karya")</f>
        <v>CV Sido Mukti Karya</v>
      </c>
      <c r="U2908" s="215">
        <f>IFERROR(__xludf.DUMMYFUNCTION("""COMPUTED_VALUE"""),46108.59438657408)</f>
        <v>46108.59439</v>
      </c>
      <c r="V2908" s="211" t="str">
        <f>IFERROR(__xludf.DUMMYFUNCTION("""COMPUTED_VALUE"""),"Pergudangan Center Point no A3, Kemangsen")</f>
        <v>Pergudangan Center Point no A3, Kemangsen</v>
      </c>
      <c r="W2908" s="211" t="str">
        <f>IFERROR(__xludf.DUMMYFUNCTION("""COMPUTED_VALUE"""),"IN")</f>
        <v>IN</v>
      </c>
      <c r="X2908" s="211"/>
    </row>
    <row r="2909">
      <c r="A2909" s="210" t="str">
        <f>IFERROR(__xludf.DUMMYFUNCTION("""COMPUTED_VALUE"""),"1250974")</f>
        <v>1250974</v>
      </c>
      <c r="B2909" s="210" t="str">
        <f>IFERROR(__xludf.DUMMYFUNCTION("""COMPUTED_VALUE"""),"1250974")</f>
        <v>1250974</v>
      </c>
      <c r="C2909" s="213">
        <f>IFERROR(__xludf.DUMMYFUNCTION("""COMPUTED_VALUE"""),46010.44795138889)</f>
        <v>46010.44795</v>
      </c>
      <c r="D2909" s="211" t="str">
        <f>IFERROR(__xludf.DUMMYFUNCTION("""COMPUTED_VALUE"""),"63fc688a")</f>
        <v>63fc688a</v>
      </c>
      <c r="E2909" s="211" t="str">
        <f>IFERROR(__xludf.DUMMYFUNCTION("""COMPUTED_VALUE"""),"CV Malik Nusantara")</f>
        <v>CV Malik Nusantara</v>
      </c>
      <c r="F2909" s="211" t="str">
        <f>IFERROR(__xludf.DUMMYFUNCTION("""COMPUTED_VALUE"""),"8bdbe149")</f>
        <v>8bdbe149</v>
      </c>
      <c r="G2909" s="211" t="str">
        <f>IFERROR(__xludf.DUMMYFUNCTION("""COMPUTED_VALUE"""),"Oksigen 6m3")</f>
        <v>Oksigen 6m3</v>
      </c>
      <c r="H2909" s="211" t="str">
        <f>IFERROR(__xludf.DUMMYFUNCTION("""COMPUTED_VALUE"""),"IN")</f>
        <v>IN</v>
      </c>
      <c r="I2909" s="211" t="str">
        <f>IFERROR(__xludf.DUMMYFUNCTION("""COMPUTED_VALUE"""),"EMPTY")</f>
        <v>EMPTY</v>
      </c>
      <c r="J2909" s="211">
        <f>IFERROR(__xludf.DUMMYFUNCTION("""COMPUTED_VALUE"""),2.0)</f>
        <v>2</v>
      </c>
      <c r="K2909" s="210" t="str">
        <f>IFERROR(__xludf.DUMMYFUNCTION("""COMPUTED_VALUE"""),"11188 11248")</f>
        <v>11188 11248</v>
      </c>
      <c r="L2909" s="211">
        <f>IFERROR(__xludf.DUMMYFUNCTION("""COMPUTED_VALUE"""),0.0)</f>
        <v>0</v>
      </c>
      <c r="M2909" s="211"/>
      <c r="N2909" s="211"/>
      <c r="O2909" s="211"/>
      <c r="Q2909" s="210" t="str">
        <f>IFERROR(__xludf.DUMMYFUNCTION("""COMPUTED_VALUE"""),"0326342907")</f>
        <v>0326342907</v>
      </c>
      <c r="R2909" s="210" t="str">
        <f>IFERROR(__xludf.DUMMYFUNCTION("""COMPUTED_VALUE"""),"0326342907")</f>
        <v>0326342907</v>
      </c>
      <c r="S2909" s="211" t="str">
        <f>IFERROR(__xludf.DUMMYFUNCTION("""COMPUTED_VALUE"""),"63fc688a")</f>
        <v>63fc688a</v>
      </c>
      <c r="T2909" s="211" t="str">
        <f>IFERROR(__xludf.DUMMYFUNCTION("""COMPUTED_VALUE"""),"CV Malik Nusantara")</f>
        <v>CV Malik Nusantara</v>
      </c>
      <c r="U2909" s="215">
        <f>IFERROR(__xludf.DUMMYFUNCTION("""COMPUTED_VALUE"""),46109.68798611111)</f>
        <v>46109.68799</v>
      </c>
      <c r="V2909" s="211" t="str">
        <f>IFERROR(__xludf.DUMMYFUNCTION("""COMPUTED_VALUE"""),"Jl. Raya Balongbendo No.12, Suwaluh Utara, Suwaluh, Kec. BalongBendo, Kabupaten Sidoarjo, Jawa Timur 61263")</f>
        <v>Jl. Raya Balongbendo No.12, Suwaluh Utara, Suwaluh, Kec. BalongBendo, Kabupaten Sidoarjo, Jawa Timur 61263</v>
      </c>
      <c r="W2909" s="211" t="str">
        <f>IFERROR(__xludf.DUMMYFUNCTION("""COMPUTED_VALUE"""),"OUT")</f>
        <v>OUT</v>
      </c>
      <c r="X2909" s="211"/>
    </row>
    <row r="2910">
      <c r="A2910" s="210" t="str">
        <f>IFERROR(__xludf.DUMMYFUNCTION("""COMPUTED_VALUE"""),"1250986")</f>
        <v>1250986</v>
      </c>
      <c r="B2910" s="210" t="str">
        <f>IFERROR(__xludf.DUMMYFUNCTION("""COMPUTED_VALUE"""),"1250986")</f>
        <v>1250986</v>
      </c>
      <c r="C2910" s="213">
        <f>IFERROR(__xludf.DUMMYFUNCTION("""COMPUTED_VALUE"""),46010.448541666665)</f>
        <v>46010.44854</v>
      </c>
      <c r="D2910" s="211" t="str">
        <f>IFERROR(__xludf.DUMMYFUNCTION("""COMPUTED_VALUE"""),"4ec68cf6")</f>
        <v>4ec68cf6</v>
      </c>
      <c r="E2910" s="211" t="str">
        <f>IFERROR(__xludf.DUMMYFUNCTION("""COMPUTED_VALUE"""),"CV Sido Mukti Karya")</f>
        <v>CV Sido Mukti Karya</v>
      </c>
      <c r="F2910" s="211" t="str">
        <f>IFERROR(__xludf.DUMMYFUNCTION("""COMPUTED_VALUE"""),"ef306e54")</f>
        <v>ef306e54</v>
      </c>
      <c r="G2910" s="211" t="str">
        <f>IFERROR(__xludf.DUMMYFUNCTION("""COMPUTED_VALUE"""),"Karbondioksida")</f>
        <v>Karbondioksida</v>
      </c>
      <c r="H2910" s="211" t="str">
        <f>IFERROR(__xludf.DUMMYFUNCTION("""COMPUTED_VALUE"""),"IN")</f>
        <v>IN</v>
      </c>
      <c r="I2910" s="211" t="str">
        <f>IFERROR(__xludf.DUMMYFUNCTION("""COMPUTED_VALUE"""),"EMPTY")</f>
        <v>EMPTY</v>
      </c>
      <c r="J2910" s="211">
        <f>IFERROR(__xludf.DUMMYFUNCTION("""COMPUTED_VALUE"""),3.0)</f>
        <v>3</v>
      </c>
      <c r="K2910" s="210" t="str">
        <f>IFERROR(__xludf.DUMMYFUNCTION("""COMPUTED_VALUE"""),"13046 13006 13012")</f>
        <v>13046 13006 13012</v>
      </c>
      <c r="L2910" s="211">
        <f>IFERROR(__xludf.DUMMYFUNCTION("""COMPUTED_VALUE"""),0.0)</f>
        <v>0</v>
      </c>
      <c r="M2910" s="211"/>
      <c r="N2910" s="211"/>
      <c r="O2910" s="211"/>
      <c r="Q2910" s="210" t="str">
        <f>IFERROR(__xludf.DUMMYFUNCTION("""COMPUTED_VALUE"""),"0326962910")</f>
        <v>0326962910</v>
      </c>
      <c r="R2910" s="210" t="str">
        <f>IFERROR(__xludf.DUMMYFUNCTION("""COMPUTED_VALUE"""),"0326962910")</f>
        <v>0326962910</v>
      </c>
      <c r="S2910" s="211" t="str">
        <f>IFERROR(__xludf.DUMMYFUNCTION("""COMPUTED_VALUE"""),"b2b5f2c5")</f>
        <v>b2b5f2c5</v>
      </c>
      <c r="T2910" s="211" t="str">
        <f>IFERROR(__xludf.DUMMYFUNCTION("""COMPUTED_VALUE"""),"Bengkel Las Bpk. Ari")</f>
        <v>Bengkel Las Bpk. Ari</v>
      </c>
      <c r="U2910" s="215">
        <f>IFERROR(__xludf.DUMMYFUNCTION("""COMPUTED_VALUE"""),46111.38398148148)</f>
        <v>46111.38398</v>
      </c>
      <c r="V2910" s="211" t="str">
        <f>IFERROR(__xludf.DUMMYFUNCTION("""COMPUTED_VALUE"""),"Sumber Kembar, Wonodadi, Kec. Kutorejo, Kabupaten Mojokerto, Jawa Timur")</f>
        <v>Sumber Kembar, Wonodadi, Kec. Kutorejo, Kabupaten Mojokerto, Jawa Timur</v>
      </c>
      <c r="W2910" s="211" t="str">
        <f>IFERROR(__xludf.DUMMYFUNCTION("""COMPUTED_VALUE"""),"OUT")</f>
        <v>OUT</v>
      </c>
      <c r="X2910" s="211"/>
    </row>
    <row r="2911">
      <c r="A2911" s="210" t="str">
        <f>IFERROR(__xludf.DUMMYFUNCTION("""COMPUTED_VALUE"""),"1250986")</f>
        <v>1250986</v>
      </c>
      <c r="B2911" s="210" t="str">
        <f>IFERROR(__xludf.DUMMYFUNCTION("""COMPUTED_VALUE"""),"1250986")</f>
        <v>1250986</v>
      </c>
      <c r="C2911" s="213">
        <f>IFERROR(__xludf.DUMMYFUNCTION("""COMPUTED_VALUE"""),46010.448541666665)</f>
        <v>46010.44854</v>
      </c>
      <c r="D2911" s="211" t="str">
        <f>IFERROR(__xludf.DUMMYFUNCTION("""COMPUTED_VALUE"""),"4ec68cf6")</f>
        <v>4ec68cf6</v>
      </c>
      <c r="E2911" s="211" t="str">
        <f>IFERROR(__xludf.DUMMYFUNCTION("""COMPUTED_VALUE"""),"CV Sido Mukti Karya")</f>
        <v>CV Sido Mukti Karya</v>
      </c>
      <c r="F2911" s="211" t="str">
        <f>IFERROR(__xludf.DUMMYFUNCTION("""COMPUTED_VALUE"""),"8bdbe149")</f>
        <v>8bdbe149</v>
      </c>
      <c r="G2911" s="211" t="str">
        <f>IFERROR(__xludf.DUMMYFUNCTION("""COMPUTED_VALUE"""),"Oksigen 6m3")</f>
        <v>Oksigen 6m3</v>
      </c>
      <c r="H2911" s="211" t="str">
        <f>IFERROR(__xludf.DUMMYFUNCTION("""COMPUTED_VALUE"""),"IN")</f>
        <v>IN</v>
      </c>
      <c r="I2911" s="211" t="str">
        <f>IFERROR(__xludf.DUMMYFUNCTION("""COMPUTED_VALUE"""),"EMPTY")</f>
        <v>EMPTY</v>
      </c>
      <c r="J2911" s="211">
        <f>IFERROR(__xludf.DUMMYFUNCTION("""COMPUTED_VALUE"""),1.0)</f>
        <v>1</v>
      </c>
      <c r="K2911" s="210" t="str">
        <f>IFERROR(__xludf.DUMMYFUNCTION("""COMPUTED_VALUE"""),"11274")</f>
        <v>11274</v>
      </c>
      <c r="L2911" s="211">
        <f>IFERROR(__xludf.DUMMYFUNCTION("""COMPUTED_VALUE"""),0.0)</f>
        <v>0</v>
      </c>
      <c r="M2911" s="211"/>
      <c r="N2911" s="211"/>
      <c r="O2911" s="211"/>
      <c r="Q2911" s="210" t="str">
        <f>IFERROR(__xludf.DUMMYFUNCTION("""COMPUTED_VALUE"""),"0326352911")</f>
        <v>0326352911</v>
      </c>
      <c r="R2911" s="210" t="str">
        <f>IFERROR(__xludf.DUMMYFUNCTION("""COMPUTED_VALUE"""),"0326352911")</f>
        <v>0326352911</v>
      </c>
      <c r="S2911" s="211" t="str">
        <f>IFERROR(__xludf.DUMMYFUNCTION("""COMPUTED_VALUE"""),"63fc688a")</f>
        <v>63fc688a</v>
      </c>
      <c r="T2911" s="211" t="str">
        <f>IFERROR(__xludf.DUMMYFUNCTION("""COMPUTED_VALUE"""),"CV Malik Nusantara")</f>
        <v>CV Malik Nusantara</v>
      </c>
      <c r="U2911" s="215">
        <f>IFERROR(__xludf.DUMMYFUNCTION("""COMPUTED_VALUE"""),46111.47010416666)</f>
        <v>46111.4701</v>
      </c>
      <c r="V2911" s="211" t="str">
        <f>IFERROR(__xludf.DUMMYFUNCTION("""COMPUTED_VALUE"""),"Jl. Raya Balongbendo No.12, Suwaluh Utara, Suwaluh, Kec. BalongBendo, Kabupaten Sidoarjo, Jawa Timur 61263")</f>
        <v>Jl. Raya Balongbendo No.12, Suwaluh Utara, Suwaluh, Kec. BalongBendo, Kabupaten Sidoarjo, Jawa Timur 61263</v>
      </c>
      <c r="W2911" s="211" t="str">
        <f>IFERROR(__xludf.DUMMYFUNCTION("""COMPUTED_VALUE"""),"OUT")</f>
        <v>OUT</v>
      </c>
      <c r="X2911" s="211"/>
    </row>
    <row r="2912">
      <c r="A2912" s="210" t="str">
        <f>IFERROR(__xludf.DUMMYFUNCTION("""COMPUTED_VALUE"""),"1250986")</f>
        <v>1250986</v>
      </c>
      <c r="B2912" s="210" t="str">
        <f>IFERROR(__xludf.DUMMYFUNCTION("""COMPUTED_VALUE"""),"1250986")</f>
        <v>1250986</v>
      </c>
      <c r="C2912" s="213">
        <f>IFERROR(__xludf.DUMMYFUNCTION("""COMPUTED_VALUE"""),46010.448541666665)</f>
        <v>46010.44854</v>
      </c>
      <c r="D2912" s="211" t="str">
        <f>IFERROR(__xludf.DUMMYFUNCTION("""COMPUTED_VALUE"""),"4ec68cf6")</f>
        <v>4ec68cf6</v>
      </c>
      <c r="E2912" s="211" t="str">
        <f>IFERROR(__xludf.DUMMYFUNCTION("""COMPUTED_VALUE"""),"CV Sido Mukti Karya")</f>
        <v>CV Sido Mukti Karya</v>
      </c>
      <c r="F2912" s="211" t="str">
        <f>IFERROR(__xludf.DUMMYFUNCTION("""COMPUTED_VALUE"""),"7d2764f1")</f>
        <v>7d2764f1</v>
      </c>
      <c r="G2912" s="211" t="str">
        <f>IFERROR(__xludf.DUMMYFUNCTION("""COMPUTED_VALUE"""),"Oksigen 7m3")</f>
        <v>Oksigen 7m3</v>
      </c>
      <c r="H2912" s="211" t="str">
        <f>IFERROR(__xludf.DUMMYFUNCTION("""COMPUTED_VALUE"""),"IN")</f>
        <v>IN</v>
      </c>
      <c r="I2912" s="211" t="str">
        <f>IFERROR(__xludf.DUMMYFUNCTION("""COMPUTED_VALUE"""),"EMPTY")</f>
        <v>EMPTY</v>
      </c>
      <c r="J2912" s="211">
        <f>IFERROR(__xludf.DUMMYFUNCTION("""COMPUTED_VALUE"""),2.0)</f>
        <v>2</v>
      </c>
      <c r="K2912" s="210" t="str">
        <f>IFERROR(__xludf.DUMMYFUNCTION("""COMPUTED_VALUE"""),"11152 11153")</f>
        <v>11152 11153</v>
      </c>
      <c r="L2912" s="211">
        <f>IFERROR(__xludf.DUMMYFUNCTION("""COMPUTED_VALUE"""),0.0)</f>
        <v>0</v>
      </c>
      <c r="M2912" s="211"/>
      <c r="N2912" s="211"/>
      <c r="O2912" s="211"/>
      <c r="Q2912" s="210" t="str">
        <f>IFERROR(__xludf.DUMMYFUNCTION("""COMPUTED_VALUE"""),"032692912")</f>
        <v>032692912</v>
      </c>
      <c r="R2912" s="210" t="str">
        <f>IFERROR(__xludf.DUMMYFUNCTION("""COMPUTED_VALUE"""),"032692912")</f>
        <v>032692912</v>
      </c>
      <c r="S2912" s="211" t="str">
        <f>IFERROR(__xludf.DUMMYFUNCTION("""COMPUTED_VALUE"""),"d9b2fac5")</f>
        <v>d9b2fac5</v>
      </c>
      <c r="T2912" s="211" t="str">
        <f>IFERROR(__xludf.DUMMYFUNCTION("""COMPUTED_VALUE"""),"Dwi Riza ( Ponokawan)")</f>
        <v>Dwi Riza ( Ponokawan)</v>
      </c>
      <c r="U2912" s="215">
        <f>IFERROR(__xludf.DUMMYFUNCTION("""COMPUTED_VALUE"""),46111.59710648148)</f>
        <v>46111.59711</v>
      </c>
      <c r="V2912" s="211" t="str">
        <f>IFERROR(__xludf.DUMMYFUNCTION("""COMPUTED_VALUE"""),"Jl. Raya Ponokawan No.28 RT 07 RW 03 Kec. Krian Sidoarjo (Seberang Bengkel An.Nur/ Deretan Baraka Expres)")</f>
        <v>Jl. Raya Ponokawan No.28 RT 07 RW 03 Kec. Krian Sidoarjo (Seberang Bengkel An.Nur/ Deretan Baraka Expres)</v>
      </c>
      <c r="W2912" s="211" t="str">
        <f>IFERROR(__xludf.DUMMYFUNCTION("""COMPUTED_VALUE"""),"OUT")</f>
        <v>OUT</v>
      </c>
      <c r="X2912" s="211"/>
    </row>
    <row r="2913">
      <c r="A2913" s="210" t="str">
        <f>IFERROR(__xludf.DUMMYFUNCTION("""COMPUTED_VALUE"""),"120975")</f>
        <v>120975</v>
      </c>
      <c r="B2913" s="210" t="str">
        <f>IFERROR(__xludf.DUMMYFUNCTION("""COMPUTED_VALUE"""),"120975")</f>
        <v>120975</v>
      </c>
      <c r="C2913" s="213">
        <f>IFERROR(__xludf.DUMMYFUNCTION("""COMPUTED_VALUE"""),46010.46107638889)</f>
        <v>46010.46108</v>
      </c>
      <c r="D2913" s="211" t="str">
        <f>IFERROR(__xludf.DUMMYFUNCTION("""COMPUTED_VALUE"""),"f98b1e81")</f>
        <v>f98b1e81</v>
      </c>
      <c r="E2913" s="211" t="str">
        <f>IFERROR(__xludf.DUMMYFUNCTION("""COMPUTED_VALUE"""),"CV. Greenlife Tirta Sentosa")</f>
        <v>CV. Greenlife Tirta Sentosa</v>
      </c>
      <c r="F2913" s="211" t="str">
        <f>IFERROR(__xludf.DUMMYFUNCTION("""COMPUTED_VALUE"""),"7d2764f1")</f>
        <v>7d2764f1</v>
      </c>
      <c r="G2913" s="211" t="str">
        <f>IFERROR(__xludf.DUMMYFUNCTION("""COMPUTED_VALUE"""),"Oksigen 7m3")</f>
        <v>Oksigen 7m3</v>
      </c>
      <c r="H2913" s="211" t="str">
        <f>IFERROR(__xludf.DUMMYFUNCTION("""COMPUTED_VALUE"""),"IN")</f>
        <v>IN</v>
      </c>
      <c r="I2913" s="211" t="str">
        <f>IFERROR(__xludf.DUMMYFUNCTION("""COMPUTED_VALUE"""),"EMPTY")</f>
        <v>EMPTY</v>
      </c>
      <c r="J2913" s="211">
        <f>IFERROR(__xludf.DUMMYFUNCTION("""COMPUTED_VALUE"""),2.0)</f>
        <v>2</v>
      </c>
      <c r="K2913" s="210" t="str">
        <f>IFERROR(__xludf.DUMMYFUNCTION("""COMPUTED_VALUE"""),"11302 11135")</f>
        <v>11302 11135</v>
      </c>
      <c r="L2913" s="211">
        <f>IFERROR(__xludf.DUMMYFUNCTION("""COMPUTED_VALUE"""),0.0)</f>
        <v>0</v>
      </c>
      <c r="M2913" s="211"/>
      <c r="N2913" s="211"/>
      <c r="O2913" s="211"/>
      <c r="Q2913" s="210" t="str">
        <f>IFERROR(__xludf.DUMMYFUNCTION("""COMPUTED_VALUE"""),"0326272913")</f>
        <v>0326272913</v>
      </c>
      <c r="R2913" s="210" t="str">
        <f>IFERROR(__xludf.DUMMYFUNCTION("""COMPUTED_VALUE"""),"0326272913")</f>
        <v>0326272913</v>
      </c>
      <c r="S2913" s="211" t="str">
        <f>IFERROR(__xludf.DUMMYFUNCTION("""COMPUTED_VALUE"""),"7b9d8eba")</f>
        <v>7b9d8eba</v>
      </c>
      <c r="T2913" s="211" t="str">
        <f>IFERROR(__xludf.DUMMYFUNCTION("""COMPUTED_VALUE"""),"PT PELANGI INDOKARYA")</f>
        <v>PT PELANGI INDOKARYA</v>
      </c>
      <c r="U2913" s="215">
        <f>IFERROR(__xludf.DUMMYFUNCTION("""COMPUTED_VALUE"""),46111.60050925926)</f>
        <v>46111.60051</v>
      </c>
      <c r="V2913"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913" s="211" t="str">
        <f>IFERROR(__xludf.DUMMYFUNCTION("""COMPUTED_VALUE"""),"OUT")</f>
        <v>OUT</v>
      </c>
      <c r="X2913" s="211"/>
    </row>
    <row r="2914">
      <c r="A2914" s="210" t="str">
        <f>IFERROR(__xludf.DUMMYFUNCTION("""COMPUTED_VALUE"""),"1225412037")</f>
        <v>1225412037</v>
      </c>
      <c r="B2914" s="210" t="str">
        <f>IFERROR(__xludf.DUMMYFUNCTION("""COMPUTED_VALUE"""),"1225412037")</f>
        <v>1225412037</v>
      </c>
      <c r="C2914" s="213">
        <f>IFERROR(__xludf.DUMMYFUNCTION("""COMPUTED_VALUE"""),46010.475798611114)</f>
        <v>46010.4758</v>
      </c>
      <c r="D2914" s="211" t="str">
        <f>IFERROR(__xludf.DUMMYFUNCTION("""COMPUTED_VALUE"""),"01158be1")</f>
        <v>01158be1</v>
      </c>
      <c r="E2914" s="211" t="str">
        <f>IFERROR(__xludf.DUMMYFUNCTION("""COMPUTED_VALUE"""),"GYF")</f>
        <v>GYF</v>
      </c>
      <c r="F2914" s="211" t="str">
        <f>IFERROR(__xludf.DUMMYFUNCTION("""COMPUTED_VALUE"""),"8bdbe149")</f>
        <v>8bdbe149</v>
      </c>
      <c r="G2914" s="211" t="str">
        <f>IFERROR(__xludf.DUMMYFUNCTION("""COMPUTED_VALUE"""),"Oksigen 6m3")</f>
        <v>Oksigen 6m3</v>
      </c>
      <c r="H2914" s="211" t="str">
        <f>IFERROR(__xludf.DUMMYFUNCTION("""COMPUTED_VALUE"""),"OUT")</f>
        <v>OUT</v>
      </c>
      <c r="I2914" s="211" t="str">
        <f>IFERROR(__xludf.DUMMYFUNCTION("""COMPUTED_VALUE"""),"NORMAL")</f>
        <v>NORMAL</v>
      </c>
      <c r="J2914" s="211">
        <f>IFERROR(__xludf.DUMMYFUNCTION("""COMPUTED_VALUE"""),10.0)</f>
        <v>10</v>
      </c>
      <c r="K2914" s="210" t="str">
        <f>IFERROR(__xludf.DUMMYFUNCTION("""COMPUTED_VALUE"""),"11315 11316 11317 11319 11320 11321 11322 11323 11324 11326")</f>
        <v>11315 11316 11317 11319 11320 11321 11322 11323 11324 11326</v>
      </c>
      <c r="L2914" s="211">
        <f>IFERROR(__xludf.DUMMYFUNCTION("""COMPUTED_VALUE"""),45000.0)</f>
        <v>45000</v>
      </c>
      <c r="M2914" s="211"/>
      <c r="N2914" s="211"/>
      <c r="O2914" s="211"/>
      <c r="Q2914" s="210" t="str">
        <f>IFERROR(__xludf.DUMMYFUNCTION("""COMPUTED_VALUE"""),"1261446")</f>
        <v>1261446</v>
      </c>
      <c r="R2914" s="210" t="str">
        <f>IFERROR(__xludf.DUMMYFUNCTION("""COMPUTED_VALUE"""),"1261446")</f>
        <v>1261446</v>
      </c>
      <c r="S2914" s="211" t="str">
        <f>IFERROR(__xludf.DUMMYFUNCTION("""COMPUTED_VALUE"""),"63fc688a")</f>
        <v>63fc688a</v>
      </c>
      <c r="T2914" s="211" t="str">
        <f>IFERROR(__xludf.DUMMYFUNCTION("""COMPUTED_VALUE"""),"CV Malik Nusantara")</f>
        <v>CV Malik Nusantara</v>
      </c>
      <c r="U2914" s="215">
        <f>IFERROR(__xludf.DUMMYFUNCTION("""COMPUTED_VALUE"""),46111.64917824074)</f>
        <v>46111.64918</v>
      </c>
      <c r="V2914" s="211" t="str">
        <f>IFERROR(__xludf.DUMMYFUNCTION("""COMPUTED_VALUE"""),"Jl. Raya Balongbendo No.12, Suwaluh Utara, Suwaluh, Kec. BalongBendo, Kabupaten Sidoarjo, Jawa Timur 61263")</f>
        <v>Jl. Raya Balongbendo No.12, Suwaluh Utara, Suwaluh, Kec. BalongBendo, Kabupaten Sidoarjo, Jawa Timur 61263</v>
      </c>
      <c r="W2914" s="211" t="str">
        <f>IFERROR(__xludf.DUMMYFUNCTION("""COMPUTED_VALUE"""),"IN")</f>
        <v>IN</v>
      </c>
      <c r="X2914" s="211"/>
    </row>
    <row r="2915">
      <c r="A2915" s="210" t="str">
        <f>IFERROR(__xludf.DUMMYFUNCTION("""COMPUTED_VALUE"""),"122542041")</f>
        <v>122542041</v>
      </c>
      <c r="B2915" s="210" t="str">
        <f>IFERROR(__xludf.DUMMYFUNCTION("""COMPUTED_VALUE"""),"122542041")</f>
        <v>122542041</v>
      </c>
      <c r="C2915" s="213">
        <f>IFERROR(__xludf.DUMMYFUNCTION("""COMPUTED_VALUE"""),46010.5390162037)</f>
        <v>46010.53902</v>
      </c>
      <c r="D2915" s="211" t="str">
        <f>IFERROR(__xludf.DUMMYFUNCTION("""COMPUTED_VALUE"""),"03ff52db")</f>
        <v>03ff52db</v>
      </c>
      <c r="E2915" s="211" t="str">
        <f>IFERROR(__xludf.DUMMYFUNCTION("""COMPUTED_VALUE"""),"Aneka Teknik Logam")</f>
        <v>Aneka Teknik Logam</v>
      </c>
      <c r="F2915" s="211" t="str">
        <f>IFERROR(__xludf.DUMMYFUNCTION("""COMPUTED_VALUE"""),"f6aab7a9")</f>
        <v>f6aab7a9</v>
      </c>
      <c r="G2915" s="211" t="str">
        <f>IFERROR(__xludf.DUMMYFUNCTION("""COMPUTED_VALUE"""),"Oksigen 6m3 MR")</f>
        <v>Oksigen 6m3 MR</v>
      </c>
      <c r="H2915" s="211" t="str">
        <f>IFERROR(__xludf.DUMMYFUNCTION("""COMPUTED_VALUE"""),"OUT")</f>
        <v>OUT</v>
      </c>
      <c r="I2915" s="211" t="str">
        <f>IFERROR(__xludf.DUMMYFUNCTION("""COMPUTED_VALUE"""),"NORMAL")</f>
        <v>NORMAL</v>
      </c>
      <c r="J2915" s="211">
        <f>IFERROR(__xludf.DUMMYFUNCTION("""COMPUTED_VALUE"""),2.0)</f>
        <v>2</v>
      </c>
      <c r="K2915" s="210" t="str">
        <f>IFERROR(__xludf.DUMMYFUNCTION("""COMPUTED_VALUE"""),"0371 0372")</f>
        <v>0371 0372</v>
      </c>
      <c r="L2915" s="211">
        <f>IFERROR(__xludf.DUMMYFUNCTION("""COMPUTED_VALUE"""),55000.0)</f>
        <v>55000</v>
      </c>
      <c r="M2915" s="211"/>
      <c r="N2915" s="211"/>
      <c r="O2915" s="211"/>
      <c r="Q2915" s="210" t="str">
        <f>IFERROR(__xludf.DUMMYFUNCTION("""COMPUTED_VALUE"""),"1261445")</f>
        <v>1261445</v>
      </c>
      <c r="R2915" s="210" t="str">
        <f>IFERROR(__xludf.DUMMYFUNCTION("""COMPUTED_VALUE"""),"1261445")</f>
        <v>1261445</v>
      </c>
      <c r="S2915" s="211" t="str">
        <f>IFERROR(__xludf.DUMMYFUNCTION("""COMPUTED_VALUE"""),"9419f673")</f>
        <v>9419f673</v>
      </c>
      <c r="T2915" s="211" t="str">
        <f>IFERROR(__xludf.DUMMYFUNCTION("""COMPUTED_VALUE"""),"PT LONG XING LOGAM INDONESIA")</f>
        <v>PT LONG XING LOGAM INDONESIA</v>
      </c>
      <c r="U2915" s="215">
        <f>IFERROR(__xludf.DUMMYFUNCTION("""COMPUTED_VALUE"""),46111.649664351855)</f>
        <v>46111.64966</v>
      </c>
      <c r="V2915" s="211" t="str">
        <f>IFERROR(__xludf.DUMMYFUNCTION("""COMPUTED_VALUE"""),"Jl. Raya Wringinanom, Tanggungan, Lebaniwaras, Kec. Wringinanom, Kabupaten Gresik, Jawa Timur 61176")</f>
        <v>Jl. Raya Wringinanom, Tanggungan, Lebaniwaras, Kec. Wringinanom, Kabupaten Gresik, Jawa Timur 61176</v>
      </c>
      <c r="W2915" s="211" t="str">
        <f>IFERROR(__xludf.DUMMYFUNCTION("""COMPUTED_VALUE"""),"IN")</f>
        <v>IN</v>
      </c>
      <c r="X2915" s="211"/>
    </row>
    <row r="2916">
      <c r="A2916" s="210" t="str">
        <f>IFERROR(__xludf.DUMMYFUNCTION("""COMPUTED_VALUE"""),"122542041")</f>
        <v>122542041</v>
      </c>
      <c r="B2916" s="210" t="str">
        <f>IFERROR(__xludf.DUMMYFUNCTION("""COMPUTED_VALUE"""),"122542041")</f>
        <v>122542041</v>
      </c>
      <c r="C2916" s="213">
        <f>IFERROR(__xludf.DUMMYFUNCTION("""COMPUTED_VALUE"""),46010.5390162037)</f>
        <v>46010.53902</v>
      </c>
      <c r="D2916" s="211" t="str">
        <f>IFERROR(__xludf.DUMMYFUNCTION("""COMPUTED_VALUE"""),"03ff52db")</f>
        <v>03ff52db</v>
      </c>
      <c r="E2916" s="211" t="str">
        <f>IFERROR(__xludf.DUMMYFUNCTION("""COMPUTED_VALUE"""),"Aneka Teknik Logam")</f>
        <v>Aneka Teknik Logam</v>
      </c>
      <c r="F2916" s="211" t="str">
        <f>IFERROR(__xludf.DUMMYFUNCTION("""COMPUTED_VALUE"""),"06f37aa7")</f>
        <v>06f37aa7</v>
      </c>
      <c r="G2916" s="211" t="str">
        <f>IFERROR(__xludf.DUMMYFUNCTION("""COMPUTED_VALUE"""),"Maintenance Serv")</f>
        <v>Maintenance Serv</v>
      </c>
      <c r="H2916" s="211" t="str">
        <f>IFERROR(__xludf.DUMMYFUNCTION("""COMPUTED_VALUE"""),"OUT")</f>
        <v>OUT</v>
      </c>
      <c r="I2916" s="211" t="str">
        <f>IFERROR(__xludf.DUMMYFUNCTION("""COMPUTED_VALUE"""),"NORMAL")</f>
        <v>NORMAL</v>
      </c>
      <c r="J2916" s="211">
        <f>IFERROR(__xludf.DUMMYFUNCTION("""COMPUTED_VALUE"""),2.0)</f>
        <v>2</v>
      </c>
      <c r="K2916" s="211"/>
      <c r="L2916" s="211">
        <f>IFERROR(__xludf.DUMMYFUNCTION("""COMPUTED_VALUE"""),30000.0)</f>
        <v>30000</v>
      </c>
      <c r="M2916" s="211"/>
      <c r="N2916" s="211"/>
      <c r="O2916" s="211"/>
      <c r="Q2916" s="210" t="str">
        <f>IFERROR(__xludf.DUMMYFUNCTION("""COMPUTED_VALUE"""),"1261472")</f>
        <v>1261472</v>
      </c>
      <c r="R2916" s="210" t="str">
        <f>IFERROR(__xludf.DUMMYFUNCTION("""COMPUTED_VALUE"""),"1261472")</f>
        <v>1261472</v>
      </c>
      <c r="S2916" s="211" t="str">
        <f>IFERROR(__xludf.DUMMYFUNCTION("""COMPUTED_VALUE"""),"b2b5f2c5")</f>
        <v>b2b5f2c5</v>
      </c>
      <c r="T2916" s="211" t="str">
        <f>IFERROR(__xludf.DUMMYFUNCTION("""COMPUTED_VALUE"""),"Bengkel Las Bpk. Ari")</f>
        <v>Bengkel Las Bpk. Ari</v>
      </c>
      <c r="U2916" s="215">
        <f>IFERROR(__xludf.DUMMYFUNCTION("""COMPUTED_VALUE"""),46111.67664351852)</f>
        <v>46111.67664</v>
      </c>
      <c r="V2916" s="211" t="str">
        <f>IFERROR(__xludf.DUMMYFUNCTION("""COMPUTED_VALUE"""),"Sumber Kembar, Wonodadi, Kec. Kutorejo, Kabupaten Mojokerto, Jawa Timur")</f>
        <v>Sumber Kembar, Wonodadi, Kec. Kutorejo, Kabupaten Mojokerto, Jawa Timur</v>
      </c>
      <c r="W2916" s="211" t="str">
        <f>IFERROR(__xludf.DUMMYFUNCTION("""COMPUTED_VALUE"""),"IN")</f>
        <v>IN</v>
      </c>
      <c r="X2916" s="211"/>
    </row>
    <row r="2917">
      <c r="A2917" s="210" t="str">
        <f>IFERROR(__xludf.DUMMYFUNCTION("""COMPUTED_VALUE"""),"1225572042")</f>
        <v>1225572042</v>
      </c>
      <c r="B2917" s="210" t="str">
        <f>IFERROR(__xludf.DUMMYFUNCTION("""COMPUTED_VALUE"""),"1225572042")</f>
        <v>1225572042</v>
      </c>
      <c r="C2917" s="213">
        <f>IFERROR(__xludf.DUMMYFUNCTION("""COMPUTED_VALUE"""),46010.55498842592)</f>
        <v>46010.55499</v>
      </c>
      <c r="D2917" s="211" t="str">
        <f>IFERROR(__xludf.DUMMYFUNCTION("""COMPUTED_VALUE"""),"b2b5f2c5")</f>
        <v>b2b5f2c5</v>
      </c>
      <c r="E2917" s="211" t="str">
        <f>IFERROR(__xludf.DUMMYFUNCTION("""COMPUTED_VALUE"""),"Bengkel Las Bpk. Ari")</f>
        <v>Bengkel Las Bpk. Ari</v>
      </c>
      <c r="F2917" s="211" t="str">
        <f>IFERROR(__xludf.DUMMYFUNCTION("""COMPUTED_VALUE"""),"f6aab7a9")</f>
        <v>f6aab7a9</v>
      </c>
      <c r="G2917" s="211" t="str">
        <f>IFERROR(__xludf.DUMMYFUNCTION("""COMPUTED_VALUE"""),"Oksigen 6m3 MR")</f>
        <v>Oksigen 6m3 MR</v>
      </c>
      <c r="H2917" s="211" t="str">
        <f>IFERROR(__xludf.DUMMYFUNCTION("""COMPUTED_VALUE"""),"OUT")</f>
        <v>OUT</v>
      </c>
      <c r="I2917" s="211" t="str">
        <f>IFERROR(__xludf.DUMMYFUNCTION("""COMPUTED_VALUE"""),"NORMAL")</f>
        <v>NORMAL</v>
      </c>
      <c r="J2917" s="211">
        <f>IFERROR(__xludf.DUMMYFUNCTION("""COMPUTED_VALUE"""),1.0)</f>
        <v>1</v>
      </c>
      <c r="K2917" s="210" t="str">
        <f>IFERROR(__xludf.DUMMYFUNCTION("""COMPUTED_VALUE"""),"01")</f>
        <v>01</v>
      </c>
      <c r="L2917" s="211">
        <f>IFERROR(__xludf.DUMMYFUNCTION("""COMPUTED_VALUE"""),55000.0)</f>
        <v>55000</v>
      </c>
      <c r="M2917" s="211"/>
      <c r="N2917" s="211"/>
      <c r="O2917" s="211"/>
      <c r="Q2917" s="210" t="str">
        <f>IFERROR(__xludf.DUMMYFUNCTION("""COMPUTED_VALUE"""),"1261474")</f>
        <v>1261474</v>
      </c>
      <c r="R2917" s="210" t="str">
        <f>IFERROR(__xludf.DUMMYFUNCTION("""COMPUTED_VALUE"""),"1261474")</f>
        <v>1261474</v>
      </c>
      <c r="S2917" s="211" t="str">
        <f>IFERROR(__xludf.DUMMYFUNCTION("""COMPUTED_VALUE"""),"7b9d8eba")</f>
        <v>7b9d8eba</v>
      </c>
      <c r="T2917" s="211" t="str">
        <f>IFERROR(__xludf.DUMMYFUNCTION("""COMPUTED_VALUE"""),"PT PELANGI INDOKARYA")</f>
        <v>PT PELANGI INDOKARYA</v>
      </c>
      <c r="U2917" s="215">
        <f>IFERROR(__xludf.DUMMYFUNCTION("""COMPUTED_VALUE"""),46111.67706018518)</f>
        <v>46111.67706</v>
      </c>
      <c r="V2917"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917" s="211" t="str">
        <f>IFERROR(__xludf.DUMMYFUNCTION("""COMPUTED_VALUE"""),"IN")</f>
        <v>IN</v>
      </c>
      <c r="X2917" s="211"/>
    </row>
    <row r="2918">
      <c r="A2918" s="210" t="str">
        <f>IFERROR(__xludf.DUMMYFUNCTION("""COMPUTED_VALUE"""),"1225572042")</f>
        <v>1225572042</v>
      </c>
      <c r="B2918" s="210" t="str">
        <f>IFERROR(__xludf.DUMMYFUNCTION("""COMPUTED_VALUE"""),"1225572042")</f>
        <v>1225572042</v>
      </c>
      <c r="C2918" s="213">
        <f>IFERROR(__xludf.DUMMYFUNCTION("""COMPUTED_VALUE"""),46010.55498842592)</f>
        <v>46010.55499</v>
      </c>
      <c r="D2918" s="211" t="str">
        <f>IFERROR(__xludf.DUMMYFUNCTION("""COMPUTED_VALUE"""),"b2b5f2c5")</f>
        <v>b2b5f2c5</v>
      </c>
      <c r="E2918" s="211" t="str">
        <f>IFERROR(__xludf.DUMMYFUNCTION("""COMPUTED_VALUE"""),"Bengkel Las Bpk. Ari")</f>
        <v>Bengkel Las Bpk. Ari</v>
      </c>
      <c r="F2918" s="211" t="str">
        <f>IFERROR(__xludf.DUMMYFUNCTION("""COMPUTED_VALUE"""),"8bdbe149")</f>
        <v>8bdbe149</v>
      </c>
      <c r="G2918" s="211" t="str">
        <f>IFERROR(__xludf.DUMMYFUNCTION("""COMPUTED_VALUE"""),"Oksigen 6m3")</f>
        <v>Oksigen 6m3</v>
      </c>
      <c r="H2918" s="211" t="str">
        <f>IFERROR(__xludf.DUMMYFUNCTION("""COMPUTED_VALUE"""),"OUT")</f>
        <v>OUT</v>
      </c>
      <c r="I2918" s="211" t="str">
        <f>IFERROR(__xludf.DUMMYFUNCTION("""COMPUTED_VALUE"""),"NORMAL")</f>
        <v>NORMAL</v>
      </c>
      <c r="J2918" s="211">
        <f>IFERROR(__xludf.DUMMYFUNCTION("""COMPUTED_VALUE"""),2.0)</f>
        <v>2</v>
      </c>
      <c r="K2918" s="210" t="str">
        <f>IFERROR(__xludf.DUMMYFUNCTION("""COMPUTED_VALUE"""),"11327 11328")</f>
        <v>11327 11328</v>
      </c>
      <c r="L2918" s="211">
        <f>IFERROR(__xludf.DUMMYFUNCTION("""COMPUTED_VALUE"""),60000.0)</f>
        <v>60000</v>
      </c>
      <c r="M2918" s="211"/>
      <c r="N2918" s="211"/>
      <c r="O2918" s="211"/>
      <c r="Q2918" s="210" t="str">
        <f>IFERROR(__xludf.DUMMYFUNCTION("""COMPUTED_VALUE"""),"1261440")</f>
        <v>1261440</v>
      </c>
      <c r="R2918" s="210" t="str">
        <f>IFERROR(__xludf.DUMMYFUNCTION("""COMPUTED_VALUE"""),"1261440")</f>
        <v>1261440</v>
      </c>
      <c r="S2918" s="211" t="str">
        <f>IFERROR(__xludf.DUMMYFUNCTION("""COMPUTED_VALUE"""),"63fc688a")</f>
        <v>63fc688a</v>
      </c>
      <c r="T2918" s="211" t="str">
        <f>IFERROR(__xludf.DUMMYFUNCTION("""COMPUTED_VALUE"""),"CV Malik Nusantara")</f>
        <v>CV Malik Nusantara</v>
      </c>
      <c r="U2918" s="215">
        <f>IFERROR(__xludf.DUMMYFUNCTION("""COMPUTED_VALUE"""),46111.67736111111)</f>
        <v>46111.67736</v>
      </c>
      <c r="V2918" s="211" t="str">
        <f>IFERROR(__xludf.DUMMYFUNCTION("""COMPUTED_VALUE"""),"Jl. Raya Balongbendo No.12, Suwaluh Utara, Suwaluh, Kec. BalongBendo, Kabupaten Sidoarjo, Jawa Timur 61263")</f>
        <v>Jl. Raya Balongbendo No.12, Suwaluh Utara, Suwaluh, Kec. BalongBendo, Kabupaten Sidoarjo, Jawa Timur 61263</v>
      </c>
      <c r="W2918" s="211" t="str">
        <f>IFERROR(__xludf.DUMMYFUNCTION("""COMPUTED_VALUE"""),"IN")</f>
        <v>IN</v>
      </c>
      <c r="X2918" s="211"/>
    </row>
    <row r="2919">
      <c r="A2919" s="210" t="str">
        <f>IFERROR(__xludf.DUMMYFUNCTION("""COMPUTED_VALUE"""),"1225572042")</f>
        <v>1225572042</v>
      </c>
      <c r="B2919" s="210" t="str">
        <f>IFERROR(__xludf.DUMMYFUNCTION("""COMPUTED_VALUE"""),"1225572042")</f>
        <v>1225572042</v>
      </c>
      <c r="C2919" s="213">
        <f>IFERROR(__xludf.DUMMYFUNCTION("""COMPUTED_VALUE"""),46010.55498842592)</f>
        <v>46010.55499</v>
      </c>
      <c r="D2919" s="211" t="str">
        <f>IFERROR(__xludf.DUMMYFUNCTION("""COMPUTED_VALUE"""),"b2b5f2c5")</f>
        <v>b2b5f2c5</v>
      </c>
      <c r="E2919" s="211" t="str">
        <f>IFERROR(__xludf.DUMMYFUNCTION("""COMPUTED_VALUE"""),"Bengkel Las Bpk. Ari")</f>
        <v>Bengkel Las Bpk. Ari</v>
      </c>
      <c r="F2919" s="211" t="str">
        <f>IFERROR(__xludf.DUMMYFUNCTION("""COMPUTED_VALUE"""),"7d2764f1")</f>
        <v>7d2764f1</v>
      </c>
      <c r="G2919" s="211" t="str">
        <f>IFERROR(__xludf.DUMMYFUNCTION("""COMPUTED_VALUE"""),"Oksigen 7m3")</f>
        <v>Oksigen 7m3</v>
      </c>
      <c r="H2919" s="211" t="str">
        <f>IFERROR(__xludf.DUMMYFUNCTION("""COMPUTED_VALUE"""),"OUT")</f>
        <v>OUT</v>
      </c>
      <c r="I2919" s="211" t="str">
        <f>IFERROR(__xludf.DUMMYFUNCTION("""COMPUTED_VALUE"""),"NORMAL")</f>
        <v>NORMAL</v>
      </c>
      <c r="J2919" s="211">
        <f>IFERROR(__xludf.DUMMYFUNCTION("""COMPUTED_VALUE"""),4.0)</f>
        <v>4</v>
      </c>
      <c r="K2919" s="210" t="str">
        <f>IFERROR(__xludf.DUMMYFUNCTION("""COMPUTED_VALUE"""),"11329 11330 11331 11318")</f>
        <v>11329 11330 11331 11318</v>
      </c>
      <c r="L2919" s="211">
        <f>IFERROR(__xludf.DUMMYFUNCTION("""COMPUTED_VALUE"""),60000.0)</f>
        <v>60000</v>
      </c>
      <c r="M2919" s="211"/>
      <c r="N2919" s="211"/>
      <c r="O2919" s="211"/>
      <c r="Q2919" s="210" t="str">
        <f>IFERROR(__xludf.DUMMYFUNCTION("""COMPUTED_VALUE"""),"1261439")</f>
        <v>1261439</v>
      </c>
      <c r="R2919" s="210" t="str">
        <f>IFERROR(__xludf.DUMMYFUNCTION("""COMPUTED_VALUE"""),"1261439")</f>
        <v>1261439</v>
      </c>
      <c r="S2919" s="211" t="str">
        <f>IFERROR(__xludf.DUMMYFUNCTION("""COMPUTED_VALUE"""),"2d88931c")</f>
        <v>2d88931c</v>
      </c>
      <c r="T2919" s="211" t="str">
        <f>IFERROR(__xludf.DUMMYFUNCTION("""COMPUTED_VALUE"""),"PT Dunia Berkat Marga Mulya")</f>
        <v>PT Dunia Berkat Marga Mulya</v>
      </c>
      <c r="U2919" s="215">
        <f>IFERROR(__xludf.DUMMYFUNCTION("""COMPUTED_VALUE"""),46111.6824537037)</f>
        <v>46111.68245</v>
      </c>
      <c r="V2919" s="211" t="str">
        <f>IFERROR(__xludf.DUMMYFUNCTION("""COMPUTED_VALUE"""),"JL JABARAN, WATESARI, BALONGBENDO, SIDOARJO, JAWA TIMUR")</f>
        <v>JL JABARAN, WATESARI, BALONGBENDO, SIDOARJO, JAWA TIMUR</v>
      </c>
      <c r="W2919" s="211" t="str">
        <f>IFERROR(__xludf.DUMMYFUNCTION("""COMPUTED_VALUE"""),"IN")</f>
        <v>IN</v>
      </c>
      <c r="X2919" s="211"/>
    </row>
    <row r="2920">
      <c r="A2920" s="210" t="str">
        <f>IFERROR(__xludf.DUMMYFUNCTION("""COMPUTED_VALUE"""),"1250987")</f>
        <v>1250987</v>
      </c>
      <c r="B2920" s="210" t="str">
        <f>IFERROR(__xludf.DUMMYFUNCTION("""COMPUTED_VALUE"""),"1250987")</f>
        <v>1250987</v>
      </c>
      <c r="C2920" s="213">
        <f>IFERROR(__xludf.DUMMYFUNCTION("""COMPUTED_VALUE"""),46010.65149305556)</f>
        <v>46010.65149</v>
      </c>
      <c r="D2920" s="211" t="str">
        <f>IFERROR(__xludf.DUMMYFUNCTION("""COMPUTED_VALUE"""),"01158be1")</f>
        <v>01158be1</v>
      </c>
      <c r="E2920" s="211" t="str">
        <f>IFERROR(__xludf.DUMMYFUNCTION("""COMPUTED_VALUE"""),"GYF")</f>
        <v>GYF</v>
      </c>
      <c r="F2920" s="211" t="str">
        <f>IFERROR(__xludf.DUMMYFUNCTION("""COMPUTED_VALUE"""),"8bdbe149")</f>
        <v>8bdbe149</v>
      </c>
      <c r="G2920" s="211" t="str">
        <f>IFERROR(__xludf.DUMMYFUNCTION("""COMPUTED_VALUE"""),"Oksigen 6m3")</f>
        <v>Oksigen 6m3</v>
      </c>
      <c r="H2920" s="211" t="str">
        <f>IFERROR(__xludf.DUMMYFUNCTION("""COMPUTED_VALUE"""),"IN")</f>
        <v>IN</v>
      </c>
      <c r="I2920" s="211" t="str">
        <f>IFERROR(__xludf.DUMMYFUNCTION("""COMPUTED_VALUE"""),"EMPTY")</f>
        <v>EMPTY</v>
      </c>
      <c r="J2920" s="211">
        <f>IFERROR(__xludf.DUMMYFUNCTION("""COMPUTED_VALUE"""),9.0)</f>
        <v>9</v>
      </c>
      <c r="K2920" s="210" t="str">
        <f>IFERROR(__xludf.DUMMYFUNCTION("""COMPUTED_VALUE"""),"11284 11247 11311 11132 11245 1147 1165 1157 11165")</f>
        <v>11284 11247 11311 11132 11245 1147 1165 1157 11165</v>
      </c>
      <c r="L2920" s="211">
        <f>IFERROR(__xludf.DUMMYFUNCTION("""COMPUTED_VALUE"""),0.0)</f>
        <v>0</v>
      </c>
      <c r="M2920" s="211"/>
      <c r="N2920" s="211"/>
      <c r="O2920" s="211"/>
      <c r="Q2920" s="210" t="str">
        <f>IFERROR(__xludf.DUMMYFUNCTION("""COMPUTED_VALUE"""),"4032612903")</f>
        <v>4032612903</v>
      </c>
      <c r="R2920" s="210" t="str">
        <f>IFERROR(__xludf.DUMMYFUNCTION("""COMPUTED_VALUE"""),"4032612903")</f>
        <v>4032612903</v>
      </c>
      <c r="S2920" s="211" t="str">
        <f>IFERROR(__xludf.DUMMYFUNCTION("""COMPUTED_VALUE"""),"f49860e4")</f>
        <v>f49860e4</v>
      </c>
      <c r="T2920" s="211" t="str">
        <f>IFERROR(__xludf.DUMMYFUNCTION("""COMPUTED_VALUE"""),"Mas Nur ( Jetis )")</f>
        <v>Mas Nur ( Jetis )</v>
      </c>
      <c r="U2920" s="215">
        <f>IFERROR(__xludf.DUMMYFUNCTION("""COMPUTED_VALUE"""),46112.363275462965)</f>
        <v>46112.36328</v>
      </c>
      <c r="V2920" s="211" t="str">
        <f>IFERROR(__xludf.DUMMYFUNCTION("""COMPUTED_VALUE"""),"HFVF+CCG, JL.Raya Jetis, jetis, Kec. Jetis Kabupaten Mojokerto Jawa Timur 61352")</f>
        <v>HFVF+CCG, JL.Raya Jetis, jetis, Kec. Jetis Kabupaten Mojokerto Jawa Timur 61352</v>
      </c>
      <c r="W2920" s="211" t="str">
        <f>IFERROR(__xludf.DUMMYFUNCTION("""COMPUTED_VALUE"""),"OTHER")</f>
        <v>OTHER</v>
      </c>
      <c r="X2920" s="211"/>
    </row>
    <row r="2921">
      <c r="A2921" s="210" t="str">
        <f>IFERROR(__xludf.DUMMYFUNCTION("""COMPUTED_VALUE"""),"1250976")</f>
        <v>1250976</v>
      </c>
      <c r="B2921" s="210" t="str">
        <f>IFERROR(__xludf.DUMMYFUNCTION("""COMPUTED_VALUE"""),"1250976")</f>
        <v>1250976</v>
      </c>
      <c r="C2921" s="213">
        <f>IFERROR(__xludf.DUMMYFUNCTION("""COMPUTED_VALUE"""),46011.38644675926)</f>
        <v>46011.38645</v>
      </c>
      <c r="D2921" s="211" t="str">
        <f>IFERROR(__xludf.DUMMYFUNCTION("""COMPUTED_VALUE"""),"b2b5f2c5")</f>
        <v>b2b5f2c5</v>
      </c>
      <c r="E2921" s="211" t="str">
        <f>IFERROR(__xludf.DUMMYFUNCTION("""COMPUTED_VALUE"""),"Bengkel Las Bpk. Ari")</f>
        <v>Bengkel Las Bpk. Ari</v>
      </c>
      <c r="F2921" s="211" t="str">
        <f>IFERROR(__xludf.DUMMYFUNCTION("""COMPUTED_VALUE"""),"ef306e54")</f>
        <v>ef306e54</v>
      </c>
      <c r="G2921" s="211" t="str">
        <f>IFERROR(__xludf.DUMMYFUNCTION("""COMPUTED_VALUE"""),"Karbondioksida")</f>
        <v>Karbondioksida</v>
      </c>
      <c r="H2921" s="211" t="str">
        <f>IFERROR(__xludf.DUMMYFUNCTION("""COMPUTED_VALUE"""),"IN")</f>
        <v>IN</v>
      </c>
      <c r="I2921" s="211" t="str">
        <f>IFERROR(__xludf.DUMMYFUNCTION("""COMPUTED_VALUE"""),"EMPTY")</f>
        <v>EMPTY</v>
      </c>
      <c r="J2921" s="211">
        <f>IFERROR(__xludf.DUMMYFUNCTION("""COMPUTED_VALUE"""),1.0)</f>
        <v>1</v>
      </c>
      <c r="K2921" s="210" t="str">
        <f>IFERROR(__xludf.DUMMYFUNCTION("""COMPUTED_VALUE"""),"13062")</f>
        <v>13062</v>
      </c>
      <c r="L2921" s="211">
        <f>IFERROR(__xludf.DUMMYFUNCTION("""COMPUTED_VALUE"""),0.0)</f>
        <v>0</v>
      </c>
      <c r="M2921" s="211"/>
      <c r="N2921" s="211"/>
      <c r="O2921" s="211"/>
      <c r="Q2921" s="210" t="str">
        <f>IFERROR(__xludf.DUMMYFUNCTION("""COMPUTED_VALUE"""),"0326412914")</f>
        <v>0326412914</v>
      </c>
      <c r="R2921" s="210" t="str">
        <f>IFERROR(__xludf.DUMMYFUNCTION("""COMPUTED_VALUE"""),"0326412914")</f>
        <v>0326412914</v>
      </c>
      <c r="S2921" s="211" t="str">
        <f>IFERROR(__xludf.DUMMYFUNCTION("""COMPUTED_VALUE"""),"785e0e07")</f>
        <v>785e0e07</v>
      </c>
      <c r="T2921" s="211" t="str">
        <f>IFERROR(__xludf.DUMMYFUNCTION("""COMPUTED_VALUE"""),"Bpk. Sukirno (Bejo)")</f>
        <v>Bpk. Sukirno (Bejo)</v>
      </c>
      <c r="U2921" s="215">
        <f>IFERROR(__xludf.DUMMYFUNCTION("""COMPUTED_VALUE"""),46112.366261574076)</f>
        <v>46112.36626</v>
      </c>
      <c r="V2921" s="211" t="str">
        <f>IFERROR(__xludf.DUMMYFUNCTION("""COMPUTED_VALUE"""),"Krajan I, Wringinanom, Kec. Wringinanom, Kabupaten Gresik, Jawa Timur 61176")</f>
        <v>Krajan I, Wringinanom, Kec. Wringinanom, Kabupaten Gresik, Jawa Timur 61176</v>
      </c>
      <c r="W2921" s="211" t="str">
        <f>IFERROR(__xludf.DUMMYFUNCTION("""COMPUTED_VALUE"""),"OUT")</f>
        <v>OUT</v>
      </c>
      <c r="X2921" s="211"/>
    </row>
    <row r="2922">
      <c r="A2922" s="210" t="str">
        <f>IFERROR(__xludf.DUMMYFUNCTION("""COMPUTED_VALUE"""),"1250976")</f>
        <v>1250976</v>
      </c>
      <c r="B2922" s="210" t="str">
        <f>IFERROR(__xludf.DUMMYFUNCTION("""COMPUTED_VALUE"""),"1250976")</f>
        <v>1250976</v>
      </c>
      <c r="C2922" s="213">
        <f>IFERROR(__xludf.DUMMYFUNCTION("""COMPUTED_VALUE"""),46011.38644675926)</f>
        <v>46011.38645</v>
      </c>
      <c r="D2922" s="211" t="str">
        <f>IFERROR(__xludf.DUMMYFUNCTION("""COMPUTED_VALUE"""),"b2b5f2c5")</f>
        <v>b2b5f2c5</v>
      </c>
      <c r="E2922" s="211" t="str">
        <f>IFERROR(__xludf.DUMMYFUNCTION("""COMPUTED_VALUE"""),"Bengkel Las Bpk. Ari")</f>
        <v>Bengkel Las Bpk. Ari</v>
      </c>
      <c r="F2922" s="211" t="str">
        <f>IFERROR(__xludf.DUMMYFUNCTION("""COMPUTED_VALUE"""),"8bdbe149")</f>
        <v>8bdbe149</v>
      </c>
      <c r="G2922" s="211" t="str">
        <f>IFERROR(__xludf.DUMMYFUNCTION("""COMPUTED_VALUE"""),"Oksigen 6m3")</f>
        <v>Oksigen 6m3</v>
      </c>
      <c r="H2922" s="211" t="str">
        <f>IFERROR(__xludf.DUMMYFUNCTION("""COMPUTED_VALUE"""),"IN")</f>
        <v>IN</v>
      </c>
      <c r="I2922" s="211" t="str">
        <f>IFERROR(__xludf.DUMMYFUNCTION("""COMPUTED_VALUE"""),"EMPTY")</f>
        <v>EMPTY</v>
      </c>
      <c r="J2922" s="211">
        <f>IFERROR(__xludf.DUMMYFUNCTION("""COMPUTED_VALUE"""),5.0)</f>
        <v>5</v>
      </c>
      <c r="K2922" s="210" t="str">
        <f>IFERROR(__xludf.DUMMYFUNCTION("""COMPUTED_VALUE"""),"11100 11282 1170 1162 11112")</f>
        <v>11100 11282 1170 1162 11112</v>
      </c>
      <c r="L2922" s="211">
        <f>IFERROR(__xludf.DUMMYFUNCTION("""COMPUTED_VALUE"""),0.0)</f>
        <v>0</v>
      </c>
      <c r="M2922" s="211"/>
      <c r="N2922" s="211"/>
      <c r="O2922" s="211"/>
      <c r="Q2922" s="210" t="str">
        <f>IFERROR(__xludf.DUMMYFUNCTION("""COMPUTED_VALUE"""),"0326182922")</f>
        <v>0326182922</v>
      </c>
      <c r="R2922" s="210" t="str">
        <f>IFERROR(__xludf.DUMMYFUNCTION("""COMPUTED_VALUE"""),"0326182922")</f>
        <v>0326182922</v>
      </c>
      <c r="S2922" s="211" t="str">
        <f>IFERROR(__xludf.DUMMYFUNCTION("""COMPUTED_VALUE"""),"734c6d17")</f>
        <v>734c6d17</v>
      </c>
      <c r="T2922" s="211" t="str">
        <f>IFERROR(__xludf.DUMMYFUNCTION("""COMPUTED_VALUE"""),"Bapak Ainol Yaqin ( Bpk. Ibnu )")</f>
        <v>Bapak Ainol Yaqin ( Bpk. Ibnu )</v>
      </c>
      <c r="U2922" s="215">
        <f>IFERROR(__xludf.DUMMYFUNCTION("""COMPUTED_VALUE"""),46112.36883101852)</f>
        <v>46112.36883</v>
      </c>
      <c r="V2922" s="211" t="str">
        <f>IFERROR(__xludf.DUMMYFUNCTION("""COMPUTED_VALUE"""),"Tanggul Wetan, Tanggul, Kec. Wonoayu, Kabupaten Sidoarjo, Jawa Timur")</f>
        <v>Tanggul Wetan, Tanggul, Kec. Wonoayu, Kabupaten Sidoarjo, Jawa Timur</v>
      </c>
      <c r="W2922" s="211" t="str">
        <f>IFERROR(__xludf.DUMMYFUNCTION("""COMPUTED_VALUE"""),"OUT")</f>
        <v>OUT</v>
      </c>
      <c r="X2922" s="211"/>
    </row>
    <row r="2923">
      <c r="A2923" s="210" t="str">
        <f>IFERROR(__xludf.DUMMYFUNCTION("""COMPUTED_VALUE"""),"1250988")</f>
        <v>1250988</v>
      </c>
      <c r="B2923" s="210" t="str">
        <f>IFERROR(__xludf.DUMMYFUNCTION("""COMPUTED_VALUE"""),"1250988")</f>
        <v>1250988</v>
      </c>
      <c r="C2923" s="213">
        <f>IFERROR(__xludf.DUMMYFUNCTION("""COMPUTED_VALUE"""),46011.503217592595)</f>
        <v>46011.50322</v>
      </c>
      <c r="D2923" s="211" t="str">
        <f>IFERROR(__xludf.DUMMYFUNCTION("""COMPUTED_VALUE"""),"a0f0ad2d")</f>
        <v>a0f0ad2d</v>
      </c>
      <c r="E2923" s="211" t="str">
        <f>IFERROR(__xludf.DUMMYFUNCTION("""COMPUTED_VALUE"""),"CV. Yulie Jaya")</f>
        <v>CV. Yulie Jaya</v>
      </c>
      <c r="F2923" s="211" t="str">
        <f>IFERROR(__xludf.DUMMYFUNCTION("""COMPUTED_VALUE"""),"be525f3b")</f>
        <v>be525f3b</v>
      </c>
      <c r="G2923" s="211" t="str">
        <f>IFERROR(__xludf.DUMMYFUNCTION("""COMPUTED_VALUE"""),"LPG 12kg")</f>
        <v>LPG 12kg</v>
      </c>
      <c r="H2923" s="211" t="str">
        <f>IFERROR(__xludf.DUMMYFUNCTION("""COMPUTED_VALUE"""),"IN")</f>
        <v>IN</v>
      </c>
      <c r="I2923" s="211" t="str">
        <f>IFERROR(__xludf.DUMMYFUNCTION("""COMPUTED_VALUE"""),"EMPTY")</f>
        <v>EMPTY</v>
      </c>
      <c r="J2923" s="211">
        <f>IFERROR(__xludf.DUMMYFUNCTION("""COMPUTED_VALUE"""),2.0)</f>
        <v>2</v>
      </c>
      <c r="K2923" s="210" t="str">
        <f>IFERROR(__xludf.DUMMYFUNCTION("""COMPUTED_VALUE"""),"01 02")</f>
        <v>01 02</v>
      </c>
      <c r="L2923" s="211">
        <f>IFERROR(__xludf.DUMMYFUNCTION("""COMPUTED_VALUE"""),0.0)</f>
        <v>0</v>
      </c>
      <c r="M2923" s="211"/>
      <c r="N2923" s="211"/>
      <c r="O2923" s="211"/>
      <c r="Q2923" s="210" t="str">
        <f>IFERROR(__xludf.DUMMYFUNCTION("""COMPUTED_VALUE"""),"4032612921")</f>
        <v>4032612921</v>
      </c>
      <c r="R2923" s="210" t="str">
        <f>IFERROR(__xludf.DUMMYFUNCTION("""COMPUTED_VALUE"""),"4032612921")</f>
        <v>4032612921</v>
      </c>
      <c r="S2923" s="211" t="str">
        <f>IFERROR(__xludf.DUMMYFUNCTION("""COMPUTED_VALUE"""),"734c6d17")</f>
        <v>734c6d17</v>
      </c>
      <c r="T2923" s="211" t="str">
        <f>IFERROR(__xludf.DUMMYFUNCTION("""COMPUTED_VALUE"""),"Bapak Ainol Yaqin ( Bpk. Ibnu )")</f>
        <v>Bapak Ainol Yaqin ( Bpk. Ibnu )</v>
      </c>
      <c r="U2923" s="215">
        <f>IFERROR(__xludf.DUMMYFUNCTION("""COMPUTED_VALUE"""),46112.36938657407)</f>
        <v>46112.36939</v>
      </c>
      <c r="V2923" s="211" t="str">
        <f>IFERROR(__xludf.DUMMYFUNCTION("""COMPUTED_VALUE"""),"Tanggul Wetan, Tanggul, Kec. Wonoayu, Kabupaten Sidoarjo, Jawa Timur")</f>
        <v>Tanggul Wetan, Tanggul, Kec. Wonoayu, Kabupaten Sidoarjo, Jawa Timur</v>
      </c>
      <c r="W2923" s="211" t="str">
        <f>IFERROR(__xludf.DUMMYFUNCTION("""COMPUTED_VALUE"""),"OTHER")</f>
        <v>OTHER</v>
      </c>
      <c r="X2923" s="211"/>
    </row>
    <row r="2924">
      <c r="A2924" s="210" t="str">
        <f>IFERROR(__xludf.DUMMYFUNCTION("""COMPUTED_VALUE"""),"1250988")</f>
        <v>1250988</v>
      </c>
      <c r="B2924" s="210" t="str">
        <f>IFERROR(__xludf.DUMMYFUNCTION("""COMPUTED_VALUE"""),"1250988")</f>
        <v>1250988</v>
      </c>
      <c r="C2924" s="213">
        <f>IFERROR(__xludf.DUMMYFUNCTION("""COMPUTED_VALUE"""),46011.503217592595)</f>
        <v>46011.50322</v>
      </c>
      <c r="D2924" s="211" t="str">
        <f>IFERROR(__xludf.DUMMYFUNCTION("""COMPUTED_VALUE"""),"a0f0ad2d")</f>
        <v>a0f0ad2d</v>
      </c>
      <c r="E2924" s="211" t="str">
        <f>IFERROR(__xludf.DUMMYFUNCTION("""COMPUTED_VALUE"""),"CV. Yulie Jaya")</f>
        <v>CV. Yulie Jaya</v>
      </c>
      <c r="F2924" s="211" t="str">
        <f>IFERROR(__xludf.DUMMYFUNCTION("""COMPUTED_VALUE"""),"8bdbe149")</f>
        <v>8bdbe149</v>
      </c>
      <c r="G2924" s="211" t="str">
        <f>IFERROR(__xludf.DUMMYFUNCTION("""COMPUTED_VALUE"""),"Oksigen 6m3")</f>
        <v>Oksigen 6m3</v>
      </c>
      <c r="H2924" s="211" t="str">
        <f>IFERROR(__xludf.DUMMYFUNCTION("""COMPUTED_VALUE"""),"IN")</f>
        <v>IN</v>
      </c>
      <c r="I2924" s="211" t="str">
        <f>IFERROR(__xludf.DUMMYFUNCTION("""COMPUTED_VALUE"""),"EMPTY")</f>
        <v>EMPTY</v>
      </c>
      <c r="J2924" s="211">
        <f>IFERROR(__xludf.DUMMYFUNCTION("""COMPUTED_VALUE"""),4.0)</f>
        <v>4</v>
      </c>
      <c r="K2924" s="210" t="str">
        <f>IFERROR(__xludf.DUMMYFUNCTION("""COMPUTED_VALUE"""),"11118 11176 1149 11309")</f>
        <v>11118 11176 1149 11309</v>
      </c>
      <c r="L2924" s="211">
        <f>IFERROR(__xludf.DUMMYFUNCTION("""COMPUTED_VALUE"""),0.0)</f>
        <v>0</v>
      </c>
      <c r="M2924" s="211"/>
      <c r="N2924" s="211"/>
      <c r="O2924" s="211"/>
      <c r="Q2924" s="211"/>
      <c r="R2924" s="211"/>
      <c r="S2924" s="211"/>
      <c r="T2924" s="211"/>
      <c r="U2924" s="211"/>
      <c r="V2924" s="211"/>
      <c r="W2924" s="211"/>
      <c r="X2924" s="211"/>
    </row>
    <row r="2925">
      <c r="A2925" s="210" t="str">
        <f>IFERROR(__xludf.DUMMYFUNCTION("""COMPUTED_VALUE"""),"1250988")</f>
        <v>1250988</v>
      </c>
      <c r="B2925" s="210" t="str">
        <f>IFERROR(__xludf.DUMMYFUNCTION("""COMPUTED_VALUE"""),"1250988")</f>
        <v>1250988</v>
      </c>
      <c r="C2925" s="213">
        <f>IFERROR(__xludf.DUMMYFUNCTION("""COMPUTED_VALUE"""),46011.503217592595)</f>
        <v>46011.50322</v>
      </c>
      <c r="D2925" s="211" t="str">
        <f>IFERROR(__xludf.DUMMYFUNCTION("""COMPUTED_VALUE"""),"a0f0ad2d")</f>
        <v>a0f0ad2d</v>
      </c>
      <c r="E2925" s="211" t="str">
        <f>IFERROR(__xludf.DUMMYFUNCTION("""COMPUTED_VALUE"""),"CV. Yulie Jaya")</f>
        <v>CV. Yulie Jaya</v>
      </c>
      <c r="F2925" s="211" t="str">
        <f>IFERROR(__xludf.DUMMYFUNCTION("""COMPUTED_VALUE"""),"7d2764f1")</f>
        <v>7d2764f1</v>
      </c>
      <c r="G2925" s="211" t="str">
        <f>IFERROR(__xludf.DUMMYFUNCTION("""COMPUTED_VALUE"""),"Oksigen 7m3")</f>
        <v>Oksigen 7m3</v>
      </c>
      <c r="H2925" s="211" t="str">
        <f>IFERROR(__xludf.DUMMYFUNCTION("""COMPUTED_VALUE"""),"IN")</f>
        <v>IN</v>
      </c>
      <c r="I2925" s="211" t="str">
        <f>IFERROR(__xludf.DUMMYFUNCTION("""COMPUTED_VALUE"""),"EMPTY")</f>
        <v>EMPTY</v>
      </c>
      <c r="J2925" s="211">
        <f>IFERROR(__xludf.DUMMYFUNCTION("""COMPUTED_VALUE"""),3.0)</f>
        <v>3</v>
      </c>
      <c r="K2925" s="210" t="str">
        <f>IFERROR(__xludf.DUMMYFUNCTION("""COMPUTED_VALUE"""),"11215 11140 11178")</f>
        <v>11215 11140 11178</v>
      </c>
      <c r="L2925" s="211">
        <f>IFERROR(__xludf.DUMMYFUNCTION("""COMPUTED_VALUE"""),0.0)</f>
        <v>0</v>
      </c>
      <c r="M2925" s="211"/>
      <c r="N2925" s="211"/>
      <c r="O2925" s="211"/>
      <c r="Q2925" s="210" t="str">
        <f>IFERROR(__xludf.DUMMYFUNCTION("""COMPUTED_VALUE"""),"4032622925")</f>
        <v>4032622925</v>
      </c>
      <c r="R2925" s="210" t="str">
        <f>IFERROR(__xludf.DUMMYFUNCTION("""COMPUTED_VALUE"""),"4032622925")</f>
        <v>4032622925</v>
      </c>
      <c r="S2925" s="211" t="str">
        <f>IFERROR(__xludf.DUMMYFUNCTION("""COMPUTED_VALUE"""),"734c6d17")</f>
        <v>734c6d17</v>
      </c>
      <c r="T2925" s="211" t="str">
        <f>IFERROR(__xludf.DUMMYFUNCTION("""COMPUTED_VALUE"""),"Bapak Ainol Yaqin ( Bpk. Ibnu )")</f>
        <v>Bapak Ainol Yaqin ( Bpk. Ibnu )</v>
      </c>
      <c r="U2925" s="215">
        <f>IFERROR(__xludf.DUMMYFUNCTION("""COMPUTED_VALUE"""),46112.37233796297)</f>
        <v>46112.37234</v>
      </c>
      <c r="V2925" s="211" t="str">
        <f>IFERROR(__xludf.DUMMYFUNCTION("""COMPUTED_VALUE"""),"Tanggul Wetan, Tanggul, Kec. Wonoayu, Kabupaten Sidoarjo, Jawa Timur")</f>
        <v>Tanggul Wetan, Tanggul, Kec. Wonoayu, Kabupaten Sidoarjo, Jawa Timur</v>
      </c>
      <c r="W2925" s="211" t="str">
        <f>IFERROR(__xludf.DUMMYFUNCTION("""COMPUTED_VALUE"""),"OTHER")</f>
        <v>OTHER</v>
      </c>
      <c r="X2925" s="211"/>
    </row>
    <row r="2926">
      <c r="A2926" s="210" t="str">
        <f>IFERROR(__xludf.DUMMYFUNCTION("""COMPUTED_VALUE"""),"1250989")</f>
        <v>1250989</v>
      </c>
      <c r="B2926" s="210" t="str">
        <f>IFERROR(__xludf.DUMMYFUNCTION("""COMPUTED_VALUE"""),"1250989")</f>
        <v>1250989</v>
      </c>
      <c r="C2926" s="213">
        <f>IFERROR(__xludf.DUMMYFUNCTION("""COMPUTED_VALUE"""),46011.50630787037)</f>
        <v>46011.50631</v>
      </c>
      <c r="D2926" s="211" t="str">
        <f>IFERROR(__xludf.DUMMYFUNCTION("""COMPUTED_VALUE"""),"9e66ced9")</f>
        <v>9e66ced9</v>
      </c>
      <c r="E2926" s="211" t="str">
        <f>IFERROR(__xludf.DUMMYFUNCTION("""COMPUTED_VALUE"""),"Bapak Angga")</f>
        <v>Bapak Angga</v>
      </c>
      <c r="F2926" s="211" t="str">
        <f>IFERROR(__xludf.DUMMYFUNCTION("""COMPUTED_VALUE"""),"8bdbe149")</f>
        <v>8bdbe149</v>
      </c>
      <c r="G2926" s="211" t="str">
        <f>IFERROR(__xludf.DUMMYFUNCTION("""COMPUTED_VALUE"""),"Oksigen 6m3")</f>
        <v>Oksigen 6m3</v>
      </c>
      <c r="H2926" s="211" t="str">
        <f>IFERROR(__xludf.DUMMYFUNCTION("""COMPUTED_VALUE"""),"IN")</f>
        <v>IN</v>
      </c>
      <c r="I2926" s="211" t="str">
        <f>IFERROR(__xludf.DUMMYFUNCTION("""COMPUTED_VALUE"""),"EMPTY")</f>
        <v>EMPTY</v>
      </c>
      <c r="J2926" s="211">
        <f>IFERROR(__xludf.DUMMYFUNCTION("""COMPUTED_VALUE"""),4.0)</f>
        <v>4</v>
      </c>
      <c r="K2926" s="210" t="str">
        <f>IFERROR(__xludf.DUMMYFUNCTION("""COMPUTED_VALUE"""),"11267 11241 1164 11192")</f>
        <v>11267 11241 1164 11192</v>
      </c>
      <c r="L2926" s="211">
        <f>IFERROR(__xludf.DUMMYFUNCTION("""COMPUTED_VALUE"""),0.0)</f>
        <v>0</v>
      </c>
      <c r="M2926" s="211"/>
      <c r="N2926" s="211"/>
      <c r="O2926" s="211"/>
      <c r="Q2926" s="210" t="str">
        <f>IFERROR(__xludf.DUMMYFUNCTION("""COMPUTED_VALUE"""),"0326162923")</f>
        <v>0326162923</v>
      </c>
      <c r="R2926" s="210" t="str">
        <f>IFERROR(__xludf.DUMMYFUNCTION("""COMPUTED_VALUE"""),"0326162923")</f>
        <v>0326162923</v>
      </c>
      <c r="S2926" s="211" t="str">
        <f>IFERROR(__xludf.DUMMYFUNCTION("""COMPUTED_VALUE"""),"ba97d58d")</f>
        <v>ba97d58d</v>
      </c>
      <c r="T2926" s="211" t="str">
        <f>IFERROR(__xludf.DUMMYFUNCTION("""COMPUTED_VALUE"""),"Bengkel Citra Mojosari")</f>
        <v>Bengkel Citra Mojosari</v>
      </c>
      <c r="U2926" s="215">
        <f>IFERROR(__xludf.DUMMYFUNCTION("""COMPUTED_VALUE"""),46112.37297453704)</f>
        <v>46112.37297</v>
      </c>
      <c r="V2926" s="211" t="str">
        <f>IFERROR(__xludf.DUMMYFUNCTION("""COMPUTED_VALUE"""),"Jl. Raden Wijaya, Kemloko, Jotangan, Kec. Mojosari, Kabupaten Mojokerto, Jawa Timur 61382")</f>
        <v>Jl. Raden Wijaya, Kemloko, Jotangan, Kec. Mojosari, Kabupaten Mojokerto, Jawa Timur 61382</v>
      </c>
      <c r="W2926" s="211" t="str">
        <f>IFERROR(__xludf.DUMMYFUNCTION("""COMPUTED_VALUE"""),"OUT")</f>
        <v>OUT</v>
      </c>
      <c r="X2926" s="211"/>
    </row>
    <row r="2927">
      <c r="A2927" s="210" t="str">
        <f>IFERROR(__xludf.DUMMYFUNCTION("""COMPUTED_VALUE"""),"1225102043")</f>
        <v>1225102043</v>
      </c>
      <c r="B2927" s="210" t="str">
        <f>IFERROR(__xludf.DUMMYFUNCTION("""COMPUTED_VALUE"""),"1225102043")</f>
        <v>1225102043</v>
      </c>
      <c r="C2927" s="213">
        <f>IFERROR(__xludf.DUMMYFUNCTION("""COMPUTED_VALUE"""),46012.443460648145)</f>
        <v>46012.44346</v>
      </c>
      <c r="D2927" s="211" t="str">
        <f>IFERROR(__xludf.DUMMYFUNCTION("""COMPUTED_VALUE"""),"a0f0ad2d")</f>
        <v>a0f0ad2d</v>
      </c>
      <c r="E2927" s="211" t="str">
        <f>IFERROR(__xludf.DUMMYFUNCTION("""COMPUTED_VALUE"""),"CV. Yulie Jaya")</f>
        <v>CV. Yulie Jaya</v>
      </c>
      <c r="F2927" s="211" t="str">
        <f>IFERROR(__xludf.DUMMYFUNCTION("""COMPUTED_VALUE"""),"8bdbe149")</f>
        <v>8bdbe149</v>
      </c>
      <c r="G2927" s="211" t="str">
        <f>IFERROR(__xludf.DUMMYFUNCTION("""COMPUTED_VALUE"""),"Oksigen 6m3")</f>
        <v>Oksigen 6m3</v>
      </c>
      <c r="H2927" s="211" t="str">
        <f>IFERROR(__xludf.DUMMYFUNCTION("""COMPUTED_VALUE"""),"OUT")</f>
        <v>OUT</v>
      </c>
      <c r="I2927" s="211" t="str">
        <f>IFERROR(__xludf.DUMMYFUNCTION("""COMPUTED_VALUE"""),"NORMAL")</f>
        <v>NORMAL</v>
      </c>
      <c r="J2927" s="211">
        <f>IFERROR(__xludf.DUMMYFUNCTION("""COMPUTED_VALUE"""),10.0)</f>
        <v>10</v>
      </c>
      <c r="K2927" s="210" t="str">
        <f>IFERROR(__xludf.DUMMYFUNCTION("""COMPUTED_VALUE"""),"11311 1147 1152 11284 11165 11245 11247 11132 1154 11240")</f>
        <v>11311 1147 1152 11284 11165 11245 11247 11132 1154 11240</v>
      </c>
      <c r="L2927" s="211">
        <f>IFERROR(__xludf.DUMMYFUNCTION("""COMPUTED_VALUE"""),65000.0)</f>
        <v>65000</v>
      </c>
      <c r="M2927" s="211"/>
      <c r="N2927" s="211"/>
      <c r="O2927" s="211"/>
      <c r="Q2927" s="210" t="str">
        <f>IFERROR(__xludf.DUMMYFUNCTION("""COMPUTED_VALUE"""),"4032632926")</f>
        <v>4032632926</v>
      </c>
      <c r="R2927" s="210" t="str">
        <f>IFERROR(__xludf.DUMMYFUNCTION("""COMPUTED_VALUE"""),"4032632926")</f>
        <v>4032632926</v>
      </c>
      <c r="S2927" s="211" t="str">
        <f>IFERROR(__xludf.DUMMYFUNCTION("""COMPUTED_VALUE"""),"b218b89b")</f>
        <v>b218b89b</v>
      </c>
      <c r="T2927" s="211" t="str">
        <f>IFERROR(__xludf.DUMMYFUNCTION("""COMPUTED_VALUE"""),"PT Harapan Sentosa")</f>
        <v>PT Harapan Sentosa</v>
      </c>
      <c r="U2927" s="215">
        <f>IFERROR(__xludf.DUMMYFUNCTION("""COMPUTED_VALUE"""),46112.37771990741)</f>
        <v>46112.37772</v>
      </c>
      <c r="V2927" s="211" t="str">
        <f>IFERROR(__xludf.DUMMYFUNCTION("""COMPUTED_VALUE"""),"Seketi, Jl. Purboyo II Selatan, RT.02/RW.02, Seketi, Kec. BalongBendo, Kabupaten Sidoarjo, Jawa Timur 61263")</f>
        <v>Seketi, Jl. Purboyo II Selatan, RT.02/RW.02, Seketi, Kec. BalongBendo, Kabupaten Sidoarjo, Jawa Timur 61263</v>
      </c>
      <c r="W2927" s="211" t="str">
        <f>IFERROR(__xludf.DUMMYFUNCTION("""COMPUTED_VALUE"""),"OTHER")</f>
        <v>OTHER</v>
      </c>
      <c r="X2927" s="211"/>
    </row>
    <row r="2928">
      <c r="A2928" s="210" t="str">
        <f>IFERROR(__xludf.DUMMYFUNCTION("""COMPUTED_VALUE"""),"1225102043")</f>
        <v>1225102043</v>
      </c>
      <c r="B2928" s="210" t="str">
        <f>IFERROR(__xludf.DUMMYFUNCTION("""COMPUTED_VALUE"""),"1225102043")</f>
        <v>1225102043</v>
      </c>
      <c r="C2928" s="213">
        <f>IFERROR(__xludf.DUMMYFUNCTION("""COMPUTED_VALUE"""),46012.443460648145)</f>
        <v>46012.44346</v>
      </c>
      <c r="D2928" s="211" t="str">
        <f>IFERROR(__xludf.DUMMYFUNCTION("""COMPUTED_VALUE"""),"a0f0ad2d")</f>
        <v>a0f0ad2d</v>
      </c>
      <c r="E2928" s="211" t="str">
        <f>IFERROR(__xludf.DUMMYFUNCTION("""COMPUTED_VALUE"""),"CV. Yulie Jaya")</f>
        <v>CV. Yulie Jaya</v>
      </c>
      <c r="F2928" s="211" t="str">
        <f>IFERROR(__xludf.DUMMYFUNCTION("""COMPUTED_VALUE"""),"be525f3b")</f>
        <v>be525f3b</v>
      </c>
      <c r="G2928" s="211" t="str">
        <f>IFERROR(__xludf.DUMMYFUNCTION("""COMPUTED_VALUE"""),"LPG 12kg")</f>
        <v>LPG 12kg</v>
      </c>
      <c r="H2928" s="211" t="str">
        <f>IFERROR(__xludf.DUMMYFUNCTION("""COMPUTED_VALUE"""),"OUT")</f>
        <v>OUT</v>
      </c>
      <c r="I2928" s="211" t="str">
        <f>IFERROR(__xludf.DUMMYFUNCTION("""COMPUTED_VALUE"""),"NORMAL")</f>
        <v>NORMAL</v>
      </c>
      <c r="J2928" s="211">
        <f>IFERROR(__xludf.DUMMYFUNCTION("""COMPUTED_VALUE"""),2.0)</f>
        <v>2</v>
      </c>
      <c r="K2928" s="210" t="str">
        <f>IFERROR(__xludf.DUMMYFUNCTION("""COMPUTED_VALUE"""),"01 02")</f>
        <v>01 02</v>
      </c>
      <c r="L2928" s="211">
        <f>IFERROR(__xludf.DUMMYFUNCTION("""COMPUTED_VALUE"""),215000.0)</f>
        <v>215000</v>
      </c>
      <c r="M2928" s="211"/>
      <c r="N2928" s="211"/>
      <c r="O2928" s="211"/>
      <c r="Q2928" s="210" t="str">
        <f>IFERROR(__xludf.DUMMYFUNCTION("""COMPUTED_VALUE"""),"0326362927")</f>
        <v>0326362927</v>
      </c>
      <c r="R2928" s="210" t="str">
        <f>IFERROR(__xludf.DUMMYFUNCTION("""COMPUTED_VALUE"""),"0326362927")</f>
        <v>0326362927</v>
      </c>
      <c r="S2928" s="211" t="str">
        <f>IFERROR(__xludf.DUMMYFUNCTION("""COMPUTED_VALUE"""),"63fc688a")</f>
        <v>63fc688a</v>
      </c>
      <c r="T2928" s="211" t="str">
        <f>IFERROR(__xludf.DUMMYFUNCTION("""COMPUTED_VALUE"""),"CV Malik Nusantara")</f>
        <v>CV Malik Nusantara</v>
      </c>
      <c r="U2928" s="215">
        <f>IFERROR(__xludf.DUMMYFUNCTION("""COMPUTED_VALUE"""),46112.38122685185)</f>
        <v>46112.38123</v>
      </c>
      <c r="V2928" s="211" t="str">
        <f>IFERROR(__xludf.DUMMYFUNCTION("""COMPUTED_VALUE"""),"Jl. Raya Balongbendo No.12, Suwaluh Utara, Suwaluh, Kec. BalongBendo, Kabupaten Sidoarjo, Jawa Timur 61263")</f>
        <v>Jl. Raya Balongbendo No.12, Suwaluh Utara, Suwaluh, Kec. BalongBendo, Kabupaten Sidoarjo, Jawa Timur 61263</v>
      </c>
      <c r="W2928" s="211" t="str">
        <f>IFERROR(__xludf.DUMMYFUNCTION("""COMPUTED_VALUE"""),"OUT")</f>
        <v>OUT</v>
      </c>
      <c r="X2928" s="211"/>
    </row>
    <row r="2929">
      <c r="A2929" s="210" t="str">
        <f>IFERROR(__xludf.DUMMYFUNCTION("""COMPUTED_VALUE"""),"122552048")</f>
        <v>122552048</v>
      </c>
      <c r="B2929" s="210" t="str">
        <f>IFERROR(__xludf.DUMMYFUNCTION("""COMPUTED_VALUE"""),"122552048")</f>
        <v>122552048</v>
      </c>
      <c r="C2929" s="213">
        <f>IFERROR(__xludf.DUMMYFUNCTION("""COMPUTED_VALUE"""),46013.353784722225)</f>
        <v>46013.35378</v>
      </c>
      <c r="D2929" s="211" t="str">
        <f>IFERROR(__xludf.DUMMYFUNCTION("""COMPUTED_VALUE"""),"9b941888")</f>
        <v>9b941888</v>
      </c>
      <c r="E2929" s="211" t="str">
        <f>IFERROR(__xludf.DUMMYFUNCTION("""COMPUTED_VALUE"""),"Mas Devi ( Parengan )")</f>
        <v>Mas Devi ( Parengan )</v>
      </c>
      <c r="F2929" s="211" t="str">
        <f>IFERROR(__xludf.DUMMYFUNCTION("""COMPUTED_VALUE"""),"7d2764f1")</f>
        <v>7d2764f1</v>
      </c>
      <c r="G2929" s="211" t="str">
        <f>IFERROR(__xludf.DUMMYFUNCTION("""COMPUTED_VALUE"""),"Oksigen 7m3")</f>
        <v>Oksigen 7m3</v>
      </c>
      <c r="H2929" s="211" t="str">
        <f>IFERROR(__xludf.DUMMYFUNCTION("""COMPUTED_VALUE"""),"OUT")</f>
        <v>OUT</v>
      </c>
      <c r="I2929" s="211" t="str">
        <f>IFERROR(__xludf.DUMMYFUNCTION("""COMPUTED_VALUE"""),"NORMAL")</f>
        <v>NORMAL</v>
      </c>
      <c r="J2929" s="211">
        <f>IFERROR(__xludf.DUMMYFUNCTION("""COMPUTED_VALUE"""),1.0)</f>
        <v>1</v>
      </c>
      <c r="K2929" s="210" t="str">
        <f>IFERROR(__xludf.DUMMYFUNCTION("""COMPUTED_VALUE"""),"11161")</f>
        <v>11161</v>
      </c>
      <c r="L2929" s="211">
        <f>IFERROR(__xludf.DUMMYFUNCTION("""COMPUTED_VALUE"""),80000.0)</f>
        <v>80000</v>
      </c>
      <c r="M2929" s="211"/>
      <c r="N2929" s="211"/>
      <c r="O2929" s="211"/>
      <c r="Q2929" s="210" t="str">
        <f>IFERROR(__xludf.DUMMYFUNCTION("""COMPUTED_VALUE"""),"1261475")</f>
        <v>1261475</v>
      </c>
      <c r="R2929" s="210" t="str">
        <f>IFERROR(__xludf.DUMMYFUNCTION("""COMPUTED_VALUE"""),"1261475")</f>
        <v>1261475</v>
      </c>
      <c r="S2929" s="211" t="str">
        <f>IFERROR(__xludf.DUMMYFUNCTION("""COMPUTED_VALUE"""),"63fc688a")</f>
        <v>63fc688a</v>
      </c>
      <c r="T2929" s="211" t="str">
        <f>IFERROR(__xludf.DUMMYFUNCTION("""COMPUTED_VALUE"""),"CV Malik Nusantara")</f>
        <v>CV Malik Nusantara</v>
      </c>
      <c r="U2929" s="215">
        <f>IFERROR(__xludf.DUMMYFUNCTION("""COMPUTED_VALUE"""),46112.56579861111)</f>
        <v>46112.5658</v>
      </c>
      <c r="V2929" s="211" t="str">
        <f>IFERROR(__xludf.DUMMYFUNCTION("""COMPUTED_VALUE"""),"Jl. Raya Balongbendo No.12, Suwaluh Utara, Suwaluh, Kec. BalongBendo, Kabupaten Sidoarjo, Jawa Timur 61263")</f>
        <v>Jl. Raya Balongbendo No.12, Suwaluh Utara, Suwaluh, Kec. BalongBendo, Kabupaten Sidoarjo, Jawa Timur 61263</v>
      </c>
      <c r="W2929" s="211" t="str">
        <f>IFERROR(__xludf.DUMMYFUNCTION("""COMPUTED_VALUE"""),"IN")</f>
        <v>IN</v>
      </c>
      <c r="X2929" s="211"/>
    </row>
    <row r="2930">
      <c r="A2930" s="210" t="str">
        <f>IFERROR(__xludf.DUMMYFUNCTION("""COMPUTED_VALUE"""),"1225312049")</f>
        <v>1225312049</v>
      </c>
      <c r="B2930" s="210" t="str">
        <f>IFERROR(__xludf.DUMMYFUNCTION("""COMPUTED_VALUE"""),"1225312049")</f>
        <v>1225312049</v>
      </c>
      <c r="C2930" s="213">
        <f>IFERROR(__xludf.DUMMYFUNCTION("""COMPUTED_VALUE"""),46013.358819444446)</f>
        <v>46013.35882</v>
      </c>
      <c r="D2930" s="211" t="str">
        <f>IFERROR(__xludf.DUMMYFUNCTION("""COMPUTED_VALUE"""),"8f5ebaea")</f>
        <v>8f5ebaea</v>
      </c>
      <c r="E2930" s="211" t="str">
        <f>IFERROR(__xludf.DUMMYFUNCTION("""COMPUTED_VALUE"""),"PT Hua Zong Mesindo")</f>
        <v>PT Hua Zong Mesindo</v>
      </c>
      <c r="F2930" s="211" t="str">
        <f>IFERROR(__xludf.DUMMYFUNCTION("""COMPUTED_VALUE"""),"8bdbe149")</f>
        <v>8bdbe149</v>
      </c>
      <c r="G2930" s="211" t="str">
        <f>IFERROR(__xludf.DUMMYFUNCTION("""COMPUTED_VALUE"""),"Oksigen 6m3")</f>
        <v>Oksigen 6m3</v>
      </c>
      <c r="H2930" s="211" t="str">
        <f>IFERROR(__xludf.DUMMYFUNCTION("""COMPUTED_VALUE"""),"OUT")</f>
        <v>OUT</v>
      </c>
      <c r="I2930" s="211" t="str">
        <f>IFERROR(__xludf.DUMMYFUNCTION("""COMPUTED_VALUE"""),"NORMAL")</f>
        <v>NORMAL</v>
      </c>
      <c r="J2930" s="211">
        <f>IFERROR(__xludf.DUMMYFUNCTION("""COMPUTED_VALUE"""),2.0)</f>
        <v>2</v>
      </c>
      <c r="K2930" s="210" t="str">
        <f>IFERROR(__xludf.DUMMYFUNCTION("""COMPUTED_VALUE"""),"1115 1157")</f>
        <v>1115 1157</v>
      </c>
      <c r="L2930" s="211">
        <f>IFERROR(__xludf.DUMMYFUNCTION("""COMPUTED_VALUE"""),60000.0)</f>
        <v>60000</v>
      </c>
      <c r="M2930" s="211"/>
      <c r="N2930" s="211"/>
      <c r="O2930" s="211"/>
      <c r="Q2930" s="210" t="str">
        <f>IFERROR(__xludf.DUMMYFUNCTION("""COMPUTED_VALUE"""),"032672929")</f>
        <v>032672929</v>
      </c>
      <c r="R2930" s="210" t="str">
        <f>IFERROR(__xludf.DUMMYFUNCTION("""COMPUTED_VALUE"""),"032672929")</f>
        <v>032672929</v>
      </c>
      <c r="S2930" s="211" t="str">
        <f>IFERROR(__xludf.DUMMYFUNCTION("""COMPUTED_VALUE"""),"cac4449f")</f>
        <v>cac4449f</v>
      </c>
      <c r="T2930" s="211" t="str">
        <f>IFERROR(__xludf.DUMMYFUNCTION("""COMPUTED_VALUE"""),"Bpk. Agus Yahya")</f>
        <v>Bpk. Agus Yahya</v>
      </c>
      <c r="U2930" s="215">
        <f>IFERROR(__xludf.DUMMYFUNCTION("""COMPUTED_VALUE"""),46112.567881944444)</f>
        <v>46112.56788</v>
      </c>
      <c r="V2930" s="211" t="str">
        <f>IFERROR(__xludf.DUMMYFUNCTION("""COMPUTED_VALUE"""),"Ds. Kendalsari 03/02 Sumobito Jombang Jawa Timur")</f>
        <v>Ds. Kendalsari 03/02 Sumobito Jombang Jawa Timur</v>
      </c>
      <c r="W2930" s="211" t="str">
        <f>IFERROR(__xludf.DUMMYFUNCTION("""COMPUTED_VALUE"""),"OUT")</f>
        <v>OUT</v>
      </c>
      <c r="X2930" s="211"/>
    </row>
    <row r="2931">
      <c r="A2931" s="210" t="str">
        <f>IFERROR(__xludf.DUMMYFUNCTION("""COMPUTED_VALUE"""),"1225312049")</f>
        <v>1225312049</v>
      </c>
      <c r="B2931" s="210" t="str">
        <f>IFERROR(__xludf.DUMMYFUNCTION("""COMPUTED_VALUE"""),"1225312049")</f>
        <v>1225312049</v>
      </c>
      <c r="C2931" s="213">
        <f>IFERROR(__xludf.DUMMYFUNCTION("""COMPUTED_VALUE"""),46013.358819444446)</f>
        <v>46013.35882</v>
      </c>
      <c r="D2931" s="211" t="str">
        <f>IFERROR(__xludf.DUMMYFUNCTION("""COMPUTED_VALUE"""),"8f5ebaea")</f>
        <v>8f5ebaea</v>
      </c>
      <c r="E2931" s="211" t="str">
        <f>IFERROR(__xludf.DUMMYFUNCTION("""COMPUTED_VALUE"""),"PT Hua Zong Mesindo")</f>
        <v>PT Hua Zong Mesindo</v>
      </c>
      <c r="F2931" s="211" t="str">
        <f>IFERROR(__xludf.DUMMYFUNCTION("""COMPUTED_VALUE"""),"7d2764f1")</f>
        <v>7d2764f1</v>
      </c>
      <c r="G2931" s="211" t="str">
        <f>IFERROR(__xludf.DUMMYFUNCTION("""COMPUTED_VALUE"""),"Oksigen 7m3")</f>
        <v>Oksigen 7m3</v>
      </c>
      <c r="H2931" s="211" t="str">
        <f>IFERROR(__xludf.DUMMYFUNCTION("""COMPUTED_VALUE"""),"OUT")</f>
        <v>OUT</v>
      </c>
      <c r="I2931" s="211" t="str">
        <f>IFERROR(__xludf.DUMMYFUNCTION("""COMPUTED_VALUE"""),"NORMAL")</f>
        <v>NORMAL</v>
      </c>
      <c r="J2931" s="211">
        <f>IFERROR(__xludf.DUMMYFUNCTION("""COMPUTED_VALUE"""),1.0)</f>
        <v>1</v>
      </c>
      <c r="K2931" s="210" t="str">
        <f>IFERROR(__xludf.DUMMYFUNCTION("""COMPUTED_VALUE"""),"11314")</f>
        <v>11314</v>
      </c>
      <c r="L2931" s="211">
        <f>IFERROR(__xludf.DUMMYFUNCTION("""COMPUTED_VALUE"""),65000.0)</f>
        <v>65000</v>
      </c>
      <c r="M2931" s="211"/>
      <c r="N2931" s="211"/>
      <c r="O2931" s="211"/>
      <c r="Q2931" s="210" t="str">
        <f>IFERROR(__xludf.DUMMYFUNCTION("""COMPUTED_VALUE"""),"032682931")</f>
        <v>032682931</v>
      </c>
      <c r="R2931" s="210" t="str">
        <f>IFERROR(__xludf.DUMMYFUNCTION("""COMPUTED_VALUE"""),"032682931")</f>
        <v>032682931</v>
      </c>
      <c r="S2931" s="211" t="str">
        <f>IFERROR(__xludf.DUMMYFUNCTION("""COMPUTED_VALUE"""),"cac4449f")</f>
        <v>cac4449f</v>
      </c>
      <c r="T2931" s="211" t="str">
        <f>IFERROR(__xludf.DUMMYFUNCTION("""COMPUTED_VALUE"""),"Bpk. Agus Yahya")</f>
        <v>Bpk. Agus Yahya</v>
      </c>
      <c r="U2931" s="215">
        <f>IFERROR(__xludf.DUMMYFUNCTION("""COMPUTED_VALUE"""),46112.569710648146)</f>
        <v>46112.56971</v>
      </c>
      <c r="V2931" s="211" t="str">
        <f>IFERROR(__xludf.DUMMYFUNCTION("""COMPUTED_VALUE"""),"Ds. Kendalsari 03/02 Sumobito Jombang Jawa Timur")</f>
        <v>Ds. Kendalsari 03/02 Sumobito Jombang Jawa Timur</v>
      </c>
      <c r="W2931" s="211" t="str">
        <f>IFERROR(__xludf.DUMMYFUNCTION("""COMPUTED_VALUE"""),"OUT")</f>
        <v>OUT</v>
      </c>
      <c r="X2931" s="211"/>
    </row>
    <row r="2932">
      <c r="A2932" s="210" t="str">
        <f>IFERROR(__xludf.DUMMYFUNCTION("""COMPUTED_VALUE"""),"122562050")</f>
        <v>122562050</v>
      </c>
      <c r="B2932" s="210" t="str">
        <f>IFERROR(__xludf.DUMMYFUNCTION("""COMPUTED_VALUE"""),"122562050")</f>
        <v>122562050</v>
      </c>
      <c r="C2932" s="213">
        <f>IFERROR(__xludf.DUMMYFUNCTION("""COMPUTED_VALUE"""),46013.35986111111)</f>
        <v>46013.35986</v>
      </c>
      <c r="D2932" s="211" t="str">
        <f>IFERROR(__xludf.DUMMYFUNCTION("""COMPUTED_VALUE"""),"b0735da4")</f>
        <v>b0735da4</v>
      </c>
      <c r="E2932" s="211" t="str">
        <f>IFERROR(__xludf.DUMMYFUNCTION("""COMPUTED_VALUE"""),"Bpk. Amer Ciro")</f>
        <v>Bpk. Amer Ciro</v>
      </c>
      <c r="F2932" s="211" t="str">
        <f>IFERROR(__xludf.DUMMYFUNCTION("""COMPUTED_VALUE"""),"7d2764f1")</f>
        <v>7d2764f1</v>
      </c>
      <c r="G2932" s="211" t="str">
        <f>IFERROR(__xludf.DUMMYFUNCTION("""COMPUTED_VALUE"""),"Oksigen 7m3")</f>
        <v>Oksigen 7m3</v>
      </c>
      <c r="H2932" s="211" t="str">
        <f>IFERROR(__xludf.DUMMYFUNCTION("""COMPUTED_VALUE"""),"OUT")</f>
        <v>OUT</v>
      </c>
      <c r="I2932" s="211" t="str">
        <f>IFERROR(__xludf.DUMMYFUNCTION("""COMPUTED_VALUE"""),"NORMAL")</f>
        <v>NORMAL</v>
      </c>
      <c r="J2932" s="211">
        <f>IFERROR(__xludf.DUMMYFUNCTION("""COMPUTED_VALUE"""),2.0)</f>
        <v>2</v>
      </c>
      <c r="K2932" s="210" t="str">
        <f>IFERROR(__xludf.DUMMYFUNCTION("""COMPUTED_VALUE"""),"11299 11305")</f>
        <v>11299 11305</v>
      </c>
      <c r="L2932" s="211">
        <f>IFERROR(__xludf.DUMMYFUNCTION("""COMPUTED_VALUE"""),65000.0)</f>
        <v>65000</v>
      </c>
      <c r="M2932" s="211"/>
      <c r="N2932" s="211"/>
      <c r="O2932" s="211"/>
      <c r="Q2932" s="210" t="str">
        <f>IFERROR(__xludf.DUMMYFUNCTION("""COMPUTED_VALUE"""),"1261476")</f>
        <v>1261476</v>
      </c>
      <c r="R2932" s="210" t="str">
        <f>IFERROR(__xludf.DUMMYFUNCTION("""COMPUTED_VALUE"""),"1261476")</f>
        <v>1261476</v>
      </c>
      <c r="S2932" s="211" t="str">
        <f>IFERROR(__xludf.DUMMYFUNCTION("""COMPUTED_VALUE"""),"ed4307f6")</f>
        <v>ed4307f6</v>
      </c>
      <c r="T2932" s="211" t="str">
        <f>IFERROR(__xludf.DUMMYFUNCTION("""COMPUTED_VALUE"""),"Bpk. Andi (Jetis)")</f>
        <v>Bpk. Andi (Jetis)</v>
      </c>
      <c r="U2932" s="215">
        <f>IFERROR(__xludf.DUMMYFUNCTION("""COMPUTED_VALUE"""),46112.57611111111)</f>
        <v>46112.57611</v>
      </c>
      <c r="V2932" s="211" t="str">
        <f>IFERROR(__xludf.DUMMYFUNCTION("""COMPUTED_VALUE"""),"HFH9+P7 Pelabuhan Kidul, Jetis, Kec. Jetis, Kabupaten Mojokerto, Jawa Timur, Indonesia")</f>
        <v>HFH9+P7 Pelabuhan Kidul, Jetis, Kec. Jetis, Kabupaten Mojokerto, Jawa Timur, Indonesia</v>
      </c>
      <c r="W2932" s="211" t="str">
        <f>IFERROR(__xludf.DUMMYFUNCTION("""COMPUTED_VALUE"""),"IN")</f>
        <v>IN</v>
      </c>
      <c r="X2932" s="211"/>
    </row>
    <row r="2933">
      <c r="A2933" s="210" t="str">
        <f>IFERROR(__xludf.DUMMYFUNCTION("""COMPUTED_VALUE"""),"122522051")</f>
        <v>122522051</v>
      </c>
      <c r="B2933" s="210" t="str">
        <f>IFERROR(__xludf.DUMMYFUNCTION("""COMPUTED_VALUE"""),"122522051")</f>
        <v>122522051</v>
      </c>
      <c r="C2933" s="213">
        <f>IFERROR(__xludf.DUMMYFUNCTION("""COMPUTED_VALUE"""),46013.36678240741)</f>
        <v>46013.36678</v>
      </c>
      <c r="D2933" s="211" t="str">
        <f>IFERROR(__xludf.DUMMYFUNCTION("""COMPUTED_VALUE"""),"1a1efff9")</f>
        <v>1a1efff9</v>
      </c>
      <c r="E2933" s="211" t="str">
        <f>IFERROR(__xludf.DUMMYFUNCTION("""COMPUTED_VALUE"""),"Bpk. Gito Mjs")</f>
        <v>Bpk. Gito Mjs</v>
      </c>
      <c r="F2933" s="211" t="str">
        <f>IFERROR(__xludf.DUMMYFUNCTION("""COMPUTED_VALUE"""),"7d2764f1")</f>
        <v>7d2764f1</v>
      </c>
      <c r="G2933" s="211" t="str">
        <f>IFERROR(__xludf.DUMMYFUNCTION("""COMPUTED_VALUE"""),"Oksigen 7m3")</f>
        <v>Oksigen 7m3</v>
      </c>
      <c r="H2933" s="211" t="str">
        <f>IFERROR(__xludf.DUMMYFUNCTION("""COMPUTED_VALUE"""),"OUT")</f>
        <v>OUT</v>
      </c>
      <c r="I2933" s="211" t="str">
        <f>IFERROR(__xludf.DUMMYFUNCTION("""COMPUTED_VALUE"""),"NORMAL")</f>
        <v>NORMAL</v>
      </c>
      <c r="J2933" s="211">
        <f>IFERROR(__xludf.DUMMYFUNCTION("""COMPUTED_VALUE"""),1.0)</f>
        <v>1</v>
      </c>
      <c r="K2933" s="210" t="str">
        <f>IFERROR(__xludf.DUMMYFUNCTION("""COMPUTED_VALUE"""),"11303")</f>
        <v>11303</v>
      </c>
      <c r="L2933" s="211">
        <f>IFERROR(__xludf.DUMMYFUNCTION("""COMPUTED_VALUE"""),75000.0)</f>
        <v>75000</v>
      </c>
      <c r="M2933" s="211"/>
      <c r="N2933" s="211"/>
      <c r="O2933" s="211"/>
      <c r="Q2933" s="210" t="str">
        <f>IFERROR(__xludf.DUMMYFUNCTION("""COMPUTED_VALUE"""),"1261477")</f>
        <v>1261477</v>
      </c>
      <c r="R2933" s="210" t="str">
        <f>IFERROR(__xludf.DUMMYFUNCTION("""COMPUTED_VALUE"""),"1261477")</f>
        <v>1261477</v>
      </c>
      <c r="S2933" s="211" t="str">
        <f>IFERROR(__xludf.DUMMYFUNCTION("""COMPUTED_VALUE"""),"cac4449f")</f>
        <v>cac4449f</v>
      </c>
      <c r="T2933" s="211" t="str">
        <f>IFERROR(__xludf.DUMMYFUNCTION("""COMPUTED_VALUE"""),"Bpk. Agus Yahya")</f>
        <v>Bpk. Agus Yahya</v>
      </c>
      <c r="U2933" s="215">
        <f>IFERROR(__xludf.DUMMYFUNCTION("""COMPUTED_VALUE"""),46112.57649305555)</f>
        <v>46112.57649</v>
      </c>
      <c r="V2933" s="211" t="str">
        <f>IFERROR(__xludf.DUMMYFUNCTION("""COMPUTED_VALUE"""),"Ds. Kendalsari 03/02 Sumobito Jombang Jawa Timur")</f>
        <v>Ds. Kendalsari 03/02 Sumobito Jombang Jawa Timur</v>
      </c>
      <c r="W2933" s="211" t="str">
        <f>IFERROR(__xludf.DUMMYFUNCTION("""COMPUTED_VALUE"""),"IN")</f>
        <v>IN</v>
      </c>
      <c r="X2933" s="211"/>
    </row>
    <row r="2934">
      <c r="A2934" s="210" t="str">
        <f>IFERROR(__xludf.DUMMYFUNCTION("""COMPUTED_VALUE"""),"122572052")</f>
        <v>122572052</v>
      </c>
      <c r="B2934" s="210" t="str">
        <f>IFERROR(__xludf.DUMMYFUNCTION("""COMPUTED_VALUE"""),"122572052")</f>
        <v>122572052</v>
      </c>
      <c r="C2934" s="213">
        <f>IFERROR(__xludf.DUMMYFUNCTION("""COMPUTED_VALUE"""),46013.436631944445)</f>
        <v>46013.43663</v>
      </c>
      <c r="D2934" s="211" t="str">
        <f>IFERROR(__xludf.DUMMYFUNCTION("""COMPUTED_VALUE"""),"9828dfc5")</f>
        <v>9828dfc5</v>
      </c>
      <c r="E2934" s="211" t="str">
        <f>IFERROR(__xludf.DUMMYFUNCTION("""COMPUTED_VALUE"""),"Bpk. David")</f>
        <v>Bpk. David</v>
      </c>
      <c r="F2934" s="211" t="str">
        <f>IFERROR(__xludf.DUMMYFUNCTION("""COMPUTED_VALUE"""),"7d2764f1")</f>
        <v>7d2764f1</v>
      </c>
      <c r="G2934" s="211" t="str">
        <f>IFERROR(__xludf.DUMMYFUNCTION("""COMPUTED_VALUE"""),"Oksigen 7m3")</f>
        <v>Oksigen 7m3</v>
      </c>
      <c r="H2934" s="211" t="str">
        <f>IFERROR(__xludf.DUMMYFUNCTION("""COMPUTED_VALUE"""),"OUT")</f>
        <v>OUT</v>
      </c>
      <c r="I2934" s="211" t="str">
        <f>IFERROR(__xludf.DUMMYFUNCTION("""COMPUTED_VALUE"""),"NORMAL")</f>
        <v>NORMAL</v>
      </c>
      <c r="J2934" s="211">
        <f>IFERROR(__xludf.DUMMYFUNCTION("""COMPUTED_VALUE"""),5.0)</f>
        <v>5</v>
      </c>
      <c r="K2934" s="210" t="str">
        <f>IFERROR(__xludf.DUMMYFUNCTION("""COMPUTED_VALUE"""),"11178 11334 11336 11337 11332")</f>
        <v>11178 11334 11336 11337 11332</v>
      </c>
      <c r="L2934" s="211">
        <f>IFERROR(__xludf.DUMMYFUNCTION("""COMPUTED_VALUE"""),60000.0)</f>
        <v>60000</v>
      </c>
      <c r="M2934" s="211"/>
      <c r="N2934" s="211"/>
      <c r="O2934" s="211"/>
      <c r="Q2934" s="210" t="str">
        <f>IFERROR(__xludf.DUMMYFUNCTION("""COMPUTED_VALUE"""),"032672932")</f>
        <v>032672932</v>
      </c>
      <c r="R2934" s="210" t="str">
        <f>IFERROR(__xludf.DUMMYFUNCTION("""COMPUTED_VALUE"""),"032672932")</f>
        <v>032672932</v>
      </c>
      <c r="S2934" s="211" t="str">
        <f>IFERROR(__xludf.DUMMYFUNCTION("""COMPUTED_VALUE"""),"ed4307f6")</f>
        <v>ed4307f6</v>
      </c>
      <c r="T2934" s="211" t="str">
        <f>IFERROR(__xludf.DUMMYFUNCTION("""COMPUTED_VALUE"""),"Bpk. Andi (Jetis)")</f>
        <v>Bpk. Andi (Jetis)</v>
      </c>
      <c r="U2934" s="215">
        <f>IFERROR(__xludf.DUMMYFUNCTION("""COMPUTED_VALUE"""),46112.5783912037)</f>
        <v>46112.57839</v>
      </c>
      <c r="V2934" s="211" t="str">
        <f>IFERROR(__xludf.DUMMYFUNCTION("""COMPUTED_VALUE"""),"HFH9+P7 Pelabuhan Kidul, Jetis, Kec. Jetis, Kabupaten Mojokerto, Jawa Timur, Indonesia")</f>
        <v>HFH9+P7 Pelabuhan Kidul, Jetis, Kec. Jetis, Kabupaten Mojokerto, Jawa Timur, Indonesia</v>
      </c>
      <c r="W2934" s="211" t="str">
        <f>IFERROR(__xludf.DUMMYFUNCTION("""COMPUTED_VALUE"""),"OUT")</f>
        <v>OUT</v>
      </c>
      <c r="X2934" s="211"/>
    </row>
    <row r="2935">
      <c r="A2935" s="210" t="str">
        <f>IFERROR(__xludf.DUMMYFUNCTION("""COMPUTED_VALUE"""),"1225582053")</f>
        <v>1225582053</v>
      </c>
      <c r="B2935" s="210" t="str">
        <f>IFERROR(__xludf.DUMMYFUNCTION("""COMPUTED_VALUE"""),"1225582053")</f>
        <v>1225582053</v>
      </c>
      <c r="C2935" s="213">
        <f>IFERROR(__xludf.DUMMYFUNCTION("""COMPUTED_VALUE"""),46013.438576388886)</f>
        <v>46013.43858</v>
      </c>
      <c r="D2935" s="211" t="str">
        <f>IFERROR(__xludf.DUMMYFUNCTION("""COMPUTED_VALUE"""),"b2b5f2c5")</f>
        <v>b2b5f2c5</v>
      </c>
      <c r="E2935" s="211" t="str">
        <f>IFERROR(__xludf.DUMMYFUNCTION("""COMPUTED_VALUE"""),"Bengkel Las Bpk. Ari")</f>
        <v>Bengkel Las Bpk. Ari</v>
      </c>
      <c r="F2935" s="211" t="str">
        <f>IFERROR(__xludf.DUMMYFUNCTION("""COMPUTED_VALUE"""),"8bdbe149")</f>
        <v>8bdbe149</v>
      </c>
      <c r="G2935" s="211" t="str">
        <f>IFERROR(__xludf.DUMMYFUNCTION("""COMPUTED_VALUE"""),"Oksigen 6m3")</f>
        <v>Oksigen 6m3</v>
      </c>
      <c r="H2935" s="211" t="str">
        <f>IFERROR(__xludf.DUMMYFUNCTION("""COMPUTED_VALUE"""),"OUT")</f>
        <v>OUT</v>
      </c>
      <c r="I2935" s="211" t="str">
        <f>IFERROR(__xludf.DUMMYFUNCTION("""COMPUTED_VALUE"""),"NORMAL")</f>
        <v>NORMAL</v>
      </c>
      <c r="J2935" s="211">
        <f>IFERROR(__xludf.DUMMYFUNCTION("""COMPUTED_VALUE"""),8.0)</f>
        <v>8</v>
      </c>
      <c r="K2935" s="210" t="str">
        <f>IFERROR(__xludf.DUMMYFUNCTION("""COMPUTED_VALUE"""),"1164 11241 11267 11176 1146 11118 11309 11192")</f>
        <v>1164 11241 11267 11176 1146 11118 11309 11192</v>
      </c>
      <c r="L2935" s="211">
        <f>IFERROR(__xludf.DUMMYFUNCTION("""COMPUTED_VALUE"""),60000.0)</f>
        <v>60000</v>
      </c>
      <c r="M2935" s="211"/>
      <c r="N2935" s="211"/>
      <c r="O2935" s="211"/>
      <c r="Q2935" s="210" t="str">
        <f>IFERROR(__xludf.DUMMYFUNCTION("""COMPUTED_VALUE"""),"0326462935")</f>
        <v>0326462935</v>
      </c>
      <c r="R2935" s="210" t="str">
        <f>IFERROR(__xludf.DUMMYFUNCTION("""COMPUTED_VALUE"""),"0326462935")</f>
        <v>0326462935</v>
      </c>
      <c r="S2935" s="211" t="str">
        <f>IFERROR(__xludf.DUMMYFUNCTION("""COMPUTED_VALUE"""),"5f23ba17")</f>
        <v>5f23ba17</v>
      </c>
      <c r="T2935" s="211" t="str">
        <f>IFERROR(__xludf.DUMMYFUNCTION("""COMPUTED_VALUE"""),"Bpk. Joko (Gresik)")</f>
        <v>Bpk. Joko (Gresik)</v>
      </c>
      <c r="U2935" s="215">
        <f>IFERROR(__xludf.DUMMYFUNCTION("""COMPUTED_VALUE"""),46112.57881944445)</f>
        <v>46112.57882</v>
      </c>
      <c r="V2935" s="211" t="str">
        <f>IFERROR(__xludf.DUMMYFUNCTION("""COMPUTED_VALUE"""),"Tanggungan, Lebaniwaras, Kec. Wringinanom, Kabupaten Gresik, Jawa Timur")</f>
        <v>Tanggungan, Lebaniwaras, Kec. Wringinanom, Kabupaten Gresik, Jawa Timur</v>
      </c>
      <c r="W2935" s="211" t="str">
        <f>IFERROR(__xludf.DUMMYFUNCTION("""COMPUTED_VALUE"""),"OUT")</f>
        <v>OUT</v>
      </c>
      <c r="X2935" s="211"/>
    </row>
    <row r="2936">
      <c r="A2936" s="210" t="str">
        <f>IFERROR(__xludf.DUMMYFUNCTION("""COMPUTED_VALUE"""),"1250979")</f>
        <v>1250979</v>
      </c>
      <c r="B2936" s="210" t="str">
        <f>IFERROR(__xludf.DUMMYFUNCTION("""COMPUTED_VALUE"""),"1250979")</f>
        <v>1250979</v>
      </c>
      <c r="C2936" s="213">
        <f>IFERROR(__xludf.DUMMYFUNCTION("""COMPUTED_VALUE"""),46013.448541666665)</f>
        <v>46013.44854</v>
      </c>
      <c r="D2936" s="211" t="str">
        <f>IFERROR(__xludf.DUMMYFUNCTION("""COMPUTED_VALUE"""),"b0735da4")</f>
        <v>b0735da4</v>
      </c>
      <c r="E2936" s="211" t="str">
        <f>IFERROR(__xludf.DUMMYFUNCTION("""COMPUTED_VALUE"""),"Bpk. Amer Ciro")</f>
        <v>Bpk. Amer Ciro</v>
      </c>
      <c r="F2936" s="211" t="str">
        <f>IFERROR(__xludf.DUMMYFUNCTION("""COMPUTED_VALUE"""),"7d2764f1")</f>
        <v>7d2764f1</v>
      </c>
      <c r="G2936" s="211" t="str">
        <f>IFERROR(__xludf.DUMMYFUNCTION("""COMPUTED_VALUE"""),"Oksigen 7m3")</f>
        <v>Oksigen 7m3</v>
      </c>
      <c r="H2936" s="211" t="str">
        <f>IFERROR(__xludf.DUMMYFUNCTION("""COMPUTED_VALUE"""),"IN")</f>
        <v>IN</v>
      </c>
      <c r="I2936" s="211" t="str">
        <f>IFERROR(__xludf.DUMMYFUNCTION("""COMPUTED_VALUE"""),"EMPTY")</f>
        <v>EMPTY</v>
      </c>
      <c r="J2936" s="211">
        <f>IFERROR(__xludf.DUMMYFUNCTION("""COMPUTED_VALUE"""),2.0)</f>
        <v>2</v>
      </c>
      <c r="K2936" s="210" t="str">
        <f>IFERROR(__xludf.DUMMYFUNCTION("""COMPUTED_VALUE"""),"11162 11212")</f>
        <v>11162 11212</v>
      </c>
      <c r="L2936" s="211">
        <f>IFERROR(__xludf.DUMMYFUNCTION("""COMPUTED_VALUE"""),0.0)</f>
        <v>0</v>
      </c>
      <c r="M2936" s="211"/>
      <c r="N2936" s="211"/>
      <c r="O2936" s="211"/>
      <c r="Q2936" s="210" t="str">
        <f>IFERROR(__xludf.DUMMYFUNCTION("""COMPUTED_VALUE"""),"0326102936")</f>
        <v>0326102936</v>
      </c>
      <c r="R2936" s="210" t="str">
        <f>IFERROR(__xludf.DUMMYFUNCTION("""COMPUTED_VALUE"""),"0326102936")</f>
        <v>0326102936</v>
      </c>
      <c r="S2936" s="211" t="str">
        <f>IFERROR(__xludf.DUMMYFUNCTION("""COMPUTED_VALUE"""),"9e5d8274")</f>
        <v>9e5d8274</v>
      </c>
      <c r="T2936" s="211" t="str">
        <f>IFERROR(__xludf.DUMMYFUNCTION("""COMPUTED_VALUE"""),"Bpk. Erry ( Lik Trosobo )")</f>
        <v>Bpk. Erry ( Lik Trosobo )</v>
      </c>
      <c r="U2936" s="215">
        <f>IFERROR(__xludf.DUMMYFUNCTION("""COMPUTED_VALUE"""),46112.58336805556)</f>
        <v>46112.58337</v>
      </c>
      <c r="V2936" s="211" t="str">
        <f>IFERROR(__xludf.DUMMYFUNCTION("""COMPUTED_VALUE"""),"Trosobo Taman")</f>
        <v>Trosobo Taman</v>
      </c>
      <c r="W2936" s="211" t="str">
        <f>IFERROR(__xludf.DUMMYFUNCTION("""COMPUTED_VALUE"""),"OUT")</f>
        <v>OUT</v>
      </c>
      <c r="X2936" s="211"/>
    </row>
    <row r="2937">
      <c r="A2937" s="210" t="str">
        <f>IFERROR(__xludf.DUMMYFUNCTION("""COMPUTED_VALUE"""),"1250980")</f>
        <v>1250980</v>
      </c>
      <c r="B2937" s="210" t="str">
        <f>IFERROR(__xludf.DUMMYFUNCTION("""COMPUTED_VALUE"""),"1250980")</f>
        <v>1250980</v>
      </c>
      <c r="C2937" s="213">
        <f>IFERROR(__xludf.DUMMYFUNCTION("""COMPUTED_VALUE"""),46013.449108796296)</f>
        <v>46013.44911</v>
      </c>
      <c r="D2937" s="211" t="str">
        <f>IFERROR(__xludf.DUMMYFUNCTION("""COMPUTED_VALUE"""),"63fc688a")</f>
        <v>63fc688a</v>
      </c>
      <c r="E2937" s="211" t="str">
        <f>IFERROR(__xludf.DUMMYFUNCTION("""COMPUTED_VALUE"""),"CV Malik Nusantara")</f>
        <v>CV Malik Nusantara</v>
      </c>
      <c r="F2937" s="211" t="str">
        <f>IFERROR(__xludf.DUMMYFUNCTION("""COMPUTED_VALUE"""),"8bdbe149")</f>
        <v>8bdbe149</v>
      </c>
      <c r="G2937" s="211" t="str">
        <f>IFERROR(__xludf.DUMMYFUNCTION("""COMPUTED_VALUE"""),"Oksigen 6m3")</f>
        <v>Oksigen 6m3</v>
      </c>
      <c r="H2937" s="211" t="str">
        <f>IFERROR(__xludf.DUMMYFUNCTION("""COMPUTED_VALUE"""),"IN")</f>
        <v>IN</v>
      </c>
      <c r="I2937" s="211" t="str">
        <f>IFERROR(__xludf.DUMMYFUNCTION("""COMPUTED_VALUE"""),"EMPTY")</f>
        <v>EMPTY</v>
      </c>
      <c r="J2937" s="211">
        <f>IFERROR(__xludf.DUMMYFUNCTION("""COMPUTED_VALUE"""),3.0)</f>
        <v>3</v>
      </c>
      <c r="K2937" s="210" t="str">
        <f>IFERROR(__xludf.DUMMYFUNCTION("""COMPUTED_VALUE"""),"1169 1156 11196")</f>
        <v>1169 1156 11196</v>
      </c>
      <c r="L2937" s="211">
        <f>IFERROR(__xludf.DUMMYFUNCTION("""COMPUTED_VALUE"""),0.0)</f>
        <v>0</v>
      </c>
      <c r="M2937" s="211"/>
      <c r="N2937" s="211"/>
      <c r="O2937" s="211"/>
      <c r="Q2937" s="210" t="str">
        <f>IFERROR(__xludf.DUMMYFUNCTION("""COMPUTED_VALUE"""),"1261478")</f>
        <v>1261478</v>
      </c>
      <c r="R2937" s="210" t="str">
        <f>IFERROR(__xludf.DUMMYFUNCTION("""COMPUTED_VALUE"""),"1261478")</f>
        <v>1261478</v>
      </c>
      <c r="S2937" s="211" t="str">
        <f>IFERROR(__xludf.DUMMYFUNCTION("""COMPUTED_VALUE"""),"9e5d8274")</f>
        <v>9e5d8274</v>
      </c>
      <c r="T2937" s="211" t="str">
        <f>IFERROR(__xludf.DUMMYFUNCTION("""COMPUTED_VALUE"""),"Bpk. Erry ( Lik Trosobo )")</f>
        <v>Bpk. Erry ( Lik Trosobo )</v>
      </c>
      <c r="U2937" s="215">
        <f>IFERROR(__xludf.DUMMYFUNCTION("""COMPUTED_VALUE"""),46113.36069444445)</f>
        <v>46113.36069</v>
      </c>
      <c r="V2937" s="211" t="str">
        <f>IFERROR(__xludf.DUMMYFUNCTION("""COMPUTED_VALUE"""),"Trosobo Taman")</f>
        <v>Trosobo Taman</v>
      </c>
      <c r="W2937" s="211" t="str">
        <f>IFERROR(__xludf.DUMMYFUNCTION("""COMPUTED_VALUE"""),"IN")</f>
        <v>IN</v>
      </c>
      <c r="X2937" s="211"/>
    </row>
    <row r="2938">
      <c r="A2938" s="210" t="str">
        <f>IFERROR(__xludf.DUMMYFUNCTION("""COMPUTED_VALUE"""),"1250978")</f>
        <v>1250978</v>
      </c>
      <c r="B2938" s="210" t="str">
        <f>IFERROR(__xludf.DUMMYFUNCTION("""COMPUTED_VALUE"""),"1250978")</f>
        <v>1250978</v>
      </c>
      <c r="C2938" s="213">
        <f>IFERROR(__xludf.DUMMYFUNCTION("""COMPUTED_VALUE"""),46013.44993055556)</f>
        <v>46013.44993</v>
      </c>
      <c r="D2938" s="211" t="str">
        <f>IFERROR(__xludf.DUMMYFUNCTION("""COMPUTED_VALUE"""),"9b941888")</f>
        <v>9b941888</v>
      </c>
      <c r="E2938" s="211" t="str">
        <f>IFERROR(__xludf.DUMMYFUNCTION("""COMPUTED_VALUE"""),"Mas Devi ( Parengan )")</f>
        <v>Mas Devi ( Parengan )</v>
      </c>
      <c r="F2938" s="211" t="str">
        <f>IFERROR(__xludf.DUMMYFUNCTION("""COMPUTED_VALUE"""),"7d2764f1")</f>
        <v>7d2764f1</v>
      </c>
      <c r="G2938" s="211" t="str">
        <f>IFERROR(__xludf.DUMMYFUNCTION("""COMPUTED_VALUE"""),"Oksigen 7m3")</f>
        <v>Oksigen 7m3</v>
      </c>
      <c r="H2938" s="211" t="str">
        <f>IFERROR(__xludf.DUMMYFUNCTION("""COMPUTED_VALUE"""),"IN")</f>
        <v>IN</v>
      </c>
      <c r="I2938" s="211" t="str">
        <f>IFERROR(__xludf.DUMMYFUNCTION("""COMPUTED_VALUE"""),"EMPTY")</f>
        <v>EMPTY</v>
      </c>
      <c r="J2938" s="211">
        <f>IFERROR(__xludf.DUMMYFUNCTION("""COMPUTED_VALUE"""),1.0)</f>
        <v>1</v>
      </c>
      <c r="K2938" s="210" t="str">
        <f>IFERROR(__xludf.DUMMYFUNCTION("""COMPUTED_VALUE"""),"11160")</f>
        <v>11160</v>
      </c>
      <c r="L2938" s="211">
        <f>IFERROR(__xludf.DUMMYFUNCTION("""COMPUTED_VALUE"""),0.0)</f>
        <v>0</v>
      </c>
      <c r="M2938" s="211"/>
      <c r="N2938" s="211"/>
      <c r="O2938" s="211"/>
      <c r="Q2938" s="210" t="str">
        <f>IFERROR(__xludf.DUMMYFUNCTION("""COMPUTED_VALUE"""),"1261443")</f>
        <v>1261443</v>
      </c>
      <c r="R2938" s="210" t="str">
        <f>IFERROR(__xludf.DUMMYFUNCTION("""COMPUTED_VALUE"""),"1261443")</f>
        <v>1261443</v>
      </c>
      <c r="S2938" s="211" t="str">
        <f>IFERROR(__xludf.DUMMYFUNCTION("""COMPUTED_VALUE"""),"b218b89b")</f>
        <v>b218b89b</v>
      </c>
      <c r="T2938" s="211" t="str">
        <f>IFERROR(__xludf.DUMMYFUNCTION("""COMPUTED_VALUE"""),"PT Harapan Sentosa")</f>
        <v>PT Harapan Sentosa</v>
      </c>
      <c r="U2938" s="215">
        <f>IFERROR(__xludf.DUMMYFUNCTION("""COMPUTED_VALUE"""),46113.36104166666)</f>
        <v>46113.36104</v>
      </c>
      <c r="V2938" s="211" t="str">
        <f>IFERROR(__xludf.DUMMYFUNCTION("""COMPUTED_VALUE"""),"Seketi, Jl. Purboyo II Selatan, RT.02/RW.02, Seketi, Kec. BalongBendo, Kabupaten Sidoarjo, Jawa Timur 61263")</f>
        <v>Seketi, Jl. Purboyo II Selatan, RT.02/RW.02, Seketi, Kec. BalongBendo, Kabupaten Sidoarjo, Jawa Timur 61263</v>
      </c>
      <c r="W2938" s="211" t="str">
        <f>IFERROR(__xludf.DUMMYFUNCTION("""COMPUTED_VALUE"""),"IN")</f>
        <v>IN</v>
      </c>
      <c r="X2938" s="211"/>
    </row>
    <row r="2939">
      <c r="A2939" s="210" t="str">
        <f>IFERROR(__xludf.DUMMYFUNCTION("""COMPUTED_VALUE"""),"122572054")</f>
        <v>122572054</v>
      </c>
      <c r="B2939" s="210" t="str">
        <f>IFERROR(__xludf.DUMMYFUNCTION("""COMPUTED_VALUE"""),"122572054")</f>
        <v>122572054</v>
      </c>
      <c r="C2939" s="213">
        <f>IFERROR(__xludf.DUMMYFUNCTION("""COMPUTED_VALUE"""),46013.45407407408)</f>
        <v>46013.45407</v>
      </c>
      <c r="D2939" s="211" t="str">
        <f>IFERROR(__xludf.DUMMYFUNCTION("""COMPUTED_VALUE"""),"f8a982a4")</f>
        <v>f8a982a4</v>
      </c>
      <c r="E2939" s="211" t="str">
        <f>IFERROR(__xludf.DUMMYFUNCTION("""COMPUTED_VALUE"""),"Bpk. Nasir")</f>
        <v>Bpk. Nasir</v>
      </c>
      <c r="F2939" s="211" t="str">
        <f>IFERROR(__xludf.DUMMYFUNCTION("""COMPUTED_VALUE"""),"7d2764f1")</f>
        <v>7d2764f1</v>
      </c>
      <c r="G2939" s="211" t="str">
        <f>IFERROR(__xludf.DUMMYFUNCTION("""COMPUTED_VALUE"""),"Oksigen 7m3")</f>
        <v>Oksigen 7m3</v>
      </c>
      <c r="H2939" s="211" t="str">
        <f>IFERROR(__xludf.DUMMYFUNCTION("""COMPUTED_VALUE"""),"OUT")</f>
        <v>OUT</v>
      </c>
      <c r="I2939" s="211" t="str">
        <f>IFERROR(__xludf.DUMMYFUNCTION("""COMPUTED_VALUE"""),"NORMAL")</f>
        <v>NORMAL</v>
      </c>
      <c r="J2939" s="211">
        <f>IFERROR(__xludf.DUMMYFUNCTION("""COMPUTED_VALUE"""),4.0)</f>
        <v>4</v>
      </c>
      <c r="K2939" s="210" t="str">
        <f>IFERROR(__xludf.DUMMYFUNCTION("""COMPUTED_VALUE"""),"11140 11335 11333 11338")</f>
        <v>11140 11335 11333 11338</v>
      </c>
      <c r="L2939" s="211">
        <f>IFERROR(__xludf.DUMMYFUNCTION("""COMPUTED_VALUE"""),70000.0)</f>
        <v>70000</v>
      </c>
      <c r="M2939" s="211"/>
      <c r="N2939" s="211"/>
      <c r="O2939" s="211"/>
      <c r="Q2939" s="210" t="str">
        <f>IFERROR(__xludf.DUMMYFUNCTION("""COMPUTED_VALUE"""),"1261442")</f>
        <v>1261442</v>
      </c>
      <c r="R2939" s="210" t="str">
        <f>IFERROR(__xludf.DUMMYFUNCTION("""COMPUTED_VALUE"""),"1261442")</f>
        <v>1261442</v>
      </c>
      <c r="S2939" s="211" t="str">
        <f>IFERROR(__xludf.DUMMYFUNCTION("""COMPUTED_VALUE"""),"9e66ced9")</f>
        <v>9e66ced9</v>
      </c>
      <c r="T2939" s="211" t="str">
        <f>IFERROR(__xludf.DUMMYFUNCTION("""COMPUTED_VALUE"""),"Bapak Angga")</f>
        <v>Bapak Angga</v>
      </c>
      <c r="U2939" s="215">
        <f>IFERROR(__xludf.DUMMYFUNCTION("""COMPUTED_VALUE"""),46113.36163194444)</f>
        <v>46113.36163</v>
      </c>
      <c r="V2939" s="211" t="str">
        <f>IFERROR(__xludf.DUMMYFUNCTION("""COMPUTED_VALUE"""),"Jl. Bypass Krian No.2, Tundungan, Sidomojo, Kec. Krian, Kabupaten Sidoarjo, Jawa Timur 61262")</f>
        <v>Jl. Bypass Krian No.2, Tundungan, Sidomojo, Kec. Krian, Kabupaten Sidoarjo, Jawa Timur 61262</v>
      </c>
      <c r="W2939" s="211" t="str">
        <f>IFERROR(__xludf.DUMMYFUNCTION("""COMPUTED_VALUE"""),"IN")</f>
        <v>IN</v>
      </c>
      <c r="X2939" s="211"/>
    </row>
    <row r="2940">
      <c r="A2940" s="210" t="str">
        <f>IFERROR(__xludf.DUMMYFUNCTION("""COMPUTED_VALUE"""),"122562058")</f>
        <v>122562058</v>
      </c>
      <c r="B2940" s="210" t="str">
        <f>IFERROR(__xludf.DUMMYFUNCTION("""COMPUTED_VALUE"""),"122562058")</f>
        <v>122562058</v>
      </c>
      <c r="C2940" s="213">
        <f>IFERROR(__xludf.DUMMYFUNCTION("""COMPUTED_VALUE"""),46013.50665509259)</f>
        <v>46013.50666</v>
      </c>
      <c r="D2940" s="211" t="str">
        <f>IFERROR(__xludf.DUMMYFUNCTION("""COMPUTED_VALUE"""),"17a8e612")</f>
        <v>17a8e612</v>
      </c>
      <c r="E2940" s="211" t="str">
        <f>IFERROR(__xludf.DUMMYFUNCTION("""COMPUTED_VALUE"""),"Flashtech Machinery")</f>
        <v>Flashtech Machinery</v>
      </c>
      <c r="F2940" s="211" t="str">
        <f>IFERROR(__xludf.DUMMYFUNCTION("""COMPUTED_VALUE"""),"2690846b")</f>
        <v>2690846b</v>
      </c>
      <c r="G2940" s="211" t="str">
        <f>IFERROR(__xludf.DUMMYFUNCTION("""COMPUTED_VALUE"""),"Oksigen 1m3 MR")</f>
        <v>Oksigen 1m3 MR</v>
      </c>
      <c r="H2940" s="211" t="str">
        <f>IFERROR(__xludf.DUMMYFUNCTION("""COMPUTED_VALUE"""),"OUT")</f>
        <v>OUT</v>
      </c>
      <c r="I2940" s="211" t="str">
        <f>IFERROR(__xludf.DUMMYFUNCTION("""COMPUTED_VALUE"""),"NORMAL")</f>
        <v>NORMAL</v>
      </c>
      <c r="J2940" s="211">
        <f>IFERROR(__xludf.DUMMYFUNCTION("""COMPUTED_VALUE"""),1.0)</f>
        <v>1</v>
      </c>
      <c r="K2940" s="210" t="str">
        <f>IFERROR(__xludf.DUMMYFUNCTION("""COMPUTED_VALUE"""),"01")</f>
        <v>01</v>
      </c>
      <c r="L2940" s="211">
        <f>IFERROR(__xludf.DUMMYFUNCTION("""COMPUTED_VALUE"""),50000.0)</f>
        <v>50000</v>
      </c>
      <c r="M2940" s="211"/>
      <c r="N2940" s="211"/>
      <c r="O2940" s="211"/>
      <c r="Q2940" s="210" t="str">
        <f>IFERROR(__xludf.DUMMYFUNCTION("""COMPUTED_VALUE"""),"0426102937")</f>
        <v>0426102937</v>
      </c>
      <c r="R2940" s="210" t="str">
        <f>IFERROR(__xludf.DUMMYFUNCTION("""COMPUTED_VALUE"""),"0426102937")</f>
        <v>0426102937</v>
      </c>
      <c r="S2940" s="211" t="str">
        <f>IFERROR(__xludf.DUMMYFUNCTION("""COMPUTED_VALUE"""),"d9b2fac5")</f>
        <v>d9b2fac5</v>
      </c>
      <c r="T2940" s="211" t="str">
        <f>IFERROR(__xludf.DUMMYFUNCTION("""COMPUTED_VALUE"""),"Dwi Riza ( Ponokawan)")</f>
        <v>Dwi Riza ( Ponokawan)</v>
      </c>
      <c r="U2940" s="215">
        <f>IFERROR(__xludf.DUMMYFUNCTION("""COMPUTED_VALUE"""),46113.363391203704)</f>
        <v>46113.36339</v>
      </c>
      <c r="V2940" s="211" t="str">
        <f>IFERROR(__xludf.DUMMYFUNCTION("""COMPUTED_VALUE"""),"Jl. Raya Ponokawan No.28 RT 07 RW 03 Kec. Krian Sidoarjo (Seberang Bengkel An.Nur/ Deretan Baraka Expres)")</f>
        <v>Jl. Raya Ponokawan No.28 RT 07 RW 03 Kec. Krian Sidoarjo (Seberang Bengkel An.Nur/ Deretan Baraka Expres)</v>
      </c>
      <c r="W2940" s="211" t="str">
        <f>IFERROR(__xludf.DUMMYFUNCTION("""COMPUTED_VALUE"""),"OUT")</f>
        <v>OUT</v>
      </c>
      <c r="X2940" s="211"/>
    </row>
    <row r="2941">
      <c r="A2941" s="210" t="str">
        <f>IFERROR(__xludf.DUMMYFUNCTION("""COMPUTED_VALUE"""),"1250981")</f>
        <v>1250981</v>
      </c>
      <c r="B2941" s="210" t="str">
        <f>IFERROR(__xludf.DUMMYFUNCTION("""COMPUTED_VALUE"""),"1250981")</f>
        <v>1250981</v>
      </c>
      <c r="C2941" s="213">
        <f>IFERROR(__xludf.DUMMYFUNCTION("""COMPUTED_VALUE"""),46013.521053240744)</f>
        <v>46013.52105</v>
      </c>
      <c r="D2941" s="211" t="str">
        <f>IFERROR(__xludf.DUMMYFUNCTION("""COMPUTED_VALUE"""),"9e31e9f4")</f>
        <v>9e31e9f4</v>
      </c>
      <c r="E2941" s="211" t="str">
        <f>IFERROR(__xludf.DUMMYFUNCTION("""COMPUTED_VALUE"""),"Bpk. Eko Iswantoro")</f>
        <v>Bpk. Eko Iswantoro</v>
      </c>
      <c r="F2941" s="211" t="str">
        <f>IFERROR(__xludf.DUMMYFUNCTION("""COMPUTED_VALUE"""),"8bdbe149")</f>
        <v>8bdbe149</v>
      </c>
      <c r="G2941" s="211" t="str">
        <f>IFERROR(__xludf.DUMMYFUNCTION("""COMPUTED_VALUE"""),"Oksigen 6m3")</f>
        <v>Oksigen 6m3</v>
      </c>
      <c r="H2941" s="211" t="str">
        <f>IFERROR(__xludf.DUMMYFUNCTION("""COMPUTED_VALUE"""),"IN")</f>
        <v>IN</v>
      </c>
      <c r="I2941" s="211" t="str">
        <f>IFERROR(__xludf.DUMMYFUNCTION("""COMPUTED_VALUE"""),"EMPTY")</f>
        <v>EMPTY</v>
      </c>
      <c r="J2941" s="211">
        <f>IFERROR(__xludf.DUMMYFUNCTION("""COMPUTED_VALUE"""),4.0)</f>
        <v>4</v>
      </c>
      <c r="K2941" s="210" t="str">
        <f>IFERROR(__xludf.DUMMYFUNCTION("""COMPUTED_VALUE"""),"11134 11268 1186 11107")</f>
        <v>11134 11268 1186 11107</v>
      </c>
      <c r="L2941" s="211">
        <f>IFERROR(__xludf.DUMMYFUNCTION("""COMPUTED_VALUE"""),0.0)</f>
        <v>0</v>
      </c>
      <c r="M2941" s="211"/>
      <c r="N2941" s="211"/>
      <c r="O2941" s="211"/>
      <c r="Q2941" s="210" t="str">
        <f>IFERROR(__xludf.DUMMYFUNCTION("""COMPUTED_VALUE"""),"1261454")</f>
        <v>1261454</v>
      </c>
      <c r="R2941" s="210" t="str">
        <f>IFERROR(__xludf.DUMMYFUNCTION("""COMPUTED_VALUE"""),"1261454")</f>
        <v>1261454</v>
      </c>
      <c r="S2941" s="211" t="str">
        <f>IFERROR(__xludf.DUMMYFUNCTION("""COMPUTED_VALUE"""),"b2b5f2c5")</f>
        <v>b2b5f2c5</v>
      </c>
      <c r="T2941" s="211" t="str">
        <f>IFERROR(__xludf.DUMMYFUNCTION("""COMPUTED_VALUE"""),"Bengkel Las Bpk. Ari")</f>
        <v>Bengkel Las Bpk. Ari</v>
      </c>
      <c r="U2941" s="215">
        <f>IFERROR(__xludf.DUMMYFUNCTION("""COMPUTED_VALUE"""),46113.36502314815)</f>
        <v>46113.36502</v>
      </c>
      <c r="V2941" s="211" t="str">
        <f>IFERROR(__xludf.DUMMYFUNCTION("""COMPUTED_VALUE"""),"Sumber Kembar, Wonodadi, Kec. Kutorejo, Kabupaten Mojokerto, Jawa Timur")</f>
        <v>Sumber Kembar, Wonodadi, Kec. Kutorejo, Kabupaten Mojokerto, Jawa Timur</v>
      </c>
      <c r="W2941" s="211" t="str">
        <f>IFERROR(__xludf.DUMMYFUNCTION("""COMPUTED_VALUE"""),"IN")</f>
        <v>IN</v>
      </c>
      <c r="X2941" s="211"/>
    </row>
    <row r="2942">
      <c r="A2942" s="210" t="str">
        <f>IFERROR(__xludf.DUMMYFUNCTION("""COMPUTED_VALUE"""),"1250981")</f>
        <v>1250981</v>
      </c>
      <c r="B2942" s="210" t="str">
        <f>IFERROR(__xludf.DUMMYFUNCTION("""COMPUTED_VALUE"""),"1250981")</f>
        <v>1250981</v>
      </c>
      <c r="C2942" s="213">
        <f>IFERROR(__xludf.DUMMYFUNCTION("""COMPUTED_VALUE"""),46013.521053240744)</f>
        <v>46013.52105</v>
      </c>
      <c r="D2942" s="211" t="str">
        <f>IFERROR(__xludf.DUMMYFUNCTION("""COMPUTED_VALUE"""),"9e31e9f4")</f>
        <v>9e31e9f4</v>
      </c>
      <c r="E2942" s="211" t="str">
        <f>IFERROR(__xludf.DUMMYFUNCTION("""COMPUTED_VALUE"""),"Bpk. Eko Iswantoro")</f>
        <v>Bpk. Eko Iswantoro</v>
      </c>
      <c r="F2942" s="211" t="str">
        <f>IFERROR(__xludf.DUMMYFUNCTION("""COMPUTED_VALUE"""),"2690846b")</f>
        <v>2690846b</v>
      </c>
      <c r="G2942" s="211" t="str">
        <f>IFERROR(__xludf.DUMMYFUNCTION("""COMPUTED_VALUE"""),"Oksigen 1m3 MR")</f>
        <v>Oksigen 1m3 MR</v>
      </c>
      <c r="H2942" s="211" t="str">
        <f>IFERROR(__xludf.DUMMYFUNCTION("""COMPUTED_VALUE"""),"IN")</f>
        <v>IN</v>
      </c>
      <c r="I2942" s="211" t="str">
        <f>IFERROR(__xludf.DUMMYFUNCTION("""COMPUTED_VALUE"""),"EMPTY")</f>
        <v>EMPTY</v>
      </c>
      <c r="J2942" s="211">
        <f>IFERROR(__xludf.DUMMYFUNCTION("""COMPUTED_VALUE"""),1.0)</f>
        <v>1</v>
      </c>
      <c r="K2942" s="210" t="str">
        <f>IFERROR(__xludf.DUMMYFUNCTION("""COMPUTED_VALUE"""),"01")</f>
        <v>01</v>
      </c>
      <c r="L2942" s="211">
        <f>IFERROR(__xludf.DUMMYFUNCTION("""COMPUTED_VALUE"""),0.0)</f>
        <v>0</v>
      </c>
      <c r="M2942" s="211"/>
      <c r="N2942" s="211"/>
      <c r="O2942" s="211"/>
      <c r="Q2942" s="210" t="str">
        <f>IFERROR(__xludf.DUMMYFUNCTION("""COMPUTED_VALUE"""),"1261453")</f>
        <v>1261453</v>
      </c>
      <c r="R2942" s="210" t="str">
        <f>IFERROR(__xludf.DUMMYFUNCTION("""COMPUTED_VALUE"""),"1261453")</f>
        <v>1261453</v>
      </c>
      <c r="S2942" s="211" t="str">
        <f>IFERROR(__xludf.DUMMYFUNCTION("""COMPUTED_VALUE"""),"de41c3e8")</f>
        <v>de41c3e8</v>
      </c>
      <c r="T2942" s="211" t="str">
        <f>IFERROR(__xludf.DUMMYFUNCTION("""COMPUTED_VALUE"""),"Bpk. Eko Mianto")</f>
        <v>Bpk. Eko Mianto</v>
      </c>
      <c r="U2942" s="215">
        <f>IFERROR(__xludf.DUMMYFUNCTION("""COMPUTED_VALUE"""),46113.366319444445)</f>
        <v>46113.36632</v>
      </c>
      <c r="V2942" s="211" t="str">
        <f>IFERROR(__xludf.DUMMYFUNCTION("""COMPUTED_VALUE"""),"The Graha Residen, Blok D4 No 33. Tropodo, Kec Krian, Kabupaten Sidaorjo, Jawa Timur 61262")</f>
        <v>The Graha Residen, Blok D4 No 33. Tropodo, Kec Krian, Kabupaten Sidaorjo, Jawa Timur 61262</v>
      </c>
      <c r="W2942" s="211" t="str">
        <f>IFERROR(__xludf.DUMMYFUNCTION("""COMPUTED_VALUE"""),"IN")</f>
        <v>IN</v>
      </c>
      <c r="X2942" s="211"/>
    </row>
    <row r="2943">
      <c r="A2943" s="210" t="str">
        <f>IFERROR(__xludf.DUMMYFUNCTION("""COMPUTED_VALUE"""),"122562058")</f>
        <v>122562058</v>
      </c>
      <c r="B2943" s="210" t="str">
        <f>IFERROR(__xludf.DUMMYFUNCTION("""COMPUTED_VALUE"""),"122562058")</f>
        <v>122562058</v>
      </c>
      <c r="C2943" s="213">
        <f>IFERROR(__xludf.DUMMYFUNCTION("""COMPUTED_VALUE"""),46013.50665509259)</f>
        <v>46013.50666</v>
      </c>
      <c r="D2943" s="211" t="str">
        <f>IFERROR(__xludf.DUMMYFUNCTION("""COMPUTED_VALUE"""),"17a8e612")</f>
        <v>17a8e612</v>
      </c>
      <c r="E2943" s="211" t="str">
        <f>IFERROR(__xludf.DUMMYFUNCTION("""COMPUTED_VALUE"""),"Flashtech Machinery")</f>
        <v>Flashtech Machinery</v>
      </c>
      <c r="F2943" s="211" t="str">
        <f>IFERROR(__xludf.DUMMYFUNCTION("""COMPUTED_VALUE"""),"7d2764f1")</f>
        <v>7d2764f1</v>
      </c>
      <c r="G2943" s="211" t="str">
        <f>IFERROR(__xludf.DUMMYFUNCTION("""COMPUTED_VALUE"""),"Oksigen 7m3")</f>
        <v>Oksigen 7m3</v>
      </c>
      <c r="H2943" s="211" t="str">
        <f>IFERROR(__xludf.DUMMYFUNCTION("""COMPUTED_VALUE"""),"OUT")</f>
        <v>OUT</v>
      </c>
      <c r="I2943" s="211" t="str">
        <f>IFERROR(__xludf.DUMMYFUNCTION("""COMPUTED_VALUE"""),"NORMAL")</f>
        <v>NORMAL</v>
      </c>
      <c r="J2943" s="211">
        <f>IFERROR(__xludf.DUMMYFUNCTION("""COMPUTED_VALUE"""),3.0)</f>
        <v>3</v>
      </c>
      <c r="K2943" s="210" t="str">
        <f>IFERROR(__xludf.DUMMYFUNCTION("""COMPUTED_VALUE"""),"11228 1165 11215")</f>
        <v>11228 1165 11215</v>
      </c>
      <c r="L2943" s="211">
        <f>IFERROR(__xludf.DUMMYFUNCTION("""COMPUTED_VALUE"""),60000.0)</f>
        <v>60000</v>
      </c>
      <c r="M2943" s="211"/>
      <c r="N2943" s="211"/>
      <c r="O2943" s="211"/>
      <c r="Q2943" s="210" t="str">
        <f>IFERROR(__xludf.DUMMYFUNCTION("""COMPUTED_VALUE"""),"1261444")</f>
        <v>1261444</v>
      </c>
      <c r="R2943" s="210" t="str">
        <f>IFERROR(__xludf.DUMMYFUNCTION("""COMPUTED_VALUE"""),"1261444")</f>
        <v>1261444</v>
      </c>
      <c r="S2943" s="211" t="str">
        <f>IFERROR(__xludf.DUMMYFUNCTION("""COMPUTED_VALUE"""),"03ff52db")</f>
        <v>03ff52db</v>
      </c>
      <c r="T2943" s="211" t="str">
        <f>IFERROR(__xludf.DUMMYFUNCTION("""COMPUTED_VALUE"""),"Aneka Teknik Logam")</f>
        <v>Aneka Teknik Logam</v>
      </c>
      <c r="U2943" s="215">
        <f>IFERROR(__xludf.DUMMYFUNCTION("""COMPUTED_VALUE"""),46113.366643518515)</f>
        <v>46113.36664</v>
      </c>
      <c r="V2943" s="211" t="str">
        <f>IFERROR(__xludf.DUMMYFUNCTION("""COMPUTED_VALUE"""),"HH8G+MQC, Areng Areng, Tropodo, Kec. Krian, Kabupaten Sidoarjo, Jawa Timur 61262")</f>
        <v>HH8G+MQC, Areng Areng, Tropodo, Kec. Krian, Kabupaten Sidoarjo, Jawa Timur 61262</v>
      </c>
      <c r="W2943" s="211" t="str">
        <f>IFERROR(__xludf.DUMMYFUNCTION("""COMPUTED_VALUE"""),"IN")</f>
        <v>IN</v>
      </c>
      <c r="X2943" s="211"/>
    </row>
    <row r="2944">
      <c r="A2944" s="210" t="str">
        <f>IFERROR(__xludf.DUMMYFUNCTION("""COMPUTED_VALUE"""),"122512059")</f>
        <v>122512059</v>
      </c>
      <c r="B2944" s="210" t="str">
        <f>IFERROR(__xludf.DUMMYFUNCTION("""COMPUTED_VALUE"""),"122512059")</f>
        <v>122512059</v>
      </c>
      <c r="C2944" s="213">
        <f>IFERROR(__xludf.DUMMYFUNCTION("""COMPUTED_VALUE"""),46013.663298611114)</f>
        <v>46013.6633</v>
      </c>
      <c r="D2944" s="211" t="str">
        <f>IFERROR(__xludf.DUMMYFUNCTION("""COMPUTED_VALUE"""),"1f9fafcc")</f>
        <v>1f9fafcc</v>
      </c>
      <c r="E2944" s="211" t="str">
        <f>IFERROR(__xludf.DUMMYFUNCTION("""COMPUTED_VALUE"""),"Bpk. Roby (MJA)")</f>
        <v>Bpk. Roby (MJA)</v>
      </c>
      <c r="F2944" s="211" t="str">
        <f>IFERROR(__xludf.DUMMYFUNCTION("""COMPUTED_VALUE"""),"f6aab7a9")</f>
        <v>f6aab7a9</v>
      </c>
      <c r="G2944" s="211" t="str">
        <f>IFERROR(__xludf.DUMMYFUNCTION("""COMPUTED_VALUE"""),"Oksigen 6m3 MR")</f>
        <v>Oksigen 6m3 MR</v>
      </c>
      <c r="H2944" s="211" t="str">
        <f>IFERROR(__xludf.DUMMYFUNCTION("""COMPUTED_VALUE"""),"OUT")</f>
        <v>OUT</v>
      </c>
      <c r="I2944" s="211" t="str">
        <f>IFERROR(__xludf.DUMMYFUNCTION("""COMPUTED_VALUE"""),"NORMAL")</f>
        <v>NORMAL</v>
      </c>
      <c r="J2944" s="211">
        <f>IFERROR(__xludf.DUMMYFUNCTION("""COMPUTED_VALUE"""),1.0)</f>
        <v>1</v>
      </c>
      <c r="K2944" s="210" t="str">
        <f>IFERROR(__xludf.DUMMYFUNCTION("""COMPUTED_VALUE"""),"01")</f>
        <v>01</v>
      </c>
      <c r="L2944" s="211">
        <f>IFERROR(__xludf.DUMMYFUNCTION("""COMPUTED_VALUE"""),50000.0)</f>
        <v>50000</v>
      </c>
      <c r="M2944" s="211"/>
      <c r="N2944" s="211"/>
      <c r="O2944" s="211"/>
      <c r="Q2944" s="210" t="str">
        <f>IFERROR(__xludf.DUMMYFUNCTION("""COMPUTED_VALUE"""),"1261451")</f>
        <v>1261451</v>
      </c>
      <c r="R2944" s="210" t="str">
        <f>IFERROR(__xludf.DUMMYFUNCTION("""COMPUTED_VALUE"""),"1261451")</f>
        <v>1261451</v>
      </c>
      <c r="S2944" s="211" t="str">
        <f>IFERROR(__xludf.DUMMYFUNCTION("""COMPUTED_VALUE"""),"9828dfc5")</f>
        <v>9828dfc5</v>
      </c>
      <c r="T2944" s="211" t="str">
        <f>IFERROR(__xludf.DUMMYFUNCTION("""COMPUTED_VALUE"""),"Bpk. David")</f>
        <v>Bpk. David</v>
      </c>
      <c r="U2944" s="215">
        <f>IFERROR(__xludf.DUMMYFUNCTION("""COMPUTED_VALUE"""),46113.36697916667)</f>
        <v>46113.36698</v>
      </c>
      <c r="V2944" s="211" t="str">
        <f>IFERROR(__xludf.DUMMYFUNCTION("""COMPUTED_VALUE"""),"GHF3+R34, Jl. Kartini, Ngingas, Ngimbangan, Kec. Mojosari, Kabupaten Mojokerto, Jawa Timur 61382")</f>
        <v>GHF3+R34, Jl. Kartini, Ngingas, Ngimbangan, Kec. Mojosari, Kabupaten Mojokerto, Jawa Timur 61382</v>
      </c>
      <c r="W2944" s="211" t="str">
        <f>IFERROR(__xludf.DUMMYFUNCTION("""COMPUTED_VALUE"""),"IN")</f>
        <v>IN</v>
      </c>
      <c r="X2944" s="211"/>
    </row>
    <row r="2945">
      <c r="A2945" s="210" t="str">
        <f>IFERROR(__xludf.DUMMYFUNCTION("""COMPUTED_VALUE"""),"1250983")</f>
        <v>1250983</v>
      </c>
      <c r="B2945" s="210" t="str">
        <f>IFERROR(__xludf.DUMMYFUNCTION("""COMPUTED_VALUE"""),"1250983")</f>
        <v>1250983</v>
      </c>
      <c r="C2945" s="213">
        <f>IFERROR(__xludf.DUMMYFUNCTION("""COMPUTED_VALUE"""),46013.67648148148)</f>
        <v>46013.67648</v>
      </c>
      <c r="D2945" s="211" t="str">
        <f>IFERROR(__xludf.DUMMYFUNCTION("""COMPUTED_VALUE"""),"17a8e612")</f>
        <v>17a8e612</v>
      </c>
      <c r="E2945" s="211" t="str">
        <f>IFERROR(__xludf.DUMMYFUNCTION("""COMPUTED_VALUE"""),"Flashtech Machinery")</f>
        <v>Flashtech Machinery</v>
      </c>
      <c r="F2945" s="211" t="str">
        <f>IFERROR(__xludf.DUMMYFUNCTION("""COMPUTED_VALUE"""),"66af7c72")</f>
        <v>66af7c72</v>
      </c>
      <c r="G2945" s="211" t="str">
        <f>IFERROR(__xludf.DUMMYFUNCTION("""COMPUTED_VALUE"""),"Argon 6m3")</f>
        <v>Argon 6m3</v>
      </c>
      <c r="H2945" s="211" t="str">
        <f>IFERROR(__xludf.DUMMYFUNCTION("""COMPUTED_VALUE"""),"IN")</f>
        <v>IN</v>
      </c>
      <c r="I2945" s="211" t="str">
        <f>IFERROR(__xludf.DUMMYFUNCTION("""COMPUTED_VALUE"""),"EMPTY")</f>
        <v>EMPTY</v>
      </c>
      <c r="J2945" s="211">
        <f>IFERROR(__xludf.DUMMYFUNCTION("""COMPUTED_VALUE"""),2.0)</f>
        <v>2</v>
      </c>
      <c r="K2945" s="210" t="str">
        <f>IFERROR(__xludf.DUMMYFUNCTION("""COMPUTED_VALUE"""),"12012 12016")</f>
        <v>12012 12016</v>
      </c>
      <c r="L2945" s="211">
        <f>IFERROR(__xludf.DUMMYFUNCTION("""COMPUTED_VALUE"""),0.0)</f>
        <v>0</v>
      </c>
      <c r="M2945" s="211"/>
      <c r="N2945" s="211"/>
      <c r="O2945" s="211"/>
      <c r="Q2945" s="210" t="str">
        <f>IFERROR(__xludf.DUMMYFUNCTION("""COMPUTED_VALUE"""),"1261452")</f>
        <v>1261452</v>
      </c>
      <c r="R2945" s="210" t="str">
        <f>IFERROR(__xludf.DUMMYFUNCTION("""COMPUTED_VALUE"""),"1261452")</f>
        <v>1261452</v>
      </c>
      <c r="S2945" s="211" t="str">
        <f>IFERROR(__xludf.DUMMYFUNCTION("""COMPUTED_VALUE"""),"ba97d58d")</f>
        <v>ba97d58d</v>
      </c>
      <c r="T2945" s="211" t="str">
        <f>IFERROR(__xludf.DUMMYFUNCTION("""COMPUTED_VALUE"""),"Bengkel Citra Mojosari")</f>
        <v>Bengkel Citra Mojosari</v>
      </c>
      <c r="U2945" s="215">
        <f>IFERROR(__xludf.DUMMYFUNCTION("""COMPUTED_VALUE"""),46113.3674537037)</f>
        <v>46113.36745</v>
      </c>
      <c r="V2945" s="211" t="str">
        <f>IFERROR(__xludf.DUMMYFUNCTION("""COMPUTED_VALUE"""),"Jl. Raden Wijaya, Kemloko, Jotangan, Kec. Mojosari, Kabupaten Mojokerto, Jawa Timur 61382")</f>
        <v>Jl. Raden Wijaya, Kemloko, Jotangan, Kec. Mojosari, Kabupaten Mojokerto, Jawa Timur 61382</v>
      </c>
      <c r="W2945" s="211" t="str">
        <f>IFERROR(__xludf.DUMMYFUNCTION("""COMPUTED_VALUE"""),"IN")</f>
        <v>IN</v>
      </c>
      <c r="X2945" s="211"/>
    </row>
    <row r="2946">
      <c r="A2946" s="210" t="str">
        <f>IFERROR(__xludf.DUMMYFUNCTION("""COMPUTED_VALUE"""),"1250983")</f>
        <v>1250983</v>
      </c>
      <c r="B2946" s="210" t="str">
        <f>IFERROR(__xludf.DUMMYFUNCTION("""COMPUTED_VALUE"""),"1250983")</f>
        <v>1250983</v>
      </c>
      <c r="C2946" s="213">
        <f>IFERROR(__xludf.DUMMYFUNCTION("""COMPUTED_VALUE"""),46013.67648148148)</f>
        <v>46013.67648</v>
      </c>
      <c r="D2946" s="211" t="str">
        <f>IFERROR(__xludf.DUMMYFUNCTION("""COMPUTED_VALUE"""),"17a8e612")</f>
        <v>17a8e612</v>
      </c>
      <c r="E2946" s="211" t="str">
        <f>IFERROR(__xludf.DUMMYFUNCTION("""COMPUTED_VALUE"""),"Flashtech Machinery")</f>
        <v>Flashtech Machinery</v>
      </c>
      <c r="F2946" s="211" t="str">
        <f>IFERROR(__xludf.DUMMYFUNCTION("""COMPUTED_VALUE"""),"8bdbe149")</f>
        <v>8bdbe149</v>
      </c>
      <c r="G2946" s="211" t="str">
        <f>IFERROR(__xludf.DUMMYFUNCTION("""COMPUTED_VALUE"""),"Oksigen 6m3")</f>
        <v>Oksigen 6m3</v>
      </c>
      <c r="H2946" s="211" t="str">
        <f>IFERROR(__xludf.DUMMYFUNCTION("""COMPUTED_VALUE"""),"IN")</f>
        <v>IN</v>
      </c>
      <c r="I2946" s="211" t="str">
        <f>IFERROR(__xludf.DUMMYFUNCTION("""COMPUTED_VALUE"""),"EMPTY")</f>
        <v>EMPTY</v>
      </c>
      <c r="J2946" s="211">
        <f>IFERROR(__xludf.DUMMYFUNCTION("""COMPUTED_VALUE"""),1.0)</f>
        <v>1</v>
      </c>
      <c r="K2946" s="210" t="str">
        <f>IFERROR(__xludf.DUMMYFUNCTION("""COMPUTED_VALUE"""),"1144")</f>
        <v>1144</v>
      </c>
      <c r="L2946" s="211">
        <f>IFERROR(__xludf.DUMMYFUNCTION("""COMPUTED_VALUE"""),0.0)</f>
        <v>0</v>
      </c>
      <c r="M2946" s="211"/>
      <c r="N2946" s="211"/>
      <c r="O2946" s="211"/>
      <c r="Q2946" s="210" t="str">
        <f>IFERROR(__xludf.DUMMYFUNCTION("""COMPUTED_VALUE"""),"0426232941")</f>
        <v>0426232941</v>
      </c>
      <c r="R2946" s="210" t="str">
        <f>IFERROR(__xludf.DUMMYFUNCTION("""COMPUTED_VALUE"""),"0426232941")</f>
        <v>0426232941</v>
      </c>
      <c r="S2946" s="211" t="str">
        <f>IFERROR(__xludf.DUMMYFUNCTION("""COMPUTED_VALUE"""),"a0f0ad2d")</f>
        <v>a0f0ad2d</v>
      </c>
      <c r="T2946" s="211" t="str">
        <f>IFERROR(__xludf.DUMMYFUNCTION("""COMPUTED_VALUE"""),"CV. Yulie Jaya")</f>
        <v>CV. Yulie Jaya</v>
      </c>
      <c r="U2946" s="215">
        <f>IFERROR(__xludf.DUMMYFUNCTION("""COMPUTED_VALUE"""),46113.369780092595)</f>
        <v>46113.36978</v>
      </c>
      <c r="V2946" s="211" t="str">
        <f>IFERROR(__xludf.DUMMYFUNCTION("""COMPUTED_VALUE"""),"JJH4+6RV, Badas, Barengkrajan, Kec. Krian, Kabupaten Sidoarjo, Jawa Timur 61262")</f>
        <v>JJH4+6RV, Badas, Barengkrajan, Kec. Krian, Kabupaten Sidoarjo, Jawa Timur 61262</v>
      </c>
      <c r="W2946" s="211" t="str">
        <f>IFERROR(__xludf.DUMMYFUNCTION("""COMPUTED_VALUE"""),"OUT")</f>
        <v>OUT</v>
      </c>
      <c r="X2946" s="211"/>
    </row>
    <row r="2947">
      <c r="A2947" s="210" t="str">
        <f>IFERROR(__xludf.DUMMYFUNCTION("""COMPUTED_VALUE"""),"1250993")</f>
        <v>1250993</v>
      </c>
      <c r="B2947" s="210" t="str">
        <f>IFERROR(__xludf.DUMMYFUNCTION("""COMPUTED_VALUE"""),"1250993")</f>
        <v>1250993</v>
      </c>
      <c r="C2947" s="213">
        <f>IFERROR(__xludf.DUMMYFUNCTION("""COMPUTED_VALUE"""),46013.71655092593)</f>
        <v>46013.71655</v>
      </c>
      <c r="D2947" s="211" t="str">
        <f>IFERROR(__xludf.DUMMYFUNCTION("""COMPUTED_VALUE"""),"b2b5f2c5")</f>
        <v>b2b5f2c5</v>
      </c>
      <c r="E2947" s="211" t="str">
        <f>IFERROR(__xludf.DUMMYFUNCTION("""COMPUTED_VALUE"""),"Bengkel Las Bpk. Ari")</f>
        <v>Bengkel Las Bpk. Ari</v>
      </c>
      <c r="F2947" s="211" t="str">
        <f>IFERROR(__xludf.DUMMYFUNCTION("""COMPUTED_VALUE"""),"ef306e54")</f>
        <v>ef306e54</v>
      </c>
      <c r="G2947" s="211" t="str">
        <f>IFERROR(__xludf.DUMMYFUNCTION("""COMPUTED_VALUE"""),"Karbondioksida")</f>
        <v>Karbondioksida</v>
      </c>
      <c r="H2947" s="211" t="str">
        <f>IFERROR(__xludf.DUMMYFUNCTION("""COMPUTED_VALUE"""),"IN")</f>
        <v>IN</v>
      </c>
      <c r="I2947" s="211" t="str">
        <f>IFERROR(__xludf.DUMMYFUNCTION("""COMPUTED_VALUE"""),"EMPTY")</f>
        <v>EMPTY</v>
      </c>
      <c r="J2947" s="211">
        <f>IFERROR(__xludf.DUMMYFUNCTION("""COMPUTED_VALUE"""),3.0)</f>
        <v>3</v>
      </c>
      <c r="K2947" s="210" t="str">
        <f>IFERROR(__xludf.DUMMYFUNCTION("""COMPUTED_VALUE"""),"13030 13017 13061")</f>
        <v>13030 13017 13061</v>
      </c>
      <c r="L2947" s="211">
        <f>IFERROR(__xludf.DUMMYFUNCTION("""COMPUTED_VALUE"""),0.0)</f>
        <v>0</v>
      </c>
      <c r="M2947" s="211"/>
      <c r="N2947" s="211"/>
      <c r="O2947" s="211"/>
      <c r="Q2947" s="210" t="str">
        <f>IFERROR(__xludf.DUMMYFUNCTION("""COMPUTED_VALUE"""),"0426142947")</f>
        <v>0426142947</v>
      </c>
      <c r="R2947" s="210" t="str">
        <f>IFERROR(__xludf.DUMMYFUNCTION("""COMPUTED_VALUE"""),"0426142947")</f>
        <v>0426142947</v>
      </c>
      <c r="S2947" s="211" t="str">
        <f>IFERROR(__xludf.DUMMYFUNCTION("""COMPUTED_VALUE"""),"03ff52db")</f>
        <v>03ff52db</v>
      </c>
      <c r="T2947" s="211" t="str">
        <f>IFERROR(__xludf.DUMMYFUNCTION("""COMPUTED_VALUE"""),"Aneka Teknik Logam")</f>
        <v>Aneka Teknik Logam</v>
      </c>
      <c r="U2947" s="215">
        <f>IFERROR(__xludf.DUMMYFUNCTION("""COMPUTED_VALUE"""),46113.44144675926)</f>
        <v>46113.44145</v>
      </c>
      <c r="V2947" s="211" t="str">
        <f>IFERROR(__xludf.DUMMYFUNCTION("""COMPUTED_VALUE"""),"HH8G+MQC, Areng Areng, Tropodo, Kec. Krian, Kabupaten Sidoarjo, Jawa Timur 61262")</f>
        <v>HH8G+MQC, Areng Areng, Tropodo, Kec. Krian, Kabupaten Sidoarjo, Jawa Timur 61262</v>
      </c>
      <c r="W2947" s="211" t="str">
        <f>IFERROR(__xludf.DUMMYFUNCTION("""COMPUTED_VALUE"""),"OUT")</f>
        <v>OUT</v>
      </c>
      <c r="X2947" s="211"/>
    </row>
    <row r="2948">
      <c r="A2948" s="210" t="str">
        <f>IFERROR(__xludf.DUMMYFUNCTION("""COMPUTED_VALUE"""),"1250993")</f>
        <v>1250993</v>
      </c>
      <c r="B2948" s="210" t="str">
        <f>IFERROR(__xludf.DUMMYFUNCTION("""COMPUTED_VALUE"""),"1250993")</f>
        <v>1250993</v>
      </c>
      <c r="C2948" s="213">
        <f>IFERROR(__xludf.DUMMYFUNCTION("""COMPUTED_VALUE"""),46013.71655092593)</f>
        <v>46013.71655</v>
      </c>
      <c r="D2948" s="211" t="str">
        <f>IFERROR(__xludf.DUMMYFUNCTION("""COMPUTED_VALUE"""),"b2b5f2c5")</f>
        <v>b2b5f2c5</v>
      </c>
      <c r="E2948" s="211" t="str">
        <f>IFERROR(__xludf.DUMMYFUNCTION("""COMPUTED_VALUE"""),"Bengkel Las Bpk. Ari")</f>
        <v>Bengkel Las Bpk. Ari</v>
      </c>
      <c r="F2948" s="211" t="str">
        <f>IFERROR(__xludf.DUMMYFUNCTION("""COMPUTED_VALUE"""),"8bdbe149")</f>
        <v>8bdbe149</v>
      </c>
      <c r="G2948" s="211" t="str">
        <f>IFERROR(__xludf.DUMMYFUNCTION("""COMPUTED_VALUE"""),"Oksigen 6m3")</f>
        <v>Oksigen 6m3</v>
      </c>
      <c r="H2948" s="211" t="str">
        <f>IFERROR(__xludf.DUMMYFUNCTION("""COMPUTED_VALUE"""),"IN")</f>
        <v>IN</v>
      </c>
      <c r="I2948" s="211" t="str">
        <f>IFERROR(__xludf.DUMMYFUNCTION("""COMPUTED_VALUE"""),"EMPTY")</f>
        <v>EMPTY</v>
      </c>
      <c r="J2948" s="211">
        <f>IFERROR(__xludf.DUMMYFUNCTION("""COMPUTED_VALUE"""),5.0)</f>
        <v>5</v>
      </c>
      <c r="K2948" s="210" t="str">
        <f>IFERROR(__xludf.DUMMYFUNCTION("""COMPUTED_VALUE"""),"1190 11234 11184 11127 1142")</f>
        <v>1190 11234 11184 11127 1142</v>
      </c>
      <c r="L2948" s="211">
        <f>IFERROR(__xludf.DUMMYFUNCTION("""COMPUTED_VALUE"""),0.0)</f>
        <v>0</v>
      </c>
      <c r="M2948" s="211"/>
      <c r="N2948" s="211"/>
      <c r="O2948" s="211"/>
      <c r="Q2948" s="210" t="str">
        <f>IFERROR(__xludf.DUMMYFUNCTION("""COMPUTED_VALUE"""),"1261455")</f>
        <v>1261455</v>
      </c>
      <c r="R2948" s="210" t="str">
        <f>IFERROR(__xludf.DUMMYFUNCTION("""COMPUTED_VALUE"""),"1261455")</f>
        <v>1261455</v>
      </c>
      <c r="S2948" s="211" t="str">
        <f>IFERROR(__xludf.DUMMYFUNCTION("""COMPUTED_VALUE"""),"1c4d5e93")</f>
        <v>1c4d5e93</v>
      </c>
      <c r="T2948" s="211" t="str">
        <f>IFERROR(__xludf.DUMMYFUNCTION("""COMPUTED_VALUE"""),"Karoseri Cipta Mitra Sukses")</f>
        <v>Karoseri Cipta Mitra Sukses</v>
      </c>
      <c r="U2948" s="215">
        <f>IFERROR(__xludf.DUMMYFUNCTION("""COMPUTED_VALUE"""),46113.44327546296)</f>
        <v>46113.44328</v>
      </c>
      <c r="V2948" s="211" t="str">
        <f>IFERROR(__xludf.DUMMYFUNCTION("""COMPUTED_VALUE"""),"JL. Bypass Krian No. 7800, Blok B No 11. Barengkrajan, Kec. Krian, Kabupaten Sidoarjo, Jawa Timur  61262")</f>
        <v>JL. Bypass Krian No. 7800, Blok B No 11. Barengkrajan, Kec. Krian, Kabupaten Sidoarjo, Jawa Timur  61262</v>
      </c>
      <c r="W2948" s="211" t="str">
        <f>IFERROR(__xludf.DUMMYFUNCTION("""COMPUTED_VALUE"""),"IN")</f>
        <v>IN</v>
      </c>
      <c r="X2948" s="211"/>
    </row>
    <row r="2949">
      <c r="A2949" s="210" t="str">
        <f>IFERROR(__xludf.DUMMYFUNCTION("""COMPUTED_VALUE"""),"1250993")</f>
        <v>1250993</v>
      </c>
      <c r="B2949" s="210" t="str">
        <f>IFERROR(__xludf.DUMMYFUNCTION("""COMPUTED_VALUE"""),"1250993")</f>
        <v>1250993</v>
      </c>
      <c r="C2949" s="213">
        <f>IFERROR(__xludf.DUMMYFUNCTION("""COMPUTED_VALUE"""),46013.71655092593)</f>
        <v>46013.71655</v>
      </c>
      <c r="D2949" s="211" t="str">
        <f>IFERROR(__xludf.DUMMYFUNCTION("""COMPUTED_VALUE"""),"b2b5f2c5")</f>
        <v>b2b5f2c5</v>
      </c>
      <c r="E2949" s="211" t="str">
        <f>IFERROR(__xludf.DUMMYFUNCTION("""COMPUTED_VALUE"""),"Bengkel Las Bpk. Ari")</f>
        <v>Bengkel Las Bpk. Ari</v>
      </c>
      <c r="F2949" s="211" t="str">
        <f>IFERROR(__xludf.DUMMYFUNCTION("""COMPUTED_VALUE"""),"7d2764f1")</f>
        <v>7d2764f1</v>
      </c>
      <c r="G2949" s="211" t="str">
        <f>IFERROR(__xludf.DUMMYFUNCTION("""COMPUTED_VALUE"""),"Oksigen 7m3")</f>
        <v>Oksigen 7m3</v>
      </c>
      <c r="H2949" s="211" t="str">
        <f>IFERROR(__xludf.DUMMYFUNCTION("""COMPUTED_VALUE"""),"IN")</f>
        <v>IN</v>
      </c>
      <c r="I2949" s="211" t="str">
        <f>IFERROR(__xludf.DUMMYFUNCTION("""COMPUTED_VALUE"""),"EMPTY")</f>
        <v>EMPTY</v>
      </c>
      <c r="J2949" s="211">
        <f>IFERROR(__xludf.DUMMYFUNCTION("""COMPUTED_VALUE"""),2.0)</f>
        <v>2</v>
      </c>
      <c r="K2949" s="210" t="str">
        <f>IFERROR(__xludf.DUMMYFUNCTION("""COMPUTED_VALUE"""),"11174 11269")</f>
        <v>11174 11269</v>
      </c>
      <c r="L2949" s="211">
        <f>IFERROR(__xludf.DUMMYFUNCTION("""COMPUTED_VALUE"""),0.0)</f>
        <v>0</v>
      </c>
      <c r="M2949" s="211"/>
      <c r="N2949" s="211"/>
      <c r="O2949" s="211"/>
      <c r="Q2949" s="210" t="str">
        <f>IFERROR(__xludf.DUMMYFUNCTION("""COMPUTED_VALUE"""),"0426792948")</f>
        <v>0426792948</v>
      </c>
      <c r="R2949" s="210" t="str">
        <f>IFERROR(__xludf.DUMMYFUNCTION("""COMPUTED_VALUE"""),"0426792948")</f>
        <v>0426792948</v>
      </c>
      <c r="S2949" s="211" t="str">
        <f>IFERROR(__xludf.DUMMYFUNCTION("""COMPUTED_VALUE"""),"e86baf3b")</f>
        <v>e86baf3b</v>
      </c>
      <c r="T2949" s="211" t="str">
        <f>IFERROR(__xludf.DUMMYFUNCTION("""COMPUTED_VALUE"""),"PT GEMILANG CIPTA WAWASAN")</f>
        <v>PT GEMILANG CIPTA WAWASAN</v>
      </c>
      <c r="U2949" s="215">
        <f>IFERROR(__xludf.DUMMYFUNCTION("""COMPUTED_VALUE"""),46113.44699074074)</f>
        <v>46113.44699</v>
      </c>
      <c r="V2949" s="211" t="str">
        <f>IFERROR(__xludf.DUMMYFUNCTION("""COMPUTED_VALUE"""),"JL TEBET RAYA, 2A, TEBET BARAT, TEBET, KOTA ADM, JAKARTA SELATAN, DKI JAKARTA")</f>
        <v>JL TEBET RAYA, 2A, TEBET BARAT, TEBET, KOTA ADM, JAKARTA SELATAN, DKI JAKARTA</v>
      </c>
      <c r="W2949" s="211" t="str">
        <f>IFERROR(__xludf.DUMMYFUNCTION("""COMPUTED_VALUE"""),"OUT")</f>
        <v>OUT</v>
      </c>
      <c r="X2949" s="211"/>
    </row>
    <row r="2950">
      <c r="A2950" s="210" t="str">
        <f>IFERROR(__xludf.DUMMYFUNCTION("""COMPUTED_VALUE"""),"1250991")</f>
        <v>1250991</v>
      </c>
      <c r="B2950" s="210" t="str">
        <f>IFERROR(__xludf.DUMMYFUNCTION("""COMPUTED_VALUE"""),"1250991")</f>
        <v>1250991</v>
      </c>
      <c r="C2950" s="213">
        <f>IFERROR(__xludf.DUMMYFUNCTION("""COMPUTED_VALUE"""),46013.7193287037)</f>
        <v>46013.71933</v>
      </c>
      <c r="D2950" s="211" t="str">
        <f>IFERROR(__xludf.DUMMYFUNCTION("""COMPUTED_VALUE"""),"9828dfc5")</f>
        <v>9828dfc5</v>
      </c>
      <c r="E2950" s="211" t="str">
        <f>IFERROR(__xludf.DUMMYFUNCTION("""COMPUTED_VALUE"""),"Bpk. David")</f>
        <v>Bpk. David</v>
      </c>
      <c r="F2950" s="211" t="str">
        <f>IFERROR(__xludf.DUMMYFUNCTION("""COMPUTED_VALUE"""),"8bdbe149")</f>
        <v>8bdbe149</v>
      </c>
      <c r="G2950" s="211" t="str">
        <f>IFERROR(__xludf.DUMMYFUNCTION("""COMPUTED_VALUE"""),"Oksigen 6m3")</f>
        <v>Oksigen 6m3</v>
      </c>
      <c r="H2950" s="211" t="str">
        <f>IFERROR(__xludf.DUMMYFUNCTION("""COMPUTED_VALUE"""),"IN")</f>
        <v>IN</v>
      </c>
      <c r="I2950" s="211" t="str">
        <f>IFERROR(__xludf.DUMMYFUNCTION("""COMPUTED_VALUE"""),"EMPTY")</f>
        <v>EMPTY</v>
      </c>
      <c r="J2950" s="211">
        <f>IFERROR(__xludf.DUMMYFUNCTION("""COMPUTED_VALUE"""),3.0)</f>
        <v>3</v>
      </c>
      <c r="K2950" s="210" t="str">
        <f>IFERROR(__xludf.DUMMYFUNCTION("""COMPUTED_VALUE"""),"11277 11202 11212")</f>
        <v>11277 11202 11212</v>
      </c>
      <c r="L2950" s="211">
        <f>IFERROR(__xludf.DUMMYFUNCTION("""COMPUTED_VALUE"""),0.0)</f>
        <v>0</v>
      </c>
      <c r="M2950" s="211"/>
      <c r="N2950" s="211"/>
      <c r="O2950" s="211"/>
      <c r="Q2950" s="210" t="str">
        <f>IFERROR(__xludf.DUMMYFUNCTION("""COMPUTED_VALUE"""),"1261479")</f>
        <v>1261479</v>
      </c>
      <c r="R2950" s="210" t="str">
        <f>IFERROR(__xludf.DUMMYFUNCTION("""COMPUTED_VALUE"""),"1261479")</f>
        <v>1261479</v>
      </c>
      <c r="S2950" s="211" t="str">
        <f>IFERROR(__xludf.DUMMYFUNCTION("""COMPUTED_VALUE"""),"d9b2fac5")</f>
        <v>d9b2fac5</v>
      </c>
      <c r="T2950" s="211" t="str">
        <f>IFERROR(__xludf.DUMMYFUNCTION("""COMPUTED_VALUE"""),"Dwi Riza ( Ponokawan)")</f>
        <v>Dwi Riza ( Ponokawan)</v>
      </c>
      <c r="U2950" s="215">
        <f>IFERROR(__xludf.DUMMYFUNCTION("""COMPUTED_VALUE"""),46113.46842592592)</f>
        <v>46113.46843</v>
      </c>
      <c r="V2950" s="211" t="str">
        <f>IFERROR(__xludf.DUMMYFUNCTION("""COMPUTED_VALUE"""),"Jl. Raya Ponokawan No.28 RT 07 RW 03 Kec. Krian Sidoarjo (Seberang Bengkel An.Nur/ Deretan Baraka Expres)")</f>
        <v>Jl. Raya Ponokawan No.28 RT 07 RW 03 Kec. Krian Sidoarjo (Seberang Bengkel An.Nur/ Deretan Baraka Expres)</v>
      </c>
      <c r="W2950" s="211" t="str">
        <f>IFERROR(__xludf.DUMMYFUNCTION("""COMPUTED_VALUE"""),"IN")</f>
        <v>IN</v>
      </c>
      <c r="X2950" s="211"/>
    </row>
    <row r="2951">
      <c r="A2951" s="210" t="str">
        <f>IFERROR(__xludf.DUMMYFUNCTION("""COMPUTED_VALUE"""),"1250992")</f>
        <v>1250992</v>
      </c>
      <c r="B2951" s="210" t="str">
        <f>IFERROR(__xludf.DUMMYFUNCTION("""COMPUTED_VALUE"""),"1250992")</f>
        <v>1250992</v>
      </c>
      <c r="C2951" s="213">
        <f>IFERROR(__xludf.DUMMYFUNCTION("""COMPUTED_VALUE"""),46013.720358796294)</f>
        <v>46013.72036</v>
      </c>
      <c r="D2951" s="211" t="str">
        <f>IFERROR(__xludf.DUMMYFUNCTION("""COMPUTED_VALUE"""),"1a1efff9")</f>
        <v>1a1efff9</v>
      </c>
      <c r="E2951" s="211" t="str">
        <f>IFERROR(__xludf.DUMMYFUNCTION("""COMPUTED_VALUE"""),"Bpk. Gito Mjs")</f>
        <v>Bpk. Gito Mjs</v>
      </c>
      <c r="F2951" s="211" t="str">
        <f>IFERROR(__xludf.DUMMYFUNCTION("""COMPUTED_VALUE"""),"8bdbe149")</f>
        <v>8bdbe149</v>
      </c>
      <c r="G2951" s="211" t="str">
        <f>IFERROR(__xludf.DUMMYFUNCTION("""COMPUTED_VALUE"""),"Oksigen 6m3")</f>
        <v>Oksigen 6m3</v>
      </c>
      <c r="H2951" s="211" t="str">
        <f>IFERROR(__xludf.DUMMYFUNCTION("""COMPUTED_VALUE"""),"IN")</f>
        <v>IN</v>
      </c>
      <c r="I2951" s="211" t="str">
        <f>IFERROR(__xludf.DUMMYFUNCTION("""COMPUTED_VALUE"""),"EMPTY")</f>
        <v>EMPTY</v>
      </c>
      <c r="J2951" s="211">
        <f>IFERROR(__xludf.DUMMYFUNCTION("""COMPUTED_VALUE"""),1.0)</f>
        <v>1</v>
      </c>
      <c r="K2951" s="210" t="str">
        <f>IFERROR(__xludf.DUMMYFUNCTION("""COMPUTED_VALUE"""),"11205")</f>
        <v>11205</v>
      </c>
      <c r="L2951" s="211">
        <f>IFERROR(__xludf.DUMMYFUNCTION("""COMPUTED_VALUE"""),0.0)</f>
        <v>0</v>
      </c>
      <c r="M2951" s="211"/>
      <c r="N2951" s="211"/>
      <c r="O2951" s="211"/>
      <c r="Q2951" s="210" t="str">
        <f>IFERROR(__xludf.DUMMYFUNCTION("""COMPUTED_VALUE"""),"0426502950")</f>
        <v>0426502950</v>
      </c>
      <c r="R2951" s="210" t="str">
        <f>IFERROR(__xludf.DUMMYFUNCTION("""COMPUTED_VALUE"""),"0426502950")</f>
        <v>0426502950</v>
      </c>
      <c r="S2951" s="211" t="str">
        <f>IFERROR(__xludf.DUMMYFUNCTION("""COMPUTED_VALUE"""),"ec231cc9")</f>
        <v>ec231cc9</v>
      </c>
      <c r="T2951" s="211" t="str">
        <f>IFERROR(__xludf.DUMMYFUNCTION("""COMPUTED_VALUE"""),"Bpk. Kadir (Maintenance Velg)")</f>
        <v>Bpk. Kadir (Maintenance Velg)</v>
      </c>
      <c r="U2951" s="215">
        <f>IFERROR(__xludf.DUMMYFUNCTION("""COMPUTED_VALUE"""),46113.597546296296)</f>
        <v>46113.59755</v>
      </c>
      <c r="V2951" s="211" t="str">
        <f>IFERROR(__xludf.DUMMYFUNCTION("""COMPUTED_VALUE"""),"Jl. Lkr. Bypass Krian Timur, Sidogolong, Watugolong, Kec. Krian, Kabupaten Sidoarjo, Jawa Timur 61262")</f>
        <v>Jl. Lkr. Bypass Krian Timur, Sidogolong, Watugolong, Kec. Krian, Kabupaten Sidoarjo, Jawa Timur 61262</v>
      </c>
      <c r="W2951" s="211" t="str">
        <f>IFERROR(__xludf.DUMMYFUNCTION("""COMPUTED_VALUE"""),"OUT")</f>
        <v>OUT</v>
      </c>
      <c r="X2951" s="211"/>
    </row>
    <row r="2952">
      <c r="A2952" s="210" t="str">
        <f>IFERROR(__xludf.DUMMYFUNCTION("""COMPUTED_VALUE"""),"122582061")</f>
        <v>122582061</v>
      </c>
      <c r="B2952" s="210" t="str">
        <f>IFERROR(__xludf.DUMMYFUNCTION("""COMPUTED_VALUE"""),"122582061")</f>
        <v>122582061</v>
      </c>
      <c r="C2952" s="213">
        <f>IFERROR(__xludf.DUMMYFUNCTION("""COMPUTED_VALUE"""),46014.34872685185)</f>
        <v>46014.34873</v>
      </c>
      <c r="D2952" s="211" t="str">
        <f>IFERROR(__xludf.DUMMYFUNCTION("""COMPUTED_VALUE"""),"3b04351a")</f>
        <v>3b04351a</v>
      </c>
      <c r="E2952" s="211" t="str">
        <f>IFERROR(__xludf.DUMMYFUNCTION("""COMPUTED_VALUE"""),"CV Usaha Logam Jaya ( Bpk Putra )")</f>
        <v>CV Usaha Logam Jaya ( Bpk Putra )</v>
      </c>
      <c r="F2952" s="211" t="str">
        <f>IFERROR(__xludf.DUMMYFUNCTION("""COMPUTED_VALUE"""),"be525f3b")</f>
        <v>be525f3b</v>
      </c>
      <c r="G2952" s="211" t="str">
        <f>IFERROR(__xludf.DUMMYFUNCTION("""COMPUTED_VALUE"""),"LPG 12kg")</f>
        <v>LPG 12kg</v>
      </c>
      <c r="H2952" s="211" t="str">
        <f>IFERROR(__xludf.DUMMYFUNCTION("""COMPUTED_VALUE"""),"OUT")</f>
        <v>OUT</v>
      </c>
      <c r="I2952" s="211" t="str">
        <f>IFERROR(__xludf.DUMMYFUNCTION("""COMPUTED_VALUE"""),"NORMAL")</f>
        <v>NORMAL</v>
      </c>
      <c r="J2952" s="211">
        <f>IFERROR(__xludf.DUMMYFUNCTION("""COMPUTED_VALUE"""),2.0)</f>
        <v>2</v>
      </c>
      <c r="K2952" s="210" t="str">
        <f>IFERROR(__xludf.DUMMYFUNCTION("""COMPUTED_VALUE"""),"01 02")</f>
        <v>01 02</v>
      </c>
      <c r="L2952" s="211">
        <f>IFERROR(__xludf.DUMMYFUNCTION("""COMPUTED_VALUE"""),210000.0)</f>
        <v>210000</v>
      </c>
      <c r="M2952" s="211"/>
      <c r="N2952" s="211"/>
      <c r="O2952" s="211"/>
      <c r="Q2952" s="210" t="str">
        <f>IFERROR(__xludf.DUMMYFUNCTION("""COMPUTED_VALUE"""),"042612952")</f>
        <v>042612952</v>
      </c>
      <c r="R2952" s="210" t="str">
        <f>IFERROR(__xludf.DUMMYFUNCTION("""COMPUTED_VALUE"""),"042612952")</f>
        <v>042612952</v>
      </c>
      <c r="S2952" s="211" t="str">
        <f>IFERROR(__xludf.DUMMYFUNCTION("""COMPUTED_VALUE"""),"0fb2135d")</f>
        <v>0fb2135d</v>
      </c>
      <c r="T2952" s="211" t="str">
        <f>IFERROR(__xludf.DUMMYFUNCTION("""COMPUTED_VALUE"""),"PT Toya Indo Manunggal")</f>
        <v>PT Toya Indo Manunggal</v>
      </c>
      <c r="U2952" s="215">
        <f>IFERROR(__xludf.DUMMYFUNCTION("""COMPUTED_VALUE"""),46113.60078703704)</f>
        <v>46113.60079</v>
      </c>
      <c r="V2952" s="211" t="str">
        <f>IFERROR(__xludf.DUMMYFUNCTION("""COMPUTED_VALUE"""),"Bakalan Wringinpitum, Kec. Balongbendo, Kabupaten Sidoarjo, Jawa Timur")</f>
        <v>Bakalan Wringinpitum, Kec. Balongbendo, Kabupaten Sidoarjo, Jawa Timur</v>
      </c>
      <c r="W2952" s="211" t="str">
        <f>IFERROR(__xludf.DUMMYFUNCTION("""COMPUTED_VALUE"""),"OUT")</f>
        <v>OUT</v>
      </c>
      <c r="X2952" s="211"/>
    </row>
    <row r="2953">
      <c r="A2953" s="210" t="str">
        <f>IFERROR(__xludf.DUMMYFUNCTION("""COMPUTED_VALUE"""),"122582061")</f>
        <v>122582061</v>
      </c>
      <c r="B2953" s="210" t="str">
        <f>IFERROR(__xludf.DUMMYFUNCTION("""COMPUTED_VALUE"""),"122582061")</f>
        <v>122582061</v>
      </c>
      <c r="C2953" s="213">
        <f>IFERROR(__xludf.DUMMYFUNCTION("""COMPUTED_VALUE"""),46014.34872685185)</f>
        <v>46014.34873</v>
      </c>
      <c r="D2953" s="211" t="str">
        <f>IFERROR(__xludf.DUMMYFUNCTION("""COMPUTED_VALUE"""),"3b04351a")</f>
        <v>3b04351a</v>
      </c>
      <c r="E2953" s="211" t="str">
        <f>IFERROR(__xludf.DUMMYFUNCTION("""COMPUTED_VALUE"""),"CV Usaha Logam Jaya ( Bpk Putra )")</f>
        <v>CV Usaha Logam Jaya ( Bpk Putra )</v>
      </c>
      <c r="F2953" s="211" t="str">
        <f>IFERROR(__xludf.DUMMYFUNCTION("""COMPUTED_VALUE"""),"8bdbe149")</f>
        <v>8bdbe149</v>
      </c>
      <c r="G2953" s="211" t="str">
        <f>IFERROR(__xludf.DUMMYFUNCTION("""COMPUTED_VALUE"""),"Oksigen 6m3")</f>
        <v>Oksigen 6m3</v>
      </c>
      <c r="H2953" s="211" t="str">
        <f>IFERROR(__xludf.DUMMYFUNCTION("""COMPUTED_VALUE"""),"OUT")</f>
        <v>OUT</v>
      </c>
      <c r="I2953" s="211" t="str">
        <f>IFERROR(__xludf.DUMMYFUNCTION("""COMPUTED_VALUE"""),"NORMAL")</f>
        <v>NORMAL</v>
      </c>
      <c r="J2953" s="211">
        <f>IFERROR(__xludf.DUMMYFUNCTION("""COMPUTED_VALUE"""),9.0)</f>
        <v>9</v>
      </c>
      <c r="K2953" s="210" t="str">
        <f>IFERROR(__xludf.DUMMYFUNCTION("""COMPUTED_VALUE"""),"11205 11202 11121 11248 11242 1170 11266 11200 1190")</f>
        <v>11205 11202 11121 11248 11242 1170 11266 11200 1190</v>
      </c>
      <c r="L2953" s="211">
        <f>IFERROR(__xludf.DUMMYFUNCTION("""COMPUTED_VALUE"""),60000.0)</f>
        <v>60000</v>
      </c>
      <c r="M2953" s="211"/>
      <c r="N2953" s="211"/>
      <c r="O2953" s="211"/>
      <c r="Q2953" s="210" t="str">
        <f>IFERROR(__xludf.DUMMYFUNCTION("""COMPUTED_VALUE"""),"1261456")</f>
        <v>1261456</v>
      </c>
      <c r="R2953" s="210" t="str">
        <f>IFERROR(__xludf.DUMMYFUNCTION("""COMPUTED_VALUE"""),"1261456")</f>
        <v>1261456</v>
      </c>
      <c r="S2953" s="211" t="str">
        <f>IFERROR(__xludf.DUMMYFUNCTION("""COMPUTED_VALUE"""),"03ff52db")</f>
        <v>03ff52db</v>
      </c>
      <c r="T2953" s="211" t="str">
        <f>IFERROR(__xludf.DUMMYFUNCTION("""COMPUTED_VALUE"""),"Aneka Teknik Logam")</f>
        <v>Aneka Teknik Logam</v>
      </c>
      <c r="U2953" s="215">
        <f>IFERROR(__xludf.DUMMYFUNCTION("""COMPUTED_VALUE"""),46113.60644675926)</f>
        <v>46113.60645</v>
      </c>
      <c r="V2953" s="211" t="str">
        <f>IFERROR(__xludf.DUMMYFUNCTION("""COMPUTED_VALUE"""),"HH8G+MQC, Areng Areng, Tropodo, Kec. Krian, Kabupaten Sidoarjo, Jawa Timur 61262")</f>
        <v>HH8G+MQC, Areng Areng, Tropodo, Kec. Krian, Kabupaten Sidoarjo, Jawa Timur 61262</v>
      </c>
      <c r="W2953" s="211" t="str">
        <f>IFERROR(__xludf.DUMMYFUNCTION("""COMPUTED_VALUE"""),"IN")</f>
        <v>IN</v>
      </c>
      <c r="X2953" s="211"/>
    </row>
    <row r="2954">
      <c r="A2954" s="210" t="str">
        <f>IFERROR(__xludf.DUMMYFUNCTION("""COMPUTED_VALUE"""),"122582061")</f>
        <v>122582061</v>
      </c>
      <c r="B2954" s="210" t="str">
        <f>IFERROR(__xludf.DUMMYFUNCTION("""COMPUTED_VALUE"""),"122582061")</f>
        <v>122582061</v>
      </c>
      <c r="C2954" s="213">
        <f>IFERROR(__xludf.DUMMYFUNCTION("""COMPUTED_VALUE"""),46014.34872685185)</f>
        <v>46014.34873</v>
      </c>
      <c r="D2954" s="211" t="str">
        <f>IFERROR(__xludf.DUMMYFUNCTION("""COMPUTED_VALUE"""),"3b04351a")</f>
        <v>3b04351a</v>
      </c>
      <c r="E2954" s="211" t="str">
        <f>IFERROR(__xludf.DUMMYFUNCTION("""COMPUTED_VALUE"""),"CV Usaha Logam Jaya ( Bpk Putra )")</f>
        <v>CV Usaha Logam Jaya ( Bpk Putra )</v>
      </c>
      <c r="F2954" s="211" t="str">
        <f>IFERROR(__xludf.DUMMYFUNCTION("""COMPUTED_VALUE"""),"7d2764f1")</f>
        <v>7d2764f1</v>
      </c>
      <c r="G2954" s="211" t="str">
        <f>IFERROR(__xludf.DUMMYFUNCTION("""COMPUTED_VALUE"""),"Oksigen 7m3")</f>
        <v>Oksigen 7m3</v>
      </c>
      <c r="H2954" s="211" t="str">
        <f>IFERROR(__xludf.DUMMYFUNCTION("""COMPUTED_VALUE"""),"OUT")</f>
        <v>OUT</v>
      </c>
      <c r="I2954" s="211" t="str">
        <f>IFERROR(__xludf.DUMMYFUNCTION("""COMPUTED_VALUE"""),"NORMAL")</f>
        <v>NORMAL</v>
      </c>
      <c r="J2954" s="211">
        <f>IFERROR(__xludf.DUMMYFUNCTION("""COMPUTED_VALUE"""),11.0)</f>
        <v>11</v>
      </c>
      <c r="K2954" s="210" t="str">
        <f>IFERROR(__xludf.DUMMYFUNCTION("""COMPUTED_VALUE"""),"11188 11269 11212 11137 11174 11302 11162 11152 11153 11160 11135")</f>
        <v>11188 11269 11212 11137 11174 11302 11162 11152 11153 11160 11135</v>
      </c>
      <c r="L2954" s="211">
        <f>IFERROR(__xludf.DUMMYFUNCTION("""COMPUTED_VALUE"""),60000.0)</f>
        <v>60000</v>
      </c>
      <c r="M2954" s="211"/>
      <c r="N2954" s="211"/>
      <c r="O2954" s="211"/>
      <c r="Q2954" s="210" t="str">
        <f>IFERROR(__xludf.DUMMYFUNCTION("""COMPUTED_VALUE"""),"1261480")</f>
        <v>1261480</v>
      </c>
      <c r="R2954" s="210" t="str">
        <f>IFERROR(__xludf.DUMMYFUNCTION("""COMPUTED_VALUE"""),"1261480")</f>
        <v>1261480</v>
      </c>
      <c r="S2954" s="211" t="str">
        <f>IFERROR(__xludf.DUMMYFUNCTION("""COMPUTED_VALUE"""),"ec231cc9")</f>
        <v>ec231cc9</v>
      </c>
      <c r="T2954" s="211" t="str">
        <f>IFERROR(__xludf.DUMMYFUNCTION("""COMPUTED_VALUE"""),"Bpk. Kohir (Maintenance Velg)")</f>
        <v>Bpk. Kohir (Maintenance Velg)</v>
      </c>
      <c r="U2954" s="215">
        <f>IFERROR(__xludf.DUMMYFUNCTION("""COMPUTED_VALUE"""),46113.68041666667)</f>
        <v>46113.68042</v>
      </c>
      <c r="V2954" s="211" t="str">
        <f>IFERROR(__xludf.DUMMYFUNCTION("""COMPUTED_VALUE"""),"Jl. Lkr. Bypass Krian Timur, Sidogolong, Watugolong, Kec. Krian, Kabupaten Sidoarjo, Jawa Timur 61262")</f>
        <v>Jl. Lkr. Bypass Krian Timur, Sidogolong, Watugolong, Kec. Krian, Kabupaten Sidoarjo, Jawa Timur 61262</v>
      </c>
      <c r="W2954" s="211" t="str">
        <f>IFERROR(__xludf.DUMMYFUNCTION("""COMPUTED_VALUE"""),"IN")</f>
        <v>IN</v>
      </c>
      <c r="X2954" s="211"/>
    </row>
    <row r="2955">
      <c r="A2955" s="210" t="str">
        <f>IFERROR(__xludf.DUMMYFUNCTION("""COMPUTED_VALUE"""),"122592066")</f>
        <v>122592066</v>
      </c>
      <c r="B2955" s="210" t="str">
        <f>IFERROR(__xludf.DUMMYFUNCTION("""COMPUTED_VALUE"""),"122592066")</f>
        <v>122592066</v>
      </c>
      <c r="C2955" s="213">
        <f>IFERROR(__xludf.DUMMYFUNCTION("""COMPUTED_VALUE"""),46014.36880787037)</f>
        <v>46014.36881</v>
      </c>
      <c r="D2955" s="211" t="str">
        <f>IFERROR(__xludf.DUMMYFUNCTION("""COMPUTED_VALUE"""),"63fc688a")</f>
        <v>63fc688a</v>
      </c>
      <c r="E2955" s="211" t="str">
        <f>IFERROR(__xludf.DUMMYFUNCTION("""COMPUTED_VALUE"""),"CV Malik Nusantara")</f>
        <v>CV Malik Nusantara</v>
      </c>
      <c r="F2955" s="211" t="str">
        <f>IFERROR(__xludf.DUMMYFUNCTION("""COMPUTED_VALUE"""),"ef306e54")</f>
        <v>ef306e54</v>
      </c>
      <c r="G2955" s="211" t="str">
        <f>IFERROR(__xludf.DUMMYFUNCTION("""COMPUTED_VALUE"""),"Karbondioksida")</f>
        <v>Karbondioksida</v>
      </c>
      <c r="H2955" s="211" t="str">
        <f>IFERROR(__xludf.DUMMYFUNCTION("""COMPUTED_VALUE"""),"OUT")</f>
        <v>OUT</v>
      </c>
      <c r="I2955" s="211" t="str">
        <f>IFERROR(__xludf.DUMMYFUNCTION("""COMPUTED_VALUE"""),"NORMAL")</f>
        <v>NORMAL</v>
      </c>
      <c r="J2955" s="211">
        <f>IFERROR(__xludf.DUMMYFUNCTION("""COMPUTED_VALUE"""),2.0)</f>
        <v>2</v>
      </c>
      <c r="K2955" s="210" t="str">
        <f>IFERROR(__xludf.DUMMYFUNCTION("""COMPUTED_VALUE"""),"13029 13061")</f>
        <v>13029 13061</v>
      </c>
      <c r="L2955" s="211">
        <f>IFERROR(__xludf.DUMMYFUNCTION("""COMPUTED_VALUE"""),190000.0)</f>
        <v>190000</v>
      </c>
      <c r="M2955" s="211"/>
      <c r="N2955" s="211"/>
      <c r="O2955" s="211"/>
      <c r="Q2955" s="210" t="str">
        <f>IFERROR(__xludf.DUMMYFUNCTION("""COMPUTED_VALUE"""),"0426412953")</f>
        <v>0426412953</v>
      </c>
      <c r="R2955" s="210" t="str">
        <f>IFERROR(__xludf.DUMMYFUNCTION("""COMPUTED_VALUE"""),"0426412953")</f>
        <v>0426412953</v>
      </c>
      <c r="S2955" s="211" t="str">
        <f>IFERROR(__xludf.DUMMYFUNCTION("""COMPUTED_VALUE"""),"ce83e171")</f>
        <v>ce83e171</v>
      </c>
      <c r="T2955" s="211" t="str">
        <f>IFERROR(__xludf.DUMMYFUNCTION("""COMPUTED_VALUE"""),"Bpk. Sulaiman")</f>
        <v>Bpk. Sulaiman</v>
      </c>
      <c r="U2955" s="215">
        <f>IFERROR(__xludf.DUMMYFUNCTION("""COMPUTED_VALUE"""),46114.36078703704)</f>
        <v>46114.36079</v>
      </c>
      <c r="V2955" s="211" t="str">
        <f>IFERROR(__xludf.DUMMYFUNCTION("""COMPUTED_VALUE"""),"Jl. Raya Kramat Temenggung No.43, Kramat, Kramat Temenggung, Kec. Tarik, Kabupaten Sidoarjo, Jawa Timur 61265")</f>
        <v>Jl. Raya Kramat Temenggung No.43, Kramat, Kramat Temenggung, Kec. Tarik, Kabupaten Sidoarjo, Jawa Timur 61265</v>
      </c>
      <c r="W2955" s="211" t="str">
        <f>IFERROR(__xludf.DUMMYFUNCTION("""COMPUTED_VALUE"""),"OUT")</f>
        <v>OUT</v>
      </c>
      <c r="X2955" s="211"/>
    </row>
    <row r="2956">
      <c r="A2956" s="210" t="str">
        <f>IFERROR(__xludf.DUMMYFUNCTION("""COMPUTED_VALUE"""),"122592066")</f>
        <v>122592066</v>
      </c>
      <c r="B2956" s="210" t="str">
        <f>IFERROR(__xludf.DUMMYFUNCTION("""COMPUTED_VALUE"""),"122592066")</f>
        <v>122592066</v>
      </c>
      <c r="C2956" s="213">
        <f>IFERROR(__xludf.DUMMYFUNCTION("""COMPUTED_VALUE"""),46014.36880787037)</f>
        <v>46014.36881</v>
      </c>
      <c r="D2956" s="211" t="str">
        <f>IFERROR(__xludf.DUMMYFUNCTION("""COMPUTED_VALUE"""),"63fc688a")</f>
        <v>63fc688a</v>
      </c>
      <c r="E2956" s="211" t="str">
        <f>IFERROR(__xludf.DUMMYFUNCTION("""COMPUTED_VALUE"""),"CV Malik Nusantara")</f>
        <v>CV Malik Nusantara</v>
      </c>
      <c r="F2956" s="211" t="str">
        <f>IFERROR(__xludf.DUMMYFUNCTION("""COMPUTED_VALUE"""),"8bdbe149")</f>
        <v>8bdbe149</v>
      </c>
      <c r="G2956" s="211" t="str">
        <f>IFERROR(__xludf.DUMMYFUNCTION("""COMPUTED_VALUE"""),"Oksigen 6m3")</f>
        <v>Oksigen 6m3</v>
      </c>
      <c r="H2956" s="211" t="str">
        <f>IFERROR(__xludf.DUMMYFUNCTION("""COMPUTED_VALUE"""),"OUT")</f>
        <v>OUT</v>
      </c>
      <c r="I2956" s="211" t="str">
        <f>IFERROR(__xludf.DUMMYFUNCTION("""COMPUTED_VALUE"""),"NORMAL")</f>
        <v>NORMAL</v>
      </c>
      <c r="J2956" s="211">
        <f>IFERROR(__xludf.DUMMYFUNCTION("""COMPUTED_VALUE"""),3.0)</f>
        <v>3</v>
      </c>
      <c r="K2956" s="210" t="str">
        <f>IFERROR(__xludf.DUMMYFUNCTION("""COMPUTED_VALUE"""),"11112 11184 11310")</f>
        <v>11112 11184 11310</v>
      </c>
      <c r="L2956" s="211">
        <f>IFERROR(__xludf.DUMMYFUNCTION("""COMPUTED_VALUE"""),65000.0)</f>
        <v>65000</v>
      </c>
      <c r="M2956" s="211"/>
      <c r="N2956" s="211"/>
      <c r="O2956" s="211"/>
      <c r="Q2956" s="210" t="str">
        <f>IFERROR(__xludf.DUMMYFUNCTION("""COMPUTED_VALUE"""),"0426972956")</f>
        <v>0426972956</v>
      </c>
      <c r="R2956" s="210" t="str">
        <f>IFERROR(__xludf.DUMMYFUNCTION("""COMPUTED_VALUE"""),"0426972956")</f>
        <v>0426972956</v>
      </c>
      <c r="S2956" s="211" t="str">
        <f>IFERROR(__xludf.DUMMYFUNCTION("""COMPUTED_VALUE"""),"b2b5f2c5")</f>
        <v>b2b5f2c5</v>
      </c>
      <c r="T2956" s="211" t="str">
        <f>IFERROR(__xludf.DUMMYFUNCTION("""COMPUTED_VALUE"""),"Bengkel Las Bpk. Ari")</f>
        <v>Bengkel Las Bpk. Ari</v>
      </c>
      <c r="U2956" s="215">
        <f>IFERROR(__xludf.DUMMYFUNCTION("""COMPUTED_VALUE"""),46114.36107638889)</f>
        <v>46114.36108</v>
      </c>
      <c r="V2956" s="211" t="str">
        <f>IFERROR(__xludf.DUMMYFUNCTION("""COMPUTED_VALUE"""),"Sumber Kembar, Wonodadi, Kec. Kutorejo, Kabupaten Mojokerto, Jawa Timur")</f>
        <v>Sumber Kembar, Wonodadi, Kec. Kutorejo, Kabupaten Mojokerto, Jawa Timur</v>
      </c>
      <c r="W2956" s="211" t="str">
        <f>IFERROR(__xludf.DUMMYFUNCTION("""COMPUTED_VALUE"""),"OUT")</f>
        <v>OUT</v>
      </c>
      <c r="X2956" s="211"/>
    </row>
    <row r="2957">
      <c r="A2957" s="210" t="str">
        <f>IFERROR(__xludf.DUMMYFUNCTION("""COMPUTED_VALUE"""),"122572067")</f>
        <v>122572067</v>
      </c>
      <c r="B2957" s="210" t="str">
        <f>IFERROR(__xludf.DUMMYFUNCTION("""COMPUTED_VALUE"""),"122572067")</f>
        <v>122572067</v>
      </c>
      <c r="C2957" s="213">
        <f>IFERROR(__xludf.DUMMYFUNCTION("""COMPUTED_VALUE"""),46014.44019675926)</f>
        <v>46014.4402</v>
      </c>
      <c r="D2957" s="211" t="str">
        <f>IFERROR(__xludf.DUMMYFUNCTION("""COMPUTED_VALUE"""),"17a8e612")</f>
        <v>17a8e612</v>
      </c>
      <c r="E2957" s="211" t="str">
        <f>IFERROR(__xludf.DUMMYFUNCTION("""COMPUTED_VALUE"""),"Flashtech Machinery")</f>
        <v>Flashtech Machinery</v>
      </c>
      <c r="F2957" s="211" t="str">
        <f>IFERROR(__xludf.DUMMYFUNCTION("""COMPUTED_VALUE"""),"66af7c72")</f>
        <v>66af7c72</v>
      </c>
      <c r="G2957" s="211" t="str">
        <f>IFERROR(__xludf.DUMMYFUNCTION("""COMPUTED_VALUE"""),"Argon 6m3")</f>
        <v>Argon 6m3</v>
      </c>
      <c r="H2957" s="211" t="str">
        <f>IFERROR(__xludf.DUMMYFUNCTION("""COMPUTED_VALUE"""),"OUT")</f>
        <v>OUT</v>
      </c>
      <c r="I2957" s="211" t="str">
        <f>IFERROR(__xludf.DUMMYFUNCTION("""COMPUTED_VALUE"""),"NORMAL")</f>
        <v>NORMAL</v>
      </c>
      <c r="J2957" s="211">
        <f>IFERROR(__xludf.DUMMYFUNCTION("""COMPUTED_VALUE"""),4.0)</f>
        <v>4</v>
      </c>
      <c r="K2957" s="210" t="str">
        <f>IFERROR(__xludf.DUMMYFUNCTION("""COMPUTED_VALUE"""),"12040 12050 12010 12025")</f>
        <v>12040 12050 12010 12025</v>
      </c>
      <c r="L2957" s="211">
        <f>IFERROR(__xludf.DUMMYFUNCTION("""COMPUTED_VALUE"""),210000.0)</f>
        <v>210000</v>
      </c>
      <c r="M2957" s="211"/>
      <c r="N2957" s="211"/>
      <c r="O2957" s="211"/>
      <c r="Q2957" s="210" t="str">
        <f>IFERROR(__xludf.DUMMYFUNCTION("""COMPUTED_VALUE"""),"0426372957")</f>
        <v>0426372957</v>
      </c>
      <c r="R2957" s="210" t="str">
        <f>IFERROR(__xludf.DUMMYFUNCTION("""COMPUTED_VALUE"""),"0426372957")</f>
        <v>0426372957</v>
      </c>
      <c r="S2957" s="211" t="str">
        <f>IFERROR(__xludf.DUMMYFUNCTION("""COMPUTED_VALUE"""),"63fc688a")</f>
        <v>63fc688a</v>
      </c>
      <c r="T2957" s="211" t="str">
        <f>IFERROR(__xludf.DUMMYFUNCTION("""COMPUTED_VALUE"""),"CV Malik Nusantara")</f>
        <v>CV Malik Nusantara</v>
      </c>
      <c r="U2957" s="215">
        <f>IFERROR(__xludf.DUMMYFUNCTION("""COMPUTED_VALUE"""),46114.364212962966)</f>
        <v>46114.36421</v>
      </c>
      <c r="V2957" s="211" t="str">
        <f>IFERROR(__xludf.DUMMYFUNCTION("""COMPUTED_VALUE"""),"Jl. Raya Balongbendo No.12, Suwaluh Utara, Suwaluh, Kec. BalongBendo, Kabupaten Sidoarjo, Jawa Timur 61263")</f>
        <v>Jl. Raya Balongbendo No.12, Suwaluh Utara, Suwaluh, Kec. BalongBendo, Kabupaten Sidoarjo, Jawa Timur 61263</v>
      </c>
      <c r="W2957" s="211" t="str">
        <f>IFERROR(__xludf.DUMMYFUNCTION("""COMPUTED_VALUE"""),"OUT")</f>
        <v>OUT</v>
      </c>
      <c r="X2957" s="211"/>
    </row>
    <row r="2958">
      <c r="A2958" s="210" t="str">
        <f>IFERROR(__xludf.DUMMYFUNCTION("""COMPUTED_VALUE"""),"1251006")</f>
        <v>1251006</v>
      </c>
      <c r="B2958" s="210" t="str">
        <f>IFERROR(__xludf.DUMMYFUNCTION("""COMPUTED_VALUE"""),"1251006")</f>
        <v>1251006</v>
      </c>
      <c r="C2958" s="213">
        <f>IFERROR(__xludf.DUMMYFUNCTION("""COMPUTED_VALUE"""),46014.50011574074)</f>
        <v>46014.50012</v>
      </c>
      <c r="D2958" s="211" t="str">
        <f>IFERROR(__xludf.DUMMYFUNCTION("""COMPUTED_VALUE"""),"a0f0ad2d")</f>
        <v>a0f0ad2d</v>
      </c>
      <c r="E2958" s="211" t="str">
        <f>IFERROR(__xludf.DUMMYFUNCTION("""COMPUTED_VALUE"""),"CV. Yulie Jaya")</f>
        <v>CV. Yulie Jaya</v>
      </c>
      <c r="F2958" s="211" t="str">
        <f>IFERROR(__xludf.DUMMYFUNCTION("""COMPUTED_VALUE"""),"8bdbe149")</f>
        <v>8bdbe149</v>
      </c>
      <c r="G2958" s="211" t="str">
        <f>IFERROR(__xludf.DUMMYFUNCTION("""COMPUTED_VALUE"""),"Oksigen 6m3")</f>
        <v>Oksigen 6m3</v>
      </c>
      <c r="H2958" s="211" t="str">
        <f>IFERROR(__xludf.DUMMYFUNCTION("""COMPUTED_VALUE"""),"IN")</f>
        <v>IN</v>
      </c>
      <c r="I2958" s="211" t="str">
        <f>IFERROR(__xludf.DUMMYFUNCTION("""COMPUTED_VALUE"""),"EMPTY")</f>
        <v>EMPTY</v>
      </c>
      <c r="J2958" s="211">
        <f>IFERROR(__xludf.DUMMYFUNCTION("""COMPUTED_VALUE"""),3.0)</f>
        <v>3</v>
      </c>
      <c r="K2958" s="210" t="str">
        <f>IFERROR(__xludf.DUMMYFUNCTION("""COMPUTED_VALUE"""),"1154 11296 1128")</f>
        <v>1154 11296 1128</v>
      </c>
      <c r="L2958" s="211">
        <f>IFERROR(__xludf.DUMMYFUNCTION("""COMPUTED_VALUE"""),0.0)</f>
        <v>0</v>
      </c>
      <c r="M2958" s="211"/>
      <c r="N2958" s="211"/>
      <c r="O2958" s="211"/>
      <c r="Q2958" s="210" t="str">
        <f>IFERROR(__xludf.DUMMYFUNCTION("""COMPUTED_VALUE"""),"042642958")</f>
        <v>042642958</v>
      </c>
      <c r="R2958" s="210" t="str">
        <f>IFERROR(__xludf.DUMMYFUNCTION("""COMPUTED_VALUE"""),"042642958")</f>
        <v>042642958</v>
      </c>
      <c r="S2958" s="211" t="str">
        <f>IFERROR(__xludf.DUMMYFUNCTION("""COMPUTED_VALUE"""),"02c693f1")</f>
        <v>02c693f1</v>
      </c>
      <c r="T2958" s="211" t="str">
        <f>IFERROR(__xludf.DUMMYFUNCTION("""COMPUTED_VALUE"""),"Bpk. Rudi Jaya")</f>
        <v>Bpk. Rudi Jaya</v>
      </c>
      <c r="U2958" s="215">
        <f>IFERROR(__xludf.DUMMYFUNCTION("""COMPUTED_VALUE"""),46114.36548611111)</f>
        <v>46114.36549</v>
      </c>
      <c r="V2958" s="211" t="str">
        <f>IFERROR(__xludf.DUMMYFUNCTION("""COMPUTED_VALUE"""),"Ganting Tulangan, Jalan Raya kenongo ( Jual Beli Besi Tua ), Kec. Tulangan Kabupaten Sidoarjo Jawa Timur 61273")</f>
        <v>Ganting Tulangan, Jalan Raya kenongo ( Jual Beli Besi Tua ), Kec. Tulangan Kabupaten Sidoarjo Jawa Timur 61273</v>
      </c>
      <c r="W2958" s="211" t="str">
        <f>IFERROR(__xludf.DUMMYFUNCTION("""COMPUTED_VALUE"""),"OUT")</f>
        <v>OUT</v>
      </c>
      <c r="X2958" s="211"/>
    </row>
    <row r="2959">
      <c r="A2959" s="210" t="str">
        <f>IFERROR(__xludf.DUMMYFUNCTION("""COMPUTED_VALUE"""),"1250994")</f>
        <v>1250994</v>
      </c>
      <c r="B2959" s="210" t="str">
        <f>IFERROR(__xludf.DUMMYFUNCTION("""COMPUTED_VALUE"""),"1250994")</f>
        <v>1250994</v>
      </c>
      <c r="C2959" s="213">
        <f>IFERROR(__xludf.DUMMYFUNCTION("""COMPUTED_VALUE"""),46014.50067129629)</f>
        <v>46014.50067</v>
      </c>
      <c r="D2959" s="211" t="str">
        <f>IFERROR(__xludf.DUMMYFUNCTION("""COMPUTED_VALUE"""),"63fc688a")</f>
        <v>63fc688a</v>
      </c>
      <c r="E2959" s="211" t="str">
        <f>IFERROR(__xludf.DUMMYFUNCTION("""COMPUTED_VALUE"""),"CV Malik Nusantara")</f>
        <v>CV Malik Nusantara</v>
      </c>
      <c r="F2959" s="211" t="str">
        <f>IFERROR(__xludf.DUMMYFUNCTION("""COMPUTED_VALUE"""),"8bdbe149")</f>
        <v>8bdbe149</v>
      </c>
      <c r="G2959" s="211" t="str">
        <f>IFERROR(__xludf.DUMMYFUNCTION("""COMPUTED_VALUE"""),"Oksigen 6m3")</f>
        <v>Oksigen 6m3</v>
      </c>
      <c r="H2959" s="211" t="str">
        <f>IFERROR(__xludf.DUMMYFUNCTION("""COMPUTED_VALUE"""),"IN")</f>
        <v>IN</v>
      </c>
      <c r="I2959" s="211" t="str">
        <f>IFERROR(__xludf.DUMMYFUNCTION("""COMPUTED_VALUE"""),"EMPTY")</f>
        <v>EMPTY</v>
      </c>
      <c r="J2959" s="211">
        <f>IFERROR(__xludf.DUMMYFUNCTION("""COMPUTED_VALUE"""),2.0)</f>
        <v>2</v>
      </c>
      <c r="K2959" s="210" t="str">
        <f>IFERROR(__xludf.DUMMYFUNCTION("""COMPUTED_VALUE"""),"11114 11273")</f>
        <v>11114 11273</v>
      </c>
      <c r="L2959" s="211">
        <f>IFERROR(__xludf.DUMMYFUNCTION("""COMPUTED_VALUE"""),0.0)</f>
        <v>0</v>
      </c>
      <c r="M2959" s="211"/>
      <c r="N2959" s="211"/>
      <c r="O2959" s="211"/>
      <c r="Q2959" s="210" t="str">
        <f>IFERROR(__xludf.DUMMYFUNCTION("""COMPUTED_VALUE"""),"042612959")</f>
        <v>042612959</v>
      </c>
      <c r="R2959" s="210" t="str">
        <f>IFERROR(__xludf.DUMMYFUNCTION("""COMPUTED_VALUE"""),"042612959")</f>
        <v>042612959</v>
      </c>
      <c r="S2959" s="211" t="str">
        <f>IFERROR(__xludf.DUMMYFUNCTION("""COMPUTED_VALUE"""),"dcc017cb")</f>
        <v>dcc017cb</v>
      </c>
      <c r="T2959" s="211" t="str">
        <f>IFERROR(__xludf.DUMMYFUNCTION("""COMPUTED_VALUE"""),"Bpk Hidayat")</f>
        <v>Bpk Hidayat</v>
      </c>
      <c r="U2959" s="215">
        <f>IFERROR(__xludf.DUMMYFUNCTION("""COMPUTED_VALUE"""),46114.36640046296)</f>
        <v>46114.3664</v>
      </c>
      <c r="V2959" s="211" t="str">
        <f>IFERROR(__xludf.DUMMYFUNCTION("""COMPUTED_VALUE"""),"HGM4+WM2, Kendal Bakung, Bakungpringgondani, Kec. BalongBendo, Kabupaten Sidoarjo, Jawa Timur 61263")</f>
        <v>HGM4+WM2, Kendal Bakung, Bakungpringgondani, Kec. BalongBendo, Kabupaten Sidoarjo, Jawa Timur 61263</v>
      </c>
      <c r="W2959" s="211" t="str">
        <f>IFERROR(__xludf.DUMMYFUNCTION("""COMPUTED_VALUE"""),"OUT")</f>
        <v>OUT</v>
      </c>
      <c r="X2959" s="211"/>
    </row>
    <row r="2960">
      <c r="A2960" s="210" t="str">
        <f>IFERROR(__xludf.DUMMYFUNCTION("""COMPUTED_VALUE"""),"1250994")</f>
        <v>1250994</v>
      </c>
      <c r="B2960" s="210" t="str">
        <f>IFERROR(__xludf.DUMMYFUNCTION("""COMPUTED_VALUE"""),"1250994")</f>
        <v>1250994</v>
      </c>
      <c r="C2960" s="213">
        <f>IFERROR(__xludf.DUMMYFUNCTION("""COMPUTED_VALUE"""),46014.50067129629)</f>
        <v>46014.50067</v>
      </c>
      <c r="D2960" s="211" t="str">
        <f>IFERROR(__xludf.DUMMYFUNCTION("""COMPUTED_VALUE"""),"63fc688a")</f>
        <v>63fc688a</v>
      </c>
      <c r="E2960" s="211" t="str">
        <f>IFERROR(__xludf.DUMMYFUNCTION("""COMPUTED_VALUE"""),"CV Malik Nusantara")</f>
        <v>CV Malik Nusantara</v>
      </c>
      <c r="F2960" s="211" t="str">
        <f>IFERROR(__xludf.DUMMYFUNCTION("""COMPUTED_VALUE"""),"be525f3b")</f>
        <v>be525f3b</v>
      </c>
      <c r="G2960" s="211" t="str">
        <f>IFERROR(__xludf.DUMMYFUNCTION("""COMPUTED_VALUE"""),"LPG 12kg")</f>
        <v>LPG 12kg</v>
      </c>
      <c r="H2960" s="211" t="str">
        <f>IFERROR(__xludf.DUMMYFUNCTION("""COMPUTED_VALUE"""),"IN")</f>
        <v>IN</v>
      </c>
      <c r="I2960" s="211" t="str">
        <f>IFERROR(__xludf.DUMMYFUNCTION("""COMPUTED_VALUE"""),"EMPTY")</f>
        <v>EMPTY</v>
      </c>
      <c r="J2960" s="211">
        <f>IFERROR(__xludf.DUMMYFUNCTION("""COMPUTED_VALUE"""),2.0)</f>
        <v>2</v>
      </c>
      <c r="K2960" s="210" t="str">
        <f>IFERROR(__xludf.DUMMYFUNCTION("""COMPUTED_VALUE"""),"01 02")</f>
        <v>01 02</v>
      </c>
      <c r="L2960" s="211">
        <f>IFERROR(__xludf.DUMMYFUNCTION("""COMPUTED_VALUE"""),0.0)</f>
        <v>0</v>
      </c>
      <c r="M2960" s="211"/>
      <c r="N2960" s="211"/>
      <c r="O2960" s="211"/>
      <c r="Q2960" s="210" t="str">
        <f>IFERROR(__xludf.DUMMYFUNCTION("""COMPUTED_VALUE"""),"1261461")</f>
        <v>1261461</v>
      </c>
      <c r="R2960" s="210" t="str">
        <f>IFERROR(__xludf.DUMMYFUNCTION("""COMPUTED_VALUE"""),"1261461")</f>
        <v>1261461</v>
      </c>
      <c r="S2960" s="211" t="str">
        <f>IFERROR(__xludf.DUMMYFUNCTION("""COMPUTED_VALUE"""),"63fc688a")</f>
        <v>63fc688a</v>
      </c>
      <c r="T2960" s="211" t="str">
        <f>IFERROR(__xludf.DUMMYFUNCTION("""COMPUTED_VALUE"""),"CV Malik Nusantara")</f>
        <v>CV Malik Nusantara</v>
      </c>
      <c r="U2960" s="215">
        <f>IFERROR(__xludf.DUMMYFUNCTION("""COMPUTED_VALUE"""),46114.59622685185)</f>
        <v>46114.59623</v>
      </c>
      <c r="V2960" s="211" t="str">
        <f>IFERROR(__xludf.DUMMYFUNCTION("""COMPUTED_VALUE"""),"Jl. Raya Balongbendo No.12, Suwaluh Utara, Suwaluh, Kec. BalongBendo, Kabupaten Sidoarjo, Jawa Timur 61263")</f>
        <v>Jl. Raya Balongbendo No.12, Suwaluh Utara, Suwaluh, Kec. BalongBendo, Kabupaten Sidoarjo, Jawa Timur 61263</v>
      </c>
      <c r="W2960" s="211" t="str">
        <f>IFERROR(__xludf.DUMMYFUNCTION("""COMPUTED_VALUE"""),"IN")</f>
        <v>IN</v>
      </c>
      <c r="X2960" s="211"/>
    </row>
    <row r="2961">
      <c r="A2961" s="210" t="str">
        <f>IFERROR(__xludf.DUMMYFUNCTION("""COMPUTED_VALUE"""),"1250995")</f>
        <v>1250995</v>
      </c>
      <c r="B2961" s="210" t="str">
        <f>IFERROR(__xludf.DUMMYFUNCTION("""COMPUTED_VALUE"""),"1250995")</f>
        <v>1250995</v>
      </c>
      <c r="C2961" s="213">
        <f>IFERROR(__xludf.DUMMYFUNCTION("""COMPUTED_VALUE"""),46014.50133101852)</f>
        <v>46014.50133</v>
      </c>
      <c r="D2961" s="211" t="str">
        <f>IFERROR(__xludf.DUMMYFUNCTION("""COMPUTED_VALUE"""),"2d88931c")</f>
        <v>2d88931c</v>
      </c>
      <c r="E2961" s="211" t="str">
        <f>IFERROR(__xludf.DUMMYFUNCTION("""COMPUTED_VALUE"""),"PT Dunia Berkat Marga Mulya")</f>
        <v>PT Dunia Berkat Marga Mulya</v>
      </c>
      <c r="F2961" s="211" t="str">
        <f>IFERROR(__xludf.DUMMYFUNCTION("""COMPUTED_VALUE"""),"8bdbe149")</f>
        <v>8bdbe149</v>
      </c>
      <c r="G2961" s="211" t="str">
        <f>IFERROR(__xludf.DUMMYFUNCTION("""COMPUTED_VALUE"""),"Oksigen 6m3")</f>
        <v>Oksigen 6m3</v>
      </c>
      <c r="H2961" s="211" t="str">
        <f>IFERROR(__xludf.DUMMYFUNCTION("""COMPUTED_VALUE"""),"IN")</f>
        <v>IN</v>
      </c>
      <c r="I2961" s="211" t="str">
        <f>IFERROR(__xludf.DUMMYFUNCTION("""COMPUTED_VALUE"""),"EMPTY")</f>
        <v>EMPTY</v>
      </c>
      <c r="J2961" s="211">
        <f>IFERROR(__xludf.DUMMYFUNCTION("""COMPUTED_VALUE"""),3.0)</f>
        <v>3</v>
      </c>
      <c r="K2961" s="210" t="str">
        <f>IFERROR(__xludf.DUMMYFUNCTION("""COMPUTED_VALUE"""),"1186 1119 11125")</f>
        <v>1186 1119 11125</v>
      </c>
      <c r="L2961" s="211">
        <f>IFERROR(__xludf.DUMMYFUNCTION("""COMPUTED_VALUE"""),0.0)</f>
        <v>0</v>
      </c>
      <c r="M2961" s="211"/>
      <c r="N2961" s="211"/>
      <c r="O2961" s="211"/>
      <c r="Q2961" s="210" t="str">
        <f>IFERROR(__xludf.DUMMYFUNCTION("""COMPUTED_VALUE"""),"1261462")</f>
        <v>1261462</v>
      </c>
      <c r="R2961" s="210" t="str">
        <f>IFERROR(__xludf.DUMMYFUNCTION("""COMPUTED_VALUE"""),"1261462")</f>
        <v>1261462</v>
      </c>
      <c r="S2961" s="211" t="str">
        <f>IFERROR(__xludf.DUMMYFUNCTION("""COMPUTED_VALUE"""),"ce83e171")</f>
        <v>ce83e171</v>
      </c>
      <c r="T2961" s="211" t="str">
        <f>IFERROR(__xludf.DUMMYFUNCTION("""COMPUTED_VALUE"""),"Bpk. Sulaiman")</f>
        <v>Bpk. Sulaiman</v>
      </c>
      <c r="U2961" s="215">
        <f>IFERROR(__xludf.DUMMYFUNCTION("""COMPUTED_VALUE"""),46114.59712962963)</f>
        <v>46114.59713</v>
      </c>
      <c r="V2961" s="211" t="str">
        <f>IFERROR(__xludf.DUMMYFUNCTION("""COMPUTED_VALUE"""),"Jl. Raya Kramat Temenggung No.43, Kramat, Kramat Temenggung, Kec. Tarik, Kabupaten Sidoarjo, Jawa Timur 61265")</f>
        <v>Jl. Raya Kramat Temenggung No.43, Kramat, Kramat Temenggung, Kec. Tarik, Kabupaten Sidoarjo, Jawa Timur 61265</v>
      </c>
      <c r="W2961" s="211" t="str">
        <f>IFERROR(__xludf.DUMMYFUNCTION("""COMPUTED_VALUE"""),"IN")</f>
        <v>IN</v>
      </c>
      <c r="X2961" s="211"/>
    </row>
    <row r="2962">
      <c r="A2962" s="210" t="str">
        <f>IFERROR(__xludf.DUMMYFUNCTION("""COMPUTED_VALUE"""),"1250984")</f>
        <v>1250984</v>
      </c>
      <c r="B2962" s="210" t="str">
        <f>IFERROR(__xludf.DUMMYFUNCTION("""COMPUTED_VALUE"""),"1250984")</f>
        <v>1250984</v>
      </c>
      <c r="C2962" s="213">
        <f>IFERROR(__xludf.DUMMYFUNCTION("""COMPUTED_VALUE"""),46014.523668981485)</f>
        <v>46014.52367</v>
      </c>
      <c r="D2962" s="211" t="str">
        <f>IFERROR(__xludf.DUMMYFUNCTION("""COMPUTED_VALUE"""),"3b04351a")</f>
        <v>3b04351a</v>
      </c>
      <c r="E2962" s="211" t="str">
        <f>IFERROR(__xludf.DUMMYFUNCTION("""COMPUTED_VALUE"""),"CV Usaha Logam Jaya ( Bpk Putra )")</f>
        <v>CV Usaha Logam Jaya ( Bpk Putra )</v>
      </c>
      <c r="F2962" s="211" t="str">
        <f>IFERROR(__xludf.DUMMYFUNCTION("""COMPUTED_VALUE"""),"8bdbe149")</f>
        <v>8bdbe149</v>
      </c>
      <c r="G2962" s="211" t="str">
        <f>IFERROR(__xludf.DUMMYFUNCTION("""COMPUTED_VALUE"""),"Oksigen 6m3")</f>
        <v>Oksigen 6m3</v>
      </c>
      <c r="H2962" s="211" t="str">
        <f>IFERROR(__xludf.DUMMYFUNCTION("""COMPUTED_VALUE"""),"IN")</f>
        <v>IN</v>
      </c>
      <c r="I2962" s="211" t="str">
        <f>IFERROR(__xludf.DUMMYFUNCTION("""COMPUTED_VALUE"""),"EMPTY")</f>
        <v>EMPTY</v>
      </c>
      <c r="J2962" s="211">
        <f>IFERROR(__xludf.DUMMYFUNCTION("""COMPUTED_VALUE"""),7.0)</f>
        <v>7</v>
      </c>
      <c r="K2962" s="210" t="str">
        <f>IFERROR(__xludf.DUMMYFUNCTION("""COMPUTED_VALUE"""),"1104 1187 11308 11257 1194 11275 11236")</f>
        <v>1104 1187 11308 11257 1194 11275 11236</v>
      </c>
      <c r="L2962" s="211">
        <f>IFERROR(__xludf.DUMMYFUNCTION("""COMPUTED_VALUE"""),0.0)</f>
        <v>0</v>
      </c>
      <c r="M2962" s="211"/>
      <c r="N2962" s="211"/>
      <c r="O2962" s="211"/>
      <c r="Q2962" s="210" t="str">
        <f>IFERROR(__xludf.DUMMYFUNCTION("""COMPUTED_VALUE"""),"1261463")</f>
        <v>1261463</v>
      </c>
      <c r="R2962" s="210" t="str">
        <f>IFERROR(__xludf.DUMMYFUNCTION("""COMPUTED_VALUE"""),"1261463")</f>
        <v>1261463</v>
      </c>
      <c r="S2962" s="211" t="str">
        <f>IFERROR(__xludf.DUMMYFUNCTION("""COMPUTED_VALUE"""),"01158be1")</f>
        <v>01158be1</v>
      </c>
      <c r="T2962" s="211" t="str">
        <f>IFERROR(__xludf.DUMMYFUNCTION("""COMPUTED_VALUE"""),"GYF")</f>
        <v>GYF</v>
      </c>
      <c r="U2962" s="215">
        <f>IFERROR(__xludf.DUMMYFUNCTION("""COMPUTED_VALUE"""),46114.59746527778)</f>
        <v>46114.59747</v>
      </c>
      <c r="V2962" s="211" t="str">
        <f>IFERROR(__xludf.DUMMYFUNCTION("""COMPUTED_VALUE"""),"Kangkungan, Lengkong, Kec. Mojoanyar, Kabupaten Mojokerto, Jawa Timur")</f>
        <v>Kangkungan, Lengkong, Kec. Mojoanyar, Kabupaten Mojokerto, Jawa Timur</v>
      </c>
      <c r="W2962" s="211" t="str">
        <f>IFERROR(__xludf.DUMMYFUNCTION("""COMPUTED_VALUE"""),"IN")</f>
        <v>IN</v>
      </c>
      <c r="X2962" s="211"/>
    </row>
    <row r="2963">
      <c r="A2963" s="210" t="str">
        <f>IFERROR(__xludf.DUMMYFUNCTION("""COMPUTED_VALUE"""),"1250984")</f>
        <v>1250984</v>
      </c>
      <c r="B2963" s="210" t="str">
        <f>IFERROR(__xludf.DUMMYFUNCTION("""COMPUTED_VALUE"""),"1250984")</f>
        <v>1250984</v>
      </c>
      <c r="C2963" s="213">
        <f>IFERROR(__xludf.DUMMYFUNCTION("""COMPUTED_VALUE"""),46014.523668981485)</f>
        <v>46014.52367</v>
      </c>
      <c r="D2963" s="211" t="str">
        <f>IFERROR(__xludf.DUMMYFUNCTION("""COMPUTED_VALUE"""),"3b04351a")</f>
        <v>3b04351a</v>
      </c>
      <c r="E2963" s="211" t="str">
        <f>IFERROR(__xludf.DUMMYFUNCTION("""COMPUTED_VALUE"""),"CV Usaha Logam Jaya ( Bpk Putra )")</f>
        <v>CV Usaha Logam Jaya ( Bpk Putra )</v>
      </c>
      <c r="F2963" s="211" t="str">
        <f>IFERROR(__xludf.DUMMYFUNCTION("""COMPUTED_VALUE"""),"7d2764f1")</f>
        <v>7d2764f1</v>
      </c>
      <c r="G2963" s="211" t="str">
        <f>IFERROR(__xludf.DUMMYFUNCTION("""COMPUTED_VALUE"""),"Oksigen 7m3")</f>
        <v>Oksigen 7m3</v>
      </c>
      <c r="H2963" s="211" t="str">
        <f>IFERROR(__xludf.DUMMYFUNCTION("""COMPUTED_VALUE"""),"IN")</f>
        <v>IN</v>
      </c>
      <c r="I2963" s="211" t="str">
        <f>IFERROR(__xludf.DUMMYFUNCTION("""COMPUTED_VALUE"""),"EMPTY")</f>
        <v>EMPTY</v>
      </c>
      <c r="J2963" s="211">
        <f>IFERROR(__xludf.DUMMYFUNCTION("""COMPUTED_VALUE"""),12.0)</f>
        <v>12</v>
      </c>
      <c r="K2963" s="210" t="str">
        <f>IFERROR(__xludf.DUMMYFUNCTION("""COMPUTED_VALUE"""),"11144 11151 11141 11167 11145 11217 11150 11306 11169 11147 11168 11155")</f>
        <v>11144 11151 11141 11167 11145 11217 11150 11306 11169 11147 11168 11155</v>
      </c>
      <c r="L2963" s="211">
        <f>IFERROR(__xludf.DUMMYFUNCTION("""COMPUTED_VALUE"""),0.0)</f>
        <v>0</v>
      </c>
      <c r="M2963" s="211"/>
      <c r="N2963" s="211"/>
      <c r="O2963" s="211"/>
      <c r="Q2963" s="210" t="str">
        <f>IFERROR(__xludf.DUMMYFUNCTION("""COMPUTED_VALUE"""),"0426152960")</f>
        <v>0426152960</v>
      </c>
      <c r="R2963" s="210" t="str">
        <f>IFERROR(__xludf.DUMMYFUNCTION("""COMPUTED_VALUE"""),"0426152960")</f>
        <v>0426152960</v>
      </c>
      <c r="S2963" s="211" t="str">
        <f>IFERROR(__xludf.DUMMYFUNCTION("""COMPUTED_VALUE"""),"98c84274")</f>
        <v>98c84274</v>
      </c>
      <c r="T2963" s="211" t="str">
        <f>IFERROR(__xludf.DUMMYFUNCTION("""COMPUTED_VALUE"""),"Bengkel SBM (Pak Hari)")</f>
        <v>Bengkel SBM (Pak Hari)</v>
      </c>
      <c r="U2963" s="215">
        <f>IFERROR(__xludf.DUMMYFUNCTION("""COMPUTED_VALUE"""),46114.61283564815)</f>
        <v>46114.61284</v>
      </c>
      <c r="V2963"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963" s="211" t="str">
        <f>IFERROR(__xludf.DUMMYFUNCTION("""COMPUTED_VALUE"""),"OUT")</f>
        <v>OUT</v>
      </c>
      <c r="X2963" s="211"/>
    </row>
    <row r="2964">
      <c r="A2964" s="210" t="str">
        <f>IFERROR(__xludf.DUMMYFUNCTION("""COMPUTED_VALUE"""),"1250984")</f>
        <v>1250984</v>
      </c>
      <c r="B2964" s="210" t="str">
        <f>IFERROR(__xludf.DUMMYFUNCTION("""COMPUTED_VALUE"""),"1250984")</f>
        <v>1250984</v>
      </c>
      <c r="C2964" s="213">
        <f>IFERROR(__xludf.DUMMYFUNCTION("""COMPUTED_VALUE"""),46014.523668981485)</f>
        <v>46014.52367</v>
      </c>
      <c r="D2964" s="211" t="str">
        <f>IFERROR(__xludf.DUMMYFUNCTION("""COMPUTED_VALUE"""),"3b04351a")</f>
        <v>3b04351a</v>
      </c>
      <c r="E2964" s="211" t="str">
        <f>IFERROR(__xludf.DUMMYFUNCTION("""COMPUTED_VALUE"""),"CV Usaha Logam Jaya ( Bpk Putra )")</f>
        <v>CV Usaha Logam Jaya ( Bpk Putra )</v>
      </c>
      <c r="F2964" s="211" t="str">
        <f>IFERROR(__xludf.DUMMYFUNCTION("""COMPUTED_VALUE"""),"be525f3b")</f>
        <v>be525f3b</v>
      </c>
      <c r="G2964" s="211" t="str">
        <f>IFERROR(__xludf.DUMMYFUNCTION("""COMPUTED_VALUE"""),"LPG 12kg")</f>
        <v>LPG 12kg</v>
      </c>
      <c r="H2964" s="211" t="str">
        <f>IFERROR(__xludf.DUMMYFUNCTION("""COMPUTED_VALUE"""),"IN")</f>
        <v>IN</v>
      </c>
      <c r="I2964" s="211" t="str">
        <f>IFERROR(__xludf.DUMMYFUNCTION("""COMPUTED_VALUE"""),"EMPTY")</f>
        <v>EMPTY</v>
      </c>
      <c r="J2964" s="211">
        <f>IFERROR(__xludf.DUMMYFUNCTION("""COMPUTED_VALUE"""),1.0)</f>
        <v>1</v>
      </c>
      <c r="K2964" s="210" t="str">
        <f>IFERROR(__xludf.DUMMYFUNCTION("""COMPUTED_VALUE"""),"01")</f>
        <v>01</v>
      </c>
      <c r="L2964" s="211">
        <f>IFERROR(__xludf.DUMMYFUNCTION("""COMPUTED_VALUE"""),0.0)</f>
        <v>0</v>
      </c>
      <c r="M2964" s="211"/>
      <c r="N2964" s="211"/>
      <c r="O2964" s="211"/>
      <c r="Q2964" s="210" t="str">
        <f>IFERROR(__xludf.DUMMYFUNCTION("""COMPUTED_VALUE"""),"1261457")</f>
        <v>1261457</v>
      </c>
      <c r="R2964" s="210" t="str">
        <f>IFERROR(__xludf.DUMMYFUNCTION("""COMPUTED_VALUE"""),"1261457")</f>
        <v>1261457</v>
      </c>
      <c r="S2964" s="211" t="str">
        <f>IFERROR(__xludf.DUMMYFUNCTION("""COMPUTED_VALUE"""),"057b6b99")</f>
        <v>057b6b99</v>
      </c>
      <c r="T2964" s="211" t="str">
        <f>IFERROR(__xludf.DUMMYFUNCTION("""COMPUTED_VALUE"""),"PT Anuta Utama Transport")</f>
        <v>PT Anuta Utama Transport</v>
      </c>
      <c r="U2964" s="215">
        <f>IFERROR(__xludf.DUMMYFUNCTION("""COMPUTED_VALUE"""),46114.61329861111)</f>
        <v>46114.6133</v>
      </c>
      <c r="V2964" s="211" t="str">
        <f>IFERROR(__xludf.DUMMYFUNCTION("""COMPUTED_VALUE"""),"Jl Raya ketimang KM 10, Kec. Wonoayu, Kab. Sidoarjo, Jawa Timur")</f>
        <v>Jl Raya ketimang KM 10, Kec. Wonoayu, Kab. Sidoarjo, Jawa Timur</v>
      </c>
      <c r="W2964" s="211" t="str">
        <f>IFERROR(__xludf.DUMMYFUNCTION("""COMPUTED_VALUE"""),"IN")</f>
        <v>IN</v>
      </c>
      <c r="X2964" s="211"/>
    </row>
    <row r="2965">
      <c r="A2965" s="210" t="str">
        <f>IFERROR(__xludf.DUMMYFUNCTION("""COMPUTED_VALUE"""),"1225592068")</f>
        <v>1225592068</v>
      </c>
      <c r="B2965" s="210" t="str">
        <f>IFERROR(__xludf.DUMMYFUNCTION("""COMPUTED_VALUE"""),"1225592068")</f>
        <v>1225592068</v>
      </c>
      <c r="C2965" s="213">
        <f>IFERROR(__xludf.DUMMYFUNCTION("""COMPUTED_VALUE"""),46014.56628472222)</f>
        <v>46014.56628</v>
      </c>
      <c r="D2965" s="211" t="str">
        <f>IFERROR(__xludf.DUMMYFUNCTION("""COMPUTED_VALUE"""),"b2b5f2c5")</f>
        <v>b2b5f2c5</v>
      </c>
      <c r="E2965" s="211" t="str">
        <f>IFERROR(__xludf.DUMMYFUNCTION("""COMPUTED_VALUE"""),"Bengkel Las Bpk. Ari")</f>
        <v>Bengkel Las Bpk. Ari</v>
      </c>
      <c r="F2965" s="211" t="str">
        <f>IFERROR(__xludf.DUMMYFUNCTION("""COMPUTED_VALUE"""),"ef306e54")</f>
        <v>ef306e54</v>
      </c>
      <c r="G2965" s="211" t="str">
        <f>IFERROR(__xludf.DUMMYFUNCTION("""COMPUTED_VALUE"""),"Karbondioksida")</f>
        <v>Karbondioksida</v>
      </c>
      <c r="H2965" s="211" t="str">
        <f>IFERROR(__xludf.DUMMYFUNCTION("""COMPUTED_VALUE"""),"OUT")</f>
        <v>OUT</v>
      </c>
      <c r="I2965" s="211" t="str">
        <f>IFERROR(__xludf.DUMMYFUNCTION("""COMPUTED_VALUE"""),"NORMAL")</f>
        <v>NORMAL</v>
      </c>
      <c r="J2965" s="211">
        <f>IFERROR(__xludf.DUMMYFUNCTION("""COMPUTED_VALUE"""),2.0)</f>
        <v>2</v>
      </c>
      <c r="K2965" s="210" t="str">
        <f>IFERROR(__xludf.DUMMYFUNCTION("""COMPUTED_VALUE"""),"13005 13017")</f>
        <v>13005 13017</v>
      </c>
      <c r="L2965" s="211">
        <f>IFERROR(__xludf.DUMMYFUNCTION("""COMPUTED_VALUE"""),180000.0)</f>
        <v>180000</v>
      </c>
      <c r="M2965" s="211"/>
      <c r="N2965" s="211"/>
      <c r="O2965" s="211"/>
      <c r="Q2965" s="210" t="str">
        <f>IFERROR(__xludf.DUMMYFUNCTION("""COMPUTED_VALUE"""),"1261459")</f>
        <v>1261459</v>
      </c>
      <c r="R2965" s="210" t="str">
        <f>IFERROR(__xludf.DUMMYFUNCTION("""COMPUTED_VALUE"""),"1261459")</f>
        <v>1261459</v>
      </c>
      <c r="S2965" s="211" t="str">
        <f>IFERROR(__xludf.DUMMYFUNCTION("""COMPUTED_VALUE"""),"b2b5f2c5")</f>
        <v>b2b5f2c5</v>
      </c>
      <c r="T2965" s="211" t="str">
        <f>IFERROR(__xludf.DUMMYFUNCTION("""COMPUTED_VALUE"""),"Bengkel Las Bpk. Ari")</f>
        <v>Bengkel Las Bpk. Ari</v>
      </c>
      <c r="U2965" s="215">
        <f>IFERROR(__xludf.DUMMYFUNCTION("""COMPUTED_VALUE"""),46114.61380787037)</f>
        <v>46114.61381</v>
      </c>
      <c r="V2965" s="211" t="str">
        <f>IFERROR(__xludf.DUMMYFUNCTION("""COMPUTED_VALUE"""),"Sumber Kembar, Wonodadi, Kec. Kutorejo, Kabupaten Mojokerto, Jawa Timur")</f>
        <v>Sumber Kembar, Wonodadi, Kec. Kutorejo, Kabupaten Mojokerto, Jawa Timur</v>
      </c>
      <c r="W2965" s="211" t="str">
        <f>IFERROR(__xludf.DUMMYFUNCTION("""COMPUTED_VALUE"""),"IN")</f>
        <v>IN</v>
      </c>
      <c r="X2965" s="211"/>
    </row>
    <row r="2966">
      <c r="A2966" s="210" t="str">
        <f>IFERROR(__xludf.DUMMYFUNCTION("""COMPUTED_VALUE"""),"1225592068")</f>
        <v>1225592068</v>
      </c>
      <c r="B2966" s="210" t="str">
        <f>IFERROR(__xludf.DUMMYFUNCTION("""COMPUTED_VALUE"""),"1225592068")</f>
        <v>1225592068</v>
      </c>
      <c r="C2966" s="213">
        <f>IFERROR(__xludf.DUMMYFUNCTION("""COMPUTED_VALUE"""),46014.56628472222)</f>
        <v>46014.56628</v>
      </c>
      <c r="D2966" s="211" t="str">
        <f>IFERROR(__xludf.DUMMYFUNCTION("""COMPUTED_VALUE"""),"b2b5f2c5")</f>
        <v>b2b5f2c5</v>
      </c>
      <c r="E2966" s="211" t="str">
        <f>IFERROR(__xludf.DUMMYFUNCTION("""COMPUTED_VALUE"""),"Bengkel Las Bpk. Ari")</f>
        <v>Bengkel Las Bpk. Ari</v>
      </c>
      <c r="F2966" s="211" t="str">
        <f>IFERROR(__xludf.DUMMYFUNCTION("""COMPUTED_VALUE"""),"8bdbe149")</f>
        <v>8bdbe149</v>
      </c>
      <c r="G2966" s="211" t="str">
        <f>IFERROR(__xludf.DUMMYFUNCTION("""COMPUTED_VALUE"""),"Oksigen 6m3")</f>
        <v>Oksigen 6m3</v>
      </c>
      <c r="H2966" s="211" t="str">
        <f>IFERROR(__xludf.DUMMYFUNCTION("""COMPUTED_VALUE"""),"OUT")</f>
        <v>OUT</v>
      </c>
      <c r="I2966" s="211" t="str">
        <f>IFERROR(__xludf.DUMMYFUNCTION("""COMPUTED_VALUE"""),"NORMAL")</f>
        <v>NORMAL</v>
      </c>
      <c r="J2966" s="211">
        <f>IFERROR(__xludf.DUMMYFUNCTION("""COMPUTED_VALUE"""),4.0)</f>
        <v>4</v>
      </c>
      <c r="K2966" s="210" t="str">
        <f>IFERROR(__xludf.DUMMYFUNCTION("""COMPUTED_VALUE"""),"11274 11234 1156 11196")</f>
        <v>11274 11234 1156 11196</v>
      </c>
      <c r="L2966" s="211">
        <f>IFERROR(__xludf.DUMMYFUNCTION("""COMPUTED_VALUE"""),60000.0)</f>
        <v>60000</v>
      </c>
      <c r="M2966" s="211"/>
      <c r="N2966" s="211"/>
      <c r="O2966" s="211"/>
      <c r="Q2966" s="210" t="str">
        <f>IFERROR(__xludf.DUMMYFUNCTION("""COMPUTED_VALUE"""),"1261458")</f>
        <v>1261458</v>
      </c>
      <c r="R2966" s="210" t="str">
        <f>IFERROR(__xludf.DUMMYFUNCTION("""COMPUTED_VALUE"""),"1261458")</f>
        <v>1261458</v>
      </c>
      <c r="S2966" s="211" t="str">
        <f>IFERROR(__xludf.DUMMYFUNCTION("""COMPUTED_VALUE"""),"02c693f1")</f>
        <v>02c693f1</v>
      </c>
      <c r="T2966" s="211" t="str">
        <f>IFERROR(__xludf.DUMMYFUNCTION("""COMPUTED_VALUE"""),"Bpk. Rudi Jaya")</f>
        <v>Bpk. Rudi Jaya</v>
      </c>
      <c r="U2966" s="215">
        <f>IFERROR(__xludf.DUMMYFUNCTION("""COMPUTED_VALUE"""),46114.61483796296)</f>
        <v>46114.61484</v>
      </c>
      <c r="V2966" s="211" t="str">
        <f>IFERROR(__xludf.DUMMYFUNCTION("""COMPUTED_VALUE"""),"Ganting Tulangan, Jalan Raya kenongo ( Jual Beli Besi Tua ), Kec. Tulangan Kabupaten Sidoarjo Jawa Timur 61273")</f>
        <v>Ganting Tulangan, Jalan Raya kenongo ( Jual Beli Besi Tua ), Kec. Tulangan Kabupaten Sidoarjo Jawa Timur 61273</v>
      </c>
      <c r="W2966" s="211" t="str">
        <f>IFERROR(__xludf.DUMMYFUNCTION("""COMPUTED_VALUE"""),"IN")</f>
        <v>IN</v>
      </c>
      <c r="X2966" s="211"/>
    </row>
    <row r="2967">
      <c r="A2967" s="210" t="str">
        <f>IFERROR(__xludf.DUMMYFUNCTION("""COMPUTED_VALUE"""),"250985")</f>
        <v>250985</v>
      </c>
      <c r="B2967" s="210" t="str">
        <f>IFERROR(__xludf.DUMMYFUNCTION("""COMPUTED_VALUE"""),"250985")</f>
        <v>250985</v>
      </c>
      <c r="C2967" s="213">
        <f>IFERROR(__xludf.DUMMYFUNCTION("""COMPUTED_VALUE"""),46015.35417824074)</f>
        <v>46015.35418</v>
      </c>
      <c r="D2967" s="211" t="str">
        <f>IFERROR(__xludf.DUMMYFUNCTION("""COMPUTED_VALUE"""),"b2b5f2c5")</f>
        <v>b2b5f2c5</v>
      </c>
      <c r="E2967" s="211" t="str">
        <f>IFERROR(__xludf.DUMMYFUNCTION("""COMPUTED_VALUE"""),"Bengkel Las Bpk. Ari")</f>
        <v>Bengkel Las Bpk. Ari</v>
      </c>
      <c r="F2967" s="211" t="str">
        <f>IFERROR(__xludf.DUMMYFUNCTION("""COMPUTED_VALUE"""),"8bdbe149")</f>
        <v>8bdbe149</v>
      </c>
      <c r="G2967" s="211" t="str">
        <f>IFERROR(__xludf.DUMMYFUNCTION("""COMPUTED_VALUE"""),"Oksigen 6m3")</f>
        <v>Oksigen 6m3</v>
      </c>
      <c r="H2967" s="211" t="str">
        <f>IFERROR(__xludf.DUMMYFUNCTION("""COMPUTED_VALUE"""),"IN")</f>
        <v>IN</v>
      </c>
      <c r="I2967" s="211" t="str">
        <f>IFERROR(__xludf.DUMMYFUNCTION("""COMPUTED_VALUE"""),"EMPTY")</f>
        <v>EMPTY</v>
      </c>
      <c r="J2967" s="211">
        <f>IFERROR(__xludf.DUMMYFUNCTION("""COMPUTED_VALUE"""),3.0)</f>
        <v>3</v>
      </c>
      <c r="K2967" s="210" t="str">
        <f>IFERROR(__xludf.DUMMYFUNCTION("""COMPUTED_VALUE"""),"1138 11328 11312")</f>
        <v>1138 11328 11312</v>
      </c>
      <c r="L2967" s="211">
        <f>IFERROR(__xludf.DUMMYFUNCTION("""COMPUTED_VALUE"""),0.0)</f>
        <v>0</v>
      </c>
      <c r="M2967" s="211"/>
      <c r="N2967" s="211"/>
      <c r="O2967" s="211"/>
      <c r="Q2967" s="210" t="str">
        <f>IFERROR(__xludf.DUMMYFUNCTION("""COMPUTED_VALUE"""),"1261464")</f>
        <v>1261464</v>
      </c>
      <c r="R2967" s="210" t="str">
        <f>IFERROR(__xludf.DUMMYFUNCTION("""COMPUTED_VALUE"""),"1261464")</f>
        <v>1261464</v>
      </c>
      <c r="S2967" s="211" t="str">
        <f>IFERROR(__xludf.DUMMYFUNCTION("""COMPUTED_VALUE"""),"98c84274")</f>
        <v>98c84274</v>
      </c>
      <c r="T2967" s="211" t="str">
        <f>IFERROR(__xludf.DUMMYFUNCTION("""COMPUTED_VALUE"""),"Bengkel SBM (Pak Hari)")</f>
        <v>Bengkel SBM (Pak Hari)</v>
      </c>
      <c r="U2967" s="215">
        <f>IFERROR(__xludf.DUMMYFUNCTION("""COMPUTED_VALUE"""),46114.667037037034)</f>
        <v>46114.66704</v>
      </c>
      <c r="V2967"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2967" s="211" t="str">
        <f>IFERROR(__xludf.DUMMYFUNCTION("""COMPUTED_VALUE"""),"IN")</f>
        <v>IN</v>
      </c>
      <c r="X2967" s="211"/>
    </row>
    <row r="2968">
      <c r="A2968" s="210" t="str">
        <f>IFERROR(__xludf.DUMMYFUNCTION("""COMPUTED_VALUE"""),"1225742073")</f>
        <v>1225742073</v>
      </c>
      <c r="B2968" s="210" t="str">
        <f>IFERROR(__xludf.DUMMYFUNCTION("""COMPUTED_VALUE"""),"1225742073")</f>
        <v>1225742073</v>
      </c>
      <c r="C2968" s="213">
        <f>IFERROR(__xludf.DUMMYFUNCTION("""COMPUTED_VALUE"""),46015.36939814815)</f>
        <v>46015.3694</v>
      </c>
      <c r="D2968" s="211" t="str">
        <f>IFERROR(__xludf.DUMMYFUNCTION("""COMPUTED_VALUE"""),"e86baf3b")</f>
        <v>e86baf3b</v>
      </c>
      <c r="E2968" s="211" t="str">
        <f>IFERROR(__xludf.DUMMYFUNCTION("""COMPUTED_VALUE"""),"PT GEMILANG CIPTA WAWASAN")</f>
        <v>PT GEMILANG CIPTA WAWASAN</v>
      </c>
      <c r="F2968" s="211" t="str">
        <f>IFERROR(__xludf.DUMMYFUNCTION("""COMPUTED_VALUE"""),"ef306e54")</f>
        <v>ef306e54</v>
      </c>
      <c r="G2968" s="211" t="str">
        <f>IFERROR(__xludf.DUMMYFUNCTION("""COMPUTED_VALUE"""),"Karbondioksida")</f>
        <v>Karbondioksida</v>
      </c>
      <c r="H2968" s="211" t="str">
        <f>IFERROR(__xludf.DUMMYFUNCTION("""COMPUTED_VALUE"""),"OUT")</f>
        <v>OUT</v>
      </c>
      <c r="I2968" s="211" t="str">
        <f>IFERROR(__xludf.DUMMYFUNCTION("""COMPUTED_VALUE"""),"NORMAL")</f>
        <v>NORMAL</v>
      </c>
      <c r="J2968" s="211">
        <f>IFERROR(__xludf.DUMMYFUNCTION("""COMPUTED_VALUE"""),4.0)</f>
        <v>4</v>
      </c>
      <c r="K2968" s="210" t="str">
        <f>IFERROR(__xludf.DUMMYFUNCTION("""COMPUTED_VALUE"""),"13060 13063 13059 13054")</f>
        <v>13060 13063 13059 13054</v>
      </c>
      <c r="L2968" s="211">
        <f>IFERROR(__xludf.DUMMYFUNCTION("""COMPUTED_VALUE"""),180000.0)</f>
        <v>180000</v>
      </c>
      <c r="M2968" s="211"/>
      <c r="N2968" s="211"/>
      <c r="O2968" s="211"/>
      <c r="Q2968" s="210" t="str">
        <f>IFERROR(__xludf.DUMMYFUNCTION("""COMPUTED_VALUE"""),"0426162964")</f>
        <v>0426162964</v>
      </c>
      <c r="R2968" s="210" t="str">
        <f>IFERROR(__xludf.DUMMYFUNCTION("""COMPUTED_VALUE"""),"0426162964")</f>
        <v>0426162964</v>
      </c>
      <c r="S2968" s="211" t="str">
        <f>IFERROR(__xludf.DUMMYFUNCTION("""COMPUTED_VALUE"""),"9b941888")</f>
        <v>9b941888</v>
      </c>
      <c r="T2968" s="211" t="str">
        <f>IFERROR(__xludf.DUMMYFUNCTION("""COMPUTED_VALUE"""),"Mas Devi ( Parengan )")</f>
        <v>Mas Devi ( Parengan )</v>
      </c>
      <c r="U2968" s="215">
        <f>IFERROR(__xludf.DUMMYFUNCTION("""COMPUTED_VALUE"""),46115.352164351854)</f>
        <v>46115.35216</v>
      </c>
      <c r="V2968" s="211" t="str">
        <f>IFERROR(__xludf.DUMMYFUNCTION("""COMPUTED_VALUE"""),"Kraton Krian Sidoarjo, ( sebelah tower listrik )")</f>
        <v>Kraton Krian Sidoarjo, ( sebelah tower listrik )</v>
      </c>
      <c r="W2968" s="211" t="str">
        <f>IFERROR(__xludf.DUMMYFUNCTION("""COMPUTED_VALUE"""),"OUT")</f>
        <v>OUT</v>
      </c>
      <c r="X2968" s="211"/>
    </row>
    <row r="2969">
      <c r="A2969" s="210" t="str">
        <f>IFERROR(__xludf.DUMMYFUNCTION("""COMPUTED_VALUE"""),"1225742073")</f>
        <v>1225742073</v>
      </c>
      <c r="B2969" s="210" t="str">
        <f>IFERROR(__xludf.DUMMYFUNCTION("""COMPUTED_VALUE"""),"1225742073")</f>
        <v>1225742073</v>
      </c>
      <c r="C2969" s="213">
        <f>IFERROR(__xludf.DUMMYFUNCTION("""COMPUTED_VALUE"""),46015.36939814815)</f>
        <v>46015.3694</v>
      </c>
      <c r="D2969" s="211" t="str">
        <f>IFERROR(__xludf.DUMMYFUNCTION("""COMPUTED_VALUE"""),"e86baf3b")</f>
        <v>e86baf3b</v>
      </c>
      <c r="E2969" s="211" t="str">
        <f>IFERROR(__xludf.DUMMYFUNCTION("""COMPUTED_VALUE"""),"PT GEMILANG CIPTA WAWASAN")</f>
        <v>PT GEMILANG CIPTA WAWASAN</v>
      </c>
      <c r="F2969" s="211" t="str">
        <f>IFERROR(__xludf.DUMMYFUNCTION("""COMPUTED_VALUE"""),"be525f3b")</f>
        <v>be525f3b</v>
      </c>
      <c r="G2969" s="211" t="str">
        <f>IFERROR(__xludf.DUMMYFUNCTION("""COMPUTED_VALUE"""),"LPG 12kg")</f>
        <v>LPG 12kg</v>
      </c>
      <c r="H2969" s="211" t="str">
        <f>IFERROR(__xludf.DUMMYFUNCTION("""COMPUTED_VALUE"""),"OUT")</f>
        <v>OUT</v>
      </c>
      <c r="I2969" s="211" t="str">
        <f>IFERROR(__xludf.DUMMYFUNCTION("""COMPUTED_VALUE"""),"NORMAL")</f>
        <v>NORMAL</v>
      </c>
      <c r="J2969" s="211">
        <f>IFERROR(__xludf.DUMMYFUNCTION("""COMPUTED_VALUE"""),4.0)</f>
        <v>4</v>
      </c>
      <c r="K2969" s="210" t="str">
        <f>IFERROR(__xludf.DUMMYFUNCTION("""COMPUTED_VALUE"""),"01 02 03 04")</f>
        <v>01 02 03 04</v>
      </c>
      <c r="L2969" s="211">
        <f>IFERROR(__xludf.DUMMYFUNCTION("""COMPUTED_VALUE"""),210000.0)</f>
        <v>210000</v>
      </c>
      <c r="M2969" s="211"/>
      <c r="N2969" s="211"/>
      <c r="O2969" s="211"/>
      <c r="Q2969" s="210" t="str">
        <f>IFERROR(__xludf.DUMMYFUNCTION("""COMPUTED_VALUE"""),"0426172969")</f>
        <v>0426172969</v>
      </c>
      <c r="R2969" s="210" t="str">
        <f>IFERROR(__xludf.DUMMYFUNCTION("""COMPUTED_VALUE"""),"0426172969")</f>
        <v>0426172969</v>
      </c>
      <c r="S2969" s="211" t="str">
        <f>IFERROR(__xludf.DUMMYFUNCTION("""COMPUTED_VALUE"""),"9b941888")</f>
        <v>9b941888</v>
      </c>
      <c r="T2969" s="211" t="str">
        <f>IFERROR(__xludf.DUMMYFUNCTION("""COMPUTED_VALUE"""),"Mas Devi ( Parengan )")</f>
        <v>Mas Devi ( Parengan )</v>
      </c>
      <c r="U2969" s="215">
        <f>IFERROR(__xludf.DUMMYFUNCTION("""COMPUTED_VALUE"""),46116.35313657407)</f>
        <v>46116.35314</v>
      </c>
      <c r="V2969" s="211" t="str">
        <f>IFERROR(__xludf.DUMMYFUNCTION("""COMPUTED_VALUE"""),"Kraton Krian Sidoarjo, ( sebelah tower listrik )")</f>
        <v>Kraton Krian Sidoarjo, ( sebelah tower listrik )</v>
      </c>
      <c r="W2969" s="211" t="str">
        <f>IFERROR(__xludf.DUMMYFUNCTION("""COMPUTED_VALUE"""),"OUT")</f>
        <v>OUT</v>
      </c>
      <c r="X2969" s="211"/>
    </row>
    <row r="2970">
      <c r="A2970" s="210" t="str">
        <f>IFERROR(__xludf.DUMMYFUNCTION("""COMPUTED_VALUE"""),"1225602075")</f>
        <v>1225602075</v>
      </c>
      <c r="B2970" s="210" t="str">
        <f>IFERROR(__xludf.DUMMYFUNCTION("""COMPUTED_VALUE"""),"1225602075")</f>
        <v>1225602075</v>
      </c>
      <c r="C2970" s="213">
        <f>IFERROR(__xludf.DUMMYFUNCTION("""COMPUTED_VALUE"""),46015.39083333333)</f>
        <v>46015.39083</v>
      </c>
      <c r="D2970" s="211" t="str">
        <f>IFERROR(__xludf.DUMMYFUNCTION("""COMPUTED_VALUE"""),"b2b5f2c5")</f>
        <v>b2b5f2c5</v>
      </c>
      <c r="E2970" s="211" t="str">
        <f>IFERROR(__xludf.DUMMYFUNCTION("""COMPUTED_VALUE"""),"Bengkel Las Bpk. Ari")</f>
        <v>Bengkel Las Bpk. Ari</v>
      </c>
      <c r="F2970" s="211" t="str">
        <f>IFERROR(__xludf.DUMMYFUNCTION("""COMPUTED_VALUE"""),"ef306e54")</f>
        <v>ef306e54</v>
      </c>
      <c r="G2970" s="211" t="str">
        <f>IFERROR(__xludf.DUMMYFUNCTION("""COMPUTED_VALUE"""),"Karbondioksida")</f>
        <v>Karbondioksida</v>
      </c>
      <c r="H2970" s="211" t="str">
        <f>IFERROR(__xludf.DUMMYFUNCTION("""COMPUTED_VALUE"""),"OUT")</f>
        <v>OUT</v>
      </c>
      <c r="I2970" s="211" t="str">
        <f>IFERROR(__xludf.DUMMYFUNCTION("""COMPUTED_VALUE"""),"NORMAL")</f>
        <v>NORMAL</v>
      </c>
      <c r="J2970" s="211">
        <f>IFERROR(__xludf.DUMMYFUNCTION("""COMPUTED_VALUE"""),2.0)</f>
        <v>2</v>
      </c>
      <c r="K2970" s="210" t="str">
        <f>IFERROR(__xludf.DUMMYFUNCTION("""COMPUTED_VALUE"""),"13006 13007")</f>
        <v>13006 13007</v>
      </c>
      <c r="L2970" s="211">
        <f>IFERROR(__xludf.DUMMYFUNCTION("""COMPUTED_VALUE"""),180000.0)</f>
        <v>180000</v>
      </c>
      <c r="M2970" s="211"/>
      <c r="N2970" s="211"/>
      <c r="O2970" s="211"/>
      <c r="Q2970" s="210" t="str">
        <f>IFERROR(__xludf.DUMMYFUNCTION("""COMPUTED_VALUE"""),"0426282970")</f>
        <v>0426282970</v>
      </c>
      <c r="R2970" s="210" t="str">
        <f>IFERROR(__xludf.DUMMYFUNCTION("""COMPUTED_VALUE"""),"0426282970")</f>
        <v>0426282970</v>
      </c>
      <c r="S2970" s="211" t="str">
        <f>IFERROR(__xludf.DUMMYFUNCTION("""COMPUTED_VALUE"""),"8ea74d81")</f>
        <v>8ea74d81</v>
      </c>
      <c r="T2970" s="211" t="str">
        <f>IFERROR(__xludf.DUMMYFUNCTION("""COMPUTED_VALUE"""),"Bengkel Adi Putra")</f>
        <v>Bengkel Adi Putra</v>
      </c>
      <c r="U2970" s="215">
        <f>IFERROR(__xludf.DUMMYFUNCTION("""COMPUTED_VALUE"""),46116.35361111111)</f>
        <v>46116.35361</v>
      </c>
      <c r="V2970" s="211" t="str">
        <f>IFERROR(__xludf.DUMMYFUNCTION("""COMPUTED_VALUE"""),"Bypass Balongbendo")</f>
        <v>Bypass Balongbendo</v>
      </c>
      <c r="W2970" s="211" t="str">
        <f>IFERROR(__xludf.DUMMYFUNCTION("""COMPUTED_VALUE"""),"OUT")</f>
        <v>OUT</v>
      </c>
      <c r="X2970" s="211"/>
    </row>
    <row r="2971">
      <c r="A2971" s="210" t="str">
        <f>IFERROR(__xludf.DUMMYFUNCTION("""COMPUTED_VALUE"""),"1225602075")</f>
        <v>1225602075</v>
      </c>
      <c r="B2971" s="210" t="str">
        <f>IFERROR(__xludf.DUMMYFUNCTION("""COMPUTED_VALUE"""),"1225602075")</f>
        <v>1225602075</v>
      </c>
      <c r="C2971" s="213">
        <f>IFERROR(__xludf.DUMMYFUNCTION("""COMPUTED_VALUE"""),46015.39083333333)</f>
        <v>46015.39083</v>
      </c>
      <c r="D2971" s="211" t="str">
        <f>IFERROR(__xludf.DUMMYFUNCTION("""COMPUTED_VALUE"""),"b2b5f2c5")</f>
        <v>b2b5f2c5</v>
      </c>
      <c r="E2971" s="211" t="str">
        <f>IFERROR(__xludf.DUMMYFUNCTION("""COMPUTED_VALUE"""),"Bengkel Las Bpk. Ari")</f>
        <v>Bengkel Las Bpk. Ari</v>
      </c>
      <c r="F2971" s="211" t="str">
        <f>IFERROR(__xludf.DUMMYFUNCTION("""COMPUTED_VALUE"""),"8bdbe149")</f>
        <v>8bdbe149</v>
      </c>
      <c r="G2971" s="211" t="str">
        <f>IFERROR(__xludf.DUMMYFUNCTION("""COMPUTED_VALUE"""),"Oksigen 6m3")</f>
        <v>Oksigen 6m3</v>
      </c>
      <c r="H2971" s="211" t="str">
        <f>IFERROR(__xludf.DUMMYFUNCTION("""COMPUTED_VALUE"""),"OUT")</f>
        <v>OUT</v>
      </c>
      <c r="I2971" s="211" t="str">
        <f>IFERROR(__xludf.DUMMYFUNCTION("""COMPUTED_VALUE"""),"NORMAL")</f>
        <v>NORMAL</v>
      </c>
      <c r="J2971" s="211">
        <f>IFERROR(__xludf.DUMMYFUNCTION("""COMPUTED_VALUE"""),10.0)</f>
        <v>10</v>
      </c>
      <c r="K2971" s="210" t="str">
        <f>IFERROR(__xludf.DUMMYFUNCTION("""COMPUTED_VALUE"""),"11296 1119 1186 1162 11125 1154 11127 11114 11273 11325")</f>
        <v>11296 1119 1186 1162 11125 1154 11127 11114 11273 11325</v>
      </c>
      <c r="L2971" s="211">
        <f>IFERROR(__xludf.DUMMYFUNCTION("""COMPUTED_VALUE"""),60000.0)</f>
        <v>60000</v>
      </c>
      <c r="M2971" s="211"/>
      <c r="N2971" s="211"/>
      <c r="O2971" s="211"/>
      <c r="Q2971" s="210" t="str">
        <f>IFERROR(__xludf.DUMMYFUNCTION("""COMPUTED_VALUE"""),"042612971")</f>
        <v>042612971</v>
      </c>
      <c r="R2971" s="210" t="str">
        <f>IFERROR(__xludf.DUMMYFUNCTION("""COMPUTED_VALUE"""),"042612971")</f>
        <v>042612971</v>
      </c>
      <c r="S2971" s="211" t="str">
        <f>IFERROR(__xludf.DUMMYFUNCTION("""COMPUTED_VALUE"""),"80c9fe6d")</f>
        <v>80c9fe6d</v>
      </c>
      <c r="T2971" s="211" t="str">
        <f>IFERROR(__xludf.DUMMYFUNCTION("""COMPUTED_VALUE"""),"Bpk Eko Tri Pilar")</f>
        <v>Bpk Eko Tri Pilar</v>
      </c>
      <c r="U2971" s="215">
        <f>IFERROR(__xludf.DUMMYFUNCTION("""COMPUTED_VALUE"""),46116.359305555554)</f>
        <v>46116.35931</v>
      </c>
      <c r="V2971" s="211" t="str">
        <f>IFERROR(__xludf.DUMMYFUNCTION("""COMPUTED_VALUE"""),"JL. Bypass Krian No. 7800. Barengkrajan, Kec. Krian, Kabupaten Sidoarjo, Jawa Timur  61262")</f>
        <v>JL. Bypass Krian No. 7800. Barengkrajan, Kec. Krian, Kabupaten Sidoarjo, Jawa Timur  61262</v>
      </c>
      <c r="W2971" s="211" t="str">
        <f>IFERROR(__xludf.DUMMYFUNCTION("""COMPUTED_VALUE"""),"OUT")</f>
        <v>OUT</v>
      </c>
      <c r="X2971" s="211"/>
    </row>
    <row r="2972">
      <c r="A2972" s="210" t="str">
        <f>IFERROR(__xludf.DUMMYFUNCTION("""COMPUTED_VALUE"""),"122552076")</f>
        <v>122552076</v>
      </c>
      <c r="B2972" s="210" t="str">
        <f>IFERROR(__xludf.DUMMYFUNCTION("""COMPUTED_VALUE"""),"122552076")</f>
        <v>122552076</v>
      </c>
      <c r="C2972" s="213">
        <f>IFERROR(__xludf.DUMMYFUNCTION("""COMPUTED_VALUE"""),46015.42946759259)</f>
        <v>46015.42947</v>
      </c>
      <c r="D2972" s="211" t="str">
        <f>IFERROR(__xludf.DUMMYFUNCTION("""COMPUTED_VALUE"""),"03ff52db")</f>
        <v>03ff52db</v>
      </c>
      <c r="E2972" s="211" t="str">
        <f>IFERROR(__xludf.DUMMYFUNCTION("""COMPUTED_VALUE"""),"Aneka Teknik Logam")</f>
        <v>Aneka Teknik Logam</v>
      </c>
      <c r="F2972" s="211" t="str">
        <f>IFERROR(__xludf.DUMMYFUNCTION("""COMPUTED_VALUE"""),"7d2764f1")</f>
        <v>7d2764f1</v>
      </c>
      <c r="G2972" s="211" t="str">
        <f>IFERROR(__xludf.DUMMYFUNCTION("""COMPUTED_VALUE"""),"Oksigen 7m3")</f>
        <v>Oksigen 7m3</v>
      </c>
      <c r="H2972" s="211" t="str">
        <f>IFERROR(__xludf.DUMMYFUNCTION("""COMPUTED_VALUE"""),"OUT")</f>
        <v>OUT</v>
      </c>
      <c r="I2972" s="211" t="str">
        <f>IFERROR(__xludf.DUMMYFUNCTION("""COMPUTED_VALUE"""),"NORMAL")</f>
        <v>NORMAL</v>
      </c>
      <c r="J2972" s="211">
        <f>IFERROR(__xludf.DUMMYFUNCTION("""COMPUTED_VALUE"""),2.0)</f>
        <v>2</v>
      </c>
      <c r="K2972" s="210" t="str">
        <f>IFERROR(__xludf.DUMMYFUNCTION("""COMPUTED_VALUE"""),"1128 11212")</f>
        <v>1128 11212</v>
      </c>
      <c r="L2972" s="211">
        <f>IFERROR(__xludf.DUMMYFUNCTION("""COMPUTED_VALUE"""),60000.0)</f>
        <v>60000</v>
      </c>
      <c r="M2972" s="211"/>
      <c r="N2972" s="211"/>
      <c r="O2972" s="211"/>
      <c r="Q2972" s="210" t="str">
        <f>IFERROR(__xludf.DUMMYFUNCTION("""COMPUTED_VALUE"""),"4042612928")</f>
        <v>4042612928</v>
      </c>
      <c r="R2972" s="210" t="str">
        <f>IFERROR(__xludf.DUMMYFUNCTION("""COMPUTED_VALUE"""),"4042612928")</f>
        <v>4042612928</v>
      </c>
      <c r="S2972" s="211" t="str">
        <f>IFERROR(__xludf.DUMMYFUNCTION("""COMPUTED_VALUE"""),"58b72e0c")</f>
        <v>58b72e0c</v>
      </c>
      <c r="T2972" s="211" t="str">
        <f>IFERROR(__xludf.DUMMYFUNCTION("""COMPUTED_VALUE"""),"UD. Ais Jaya")</f>
        <v>UD. Ais Jaya</v>
      </c>
      <c r="U2972" s="215">
        <f>IFERROR(__xludf.DUMMYFUNCTION("""COMPUTED_VALUE"""),46116.362175925926)</f>
        <v>46116.36218</v>
      </c>
      <c r="V2972" s="211" t="str">
        <f>IFERROR(__xludf.DUMMYFUNCTION("""COMPUTED_VALUE"""),"Jl. Bypass Krian, Kraton, Kec. Krian, Kabupaten Sidoarjo, Jawa Timur 61262")</f>
        <v>Jl. Bypass Krian, Kraton, Kec. Krian, Kabupaten Sidoarjo, Jawa Timur 61262</v>
      </c>
      <c r="W2972" s="211" t="str">
        <f>IFERROR(__xludf.DUMMYFUNCTION("""COMPUTED_VALUE"""),"OTHER")</f>
        <v>OTHER</v>
      </c>
      <c r="X2972" s="211"/>
    </row>
    <row r="2973">
      <c r="A2973" s="210" t="str">
        <f>IFERROR(__xludf.DUMMYFUNCTION("""COMPUTED_VALUE"""),"1225402077")</f>
        <v>1225402077</v>
      </c>
      <c r="B2973" s="210" t="str">
        <f>IFERROR(__xludf.DUMMYFUNCTION("""COMPUTED_VALUE"""),"1225402077")</f>
        <v>1225402077</v>
      </c>
      <c r="C2973" s="213">
        <f>IFERROR(__xludf.DUMMYFUNCTION("""COMPUTED_VALUE"""),46015.43262731482)</f>
        <v>46015.43263</v>
      </c>
      <c r="D2973" s="211" t="str">
        <f>IFERROR(__xludf.DUMMYFUNCTION("""COMPUTED_VALUE"""),"785e0e07")</f>
        <v>785e0e07</v>
      </c>
      <c r="E2973" s="211" t="str">
        <f>IFERROR(__xludf.DUMMYFUNCTION("""COMPUTED_VALUE"""),"Bpk. Sukirno (Bejo)")</f>
        <v>Bpk. Sukirno (Bejo)</v>
      </c>
      <c r="F2973" s="211" t="str">
        <f>IFERROR(__xludf.DUMMYFUNCTION("""COMPUTED_VALUE"""),"7d2764f1")</f>
        <v>7d2764f1</v>
      </c>
      <c r="G2973" s="211" t="str">
        <f>IFERROR(__xludf.DUMMYFUNCTION("""COMPUTED_VALUE"""),"Oksigen 7m3")</f>
        <v>Oksigen 7m3</v>
      </c>
      <c r="H2973" s="211" t="str">
        <f>IFERROR(__xludf.DUMMYFUNCTION("""COMPUTED_VALUE"""),"OUT")</f>
        <v>OUT</v>
      </c>
      <c r="I2973" s="211" t="str">
        <f>IFERROR(__xludf.DUMMYFUNCTION("""COMPUTED_VALUE"""),"NORMAL")</f>
        <v>NORMAL</v>
      </c>
      <c r="J2973" s="211">
        <f>IFERROR(__xludf.DUMMYFUNCTION("""COMPUTED_VALUE"""),2.0)</f>
        <v>2</v>
      </c>
      <c r="K2973" s="210" t="str">
        <f>IFERROR(__xludf.DUMMYFUNCTION("""COMPUTED_VALUE"""),"11339 11223")</f>
        <v>11339 11223</v>
      </c>
      <c r="L2973" s="211">
        <f>IFERROR(__xludf.DUMMYFUNCTION("""COMPUTED_VALUE"""),60000.0)</f>
        <v>60000</v>
      </c>
      <c r="M2973" s="211"/>
      <c r="N2973" s="211"/>
      <c r="O2973" s="211"/>
      <c r="Q2973" s="210" t="str">
        <f>IFERROR(__xludf.DUMMYFUNCTION("""COMPUTED_VALUE"""),"0426422972")</f>
        <v>0426422972</v>
      </c>
      <c r="R2973" s="210" t="str">
        <f>IFERROR(__xludf.DUMMYFUNCTION("""COMPUTED_VALUE"""),"0426422972")</f>
        <v>0426422972</v>
      </c>
      <c r="S2973" s="211" t="str">
        <f>IFERROR(__xludf.DUMMYFUNCTION("""COMPUTED_VALUE"""),"ce83e171")</f>
        <v>ce83e171</v>
      </c>
      <c r="T2973" s="211" t="str">
        <f>IFERROR(__xludf.DUMMYFUNCTION("""COMPUTED_VALUE"""),"Bpk. Sulaiman")</f>
        <v>Bpk. Sulaiman</v>
      </c>
      <c r="U2973" s="215">
        <f>IFERROR(__xludf.DUMMYFUNCTION("""COMPUTED_VALUE"""),46116.36268518519)</f>
        <v>46116.36269</v>
      </c>
      <c r="V2973" s="211" t="str">
        <f>IFERROR(__xludf.DUMMYFUNCTION("""COMPUTED_VALUE"""),"Jl. Raya Kramat Temenggung No.43, Kramat, Kramat Temenggung, Kec. Tarik, Kabupaten Sidoarjo, Jawa Timur 61265")</f>
        <v>Jl. Raya Kramat Temenggung No.43, Kramat, Kramat Temenggung, Kec. Tarik, Kabupaten Sidoarjo, Jawa Timur 61265</v>
      </c>
      <c r="W2973" s="211" t="str">
        <f>IFERROR(__xludf.DUMMYFUNCTION("""COMPUTED_VALUE"""),"OUT")</f>
        <v>OUT</v>
      </c>
      <c r="X2973" s="211"/>
    </row>
    <row r="2974">
      <c r="A2974" s="210" t="str">
        <f>IFERROR(__xludf.DUMMYFUNCTION("""COMPUTED_VALUE"""),"1225402077")</f>
        <v>1225402077</v>
      </c>
      <c r="B2974" s="210" t="str">
        <f>IFERROR(__xludf.DUMMYFUNCTION("""COMPUTED_VALUE"""),"1225402077")</f>
        <v>1225402077</v>
      </c>
      <c r="C2974" s="213">
        <f>IFERROR(__xludf.DUMMYFUNCTION("""COMPUTED_VALUE"""),46015.43262731482)</f>
        <v>46015.43263</v>
      </c>
      <c r="D2974" s="211" t="str">
        <f>IFERROR(__xludf.DUMMYFUNCTION("""COMPUTED_VALUE"""),"785e0e07")</f>
        <v>785e0e07</v>
      </c>
      <c r="E2974" s="211" t="str">
        <f>IFERROR(__xludf.DUMMYFUNCTION("""COMPUTED_VALUE"""),"Bpk. Sukirno (Bejo)")</f>
        <v>Bpk. Sukirno (Bejo)</v>
      </c>
      <c r="F2974" s="211" t="str">
        <f>IFERROR(__xludf.DUMMYFUNCTION("""COMPUTED_VALUE"""),"8bdbe149")</f>
        <v>8bdbe149</v>
      </c>
      <c r="G2974" s="211" t="str">
        <f>IFERROR(__xludf.DUMMYFUNCTION("""COMPUTED_VALUE"""),"Oksigen 6m3")</f>
        <v>Oksigen 6m3</v>
      </c>
      <c r="H2974" s="211" t="str">
        <f>IFERROR(__xludf.DUMMYFUNCTION("""COMPUTED_VALUE"""),"OUT")</f>
        <v>OUT</v>
      </c>
      <c r="I2974" s="211" t="str">
        <f>IFERROR(__xludf.DUMMYFUNCTION("""COMPUTED_VALUE"""),"NORMAL")</f>
        <v>NORMAL</v>
      </c>
      <c r="J2974" s="211">
        <f>IFERROR(__xludf.DUMMYFUNCTION("""COMPUTED_VALUE"""),8.0)</f>
        <v>8</v>
      </c>
      <c r="K2974" s="210" t="str">
        <f>IFERROR(__xludf.DUMMYFUNCTION("""COMPUTED_VALUE"""),"11268 11134 11107 11286 1136 1142 11100 11277")</f>
        <v>11268 11134 11107 11286 1136 1142 11100 11277</v>
      </c>
      <c r="L2974" s="211">
        <f>IFERROR(__xludf.DUMMYFUNCTION("""COMPUTED_VALUE"""),60000.0)</f>
        <v>60000</v>
      </c>
      <c r="M2974" s="211"/>
      <c r="N2974" s="211"/>
      <c r="O2974" s="211"/>
      <c r="Q2974" s="210" t="str">
        <f>IFERROR(__xludf.DUMMYFUNCTION("""COMPUTED_VALUE"""),"1261465")</f>
        <v>1261465</v>
      </c>
      <c r="R2974" s="210" t="str">
        <f>IFERROR(__xludf.DUMMYFUNCTION("""COMPUTED_VALUE"""),"1261465")</f>
        <v>1261465</v>
      </c>
      <c r="S2974" s="211" t="str">
        <f>IFERROR(__xludf.DUMMYFUNCTION("""COMPUTED_VALUE"""),"9b941888")</f>
        <v>9b941888</v>
      </c>
      <c r="T2974" s="211" t="str">
        <f>IFERROR(__xludf.DUMMYFUNCTION("""COMPUTED_VALUE"""),"Mas Devi ( Parengan )")</f>
        <v>Mas Devi ( Parengan )</v>
      </c>
      <c r="U2974" s="215">
        <f>IFERROR(__xludf.DUMMYFUNCTION("""COMPUTED_VALUE"""),46116.36486111111)</f>
        <v>46116.36486</v>
      </c>
      <c r="V2974" s="211" t="str">
        <f>IFERROR(__xludf.DUMMYFUNCTION("""COMPUTED_VALUE"""),"Kraton Krian Sidoarjo, ( sebelah tower listrik )")</f>
        <v>Kraton Krian Sidoarjo, ( sebelah tower listrik )</v>
      </c>
      <c r="W2974" s="211" t="str">
        <f>IFERROR(__xludf.DUMMYFUNCTION("""COMPUTED_VALUE"""),"IN")</f>
        <v>IN</v>
      </c>
      <c r="X2974" s="211"/>
    </row>
    <row r="2975">
      <c r="A2975" s="210" t="str">
        <f>IFERROR(__xludf.DUMMYFUNCTION("""COMPUTED_VALUE"""),"1251016")</f>
        <v>1251016</v>
      </c>
      <c r="B2975" s="210" t="str">
        <f>IFERROR(__xludf.DUMMYFUNCTION("""COMPUTED_VALUE"""),"1251016")</f>
        <v>1251016</v>
      </c>
      <c r="C2975" s="213">
        <f>IFERROR(__xludf.DUMMYFUNCTION("""COMPUTED_VALUE"""),46015.444236111114)</f>
        <v>46015.44424</v>
      </c>
      <c r="D2975" s="211" t="str">
        <f>IFERROR(__xludf.DUMMYFUNCTION("""COMPUTED_VALUE"""),"880b1d17")</f>
        <v>880b1d17</v>
      </c>
      <c r="E2975" s="211" t="str">
        <f>IFERROR(__xludf.DUMMYFUNCTION("""COMPUTED_VALUE"""),"Bpk. Suyadi")</f>
        <v>Bpk. Suyadi</v>
      </c>
      <c r="F2975" s="211" t="str">
        <f>IFERROR(__xludf.DUMMYFUNCTION("""COMPUTED_VALUE"""),"ef306e54")</f>
        <v>ef306e54</v>
      </c>
      <c r="G2975" s="211" t="str">
        <f>IFERROR(__xludf.DUMMYFUNCTION("""COMPUTED_VALUE"""),"Karbondioksida")</f>
        <v>Karbondioksida</v>
      </c>
      <c r="H2975" s="211" t="str">
        <f>IFERROR(__xludf.DUMMYFUNCTION("""COMPUTED_VALUE"""),"IN")</f>
        <v>IN</v>
      </c>
      <c r="I2975" s="211" t="str">
        <f>IFERROR(__xludf.DUMMYFUNCTION("""COMPUTED_VALUE"""),"EMPTY")</f>
        <v>EMPTY</v>
      </c>
      <c r="J2975" s="211">
        <f>IFERROR(__xludf.DUMMYFUNCTION("""COMPUTED_VALUE"""),8.0)</f>
        <v>8</v>
      </c>
      <c r="K2975" s="210" t="str">
        <f>IFERROR(__xludf.DUMMYFUNCTION("""COMPUTED_VALUE"""),"13032 13035 13026 13050 13015 13047 13052 13051")</f>
        <v>13032 13035 13026 13050 13015 13047 13052 13051</v>
      </c>
      <c r="L2975" s="211">
        <f>IFERROR(__xludf.DUMMYFUNCTION("""COMPUTED_VALUE"""),0.0)</f>
        <v>0</v>
      </c>
      <c r="M2975" s="211"/>
      <c r="N2975" s="211"/>
      <c r="O2975" s="211"/>
      <c r="Q2975" s="210" t="str">
        <f>IFERROR(__xludf.DUMMYFUNCTION("""COMPUTED_VALUE"""),"0426272974")</f>
        <v>0426272974</v>
      </c>
      <c r="R2975" s="210" t="str">
        <f>IFERROR(__xludf.DUMMYFUNCTION("""COMPUTED_VALUE"""),"0426272974")</f>
        <v>0426272974</v>
      </c>
      <c r="S2975" s="211" t="str">
        <f>IFERROR(__xludf.DUMMYFUNCTION("""COMPUTED_VALUE"""),"3bcd7fe6")</f>
        <v>3bcd7fe6</v>
      </c>
      <c r="T2975" s="211" t="str">
        <f>IFERROR(__xludf.DUMMYFUNCTION("""COMPUTED_VALUE"""),"Bpk. Alvin (LB Group)")</f>
        <v>Bpk. Alvin (LB Group)</v>
      </c>
      <c r="U2975" s="215">
        <f>IFERROR(__xludf.DUMMYFUNCTION("""COMPUTED_VALUE"""),46116.36982638889)</f>
        <v>46116.36983</v>
      </c>
      <c r="V2975" s="211" t="str">
        <f>IFERROR(__xludf.DUMMYFUNCTION("""COMPUTED_VALUE"""),"MFF9+XHC, Jalan, Tambakrejo, Temuireng, Kec. Dawar Blandong, Kabupaten Mojokerto, Jawa Timur 61354")</f>
        <v>MFF9+XHC, Jalan, Tambakrejo, Temuireng, Kec. Dawar Blandong, Kabupaten Mojokerto, Jawa Timur 61354</v>
      </c>
      <c r="W2975" s="211" t="str">
        <f>IFERROR(__xludf.DUMMYFUNCTION("""COMPUTED_VALUE"""),"OUT")</f>
        <v>OUT</v>
      </c>
      <c r="X2975" s="211"/>
    </row>
    <row r="2976">
      <c r="A2976" s="210" t="str">
        <f>IFERROR(__xludf.DUMMYFUNCTION("""COMPUTED_VALUE"""),"1250996")</f>
        <v>1250996</v>
      </c>
      <c r="B2976" s="210" t="str">
        <f>IFERROR(__xludf.DUMMYFUNCTION("""COMPUTED_VALUE"""),"1250996")</f>
        <v>1250996</v>
      </c>
      <c r="C2976" s="213">
        <f>IFERROR(__xludf.DUMMYFUNCTION("""COMPUTED_VALUE"""),46015.46444444444)</f>
        <v>46015.46444</v>
      </c>
      <c r="D2976" s="211" t="str">
        <f>IFERROR(__xludf.DUMMYFUNCTION("""COMPUTED_VALUE"""),"e86baf3b")</f>
        <v>e86baf3b</v>
      </c>
      <c r="E2976" s="211" t="str">
        <f>IFERROR(__xludf.DUMMYFUNCTION("""COMPUTED_VALUE"""),"PT GEMILANG CIPTA WAWASAN")</f>
        <v>PT GEMILANG CIPTA WAWASAN</v>
      </c>
      <c r="F2976" s="211" t="str">
        <f>IFERROR(__xludf.DUMMYFUNCTION("""COMPUTED_VALUE"""),"66af7c72")</f>
        <v>66af7c72</v>
      </c>
      <c r="G2976" s="211" t="str">
        <f>IFERROR(__xludf.DUMMYFUNCTION("""COMPUTED_VALUE"""),"Argon 6m3")</f>
        <v>Argon 6m3</v>
      </c>
      <c r="H2976" s="211" t="str">
        <f>IFERROR(__xludf.DUMMYFUNCTION("""COMPUTED_VALUE"""),"IN")</f>
        <v>IN</v>
      </c>
      <c r="I2976" s="211" t="str">
        <f>IFERROR(__xludf.DUMMYFUNCTION("""COMPUTED_VALUE"""),"EMPTY")</f>
        <v>EMPTY</v>
      </c>
      <c r="J2976" s="211">
        <f>IFERROR(__xludf.DUMMYFUNCTION("""COMPUTED_VALUE"""),1.0)</f>
        <v>1</v>
      </c>
      <c r="K2976" s="210" t="str">
        <f>IFERROR(__xludf.DUMMYFUNCTION("""COMPUTED_VALUE"""),"12001")</f>
        <v>12001</v>
      </c>
      <c r="L2976" s="211">
        <f>IFERROR(__xludf.DUMMYFUNCTION("""COMPUTED_VALUE"""),0.0)</f>
        <v>0</v>
      </c>
      <c r="M2976" s="211"/>
      <c r="N2976" s="211"/>
      <c r="O2976" s="211"/>
      <c r="Q2976" s="210" t="str">
        <f>IFERROR(__xludf.DUMMYFUNCTION("""COMPUTED_VALUE"""),"0426982976")</f>
        <v>0426982976</v>
      </c>
      <c r="R2976" s="210" t="str">
        <f>IFERROR(__xludf.DUMMYFUNCTION("""COMPUTED_VALUE"""),"0426982976")</f>
        <v>0426982976</v>
      </c>
      <c r="S2976" s="211" t="str">
        <f>IFERROR(__xludf.DUMMYFUNCTION("""COMPUTED_VALUE"""),"b2b5f2c5")</f>
        <v>b2b5f2c5</v>
      </c>
      <c r="T2976" s="211" t="str">
        <f>IFERROR(__xludf.DUMMYFUNCTION("""COMPUTED_VALUE"""),"Bengkel Las Bpk. Ari")</f>
        <v>Bengkel Las Bpk. Ari</v>
      </c>
      <c r="U2976" s="215">
        <f>IFERROR(__xludf.DUMMYFUNCTION("""COMPUTED_VALUE"""),46116.37260416667)</f>
        <v>46116.3726</v>
      </c>
      <c r="V2976" s="211" t="str">
        <f>IFERROR(__xludf.DUMMYFUNCTION("""COMPUTED_VALUE"""),"Sumber Kembar, Wonodadi, Kec. Kutorejo, Kabupaten Mojokerto, Jawa Timur")</f>
        <v>Sumber Kembar, Wonodadi, Kec. Kutorejo, Kabupaten Mojokerto, Jawa Timur</v>
      </c>
      <c r="W2976" s="211" t="str">
        <f>IFERROR(__xludf.DUMMYFUNCTION("""COMPUTED_VALUE"""),"OUT")</f>
        <v>OUT</v>
      </c>
      <c r="X2976" s="211"/>
    </row>
    <row r="2977">
      <c r="A2977" s="210" t="str">
        <f>IFERROR(__xludf.DUMMYFUNCTION("""COMPUTED_VALUE"""),"1250996")</f>
        <v>1250996</v>
      </c>
      <c r="B2977" s="210" t="str">
        <f>IFERROR(__xludf.DUMMYFUNCTION("""COMPUTED_VALUE"""),"1250996")</f>
        <v>1250996</v>
      </c>
      <c r="C2977" s="213">
        <f>IFERROR(__xludf.DUMMYFUNCTION("""COMPUTED_VALUE"""),46015.46444444444)</f>
        <v>46015.46444</v>
      </c>
      <c r="D2977" s="211" t="str">
        <f>IFERROR(__xludf.DUMMYFUNCTION("""COMPUTED_VALUE"""),"e86baf3b")</f>
        <v>e86baf3b</v>
      </c>
      <c r="E2977" s="211" t="str">
        <f>IFERROR(__xludf.DUMMYFUNCTION("""COMPUTED_VALUE"""),"PT GEMILANG CIPTA WAWASAN")</f>
        <v>PT GEMILANG CIPTA WAWASAN</v>
      </c>
      <c r="F2977" s="211" t="str">
        <f>IFERROR(__xludf.DUMMYFUNCTION("""COMPUTED_VALUE"""),"be525f3b")</f>
        <v>be525f3b</v>
      </c>
      <c r="G2977" s="211" t="str">
        <f>IFERROR(__xludf.DUMMYFUNCTION("""COMPUTED_VALUE"""),"LPG 12kg")</f>
        <v>LPG 12kg</v>
      </c>
      <c r="H2977" s="211" t="str">
        <f>IFERROR(__xludf.DUMMYFUNCTION("""COMPUTED_VALUE"""),"IN")</f>
        <v>IN</v>
      </c>
      <c r="I2977" s="211" t="str">
        <f>IFERROR(__xludf.DUMMYFUNCTION("""COMPUTED_VALUE"""),"EMPTY")</f>
        <v>EMPTY</v>
      </c>
      <c r="J2977" s="211">
        <f>IFERROR(__xludf.DUMMYFUNCTION("""COMPUTED_VALUE"""),1.0)</f>
        <v>1</v>
      </c>
      <c r="K2977" s="210" t="str">
        <f>IFERROR(__xludf.DUMMYFUNCTION("""COMPUTED_VALUE"""),"01")</f>
        <v>01</v>
      </c>
      <c r="L2977" s="211">
        <f>IFERROR(__xludf.DUMMYFUNCTION("""COMPUTED_VALUE"""),0.0)</f>
        <v>0</v>
      </c>
      <c r="M2977" s="211"/>
      <c r="N2977" s="211"/>
      <c r="O2977" s="211"/>
      <c r="Q2977" s="210" t="str">
        <f>IFERROR(__xludf.DUMMYFUNCTION("""COMPUTED_VALUE"""),"042622977")</f>
        <v>042622977</v>
      </c>
      <c r="R2977" s="210" t="str">
        <f>IFERROR(__xludf.DUMMYFUNCTION("""COMPUTED_VALUE"""),"042622977")</f>
        <v>042622977</v>
      </c>
      <c r="S2977" s="211" t="str">
        <f>IFERROR(__xludf.DUMMYFUNCTION("""COMPUTED_VALUE"""),"89d46c39")</f>
        <v>89d46c39</v>
      </c>
      <c r="T2977" s="211" t="str">
        <f>IFERROR(__xludf.DUMMYFUNCTION("""COMPUTED_VALUE"""),"PT Cakar Baja Persada")</f>
        <v>PT Cakar Baja Persada</v>
      </c>
      <c r="U2977" s="215">
        <f>IFERROR(__xludf.DUMMYFUNCTION("""COMPUTED_VALUE"""),46116.4200462963)</f>
        <v>46116.42005</v>
      </c>
      <c r="V2977" s="211" t="str">
        <f>IFERROR(__xludf.DUMMYFUNCTION("""COMPUTED_VALUE"""),"Pergudangan Jaya Park Blok E.02,  JI. Mayjen Yono Sungkono, Watesari, Balongbendo, Sidoarjo")</f>
        <v>Pergudangan Jaya Park Blok E.02,  JI. Mayjen Yono Sungkono, Watesari, Balongbendo, Sidoarjo</v>
      </c>
      <c r="W2977" s="211" t="str">
        <f>IFERROR(__xludf.DUMMYFUNCTION("""COMPUTED_VALUE"""),"OUT")</f>
        <v>OUT</v>
      </c>
      <c r="X2977" s="211"/>
    </row>
    <row r="2978">
      <c r="A2978" s="210" t="str">
        <f>IFERROR(__xludf.DUMMYFUNCTION("""COMPUTED_VALUE"""),"1250997")</f>
        <v>1250997</v>
      </c>
      <c r="B2978" s="210" t="str">
        <f>IFERROR(__xludf.DUMMYFUNCTION("""COMPUTED_VALUE"""),"1250997")</f>
        <v>1250997</v>
      </c>
      <c r="C2978" s="213">
        <f>IFERROR(__xludf.DUMMYFUNCTION("""COMPUTED_VALUE"""),46015.46538194444)</f>
        <v>46015.46538</v>
      </c>
      <c r="D2978" s="211" t="str">
        <f>IFERROR(__xludf.DUMMYFUNCTION("""COMPUTED_VALUE"""),"01158be1")</f>
        <v>01158be1</v>
      </c>
      <c r="E2978" s="211" t="str">
        <f>IFERROR(__xludf.DUMMYFUNCTION("""COMPUTED_VALUE"""),"GYF")</f>
        <v>GYF</v>
      </c>
      <c r="F2978" s="211" t="str">
        <f>IFERROR(__xludf.DUMMYFUNCTION("""COMPUTED_VALUE"""),"8bdbe149")</f>
        <v>8bdbe149</v>
      </c>
      <c r="G2978" s="211" t="str">
        <f>IFERROR(__xludf.DUMMYFUNCTION("""COMPUTED_VALUE"""),"Oksigen 6m3")</f>
        <v>Oksigen 6m3</v>
      </c>
      <c r="H2978" s="211" t="str">
        <f>IFERROR(__xludf.DUMMYFUNCTION("""COMPUTED_VALUE"""),"IN")</f>
        <v>IN</v>
      </c>
      <c r="I2978" s="211" t="str">
        <f>IFERROR(__xludf.DUMMYFUNCTION("""COMPUTED_VALUE"""),"EMPTY")</f>
        <v>EMPTY</v>
      </c>
      <c r="J2978" s="211">
        <f>IFERROR(__xludf.DUMMYFUNCTION("""COMPUTED_VALUE"""),6.0)</f>
        <v>6</v>
      </c>
      <c r="K2978" s="210" t="str">
        <f>IFERROR(__xludf.DUMMYFUNCTION("""COMPUTED_VALUE"""),"11317 1176 11322 11319 11124 11209")</f>
        <v>11317 1176 11322 11319 11124 11209</v>
      </c>
      <c r="L2978" s="211">
        <f>IFERROR(__xludf.DUMMYFUNCTION("""COMPUTED_VALUE"""),0.0)</f>
        <v>0</v>
      </c>
      <c r="M2978" s="211"/>
      <c r="N2978" s="211"/>
      <c r="O2978" s="211"/>
      <c r="Q2978" s="210" t="str">
        <f>IFERROR(__xludf.DUMMYFUNCTION("""COMPUTED_VALUE"""),"1261467")</f>
        <v>1261467</v>
      </c>
      <c r="R2978" s="210" t="str">
        <f>IFERROR(__xludf.DUMMYFUNCTION("""COMPUTED_VALUE"""),"1261467")</f>
        <v>1261467</v>
      </c>
      <c r="S2978" s="211" t="str">
        <f>IFERROR(__xludf.DUMMYFUNCTION("""COMPUTED_VALUE"""),"1c4d5e93")</f>
        <v>1c4d5e93</v>
      </c>
      <c r="T2978" s="211" t="str">
        <f>IFERROR(__xludf.DUMMYFUNCTION("""COMPUTED_VALUE"""),"Karoseri Cipta Mitra Sukses")</f>
        <v>Karoseri Cipta Mitra Sukses</v>
      </c>
      <c r="U2978" s="215">
        <f>IFERROR(__xludf.DUMMYFUNCTION("""COMPUTED_VALUE"""),46116.43392361111)</f>
        <v>46116.43392</v>
      </c>
      <c r="V2978" s="211" t="str">
        <f>IFERROR(__xludf.DUMMYFUNCTION("""COMPUTED_VALUE"""),"JL. Bypass Krian No. 7800, Blok B No 11. Barengkrajan, Kec. Krian, Kabupaten Sidoarjo, Jawa Timur  61262")</f>
        <v>JL. Bypass Krian No. 7800, Blok B No 11. Barengkrajan, Kec. Krian, Kabupaten Sidoarjo, Jawa Timur  61262</v>
      </c>
      <c r="W2978" s="211" t="str">
        <f>IFERROR(__xludf.DUMMYFUNCTION("""COMPUTED_VALUE"""),"IN")</f>
        <v>IN</v>
      </c>
      <c r="X2978" s="211"/>
    </row>
    <row r="2979">
      <c r="A2979" s="211"/>
      <c r="B2979" s="211"/>
      <c r="C2979" s="211"/>
      <c r="D2979" s="211"/>
      <c r="E2979" s="211"/>
      <c r="F2979" s="211"/>
      <c r="G2979" s="211"/>
      <c r="H2979" s="211"/>
      <c r="I2979" s="211"/>
      <c r="J2979" s="211"/>
      <c r="K2979" s="211"/>
      <c r="L2979" s="211"/>
      <c r="M2979" s="211"/>
      <c r="N2979" s="211"/>
      <c r="O2979" s="211"/>
      <c r="Q2979" s="210" t="str">
        <f>IFERROR(__xludf.DUMMYFUNCTION("""COMPUTED_VALUE"""),"1261466")</f>
        <v>1261466</v>
      </c>
      <c r="R2979" s="210" t="str">
        <f>IFERROR(__xludf.DUMMYFUNCTION("""COMPUTED_VALUE"""),"1261466")</f>
        <v>1261466</v>
      </c>
      <c r="S2979" s="211" t="str">
        <f>IFERROR(__xludf.DUMMYFUNCTION("""COMPUTED_VALUE"""),"8ea74d81")</f>
        <v>8ea74d81</v>
      </c>
      <c r="T2979" s="211" t="str">
        <f>IFERROR(__xludf.DUMMYFUNCTION("""COMPUTED_VALUE"""),"Bengkel Adi Putra")</f>
        <v>Bengkel Adi Putra</v>
      </c>
      <c r="U2979" s="215">
        <f>IFERROR(__xludf.DUMMYFUNCTION("""COMPUTED_VALUE"""),46116.43436342593)</f>
        <v>46116.43436</v>
      </c>
      <c r="V2979" s="211" t="str">
        <f>IFERROR(__xludf.DUMMYFUNCTION("""COMPUTED_VALUE"""),"Bypass Balongbendo")</f>
        <v>Bypass Balongbendo</v>
      </c>
      <c r="W2979" s="211" t="str">
        <f>IFERROR(__xludf.DUMMYFUNCTION("""COMPUTED_VALUE"""),"IN")</f>
        <v>IN</v>
      </c>
      <c r="X2979" s="211"/>
    </row>
    <row r="2980">
      <c r="A2980" s="211"/>
      <c r="B2980" s="211"/>
      <c r="C2980" s="211"/>
      <c r="D2980" s="211"/>
      <c r="E2980" s="211"/>
      <c r="F2980" s="211"/>
      <c r="G2980" s="211"/>
      <c r="H2980" s="211"/>
      <c r="I2980" s="211"/>
      <c r="J2980" s="211"/>
      <c r="K2980" s="211"/>
      <c r="L2980" s="211"/>
      <c r="M2980" s="211"/>
      <c r="N2980" s="211"/>
      <c r="O2980" s="211"/>
      <c r="Q2980" s="210" t="str">
        <f>IFERROR(__xludf.DUMMYFUNCTION("""COMPUTED_VALUE"""),"1261460")</f>
        <v>1261460</v>
      </c>
      <c r="R2980" s="210" t="str">
        <f>IFERROR(__xludf.DUMMYFUNCTION("""COMPUTED_VALUE"""),"1261460")</f>
        <v>1261460</v>
      </c>
      <c r="S2980" s="211" t="str">
        <f>IFERROR(__xludf.DUMMYFUNCTION("""COMPUTED_VALUE"""),"3bcd7fe6")</f>
        <v>3bcd7fe6</v>
      </c>
      <c r="T2980" s="211" t="str">
        <f>IFERROR(__xludf.DUMMYFUNCTION("""COMPUTED_VALUE"""),"Bpk. Alvin (LB Group)")</f>
        <v>Bpk. Alvin (LB Group)</v>
      </c>
      <c r="U2980" s="215">
        <f>IFERROR(__xludf.DUMMYFUNCTION("""COMPUTED_VALUE"""),46116.55902777778)</f>
        <v>46116.55903</v>
      </c>
      <c r="V2980" s="211" t="str">
        <f>IFERROR(__xludf.DUMMYFUNCTION("""COMPUTED_VALUE"""),"MFF9+XHC, Jalan, Tambakrejo, Temuireng, Kec. Dawar Blandong, Kabupaten Mojokerto, Jawa Timur 61354")</f>
        <v>MFF9+XHC, Jalan, Tambakrejo, Temuireng, Kec. Dawar Blandong, Kabupaten Mojokerto, Jawa Timur 61354</v>
      </c>
      <c r="W2980" s="211" t="str">
        <f>IFERROR(__xludf.DUMMYFUNCTION("""COMPUTED_VALUE"""),"IN")</f>
        <v>IN</v>
      </c>
      <c r="X2980" s="211"/>
    </row>
    <row r="2981">
      <c r="A2981" s="211"/>
      <c r="B2981" s="211"/>
      <c r="C2981" s="211"/>
      <c r="D2981" s="211"/>
      <c r="E2981" s="211"/>
      <c r="F2981" s="211"/>
      <c r="G2981" s="211"/>
      <c r="H2981" s="211"/>
      <c r="I2981" s="211"/>
      <c r="J2981" s="211"/>
      <c r="K2981" s="211"/>
      <c r="L2981" s="211"/>
      <c r="M2981" s="211"/>
      <c r="N2981" s="211"/>
      <c r="O2981" s="211"/>
      <c r="Q2981" s="210" t="str">
        <f>IFERROR(__xludf.DUMMYFUNCTION("""COMPUTED_VALUE"""),"1261491")</f>
        <v>1261491</v>
      </c>
      <c r="R2981" s="210" t="str">
        <f>IFERROR(__xludf.DUMMYFUNCTION("""COMPUTED_VALUE"""),"1261491")</f>
        <v>1261491</v>
      </c>
      <c r="S2981" s="211" t="str">
        <f>IFERROR(__xludf.DUMMYFUNCTION("""COMPUTED_VALUE"""),"3b04351a")</f>
        <v>3b04351a</v>
      </c>
      <c r="T2981" s="211" t="str">
        <f>IFERROR(__xludf.DUMMYFUNCTION("""COMPUTED_VALUE"""),"CV Usaha Logam Jaya")</f>
        <v>CV Usaha Logam Jaya</v>
      </c>
      <c r="U2981" s="215">
        <f>IFERROR(__xludf.DUMMYFUNCTION("""COMPUTED_VALUE"""),46116.55978009259)</f>
        <v>46116.55978</v>
      </c>
      <c r="V2981" s="211" t="str">
        <f>IFERROR(__xludf.DUMMYFUNCTION("""COMPUTED_VALUE"""),"Jl. Jetis Karya, Wonorejo, Jetis, Kec. Jetis, Kabupaten Mojokerto, Jawa Timur 61352")</f>
        <v>Jl. Jetis Karya, Wonorejo, Jetis, Kec. Jetis, Kabupaten Mojokerto, Jawa Timur 61352</v>
      </c>
      <c r="W2981" s="211" t="str">
        <f>IFERROR(__xludf.DUMMYFUNCTION("""COMPUTED_VALUE"""),"IN")</f>
        <v>IN</v>
      </c>
      <c r="X2981" s="211"/>
    </row>
    <row r="2982">
      <c r="A2982" s="210" t="str">
        <f>IFERROR(__xludf.DUMMYFUNCTION("""COMPUTED_VALUE"""),"1251007")</f>
        <v>1251007</v>
      </c>
      <c r="B2982" s="210" t="str">
        <f>IFERROR(__xludf.DUMMYFUNCTION("""COMPUTED_VALUE"""),"1251007")</f>
        <v>1251007</v>
      </c>
      <c r="C2982" s="213">
        <f>IFERROR(__xludf.DUMMYFUNCTION("""COMPUTED_VALUE"""),46015.596284722225)</f>
        <v>46015.59628</v>
      </c>
      <c r="D2982" s="211" t="str">
        <f>IFERROR(__xludf.DUMMYFUNCTION("""COMPUTED_VALUE"""),"b2b5f2c5")</f>
        <v>b2b5f2c5</v>
      </c>
      <c r="E2982" s="211" t="str">
        <f>IFERROR(__xludf.DUMMYFUNCTION("""COMPUTED_VALUE"""),"Bengkel Las Bpk. Ari")</f>
        <v>Bengkel Las Bpk. Ari</v>
      </c>
      <c r="F2982" s="211" t="str">
        <f>IFERROR(__xludf.DUMMYFUNCTION("""COMPUTED_VALUE"""),"ef306e54")</f>
        <v>ef306e54</v>
      </c>
      <c r="G2982" s="211" t="str">
        <f>IFERROR(__xludf.DUMMYFUNCTION("""COMPUTED_VALUE"""),"Karbondioksida")</f>
        <v>Karbondioksida</v>
      </c>
      <c r="H2982" s="211" t="str">
        <f>IFERROR(__xludf.DUMMYFUNCTION("""COMPUTED_VALUE"""),"IN")</f>
        <v>IN</v>
      </c>
      <c r="I2982" s="211" t="str">
        <f>IFERROR(__xludf.DUMMYFUNCTION("""COMPUTED_VALUE"""),"EMPTY")</f>
        <v>EMPTY</v>
      </c>
      <c r="J2982" s="211">
        <f>IFERROR(__xludf.DUMMYFUNCTION("""COMPUTED_VALUE"""),1.0)</f>
        <v>1</v>
      </c>
      <c r="K2982" s="210" t="str">
        <f>IFERROR(__xludf.DUMMYFUNCTION("""COMPUTED_VALUE"""),"13033")</f>
        <v>13033</v>
      </c>
      <c r="L2982" s="211">
        <f>IFERROR(__xludf.DUMMYFUNCTION("""COMPUTED_VALUE"""),0.0)</f>
        <v>0</v>
      </c>
      <c r="M2982" s="211"/>
      <c r="N2982" s="211"/>
      <c r="O2982" s="211"/>
      <c r="Q2982" s="210" t="str">
        <f>IFERROR(__xludf.DUMMYFUNCTION("""COMPUTED_VALUE"""),"0426382978")</f>
        <v>0426382978</v>
      </c>
      <c r="R2982" s="210" t="str">
        <f>IFERROR(__xludf.DUMMYFUNCTION("""COMPUTED_VALUE"""),"0426382978")</f>
        <v>0426382978</v>
      </c>
      <c r="S2982" s="211" t="str">
        <f>IFERROR(__xludf.DUMMYFUNCTION("""COMPUTED_VALUE"""),"63fc688a")</f>
        <v>63fc688a</v>
      </c>
      <c r="T2982" s="211" t="str">
        <f>IFERROR(__xludf.DUMMYFUNCTION("""COMPUTED_VALUE"""),"CV Malik Nusantara")</f>
        <v>CV Malik Nusantara</v>
      </c>
      <c r="U2982" s="215">
        <f>IFERROR(__xludf.DUMMYFUNCTION("""COMPUTED_VALUE"""),46116.58357638889)</f>
        <v>46116.58358</v>
      </c>
      <c r="V2982" s="211" t="str">
        <f>IFERROR(__xludf.DUMMYFUNCTION("""COMPUTED_VALUE"""),"Jl. Raya Balongbendo No.12, Suwaluh Utara, Suwaluh, Kec. BalongBendo, Kabupaten Sidoarjo, Jawa Timur 61263")</f>
        <v>Jl. Raya Balongbendo No.12, Suwaluh Utara, Suwaluh, Kec. BalongBendo, Kabupaten Sidoarjo, Jawa Timur 61263</v>
      </c>
      <c r="W2982" s="211" t="str">
        <f>IFERROR(__xludf.DUMMYFUNCTION("""COMPUTED_VALUE"""),"OUT")</f>
        <v>OUT</v>
      </c>
      <c r="X2982" s="211"/>
    </row>
    <row r="2983">
      <c r="A2983" s="210" t="str">
        <f>IFERROR(__xludf.DUMMYFUNCTION("""COMPUTED_VALUE"""),"1251007")</f>
        <v>1251007</v>
      </c>
      <c r="B2983" s="210" t="str">
        <f>IFERROR(__xludf.DUMMYFUNCTION("""COMPUTED_VALUE"""),"1251007")</f>
        <v>1251007</v>
      </c>
      <c r="C2983" s="213">
        <f>IFERROR(__xludf.DUMMYFUNCTION("""COMPUTED_VALUE"""),46015.596284722225)</f>
        <v>46015.59628</v>
      </c>
      <c r="D2983" s="211" t="str">
        <f>IFERROR(__xludf.DUMMYFUNCTION("""COMPUTED_VALUE"""),"b2b5f2c5")</f>
        <v>b2b5f2c5</v>
      </c>
      <c r="E2983" s="211" t="str">
        <f>IFERROR(__xludf.DUMMYFUNCTION("""COMPUTED_VALUE"""),"Bengkel Las Bpk. Ari")</f>
        <v>Bengkel Las Bpk. Ari</v>
      </c>
      <c r="F2983" s="211" t="str">
        <f>IFERROR(__xludf.DUMMYFUNCTION("""COMPUTED_VALUE"""),"8bdbe149")</f>
        <v>8bdbe149</v>
      </c>
      <c r="G2983" s="211" t="str">
        <f>IFERROR(__xludf.DUMMYFUNCTION("""COMPUTED_VALUE"""),"Oksigen 6m3")</f>
        <v>Oksigen 6m3</v>
      </c>
      <c r="H2983" s="211" t="str">
        <f>IFERROR(__xludf.DUMMYFUNCTION("""COMPUTED_VALUE"""),"IN")</f>
        <v>IN</v>
      </c>
      <c r="I2983" s="211" t="str">
        <f>IFERROR(__xludf.DUMMYFUNCTION("""COMPUTED_VALUE"""),"EMPTY")</f>
        <v>EMPTY</v>
      </c>
      <c r="J2983" s="211">
        <f>IFERROR(__xludf.DUMMYFUNCTION("""COMPUTED_VALUE"""),3.0)</f>
        <v>3</v>
      </c>
      <c r="K2983" s="210" t="str">
        <f>IFERROR(__xludf.DUMMYFUNCTION("""COMPUTED_VALUE"""),"1139 11309 11252")</f>
        <v>1139 11309 11252</v>
      </c>
      <c r="L2983" s="211">
        <f>IFERROR(__xludf.DUMMYFUNCTION("""COMPUTED_VALUE"""),0.0)</f>
        <v>0</v>
      </c>
      <c r="M2983" s="211"/>
      <c r="N2983" s="211"/>
      <c r="O2983" s="211"/>
      <c r="Q2983" s="210" t="str">
        <f>IFERROR(__xludf.DUMMYFUNCTION("""COMPUTED_VALUE"""),"0426192983")</f>
        <v>0426192983</v>
      </c>
      <c r="R2983" s="210" t="str">
        <f>IFERROR(__xludf.DUMMYFUNCTION("""COMPUTED_VALUE"""),"0426192983")</f>
        <v>0426192983</v>
      </c>
      <c r="S2983" s="211" t="str">
        <f>IFERROR(__xludf.DUMMYFUNCTION("""COMPUTED_VALUE"""),"734c6d17")</f>
        <v>734c6d17</v>
      </c>
      <c r="T2983" s="211" t="str">
        <f>IFERROR(__xludf.DUMMYFUNCTION("""COMPUTED_VALUE"""),"Bapak Ainol Yaqin ( Bpk. Ibnu )")</f>
        <v>Bapak Ainol Yaqin ( Bpk. Ibnu )</v>
      </c>
      <c r="U2983" s="215">
        <f>IFERROR(__xludf.DUMMYFUNCTION("""COMPUTED_VALUE"""),46116.60350694445)</f>
        <v>46116.60351</v>
      </c>
      <c r="V2983" s="211" t="str">
        <f>IFERROR(__xludf.DUMMYFUNCTION("""COMPUTED_VALUE"""),"Tanggul Wetan, Tanggul, Kec. Wonoayu, Kabupaten Sidoarjo, Jawa Timur")</f>
        <v>Tanggul Wetan, Tanggul, Kec. Wonoayu, Kabupaten Sidoarjo, Jawa Timur</v>
      </c>
      <c r="W2983" s="211" t="str">
        <f>IFERROR(__xludf.DUMMYFUNCTION("""COMPUTED_VALUE"""),"OUT")</f>
        <v>OUT</v>
      </c>
      <c r="X2983" s="211"/>
    </row>
    <row r="2984">
      <c r="A2984" s="210" t="str">
        <f>IFERROR(__xludf.DUMMYFUNCTION("""COMPUTED_VALUE"""),"1250998")</f>
        <v>1250998</v>
      </c>
      <c r="B2984" s="210" t="str">
        <f>IFERROR(__xludf.DUMMYFUNCTION("""COMPUTED_VALUE"""),"1250998")</f>
        <v>1250998</v>
      </c>
      <c r="C2984" s="213">
        <f>IFERROR(__xludf.DUMMYFUNCTION("""COMPUTED_VALUE"""),46015.614074074074)</f>
        <v>46015.61407</v>
      </c>
      <c r="D2984" s="211" t="str">
        <f>IFERROR(__xludf.DUMMYFUNCTION("""COMPUTED_VALUE"""),"03ff52db")</f>
        <v>03ff52db</v>
      </c>
      <c r="E2984" s="211" t="str">
        <f>IFERROR(__xludf.DUMMYFUNCTION("""COMPUTED_VALUE"""),"Aneka Teknik Logam")</f>
        <v>Aneka Teknik Logam</v>
      </c>
      <c r="F2984" s="211" t="str">
        <f>IFERROR(__xludf.DUMMYFUNCTION("""COMPUTED_VALUE"""),"8bdbe149")</f>
        <v>8bdbe149</v>
      </c>
      <c r="G2984" s="211" t="str">
        <f>IFERROR(__xludf.DUMMYFUNCTION("""COMPUTED_VALUE"""),"Oksigen 6m3")</f>
        <v>Oksigen 6m3</v>
      </c>
      <c r="H2984" s="211" t="str">
        <f>IFERROR(__xludf.DUMMYFUNCTION("""COMPUTED_VALUE"""),"IN")</f>
        <v>IN</v>
      </c>
      <c r="I2984" s="211" t="str">
        <f>IFERROR(__xludf.DUMMYFUNCTION("""COMPUTED_VALUE"""),"EMPTY")</f>
        <v>EMPTY</v>
      </c>
      <c r="J2984" s="211">
        <f>IFERROR(__xludf.DUMMYFUNCTION("""COMPUTED_VALUE"""),1.0)</f>
        <v>1</v>
      </c>
      <c r="K2984" s="210" t="str">
        <f>IFERROR(__xludf.DUMMYFUNCTION("""COMPUTED_VALUE"""),"11251")</f>
        <v>11251</v>
      </c>
      <c r="L2984" s="211">
        <f>IFERROR(__xludf.DUMMYFUNCTION("""COMPUTED_VALUE"""),0.0)</f>
        <v>0</v>
      </c>
      <c r="M2984" s="211"/>
      <c r="N2984" s="211"/>
      <c r="O2984" s="211"/>
      <c r="Q2984" s="210" t="str">
        <f>IFERROR(__xludf.DUMMYFUNCTION("""COMPUTED_VALUE"""),"1261470")</f>
        <v>1261470</v>
      </c>
      <c r="R2984" s="210" t="str">
        <f>IFERROR(__xludf.DUMMYFUNCTION("""COMPUTED_VALUE"""),"1261470")</f>
        <v>1261470</v>
      </c>
      <c r="S2984" s="211" t="str">
        <f>IFERROR(__xludf.DUMMYFUNCTION("""COMPUTED_VALUE"""),"b2b5f2c5")</f>
        <v>b2b5f2c5</v>
      </c>
      <c r="T2984" s="211" t="str">
        <f>IFERROR(__xludf.DUMMYFUNCTION("""COMPUTED_VALUE"""),"Bengkel Las Bpk. Ari")</f>
        <v>Bengkel Las Bpk. Ari</v>
      </c>
      <c r="U2984" s="215">
        <f>IFERROR(__xludf.DUMMYFUNCTION("""COMPUTED_VALUE"""),46116.61188657407)</f>
        <v>46116.61189</v>
      </c>
      <c r="V2984" s="211" t="str">
        <f>IFERROR(__xludf.DUMMYFUNCTION("""COMPUTED_VALUE"""),"Sumber Kembar, Wonodadi, Kec. Kutorejo, Kabupaten Mojokerto, Jawa Timur")</f>
        <v>Sumber Kembar, Wonodadi, Kec. Kutorejo, Kabupaten Mojokerto, Jawa Timur</v>
      </c>
      <c r="W2984" s="211" t="str">
        <f>IFERROR(__xludf.DUMMYFUNCTION("""COMPUTED_VALUE"""),"IN")</f>
        <v>IN</v>
      </c>
      <c r="X2984" s="211"/>
    </row>
    <row r="2985">
      <c r="A2985" s="210" t="str">
        <f>IFERROR(__xludf.DUMMYFUNCTION("""COMPUTED_VALUE"""),"1250999")</f>
        <v>1250999</v>
      </c>
      <c r="B2985" s="210" t="str">
        <f>IFERROR(__xludf.DUMMYFUNCTION("""COMPUTED_VALUE"""),"1250999")</f>
        <v>1250999</v>
      </c>
      <c r="C2985" s="213">
        <f>IFERROR(__xludf.DUMMYFUNCTION("""COMPUTED_VALUE"""),46015.614652777775)</f>
        <v>46015.61465</v>
      </c>
      <c r="D2985" s="211" t="str">
        <f>IFERROR(__xludf.DUMMYFUNCTION("""COMPUTED_VALUE"""),"785e0e07")</f>
        <v>785e0e07</v>
      </c>
      <c r="E2985" s="211" t="str">
        <f>IFERROR(__xludf.DUMMYFUNCTION("""COMPUTED_VALUE"""),"Bpk. Sukirno (Bejo)")</f>
        <v>Bpk. Sukirno (Bejo)</v>
      </c>
      <c r="F2985" s="211" t="str">
        <f>IFERROR(__xludf.DUMMYFUNCTION("""COMPUTED_VALUE"""),"8bdbe149")</f>
        <v>8bdbe149</v>
      </c>
      <c r="G2985" s="211" t="str">
        <f>IFERROR(__xludf.DUMMYFUNCTION("""COMPUTED_VALUE"""),"Oksigen 6m3")</f>
        <v>Oksigen 6m3</v>
      </c>
      <c r="H2985" s="211" t="str">
        <f>IFERROR(__xludf.DUMMYFUNCTION("""COMPUTED_VALUE"""),"IN")</f>
        <v>IN</v>
      </c>
      <c r="I2985" s="211" t="str">
        <f>IFERROR(__xludf.DUMMYFUNCTION("""COMPUTED_VALUE"""),"EMPTY")</f>
        <v>EMPTY</v>
      </c>
      <c r="J2985" s="211">
        <f>IFERROR(__xludf.DUMMYFUNCTION("""COMPUTED_VALUE"""),2.0)</f>
        <v>2</v>
      </c>
      <c r="K2985" s="210" t="str">
        <f>IFERROR(__xludf.DUMMYFUNCTION("""COMPUTED_VALUE"""),"11256 11313")</f>
        <v>11256 11313</v>
      </c>
      <c r="L2985" s="211">
        <f>IFERROR(__xludf.DUMMYFUNCTION("""COMPUTED_VALUE"""),0.0)</f>
        <v>0</v>
      </c>
      <c r="M2985" s="211"/>
      <c r="N2985" s="211"/>
      <c r="O2985" s="211"/>
      <c r="Q2985" s="210" t="str">
        <f>IFERROR(__xludf.DUMMYFUNCTION("""COMPUTED_VALUE"""),"1261469")</f>
        <v>1261469</v>
      </c>
      <c r="R2985" s="210" t="str">
        <f>IFERROR(__xludf.DUMMYFUNCTION("""COMPUTED_VALUE"""),"1261469")</f>
        <v>1261469</v>
      </c>
      <c r="S2985" s="211" t="str">
        <f>IFERROR(__xludf.DUMMYFUNCTION("""COMPUTED_VALUE"""),"2d88931c")</f>
        <v>2d88931c</v>
      </c>
      <c r="T2985" s="211" t="str">
        <f>IFERROR(__xludf.DUMMYFUNCTION("""COMPUTED_VALUE"""),"PT Dunia Berkat Marga Mulya")</f>
        <v>PT Dunia Berkat Marga Mulya</v>
      </c>
      <c r="U2985" s="215">
        <f>IFERROR(__xludf.DUMMYFUNCTION("""COMPUTED_VALUE"""),46116.61284722222)</f>
        <v>46116.61285</v>
      </c>
      <c r="V2985" s="211" t="str">
        <f>IFERROR(__xludf.DUMMYFUNCTION("""COMPUTED_VALUE"""),"JL JABARAN, WATESARI, BALONGBENDO, SIDOARJO, JAWA TIMUR")</f>
        <v>JL JABARAN, WATESARI, BALONGBENDO, SIDOARJO, JAWA TIMUR</v>
      </c>
      <c r="W2985" s="211" t="str">
        <f>IFERROR(__xludf.DUMMYFUNCTION("""COMPUTED_VALUE"""),"IN")</f>
        <v>IN</v>
      </c>
      <c r="X2985" s="211"/>
    </row>
    <row r="2986">
      <c r="A2986" s="210" t="str">
        <f>IFERROR(__xludf.DUMMYFUNCTION("""COMPUTED_VALUE"""),"1225122082")</f>
        <v>1225122082</v>
      </c>
      <c r="B2986" s="210" t="str">
        <f>IFERROR(__xludf.DUMMYFUNCTION("""COMPUTED_VALUE"""),"1225122082")</f>
        <v>1225122082</v>
      </c>
      <c r="C2986" s="213">
        <f>IFERROR(__xludf.DUMMYFUNCTION("""COMPUTED_VALUE"""),46017.35700231481)</f>
        <v>46017.357</v>
      </c>
      <c r="D2986" s="211" t="str">
        <f>IFERROR(__xludf.DUMMYFUNCTION("""COMPUTED_VALUE"""),"a0f0ad2d")</f>
        <v>a0f0ad2d</v>
      </c>
      <c r="E2986" s="211" t="str">
        <f>IFERROR(__xludf.DUMMYFUNCTION("""COMPUTED_VALUE"""),"CV. Yulie Jaya")</f>
        <v>CV. Yulie Jaya</v>
      </c>
      <c r="F2986" s="211" t="str">
        <f>IFERROR(__xludf.DUMMYFUNCTION("""COMPUTED_VALUE"""),"7d2764f1")</f>
        <v>7d2764f1</v>
      </c>
      <c r="G2986" s="211" t="str">
        <f>IFERROR(__xludf.DUMMYFUNCTION("""COMPUTED_VALUE"""),"Oksigen 7m3")</f>
        <v>Oksigen 7m3</v>
      </c>
      <c r="H2986" s="211" t="str">
        <f>IFERROR(__xludf.DUMMYFUNCTION("""COMPUTED_VALUE"""),"OUT")</f>
        <v>OUT</v>
      </c>
      <c r="I2986" s="211" t="str">
        <f>IFERROR(__xludf.DUMMYFUNCTION("""COMPUTED_VALUE"""),"NORMAL")</f>
        <v>NORMAL</v>
      </c>
      <c r="J2986" s="211">
        <f>IFERROR(__xludf.DUMMYFUNCTION("""COMPUTED_VALUE"""),10.0)</f>
        <v>10</v>
      </c>
      <c r="K2986" s="210" t="str">
        <f>IFERROR(__xludf.DUMMYFUNCTION("""COMPUTED_VALUE"""),"11150 11151 11169 11167 11145 11141 11155 11147 11144 11168")</f>
        <v>11150 11151 11169 11167 11145 11141 11155 11147 11144 11168</v>
      </c>
      <c r="L2986" s="211">
        <f>IFERROR(__xludf.DUMMYFUNCTION("""COMPUTED_VALUE"""),60000.0)</f>
        <v>60000</v>
      </c>
      <c r="M2986" s="211"/>
      <c r="N2986" s="211"/>
      <c r="O2986" s="211"/>
      <c r="Q2986" s="210" t="str">
        <f>IFERROR(__xludf.DUMMYFUNCTION("""COMPUTED_VALUE"""),"1261468")</f>
        <v>1261468</v>
      </c>
      <c r="R2986" s="210" t="str">
        <f>IFERROR(__xludf.DUMMYFUNCTION("""COMPUTED_VALUE"""),"1261468")</f>
        <v>1261468</v>
      </c>
      <c r="S2986" s="211" t="str">
        <f>IFERROR(__xludf.DUMMYFUNCTION("""COMPUTED_VALUE"""),"89d46c39")</f>
        <v>89d46c39</v>
      </c>
      <c r="T2986" s="211" t="str">
        <f>IFERROR(__xludf.DUMMYFUNCTION("""COMPUTED_VALUE"""),"PT Cakar Baja Persada")</f>
        <v>PT Cakar Baja Persada</v>
      </c>
      <c r="U2986" s="215">
        <f>IFERROR(__xludf.DUMMYFUNCTION("""COMPUTED_VALUE"""),46116.613078703704)</f>
        <v>46116.61308</v>
      </c>
      <c r="V2986" s="211" t="str">
        <f>IFERROR(__xludf.DUMMYFUNCTION("""COMPUTED_VALUE"""),"Pergudangan Jaya Park Blok E.02,  JI. Mayjen Yono Sungkono, Watesari, Balongbendo, Sidoarjo")</f>
        <v>Pergudangan Jaya Park Blok E.02,  JI. Mayjen Yono Sungkono, Watesari, Balongbendo, Sidoarjo</v>
      </c>
      <c r="W2986" s="211" t="str">
        <f>IFERROR(__xludf.DUMMYFUNCTION("""COMPUTED_VALUE"""),"IN")</f>
        <v>IN</v>
      </c>
      <c r="X2986" s="211"/>
    </row>
    <row r="2987">
      <c r="A2987" s="210" t="str">
        <f>IFERROR(__xludf.DUMMYFUNCTION("""COMPUTED_VALUE"""),"1225122082")</f>
        <v>1225122082</v>
      </c>
      <c r="B2987" s="210" t="str">
        <f>IFERROR(__xludf.DUMMYFUNCTION("""COMPUTED_VALUE"""),"1225122082")</f>
        <v>1225122082</v>
      </c>
      <c r="C2987" s="213">
        <f>IFERROR(__xludf.DUMMYFUNCTION("""COMPUTED_VALUE"""),46017.35700231481)</f>
        <v>46017.357</v>
      </c>
      <c r="D2987" s="211" t="str">
        <f>IFERROR(__xludf.DUMMYFUNCTION("""COMPUTED_VALUE"""),"a0f0ad2d")</f>
        <v>a0f0ad2d</v>
      </c>
      <c r="E2987" s="211" t="str">
        <f>IFERROR(__xludf.DUMMYFUNCTION("""COMPUTED_VALUE"""),"CV. Yulie Jaya")</f>
        <v>CV. Yulie Jaya</v>
      </c>
      <c r="F2987" s="211" t="str">
        <f>IFERROR(__xludf.DUMMYFUNCTION("""COMPUTED_VALUE"""),"be525f3b")</f>
        <v>be525f3b</v>
      </c>
      <c r="G2987" s="211" t="str">
        <f>IFERROR(__xludf.DUMMYFUNCTION("""COMPUTED_VALUE"""),"LPG 12kg")</f>
        <v>LPG 12kg</v>
      </c>
      <c r="H2987" s="211" t="str">
        <f>IFERROR(__xludf.DUMMYFUNCTION("""COMPUTED_VALUE"""),"OUT")</f>
        <v>OUT</v>
      </c>
      <c r="I2987" s="211" t="str">
        <f>IFERROR(__xludf.DUMMYFUNCTION("""COMPUTED_VALUE"""),"NORMAL")</f>
        <v>NORMAL</v>
      </c>
      <c r="J2987" s="211">
        <f>IFERROR(__xludf.DUMMYFUNCTION("""COMPUTED_VALUE"""),2.0)</f>
        <v>2</v>
      </c>
      <c r="K2987" s="210" t="str">
        <f>IFERROR(__xludf.DUMMYFUNCTION("""COMPUTED_VALUE"""),"01 02")</f>
        <v>01 02</v>
      </c>
      <c r="L2987" s="211">
        <f>IFERROR(__xludf.DUMMYFUNCTION("""COMPUTED_VALUE"""),215000.0)</f>
        <v>215000</v>
      </c>
      <c r="M2987" s="211"/>
      <c r="N2987" s="211"/>
      <c r="O2987" s="211"/>
      <c r="Q2987" s="210" t="str">
        <f>IFERROR(__xludf.DUMMYFUNCTION("""COMPUTED_VALUE"""),"042672984")</f>
        <v>042672984</v>
      </c>
      <c r="R2987" s="210" t="str">
        <f>IFERROR(__xludf.DUMMYFUNCTION("""COMPUTED_VALUE"""),"042672984")</f>
        <v>042672984</v>
      </c>
      <c r="S2987" s="211" t="str">
        <f>IFERROR(__xludf.DUMMYFUNCTION("""COMPUTED_VALUE"""),"a1508027")</f>
        <v>a1508027</v>
      </c>
      <c r="T2987" s="211" t="str">
        <f>IFERROR(__xludf.DUMMYFUNCTION("""COMPUTED_VALUE"""),"Agus Budiono")</f>
        <v>Agus Budiono</v>
      </c>
      <c r="U2987" s="215">
        <f>IFERROR(__xludf.DUMMYFUNCTION("""COMPUTED_VALUE"""),46116.61503472222)</f>
        <v>46116.61503</v>
      </c>
      <c r="V2987" s="211" t="str">
        <f>IFERROR(__xludf.DUMMYFUNCTION("""COMPUTED_VALUE"""),"Kraton RT.13 RW. 03 Kraton Krian Sidoarjo")</f>
        <v>Kraton RT.13 RW. 03 Kraton Krian Sidoarjo</v>
      </c>
      <c r="W2987" s="211" t="str">
        <f>IFERROR(__xludf.DUMMYFUNCTION("""COMPUTED_VALUE"""),"OUT")</f>
        <v>OUT</v>
      </c>
      <c r="X2987" s="211"/>
    </row>
    <row r="2988">
      <c r="A2988" s="210" t="str">
        <f>IFERROR(__xludf.DUMMYFUNCTION("""COMPUTED_VALUE"""),"122592086")</f>
        <v>122592086</v>
      </c>
      <c r="B2988" s="210" t="str">
        <f>IFERROR(__xludf.DUMMYFUNCTION("""COMPUTED_VALUE"""),"122592086")</f>
        <v>122592086</v>
      </c>
      <c r="C2988" s="213">
        <f>IFERROR(__xludf.DUMMYFUNCTION("""COMPUTED_VALUE"""),46017.399664351855)</f>
        <v>46017.39966</v>
      </c>
      <c r="D2988" s="211" t="str">
        <f>IFERROR(__xludf.DUMMYFUNCTION("""COMPUTED_VALUE"""),"440df1db")</f>
        <v>440df1db</v>
      </c>
      <c r="E2988" s="211" t="str">
        <f>IFERROR(__xludf.DUMMYFUNCTION("""COMPUTED_VALUE"""),"PT. Mecca Abadi Sejahtera")</f>
        <v>PT. Mecca Abadi Sejahtera</v>
      </c>
      <c r="F2988" s="211" t="str">
        <f>IFERROR(__xludf.DUMMYFUNCTION("""COMPUTED_VALUE"""),"ef306e54")</f>
        <v>ef306e54</v>
      </c>
      <c r="G2988" s="211" t="str">
        <f>IFERROR(__xludf.DUMMYFUNCTION("""COMPUTED_VALUE"""),"Karbondioksida")</f>
        <v>Karbondioksida</v>
      </c>
      <c r="H2988" s="211" t="str">
        <f>IFERROR(__xludf.DUMMYFUNCTION("""COMPUTED_VALUE"""),"OUT")</f>
        <v>OUT</v>
      </c>
      <c r="I2988" s="211" t="str">
        <f>IFERROR(__xludf.DUMMYFUNCTION("""COMPUTED_VALUE"""),"NORMAL")</f>
        <v>NORMAL</v>
      </c>
      <c r="J2988" s="211">
        <f>IFERROR(__xludf.DUMMYFUNCTION("""COMPUTED_VALUE"""),5.0)</f>
        <v>5</v>
      </c>
      <c r="K2988" s="210" t="str">
        <f>IFERROR(__xludf.DUMMYFUNCTION("""COMPUTED_VALUE"""),"13062 13056 13055 13010 13003")</f>
        <v>13062 13056 13055 13010 13003</v>
      </c>
      <c r="L2988" s="211">
        <f>IFERROR(__xludf.DUMMYFUNCTION("""COMPUTED_VALUE"""),190000.0)</f>
        <v>190000</v>
      </c>
      <c r="M2988" s="211"/>
      <c r="N2988" s="211"/>
      <c r="O2988" s="211"/>
      <c r="Q2988" s="210" t="str">
        <f>IFERROR(__xludf.DUMMYFUNCTION("""COMPUTED_VALUE"""),"0426202988")</f>
        <v>0426202988</v>
      </c>
      <c r="R2988" s="210" t="str">
        <f>IFERROR(__xludf.DUMMYFUNCTION("""COMPUTED_VALUE"""),"0426202988")</f>
        <v>0426202988</v>
      </c>
      <c r="S2988" s="211" t="str">
        <f>IFERROR(__xludf.DUMMYFUNCTION("""COMPUTED_VALUE"""),"734c6d17")</f>
        <v>734c6d17</v>
      </c>
      <c r="T2988" s="211" t="str">
        <f>IFERROR(__xludf.DUMMYFUNCTION("""COMPUTED_VALUE"""),"Bapak Ainol Yaqin ( Bpk. Ibnu )")</f>
        <v>Bapak Ainol Yaqin ( Bpk. Ibnu )</v>
      </c>
      <c r="U2988" s="215">
        <f>IFERROR(__xludf.DUMMYFUNCTION("""COMPUTED_VALUE"""),46118.352951388886)</f>
        <v>46118.35295</v>
      </c>
      <c r="V2988" s="211" t="str">
        <f>IFERROR(__xludf.DUMMYFUNCTION("""COMPUTED_VALUE"""),"Tanggul Wetan, Tanggul, Kec. Wonoayu, Kabupaten Sidoarjo, Jawa Timur")</f>
        <v>Tanggul Wetan, Tanggul, Kec. Wonoayu, Kabupaten Sidoarjo, Jawa Timur</v>
      </c>
      <c r="W2988" s="211" t="str">
        <f>IFERROR(__xludf.DUMMYFUNCTION("""COMPUTED_VALUE"""),"OUT")</f>
        <v>OUT</v>
      </c>
      <c r="X2988" s="211"/>
    </row>
    <row r="2989">
      <c r="A2989" s="210" t="str">
        <f>IFERROR(__xludf.DUMMYFUNCTION("""COMPUTED_VALUE"""),"1251009")</f>
        <v>1251009</v>
      </c>
      <c r="B2989" s="210" t="str">
        <f>IFERROR(__xludf.DUMMYFUNCTION("""COMPUTED_VALUE"""),"1251009")</f>
        <v>1251009</v>
      </c>
      <c r="C2989" s="213">
        <f>IFERROR(__xludf.DUMMYFUNCTION("""COMPUTED_VALUE"""),46017.41395833333)</f>
        <v>46017.41396</v>
      </c>
      <c r="D2989" s="211" t="str">
        <f>IFERROR(__xludf.DUMMYFUNCTION("""COMPUTED_VALUE"""),"a0f0ad2d")</f>
        <v>a0f0ad2d</v>
      </c>
      <c r="E2989" s="211" t="str">
        <f>IFERROR(__xludf.DUMMYFUNCTION("""COMPUTED_VALUE"""),"CV. Yulie Jaya")</f>
        <v>CV. Yulie Jaya</v>
      </c>
      <c r="F2989" s="211" t="str">
        <f>IFERROR(__xludf.DUMMYFUNCTION("""COMPUTED_VALUE"""),"8bdbe149")</f>
        <v>8bdbe149</v>
      </c>
      <c r="G2989" s="211" t="str">
        <f>IFERROR(__xludf.DUMMYFUNCTION("""COMPUTED_VALUE"""),"Oksigen 6m3")</f>
        <v>Oksigen 6m3</v>
      </c>
      <c r="H2989" s="211" t="str">
        <f>IFERROR(__xludf.DUMMYFUNCTION("""COMPUTED_VALUE"""),"IN")</f>
        <v>IN</v>
      </c>
      <c r="I2989" s="211" t="str">
        <f>IFERROR(__xludf.DUMMYFUNCTION("""COMPUTED_VALUE"""),"EMPTY")</f>
        <v>EMPTY</v>
      </c>
      <c r="J2989" s="211">
        <f>IFERROR(__xludf.DUMMYFUNCTION("""COMPUTED_VALUE"""),5.0)</f>
        <v>5</v>
      </c>
      <c r="K2989" s="210" t="str">
        <f>IFERROR(__xludf.DUMMYFUNCTION("""COMPUTED_VALUE"""),"1152 11132 11247 11165 11240")</f>
        <v>1152 11132 11247 11165 11240</v>
      </c>
      <c r="L2989" s="211">
        <f>IFERROR(__xludf.DUMMYFUNCTION("""COMPUTED_VALUE"""),0.0)</f>
        <v>0</v>
      </c>
      <c r="M2989" s="211"/>
      <c r="N2989" s="211"/>
      <c r="O2989" s="211"/>
      <c r="Q2989" s="210" t="str">
        <f>IFERROR(__xludf.DUMMYFUNCTION("""COMPUTED_VALUE"""),"0426172989")</f>
        <v>0426172989</v>
      </c>
      <c r="R2989" s="210" t="str">
        <f>IFERROR(__xludf.DUMMYFUNCTION("""COMPUTED_VALUE"""),"0426172989")</f>
        <v>0426172989</v>
      </c>
      <c r="S2989" s="211" t="str">
        <f>IFERROR(__xludf.DUMMYFUNCTION("""COMPUTED_VALUE"""),"ba97d58d")</f>
        <v>ba97d58d</v>
      </c>
      <c r="T2989" s="211" t="str">
        <f>IFERROR(__xludf.DUMMYFUNCTION("""COMPUTED_VALUE"""),"Bengkel Citra Mojosari")</f>
        <v>Bengkel Citra Mojosari</v>
      </c>
      <c r="U2989" s="215">
        <f>IFERROR(__xludf.DUMMYFUNCTION("""COMPUTED_VALUE"""),46118.35349537037)</f>
        <v>46118.3535</v>
      </c>
      <c r="V2989" s="211" t="str">
        <f>IFERROR(__xludf.DUMMYFUNCTION("""COMPUTED_VALUE"""),"Jl. Raden Wijaya, Kemloko, Jotangan, Kec. Mojosari, Kabupaten Mojokerto, Jawa Timur 61382")</f>
        <v>Jl. Raden Wijaya, Kemloko, Jotangan, Kec. Mojosari, Kabupaten Mojokerto, Jawa Timur 61382</v>
      </c>
      <c r="W2989" s="211" t="str">
        <f>IFERROR(__xludf.DUMMYFUNCTION("""COMPUTED_VALUE"""),"OUT")</f>
        <v>OUT</v>
      </c>
      <c r="X2989" s="211"/>
    </row>
    <row r="2990">
      <c r="A2990" s="210" t="str">
        <f>IFERROR(__xludf.DUMMYFUNCTION("""COMPUTED_VALUE"""),"1225102087")</f>
        <v>1225102087</v>
      </c>
      <c r="B2990" s="210" t="str">
        <f>IFERROR(__xludf.DUMMYFUNCTION("""COMPUTED_VALUE"""),"1225102087")</f>
        <v>1225102087</v>
      </c>
      <c r="C2990" s="213">
        <f>IFERROR(__xludf.DUMMYFUNCTION("""COMPUTED_VALUE"""),46017.44954861111)</f>
        <v>46017.44955</v>
      </c>
      <c r="D2990" s="211" t="str">
        <f>IFERROR(__xludf.DUMMYFUNCTION("""COMPUTED_VALUE"""),"63fc688a")</f>
        <v>63fc688a</v>
      </c>
      <c r="E2990" s="211" t="str">
        <f>IFERROR(__xludf.DUMMYFUNCTION("""COMPUTED_VALUE"""),"CV Malik Nusantara")</f>
        <v>CV Malik Nusantara</v>
      </c>
      <c r="F2990" s="211" t="str">
        <f>IFERROR(__xludf.DUMMYFUNCTION("""COMPUTED_VALUE"""),"ef306e54")</f>
        <v>ef306e54</v>
      </c>
      <c r="G2990" s="211" t="str">
        <f>IFERROR(__xludf.DUMMYFUNCTION("""COMPUTED_VALUE"""),"Karbondioksida")</f>
        <v>Karbondioksida</v>
      </c>
      <c r="H2990" s="211" t="str">
        <f>IFERROR(__xludf.DUMMYFUNCTION("""COMPUTED_VALUE"""),"OUT")</f>
        <v>OUT</v>
      </c>
      <c r="I2990" s="211" t="str">
        <f>IFERROR(__xludf.DUMMYFUNCTION("""COMPUTED_VALUE"""),"NORMAL")</f>
        <v>NORMAL</v>
      </c>
      <c r="J2990" s="211">
        <f>IFERROR(__xludf.DUMMYFUNCTION("""COMPUTED_VALUE"""),1.0)</f>
        <v>1</v>
      </c>
      <c r="K2990" s="210" t="str">
        <f>IFERROR(__xludf.DUMMYFUNCTION("""COMPUTED_VALUE"""),"13030")</f>
        <v>13030</v>
      </c>
      <c r="L2990" s="211">
        <f>IFERROR(__xludf.DUMMYFUNCTION("""COMPUTED_VALUE"""),190000.0)</f>
        <v>190000</v>
      </c>
      <c r="M2990" s="211"/>
      <c r="N2990" s="211"/>
      <c r="O2990" s="211"/>
      <c r="Q2990" s="210" t="str">
        <f>IFERROR(__xludf.DUMMYFUNCTION("""COMPUTED_VALUE"""),"042612990")</f>
        <v>042612990</v>
      </c>
      <c r="R2990" s="210" t="str">
        <f>IFERROR(__xludf.DUMMYFUNCTION("""COMPUTED_VALUE"""),"042612990")</f>
        <v>042612990</v>
      </c>
      <c r="S2990" s="211" t="str">
        <f>IFERROR(__xludf.DUMMYFUNCTION("""COMPUTED_VALUE"""),"514e8cd0")</f>
        <v>514e8cd0</v>
      </c>
      <c r="T2990" s="211" t="str">
        <f>IFERROR(__xludf.DUMMYFUNCTION("""COMPUTED_VALUE"""),"Bpk. Nawawi (Balongbendo)")</f>
        <v>Bpk. Nawawi (Balongbendo)</v>
      </c>
      <c r="U2990" s="215">
        <f>IFERROR(__xludf.DUMMYFUNCTION("""COMPUTED_VALUE"""),46118.36659722222)</f>
        <v>46118.3666</v>
      </c>
      <c r="V2990" s="211" t="str">
        <f>IFERROR(__xludf.DUMMYFUNCTION("""COMPUTED_VALUE"""),"Balongbendo")</f>
        <v>Balongbendo</v>
      </c>
      <c r="W2990" s="211" t="str">
        <f>IFERROR(__xludf.DUMMYFUNCTION("""COMPUTED_VALUE"""),"OUT")</f>
        <v>OUT</v>
      </c>
      <c r="X2990" s="211"/>
    </row>
    <row r="2991">
      <c r="A2991" s="210" t="str">
        <f>IFERROR(__xludf.DUMMYFUNCTION("""COMPUTED_VALUE"""),"1225102087")</f>
        <v>1225102087</v>
      </c>
      <c r="B2991" s="210" t="str">
        <f>IFERROR(__xludf.DUMMYFUNCTION("""COMPUTED_VALUE"""),"1225102087")</f>
        <v>1225102087</v>
      </c>
      <c r="C2991" s="213">
        <f>IFERROR(__xludf.DUMMYFUNCTION("""COMPUTED_VALUE"""),46017.44954861111)</f>
        <v>46017.44955</v>
      </c>
      <c r="D2991" s="211" t="str">
        <f>IFERROR(__xludf.DUMMYFUNCTION("""COMPUTED_VALUE"""),"63fc688a")</f>
        <v>63fc688a</v>
      </c>
      <c r="E2991" s="211" t="str">
        <f>IFERROR(__xludf.DUMMYFUNCTION("""COMPUTED_VALUE"""),"CV Malik Nusantara")</f>
        <v>CV Malik Nusantara</v>
      </c>
      <c r="F2991" s="211" t="str">
        <f>IFERROR(__xludf.DUMMYFUNCTION("""COMPUTED_VALUE"""),"7d2764f1")</f>
        <v>7d2764f1</v>
      </c>
      <c r="G2991" s="211" t="str">
        <f>IFERROR(__xludf.DUMMYFUNCTION("""COMPUTED_VALUE"""),"Oksigen 7m3")</f>
        <v>Oksigen 7m3</v>
      </c>
      <c r="H2991" s="211" t="str">
        <f>IFERROR(__xludf.DUMMYFUNCTION("""COMPUTED_VALUE"""),"OUT")</f>
        <v>OUT</v>
      </c>
      <c r="I2991" s="211" t="str">
        <f>IFERROR(__xludf.DUMMYFUNCTION("""COMPUTED_VALUE"""),"NORMAL")</f>
        <v>NORMAL</v>
      </c>
      <c r="J2991" s="211">
        <f>IFERROR(__xludf.DUMMYFUNCTION("""COMPUTED_VALUE"""),4.0)</f>
        <v>4</v>
      </c>
      <c r="K2991" s="210" t="str">
        <f>IFERROR(__xludf.DUMMYFUNCTION("""COMPUTED_VALUE"""),"11217 11226 11229 11306")</f>
        <v>11217 11226 11229 11306</v>
      </c>
      <c r="L2991" s="211">
        <f>IFERROR(__xludf.DUMMYFUNCTION("""COMPUTED_VALUE"""),65000.0)</f>
        <v>65000</v>
      </c>
      <c r="M2991" s="211"/>
      <c r="N2991" s="211"/>
      <c r="O2991" s="211"/>
      <c r="Q2991" s="210" t="str">
        <f>IFERROR(__xludf.DUMMYFUNCTION("""COMPUTED_VALUE"""),"0426282991")</f>
        <v>0426282991</v>
      </c>
      <c r="R2991" s="210" t="str">
        <f>IFERROR(__xludf.DUMMYFUNCTION("""COMPUTED_VALUE"""),"0426282991")</f>
        <v>0426282991</v>
      </c>
      <c r="S2991" s="211" t="str">
        <f>IFERROR(__xludf.DUMMYFUNCTION("""COMPUTED_VALUE"""),"7b9d8eba")</f>
        <v>7b9d8eba</v>
      </c>
      <c r="T2991" s="211" t="str">
        <f>IFERROR(__xludf.DUMMYFUNCTION("""COMPUTED_VALUE"""),"PT PELANGI INDOKARYA")</f>
        <v>PT PELANGI INDOKARYA</v>
      </c>
      <c r="U2991" s="215">
        <f>IFERROR(__xludf.DUMMYFUNCTION("""COMPUTED_VALUE"""),46118.37795138889)</f>
        <v>46118.37795</v>
      </c>
      <c r="V299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2991" s="211" t="str">
        <f>IFERROR(__xludf.DUMMYFUNCTION("""COMPUTED_VALUE"""),"OUT")</f>
        <v>OUT</v>
      </c>
      <c r="X2991" s="211"/>
    </row>
    <row r="2992">
      <c r="A2992" s="210" t="str">
        <f>IFERROR(__xludf.DUMMYFUNCTION("""COMPUTED_VALUE"""),"122582089")</f>
        <v>122582089</v>
      </c>
      <c r="B2992" s="210" t="str">
        <f>IFERROR(__xludf.DUMMYFUNCTION("""COMPUTED_VALUE"""),"122582089")</f>
        <v>122582089</v>
      </c>
      <c r="C2992" s="213">
        <f>IFERROR(__xludf.DUMMYFUNCTION("""COMPUTED_VALUE"""),46017.48609953704)</f>
        <v>46017.4861</v>
      </c>
      <c r="D2992" s="211" t="str">
        <f>IFERROR(__xludf.DUMMYFUNCTION("""COMPUTED_VALUE"""),"ba97d58d")</f>
        <v>ba97d58d</v>
      </c>
      <c r="E2992" s="211" t="str">
        <f>IFERROR(__xludf.DUMMYFUNCTION("""COMPUTED_VALUE"""),"Bengkel Citra Mojosari")</f>
        <v>Bengkel Citra Mojosari</v>
      </c>
      <c r="F2992" s="211" t="str">
        <f>IFERROR(__xludf.DUMMYFUNCTION("""COMPUTED_VALUE"""),"8bdbe149")</f>
        <v>8bdbe149</v>
      </c>
      <c r="G2992" s="211" t="str">
        <f>IFERROR(__xludf.DUMMYFUNCTION("""COMPUTED_VALUE"""),"Oksigen 6m3")</f>
        <v>Oksigen 6m3</v>
      </c>
      <c r="H2992" s="211" t="str">
        <f>IFERROR(__xludf.DUMMYFUNCTION("""COMPUTED_VALUE"""),"OUT")</f>
        <v>OUT</v>
      </c>
      <c r="I2992" s="211" t="str">
        <f>IFERROR(__xludf.DUMMYFUNCTION("""COMPUTED_VALUE"""),"NORMAL")</f>
        <v>NORMAL</v>
      </c>
      <c r="J2992" s="211">
        <f>IFERROR(__xludf.DUMMYFUNCTION("""COMPUTED_VALUE"""),4.0)</f>
        <v>4</v>
      </c>
      <c r="K2992" s="210" t="str">
        <f>IFERROR(__xludf.DUMMYFUNCTION("""COMPUTED_VALUE"""),"1144 1187 1104 1112")</f>
        <v>1144 1187 1104 1112</v>
      </c>
      <c r="L2992" s="211">
        <f>IFERROR(__xludf.DUMMYFUNCTION("""COMPUTED_VALUE"""),65000.0)</f>
        <v>65000</v>
      </c>
      <c r="M2992" s="211"/>
      <c r="N2992" s="211"/>
      <c r="O2992" s="211"/>
      <c r="Q2992" s="210" t="str">
        <f>IFERROR(__xludf.DUMMYFUNCTION("""COMPUTED_VALUE"""),"042682988")</f>
        <v>042682988</v>
      </c>
      <c r="R2992" s="210" t="str">
        <f>IFERROR(__xludf.DUMMYFUNCTION("""COMPUTED_VALUE"""),"042682988")</f>
        <v>042682988</v>
      </c>
      <c r="S2992" s="211" t="str">
        <f>IFERROR(__xludf.DUMMYFUNCTION("""COMPUTED_VALUE"""),"ed4307f6")</f>
        <v>ed4307f6</v>
      </c>
      <c r="T2992" s="211" t="str">
        <f>IFERROR(__xludf.DUMMYFUNCTION("""COMPUTED_VALUE"""),"Bpk. Andi (Jetis)")</f>
        <v>Bpk. Andi (Jetis)</v>
      </c>
      <c r="U2992" s="215">
        <f>IFERROR(__xludf.DUMMYFUNCTION("""COMPUTED_VALUE"""),46118.56576388889)</f>
        <v>46118.56576</v>
      </c>
      <c r="V2992" s="211" t="str">
        <f>IFERROR(__xludf.DUMMYFUNCTION("""COMPUTED_VALUE"""),"HFH9+P7 Pelabuhan Kidul, Jetis, Kec. Jetis, Kabupaten Mojokerto, Jawa Timur, Indonesia")</f>
        <v>HFH9+P7 Pelabuhan Kidul, Jetis, Kec. Jetis, Kabupaten Mojokerto, Jawa Timur, Indonesia</v>
      </c>
      <c r="W2992" s="211" t="str">
        <f>IFERROR(__xludf.DUMMYFUNCTION("""COMPUTED_VALUE"""),"OUT")</f>
        <v>OUT</v>
      </c>
      <c r="X2992" s="211"/>
    </row>
    <row r="2993">
      <c r="A2993" s="210" t="str">
        <f>IFERROR(__xludf.DUMMYFUNCTION("""COMPUTED_VALUE"""),"122542090")</f>
        <v>122542090</v>
      </c>
      <c r="B2993" s="210" t="str">
        <f>IFERROR(__xludf.DUMMYFUNCTION("""COMPUTED_VALUE"""),"122542090")</f>
        <v>122542090</v>
      </c>
      <c r="C2993" s="213">
        <f>IFERROR(__xludf.DUMMYFUNCTION("""COMPUTED_VALUE"""),46017.48708333333)</f>
        <v>46017.48708</v>
      </c>
      <c r="D2993" s="211" t="str">
        <f>IFERROR(__xludf.DUMMYFUNCTION("""COMPUTED_VALUE"""),"f49860e4")</f>
        <v>f49860e4</v>
      </c>
      <c r="E2993" s="211" t="str">
        <f>IFERROR(__xludf.DUMMYFUNCTION("""COMPUTED_VALUE"""),"Mas Nur ( Jetis )")</f>
        <v>Mas Nur ( Jetis )</v>
      </c>
      <c r="F2993" s="211" t="str">
        <f>IFERROR(__xludf.DUMMYFUNCTION("""COMPUTED_VALUE"""),"8bdbe149")</f>
        <v>8bdbe149</v>
      </c>
      <c r="G2993" s="211" t="str">
        <f>IFERROR(__xludf.DUMMYFUNCTION("""COMPUTED_VALUE"""),"Oksigen 6m3")</f>
        <v>Oksigen 6m3</v>
      </c>
      <c r="H2993" s="211" t="str">
        <f>IFERROR(__xludf.DUMMYFUNCTION("""COMPUTED_VALUE"""),"OUT")</f>
        <v>OUT</v>
      </c>
      <c r="I2993" s="211" t="str">
        <f>IFERROR(__xludf.DUMMYFUNCTION("""COMPUTED_VALUE"""),"NORMAL")</f>
        <v>NORMAL</v>
      </c>
      <c r="J2993" s="211">
        <f>IFERROR(__xludf.DUMMYFUNCTION("""COMPUTED_VALUE"""),2.0)</f>
        <v>2</v>
      </c>
      <c r="K2993" s="210" t="str">
        <f>IFERROR(__xludf.DUMMYFUNCTION("""COMPUTED_VALUE"""),"11308 11309")</f>
        <v>11308 11309</v>
      </c>
      <c r="L2993" s="211">
        <f>IFERROR(__xludf.DUMMYFUNCTION("""COMPUTED_VALUE"""),60000.0)</f>
        <v>60000</v>
      </c>
      <c r="M2993" s="211"/>
      <c r="N2993" s="211"/>
      <c r="O2993" s="211"/>
      <c r="Q2993" s="210" t="str">
        <f>IFERROR(__xludf.DUMMYFUNCTION("""COMPUTED_VALUE"""),"1261483")</f>
        <v>1261483</v>
      </c>
      <c r="R2993" s="210" t="str">
        <f>IFERROR(__xludf.DUMMYFUNCTION("""COMPUTED_VALUE"""),"1261483")</f>
        <v>1261483</v>
      </c>
      <c r="S2993" s="211" t="str">
        <f>IFERROR(__xludf.DUMMYFUNCTION("""COMPUTED_VALUE"""),"9b941888")</f>
        <v>9b941888</v>
      </c>
      <c r="T2993" s="211" t="str">
        <f>IFERROR(__xludf.DUMMYFUNCTION("""COMPUTED_VALUE"""),"Mas Devi ( Parengan )")</f>
        <v>Mas Devi ( Parengan )</v>
      </c>
      <c r="U2993" s="215">
        <f>IFERROR(__xludf.DUMMYFUNCTION("""COMPUTED_VALUE"""),46119.35533564815)</f>
        <v>46119.35534</v>
      </c>
      <c r="V2993" s="211" t="str">
        <f>IFERROR(__xludf.DUMMYFUNCTION("""COMPUTED_VALUE"""),"Kraton Krian Sidoarjo, ( sebelah tower listrik )")</f>
        <v>Kraton Krian Sidoarjo, ( sebelah tower listrik )</v>
      </c>
      <c r="W2993" s="211" t="str">
        <f>IFERROR(__xludf.DUMMYFUNCTION("""COMPUTED_VALUE"""),"IN")</f>
        <v>IN</v>
      </c>
      <c r="X2993" s="211"/>
    </row>
    <row r="2994">
      <c r="A2994" s="210" t="str">
        <f>IFERROR(__xludf.DUMMYFUNCTION("""COMPUTED_VALUE"""),"1251008")</f>
        <v>1251008</v>
      </c>
      <c r="B2994" s="210" t="str">
        <f>IFERROR(__xludf.DUMMYFUNCTION("""COMPUTED_VALUE"""),"1251008")</f>
        <v>1251008</v>
      </c>
      <c r="C2994" s="213">
        <f>IFERROR(__xludf.DUMMYFUNCTION("""COMPUTED_VALUE"""),46017.4909375)</f>
        <v>46017.49094</v>
      </c>
      <c r="D2994" s="211" t="str">
        <f>IFERROR(__xludf.DUMMYFUNCTION("""COMPUTED_VALUE"""),"63fc688a")</f>
        <v>63fc688a</v>
      </c>
      <c r="E2994" s="211" t="str">
        <f>IFERROR(__xludf.DUMMYFUNCTION("""COMPUTED_VALUE"""),"CV Malik Nusantara")</f>
        <v>CV Malik Nusantara</v>
      </c>
      <c r="F2994" s="211" t="str">
        <f>IFERROR(__xludf.DUMMYFUNCTION("""COMPUTED_VALUE"""),"ef306e54")</f>
        <v>ef306e54</v>
      </c>
      <c r="G2994" s="211" t="str">
        <f>IFERROR(__xludf.DUMMYFUNCTION("""COMPUTED_VALUE"""),"Karbondioksida")</f>
        <v>Karbondioksida</v>
      </c>
      <c r="H2994" s="211" t="str">
        <f>IFERROR(__xludf.DUMMYFUNCTION("""COMPUTED_VALUE"""),"IN")</f>
        <v>IN</v>
      </c>
      <c r="I2994" s="211" t="str">
        <f>IFERROR(__xludf.DUMMYFUNCTION("""COMPUTED_VALUE"""),"EMPTY")</f>
        <v>EMPTY</v>
      </c>
      <c r="J2994" s="211">
        <f>IFERROR(__xludf.DUMMYFUNCTION("""COMPUTED_VALUE"""),1.0)</f>
        <v>1</v>
      </c>
      <c r="K2994" s="210" t="str">
        <f>IFERROR(__xludf.DUMMYFUNCTION("""COMPUTED_VALUE"""),"13058")</f>
        <v>13058</v>
      </c>
      <c r="L2994" s="211">
        <f>IFERROR(__xludf.DUMMYFUNCTION("""COMPUTED_VALUE"""),0.0)</f>
        <v>0</v>
      </c>
      <c r="M2994" s="211"/>
      <c r="N2994" s="211"/>
      <c r="O2994" s="211"/>
      <c r="Q2994" s="210" t="str">
        <f>IFERROR(__xludf.DUMMYFUNCTION("""COMPUTED_VALUE"""),"1261482")</f>
        <v>1261482</v>
      </c>
      <c r="R2994" s="210" t="str">
        <f>IFERROR(__xludf.DUMMYFUNCTION("""COMPUTED_VALUE"""),"1261482")</f>
        <v>1261482</v>
      </c>
      <c r="S2994" s="211" t="str">
        <f>IFERROR(__xludf.DUMMYFUNCTION("""COMPUTED_VALUE"""),"d9b2fac5")</f>
        <v>d9b2fac5</v>
      </c>
      <c r="T2994" s="211" t="str">
        <f>IFERROR(__xludf.DUMMYFUNCTION("""COMPUTED_VALUE"""),"Dwi Riza ( Ponokawan)")</f>
        <v>Dwi Riza ( Ponokawan)</v>
      </c>
      <c r="U2994" s="215">
        <f>IFERROR(__xludf.DUMMYFUNCTION("""COMPUTED_VALUE"""),46119.355844907404)</f>
        <v>46119.35584</v>
      </c>
      <c r="V2994" s="211" t="str">
        <f>IFERROR(__xludf.DUMMYFUNCTION("""COMPUTED_VALUE"""),"Jl. Raya Ponokawan No.28 RT 07 RW 03 Kec. Krian Sidoarjo (Seberang Bengkel An.Nur/ Deretan Baraka Expres)")</f>
        <v>Jl. Raya Ponokawan No.28 RT 07 RW 03 Kec. Krian Sidoarjo (Seberang Bengkel An.Nur/ Deretan Baraka Expres)</v>
      </c>
      <c r="W2994" s="211" t="str">
        <f>IFERROR(__xludf.DUMMYFUNCTION("""COMPUTED_VALUE"""),"IN")</f>
        <v>IN</v>
      </c>
      <c r="X2994" s="211"/>
    </row>
    <row r="2995">
      <c r="A2995" s="210" t="str">
        <f>IFERROR(__xludf.DUMMYFUNCTION("""COMPUTED_VALUE"""),"1251001")</f>
        <v>1251001</v>
      </c>
      <c r="B2995" s="210" t="str">
        <f>IFERROR(__xludf.DUMMYFUNCTION("""COMPUTED_VALUE"""),"1251001")</f>
        <v>1251001</v>
      </c>
      <c r="C2995" s="213">
        <f>IFERROR(__xludf.DUMMYFUNCTION("""COMPUTED_VALUE"""),46017.51697916666)</f>
        <v>46017.51698</v>
      </c>
      <c r="D2995" s="211" t="str">
        <f>IFERROR(__xludf.DUMMYFUNCTION("""COMPUTED_VALUE"""),"ec231cc9")</f>
        <v>ec231cc9</v>
      </c>
      <c r="E2995" s="211" t="str">
        <f>IFERROR(__xludf.DUMMYFUNCTION("""COMPUTED_VALUE"""),"Bpk. Kohir (Maintenance Velg)")</f>
        <v>Bpk. Kohir (Maintenance Velg)</v>
      </c>
      <c r="F2995" s="211" t="str">
        <f>IFERROR(__xludf.DUMMYFUNCTION("""COMPUTED_VALUE"""),"8bdbe149")</f>
        <v>8bdbe149</v>
      </c>
      <c r="G2995" s="211" t="str">
        <f>IFERROR(__xludf.DUMMYFUNCTION("""COMPUTED_VALUE"""),"Oksigen 6m3")</f>
        <v>Oksigen 6m3</v>
      </c>
      <c r="H2995" s="211" t="str">
        <f>IFERROR(__xludf.DUMMYFUNCTION("""COMPUTED_VALUE"""),"IN")</f>
        <v>IN</v>
      </c>
      <c r="I2995" s="211" t="str">
        <f>IFERROR(__xludf.DUMMYFUNCTION("""COMPUTED_VALUE"""),"EMPTY")</f>
        <v>EMPTY</v>
      </c>
      <c r="J2995" s="211">
        <f>IFERROR(__xludf.DUMMYFUNCTION("""COMPUTED_VALUE"""),4.0)</f>
        <v>4</v>
      </c>
      <c r="K2995" s="210" t="str">
        <f>IFERROR(__xludf.DUMMYFUNCTION("""COMPUTED_VALUE"""),"1120 11103 11287 1113")</f>
        <v>1120 11103 11287 1113</v>
      </c>
      <c r="L2995" s="211">
        <f>IFERROR(__xludf.DUMMYFUNCTION("""COMPUTED_VALUE"""),0.0)</f>
        <v>0</v>
      </c>
      <c r="M2995" s="211"/>
      <c r="N2995" s="211"/>
      <c r="O2995" s="211"/>
      <c r="Q2995" s="210" t="str">
        <f>IFERROR(__xludf.DUMMYFUNCTION("""COMPUTED_VALUE"""),"1261484")</f>
        <v>1261484</v>
      </c>
      <c r="R2995" s="210" t="str">
        <f>IFERROR(__xludf.DUMMYFUNCTION("""COMPUTED_VALUE"""),"1261484")</f>
        <v>1261484</v>
      </c>
      <c r="S2995" s="211" t="str">
        <f>IFERROR(__xludf.DUMMYFUNCTION("""COMPUTED_VALUE"""),"63fc688a")</f>
        <v>63fc688a</v>
      </c>
      <c r="T2995" s="211" t="str">
        <f>IFERROR(__xludf.DUMMYFUNCTION("""COMPUTED_VALUE"""),"CV Malik Nusantara")</f>
        <v>CV Malik Nusantara</v>
      </c>
      <c r="U2995" s="215">
        <f>IFERROR(__xludf.DUMMYFUNCTION("""COMPUTED_VALUE"""),46119.35659722222)</f>
        <v>46119.3566</v>
      </c>
      <c r="V2995" s="211" t="str">
        <f>IFERROR(__xludf.DUMMYFUNCTION("""COMPUTED_VALUE"""),"Jl. Raya Balongbendo No.12, Suwaluh Utara, Suwaluh, Kec. BalongBendo, Kabupaten Sidoarjo, Jawa Timur 61263")</f>
        <v>Jl. Raya Balongbendo No.12, Suwaluh Utara, Suwaluh, Kec. BalongBendo, Kabupaten Sidoarjo, Jawa Timur 61263</v>
      </c>
      <c r="W2995" s="211" t="str">
        <f>IFERROR(__xludf.DUMMYFUNCTION("""COMPUTED_VALUE"""),"IN")</f>
        <v>IN</v>
      </c>
      <c r="X2995" s="211"/>
    </row>
    <row r="2996">
      <c r="A2996" s="210" t="str">
        <f>IFERROR(__xludf.DUMMYFUNCTION("""COMPUTED_VALUE"""),"1251000")</f>
        <v>1251000</v>
      </c>
      <c r="B2996" s="210" t="str">
        <f>IFERROR(__xludf.DUMMYFUNCTION("""COMPUTED_VALUE"""),"1251000")</f>
        <v>1251000</v>
      </c>
      <c r="C2996" s="213">
        <f>IFERROR(__xludf.DUMMYFUNCTION("""COMPUTED_VALUE"""),46017.51810185185)</f>
        <v>46017.5181</v>
      </c>
      <c r="D2996" s="211" t="str">
        <f>IFERROR(__xludf.DUMMYFUNCTION("""COMPUTED_VALUE"""),"440df1db")</f>
        <v>440df1db</v>
      </c>
      <c r="E2996" s="211" t="str">
        <f>IFERROR(__xludf.DUMMYFUNCTION("""COMPUTED_VALUE"""),"PT. Mecca Abadi Sejahtera")</f>
        <v>PT. Mecca Abadi Sejahtera</v>
      </c>
      <c r="F2996" s="211" t="str">
        <f>IFERROR(__xludf.DUMMYFUNCTION("""COMPUTED_VALUE"""),"ef306e54")</f>
        <v>ef306e54</v>
      </c>
      <c r="G2996" s="211" t="str">
        <f>IFERROR(__xludf.DUMMYFUNCTION("""COMPUTED_VALUE"""),"Karbondioksida")</f>
        <v>Karbondioksida</v>
      </c>
      <c r="H2996" s="211" t="str">
        <f>IFERROR(__xludf.DUMMYFUNCTION("""COMPUTED_VALUE"""),"IN")</f>
        <v>IN</v>
      </c>
      <c r="I2996" s="211" t="str">
        <f>IFERROR(__xludf.DUMMYFUNCTION("""COMPUTED_VALUE"""),"EMPTY")</f>
        <v>EMPTY</v>
      </c>
      <c r="J2996" s="211">
        <f>IFERROR(__xludf.DUMMYFUNCTION("""COMPUTED_VALUE"""),4.0)</f>
        <v>4</v>
      </c>
      <c r="K2996" s="210" t="str">
        <f>IFERROR(__xludf.DUMMYFUNCTION("""COMPUTED_VALUE"""),"13021 13037 13020 13014")</f>
        <v>13021 13037 13020 13014</v>
      </c>
      <c r="L2996" s="211">
        <f>IFERROR(__xludf.DUMMYFUNCTION("""COMPUTED_VALUE"""),0.0)</f>
        <v>0</v>
      </c>
      <c r="M2996" s="211"/>
      <c r="N2996" s="211"/>
      <c r="O2996" s="211"/>
      <c r="Q2996" s="210" t="str">
        <f>IFERROR(__xludf.DUMMYFUNCTION("""COMPUTED_VALUE"""),"1261481")</f>
        <v>1261481</v>
      </c>
      <c r="R2996" s="210" t="str">
        <f>IFERROR(__xludf.DUMMYFUNCTION("""COMPUTED_VALUE"""),"1261481")</f>
        <v>1261481</v>
      </c>
      <c r="S2996" s="211" t="str">
        <f>IFERROR(__xludf.DUMMYFUNCTION("""COMPUTED_VALUE"""),"ed4307f6")</f>
        <v>ed4307f6</v>
      </c>
      <c r="T2996" s="211" t="str">
        <f>IFERROR(__xludf.DUMMYFUNCTION("""COMPUTED_VALUE"""),"Bpk. Andi (Jetis)")</f>
        <v>Bpk. Andi (Jetis)</v>
      </c>
      <c r="U2996" s="215">
        <f>IFERROR(__xludf.DUMMYFUNCTION("""COMPUTED_VALUE"""),46118.44106481481)</f>
        <v>46118.44106</v>
      </c>
      <c r="V2996" s="211" t="str">
        <f>IFERROR(__xludf.DUMMYFUNCTION("""COMPUTED_VALUE"""),"HFH9+P7 Pelabuhan Kidul, Jetis, Kec. Jetis, Kabupaten Mojokerto, Jawa Timur, Indonesia")</f>
        <v>HFH9+P7 Pelabuhan Kidul, Jetis, Kec. Jetis, Kabupaten Mojokerto, Jawa Timur, Indonesia</v>
      </c>
      <c r="W2996" s="211" t="str">
        <f>IFERROR(__xludf.DUMMYFUNCTION("""COMPUTED_VALUE"""),"IN")</f>
        <v>IN</v>
      </c>
      <c r="X2996" s="211"/>
    </row>
    <row r="2997">
      <c r="A2997" s="210" t="str">
        <f>IFERROR(__xludf.DUMMYFUNCTION("""COMPUTED_VALUE"""),"1225612091")</f>
        <v>1225612091</v>
      </c>
      <c r="B2997" s="210" t="str">
        <f>IFERROR(__xludf.DUMMYFUNCTION("""COMPUTED_VALUE"""),"1225612091")</f>
        <v>1225612091</v>
      </c>
      <c r="C2997" s="213">
        <f>IFERROR(__xludf.DUMMYFUNCTION("""COMPUTED_VALUE"""),46017.52071759259)</f>
        <v>46017.52072</v>
      </c>
      <c r="D2997" s="211" t="str">
        <f>IFERROR(__xludf.DUMMYFUNCTION("""COMPUTED_VALUE"""),"b2b5f2c5")</f>
        <v>b2b5f2c5</v>
      </c>
      <c r="E2997" s="211" t="str">
        <f>IFERROR(__xludf.DUMMYFUNCTION("""COMPUTED_VALUE"""),"Bengkel Las Bpk. Ari")</f>
        <v>Bengkel Las Bpk. Ari</v>
      </c>
      <c r="F2997" s="211" t="str">
        <f>IFERROR(__xludf.DUMMYFUNCTION("""COMPUTED_VALUE"""),"8bdbe149")</f>
        <v>8bdbe149</v>
      </c>
      <c r="G2997" s="211" t="str">
        <f>IFERROR(__xludf.DUMMYFUNCTION("""COMPUTED_VALUE"""),"Oksigen 6m3")</f>
        <v>Oksigen 6m3</v>
      </c>
      <c r="H2997" s="211" t="str">
        <f>IFERROR(__xludf.DUMMYFUNCTION("""COMPUTED_VALUE"""),"OUT")</f>
        <v>OUT</v>
      </c>
      <c r="I2997" s="211" t="str">
        <f>IFERROR(__xludf.DUMMYFUNCTION("""COMPUTED_VALUE"""),"NORMAL")</f>
        <v>NORMAL</v>
      </c>
      <c r="J2997" s="211">
        <f>IFERROR(__xludf.DUMMYFUNCTION("""COMPUTED_VALUE"""),4.0)</f>
        <v>4</v>
      </c>
      <c r="K2997" s="210" t="str">
        <f>IFERROR(__xludf.DUMMYFUNCTION("""COMPUTED_VALUE"""),"11312 11124 11256 11252")</f>
        <v>11312 11124 11256 11252</v>
      </c>
      <c r="L2997" s="211">
        <f>IFERROR(__xludf.DUMMYFUNCTION("""COMPUTED_VALUE"""),60000.0)</f>
        <v>60000</v>
      </c>
      <c r="M2997" s="211"/>
      <c r="N2997" s="211"/>
      <c r="O2997" s="211"/>
      <c r="Q2997" s="210" t="str">
        <f>IFERROR(__xludf.DUMMYFUNCTION("""COMPUTED_VALUE"""),"1261497")</f>
        <v>1261497</v>
      </c>
      <c r="R2997" s="210" t="str">
        <f>IFERROR(__xludf.DUMMYFUNCTION("""COMPUTED_VALUE"""),"1261497")</f>
        <v>1261497</v>
      </c>
      <c r="S2997" s="211" t="str">
        <f>IFERROR(__xludf.DUMMYFUNCTION("""COMPUTED_VALUE"""),"b2b5f2c5")</f>
        <v>b2b5f2c5</v>
      </c>
      <c r="T2997" s="211" t="str">
        <f>IFERROR(__xludf.DUMMYFUNCTION("""COMPUTED_VALUE"""),"Bengkel Las Bpk. Ari")</f>
        <v>Bengkel Las Bpk. Ari</v>
      </c>
      <c r="U2997" s="215">
        <f>IFERROR(__xludf.DUMMYFUNCTION("""COMPUTED_VALUE"""),46119.358298611114)</f>
        <v>46119.3583</v>
      </c>
      <c r="V2997" s="211" t="str">
        <f>IFERROR(__xludf.DUMMYFUNCTION("""COMPUTED_VALUE"""),"Sumber Kembar, Wonodadi, Kec. Kutorejo, Kabupaten Mojokerto, Jawa Timur")</f>
        <v>Sumber Kembar, Wonodadi, Kec. Kutorejo, Kabupaten Mojokerto, Jawa Timur</v>
      </c>
      <c r="W2997" s="211" t="str">
        <f>IFERROR(__xludf.DUMMYFUNCTION("""COMPUTED_VALUE"""),"IN")</f>
        <v>IN</v>
      </c>
      <c r="X2997" s="211"/>
    </row>
    <row r="2998">
      <c r="A2998" s="210" t="str">
        <f>IFERROR(__xludf.DUMMYFUNCTION("""COMPUTED_VALUE"""),"1225342095")</f>
        <v>1225342095</v>
      </c>
      <c r="B2998" s="210" t="str">
        <f>IFERROR(__xludf.DUMMYFUNCTION("""COMPUTED_VALUE"""),"1225342095")</f>
        <v>1225342095</v>
      </c>
      <c r="C2998" s="213">
        <f>IFERROR(__xludf.DUMMYFUNCTION("""COMPUTED_VALUE"""),46017.521157407406)</f>
        <v>46017.52116</v>
      </c>
      <c r="D2998" s="211" t="str">
        <f>IFERROR(__xludf.DUMMYFUNCTION("""COMPUTED_VALUE"""),"ec231cc9")</f>
        <v>ec231cc9</v>
      </c>
      <c r="E2998" s="211" t="str">
        <f>IFERROR(__xludf.DUMMYFUNCTION("""COMPUTED_VALUE"""),"Bpk. Kohir (Maintenance Velg)")</f>
        <v>Bpk. Kohir (Maintenance Velg)</v>
      </c>
      <c r="F2998" s="211" t="str">
        <f>IFERROR(__xludf.DUMMYFUNCTION("""COMPUTED_VALUE"""),"ef306e54")</f>
        <v>ef306e54</v>
      </c>
      <c r="G2998" s="211" t="str">
        <f>IFERROR(__xludf.DUMMYFUNCTION("""COMPUTED_VALUE"""),"Karbondioksida")</f>
        <v>Karbondioksida</v>
      </c>
      <c r="H2998" s="211" t="str">
        <f>IFERROR(__xludf.DUMMYFUNCTION("""COMPUTED_VALUE"""),"OUT")</f>
        <v>OUT</v>
      </c>
      <c r="I2998" s="211" t="str">
        <f>IFERROR(__xludf.DUMMYFUNCTION("""COMPUTED_VALUE"""),"NORMAL")</f>
        <v>NORMAL</v>
      </c>
      <c r="J2998" s="211">
        <f>IFERROR(__xludf.DUMMYFUNCTION("""COMPUTED_VALUE"""),1.0)</f>
        <v>1</v>
      </c>
      <c r="K2998" s="210" t="str">
        <f>IFERROR(__xludf.DUMMYFUNCTION("""COMPUTED_VALUE"""),"13048")</f>
        <v>13048</v>
      </c>
      <c r="L2998" s="211">
        <f>IFERROR(__xludf.DUMMYFUNCTION("""COMPUTED_VALUE"""),175000.0)</f>
        <v>175000</v>
      </c>
      <c r="M2998" s="211"/>
      <c r="N2998" s="211"/>
      <c r="O2998" s="211"/>
      <c r="Q2998" s="210" t="str">
        <f>IFERROR(__xludf.DUMMYFUNCTION("""COMPUTED_VALUE"""),"0426112993")</f>
        <v>0426112993</v>
      </c>
      <c r="R2998" s="210" t="str">
        <f>IFERROR(__xludf.DUMMYFUNCTION("""COMPUTED_VALUE"""),"0426112993")</f>
        <v>0426112993</v>
      </c>
      <c r="S2998" s="211" t="str">
        <f>IFERROR(__xludf.DUMMYFUNCTION("""COMPUTED_VALUE"""),"d9b2fac5")</f>
        <v>d9b2fac5</v>
      </c>
      <c r="T2998" s="211" t="str">
        <f>IFERROR(__xludf.DUMMYFUNCTION("""COMPUTED_VALUE"""),"Dwi Riza ( Ponokawan)")</f>
        <v>Dwi Riza ( Ponokawan)</v>
      </c>
      <c r="U2998" s="215">
        <f>IFERROR(__xludf.DUMMYFUNCTION("""COMPUTED_VALUE"""),46119.360127314816)</f>
        <v>46119.36013</v>
      </c>
      <c r="V2998" s="211" t="str">
        <f>IFERROR(__xludf.DUMMYFUNCTION("""COMPUTED_VALUE"""),"Jl. Raya Ponokawan No.28 RT 07 RW 03 Kec. Krian Sidoarjo (Seberang Bengkel An.Nur/ Deretan Baraka Expres)")</f>
        <v>Jl. Raya Ponokawan No.28 RT 07 RW 03 Kec. Krian Sidoarjo (Seberang Bengkel An.Nur/ Deretan Baraka Expres)</v>
      </c>
      <c r="W2998" s="211" t="str">
        <f>IFERROR(__xludf.DUMMYFUNCTION("""COMPUTED_VALUE"""),"OUT")</f>
        <v>OUT</v>
      </c>
      <c r="X2998" s="211"/>
    </row>
    <row r="2999">
      <c r="A2999" s="210" t="str">
        <f>IFERROR(__xludf.DUMMYFUNCTION("""COMPUTED_VALUE"""),"1225342095")</f>
        <v>1225342095</v>
      </c>
      <c r="B2999" s="210" t="str">
        <f>IFERROR(__xludf.DUMMYFUNCTION("""COMPUTED_VALUE"""),"1225342095")</f>
        <v>1225342095</v>
      </c>
      <c r="C2999" s="213">
        <f>IFERROR(__xludf.DUMMYFUNCTION("""COMPUTED_VALUE"""),46017.521157407406)</f>
        <v>46017.52116</v>
      </c>
      <c r="D2999" s="211" t="str">
        <f>IFERROR(__xludf.DUMMYFUNCTION("""COMPUTED_VALUE"""),"ec231cc9")</f>
        <v>ec231cc9</v>
      </c>
      <c r="E2999" s="211" t="str">
        <f>IFERROR(__xludf.DUMMYFUNCTION("""COMPUTED_VALUE"""),"Bpk. Kohir (Maintenance Velg)")</f>
        <v>Bpk. Kohir (Maintenance Velg)</v>
      </c>
      <c r="F2999" s="211" t="str">
        <f>IFERROR(__xludf.DUMMYFUNCTION("""COMPUTED_VALUE"""),"8bdbe149")</f>
        <v>8bdbe149</v>
      </c>
      <c r="G2999" s="211" t="str">
        <f>IFERROR(__xludf.DUMMYFUNCTION("""COMPUTED_VALUE"""),"Oksigen 6m3")</f>
        <v>Oksigen 6m3</v>
      </c>
      <c r="H2999" s="211" t="str">
        <f>IFERROR(__xludf.DUMMYFUNCTION("""COMPUTED_VALUE"""),"OUT")</f>
        <v>OUT</v>
      </c>
      <c r="I2999" s="211" t="str">
        <f>IFERROR(__xludf.DUMMYFUNCTION("""COMPUTED_VALUE"""),"NORMAL")</f>
        <v>NORMAL</v>
      </c>
      <c r="J2999" s="211">
        <f>IFERROR(__xludf.DUMMYFUNCTION("""COMPUTED_VALUE"""),4.0)</f>
        <v>4</v>
      </c>
      <c r="K2999" s="210" t="str">
        <f>IFERROR(__xludf.DUMMYFUNCTION("""COMPUTED_VALUE"""),"11328 11319 11317 11322")</f>
        <v>11328 11319 11317 11322</v>
      </c>
      <c r="L2999" s="211">
        <f>IFERROR(__xludf.DUMMYFUNCTION("""COMPUTED_VALUE"""),55000.0)</f>
        <v>55000</v>
      </c>
      <c r="M2999" s="211"/>
      <c r="N2999" s="211"/>
      <c r="O2999" s="211"/>
      <c r="Q2999" s="210" t="str">
        <f>IFERROR(__xludf.DUMMYFUNCTION("""COMPUTED_VALUE"""),"1261493")</f>
        <v>1261493</v>
      </c>
      <c r="R2999" s="210" t="str">
        <f>IFERROR(__xludf.DUMMYFUNCTION("""COMPUTED_VALUE"""),"1261493")</f>
        <v>1261493</v>
      </c>
      <c r="S2999" s="211" t="str">
        <f>IFERROR(__xludf.DUMMYFUNCTION("""COMPUTED_VALUE"""),"734c6d17")</f>
        <v>734c6d17</v>
      </c>
      <c r="T2999" s="211" t="str">
        <f>IFERROR(__xludf.DUMMYFUNCTION("""COMPUTED_VALUE"""),"Bapak Ainol Yaqin ( Bpk. Ibnu )")</f>
        <v>Bapak Ainol Yaqin ( Bpk. Ibnu )</v>
      </c>
      <c r="U2999" s="215">
        <f>IFERROR(__xludf.DUMMYFUNCTION("""COMPUTED_VALUE"""),46119.360613425924)</f>
        <v>46119.36061</v>
      </c>
      <c r="V2999" s="211" t="str">
        <f>IFERROR(__xludf.DUMMYFUNCTION("""COMPUTED_VALUE"""),"Tanggul Wetan, Tanggul, Kec. Wonoayu, Kabupaten Sidoarjo, Jawa Timur")</f>
        <v>Tanggul Wetan, Tanggul, Kec. Wonoayu, Kabupaten Sidoarjo, Jawa Timur</v>
      </c>
      <c r="W2999" s="211" t="str">
        <f>IFERROR(__xludf.DUMMYFUNCTION("""COMPUTED_VALUE"""),"IN")</f>
        <v>IN</v>
      </c>
      <c r="X2999" s="211"/>
    </row>
    <row r="3000">
      <c r="A3000" s="210" t="str">
        <f>IFERROR(__xludf.DUMMYFUNCTION("""COMPUTED_VALUE"""),"1251010")</f>
        <v>1251010</v>
      </c>
      <c r="B3000" s="210" t="str">
        <f>IFERROR(__xludf.DUMMYFUNCTION("""COMPUTED_VALUE"""),"1251010")</f>
        <v>1251010</v>
      </c>
      <c r="C3000" s="213">
        <f>IFERROR(__xludf.DUMMYFUNCTION("""COMPUTED_VALUE"""),46017.64958333333)</f>
        <v>46017.64958</v>
      </c>
      <c r="D3000" s="211" t="str">
        <f>IFERROR(__xludf.DUMMYFUNCTION("""COMPUTED_VALUE"""),"ba97d58d")</f>
        <v>ba97d58d</v>
      </c>
      <c r="E3000" s="211" t="str">
        <f>IFERROR(__xludf.DUMMYFUNCTION("""COMPUTED_VALUE"""),"Bengkel Citra Mojosari")</f>
        <v>Bengkel Citra Mojosari</v>
      </c>
      <c r="F3000" s="211" t="str">
        <f>IFERROR(__xludf.DUMMYFUNCTION("""COMPUTED_VALUE"""),"7d2764f1")</f>
        <v>7d2764f1</v>
      </c>
      <c r="G3000" s="211" t="str">
        <f>IFERROR(__xludf.DUMMYFUNCTION("""COMPUTED_VALUE"""),"Oksigen 7m3")</f>
        <v>Oksigen 7m3</v>
      </c>
      <c r="H3000" s="211" t="str">
        <f>IFERROR(__xludf.DUMMYFUNCTION("""COMPUTED_VALUE"""),"IN")</f>
        <v>IN</v>
      </c>
      <c r="I3000" s="211" t="str">
        <f>IFERROR(__xludf.DUMMYFUNCTION("""COMPUTED_VALUE"""),"EMPTY")</f>
        <v>EMPTY</v>
      </c>
      <c r="J3000" s="211">
        <f>IFERROR(__xludf.DUMMYFUNCTION("""COMPUTED_VALUE"""),2.0)</f>
        <v>2</v>
      </c>
      <c r="K3000" s="210" t="str">
        <f>IFERROR(__xludf.DUMMYFUNCTION("""COMPUTED_VALUE"""),"11163 11218")</f>
        <v>11163 11218</v>
      </c>
      <c r="L3000" s="211">
        <f>IFERROR(__xludf.DUMMYFUNCTION("""COMPUTED_VALUE"""),0.0)</f>
        <v>0</v>
      </c>
      <c r="M3000" s="211"/>
      <c r="N3000" s="211"/>
      <c r="O3000" s="211"/>
      <c r="Q3000" s="210" t="str">
        <f>IFERROR(__xludf.DUMMYFUNCTION("""COMPUTED_VALUE"""),"1261495")</f>
        <v>1261495</v>
      </c>
      <c r="R3000" s="210" t="str">
        <f>IFERROR(__xludf.DUMMYFUNCTION("""COMPUTED_VALUE"""),"1261495")</f>
        <v>1261495</v>
      </c>
      <c r="S3000" s="211" t="str">
        <f>IFERROR(__xludf.DUMMYFUNCTION("""COMPUTED_VALUE"""),"734c6d17")</f>
        <v>734c6d17</v>
      </c>
      <c r="T3000" s="211" t="str">
        <f>IFERROR(__xludf.DUMMYFUNCTION("""COMPUTED_VALUE"""),"Bapak Ainol Yaqin ( Bpk. Ibnu )")</f>
        <v>Bapak Ainol Yaqin ( Bpk. Ibnu )</v>
      </c>
      <c r="U3000" s="215">
        <f>IFERROR(__xludf.DUMMYFUNCTION("""COMPUTED_VALUE"""),46119.36104166666)</f>
        <v>46119.36104</v>
      </c>
      <c r="V3000" s="211" t="str">
        <f>IFERROR(__xludf.DUMMYFUNCTION("""COMPUTED_VALUE"""),"Tanggul Wetan, Tanggul, Kec. Wonoayu, Kabupaten Sidoarjo, Jawa Timur")</f>
        <v>Tanggul Wetan, Tanggul, Kec. Wonoayu, Kabupaten Sidoarjo, Jawa Timur</v>
      </c>
      <c r="W3000" s="211" t="str">
        <f>IFERROR(__xludf.DUMMYFUNCTION("""COMPUTED_VALUE"""),"IN")</f>
        <v>IN</v>
      </c>
      <c r="X3000" s="211"/>
    </row>
    <row r="3001">
      <c r="A3001" s="210" t="str">
        <f>IFERROR(__xludf.DUMMYFUNCTION("""COMPUTED_VALUE"""),"1251010")</f>
        <v>1251010</v>
      </c>
      <c r="B3001" s="210" t="str">
        <f>IFERROR(__xludf.DUMMYFUNCTION("""COMPUTED_VALUE"""),"1251010")</f>
        <v>1251010</v>
      </c>
      <c r="C3001" s="213">
        <f>IFERROR(__xludf.DUMMYFUNCTION("""COMPUTED_VALUE"""),46017.64958333333)</f>
        <v>46017.64958</v>
      </c>
      <c r="D3001" s="211" t="str">
        <f>IFERROR(__xludf.DUMMYFUNCTION("""COMPUTED_VALUE"""),"ba97d58d")</f>
        <v>ba97d58d</v>
      </c>
      <c r="E3001" s="211" t="str">
        <f>IFERROR(__xludf.DUMMYFUNCTION("""COMPUTED_VALUE"""),"Bengkel Citra Mojosari")</f>
        <v>Bengkel Citra Mojosari</v>
      </c>
      <c r="F3001" s="211" t="str">
        <f>IFERROR(__xludf.DUMMYFUNCTION("""COMPUTED_VALUE"""),"8bdbe149")</f>
        <v>8bdbe149</v>
      </c>
      <c r="G3001" s="211" t="str">
        <f>IFERROR(__xludf.DUMMYFUNCTION("""COMPUTED_VALUE"""),"Oksigen 6m3")</f>
        <v>Oksigen 6m3</v>
      </c>
      <c r="H3001" s="211" t="str">
        <f>IFERROR(__xludf.DUMMYFUNCTION("""COMPUTED_VALUE"""),"IN")</f>
        <v>IN</v>
      </c>
      <c r="I3001" s="211" t="str">
        <f>IFERROR(__xludf.DUMMYFUNCTION("""COMPUTED_VALUE"""),"EMPTY")</f>
        <v>EMPTY</v>
      </c>
      <c r="J3001" s="211">
        <f>IFERROR(__xludf.DUMMYFUNCTION("""COMPUTED_VALUE"""),1.0)</f>
        <v>1</v>
      </c>
      <c r="K3001" s="210" t="str">
        <f>IFERROR(__xludf.DUMMYFUNCTION("""COMPUTED_VALUE"""),"11111")</f>
        <v>11111</v>
      </c>
      <c r="L3001" s="211">
        <f>IFERROR(__xludf.DUMMYFUNCTION("""COMPUTED_VALUE"""),0.0)</f>
        <v>0</v>
      </c>
      <c r="M3001" s="211"/>
      <c r="N3001" s="211"/>
      <c r="O3001" s="211"/>
      <c r="Q3001" s="210" t="str">
        <f>IFERROR(__xludf.DUMMYFUNCTION("""COMPUTED_VALUE"""),"126494")</f>
        <v>126494</v>
      </c>
      <c r="R3001" s="210" t="str">
        <f>IFERROR(__xludf.DUMMYFUNCTION("""COMPUTED_VALUE"""),"1261494")</f>
        <v>1261494</v>
      </c>
      <c r="S3001" s="211" t="str">
        <f>IFERROR(__xludf.DUMMYFUNCTION("""COMPUTED_VALUE"""),"7b9d8eba")</f>
        <v>7b9d8eba</v>
      </c>
      <c r="T3001" s="211" t="str">
        <f>IFERROR(__xludf.DUMMYFUNCTION("""COMPUTED_VALUE"""),"PT PELANGI INDOKARYA")</f>
        <v>PT PELANGI INDOKARYA</v>
      </c>
      <c r="U3001" s="215">
        <f>IFERROR(__xludf.DUMMYFUNCTION("""COMPUTED_VALUE"""),46119.361354166664)</f>
        <v>46119.36135</v>
      </c>
      <c r="V3001" s="211" t="str">
        <f>IFERROR(__xludf.DUMMYFUNCTION("""COMPUTED_VALUE"""),"Jl Medokan Semampir Indah Sukokilo No 129 RT. 005 RW. 008 Medokan Semampir Sukokilo Kota Surabaya Jawa Timur 60119")</f>
        <v>Jl Medokan Semampir Indah Sukokilo No 129 RT. 005 RW. 008 Medokan Semampir Sukokilo Kota Surabaya Jawa Timur 60119</v>
      </c>
      <c r="W3001" s="211" t="str">
        <f>IFERROR(__xludf.DUMMYFUNCTION("""COMPUTED_VALUE"""),"IN")</f>
        <v>IN</v>
      </c>
      <c r="X3001" s="211"/>
    </row>
    <row r="3002">
      <c r="A3002" s="210" t="str">
        <f>IFERROR(__xludf.DUMMYFUNCTION("""COMPUTED_VALUE"""),"1251011")</f>
        <v>1251011</v>
      </c>
      <c r="B3002" s="210" t="str">
        <f>IFERROR(__xludf.DUMMYFUNCTION("""COMPUTED_VALUE"""),"1251011")</f>
        <v>1251011</v>
      </c>
      <c r="C3002" s="213">
        <f>IFERROR(__xludf.DUMMYFUNCTION("""COMPUTED_VALUE"""),46017.650358796294)</f>
        <v>46017.65036</v>
      </c>
      <c r="D3002" s="211" t="str">
        <f>IFERROR(__xludf.DUMMYFUNCTION("""COMPUTED_VALUE"""),"b2b5f2c5")</f>
        <v>b2b5f2c5</v>
      </c>
      <c r="E3002" s="211" t="str">
        <f>IFERROR(__xludf.DUMMYFUNCTION("""COMPUTED_VALUE"""),"Bengkel Las Bpk. Ari")</f>
        <v>Bengkel Las Bpk. Ari</v>
      </c>
      <c r="F3002" s="211" t="str">
        <f>IFERROR(__xludf.DUMMYFUNCTION("""COMPUTED_VALUE"""),"ef306e54")</f>
        <v>ef306e54</v>
      </c>
      <c r="G3002" s="211" t="str">
        <f>IFERROR(__xludf.DUMMYFUNCTION("""COMPUTED_VALUE"""),"Karbondioksida")</f>
        <v>Karbondioksida</v>
      </c>
      <c r="H3002" s="211" t="str">
        <f>IFERROR(__xludf.DUMMYFUNCTION("""COMPUTED_VALUE"""),"IN")</f>
        <v>IN</v>
      </c>
      <c r="I3002" s="211" t="str">
        <f>IFERROR(__xludf.DUMMYFUNCTION("""COMPUTED_VALUE"""),"EMPTY")</f>
        <v>EMPTY</v>
      </c>
      <c r="J3002" s="211">
        <f>IFERROR(__xludf.DUMMYFUNCTION("""COMPUTED_VALUE"""),1.0)</f>
        <v>1</v>
      </c>
      <c r="K3002" s="210" t="str">
        <f>IFERROR(__xludf.DUMMYFUNCTION("""COMPUTED_VALUE"""),"13027")</f>
        <v>13027</v>
      </c>
      <c r="L3002" s="211">
        <f>IFERROR(__xludf.DUMMYFUNCTION("""COMPUTED_VALUE"""),0.0)</f>
        <v>0</v>
      </c>
      <c r="M3002" s="211"/>
      <c r="N3002" s="211"/>
      <c r="O3002" s="211"/>
      <c r="Q3002" s="210" t="str">
        <f>IFERROR(__xludf.DUMMYFUNCTION("""COMPUTED_VALUE"""),"1261496")</f>
        <v>1261496</v>
      </c>
      <c r="R3002" s="210" t="str">
        <f>IFERROR(__xludf.DUMMYFUNCTION("""COMPUTED_VALUE"""),"1261496")</f>
        <v>1261496</v>
      </c>
      <c r="S3002" s="211" t="str">
        <f>IFERROR(__xludf.DUMMYFUNCTION("""COMPUTED_VALUE"""),"ba97d58d")</f>
        <v>ba97d58d</v>
      </c>
      <c r="T3002" s="211" t="str">
        <f>IFERROR(__xludf.DUMMYFUNCTION("""COMPUTED_VALUE"""),"Bengkel Citra Mojosari")</f>
        <v>Bengkel Citra Mojosari</v>
      </c>
      <c r="U3002" s="215">
        <f>IFERROR(__xludf.DUMMYFUNCTION("""COMPUTED_VALUE"""),46119.362916666665)</f>
        <v>46119.36292</v>
      </c>
      <c r="V3002" s="211" t="str">
        <f>IFERROR(__xludf.DUMMYFUNCTION("""COMPUTED_VALUE"""),"Jl. Raden Wijaya, Kemloko, Jotangan, Kec. Mojosari, Kabupaten Mojokerto, Jawa Timur 61382")</f>
        <v>Jl. Raden Wijaya, Kemloko, Jotangan, Kec. Mojosari, Kabupaten Mojokerto, Jawa Timur 61382</v>
      </c>
      <c r="W3002" s="211" t="str">
        <f>IFERROR(__xludf.DUMMYFUNCTION("""COMPUTED_VALUE"""),"IN")</f>
        <v>IN</v>
      </c>
      <c r="X3002" s="211"/>
    </row>
    <row r="3003">
      <c r="A3003" s="210" t="str">
        <f>IFERROR(__xludf.DUMMYFUNCTION("""COMPUTED_VALUE"""),"1251011")</f>
        <v>1251011</v>
      </c>
      <c r="B3003" s="210" t="str">
        <f>IFERROR(__xludf.DUMMYFUNCTION("""COMPUTED_VALUE"""),"1251011")</f>
        <v>1251011</v>
      </c>
      <c r="C3003" s="213">
        <f>IFERROR(__xludf.DUMMYFUNCTION("""COMPUTED_VALUE"""),46017.650358796294)</f>
        <v>46017.65036</v>
      </c>
      <c r="D3003" s="211" t="str">
        <f>IFERROR(__xludf.DUMMYFUNCTION("""COMPUTED_VALUE"""),"b2b5f2c5")</f>
        <v>b2b5f2c5</v>
      </c>
      <c r="E3003" s="211" t="str">
        <f>IFERROR(__xludf.DUMMYFUNCTION("""COMPUTED_VALUE"""),"Bengkel Las Bpk. Ari")</f>
        <v>Bengkel Las Bpk. Ari</v>
      </c>
      <c r="F3003" s="211" t="str">
        <f>IFERROR(__xludf.DUMMYFUNCTION("""COMPUTED_VALUE"""),"7d2764f1")</f>
        <v>7d2764f1</v>
      </c>
      <c r="G3003" s="211" t="str">
        <f>IFERROR(__xludf.DUMMYFUNCTION("""COMPUTED_VALUE"""),"Oksigen 7m3")</f>
        <v>Oksigen 7m3</v>
      </c>
      <c r="H3003" s="211" t="str">
        <f>IFERROR(__xludf.DUMMYFUNCTION("""COMPUTED_VALUE"""),"IN")</f>
        <v>IN</v>
      </c>
      <c r="I3003" s="211" t="str">
        <f>IFERROR(__xludf.DUMMYFUNCTION("""COMPUTED_VALUE"""),"EMPTY")</f>
        <v>EMPTY</v>
      </c>
      <c r="J3003" s="211">
        <f>IFERROR(__xludf.DUMMYFUNCTION("""COMPUTED_VALUE"""),4.0)</f>
        <v>4</v>
      </c>
      <c r="K3003" s="210" t="str">
        <f>IFERROR(__xludf.DUMMYFUNCTION("""COMPUTED_VALUE"""),"11164 11329 11330 11331")</f>
        <v>11164 11329 11330 11331</v>
      </c>
      <c r="L3003" s="211">
        <f>IFERROR(__xludf.DUMMYFUNCTION("""COMPUTED_VALUE"""),0.0)</f>
        <v>0</v>
      </c>
      <c r="M3003" s="211"/>
      <c r="N3003" s="211"/>
      <c r="O3003" s="211"/>
      <c r="Q3003" s="210" t="str">
        <f>IFERROR(__xludf.DUMMYFUNCTION("""COMPUTED_VALUE"""),"0426992999")</f>
        <v>0426992999</v>
      </c>
      <c r="R3003" s="210" t="str">
        <f>IFERROR(__xludf.DUMMYFUNCTION("""COMPUTED_VALUE"""),"0426992999")</f>
        <v>0426992999</v>
      </c>
      <c r="S3003" s="211" t="str">
        <f>IFERROR(__xludf.DUMMYFUNCTION("""COMPUTED_VALUE"""),"b2b5f2c5")</f>
        <v>b2b5f2c5</v>
      </c>
      <c r="T3003" s="211" t="str">
        <f>IFERROR(__xludf.DUMMYFUNCTION("""COMPUTED_VALUE"""),"Bengkel Las Bpk. Ari")</f>
        <v>Bengkel Las Bpk. Ari</v>
      </c>
      <c r="U3003" s="215">
        <f>IFERROR(__xludf.DUMMYFUNCTION("""COMPUTED_VALUE"""),46119.36620370371)</f>
        <v>46119.3662</v>
      </c>
      <c r="V3003" s="211" t="str">
        <f>IFERROR(__xludf.DUMMYFUNCTION("""COMPUTED_VALUE"""),"Sumber Kembar, Wonodadi, Kec. Kutorejo, Kabupaten Mojokerto, Jawa Timur")</f>
        <v>Sumber Kembar, Wonodadi, Kec. Kutorejo, Kabupaten Mojokerto, Jawa Timur</v>
      </c>
      <c r="W3003" s="211" t="str">
        <f>IFERROR(__xludf.DUMMYFUNCTION("""COMPUTED_VALUE"""),"OUT")</f>
        <v>OUT</v>
      </c>
      <c r="X3003" s="211"/>
    </row>
    <row r="3004">
      <c r="A3004" s="210" t="str">
        <f>IFERROR(__xludf.DUMMYFUNCTION("""COMPUTED_VALUE"""),"1251011")</f>
        <v>1251011</v>
      </c>
      <c r="B3004" s="210" t="str">
        <f>IFERROR(__xludf.DUMMYFUNCTION("""COMPUTED_VALUE"""),"1251011")</f>
        <v>1251011</v>
      </c>
      <c r="C3004" s="213">
        <f>IFERROR(__xludf.DUMMYFUNCTION("""COMPUTED_VALUE"""),46017.650358796294)</f>
        <v>46017.65036</v>
      </c>
      <c r="D3004" s="211" t="str">
        <f>IFERROR(__xludf.DUMMYFUNCTION("""COMPUTED_VALUE"""),"b2b5f2c5")</f>
        <v>b2b5f2c5</v>
      </c>
      <c r="E3004" s="211" t="str">
        <f>IFERROR(__xludf.DUMMYFUNCTION("""COMPUTED_VALUE"""),"Bengkel Las Bpk. Ari")</f>
        <v>Bengkel Las Bpk. Ari</v>
      </c>
      <c r="F3004" s="211" t="str">
        <f>IFERROR(__xludf.DUMMYFUNCTION("""COMPUTED_VALUE"""),"8bdbe149")</f>
        <v>8bdbe149</v>
      </c>
      <c r="G3004" s="211" t="str">
        <f>IFERROR(__xludf.DUMMYFUNCTION("""COMPUTED_VALUE"""),"Oksigen 6m3")</f>
        <v>Oksigen 6m3</v>
      </c>
      <c r="H3004" s="211" t="str">
        <f>IFERROR(__xludf.DUMMYFUNCTION("""COMPUTED_VALUE"""),"IN")</f>
        <v>IN</v>
      </c>
      <c r="I3004" s="211" t="str">
        <f>IFERROR(__xludf.DUMMYFUNCTION("""COMPUTED_VALUE"""),"EMPTY")</f>
        <v>EMPTY</v>
      </c>
      <c r="J3004" s="211">
        <f>IFERROR(__xludf.DUMMYFUNCTION("""COMPUTED_VALUE"""),5.0)</f>
        <v>5</v>
      </c>
      <c r="K3004" s="210" t="str">
        <f>IFERROR(__xludf.DUMMYFUNCTION("""COMPUTED_VALUE"""),"11327 11177 1149 11267 11241")</f>
        <v>11327 11177 1149 11267 11241</v>
      </c>
      <c r="L3004" s="211">
        <f>IFERROR(__xludf.DUMMYFUNCTION("""COMPUTED_VALUE"""),0.0)</f>
        <v>0</v>
      </c>
      <c r="M3004" s="211"/>
      <c r="N3004" s="211"/>
      <c r="O3004" s="211"/>
      <c r="Q3004" s="210" t="str">
        <f>IFERROR(__xludf.DUMMYFUNCTION("""COMPUTED_VALUE"""),"042633004")</f>
        <v>042633004</v>
      </c>
      <c r="R3004" s="210" t="str">
        <f>IFERROR(__xludf.DUMMYFUNCTION("""COMPUTED_VALUE"""),"042633004")</f>
        <v>042633004</v>
      </c>
      <c r="S3004" s="211" t="str">
        <f>IFERROR(__xludf.DUMMYFUNCTION("""COMPUTED_VALUE"""),"89d46c39")</f>
        <v>89d46c39</v>
      </c>
      <c r="T3004" s="211" t="str">
        <f>IFERROR(__xludf.DUMMYFUNCTION("""COMPUTED_VALUE"""),"PT Cakar Baja Persada")</f>
        <v>PT Cakar Baja Persada</v>
      </c>
      <c r="U3004" s="215">
        <f>IFERROR(__xludf.DUMMYFUNCTION("""COMPUTED_VALUE"""),46119.367372685185)</f>
        <v>46119.36737</v>
      </c>
      <c r="V3004" s="211" t="str">
        <f>IFERROR(__xludf.DUMMYFUNCTION("""COMPUTED_VALUE"""),"Pergudangan Jaya Park Blok E.02,  JI. Mayjen Yono Sungkono, Watesari, Balongbendo, Sidoarjo")</f>
        <v>Pergudangan Jaya Park Blok E.02,  JI. Mayjen Yono Sungkono, Watesari, Balongbendo, Sidoarjo</v>
      </c>
      <c r="W3004" s="211" t="str">
        <f>IFERROR(__xludf.DUMMYFUNCTION("""COMPUTED_VALUE"""),"OUT")</f>
        <v>OUT</v>
      </c>
      <c r="X3004" s="211"/>
    </row>
    <row r="3005">
      <c r="A3005" s="210" t="str">
        <f>IFERROR(__xludf.DUMMYFUNCTION("""COMPUTED_VALUE"""),"122592096")</f>
        <v>122592096</v>
      </c>
      <c r="B3005" s="210" t="str">
        <f>IFERROR(__xludf.DUMMYFUNCTION("""COMPUTED_VALUE"""),"122592096")</f>
        <v>122592096</v>
      </c>
      <c r="C3005" s="213">
        <f>IFERROR(__xludf.DUMMYFUNCTION("""COMPUTED_VALUE"""),46018.34326388889)</f>
        <v>46018.34326</v>
      </c>
      <c r="D3005" s="211" t="str">
        <f>IFERROR(__xludf.DUMMYFUNCTION("""COMPUTED_VALUE"""),"3b04351a")</f>
        <v>3b04351a</v>
      </c>
      <c r="E3005" s="211" t="str">
        <f>IFERROR(__xludf.DUMMYFUNCTION("""COMPUTED_VALUE"""),"CV Usaha Logam Jaya ( Bpk Putra )")</f>
        <v>CV Usaha Logam Jaya ( Bpk Putra )</v>
      </c>
      <c r="F3005" s="211" t="str">
        <f>IFERROR(__xludf.DUMMYFUNCTION("""COMPUTED_VALUE"""),"8bdbe149")</f>
        <v>8bdbe149</v>
      </c>
      <c r="G3005" s="211" t="str">
        <f>IFERROR(__xludf.DUMMYFUNCTION("""COMPUTED_VALUE"""),"Oksigen 6m3")</f>
        <v>Oksigen 6m3</v>
      </c>
      <c r="H3005" s="211" t="str">
        <f>IFERROR(__xludf.DUMMYFUNCTION("""COMPUTED_VALUE"""),"OUT")</f>
        <v>OUT</v>
      </c>
      <c r="I3005" s="211" t="str">
        <f>IFERROR(__xludf.DUMMYFUNCTION("""COMPUTED_VALUE"""),"NORMAL")</f>
        <v>NORMAL</v>
      </c>
      <c r="J3005" s="211">
        <f>IFERROR(__xludf.DUMMYFUNCTION("""COMPUTED_VALUE"""),15.0)</f>
        <v>15</v>
      </c>
      <c r="K3005" s="210" t="str">
        <f>IFERROR(__xludf.DUMMYFUNCTION("""COMPUTED_VALUE"""),"1152 11240 11236 1138 1139 11247 11257 11209 1194 11275 1176 11251 11132 1169 11165")</f>
        <v>1152 11240 11236 1138 1139 11247 11257 11209 1194 11275 1176 11251 11132 1169 11165</v>
      </c>
      <c r="L3005" s="211">
        <f>IFERROR(__xludf.DUMMYFUNCTION("""COMPUTED_VALUE"""),60000.0)</f>
        <v>60000</v>
      </c>
      <c r="M3005" s="211"/>
      <c r="N3005" s="211"/>
      <c r="O3005" s="211"/>
      <c r="Q3005" s="210" t="str">
        <f>IFERROR(__xludf.DUMMYFUNCTION("""COMPUTED_VALUE"""),"0426143005")</f>
        <v>0426143005</v>
      </c>
      <c r="R3005" s="210" t="str">
        <f>IFERROR(__xludf.DUMMYFUNCTION("""COMPUTED_VALUE"""),"0426143005")</f>
        <v>0426143005</v>
      </c>
      <c r="S3005" s="211" t="str">
        <f>IFERROR(__xludf.DUMMYFUNCTION("""COMPUTED_VALUE"""),"9828dfc5")</f>
        <v>9828dfc5</v>
      </c>
      <c r="T3005" s="211" t="str">
        <f>IFERROR(__xludf.DUMMYFUNCTION("""COMPUTED_VALUE"""),"Bpk. David")</f>
        <v>Bpk. David</v>
      </c>
      <c r="U3005" s="215">
        <f>IFERROR(__xludf.DUMMYFUNCTION("""COMPUTED_VALUE"""),46119.39098379629)</f>
        <v>46119.39098</v>
      </c>
      <c r="V3005" s="211" t="str">
        <f>IFERROR(__xludf.DUMMYFUNCTION("""COMPUTED_VALUE"""),"GHF3+R34, Jl. Kartini, Ngingas, Ngimbangan, Kec. Mojosari, Kabupaten Mojokerto, Jawa Timur 61382")</f>
        <v>GHF3+R34, Jl. Kartini, Ngingas, Ngimbangan, Kec. Mojosari, Kabupaten Mojokerto, Jawa Timur 61382</v>
      </c>
      <c r="W3005" s="211" t="str">
        <f>IFERROR(__xludf.DUMMYFUNCTION("""COMPUTED_VALUE"""),"OUT")</f>
        <v>OUT</v>
      </c>
      <c r="X3005" s="211"/>
    </row>
    <row r="3006">
      <c r="A3006" s="210" t="str">
        <f>IFERROR(__xludf.DUMMYFUNCTION("""COMPUTED_VALUE"""),"122592096")</f>
        <v>122592096</v>
      </c>
      <c r="B3006" s="210" t="str">
        <f>IFERROR(__xludf.DUMMYFUNCTION("""COMPUTED_VALUE"""),"122592096")</f>
        <v>122592096</v>
      </c>
      <c r="C3006" s="213">
        <f>IFERROR(__xludf.DUMMYFUNCTION("""COMPUTED_VALUE"""),46018.34326388889)</f>
        <v>46018.34326</v>
      </c>
      <c r="D3006" s="211" t="str">
        <f>IFERROR(__xludf.DUMMYFUNCTION("""COMPUTED_VALUE"""),"3b04351a")</f>
        <v>3b04351a</v>
      </c>
      <c r="E3006" s="211" t="str">
        <f>IFERROR(__xludf.DUMMYFUNCTION("""COMPUTED_VALUE"""),"CV Usaha Logam Jaya ( Bpk Putra )")</f>
        <v>CV Usaha Logam Jaya ( Bpk Putra )</v>
      </c>
      <c r="F3006" s="211" t="str">
        <f>IFERROR(__xludf.DUMMYFUNCTION("""COMPUTED_VALUE"""),"be525f3b")</f>
        <v>be525f3b</v>
      </c>
      <c r="G3006" s="211" t="str">
        <f>IFERROR(__xludf.DUMMYFUNCTION("""COMPUTED_VALUE"""),"LPG 12kg")</f>
        <v>LPG 12kg</v>
      </c>
      <c r="H3006" s="211" t="str">
        <f>IFERROR(__xludf.DUMMYFUNCTION("""COMPUTED_VALUE"""),"OUT")</f>
        <v>OUT</v>
      </c>
      <c r="I3006" s="211" t="str">
        <f>IFERROR(__xludf.DUMMYFUNCTION("""COMPUTED_VALUE"""),"NORMAL")</f>
        <v>NORMAL</v>
      </c>
      <c r="J3006" s="211">
        <f>IFERROR(__xludf.DUMMYFUNCTION("""COMPUTED_VALUE"""),2.0)</f>
        <v>2</v>
      </c>
      <c r="K3006" s="210" t="str">
        <f>IFERROR(__xludf.DUMMYFUNCTION("""COMPUTED_VALUE"""),"01 02")</f>
        <v>01 02</v>
      </c>
      <c r="L3006" s="211">
        <f>IFERROR(__xludf.DUMMYFUNCTION("""COMPUTED_VALUE"""),210000.0)</f>
        <v>210000</v>
      </c>
      <c r="M3006" s="211"/>
      <c r="N3006" s="211"/>
      <c r="O3006" s="211"/>
      <c r="Q3006" s="210" t="str">
        <f>IFERROR(__xludf.DUMMYFUNCTION("""COMPUTED_VALUE"""),"0426513006")</f>
        <v>0426513006</v>
      </c>
      <c r="R3006" s="210" t="str">
        <f>IFERROR(__xludf.DUMMYFUNCTION("""COMPUTED_VALUE"""),"0426513006")</f>
        <v>0426513006</v>
      </c>
      <c r="S3006" s="211" t="str">
        <f>IFERROR(__xludf.DUMMYFUNCTION("""COMPUTED_VALUE"""),"ec231cc9")</f>
        <v>ec231cc9</v>
      </c>
      <c r="T3006" s="211" t="str">
        <f>IFERROR(__xludf.DUMMYFUNCTION("""COMPUTED_VALUE"""),"Bpk. Kadir (Maintenance Velg)")</f>
        <v>Bpk. Kadir (Maintenance Velg)</v>
      </c>
      <c r="U3006" s="215">
        <f>IFERROR(__xludf.DUMMYFUNCTION("""COMPUTED_VALUE"""),46119.39189814815)</f>
        <v>46119.3919</v>
      </c>
      <c r="V3006" s="211" t="str">
        <f>IFERROR(__xludf.DUMMYFUNCTION("""COMPUTED_VALUE"""),"Jl. Lkr. Bypass Krian Timur, Sidogolong, Watugolong, Kec. Krian, Kabupaten Sidoarjo, Jawa Timur 61262")</f>
        <v>Jl. Lkr. Bypass Krian Timur, Sidogolong, Watugolong, Kec. Krian, Kabupaten Sidoarjo, Jawa Timur 61262</v>
      </c>
      <c r="W3006" s="211" t="str">
        <f>IFERROR(__xludf.DUMMYFUNCTION("""COMPUTED_VALUE"""),"OUT")</f>
        <v>OUT</v>
      </c>
      <c r="X3006" s="211"/>
    </row>
    <row r="3007">
      <c r="A3007" s="210" t="str">
        <f>IFERROR(__xludf.DUMMYFUNCTION("""COMPUTED_VALUE"""),"1225622099")</f>
        <v>1225622099</v>
      </c>
      <c r="B3007" s="210" t="str">
        <f>IFERROR(__xludf.DUMMYFUNCTION("""COMPUTED_VALUE"""),"1225622099")</f>
        <v>1225622099</v>
      </c>
      <c r="C3007" s="213">
        <f>IFERROR(__xludf.DUMMYFUNCTION("""COMPUTED_VALUE"""),46018.42357638889)</f>
        <v>46018.42358</v>
      </c>
      <c r="D3007" s="211" t="str">
        <f>IFERROR(__xludf.DUMMYFUNCTION("""COMPUTED_VALUE"""),"b2b5f2c5")</f>
        <v>b2b5f2c5</v>
      </c>
      <c r="E3007" s="211" t="str">
        <f>IFERROR(__xludf.DUMMYFUNCTION("""COMPUTED_VALUE"""),"Bengkel Las Bpk. Ari")</f>
        <v>Bengkel Las Bpk. Ari</v>
      </c>
      <c r="F3007" s="211" t="str">
        <f>IFERROR(__xludf.DUMMYFUNCTION("""COMPUTED_VALUE"""),"ef306e54")</f>
        <v>ef306e54</v>
      </c>
      <c r="G3007" s="211" t="str">
        <f>IFERROR(__xludf.DUMMYFUNCTION("""COMPUTED_VALUE"""),"Karbondioksida")</f>
        <v>Karbondioksida</v>
      </c>
      <c r="H3007" s="211" t="str">
        <f>IFERROR(__xludf.DUMMYFUNCTION("""COMPUTED_VALUE"""),"OUT")</f>
        <v>OUT</v>
      </c>
      <c r="I3007" s="211" t="str">
        <f>IFERROR(__xludf.DUMMYFUNCTION("""COMPUTED_VALUE"""),"NORMAL")</f>
        <v>NORMAL</v>
      </c>
      <c r="J3007" s="211">
        <f>IFERROR(__xludf.DUMMYFUNCTION("""COMPUTED_VALUE"""),4.0)</f>
        <v>4</v>
      </c>
      <c r="K3007" s="210" t="str">
        <f>IFERROR(__xludf.DUMMYFUNCTION("""COMPUTED_VALUE"""),"13047 13037 13027 13035")</f>
        <v>13047 13037 13027 13035</v>
      </c>
      <c r="L3007" s="211">
        <f>IFERROR(__xludf.DUMMYFUNCTION("""COMPUTED_VALUE"""),180000.0)</f>
        <v>180000</v>
      </c>
      <c r="M3007" s="211"/>
      <c r="N3007" s="211"/>
      <c r="O3007" s="211"/>
      <c r="Q3007" s="210" t="str">
        <f>IFERROR(__xludf.DUMMYFUNCTION("""COMPUTED_VALUE"""),"0426473007")</f>
        <v>0426473007</v>
      </c>
      <c r="R3007" s="210" t="str">
        <f>IFERROR(__xludf.DUMMYFUNCTION("""COMPUTED_VALUE"""),"0426473007")</f>
        <v>0426473007</v>
      </c>
      <c r="S3007" s="211" t="str">
        <f>IFERROR(__xludf.DUMMYFUNCTION("""COMPUTED_VALUE"""),"01158be1")</f>
        <v>01158be1</v>
      </c>
      <c r="T3007" s="211" t="str">
        <f>IFERROR(__xludf.DUMMYFUNCTION("""COMPUTED_VALUE"""),"GYF")</f>
        <v>GYF</v>
      </c>
      <c r="U3007" s="215">
        <f>IFERROR(__xludf.DUMMYFUNCTION("""COMPUTED_VALUE"""),46119.52309027778)</f>
        <v>46119.52309</v>
      </c>
      <c r="V3007" s="211" t="str">
        <f>IFERROR(__xludf.DUMMYFUNCTION("""COMPUTED_VALUE"""),"Kangkungan, Lengkong, Kec. Mojoanyar, Kabupaten Mojokerto, Jawa Timur")</f>
        <v>Kangkungan, Lengkong, Kec. Mojoanyar, Kabupaten Mojokerto, Jawa Timur</v>
      </c>
      <c r="W3007" s="211" t="str">
        <f>IFERROR(__xludf.DUMMYFUNCTION("""COMPUTED_VALUE"""),"OUT")</f>
        <v>OUT</v>
      </c>
      <c r="X3007" s="211"/>
    </row>
    <row r="3008">
      <c r="A3008" s="210" t="str">
        <f>IFERROR(__xludf.DUMMYFUNCTION("""COMPUTED_VALUE"""),"1225622099")</f>
        <v>1225622099</v>
      </c>
      <c r="B3008" s="210" t="str">
        <f>IFERROR(__xludf.DUMMYFUNCTION("""COMPUTED_VALUE"""),"1225622099")</f>
        <v>1225622099</v>
      </c>
      <c r="C3008" s="213">
        <f>IFERROR(__xludf.DUMMYFUNCTION("""COMPUTED_VALUE"""),46018.42357638889)</f>
        <v>46018.42358</v>
      </c>
      <c r="D3008" s="211" t="str">
        <f>IFERROR(__xludf.DUMMYFUNCTION("""COMPUTED_VALUE"""),"b2b5f2c5")</f>
        <v>b2b5f2c5</v>
      </c>
      <c r="E3008" s="211" t="str">
        <f>IFERROR(__xludf.DUMMYFUNCTION("""COMPUTED_VALUE"""),"Bengkel Las Bpk. Ari")</f>
        <v>Bengkel Las Bpk. Ari</v>
      </c>
      <c r="F3008" s="211" t="str">
        <f>IFERROR(__xludf.DUMMYFUNCTION("""COMPUTED_VALUE"""),"8bdbe149")</f>
        <v>8bdbe149</v>
      </c>
      <c r="G3008" s="211" t="str">
        <f>IFERROR(__xludf.DUMMYFUNCTION("""COMPUTED_VALUE"""),"Oksigen 6m3")</f>
        <v>Oksigen 6m3</v>
      </c>
      <c r="H3008" s="211" t="str">
        <f>IFERROR(__xludf.DUMMYFUNCTION("""COMPUTED_VALUE"""),"OUT")</f>
        <v>OUT</v>
      </c>
      <c r="I3008" s="211" t="str">
        <f>IFERROR(__xludf.DUMMYFUNCTION("""COMPUTED_VALUE"""),"NORMAL")</f>
        <v>NORMAL</v>
      </c>
      <c r="J3008" s="211">
        <f>IFERROR(__xludf.DUMMYFUNCTION("""COMPUTED_VALUE"""),2.0)</f>
        <v>2</v>
      </c>
      <c r="K3008" s="210" t="str">
        <f>IFERROR(__xludf.DUMMYFUNCTION("""COMPUTED_VALUE"""),"1149 11329")</f>
        <v>1149 11329</v>
      </c>
      <c r="L3008" s="211">
        <f>IFERROR(__xludf.DUMMYFUNCTION("""COMPUTED_VALUE"""),60000.0)</f>
        <v>60000</v>
      </c>
      <c r="M3008" s="211"/>
      <c r="N3008" s="211"/>
      <c r="O3008" s="211"/>
      <c r="Q3008" s="210" t="str">
        <f>IFERROR(__xludf.DUMMYFUNCTION("""COMPUTED_VALUE"""),"1261487")</f>
        <v>1261487</v>
      </c>
      <c r="R3008" s="210" t="str">
        <f>IFERROR(__xludf.DUMMYFUNCTION("""COMPUTED_VALUE"""),"1261487")</f>
        <v>1261487</v>
      </c>
      <c r="S3008" s="211" t="str">
        <f>IFERROR(__xludf.DUMMYFUNCTION("""COMPUTED_VALUE"""),"9828dfc5")</f>
        <v>9828dfc5</v>
      </c>
      <c r="T3008" s="211" t="str">
        <f>IFERROR(__xludf.DUMMYFUNCTION("""COMPUTED_VALUE"""),"Bpk. David")</f>
        <v>Bpk. David</v>
      </c>
      <c r="U3008" s="215">
        <f>IFERROR(__xludf.DUMMYFUNCTION("""COMPUTED_VALUE"""),46119.560949074075)</f>
        <v>46119.56095</v>
      </c>
      <c r="V3008" s="211" t="str">
        <f>IFERROR(__xludf.DUMMYFUNCTION("""COMPUTED_VALUE"""),"GHF3+R34, Jl. Kartini, Ngingas, Ngimbangan, Kec. Mojosari, Kabupaten Mojokerto, Jawa Timur 61382")</f>
        <v>GHF3+R34, Jl. Kartini, Ngingas, Ngimbangan, Kec. Mojosari, Kabupaten Mojokerto, Jawa Timur 61382</v>
      </c>
      <c r="W3008" s="211" t="str">
        <f>IFERROR(__xludf.DUMMYFUNCTION("""COMPUTED_VALUE"""),"IN")</f>
        <v>IN</v>
      </c>
      <c r="X3008" s="211"/>
    </row>
    <row r="3009">
      <c r="A3009" s="210" t="str">
        <f>IFERROR(__xludf.DUMMYFUNCTION("""COMPUTED_VALUE"""),"1225422100")</f>
        <v>1225422100</v>
      </c>
      <c r="B3009" s="210" t="str">
        <f>IFERROR(__xludf.DUMMYFUNCTION("""COMPUTED_VALUE"""),"1225422100")</f>
        <v>1225422100</v>
      </c>
      <c r="C3009" s="213">
        <f>IFERROR(__xludf.DUMMYFUNCTION("""COMPUTED_VALUE"""),46018.523368055554)</f>
        <v>46018.52337</v>
      </c>
      <c r="D3009" s="211" t="str">
        <f>IFERROR(__xludf.DUMMYFUNCTION("""COMPUTED_VALUE"""),"01158be1")</f>
        <v>01158be1</v>
      </c>
      <c r="E3009" s="211" t="str">
        <f>IFERROR(__xludf.DUMMYFUNCTION("""COMPUTED_VALUE"""),"GYF")</f>
        <v>GYF</v>
      </c>
      <c r="F3009" s="211" t="str">
        <f>IFERROR(__xludf.DUMMYFUNCTION("""COMPUTED_VALUE"""),"7d2764f1")</f>
        <v>7d2764f1</v>
      </c>
      <c r="G3009" s="211" t="str">
        <f>IFERROR(__xludf.DUMMYFUNCTION("""COMPUTED_VALUE"""),"Oksigen 7m3")</f>
        <v>Oksigen 7m3</v>
      </c>
      <c r="H3009" s="211" t="str">
        <f>IFERROR(__xludf.DUMMYFUNCTION("""COMPUTED_VALUE"""),"OUT")</f>
        <v>OUT</v>
      </c>
      <c r="I3009" s="211" t="str">
        <f>IFERROR(__xludf.DUMMYFUNCTION("""COMPUTED_VALUE"""),"NORMAL")</f>
        <v>NORMAL</v>
      </c>
      <c r="J3009" s="211">
        <f>IFERROR(__xludf.DUMMYFUNCTION("""COMPUTED_VALUE"""),5.0)</f>
        <v>5</v>
      </c>
      <c r="K3009" s="210" t="str">
        <f>IFERROR(__xludf.DUMMYFUNCTION("""COMPUTED_VALUE"""),"11331 11330 11164 11327 11161")</f>
        <v>11331 11330 11164 11327 11161</v>
      </c>
      <c r="L3009" s="211">
        <f>IFERROR(__xludf.DUMMYFUNCTION("""COMPUTED_VALUE"""),45000.0)</f>
        <v>45000</v>
      </c>
      <c r="M3009" s="211"/>
      <c r="N3009" s="211"/>
      <c r="O3009" s="211"/>
      <c r="Q3009" s="210" t="str">
        <f>IFERROR(__xludf.DUMMYFUNCTION("""COMPUTED_VALUE"""),"1261488")</f>
        <v>1261488</v>
      </c>
      <c r="R3009" s="210" t="str">
        <f>IFERROR(__xludf.DUMMYFUNCTION("""COMPUTED_VALUE"""),"1261488")</f>
        <v>1261488</v>
      </c>
      <c r="S3009" s="211" t="str">
        <f>IFERROR(__xludf.DUMMYFUNCTION("""COMPUTED_VALUE"""),"b218b89b")</f>
        <v>b218b89b</v>
      </c>
      <c r="T3009" s="211" t="str">
        <f>IFERROR(__xludf.DUMMYFUNCTION("""COMPUTED_VALUE"""),"PT Harapan Sentosa")</f>
        <v>PT Harapan Sentosa</v>
      </c>
      <c r="U3009" s="215">
        <f>IFERROR(__xludf.DUMMYFUNCTION("""COMPUTED_VALUE"""),46119.5624537037)</f>
        <v>46119.56245</v>
      </c>
      <c r="V3009" s="211" t="str">
        <f>IFERROR(__xludf.DUMMYFUNCTION("""COMPUTED_VALUE"""),"Seketi, Jl. Purboyo II Selatan, RT.02/RW.02, Seketi, Kec. BalongBendo, Kabupaten Sidoarjo, Jawa Timur 61263")</f>
        <v>Seketi, Jl. Purboyo II Selatan, RT.02/RW.02, Seketi, Kec. BalongBendo, Kabupaten Sidoarjo, Jawa Timur 61263</v>
      </c>
      <c r="W3009" s="211" t="str">
        <f>IFERROR(__xludf.DUMMYFUNCTION("""COMPUTED_VALUE"""),"IN")</f>
        <v>IN</v>
      </c>
      <c r="X3009" s="211"/>
    </row>
    <row r="3010">
      <c r="A3010" s="210" t="str">
        <f>IFERROR(__xludf.DUMMYFUNCTION("""COMPUTED_VALUE"""),"1225422100")</f>
        <v>1225422100</v>
      </c>
      <c r="B3010" s="210" t="str">
        <f>IFERROR(__xludf.DUMMYFUNCTION("""COMPUTED_VALUE"""),"1225422100")</f>
        <v>1225422100</v>
      </c>
      <c r="C3010" s="213">
        <f>IFERROR(__xludf.DUMMYFUNCTION("""COMPUTED_VALUE"""),46018.523368055554)</f>
        <v>46018.52337</v>
      </c>
      <c r="D3010" s="211" t="str">
        <f>IFERROR(__xludf.DUMMYFUNCTION("""COMPUTED_VALUE"""),"01158be1")</f>
        <v>01158be1</v>
      </c>
      <c r="E3010" s="211" t="str">
        <f>IFERROR(__xludf.DUMMYFUNCTION("""COMPUTED_VALUE"""),"GYF")</f>
        <v>GYF</v>
      </c>
      <c r="F3010" s="211" t="str">
        <f>IFERROR(__xludf.DUMMYFUNCTION("""COMPUTED_VALUE"""),"8bdbe149")</f>
        <v>8bdbe149</v>
      </c>
      <c r="G3010" s="211" t="str">
        <f>IFERROR(__xludf.DUMMYFUNCTION("""COMPUTED_VALUE"""),"Oksigen 6m3")</f>
        <v>Oksigen 6m3</v>
      </c>
      <c r="H3010" s="211" t="str">
        <f>IFERROR(__xludf.DUMMYFUNCTION("""COMPUTED_VALUE"""),"OUT")</f>
        <v>OUT</v>
      </c>
      <c r="I3010" s="211" t="str">
        <f>IFERROR(__xludf.DUMMYFUNCTION("""COMPUTED_VALUE"""),"NORMAL")</f>
        <v>NORMAL</v>
      </c>
      <c r="J3010" s="211">
        <f>IFERROR(__xludf.DUMMYFUNCTION("""COMPUTED_VALUE"""),10.0)</f>
        <v>10</v>
      </c>
      <c r="K3010" s="210" t="str">
        <f>IFERROR(__xludf.DUMMYFUNCTION("""COMPUTED_VALUE"""),"11287 1120 1113 11267 11177 11241 11111 1108 11271 11103")</f>
        <v>11287 1120 1113 11267 11177 11241 11111 1108 11271 11103</v>
      </c>
      <c r="L3010" s="211">
        <f>IFERROR(__xludf.DUMMYFUNCTION("""COMPUTED_VALUE"""),45000.0)</f>
        <v>45000</v>
      </c>
      <c r="M3010" s="211"/>
      <c r="N3010" s="211"/>
      <c r="O3010" s="211"/>
      <c r="Q3010" s="210" t="str">
        <f>IFERROR(__xludf.DUMMYFUNCTION("""COMPUTED_VALUE"""),"1261486")</f>
        <v>1261486</v>
      </c>
      <c r="R3010" s="210" t="str">
        <f>IFERROR(__xludf.DUMMYFUNCTION("""COMPUTED_VALUE"""),"1261486")</f>
        <v>1261486</v>
      </c>
      <c r="S3010" s="211" t="str">
        <f>IFERROR(__xludf.DUMMYFUNCTION("""COMPUTED_VALUE"""),"ec231cc9")</f>
        <v>ec231cc9</v>
      </c>
      <c r="T3010" s="211" t="str">
        <f>IFERROR(__xludf.DUMMYFUNCTION("""COMPUTED_VALUE"""),"Bpk. Kohir (Maintenance Velg)")</f>
        <v>Bpk. Kohir (Maintenance Velg)</v>
      </c>
      <c r="U3010" s="215">
        <f>IFERROR(__xludf.DUMMYFUNCTION("""COMPUTED_VALUE"""),46119.56344907408)</f>
        <v>46119.56345</v>
      </c>
      <c r="V3010" s="211" t="str">
        <f>IFERROR(__xludf.DUMMYFUNCTION("""COMPUTED_VALUE"""),"Jl. Lkr. Bypass Krian Timur, Sidogolong, Watugolong, Kec. Krian, Kabupaten Sidoarjo, Jawa Timur 61262")</f>
        <v>Jl. Lkr. Bypass Krian Timur, Sidogolong, Watugolong, Kec. Krian, Kabupaten Sidoarjo, Jawa Timur 61262</v>
      </c>
      <c r="W3010" s="211" t="str">
        <f>IFERROR(__xludf.DUMMYFUNCTION("""COMPUTED_VALUE"""),"IN")</f>
        <v>IN</v>
      </c>
      <c r="X3010" s="211"/>
    </row>
    <row r="3011">
      <c r="A3011" s="210" t="str">
        <f>IFERROR(__xludf.DUMMYFUNCTION("""COMPUTED_VALUE"""),"1251015")</f>
        <v>1251015</v>
      </c>
      <c r="B3011" s="210" t="str">
        <f>IFERROR(__xludf.DUMMYFUNCTION("""COMPUTED_VALUE"""),"1251015")</f>
        <v>1251015</v>
      </c>
      <c r="C3011" s="213">
        <f>IFERROR(__xludf.DUMMYFUNCTION("""COMPUTED_VALUE"""),46018.52887731481)</f>
        <v>46018.52888</v>
      </c>
      <c r="D3011" s="211" t="str">
        <f>IFERROR(__xludf.DUMMYFUNCTION("""COMPUTED_VALUE"""),"785e0e07")</f>
        <v>785e0e07</v>
      </c>
      <c r="E3011" s="211" t="str">
        <f>IFERROR(__xludf.DUMMYFUNCTION("""COMPUTED_VALUE"""),"Bpk. Sukirno (Bejo)")</f>
        <v>Bpk. Sukirno (Bejo)</v>
      </c>
      <c r="F3011" s="211" t="str">
        <f>IFERROR(__xludf.DUMMYFUNCTION("""COMPUTED_VALUE"""),"8bdbe149")</f>
        <v>8bdbe149</v>
      </c>
      <c r="G3011" s="211" t="str">
        <f>IFERROR(__xludf.DUMMYFUNCTION("""COMPUTED_VALUE"""),"Oksigen 6m3")</f>
        <v>Oksigen 6m3</v>
      </c>
      <c r="H3011" s="211" t="str">
        <f>IFERROR(__xludf.DUMMYFUNCTION("""COMPUTED_VALUE"""),"IN")</f>
        <v>IN</v>
      </c>
      <c r="I3011" s="211" t="str">
        <f>IFERROR(__xludf.DUMMYFUNCTION("""COMPUTED_VALUE"""),"EMPTY")</f>
        <v>EMPTY</v>
      </c>
      <c r="J3011" s="211">
        <f>IFERROR(__xludf.DUMMYFUNCTION("""COMPUTED_VALUE"""),5.0)</f>
        <v>5</v>
      </c>
      <c r="K3011" s="210" t="str">
        <f>IFERROR(__xludf.DUMMYFUNCTION("""COMPUTED_VALUE"""),"11262 1137 11106 11235 11261")</f>
        <v>11262 1137 11106 11235 11261</v>
      </c>
      <c r="L3011" s="211">
        <f>IFERROR(__xludf.DUMMYFUNCTION("""COMPUTED_VALUE"""),0.0)</f>
        <v>0</v>
      </c>
      <c r="M3011" s="211"/>
      <c r="N3011" s="211"/>
      <c r="O3011" s="211"/>
      <c r="Q3011" s="210" t="str">
        <f>IFERROR(__xludf.DUMMYFUNCTION("""COMPUTED_VALUE"""),"1261485")</f>
        <v>1261485</v>
      </c>
      <c r="R3011" s="210" t="str">
        <f>IFERROR(__xludf.DUMMYFUNCTION("""COMPUTED_VALUE"""),"1261485")</f>
        <v>1261485</v>
      </c>
      <c r="S3011" s="211" t="str">
        <f>IFERROR(__xludf.DUMMYFUNCTION("""COMPUTED_VALUE"""),"89d46c39")</f>
        <v>89d46c39</v>
      </c>
      <c r="T3011" s="211" t="str">
        <f>IFERROR(__xludf.DUMMYFUNCTION("""COMPUTED_VALUE"""),"PT Cakar Baja Persada")</f>
        <v>PT Cakar Baja Persada</v>
      </c>
      <c r="U3011" s="215">
        <f>IFERROR(__xludf.DUMMYFUNCTION("""COMPUTED_VALUE"""),46119.56412037037)</f>
        <v>46119.56412</v>
      </c>
      <c r="V3011" s="211" t="str">
        <f>IFERROR(__xludf.DUMMYFUNCTION("""COMPUTED_VALUE"""),"Pergudangan Jaya Park Blok E.02,  JI. Mayjen Yono Sungkono, Watesari, Balongbendo, Sidoarjo")</f>
        <v>Pergudangan Jaya Park Blok E.02,  JI. Mayjen Yono Sungkono, Watesari, Balongbendo, Sidoarjo</v>
      </c>
      <c r="W3011" s="211" t="str">
        <f>IFERROR(__xludf.DUMMYFUNCTION("""COMPUTED_VALUE"""),"IN")</f>
        <v>IN</v>
      </c>
      <c r="X3011" s="211"/>
    </row>
    <row r="3012">
      <c r="A3012" s="210" t="str">
        <f>IFERROR(__xludf.DUMMYFUNCTION("""COMPUTED_VALUE"""),"1251015")</f>
        <v>1251015</v>
      </c>
      <c r="B3012" s="210" t="str">
        <f>IFERROR(__xludf.DUMMYFUNCTION("""COMPUTED_VALUE"""),"1251015")</f>
        <v>1251015</v>
      </c>
      <c r="C3012" s="213">
        <f>IFERROR(__xludf.DUMMYFUNCTION("""COMPUTED_VALUE"""),46018.52887731481)</f>
        <v>46018.52888</v>
      </c>
      <c r="D3012" s="211" t="str">
        <f>IFERROR(__xludf.DUMMYFUNCTION("""COMPUTED_VALUE"""),"785e0e07")</f>
        <v>785e0e07</v>
      </c>
      <c r="E3012" s="211" t="str">
        <f>IFERROR(__xludf.DUMMYFUNCTION("""COMPUTED_VALUE"""),"Bpk. Sukirno (Bejo)")</f>
        <v>Bpk. Sukirno (Bejo)</v>
      </c>
      <c r="F3012" s="211" t="str">
        <f>IFERROR(__xludf.DUMMYFUNCTION("""COMPUTED_VALUE"""),"7d2764f1")</f>
        <v>7d2764f1</v>
      </c>
      <c r="G3012" s="211" t="str">
        <f>IFERROR(__xludf.DUMMYFUNCTION("""COMPUTED_VALUE"""),"Oksigen 7m3")</f>
        <v>Oksigen 7m3</v>
      </c>
      <c r="H3012" s="211" t="str">
        <f>IFERROR(__xludf.DUMMYFUNCTION("""COMPUTED_VALUE"""),"IN")</f>
        <v>IN</v>
      </c>
      <c r="I3012" s="211" t="str">
        <f>IFERROR(__xludf.DUMMYFUNCTION("""COMPUTED_VALUE"""),"EMPTY")</f>
        <v>EMPTY</v>
      </c>
      <c r="J3012" s="211">
        <f>IFERROR(__xludf.DUMMYFUNCTION("""COMPUTED_VALUE"""),3.0)</f>
        <v>3</v>
      </c>
      <c r="K3012" s="210" t="str">
        <f>IFERROR(__xludf.DUMMYFUNCTION("""COMPUTED_VALUE"""),"11142 11105 01")</f>
        <v>11142 11105 01</v>
      </c>
      <c r="L3012" s="211">
        <f>IFERROR(__xludf.DUMMYFUNCTION("""COMPUTED_VALUE"""),0.0)</f>
        <v>0</v>
      </c>
      <c r="M3012" s="211"/>
      <c r="N3012" s="211"/>
      <c r="O3012" s="211"/>
      <c r="Q3012" s="210" t="str">
        <f>IFERROR(__xludf.DUMMYFUNCTION("""COMPUTED_VALUE"""),"1261498")</f>
        <v>1261498</v>
      </c>
      <c r="R3012" s="210" t="str">
        <f>IFERROR(__xludf.DUMMYFUNCTION("""COMPUTED_VALUE"""),"1261498")</f>
        <v>1261498</v>
      </c>
      <c r="S3012" s="211" t="str">
        <f>IFERROR(__xludf.DUMMYFUNCTION("""COMPUTED_VALUE"""),"057b6b99")</f>
        <v>057b6b99</v>
      </c>
      <c r="T3012" s="211" t="str">
        <f>IFERROR(__xludf.DUMMYFUNCTION("""COMPUTED_VALUE"""),"PT Anuta Utama Transport")</f>
        <v>PT Anuta Utama Transport</v>
      </c>
      <c r="U3012" s="215">
        <f>IFERROR(__xludf.DUMMYFUNCTION("""COMPUTED_VALUE"""),46119.60967592592)</f>
        <v>46119.60968</v>
      </c>
      <c r="V3012" s="211" t="str">
        <f>IFERROR(__xludf.DUMMYFUNCTION("""COMPUTED_VALUE"""),"Jl Raya ketimang KM 10, Kec. Wonoayu, Kab. Sidoarjo, Jawa Timur")</f>
        <v>Jl Raya ketimang KM 10, Kec. Wonoayu, Kab. Sidoarjo, Jawa Timur</v>
      </c>
      <c r="W3012" s="211" t="str">
        <f>IFERROR(__xludf.DUMMYFUNCTION("""COMPUTED_VALUE"""),"IN")</f>
        <v>IN</v>
      </c>
      <c r="X3012" s="211"/>
    </row>
    <row r="3013">
      <c r="A3013" s="210" t="str">
        <f>IFERROR(__xludf.DUMMYFUNCTION("""COMPUTED_VALUE"""),"1251013")</f>
        <v>1251013</v>
      </c>
      <c r="B3013" s="210" t="str">
        <f>IFERROR(__xludf.DUMMYFUNCTION("""COMPUTED_VALUE"""),"1251013")</f>
        <v>1251013</v>
      </c>
      <c r="C3013" s="213">
        <f>IFERROR(__xludf.DUMMYFUNCTION("""COMPUTED_VALUE"""),46018.530497685184)</f>
        <v>46018.5305</v>
      </c>
      <c r="D3013" s="211" t="str">
        <f>IFERROR(__xludf.DUMMYFUNCTION("""COMPUTED_VALUE"""),"eec2e801")</f>
        <v>eec2e801</v>
      </c>
      <c r="E3013" s="211" t="str">
        <f>IFERROR(__xludf.DUMMYFUNCTION("""COMPUTED_VALUE"""),"Mitra Wood Sejahtera")</f>
        <v>Mitra Wood Sejahtera</v>
      </c>
      <c r="F3013" s="211" t="str">
        <f>IFERROR(__xludf.DUMMYFUNCTION("""COMPUTED_VALUE"""),"8bdbe149")</f>
        <v>8bdbe149</v>
      </c>
      <c r="G3013" s="211" t="str">
        <f>IFERROR(__xludf.DUMMYFUNCTION("""COMPUTED_VALUE"""),"Oksigen 6m3")</f>
        <v>Oksigen 6m3</v>
      </c>
      <c r="H3013" s="211" t="str">
        <f>IFERROR(__xludf.DUMMYFUNCTION("""COMPUTED_VALUE"""),"IN")</f>
        <v>IN</v>
      </c>
      <c r="I3013" s="211" t="str">
        <f>IFERROR(__xludf.DUMMYFUNCTION("""COMPUTED_VALUE"""),"EMPTY")</f>
        <v>EMPTY</v>
      </c>
      <c r="J3013" s="211">
        <f>IFERROR(__xludf.DUMMYFUNCTION("""COMPUTED_VALUE"""),8.0)</f>
        <v>8</v>
      </c>
      <c r="K3013" s="210" t="str">
        <f>IFERROR(__xludf.DUMMYFUNCTION("""COMPUTED_VALUE"""),"11197 1197 11294 11120 1153 11181 1166 11228")</f>
        <v>11197 1197 11294 11120 1153 11181 1166 11228</v>
      </c>
      <c r="L3013" s="211">
        <f>IFERROR(__xludf.DUMMYFUNCTION("""COMPUTED_VALUE"""),0.0)</f>
        <v>0</v>
      </c>
      <c r="M3013" s="211"/>
      <c r="N3013" s="211"/>
      <c r="O3013" s="211"/>
      <c r="Q3013" s="210" t="str">
        <f>IFERROR(__xludf.DUMMYFUNCTION("""COMPUTED_VALUE"""),"1261499")</f>
        <v>1261499</v>
      </c>
      <c r="R3013" s="210" t="str">
        <f>IFERROR(__xludf.DUMMYFUNCTION("""COMPUTED_VALUE"""),"1261499")</f>
        <v>1261499</v>
      </c>
      <c r="S3013" s="211" t="str">
        <f>IFERROR(__xludf.DUMMYFUNCTION("""COMPUTED_VALUE"""),"b2b5f2c5")</f>
        <v>b2b5f2c5</v>
      </c>
      <c r="T3013" s="211" t="str">
        <f>IFERROR(__xludf.DUMMYFUNCTION("""COMPUTED_VALUE"""),"Bengkel Las Bpk. Ari")</f>
        <v>Bengkel Las Bpk. Ari</v>
      </c>
      <c r="U3013" s="215">
        <f>IFERROR(__xludf.DUMMYFUNCTION("""COMPUTED_VALUE"""),46119.61032407408)</f>
        <v>46119.61032</v>
      </c>
      <c r="V3013" s="211" t="str">
        <f>IFERROR(__xludf.DUMMYFUNCTION("""COMPUTED_VALUE"""),"Sumber Kembar, Wonodadi, Kec. Kutorejo, Kabupaten Mojokerto, Jawa Timur")</f>
        <v>Sumber Kembar, Wonodadi, Kec. Kutorejo, Kabupaten Mojokerto, Jawa Timur</v>
      </c>
      <c r="W3013" s="211" t="str">
        <f>IFERROR(__xludf.DUMMYFUNCTION("""COMPUTED_VALUE"""),"IN")</f>
        <v>IN</v>
      </c>
      <c r="X3013" s="211"/>
    </row>
    <row r="3014">
      <c r="A3014" s="210" t="str">
        <f>IFERROR(__xludf.DUMMYFUNCTION("""COMPUTED_VALUE"""),"122562101")</f>
        <v>122562101</v>
      </c>
      <c r="B3014" s="210" t="str">
        <f>IFERROR(__xludf.DUMMYFUNCTION("""COMPUTED_VALUE"""),"122562101")</f>
        <v>122562101</v>
      </c>
      <c r="C3014" s="213">
        <f>IFERROR(__xludf.DUMMYFUNCTION("""COMPUTED_VALUE"""),46018.53119212963)</f>
        <v>46018.53119</v>
      </c>
      <c r="D3014" s="211" t="str">
        <f>IFERROR(__xludf.DUMMYFUNCTION("""COMPUTED_VALUE"""),"9b941888")</f>
        <v>9b941888</v>
      </c>
      <c r="E3014" s="211" t="str">
        <f>IFERROR(__xludf.DUMMYFUNCTION("""COMPUTED_VALUE"""),"Mas Devi ( Parengan )")</f>
        <v>Mas Devi ( Parengan )</v>
      </c>
      <c r="F3014" s="211" t="str">
        <f>IFERROR(__xludf.DUMMYFUNCTION("""COMPUTED_VALUE"""),"7d2764f1")</f>
        <v>7d2764f1</v>
      </c>
      <c r="G3014" s="211" t="str">
        <f>IFERROR(__xludf.DUMMYFUNCTION("""COMPUTED_VALUE"""),"Oksigen 7m3")</f>
        <v>Oksigen 7m3</v>
      </c>
      <c r="H3014" s="211" t="str">
        <f>IFERROR(__xludf.DUMMYFUNCTION("""COMPUTED_VALUE"""),"OUT")</f>
        <v>OUT</v>
      </c>
      <c r="I3014" s="211" t="str">
        <f>IFERROR(__xludf.DUMMYFUNCTION("""COMPUTED_VALUE"""),"NORMAL")</f>
        <v>NORMAL</v>
      </c>
      <c r="J3014" s="211">
        <f>IFERROR(__xludf.DUMMYFUNCTION("""COMPUTED_VALUE"""),1.0)</f>
        <v>1</v>
      </c>
      <c r="K3014" s="210" t="str">
        <f>IFERROR(__xludf.DUMMYFUNCTION("""COMPUTED_VALUE"""),"11163")</f>
        <v>11163</v>
      </c>
      <c r="L3014" s="211">
        <f>IFERROR(__xludf.DUMMYFUNCTION("""COMPUTED_VALUE"""),80000.0)</f>
        <v>80000</v>
      </c>
      <c r="M3014" s="211"/>
      <c r="N3014" s="211"/>
      <c r="O3014" s="211"/>
      <c r="Q3014" s="210" t="str">
        <f>IFERROR(__xludf.DUMMYFUNCTION("""COMPUTED_VALUE"""),"1261489")</f>
        <v>1261489</v>
      </c>
      <c r="R3014" s="210" t="str">
        <f>IFERROR(__xludf.DUMMYFUNCTION("""COMPUTED_VALUE"""),"1261489")</f>
        <v>1261489</v>
      </c>
      <c r="S3014" s="211" t="str">
        <f>IFERROR(__xludf.DUMMYFUNCTION("""COMPUTED_VALUE"""),"01158be1")</f>
        <v>01158be1</v>
      </c>
      <c r="T3014" s="211" t="str">
        <f>IFERROR(__xludf.DUMMYFUNCTION("""COMPUTED_VALUE"""),"GYF")</f>
        <v>GYF</v>
      </c>
      <c r="U3014" s="215">
        <f>IFERROR(__xludf.DUMMYFUNCTION("""COMPUTED_VALUE"""),46119.67454861111)</f>
        <v>46119.67455</v>
      </c>
      <c r="V3014" s="211" t="str">
        <f>IFERROR(__xludf.DUMMYFUNCTION("""COMPUTED_VALUE"""),"Kangkungan, Lengkong, Kec. Mojoanyar, Kabupaten Mojokerto, Jawa Timur")</f>
        <v>Kangkungan, Lengkong, Kec. Mojoanyar, Kabupaten Mojokerto, Jawa Timur</v>
      </c>
      <c r="W3014" s="211" t="str">
        <f>IFERROR(__xludf.DUMMYFUNCTION("""COMPUTED_VALUE"""),"IN")</f>
        <v>IN</v>
      </c>
      <c r="X3014" s="211"/>
    </row>
    <row r="3015">
      <c r="A3015" s="210" t="str">
        <f>IFERROR(__xludf.DUMMYFUNCTION("""COMPUTED_VALUE"""),"1251014")</f>
        <v>1251014</v>
      </c>
      <c r="B3015" s="210" t="str">
        <f>IFERROR(__xludf.DUMMYFUNCTION("""COMPUTED_VALUE"""),"1251014")</f>
        <v>1251014</v>
      </c>
      <c r="C3015" s="213">
        <f>IFERROR(__xludf.DUMMYFUNCTION("""COMPUTED_VALUE"""),46018.53159722222)</f>
        <v>46018.5316</v>
      </c>
      <c r="D3015" s="211" t="str">
        <f>IFERROR(__xludf.DUMMYFUNCTION("""COMPUTED_VALUE"""),"56828503")</f>
        <v>56828503</v>
      </c>
      <c r="E3015" s="211" t="str">
        <f>IFERROR(__xludf.DUMMYFUNCTION("""COMPUTED_VALUE"""),"Bpk. Widodo (Wringinanom)")</f>
        <v>Bpk. Widodo (Wringinanom)</v>
      </c>
      <c r="F3015" s="211" t="str">
        <f>IFERROR(__xludf.DUMMYFUNCTION("""COMPUTED_VALUE"""),"8bdbe149")</f>
        <v>8bdbe149</v>
      </c>
      <c r="G3015" s="211" t="str">
        <f>IFERROR(__xludf.DUMMYFUNCTION("""COMPUTED_VALUE"""),"Oksigen 6m3")</f>
        <v>Oksigen 6m3</v>
      </c>
      <c r="H3015" s="211" t="str">
        <f>IFERROR(__xludf.DUMMYFUNCTION("""COMPUTED_VALUE"""),"IN")</f>
        <v>IN</v>
      </c>
      <c r="I3015" s="211" t="str">
        <f>IFERROR(__xludf.DUMMYFUNCTION("""COMPUTED_VALUE"""),"EMPTY")</f>
        <v>EMPTY</v>
      </c>
      <c r="J3015" s="211">
        <f>IFERROR(__xludf.DUMMYFUNCTION("""COMPUTED_VALUE"""),2.0)</f>
        <v>2</v>
      </c>
      <c r="K3015" s="210" t="str">
        <f>IFERROR(__xludf.DUMMYFUNCTION("""COMPUTED_VALUE"""),"11102 11126")</f>
        <v>11102 11126</v>
      </c>
      <c r="L3015" s="211">
        <f>IFERROR(__xludf.DUMMYFUNCTION("""COMPUTED_VALUE"""),0.0)</f>
        <v>0</v>
      </c>
      <c r="M3015" s="211"/>
      <c r="N3015" s="211"/>
      <c r="O3015" s="211"/>
      <c r="Q3015" s="210" t="str">
        <f>IFERROR(__xludf.DUMMYFUNCTION("""COMPUTED_VALUE"""),"1261490")</f>
        <v>1261490</v>
      </c>
      <c r="R3015" s="210" t="str">
        <f>IFERROR(__xludf.DUMMYFUNCTION("""COMPUTED_VALUE"""),"1261490")</f>
        <v>1261490</v>
      </c>
      <c r="S3015" s="211" t="str">
        <f>IFERROR(__xludf.DUMMYFUNCTION("""COMPUTED_VALUE"""),"63fc688a")</f>
        <v>63fc688a</v>
      </c>
      <c r="T3015" s="211" t="str">
        <f>IFERROR(__xludf.DUMMYFUNCTION("""COMPUTED_VALUE"""),"CV Malik Nusantara")</f>
        <v>CV Malik Nusantara</v>
      </c>
      <c r="U3015" s="215">
        <f>IFERROR(__xludf.DUMMYFUNCTION("""COMPUTED_VALUE"""),46119.67502314815)</f>
        <v>46119.67502</v>
      </c>
      <c r="V3015" s="211" t="str">
        <f>IFERROR(__xludf.DUMMYFUNCTION("""COMPUTED_VALUE"""),"Jl. Raya Balongbendo No.12, Suwaluh Utara, Suwaluh, Kec. BalongBendo, Kabupaten Sidoarjo, Jawa Timur 61263")</f>
        <v>Jl. Raya Balongbendo No.12, Suwaluh Utara, Suwaluh, Kec. BalongBendo, Kabupaten Sidoarjo, Jawa Timur 61263</v>
      </c>
      <c r="W3015" s="211" t="str">
        <f>IFERROR(__xludf.DUMMYFUNCTION("""COMPUTED_VALUE"""),"IN")</f>
        <v>IN</v>
      </c>
      <c r="X3015" s="211"/>
    </row>
    <row r="3016">
      <c r="A3016" s="210" t="str">
        <f>IFERROR(__xludf.DUMMYFUNCTION("""COMPUTED_VALUE"""),"1251012")</f>
        <v>1251012</v>
      </c>
      <c r="B3016" s="210" t="str">
        <f>IFERROR(__xludf.DUMMYFUNCTION("""COMPUTED_VALUE"""),"1251012")</f>
        <v>1251012</v>
      </c>
      <c r="C3016" s="213">
        <f>IFERROR(__xludf.DUMMYFUNCTION("""COMPUTED_VALUE"""),46018.531909722224)</f>
        <v>46018.53191</v>
      </c>
      <c r="D3016" s="211" t="str">
        <f>IFERROR(__xludf.DUMMYFUNCTION("""COMPUTED_VALUE"""),"3b04351a")</f>
        <v>3b04351a</v>
      </c>
      <c r="E3016" s="211" t="str">
        <f>IFERROR(__xludf.DUMMYFUNCTION("""COMPUTED_VALUE"""),"CV Usaha Logam Jaya ( Bpk Putra )")</f>
        <v>CV Usaha Logam Jaya ( Bpk Putra )</v>
      </c>
      <c r="F3016" s="211" t="str">
        <f>IFERROR(__xludf.DUMMYFUNCTION("""COMPUTED_VALUE"""),"8bdbe149")</f>
        <v>8bdbe149</v>
      </c>
      <c r="G3016" s="211" t="str">
        <f>IFERROR(__xludf.DUMMYFUNCTION("""COMPUTED_VALUE"""),"Oksigen 6m3")</f>
        <v>Oksigen 6m3</v>
      </c>
      <c r="H3016" s="211" t="str">
        <f>IFERROR(__xludf.DUMMYFUNCTION("""COMPUTED_VALUE"""),"IN")</f>
        <v>IN</v>
      </c>
      <c r="I3016" s="211" t="str">
        <f>IFERROR(__xludf.DUMMYFUNCTION("""COMPUTED_VALUE"""),"EMPTY")</f>
        <v>EMPTY</v>
      </c>
      <c r="J3016" s="211">
        <f>IFERROR(__xludf.DUMMYFUNCTION("""COMPUTED_VALUE"""),8.0)</f>
        <v>8</v>
      </c>
      <c r="K3016" s="210" t="str">
        <f>IFERROR(__xludf.DUMMYFUNCTION("""COMPUTED_VALUE"""),"11266 11188 11200 11202 11205 1141 1170 11282")</f>
        <v>11266 11188 11200 11202 11205 1141 1170 11282</v>
      </c>
      <c r="L3016" s="211">
        <f>IFERROR(__xludf.DUMMYFUNCTION("""COMPUTED_VALUE"""),0.0)</f>
        <v>0</v>
      </c>
      <c r="M3016" s="211"/>
      <c r="N3016" s="211"/>
      <c r="O3016" s="211"/>
      <c r="Q3016" s="210" t="str">
        <f>IFERROR(__xludf.DUMMYFUNCTION("""COMPUTED_VALUE"""),"0426133008")</f>
        <v>0426133008</v>
      </c>
      <c r="R3016" s="210" t="str">
        <f>IFERROR(__xludf.DUMMYFUNCTION("""COMPUTED_VALUE"""),"0426133008")</f>
        <v>0426133008</v>
      </c>
      <c r="S3016" s="211" t="str">
        <f>IFERROR(__xludf.DUMMYFUNCTION("""COMPUTED_VALUE"""),"1c4d5e93")</f>
        <v>1c4d5e93</v>
      </c>
      <c r="T3016" s="211" t="str">
        <f>IFERROR(__xludf.DUMMYFUNCTION("""COMPUTED_VALUE"""),"Karoseri Cipta Mitra Sukses")</f>
        <v>Karoseri Cipta Mitra Sukses</v>
      </c>
      <c r="U3016" s="215">
        <f>IFERROR(__xludf.DUMMYFUNCTION("""COMPUTED_VALUE"""),46120.351064814815)</f>
        <v>46120.35106</v>
      </c>
      <c r="V3016" s="211" t="str">
        <f>IFERROR(__xludf.DUMMYFUNCTION("""COMPUTED_VALUE"""),"JL. Bypass Krian No. 7800, Blok B No 11. Barengkrajan, Kec. Krian, Kabupaten Sidoarjo, Jawa Timur  61262")</f>
        <v>JL. Bypass Krian No. 7800, Blok B No 11. Barengkrajan, Kec. Krian, Kabupaten Sidoarjo, Jawa Timur  61262</v>
      </c>
      <c r="W3016" s="211" t="str">
        <f>IFERROR(__xludf.DUMMYFUNCTION("""COMPUTED_VALUE"""),"OUT")</f>
        <v>OUT</v>
      </c>
      <c r="X3016" s="211"/>
    </row>
    <row r="3017">
      <c r="A3017" s="210" t="str">
        <f>IFERROR(__xludf.DUMMYFUNCTION("""COMPUTED_VALUE"""),"1251012")</f>
        <v>1251012</v>
      </c>
      <c r="B3017" s="210" t="str">
        <f>IFERROR(__xludf.DUMMYFUNCTION("""COMPUTED_VALUE"""),"1251012")</f>
        <v>1251012</v>
      </c>
      <c r="C3017" s="213">
        <f>IFERROR(__xludf.DUMMYFUNCTION("""COMPUTED_VALUE"""),46018.531909722224)</f>
        <v>46018.53191</v>
      </c>
      <c r="D3017" s="211" t="str">
        <f>IFERROR(__xludf.DUMMYFUNCTION("""COMPUTED_VALUE"""),"3b04351a")</f>
        <v>3b04351a</v>
      </c>
      <c r="E3017" s="211" t="str">
        <f>IFERROR(__xludf.DUMMYFUNCTION("""COMPUTED_VALUE"""),"CV Usaha Logam Jaya ( Bpk Putra )")</f>
        <v>CV Usaha Logam Jaya ( Bpk Putra )</v>
      </c>
      <c r="F3017" s="211" t="str">
        <f>IFERROR(__xludf.DUMMYFUNCTION("""COMPUTED_VALUE"""),"7d2764f1")</f>
        <v>7d2764f1</v>
      </c>
      <c r="G3017" s="211" t="str">
        <f>IFERROR(__xludf.DUMMYFUNCTION("""COMPUTED_VALUE"""),"Oksigen 7m3")</f>
        <v>Oksigen 7m3</v>
      </c>
      <c r="H3017" s="211" t="str">
        <f>IFERROR(__xludf.DUMMYFUNCTION("""COMPUTED_VALUE"""),"IN")</f>
        <v>IN</v>
      </c>
      <c r="I3017" s="211" t="str">
        <f>IFERROR(__xludf.DUMMYFUNCTION("""COMPUTED_VALUE"""),"EMPTY")</f>
        <v>EMPTY</v>
      </c>
      <c r="J3017" s="211">
        <f>IFERROR(__xludf.DUMMYFUNCTION("""COMPUTED_VALUE"""),4.0)</f>
        <v>4</v>
      </c>
      <c r="K3017" s="210" t="str">
        <f>IFERROR(__xludf.DUMMYFUNCTION("""COMPUTED_VALUE"""),"11307 11135 11302 11269")</f>
        <v>11307 11135 11302 11269</v>
      </c>
      <c r="L3017" s="211">
        <f>IFERROR(__xludf.DUMMYFUNCTION("""COMPUTED_VALUE"""),0.0)</f>
        <v>0</v>
      </c>
      <c r="M3017" s="211"/>
      <c r="N3017" s="211"/>
      <c r="O3017" s="211"/>
      <c r="Q3017" s="210" t="str">
        <f>IFERROR(__xludf.DUMMYFUNCTION("""COMPUTED_VALUE"""),"04261003017")</f>
        <v>04261003017</v>
      </c>
      <c r="R3017" s="210" t="str">
        <f>IFERROR(__xludf.DUMMYFUNCTION("""COMPUTED_VALUE"""),"04261003017")</f>
        <v>04261003017</v>
      </c>
      <c r="S3017" s="211" t="str">
        <f>IFERROR(__xludf.DUMMYFUNCTION("""COMPUTED_VALUE"""),"b2b5f2c5")</f>
        <v>b2b5f2c5</v>
      </c>
      <c r="T3017" s="211" t="str">
        <f>IFERROR(__xludf.DUMMYFUNCTION("""COMPUTED_VALUE"""),"Bengkel Las Bpk. Ari")</f>
        <v>Bengkel Las Bpk. Ari</v>
      </c>
      <c r="U3017" s="215">
        <f>IFERROR(__xludf.DUMMYFUNCTION("""COMPUTED_VALUE"""),46120.35475694444)</f>
        <v>46120.35476</v>
      </c>
      <c r="V3017" s="211" t="str">
        <f>IFERROR(__xludf.DUMMYFUNCTION("""COMPUTED_VALUE"""),"Sumber Kembar, Wonodadi, Kec. Kutorejo, Kabupaten Mojokerto, Jawa Timur")</f>
        <v>Sumber Kembar, Wonodadi, Kec. Kutorejo, Kabupaten Mojokerto, Jawa Timur</v>
      </c>
      <c r="W3017" s="211" t="str">
        <f>IFERROR(__xludf.DUMMYFUNCTION("""COMPUTED_VALUE"""),"OUT")</f>
        <v>OUT</v>
      </c>
      <c r="X3017" s="211"/>
    </row>
    <row r="3018">
      <c r="A3018" s="210" t="str">
        <f>IFERROR(__xludf.DUMMYFUNCTION("""COMPUTED_VALUE"""),"1251002")</f>
        <v>1251002</v>
      </c>
      <c r="B3018" s="210" t="str">
        <f>IFERROR(__xludf.DUMMYFUNCTION("""COMPUTED_VALUE"""),"1251002")</f>
        <v>1251002</v>
      </c>
      <c r="C3018" s="213">
        <f>IFERROR(__xludf.DUMMYFUNCTION("""COMPUTED_VALUE"""),46018.63214120371)</f>
        <v>46018.63214</v>
      </c>
      <c r="D3018" s="211" t="str">
        <f>IFERROR(__xludf.DUMMYFUNCTION("""COMPUTED_VALUE"""),"b2b5f2c5")</f>
        <v>b2b5f2c5</v>
      </c>
      <c r="E3018" s="211" t="str">
        <f>IFERROR(__xludf.DUMMYFUNCTION("""COMPUTED_VALUE"""),"Bengkel Las Bpk. Ari")</f>
        <v>Bengkel Las Bpk. Ari</v>
      </c>
      <c r="F3018" s="211" t="str">
        <f>IFERROR(__xludf.DUMMYFUNCTION("""COMPUTED_VALUE"""),"ef306e54")</f>
        <v>ef306e54</v>
      </c>
      <c r="G3018" s="211" t="str">
        <f>IFERROR(__xludf.DUMMYFUNCTION("""COMPUTED_VALUE"""),"Karbondioksida")</f>
        <v>Karbondioksida</v>
      </c>
      <c r="H3018" s="211" t="str">
        <f>IFERROR(__xludf.DUMMYFUNCTION("""COMPUTED_VALUE"""),"IN")</f>
        <v>IN</v>
      </c>
      <c r="I3018" s="211" t="str">
        <f>IFERROR(__xludf.DUMMYFUNCTION("""COMPUTED_VALUE"""),"EMPTY")</f>
        <v>EMPTY</v>
      </c>
      <c r="J3018" s="211">
        <f>IFERROR(__xludf.DUMMYFUNCTION("""COMPUTED_VALUE"""),2.0)</f>
        <v>2</v>
      </c>
      <c r="K3018" s="210" t="str">
        <f>IFERROR(__xludf.DUMMYFUNCTION("""COMPUTED_VALUE"""),"13006 13049")</f>
        <v>13006 13049</v>
      </c>
      <c r="L3018" s="211">
        <f>IFERROR(__xludf.DUMMYFUNCTION("""COMPUTED_VALUE"""),0.0)</f>
        <v>0</v>
      </c>
      <c r="M3018" s="211"/>
      <c r="N3018" s="211"/>
      <c r="O3018" s="211"/>
      <c r="Q3018" s="210" t="str">
        <f>IFERROR(__xludf.DUMMYFUNCTION("""COMPUTED_VALUE"""),"042653018")</f>
        <v>042653018</v>
      </c>
      <c r="R3018" s="210" t="str">
        <f>IFERROR(__xludf.DUMMYFUNCTION("""COMPUTED_VALUE"""),"042653018")</f>
        <v>042653018</v>
      </c>
      <c r="S3018" s="211" t="str">
        <f>IFERROR(__xludf.DUMMYFUNCTION("""COMPUTED_VALUE"""),"58b72e0c")</f>
        <v>58b72e0c</v>
      </c>
      <c r="T3018" s="211" t="str">
        <f>IFERROR(__xludf.DUMMYFUNCTION("""COMPUTED_VALUE"""),"UD. Ais Jaya")</f>
        <v>UD. Ais Jaya</v>
      </c>
      <c r="U3018" s="215">
        <f>IFERROR(__xludf.DUMMYFUNCTION("""COMPUTED_VALUE"""),46120.358136574076)</f>
        <v>46120.35814</v>
      </c>
      <c r="V3018" s="211" t="str">
        <f>IFERROR(__xludf.DUMMYFUNCTION("""COMPUTED_VALUE"""),"Jl. Bypass Krian, Kraton, Kec. Krian, Kabupaten Sidoarjo, Jawa Timur 61262")</f>
        <v>Jl. Bypass Krian, Kraton, Kec. Krian, Kabupaten Sidoarjo, Jawa Timur 61262</v>
      </c>
      <c r="W3018" s="211" t="str">
        <f>IFERROR(__xludf.DUMMYFUNCTION("""COMPUTED_VALUE"""),"OUT")</f>
        <v>OUT</v>
      </c>
      <c r="X3018" s="211"/>
    </row>
    <row r="3019">
      <c r="A3019" s="210" t="str">
        <f>IFERROR(__xludf.DUMMYFUNCTION("""COMPUTED_VALUE"""),"1251002")</f>
        <v>1251002</v>
      </c>
      <c r="B3019" s="210" t="str">
        <f>IFERROR(__xludf.DUMMYFUNCTION("""COMPUTED_VALUE"""),"1251002")</f>
        <v>1251002</v>
      </c>
      <c r="C3019" s="213">
        <f>IFERROR(__xludf.DUMMYFUNCTION("""COMPUTED_VALUE"""),46018.63214120371)</f>
        <v>46018.63214</v>
      </c>
      <c r="D3019" s="211" t="str">
        <f>IFERROR(__xludf.DUMMYFUNCTION("""COMPUTED_VALUE"""),"b2b5f2c5")</f>
        <v>b2b5f2c5</v>
      </c>
      <c r="E3019" s="211" t="str">
        <f>IFERROR(__xludf.DUMMYFUNCTION("""COMPUTED_VALUE"""),"Bengkel Las Bpk. Ari")</f>
        <v>Bengkel Las Bpk. Ari</v>
      </c>
      <c r="F3019" s="211" t="str">
        <f>IFERROR(__xludf.DUMMYFUNCTION("""COMPUTED_VALUE"""),"8bdbe149")</f>
        <v>8bdbe149</v>
      </c>
      <c r="G3019" s="211" t="str">
        <f>IFERROR(__xludf.DUMMYFUNCTION("""COMPUTED_VALUE"""),"Oksigen 6m3")</f>
        <v>Oksigen 6m3</v>
      </c>
      <c r="H3019" s="211" t="str">
        <f>IFERROR(__xludf.DUMMYFUNCTION("""COMPUTED_VALUE"""),"IN")</f>
        <v>IN</v>
      </c>
      <c r="I3019" s="211" t="str">
        <f>IFERROR(__xludf.DUMMYFUNCTION("""COMPUTED_VALUE"""),"EMPTY")</f>
        <v>EMPTY</v>
      </c>
      <c r="J3019" s="211">
        <f>IFERROR(__xludf.DUMMYFUNCTION("""COMPUTED_VALUE"""),4.0)</f>
        <v>4</v>
      </c>
      <c r="K3019" s="210" t="str">
        <f>IFERROR(__xludf.DUMMYFUNCTION("""COMPUTED_VALUE"""),"11127 1119 11196 1154")</f>
        <v>11127 1119 11196 1154</v>
      </c>
      <c r="L3019" s="211">
        <f>IFERROR(__xludf.DUMMYFUNCTION("""COMPUTED_VALUE"""),0.0)</f>
        <v>0</v>
      </c>
      <c r="M3019" s="211"/>
      <c r="N3019" s="211"/>
      <c r="O3019" s="211"/>
      <c r="Q3019" s="210" t="str">
        <f>IFERROR(__xludf.DUMMYFUNCTION("""COMPUTED_VALUE"""),"0426153019")</f>
        <v>0426153019</v>
      </c>
      <c r="R3019" s="210" t="str">
        <f>IFERROR(__xludf.DUMMYFUNCTION("""COMPUTED_VALUE"""),"0426153019")</f>
        <v>0426153019</v>
      </c>
      <c r="S3019" s="211" t="str">
        <f>IFERROR(__xludf.DUMMYFUNCTION("""COMPUTED_VALUE"""),"03ff52db")</f>
        <v>03ff52db</v>
      </c>
      <c r="T3019" s="211" t="str">
        <f>IFERROR(__xludf.DUMMYFUNCTION("""COMPUTED_VALUE"""),"Aneka Teknik Logam")</f>
        <v>Aneka Teknik Logam</v>
      </c>
      <c r="U3019" s="215">
        <f>IFERROR(__xludf.DUMMYFUNCTION("""COMPUTED_VALUE"""),46120.361608796295)</f>
        <v>46120.36161</v>
      </c>
      <c r="V3019" s="211" t="str">
        <f>IFERROR(__xludf.DUMMYFUNCTION("""COMPUTED_VALUE"""),"HH8G+MQC, Areng Areng, Tropodo, Kec. Krian, Kabupaten Sidoarjo, Jawa Timur 61262")</f>
        <v>HH8G+MQC, Areng Areng, Tropodo, Kec. Krian, Kabupaten Sidoarjo, Jawa Timur 61262</v>
      </c>
      <c r="W3019" s="211" t="str">
        <f>IFERROR(__xludf.DUMMYFUNCTION("""COMPUTED_VALUE"""),"OUT")</f>
        <v>OUT</v>
      </c>
      <c r="X3019" s="211"/>
    </row>
    <row r="3020">
      <c r="A3020" s="210" t="str">
        <f>IFERROR(__xludf.DUMMYFUNCTION("""COMPUTED_VALUE"""),"1251002")</f>
        <v>1251002</v>
      </c>
      <c r="B3020" s="210" t="str">
        <f>IFERROR(__xludf.DUMMYFUNCTION("""COMPUTED_VALUE"""),"1251002")</f>
        <v>1251002</v>
      </c>
      <c r="C3020" s="213">
        <f>IFERROR(__xludf.DUMMYFUNCTION("""COMPUTED_VALUE"""),46018.63214120371)</f>
        <v>46018.63214</v>
      </c>
      <c r="D3020" s="211" t="str">
        <f>IFERROR(__xludf.DUMMYFUNCTION("""COMPUTED_VALUE"""),"b2b5f2c5")</f>
        <v>b2b5f2c5</v>
      </c>
      <c r="E3020" s="211" t="str">
        <f>IFERROR(__xludf.DUMMYFUNCTION("""COMPUTED_VALUE"""),"Bengkel Las Bpk. Ari")</f>
        <v>Bengkel Las Bpk. Ari</v>
      </c>
      <c r="F3020" s="211" t="str">
        <f>IFERROR(__xludf.DUMMYFUNCTION("""COMPUTED_VALUE"""),"7d2764f1")</f>
        <v>7d2764f1</v>
      </c>
      <c r="G3020" s="211" t="str">
        <f>IFERROR(__xludf.DUMMYFUNCTION("""COMPUTED_VALUE"""),"Oksigen 7m3")</f>
        <v>Oksigen 7m3</v>
      </c>
      <c r="H3020" s="211" t="str">
        <f>IFERROR(__xludf.DUMMYFUNCTION("""COMPUTED_VALUE"""),"IN")</f>
        <v>IN</v>
      </c>
      <c r="I3020" s="211" t="str">
        <f>IFERROR(__xludf.DUMMYFUNCTION("""COMPUTED_VALUE"""),"EMPTY")</f>
        <v>EMPTY</v>
      </c>
      <c r="J3020" s="211">
        <f>IFERROR(__xludf.DUMMYFUNCTION("""COMPUTED_VALUE"""),1.0)</f>
        <v>1</v>
      </c>
      <c r="K3020" s="210" t="str">
        <f>IFERROR(__xludf.DUMMYFUNCTION("""COMPUTED_VALUE"""),"11318")</f>
        <v>11318</v>
      </c>
      <c r="L3020" s="211">
        <f>IFERROR(__xludf.DUMMYFUNCTION("""COMPUTED_VALUE"""),0.0)</f>
        <v>0</v>
      </c>
      <c r="M3020" s="211"/>
      <c r="N3020" s="211"/>
      <c r="O3020" s="211"/>
      <c r="Q3020" s="210" t="str">
        <f>IFERROR(__xludf.DUMMYFUNCTION("""COMPUTED_VALUE"""),"0426283020")</f>
        <v>0426283020</v>
      </c>
      <c r="R3020" s="210" t="str">
        <f>IFERROR(__xludf.DUMMYFUNCTION("""COMPUTED_VALUE"""),"0426283020")</f>
        <v>0426283020</v>
      </c>
      <c r="S3020" s="211" t="str">
        <f>IFERROR(__xludf.DUMMYFUNCTION("""COMPUTED_VALUE"""),"3bcd7fe6")</f>
        <v>3bcd7fe6</v>
      </c>
      <c r="T3020" s="211" t="str">
        <f>IFERROR(__xludf.DUMMYFUNCTION("""COMPUTED_VALUE"""),"Bpk. Alvin (LB Group)")</f>
        <v>Bpk. Alvin (LB Group)</v>
      </c>
      <c r="U3020" s="215">
        <f>IFERROR(__xludf.DUMMYFUNCTION("""COMPUTED_VALUE"""),46120.361979166664)</f>
        <v>46120.36198</v>
      </c>
      <c r="V3020" s="211" t="str">
        <f>IFERROR(__xludf.DUMMYFUNCTION("""COMPUTED_VALUE"""),"MFF9+XHC, Jalan, Tambakrejo, Temuireng, Kec. Dawar Blandong, Kabupaten Mojokerto, Jawa Timur 61354")</f>
        <v>MFF9+XHC, Jalan, Tambakrejo, Temuireng, Kec. Dawar Blandong, Kabupaten Mojokerto, Jawa Timur 61354</v>
      </c>
      <c r="W3020" s="211" t="str">
        <f>IFERROR(__xludf.DUMMYFUNCTION("""COMPUTED_VALUE"""),"OUT")</f>
        <v>OUT</v>
      </c>
      <c r="X3020" s="211"/>
    </row>
    <row r="3021">
      <c r="A3021" s="210" t="str">
        <f>IFERROR(__xludf.DUMMYFUNCTION("""COMPUTED_VALUE"""),"122572104")</f>
        <v>122572104</v>
      </c>
      <c r="B3021" s="210" t="str">
        <f>IFERROR(__xludf.DUMMYFUNCTION("""COMPUTED_VALUE"""),"122572104")</f>
        <v>122572104</v>
      </c>
      <c r="C3021" s="213">
        <f>IFERROR(__xludf.DUMMYFUNCTION("""COMPUTED_VALUE"""),46020.35666666667)</f>
        <v>46020.35667</v>
      </c>
      <c r="D3021" s="211" t="str">
        <f>IFERROR(__xludf.DUMMYFUNCTION("""COMPUTED_VALUE"""),"9b941888")</f>
        <v>9b941888</v>
      </c>
      <c r="E3021" s="211" t="str">
        <f>IFERROR(__xludf.DUMMYFUNCTION("""COMPUTED_VALUE"""),"Mas Devi ( Parengan )")</f>
        <v>Mas Devi ( Parengan )</v>
      </c>
      <c r="F3021" s="211" t="str">
        <f>IFERROR(__xludf.DUMMYFUNCTION("""COMPUTED_VALUE"""),"7d2764f1")</f>
        <v>7d2764f1</v>
      </c>
      <c r="G3021" s="211" t="str">
        <f>IFERROR(__xludf.DUMMYFUNCTION("""COMPUTED_VALUE"""),"Oksigen 7m3")</f>
        <v>Oksigen 7m3</v>
      </c>
      <c r="H3021" s="211" t="str">
        <f>IFERROR(__xludf.DUMMYFUNCTION("""COMPUTED_VALUE"""),"OUT")</f>
        <v>OUT</v>
      </c>
      <c r="I3021" s="211" t="str">
        <f>IFERROR(__xludf.DUMMYFUNCTION("""COMPUTED_VALUE"""),"NORMAL")</f>
        <v>NORMAL</v>
      </c>
      <c r="J3021" s="211">
        <f>IFERROR(__xludf.DUMMYFUNCTION("""COMPUTED_VALUE"""),1.0)</f>
        <v>1</v>
      </c>
      <c r="K3021" s="210" t="str">
        <f>IFERROR(__xludf.DUMMYFUNCTION("""COMPUTED_VALUE"""),"11307")</f>
        <v>11307</v>
      </c>
      <c r="L3021" s="211">
        <f>IFERROR(__xludf.DUMMYFUNCTION("""COMPUTED_VALUE"""),80000.0)</f>
        <v>80000</v>
      </c>
      <c r="M3021" s="211"/>
      <c r="N3021" s="211"/>
      <c r="O3021" s="211"/>
      <c r="Q3021" s="210" t="str">
        <f>IFERROR(__xludf.DUMMYFUNCTION("""COMPUTED_VALUE"""),"0426393021")</f>
        <v>0426393021</v>
      </c>
      <c r="R3021" s="210" t="str">
        <f>IFERROR(__xludf.DUMMYFUNCTION("""COMPUTED_VALUE"""),"0426393021")</f>
        <v>0426393021</v>
      </c>
      <c r="S3021" s="211" t="str">
        <f>IFERROR(__xludf.DUMMYFUNCTION("""COMPUTED_VALUE"""),"63fc688a")</f>
        <v>63fc688a</v>
      </c>
      <c r="T3021" s="211" t="str">
        <f>IFERROR(__xludf.DUMMYFUNCTION("""COMPUTED_VALUE"""),"CV Malik Nusantara")</f>
        <v>CV Malik Nusantara</v>
      </c>
      <c r="U3021" s="215">
        <f>IFERROR(__xludf.DUMMYFUNCTION("""COMPUTED_VALUE"""),46120.36988425926)</f>
        <v>46120.36988</v>
      </c>
      <c r="V3021" s="211" t="str">
        <f>IFERROR(__xludf.DUMMYFUNCTION("""COMPUTED_VALUE"""),"Jl. Raya Balongbendo No.12, Suwaluh Utara, Suwaluh, Kec. BalongBendo, Kabupaten Sidoarjo, Jawa Timur 61263")</f>
        <v>Jl. Raya Balongbendo No.12, Suwaluh Utara, Suwaluh, Kec. BalongBendo, Kabupaten Sidoarjo, Jawa Timur 61263</v>
      </c>
      <c r="W3021" s="211" t="str">
        <f>IFERROR(__xludf.DUMMYFUNCTION("""COMPUTED_VALUE"""),"OUT")</f>
        <v>OUT</v>
      </c>
      <c r="X3021" s="211"/>
    </row>
    <row r="3022">
      <c r="A3022" s="210" t="str">
        <f>IFERROR(__xludf.DUMMYFUNCTION("""COMPUTED_VALUE"""),"1251018")</f>
        <v>1251018</v>
      </c>
      <c r="B3022" s="210" t="str">
        <f>IFERROR(__xludf.DUMMYFUNCTION("""COMPUTED_VALUE"""),"1251018")</f>
        <v>1251018</v>
      </c>
      <c r="C3022" s="213">
        <f>IFERROR(__xludf.DUMMYFUNCTION("""COMPUTED_VALUE"""),46020.35693287037)</f>
        <v>46020.35693</v>
      </c>
      <c r="D3022" s="211" t="str">
        <f>IFERROR(__xludf.DUMMYFUNCTION("""COMPUTED_VALUE"""),"01158be1")</f>
        <v>01158be1</v>
      </c>
      <c r="E3022" s="211" t="str">
        <f>IFERROR(__xludf.DUMMYFUNCTION("""COMPUTED_VALUE"""),"GYF")</f>
        <v>GYF</v>
      </c>
      <c r="F3022" s="211" t="str">
        <f>IFERROR(__xludf.DUMMYFUNCTION("""COMPUTED_VALUE"""),"8bdbe149")</f>
        <v>8bdbe149</v>
      </c>
      <c r="G3022" s="211" t="str">
        <f>IFERROR(__xludf.DUMMYFUNCTION("""COMPUTED_VALUE"""),"Oksigen 6m3")</f>
        <v>Oksigen 6m3</v>
      </c>
      <c r="H3022" s="211" t="str">
        <f>IFERROR(__xludf.DUMMYFUNCTION("""COMPUTED_VALUE"""),"IN")</f>
        <v>IN</v>
      </c>
      <c r="I3022" s="211" t="str">
        <f>IFERROR(__xludf.DUMMYFUNCTION("""COMPUTED_VALUE"""),"EMPTY")</f>
        <v>EMPTY</v>
      </c>
      <c r="J3022" s="211">
        <f>IFERROR(__xludf.DUMMYFUNCTION("""COMPUTED_VALUE"""),11.0)</f>
        <v>11</v>
      </c>
      <c r="K3022" s="210" t="str">
        <f>IFERROR(__xludf.DUMMYFUNCTION("""COMPUTED_VALUE"""),"11323 11324 11326 11260 11289 11239 11315 1131 1148 11278 1117")</f>
        <v>11323 11324 11326 11260 11289 11239 11315 1131 1148 11278 1117</v>
      </c>
      <c r="L3022" s="211">
        <f>IFERROR(__xludf.DUMMYFUNCTION("""COMPUTED_VALUE"""),0.0)</f>
        <v>0</v>
      </c>
      <c r="M3022" s="211"/>
      <c r="N3022" s="211"/>
      <c r="O3022" s="211"/>
      <c r="Q3022" s="210" t="str">
        <f>IFERROR(__xludf.DUMMYFUNCTION("""COMPUTED_VALUE"""),"0426133022")</f>
        <v>0426133022</v>
      </c>
      <c r="R3022" s="210" t="str">
        <f>IFERROR(__xludf.DUMMYFUNCTION("""COMPUTED_VALUE"""),"0426133022")</f>
        <v>0426133022</v>
      </c>
      <c r="S3022" s="211" t="str">
        <f>IFERROR(__xludf.DUMMYFUNCTION("""COMPUTED_VALUE"""),"440df1db")</f>
        <v>440df1db</v>
      </c>
      <c r="T3022" s="211" t="str">
        <f>IFERROR(__xludf.DUMMYFUNCTION("""COMPUTED_VALUE"""),"PT. Mecca Abadi Sejahtera")</f>
        <v>PT. Mecca Abadi Sejahtera</v>
      </c>
      <c r="U3022" s="215">
        <f>IFERROR(__xludf.DUMMYFUNCTION("""COMPUTED_VALUE"""),46120.4969212963)</f>
        <v>46120.49692</v>
      </c>
      <c r="V3022" s="211" t="str">
        <f>IFERROR(__xludf.DUMMYFUNCTION("""COMPUTED_VALUE"""),"Jl. Raya Sawocangkring, RT.006/RW.002, Sawo, Sawocangkring, Kec. Wonoayu, Kabupaten Sidoarjo, Jawa Timur 61261")</f>
        <v>Jl. Raya Sawocangkring, RT.006/RW.002, Sawo, Sawocangkring, Kec. Wonoayu, Kabupaten Sidoarjo, Jawa Timur 61261</v>
      </c>
      <c r="W3022" s="211" t="str">
        <f>IFERROR(__xludf.DUMMYFUNCTION("""COMPUTED_VALUE"""),"OUT")</f>
        <v>OUT</v>
      </c>
      <c r="X3022" s="211"/>
    </row>
    <row r="3023">
      <c r="A3023" s="210" t="str">
        <f>IFERROR(__xludf.DUMMYFUNCTION("""COMPUTED_VALUE"""),"122582108")</f>
        <v>122582108</v>
      </c>
      <c r="B3023" s="210" t="str">
        <f>IFERROR(__xludf.DUMMYFUNCTION("""COMPUTED_VALUE"""),"122582108")</f>
        <v>122582108</v>
      </c>
      <c r="C3023" s="213">
        <f>IFERROR(__xludf.DUMMYFUNCTION("""COMPUTED_VALUE"""),46020.37486111111)</f>
        <v>46020.37486</v>
      </c>
      <c r="D3023" s="211" t="str">
        <f>IFERROR(__xludf.DUMMYFUNCTION("""COMPUTED_VALUE"""),"f8a982a4")</f>
        <v>f8a982a4</v>
      </c>
      <c r="E3023" s="211" t="str">
        <f>IFERROR(__xludf.DUMMYFUNCTION("""COMPUTED_VALUE"""),"Bpk. Nasir")</f>
        <v>Bpk. Nasir</v>
      </c>
      <c r="F3023" s="211" t="str">
        <f>IFERROR(__xludf.DUMMYFUNCTION("""COMPUTED_VALUE"""),"7d2764f1")</f>
        <v>7d2764f1</v>
      </c>
      <c r="G3023" s="211" t="str">
        <f>IFERROR(__xludf.DUMMYFUNCTION("""COMPUTED_VALUE"""),"Oksigen 7m3")</f>
        <v>Oksigen 7m3</v>
      </c>
      <c r="H3023" s="211" t="str">
        <f>IFERROR(__xludf.DUMMYFUNCTION("""COMPUTED_VALUE"""),"OUT")</f>
        <v>OUT</v>
      </c>
      <c r="I3023" s="211" t="str">
        <f>IFERROR(__xludf.DUMMYFUNCTION("""COMPUTED_VALUE"""),"NORMAL")</f>
        <v>NORMAL</v>
      </c>
      <c r="J3023" s="211">
        <f>IFERROR(__xludf.DUMMYFUNCTION("""COMPUTED_VALUE"""),2.0)</f>
        <v>2</v>
      </c>
      <c r="K3023" s="210" t="str">
        <f>IFERROR(__xludf.DUMMYFUNCTION("""COMPUTED_VALUE"""),"11135 11142")</f>
        <v>11135 11142</v>
      </c>
      <c r="L3023" s="211">
        <f>IFERROR(__xludf.DUMMYFUNCTION("""COMPUTED_VALUE"""),70000.0)</f>
        <v>70000</v>
      </c>
      <c r="M3023" s="211"/>
      <c r="N3023" s="211"/>
      <c r="O3023" s="211"/>
      <c r="Q3023" s="210" t="str">
        <f>IFERROR(__xludf.DUMMYFUNCTION("""COMPUTED_VALUE"""),"1261502")</f>
        <v>1261502</v>
      </c>
      <c r="R3023" s="210" t="str">
        <f>IFERROR(__xludf.DUMMYFUNCTION("""COMPUTED_VALUE"""),"1261502")</f>
        <v>1261502</v>
      </c>
      <c r="S3023" s="211" t="str">
        <f>IFERROR(__xludf.DUMMYFUNCTION("""COMPUTED_VALUE"""),"b2b5f2c5")</f>
        <v>b2b5f2c5</v>
      </c>
      <c r="T3023" s="211" t="str">
        <f>IFERROR(__xludf.DUMMYFUNCTION("""COMPUTED_VALUE"""),"Bengkel Las Bpk. Ari")</f>
        <v>Bengkel Las Bpk. Ari</v>
      </c>
      <c r="U3023" s="215">
        <f>IFERROR(__xludf.DUMMYFUNCTION("""COMPUTED_VALUE"""),46120.49753472222)</f>
        <v>46120.49753</v>
      </c>
      <c r="V3023" s="211" t="str">
        <f>IFERROR(__xludf.DUMMYFUNCTION("""COMPUTED_VALUE"""),"Sumber Kembar, Wonodadi, Kec. Kutorejo, Kabupaten Mojokerto, Jawa Timur")</f>
        <v>Sumber Kembar, Wonodadi, Kec. Kutorejo, Kabupaten Mojokerto, Jawa Timur</v>
      </c>
      <c r="W3023" s="211" t="str">
        <f>IFERROR(__xludf.DUMMYFUNCTION("""COMPUTED_VALUE"""),"IN")</f>
        <v>IN</v>
      </c>
      <c r="X3023" s="211"/>
    </row>
    <row r="3024">
      <c r="A3024" s="210" t="str">
        <f>IFERROR(__xludf.DUMMYFUNCTION("""COMPUTED_VALUE"""),"1225172110")</f>
        <v>1225172110</v>
      </c>
      <c r="B3024" s="210" t="str">
        <f>IFERROR(__xludf.DUMMYFUNCTION("""COMPUTED_VALUE"""),"1225172110")</f>
        <v>1225172110</v>
      </c>
      <c r="C3024" s="213">
        <f>IFERROR(__xludf.DUMMYFUNCTION("""COMPUTED_VALUE"""),46020.3984375)</f>
        <v>46020.39844</v>
      </c>
      <c r="D3024" s="211" t="str">
        <f>IFERROR(__xludf.DUMMYFUNCTION("""COMPUTED_VALUE"""),"b218b89b")</f>
        <v>b218b89b</v>
      </c>
      <c r="E3024" s="211" t="str">
        <f>IFERROR(__xludf.DUMMYFUNCTION("""COMPUTED_VALUE"""),"PT Harapan Sentosa")</f>
        <v>PT Harapan Sentosa</v>
      </c>
      <c r="F3024" s="211" t="str">
        <f>IFERROR(__xludf.DUMMYFUNCTION("""COMPUTED_VALUE"""),"8bdbe149")</f>
        <v>8bdbe149</v>
      </c>
      <c r="G3024" s="211" t="str">
        <f>IFERROR(__xludf.DUMMYFUNCTION("""COMPUTED_VALUE"""),"Oksigen 6m3")</f>
        <v>Oksigen 6m3</v>
      </c>
      <c r="H3024" s="211" t="str">
        <f>IFERROR(__xludf.DUMMYFUNCTION("""COMPUTED_VALUE"""),"OUT")</f>
        <v>OUT</v>
      </c>
      <c r="I3024" s="211" t="str">
        <f>IFERROR(__xludf.DUMMYFUNCTION("""COMPUTED_VALUE"""),"NORMAL")</f>
        <v>NORMAL</v>
      </c>
      <c r="J3024" s="211">
        <f>IFERROR(__xludf.DUMMYFUNCTION("""COMPUTED_VALUE"""),5.0)</f>
        <v>5</v>
      </c>
      <c r="K3024" s="210" t="str">
        <f>IFERROR(__xludf.DUMMYFUNCTION("""COMPUTED_VALUE"""),"11261 11181 11120 11105 1153")</f>
        <v>11261 11181 11120 11105 1153</v>
      </c>
      <c r="L3024" s="211">
        <f>IFERROR(__xludf.DUMMYFUNCTION("""COMPUTED_VALUE"""),60000.0)</f>
        <v>60000</v>
      </c>
      <c r="M3024" s="211"/>
      <c r="N3024" s="211"/>
      <c r="O3024" s="211"/>
      <c r="Q3024" s="210" t="str">
        <f>IFERROR(__xludf.DUMMYFUNCTION("""COMPUTED_VALUE"""),"1261501")</f>
        <v>1261501</v>
      </c>
      <c r="R3024" s="210" t="str">
        <f>IFERROR(__xludf.DUMMYFUNCTION("""COMPUTED_VALUE"""),"1261501")</f>
        <v>1261501</v>
      </c>
      <c r="S3024" s="211" t="str">
        <f>IFERROR(__xludf.DUMMYFUNCTION("""COMPUTED_VALUE"""),"1c4d5e93")</f>
        <v>1c4d5e93</v>
      </c>
      <c r="T3024" s="211" t="str">
        <f>IFERROR(__xludf.DUMMYFUNCTION("""COMPUTED_VALUE"""),"Karoseri Cipta Mitra Sukses")</f>
        <v>Karoseri Cipta Mitra Sukses</v>
      </c>
      <c r="U3024" s="215">
        <f>IFERROR(__xludf.DUMMYFUNCTION("""COMPUTED_VALUE"""),46120.498344907406)</f>
        <v>46120.49834</v>
      </c>
      <c r="V3024" s="211" t="str">
        <f>IFERROR(__xludf.DUMMYFUNCTION("""COMPUTED_VALUE"""),"JL. Bypass Krian No. 7800, Blok B No 11. Barengkrajan, Kec. Krian, Kabupaten Sidoarjo, Jawa Timur  61262")</f>
        <v>JL. Bypass Krian No. 7800, Blok B No 11. Barengkrajan, Kec. Krian, Kabupaten Sidoarjo, Jawa Timur  61262</v>
      </c>
      <c r="W3024" s="211" t="str">
        <f>IFERROR(__xludf.DUMMYFUNCTION("""COMPUTED_VALUE"""),"IN")</f>
        <v>IN</v>
      </c>
      <c r="X3024" s="211"/>
    </row>
    <row r="3025">
      <c r="A3025" s="210" t="str">
        <f>IFERROR(__xludf.DUMMYFUNCTION("""COMPUTED_VALUE"""),"1225172110")</f>
        <v>1225172110</v>
      </c>
      <c r="B3025" s="210" t="str">
        <f>IFERROR(__xludf.DUMMYFUNCTION("""COMPUTED_VALUE"""),"1225172110")</f>
        <v>1225172110</v>
      </c>
      <c r="C3025" s="213">
        <f>IFERROR(__xludf.DUMMYFUNCTION("""COMPUTED_VALUE"""),46020.3984375)</f>
        <v>46020.39844</v>
      </c>
      <c r="D3025" s="211" t="str">
        <f>IFERROR(__xludf.DUMMYFUNCTION("""COMPUTED_VALUE"""),"b218b89b")</f>
        <v>b218b89b</v>
      </c>
      <c r="E3025" s="211" t="str">
        <f>IFERROR(__xludf.DUMMYFUNCTION("""COMPUTED_VALUE"""),"PT Harapan Sentosa")</f>
        <v>PT Harapan Sentosa</v>
      </c>
      <c r="F3025" s="211" t="str">
        <f>IFERROR(__xludf.DUMMYFUNCTION("""COMPUTED_VALUE"""),"7d2764f1")</f>
        <v>7d2764f1</v>
      </c>
      <c r="G3025" s="211" t="str">
        <f>IFERROR(__xludf.DUMMYFUNCTION("""COMPUTED_VALUE"""),"Oksigen 7m3")</f>
        <v>Oksigen 7m3</v>
      </c>
      <c r="H3025" s="211" t="str">
        <f>IFERROR(__xludf.DUMMYFUNCTION("""COMPUTED_VALUE"""),"OUT")</f>
        <v>OUT</v>
      </c>
      <c r="I3025" s="211" t="str">
        <f>IFERROR(__xludf.DUMMYFUNCTION("""COMPUTED_VALUE"""),"NORMAL")</f>
        <v>NORMAL</v>
      </c>
      <c r="J3025" s="211">
        <f>IFERROR(__xludf.DUMMYFUNCTION("""COMPUTED_VALUE"""),5.0)</f>
        <v>5</v>
      </c>
      <c r="K3025" s="210" t="str">
        <f>IFERROR(__xludf.DUMMYFUNCTION("""COMPUTED_VALUE"""),"11218 11313 11302 11269 11126")</f>
        <v>11218 11313 11302 11269 11126</v>
      </c>
      <c r="L3025" s="211">
        <f>IFERROR(__xludf.DUMMYFUNCTION("""COMPUTED_VALUE"""),70000.0)</f>
        <v>70000</v>
      </c>
      <c r="M3025" s="211"/>
      <c r="N3025" s="211"/>
      <c r="O3025" s="211"/>
      <c r="Q3025" s="210" t="str">
        <f>IFERROR(__xludf.DUMMYFUNCTION("""COMPUTED_VALUE"""),"0426143023")</f>
        <v>0426143023</v>
      </c>
      <c r="R3025" s="210" t="str">
        <f>IFERROR(__xludf.DUMMYFUNCTION("""COMPUTED_VALUE"""),"0426143023")</f>
        <v>0426143023</v>
      </c>
      <c r="S3025" s="211" t="str">
        <f>IFERROR(__xludf.DUMMYFUNCTION("""COMPUTED_VALUE"""),"17a8e612")</f>
        <v>17a8e612</v>
      </c>
      <c r="T3025" s="211" t="str">
        <f>IFERROR(__xludf.DUMMYFUNCTION("""COMPUTED_VALUE"""),"Flashtech Machinery")</f>
        <v>Flashtech Machinery</v>
      </c>
      <c r="U3025" s="215">
        <f>IFERROR(__xludf.DUMMYFUNCTION("""COMPUTED_VALUE"""),46120.49905092592)</f>
        <v>46120.49905</v>
      </c>
      <c r="V3025" s="211" t="str">
        <f>IFERROR(__xludf.DUMMYFUNCTION("""COMPUTED_VALUE"""),"Pergudangan Point Center blok A no.4, Kemangsen")</f>
        <v>Pergudangan Point Center blok A no.4, Kemangsen</v>
      </c>
      <c r="W3025" s="211" t="str">
        <f>IFERROR(__xludf.DUMMYFUNCTION("""COMPUTED_VALUE"""),"OUT")</f>
        <v>OUT</v>
      </c>
      <c r="X3025" s="211"/>
    </row>
    <row r="3026">
      <c r="A3026" s="210" t="str">
        <f>IFERROR(__xludf.DUMMYFUNCTION("""COMPUTED_VALUE"""),"1225112111")</f>
        <v>1225112111</v>
      </c>
      <c r="B3026" s="210" t="str">
        <f>IFERROR(__xludf.DUMMYFUNCTION("""COMPUTED_VALUE"""),"1225112111")</f>
        <v>1225112111</v>
      </c>
      <c r="C3026" s="213">
        <f>IFERROR(__xludf.DUMMYFUNCTION("""COMPUTED_VALUE"""),46020.4862037037)</f>
        <v>46020.4862</v>
      </c>
      <c r="D3026" s="211" t="str">
        <f>IFERROR(__xludf.DUMMYFUNCTION("""COMPUTED_VALUE"""),"eec2e801")</f>
        <v>eec2e801</v>
      </c>
      <c r="E3026" s="211" t="str">
        <f>IFERROR(__xludf.DUMMYFUNCTION("""COMPUTED_VALUE"""),"Mitra Wood Sejahtera")</f>
        <v>Mitra Wood Sejahtera</v>
      </c>
      <c r="F3026" s="211" t="str">
        <f>IFERROR(__xludf.DUMMYFUNCTION("""COMPUTED_VALUE"""),"8bdbe149")</f>
        <v>8bdbe149</v>
      </c>
      <c r="G3026" s="211" t="str">
        <f>IFERROR(__xludf.DUMMYFUNCTION("""COMPUTED_VALUE"""),"Oksigen 6m3")</f>
        <v>Oksigen 6m3</v>
      </c>
      <c r="H3026" s="211" t="str">
        <f>IFERROR(__xludf.DUMMYFUNCTION("""COMPUTED_VALUE"""),"OUT")</f>
        <v>OUT</v>
      </c>
      <c r="I3026" s="211" t="str">
        <f>IFERROR(__xludf.DUMMYFUNCTION("""COMPUTED_VALUE"""),"NORMAL")</f>
        <v>NORMAL</v>
      </c>
      <c r="J3026" s="211">
        <f>IFERROR(__xludf.DUMMYFUNCTION("""COMPUTED_VALUE"""),8.0)</f>
        <v>8</v>
      </c>
      <c r="K3026" s="210" t="str">
        <f>IFERROR(__xludf.DUMMYFUNCTION("""COMPUTED_VALUE"""),"1197 1170 1141 11266 11235 1137 11205 11188")</f>
        <v>1197 1170 1141 11266 11235 1137 11205 11188</v>
      </c>
      <c r="L3026" s="211">
        <f>IFERROR(__xludf.DUMMYFUNCTION("""COMPUTED_VALUE"""),55000.0)</f>
        <v>55000</v>
      </c>
      <c r="M3026" s="211"/>
      <c r="N3026" s="211"/>
      <c r="O3026" s="211"/>
      <c r="Q3026" s="210" t="str">
        <f>IFERROR(__xludf.DUMMYFUNCTION("""COMPUTED_VALUE"""),"1261511")</f>
        <v>1261511</v>
      </c>
      <c r="R3026" s="210" t="str">
        <f>IFERROR(__xludf.DUMMYFUNCTION("""COMPUTED_VALUE"""),"1261511")</f>
        <v>1261511</v>
      </c>
      <c r="S3026" s="211" t="str">
        <f>IFERROR(__xludf.DUMMYFUNCTION("""COMPUTED_VALUE"""),"3bcd7fe6")</f>
        <v>3bcd7fe6</v>
      </c>
      <c r="T3026" s="211" t="str">
        <f>IFERROR(__xludf.DUMMYFUNCTION("""COMPUTED_VALUE"""),"Bpk. Alvin (LB Group)")</f>
        <v>Bpk. Alvin (LB Group)</v>
      </c>
      <c r="U3026" s="215">
        <f>IFERROR(__xludf.DUMMYFUNCTION("""COMPUTED_VALUE"""),46120.62568287037)</f>
        <v>46120.62568</v>
      </c>
      <c r="V3026" s="211" t="str">
        <f>IFERROR(__xludf.DUMMYFUNCTION("""COMPUTED_VALUE"""),"MFF9+XHC, Jalan, Tambakrejo, Temuireng, Kec. Dawar Blandong, Kabupaten Mojokerto, Jawa Timur 61354")</f>
        <v>MFF9+XHC, Jalan, Tambakrejo, Temuireng, Kec. Dawar Blandong, Kabupaten Mojokerto, Jawa Timur 61354</v>
      </c>
      <c r="W3026" s="211" t="str">
        <f>IFERROR(__xludf.DUMMYFUNCTION("""COMPUTED_VALUE"""),"IN")</f>
        <v>IN</v>
      </c>
      <c r="X3026" s="211"/>
    </row>
    <row r="3027">
      <c r="A3027" s="210" t="str">
        <f>IFERROR(__xludf.DUMMYFUNCTION("""COMPUTED_VALUE"""),"1225402112")</f>
        <v>1225402112</v>
      </c>
      <c r="B3027" s="210" t="str">
        <f>IFERROR(__xludf.DUMMYFUNCTION("""COMPUTED_VALUE"""),"1225402112")</f>
        <v>1225402112</v>
      </c>
      <c r="C3027" s="213">
        <f>IFERROR(__xludf.DUMMYFUNCTION("""COMPUTED_VALUE"""),46020.48875)</f>
        <v>46020.48875</v>
      </c>
      <c r="D3027" s="211" t="str">
        <f>IFERROR(__xludf.DUMMYFUNCTION("""COMPUTED_VALUE"""),"5f23ba17")</f>
        <v>5f23ba17</v>
      </c>
      <c r="E3027" s="211" t="str">
        <f>IFERROR(__xludf.DUMMYFUNCTION("""COMPUTED_VALUE"""),"Bpk. Joko (Gresik)")</f>
        <v>Bpk. Joko (Gresik)</v>
      </c>
      <c r="F3027" s="211" t="str">
        <f>IFERROR(__xludf.DUMMYFUNCTION("""COMPUTED_VALUE"""),"be525f3b")</f>
        <v>be525f3b</v>
      </c>
      <c r="G3027" s="211" t="str">
        <f>IFERROR(__xludf.DUMMYFUNCTION("""COMPUTED_VALUE"""),"LPG 12kg")</f>
        <v>LPG 12kg</v>
      </c>
      <c r="H3027" s="211" t="str">
        <f>IFERROR(__xludf.DUMMYFUNCTION("""COMPUTED_VALUE"""),"OUT")</f>
        <v>OUT</v>
      </c>
      <c r="I3027" s="211" t="str">
        <f>IFERROR(__xludf.DUMMYFUNCTION("""COMPUTED_VALUE"""),"NORMAL")</f>
        <v>NORMAL</v>
      </c>
      <c r="J3027" s="211">
        <f>IFERROR(__xludf.DUMMYFUNCTION("""COMPUTED_VALUE"""),4.0)</f>
        <v>4</v>
      </c>
      <c r="K3027" s="210" t="str">
        <f>IFERROR(__xludf.DUMMYFUNCTION("""COMPUTED_VALUE"""),"01 02 03 04")</f>
        <v>01 02 03 04</v>
      </c>
      <c r="L3027" s="211">
        <f>IFERROR(__xludf.DUMMYFUNCTION("""COMPUTED_VALUE"""),200000.0)</f>
        <v>200000</v>
      </c>
      <c r="M3027" s="211"/>
      <c r="N3027" s="211"/>
      <c r="O3027" s="211"/>
      <c r="Q3027" s="210" t="str">
        <f>IFERROR(__xludf.DUMMYFUNCTION("""COMPUTED_VALUE"""),"1261500")</f>
        <v>1261500</v>
      </c>
      <c r="R3027" s="210" t="str">
        <f>IFERROR(__xludf.DUMMYFUNCTION("""COMPUTED_VALUE"""),"1261500")</f>
        <v>1261500</v>
      </c>
      <c r="S3027" s="211" t="str">
        <f>IFERROR(__xludf.DUMMYFUNCTION("""COMPUTED_VALUE"""),"03ff52db")</f>
        <v>03ff52db</v>
      </c>
      <c r="T3027" s="211" t="str">
        <f>IFERROR(__xludf.DUMMYFUNCTION("""COMPUTED_VALUE"""),"Aneka Teknik Logam")</f>
        <v>Aneka Teknik Logam</v>
      </c>
      <c r="U3027" s="215">
        <f>IFERROR(__xludf.DUMMYFUNCTION("""COMPUTED_VALUE"""),46120.62604166667)</f>
        <v>46120.62604</v>
      </c>
      <c r="V3027" s="211" t="str">
        <f>IFERROR(__xludf.DUMMYFUNCTION("""COMPUTED_VALUE"""),"HH8G+MQC, Areng Areng, Tropodo, Kec. Krian, Kabupaten Sidoarjo, Jawa Timur 61262")</f>
        <v>HH8G+MQC, Areng Areng, Tropodo, Kec. Krian, Kabupaten Sidoarjo, Jawa Timur 61262</v>
      </c>
      <c r="W3027" s="211" t="str">
        <f>IFERROR(__xludf.DUMMYFUNCTION("""COMPUTED_VALUE"""),"IN")</f>
        <v>IN</v>
      </c>
      <c r="X3027" s="211"/>
    </row>
    <row r="3028">
      <c r="A3028" s="210" t="str">
        <f>IFERROR(__xludf.DUMMYFUNCTION("""COMPUTED_VALUE"""),"122562113")</f>
        <v>122562113</v>
      </c>
      <c r="B3028" s="210" t="str">
        <f>IFERROR(__xludf.DUMMYFUNCTION("""COMPUTED_VALUE"""),"122562113")</f>
        <v>122562113</v>
      </c>
      <c r="C3028" s="213">
        <f>IFERROR(__xludf.DUMMYFUNCTION("""COMPUTED_VALUE"""),46020.52375)</f>
        <v>46020.52375</v>
      </c>
      <c r="D3028" s="211" t="str">
        <f>IFERROR(__xludf.DUMMYFUNCTION("""COMPUTED_VALUE"""),"03ff52db")</f>
        <v>03ff52db</v>
      </c>
      <c r="E3028" s="211" t="str">
        <f>IFERROR(__xludf.DUMMYFUNCTION("""COMPUTED_VALUE"""),"Aneka Teknik Logam")</f>
        <v>Aneka Teknik Logam</v>
      </c>
      <c r="F3028" s="211" t="str">
        <f>IFERROR(__xludf.DUMMYFUNCTION("""COMPUTED_VALUE"""),"f6aab7a9")</f>
        <v>f6aab7a9</v>
      </c>
      <c r="G3028" s="211" t="str">
        <f>IFERROR(__xludf.DUMMYFUNCTION("""COMPUTED_VALUE"""),"Oksigen 6m3 MR")</f>
        <v>Oksigen 6m3 MR</v>
      </c>
      <c r="H3028" s="211" t="str">
        <f>IFERROR(__xludf.DUMMYFUNCTION("""COMPUTED_VALUE"""),"OUT")</f>
        <v>OUT</v>
      </c>
      <c r="I3028" s="211" t="str">
        <f>IFERROR(__xludf.DUMMYFUNCTION("""COMPUTED_VALUE"""),"NORMAL")</f>
        <v>NORMAL</v>
      </c>
      <c r="J3028" s="211">
        <f>IFERROR(__xludf.DUMMYFUNCTION("""COMPUTED_VALUE"""),3.0)</f>
        <v>3</v>
      </c>
      <c r="K3028" s="210" t="str">
        <f>IFERROR(__xludf.DUMMYFUNCTION("""COMPUTED_VALUE"""),"0371 30004 0372")</f>
        <v>0371 30004 0372</v>
      </c>
      <c r="L3028" s="211">
        <f>IFERROR(__xludf.DUMMYFUNCTION("""COMPUTED_VALUE"""),55000.0)</f>
        <v>55000</v>
      </c>
      <c r="M3028" s="211"/>
      <c r="N3028" s="211"/>
      <c r="O3028" s="211"/>
      <c r="Q3028" s="210" t="str">
        <f>IFERROR(__xludf.DUMMYFUNCTION("""COMPUTED_VALUE"""),"1261512")</f>
        <v>1261512</v>
      </c>
      <c r="R3028" s="210" t="str">
        <f>IFERROR(__xludf.DUMMYFUNCTION("""COMPUTED_VALUE"""),"1261512")</f>
        <v>1261512</v>
      </c>
      <c r="S3028" s="211" t="str">
        <f>IFERROR(__xludf.DUMMYFUNCTION("""COMPUTED_VALUE"""),"eec2e801")</f>
        <v>eec2e801</v>
      </c>
      <c r="T3028" s="211" t="str">
        <f>IFERROR(__xludf.DUMMYFUNCTION("""COMPUTED_VALUE"""),"Mitra Wood Sejahtera")</f>
        <v>Mitra Wood Sejahtera</v>
      </c>
      <c r="U3028" s="215">
        <f>IFERROR(__xludf.DUMMYFUNCTION("""COMPUTED_VALUE"""),46120.62633101852)</f>
        <v>46120.62633</v>
      </c>
      <c r="V3028" s="211" t="str">
        <f>IFERROR(__xludf.DUMMYFUNCTION("""COMPUTED_VALUE"""),"Jl.cungkling, Jl. Tanggungan, Nanom Kidul, Lebaniwaras, Kec. Wringinanom, Kabupaten Gresik, Jawa Timur 61176")</f>
        <v>Jl.cungkling, Jl. Tanggungan, Nanom Kidul, Lebaniwaras, Kec. Wringinanom, Kabupaten Gresik, Jawa Timur 61176</v>
      </c>
      <c r="W3028" s="211" t="str">
        <f>IFERROR(__xludf.DUMMYFUNCTION("""COMPUTED_VALUE"""),"IN")</f>
        <v>IN</v>
      </c>
      <c r="X3028" s="211"/>
    </row>
    <row r="3029">
      <c r="A3029" s="210" t="str">
        <f>IFERROR(__xludf.DUMMYFUNCTION("""COMPUTED_VALUE"""),"1251003")</f>
        <v>1251003</v>
      </c>
      <c r="B3029" s="210" t="str">
        <f>IFERROR(__xludf.DUMMYFUNCTION("""COMPUTED_VALUE"""),"1251003")</f>
        <v>1251003</v>
      </c>
      <c r="C3029" s="213">
        <f>IFERROR(__xludf.DUMMYFUNCTION("""COMPUTED_VALUE"""),46020.52474537037)</f>
        <v>46020.52475</v>
      </c>
      <c r="D3029" s="211" t="str">
        <f>IFERROR(__xludf.DUMMYFUNCTION("""COMPUTED_VALUE"""),"03ff52db")</f>
        <v>03ff52db</v>
      </c>
      <c r="E3029" s="211" t="str">
        <f>IFERROR(__xludf.DUMMYFUNCTION("""COMPUTED_VALUE"""),"Aneka Teknik Logam")</f>
        <v>Aneka Teknik Logam</v>
      </c>
      <c r="F3029" s="211" t="str">
        <f>IFERROR(__xludf.DUMMYFUNCTION("""COMPUTED_VALUE"""),"f6aab7a9")</f>
        <v>f6aab7a9</v>
      </c>
      <c r="G3029" s="211" t="str">
        <f>IFERROR(__xludf.DUMMYFUNCTION("""COMPUTED_VALUE"""),"Oksigen 6m3 MR")</f>
        <v>Oksigen 6m3 MR</v>
      </c>
      <c r="H3029" s="211" t="str">
        <f>IFERROR(__xludf.DUMMYFUNCTION("""COMPUTED_VALUE"""),"IN")</f>
        <v>IN</v>
      </c>
      <c r="I3029" s="211" t="str">
        <f>IFERROR(__xludf.DUMMYFUNCTION("""COMPUTED_VALUE"""),"EMPTY")</f>
        <v>EMPTY</v>
      </c>
      <c r="J3029" s="211">
        <f>IFERROR(__xludf.DUMMYFUNCTION("""COMPUTED_VALUE"""),3.0)</f>
        <v>3</v>
      </c>
      <c r="K3029" s="210" t="str">
        <f>IFERROR(__xludf.DUMMYFUNCTION("""COMPUTED_VALUE"""),"0371 0372 30004")</f>
        <v>0371 0372 30004</v>
      </c>
      <c r="L3029" s="211">
        <f>IFERROR(__xludf.DUMMYFUNCTION("""COMPUTED_VALUE"""),0.0)</f>
        <v>0</v>
      </c>
      <c r="M3029" s="211"/>
      <c r="N3029" s="211"/>
      <c r="O3029" s="211"/>
      <c r="Q3029" s="210" t="str">
        <f>IFERROR(__xludf.DUMMYFUNCTION("""COMPUTED_VALUE"""),"1261513")</f>
        <v>1261513</v>
      </c>
      <c r="R3029" s="210" t="str">
        <f>IFERROR(__xludf.DUMMYFUNCTION("""COMPUTED_VALUE"""),"1261513")</f>
        <v>1261513</v>
      </c>
      <c r="S3029" s="211" t="str">
        <f>IFERROR(__xludf.DUMMYFUNCTION("""COMPUTED_VALUE"""),"98c84274")</f>
        <v>98c84274</v>
      </c>
      <c r="T3029" s="211" t="str">
        <f>IFERROR(__xludf.DUMMYFUNCTION("""COMPUTED_VALUE"""),"Bengkel SBM (Pak Hari)")</f>
        <v>Bengkel SBM (Pak Hari)</v>
      </c>
      <c r="U3029" s="215">
        <f>IFERROR(__xludf.DUMMYFUNCTION("""COMPUTED_VALUE"""),46120.62761574074)</f>
        <v>46120.62762</v>
      </c>
      <c r="V3029" s="211" t="str">
        <f>IFERROR(__xludf.DUMMYFUNCTION("""COMPUTED_VALUE"""),"JL. Industri Desa Jeruk Legi, Jl. Bypass Krian No. Km 31,8, Jeruk legi, Balongbendo, Kec. Balogbendo, Kabupaten Sidoarjo, Jawa Timur 61263")</f>
        <v>JL. Industri Desa Jeruk Legi, Jl. Bypass Krian No. Km 31,8, Jeruk legi, Balongbendo, Kec. Balogbendo, Kabupaten Sidoarjo, Jawa Timur 61263</v>
      </c>
      <c r="W3029" s="211" t="str">
        <f>IFERROR(__xludf.DUMMYFUNCTION("""COMPUTED_VALUE"""),"IN")</f>
        <v>IN</v>
      </c>
      <c r="X3029" s="211"/>
    </row>
    <row r="3030">
      <c r="A3030" s="210" t="str">
        <f>IFERROR(__xludf.DUMMYFUNCTION("""COMPUTED_VALUE"""),"1251004")</f>
        <v>1251004</v>
      </c>
      <c r="B3030" s="210" t="str">
        <f>IFERROR(__xludf.DUMMYFUNCTION("""COMPUTED_VALUE"""),"1251004")</f>
        <v>1251004</v>
      </c>
      <c r="C3030" s="213">
        <f>IFERROR(__xludf.DUMMYFUNCTION("""COMPUTED_VALUE"""),46020.525289351855)</f>
        <v>46020.52529</v>
      </c>
      <c r="D3030" s="211" t="str">
        <f>IFERROR(__xludf.DUMMYFUNCTION("""COMPUTED_VALUE"""),"b218b89b")</f>
        <v>b218b89b</v>
      </c>
      <c r="E3030" s="211" t="str">
        <f>IFERROR(__xludf.DUMMYFUNCTION("""COMPUTED_VALUE"""),"PT Harapan Sentosa")</f>
        <v>PT Harapan Sentosa</v>
      </c>
      <c r="F3030" s="211" t="str">
        <f>IFERROR(__xludf.DUMMYFUNCTION("""COMPUTED_VALUE"""),"8bdbe149")</f>
        <v>8bdbe149</v>
      </c>
      <c r="G3030" s="211" t="str">
        <f>IFERROR(__xludf.DUMMYFUNCTION("""COMPUTED_VALUE"""),"Oksigen 6m3")</f>
        <v>Oksigen 6m3</v>
      </c>
      <c r="H3030" s="211" t="str">
        <f>IFERROR(__xludf.DUMMYFUNCTION("""COMPUTED_VALUE"""),"IN")</f>
        <v>IN</v>
      </c>
      <c r="I3030" s="211" t="str">
        <f>IFERROR(__xludf.DUMMYFUNCTION("""COMPUTED_VALUE"""),"EMPTY")</f>
        <v>EMPTY</v>
      </c>
      <c r="J3030" s="211">
        <f>IFERROR(__xludf.DUMMYFUNCTION("""COMPUTED_VALUE"""),2.0)</f>
        <v>2</v>
      </c>
      <c r="K3030" s="210" t="str">
        <f>IFERROR(__xludf.DUMMYFUNCTION("""COMPUTED_VALUE"""),"11113 11231")</f>
        <v>11113 11231</v>
      </c>
      <c r="L3030" s="211">
        <f>IFERROR(__xludf.DUMMYFUNCTION("""COMPUTED_VALUE"""),0.0)</f>
        <v>0</v>
      </c>
      <c r="M3030" s="211"/>
      <c r="N3030" s="211"/>
      <c r="O3030" s="211"/>
      <c r="Q3030" s="210" t="str">
        <f>IFERROR(__xludf.DUMMYFUNCTION("""COMPUTED_VALUE"""),"1261514")</f>
        <v>1261514</v>
      </c>
      <c r="R3030" s="210" t="str">
        <f>IFERROR(__xludf.DUMMYFUNCTION("""COMPUTED_VALUE"""),"1261514")</f>
        <v>1261514</v>
      </c>
      <c r="S3030" s="211" t="str">
        <f>IFERROR(__xludf.DUMMYFUNCTION("""COMPUTED_VALUE"""),"2814d559")</f>
        <v>2814d559</v>
      </c>
      <c r="T3030" s="211" t="str">
        <f>IFERROR(__xludf.DUMMYFUNCTION("""COMPUTED_VALUE"""),"Bpk. Gunarso")</f>
        <v>Bpk. Gunarso</v>
      </c>
      <c r="U3030" s="215">
        <f>IFERROR(__xludf.DUMMYFUNCTION("""COMPUTED_VALUE"""),46120.64890046296)</f>
        <v>46120.6489</v>
      </c>
      <c r="V3030" s="211" t="str">
        <f>IFERROR(__xludf.DUMMYFUNCTION("""COMPUTED_VALUE"""),"Kraton RT 13 RW 03 Kraton Krian Sidoarjo Jawa Timur")</f>
        <v>Kraton RT 13 RW 03 Kraton Krian Sidoarjo Jawa Timur</v>
      </c>
      <c r="W3030" s="211" t="str">
        <f>IFERROR(__xludf.DUMMYFUNCTION("""COMPUTED_VALUE"""),"IN")</f>
        <v>IN</v>
      </c>
      <c r="X3030" s="211"/>
    </row>
    <row r="3031">
      <c r="A3031" s="210" t="str">
        <f>IFERROR(__xludf.DUMMYFUNCTION("""COMPUTED_VALUE"""),"1351021")</f>
        <v>1351021</v>
      </c>
      <c r="B3031" s="210" t="str">
        <f>IFERROR(__xludf.DUMMYFUNCTION("""COMPUTED_VALUE"""),"1351021")</f>
        <v>1351021</v>
      </c>
      <c r="C3031" s="213">
        <f>IFERROR(__xludf.DUMMYFUNCTION("""COMPUTED_VALUE"""),46020.61246527778)</f>
        <v>46020.61247</v>
      </c>
      <c r="D3031" s="211" t="str">
        <f>IFERROR(__xludf.DUMMYFUNCTION("""COMPUTED_VALUE"""),"f8a982a4")</f>
        <v>f8a982a4</v>
      </c>
      <c r="E3031" s="211" t="str">
        <f>IFERROR(__xludf.DUMMYFUNCTION("""COMPUTED_VALUE"""),"Bpk. Nasir")</f>
        <v>Bpk. Nasir</v>
      </c>
      <c r="F3031" s="211" t="str">
        <f>IFERROR(__xludf.DUMMYFUNCTION("""COMPUTED_VALUE"""),"8bdbe149")</f>
        <v>8bdbe149</v>
      </c>
      <c r="G3031" s="211" t="str">
        <f>IFERROR(__xludf.DUMMYFUNCTION("""COMPUTED_VALUE"""),"Oksigen 6m3")</f>
        <v>Oksigen 6m3</v>
      </c>
      <c r="H3031" s="211" t="str">
        <f>IFERROR(__xludf.DUMMYFUNCTION("""COMPUTED_VALUE"""),"IN")</f>
        <v>IN</v>
      </c>
      <c r="I3031" s="211" t="str">
        <f>IFERROR(__xludf.DUMMYFUNCTION("""COMPUTED_VALUE"""),"EMPTY")</f>
        <v>EMPTY</v>
      </c>
      <c r="J3031" s="211">
        <f>IFERROR(__xludf.DUMMYFUNCTION("""COMPUTED_VALUE"""),2.0)</f>
        <v>2</v>
      </c>
      <c r="K3031" s="210" t="str">
        <f>IFERROR(__xludf.DUMMYFUNCTION("""COMPUTED_VALUE"""),"11108 11115")</f>
        <v>11108 11115</v>
      </c>
      <c r="L3031" s="211">
        <f>IFERROR(__xludf.DUMMYFUNCTION("""COMPUTED_VALUE"""),0.0)</f>
        <v>0</v>
      </c>
      <c r="M3031" s="211"/>
      <c r="N3031" s="211"/>
      <c r="O3031" s="211"/>
      <c r="Q3031" s="210" t="str">
        <f>IFERROR(__xludf.DUMMYFUNCTION("""COMPUTED_VALUE"""),"1261503")</f>
        <v>1261503</v>
      </c>
      <c r="R3031" s="210" t="str">
        <f>IFERROR(__xludf.DUMMYFUNCTION("""COMPUTED_VALUE"""),"1261503")</f>
        <v>1261503</v>
      </c>
      <c r="S3031" s="211" t="str">
        <f>IFERROR(__xludf.DUMMYFUNCTION("""COMPUTED_VALUE"""),"17a8e612")</f>
        <v>17a8e612</v>
      </c>
      <c r="T3031" s="211" t="str">
        <f>IFERROR(__xludf.DUMMYFUNCTION("""COMPUTED_VALUE"""),"Flashtech Machinery")</f>
        <v>Flashtech Machinery</v>
      </c>
      <c r="U3031" s="215">
        <f>IFERROR(__xludf.DUMMYFUNCTION("""COMPUTED_VALUE"""),46120.668854166666)</f>
        <v>46120.66885</v>
      </c>
      <c r="V3031" s="211" t="str">
        <f>IFERROR(__xludf.DUMMYFUNCTION("""COMPUTED_VALUE"""),"Pergudangan Point Center blok A no.4, Kemangsen")</f>
        <v>Pergudangan Point Center blok A no.4, Kemangsen</v>
      </c>
      <c r="W3031" s="211" t="str">
        <f>IFERROR(__xludf.DUMMYFUNCTION("""COMPUTED_VALUE"""),"IN")</f>
        <v>IN</v>
      </c>
      <c r="X3031" s="211"/>
    </row>
    <row r="3032">
      <c r="A3032" s="210" t="str">
        <f>IFERROR(__xludf.DUMMYFUNCTION("""COMPUTED_VALUE"""),"1351021")</f>
        <v>1351021</v>
      </c>
      <c r="B3032" s="210" t="str">
        <f>IFERROR(__xludf.DUMMYFUNCTION("""COMPUTED_VALUE"""),"1351021")</f>
        <v>1351021</v>
      </c>
      <c r="C3032" s="213">
        <f>IFERROR(__xludf.DUMMYFUNCTION("""COMPUTED_VALUE"""),46020.61246527778)</f>
        <v>46020.61247</v>
      </c>
      <c r="D3032" s="211" t="str">
        <f>IFERROR(__xludf.DUMMYFUNCTION("""COMPUTED_VALUE"""),"f8a982a4")</f>
        <v>f8a982a4</v>
      </c>
      <c r="E3032" s="211" t="str">
        <f>IFERROR(__xludf.DUMMYFUNCTION("""COMPUTED_VALUE"""),"Bpk. Nasir")</f>
        <v>Bpk. Nasir</v>
      </c>
      <c r="F3032" s="211" t="str">
        <f>IFERROR(__xludf.DUMMYFUNCTION("""COMPUTED_VALUE"""),"7d2764f1")</f>
        <v>7d2764f1</v>
      </c>
      <c r="G3032" s="211" t="str">
        <f>IFERROR(__xludf.DUMMYFUNCTION("""COMPUTED_VALUE"""),"Oksigen 7m3")</f>
        <v>Oksigen 7m3</v>
      </c>
      <c r="H3032" s="211" t="str">
        <f>IFERROR(__xludf.DUMMYFUNCTION("""COMPUTED_VALUE"""),"IN")</f>
        <v>IN</v>
      </c>
      <c r="I3032" s="211" t="str">
        <f>IFERROR(__xludf.DUMMYFUNCTION("""COMPUTED_VALUE"""),"EMPTY")</f>
        <v>EMPTY</v>
      </c>
      <c r="J3032" s="211">
        <f>IFERROR(__xludf.DUMMYFUNCTION("""COMPUTED_VALUE"""),1.0)</f>
        <v>1</v>
      </c>
      <c r="K3032" s="210" t="str">
        <f>IFERROR(__xludf.DUMMYFUNCTION("""COMPUTED_VALUE"""),"11171")</f>
        <v>11171</v>
      </c>
      <c r="L3032" s="211">
        <f>IFERROR(__xludf.DUMMYFUNCTION("""COMPUTED_VALUE"""),0.0)</f>
        <v>0</v>
      </c>
      <c r="M3032" s="211"/>
      <c r="N3032" s="211"/>
      <c r="O3032" s="211"/>
      <c r="Q3032" s="210" t="str">
        <f>IFERROR(__xludf.DUMMYFUNCTION("""COMPUTED_VALUE"""),"1261506")</f>
        <v>1261506</v>
      </c>
      <c r="R3032" s="210" t="str">
        <f>IFERROR(__xludf.DUMMYFUNCTION("""COMPUTED_VALUE"""),"1261506")</f>
        <v>1261506</v>
      </c>
      <c r="S3032" s="211" t="str">
        <f>IFERROR(__xludf.DUMMYFUNCTION("""COMPUTED_VALUE"""),"8ea74d81")</f>
        <v>8ea74d81</v>
      </c>
      <c r="T3032" s="211" t="str">
        <f>IFERROR(__xludf.DUMMYFUNCTION("""COMPUTED_VALUE"""),"Bengkel Adi Putra")</f>
        <v>Bengkel Adi Putra</v>
      </c>
      <c r="U3032" s="215">
        <f>IFERROR(__xludf.DUMMYFUNCTION("""COMPUTED_VALUE"""),46120.66931712963)</f>
        <v>46120.66932</v>
      </c>
      <c r="V3032" s="211" t="str">
        <f>IFERROR(__xludf.DUMMYFUNCTION("""COMPUTED_VALUE"""),"Bypass Balongbendo")</f>
        <v>Bypass Balongbendo</v>
      </c>
      <c r="W3032" s="211" t="str">
        <f>IFERROR(__xludf.DUMMYFUNCTION("""COMPUTED_VALUE"""),"IN")</f>
        <v>IN</v>
      </c>
      <c r="X3032" s="211"/>
    </row>
    <row r="3033">
      <c r="A3033" s="210" t="str">
        <f>IFERROR(__xludf.DUMMYFUNCTION("""COMPUTED_VALUE"""),"1251019")</f>
        <v>1251019</v>
      </c>
      <c r="B3033" s="210" t="str">
        <f>IFERROR(__xludf.DUMMYFUNCTION("""COMPUTED_VALUE"""),"1251019")</f>
        <v>1251019</v>
      </c>
      <c r="C3033" s="213">
        <f>IFERROR(__xludf.DUMMYFUNCTION("""COMPUTED_VALUE"""),46020.613275462965)</f>
        <v>46020.61328</v>
      </c>
      <c r="D3033" s="211" t="str">
        <f>IFERROR(__xludf.DUMMYFUNCTION("""COMPUTED_VALUE"""),"9828dfc5")</f>
        <v>9828dfc5</v>
      </c>
      <c r="E3033" s="211" t="str">
        <f>IFERROR(__xludf.DUMMYFUNCTION("""COMPUTED_VALUE"""),"Bpk. David")</f>
        <v>Bpk. David</v>
      </c>
      <c r="F3033" s="211" t="str">
        <f>IFERROR(__xludf.DUMMYFUNCTION("""COMPUTED_VALUE"""),"8bdbe149")</f>
        <v>8bdbe149</v>
      </c>
      <c r="G3033" s="211" t="str">
        <f>IFERROR(__xludf.DUMMYFUNCTION("""COMPUTED_VALUE"""),"Oksigen 6m3")</f>
        <v>Oksigen 6m3</v>
      </c>
      <c r="H3033" s="211" t="str">
        <f>IFERROR(__xludf.DUMMYFUNCTION("""COMPUTED_VALUE"""),"IN")</f>
        <v>IN</v>
      </c>
      <c r="I3033" s="211" t="str">
        <f>IFERROR(__xludf.DUMMYFUNCTION("""COMPUTED_VALUE"""),"EMPTY")</f>
        <v>EMPTY</v>
      </c>
      <c r="J3033" s="211">
        <f>IFERROR(__xludf.DUMMYFUNCTION("""COMPUTED_VALUE"""),1.0)</f>
        <v>1</v>
      </c>
      <c r="K3033" s="210" t="str">
        <f>IFERROR(__xludf.DUMMYFUNCTION("""COMPUTED_VALUE"""),"11263")</f>
        <v>11263</v>
      </c>
      <c r="L3033" s="211">
        <f>IFERROR(__xludf.DUMMYFUNCTION("""COMPUTED_VALUE"""),0.0)</f>
        <v>0</v>
      </c>
      <c r="M3033" s="211"/>
      <c r="N3033" s="211"/>
      <c r="O3033" s="211"/>
      <c r="Q3033" s="210" t="str">
        <f>IFERROR(__xludf.DUMMYFUNCTION("""COMPUTED_VALUE"""),"1261505")</f>
        <v>1261505</v>
      </c>
      <c r="R3033" s="210" t="str">
        <f>IFERROR(__xludf.DUMMYFUNCTION("""COMPUTED_VALUE"""),"1261505")</f>
        <v>1261505</v>
      </c>
      <c r="S3033" s="211" t="str">
        <f>IFERROR(__xludf.DUMMYFUNCTION("""COMPUTED_VALUE"""),"440df1db")</f>
        <v>440df1db</v>
      </c>
      <c r="T3033" s="211" t="str">
        <f>IFERROR(__xludf.DUMMYFUNCTION("""COMPUTED_VALUE"""),"PT. Mecca Abadi Sejahtera")</f>
        <v>PT. Mecca Abadi Sejahtera</v>
      </c>
      <c r="U3033" s="215">
        <f>IFERROR(__xludf.DUMMYFUNCTION("""COMPUTED_VALUE"""),46120.66972222222)</f>
        <v>46120.66972</v>
      </c>
      <c r="V3033" s="211" t="str">
        <f>IFERROR(__xludf.DUMMYFUNCTION("""COMPUTED_VALUE"""),"Jl. Raya Sawocangkring, RT.006/RW.002, Sawo, Sawocangkring, Kec. Wonoayu, Kabupaten Sidoarjo, Jawa Timur 61261")</f>
        <v>Jl. Raya Sawocangkring, RT.006/RW.002, Sawo, Sawocangkring, Kec. Wonoayu, Kabupaten Sidoarjo, Jawa Timur 61261</v>
      </c>
      <c r="W3033" s="211" t="str">
        <f>IFERROR(__xludf.DUMMYFUNCTION("""COMPUTED_VALUE"""),"IN")</f>
        <v>IN</v>
      </c>
      <c r="X3033" s="211"/>
    </row>
    <row r="3034">
      <c r="A3034" s="210" t="str">
        <f>IFERROR(__xludf.DUMMYFUNCTION("""COMPUTED_VALUE"""),"1251020")</f>
        <v>1251020</v>
      </c>
      <c r="B3034" s="210" t="str">
        <f>IFERROR(__xludf.DUMMYFUNCTION("""COMPUTED_VALUE"""),"1251020")</f>
        <v>1251020</v>
      </c>
      <c r="C3034" s="213">
        <f>IFERROR(__xludf.DUMMYFUNCTION("""COMPUTED_VALUE"""),46020.61368055556)</f>
        <v>46020.61368</v>
      </c>
      <c r="D3034" s="211" t="str">
        <f>IFERROR(__xludf.DUMMYFUNCTION("""COMPUTED_VALUE"""),"b2b5f2c5")</f>
        <v>b2b5f2c5</v>
      </c>
      <c r="E3034" s="211" t="str">
        <f>IFERROR(__xludf.DUMMYFUNCTION("""COMPUTED_VALUE"""),"Bengkel Las Bpk. Ari")</f>
        <v>Bengkel Las Bpk. Ari</v>
      </c>
      <c r="F3034" s="211" t="str">
        <f>IFERROR(__xludf.DUMMYFUNCTION("""COMPUTED_VALUE"""),"8bdbe149")</f>
        <v>8bdbe149</v>
      </c>
      <c r="G3034" s="211" t="str">
        <f>IFERROR(__xludf.DUMMYFUNCTION("""COMPUTED_VALUE"""),"Oksigen 6m3")</f>
        <v>Oksigen 6m3</v>
      </c>
      <c r="H3034" s="211" t="str">
        <f>IFERROR(__xludf.DUMMYFUNCTION("""COMPUTED_VALUE"""),"IN")</f>
        <v>IN</v>
      </c>
      <c r="I3034" s="211" t="str">
        <f>IFERROR(__xludf.DUMMYFUNCTION("""COMPUTED_VALUE"""),"EMPTY")</f>
        <v>EMPTY</v>
      </c>
      <c r="J3034" s="211">
        <f>IFERROR(__xludf.DUMMYFUNCTION("""COMPUTED_VALUE"""),2.0)</f>
        <v>2</v>
      </c>
      <c r="K3034" s="210" t="str">
        <f>IFERROR(__xludf.DUMMYFUNCTION("""COMPUTED_VALUE"""),"11176 1164")</f>
        <v>11176 1164</v>
      </c>
      <c r="L3034" s="211">
        <f>IFERROR(__xludf.DUMMYFUNCTION("""COMPUTED_VALUE"""),0.0)</f>
        <v>0</v>
      </c>
      <c r="M3034" s="211"/>
      <c r="N3034" s="211"/>
      <c r="O3034" s="211"/>
      <c r="Q3034" s="210" t="str">
        <f>IFERROR(__xludf.DUMMYFUNCTION("""COMPUTED_VALUE"""),"1261504")</f>
        <v>1261504</v>
      </c>
      <c r="R3034" s="210" t="str">
        <f>IFERROR(__xludf.DUMMYFUNCTION("""COMPUTED_VALUE"""),"1261504")</f>
        <v>1261504</v>
      </c>
      <c r="S3034" s="211" t="str">
        <f>IFERROR(__xludf.DUMMYFUNCTION("""COMPUTED_VALUE"""),"4ec68cf6")</f>
        <v>4ec68cf6</v>
      </c>
      <c r="T3034" s="211" t="str">
        <f>IFERROR(__xludf.DUMMYFUNCTION("""COMPUTED_VALUE"""),"CV Sido Mukti Karya")</f>
        <v>CV Sido Mukti Karya</v>
      </c>
      <c r="U3034" s="215">
        <f>IFERROR(__xludf.DUMMYFUNCTION("""COMPUTED_VALUE"""),46120.67042824074)</f>
        <v>46120.67043</v>
      </c>
      <c r="V3034" s="211" t="str">
        <f>IFERROR(__xludf.DUMMYFUNCTION("""COMPUTED_VALUE"""),"Pergudangan Center Point no A3, Kemangsen")</f>
        <v>Pergudangan Center Point no A3, Kemangsen</v>
      </c>
      <c r="W3034" s="211" t="str">
        <f>IFERROR(__xludf.DUMMYFUNCTION("""COMPUTED_VALUE"""),"IN")</f>
        <v>IN</v>
      </c>
      <c r="X3034" s="211"/>
    </row>
    <row r="3035">
      <c r="A3035" s="210" t="str">
        <f>IFERROR(__xludf.DUMMYFUNCTION("""COMPUTED_VALUE"""),"1251026")</f>
        <v>1251026</v>
      </c>
      <c r="B3035" s="210" t="str">
        <f>IFERROR(__xludf.DUMMYFUNCTION("""COMPUTED_VALUE"""),"1251026")</f>
        <v>1251026</v>
      </c>
      <c r="C3035" s="213">
        <f>IFERROR(__xludf.DUMMYFUNCTION("""COMPUTED_VALUE"""),46020.687731481485)</f>
        <v>46020.68773</v>
      </c>
      <c r="D3035" s="211" t="str">
        <f>IFERROR(__xludf.DUMMYFUNCTION("""COMPUTED_VALUE"""),"5f23ba17")</f>
        <v>5f23ba17</v>
      </c>
      <c r="E3035" s="211" t="str">
        <f>IFERROR(__xludf.DUMMYFUNCTION("""COMPUTED_VALUE"""),"Bpk. Joko (Gresik)")</f>
        <v>Bpk. Joko (Gresik)</v>
      </c>
      <c r="F3035" s="211" t="str">
        <f>IFERROR(__xludf.DUMMYFUNCTION("""COMPUTED_VALUE"""),"f6aab7a9")</f>
        <v>f6aab7a9</v>
      </c>
      <c r="G3035" s="211" t="str">
        <f>IFERROR(__xludf.DUMMYFUNCTION("""COMPUTED_VALUE"""),"Oksigen 6m3 MR")</f>
        <v>Oksigen 6m3 MR</v>
      </c>
      <c r="H3035" s="211" t="str">
        <f>IFERROR(__xludf.DUMMYFUNCTION("""COMPUTED_VALUE"""),"IN")</f>
        <v>IN</v>
      </c>
      <c r="I3035" s="211" t="str">
        <f>IFERROR(__xludf.DUMMYFUNCTION("""COMPUTED_VALUE"""),"EMPTY")</f>
        <v>EMPTY</v>
      </c>
      <c r="J3035" s="211">
        <f>IFERROR(__xludf.DUMMYFUNCTION("""COMPUTED_VALUE"""),12.0)</f>
        <v>12</v>
      </c>
      <c r="K3035" s="210" t="str">
        <f>IFERROR(__xludf.DUMMYFUNCTION("""COMPUTED_VALUE"""),"01 02 03 04 05 06 07 08 09 10 11 12")</f>
        <v>01 02 03 04 05 06 07 08 09 10 11 12</v>
      </c>
      <c r="L3035" s="211">
        <f>IFERROR(__xludf.DUMMYFUNCTION("""COMPUTED_VALUE"""),0.0)</f>
        <v>0</v>
      </c>
      <c r="M3035" s="211"/>
      <c r="N3035" s="211"/>
      <c r="O3035" s="211"/>
      <c r="Q3035" s="210" t="str">
        <f>IFERROR(__xludf.DUMMYFUNCTION("""COMPUTED_VALUE"""),"0426293026")</f>
        <v>0426293026</v>
      </c>
      <c r="R3035" s="210" t="str">
        <f>IFERROR(__xludf.DUMMYFUNCTION("""COMPUTED_VALUE"""),"0426293026")</f>
        <v>0426293026</v>
      </c>
      <c r="S3035" s="211" t="str">
        <f>IFERROR(__xludf.DUMMYFUNCTION("""COMPUTED_VALUE"""),"8ea74d81")</f>
        <v>8ea74d81</v>
      </c>
      <c r="T3035" s="211" t="str">
        <f>IFERROR(__xludf.DUMMYFUNCTION("""COMPUTED_VALUE"""),"Bengkel Adi Putra")</f>
        <v>Bengkel Adi Putra</v>
      </c>
      <c r="U3035" s="215">
        <f>IFERROR(__xludf.DUMMYFUNCTION("""COMPUTED_VALUE"""),46121.36016203704)</f>
        <v>46121.36016</v>
      </c>
      <c r="V3035" s="211" t="str">
        <f>IFERROR(__xludf.DUMMYFUNCTION("""COMPUTED_VALUE"""),"Bypass Balongbendo")</f>
        <v>Bypass Balongbendo</v>
      </c>
      <c r="W3035" s="211" t="str">
        <f>IFERROR(__xludf.DUMMYFUNCTION("""COMPUTED_VALUE"""),"OUT")</f>
        <v>OUT</v>
      </c>
      <c r="X3035" s="211"/>
    </row>
    <row r="3036">
      <c r="A3036" s="210" t="str">
        <f>IFERROR(__xludf.DUMMYFUNCTION("""COMPUTED_VALUE"""),"1251026")</f>
        <v>1251026</v>
      </c>
      <c r="B3036" s="210" t="str">
        <f>IFERROR(__xludf.DUMMYFUNCTION("""COMPUTED_VALUE"""),"1251026")</f>
        <v>1251026</v>
      </c>
      <c r="C3036" s="213">
        <f>IFERROR(__xludf.DUMMYFUNCTION("""COMPUTED_VALUE"""),46020.687731481485)</f>
        <v>46020.68773</v>
      </c>
      <c r="D3036" s="211" t="str">
        <f>IFERROR(__xludf.DUMMYFUNCTION("""COMPUTED_VALUE"""),"5f23ba17")</f>
        <v>5f23ba17</v>
      </c>
      <c r="E3036" s="211" t="str">
        <f>IFERROR(__xludf.DUMMYFUNCTION("""COMPUTED_VALUE"""),"Bpk. Joko (Gresik)")</f>
        <v>Bpk. Joko (Gresik)</v>
      </c>
      <c r="F3036" s="211" t="str">
        <f>IFERROR(__xludf.DUMMYFUNCTION("""COMPUTED_VALUE"""),"be525f3b")</f>
        <v>be525f3b</v>
      </c>
      <c r="G3036" s="211" t="str">
        <f>IFERROR(__xludf.DUMMYFUNCTION("""COMPUTED_VALUE"""),"LPG 12kg")</f>
        <v>LPG 12kg</v>
      </c>
      <c r="H3036" s="211" t="str">
        <f>IFERROR(__xludf.DUMMYFUNCTION("""COMPUTED_VALUE"""),"IN")</f>
        <v>IN</v>
      </c>
      <c r="I3036" s="211" t="str">
        <f>IFERROR(__xludf.DUMMYFUNCTION("""COMPUTED_VALUE"""),"EMPTY")</f>
        <v>EMPTY</v>
      </c>
      <c r="J3036" s="211">
        <f>IFERROR(__xludf.DUMMYFUNCTION("""COMPUTED_VALUE"""),4.0)</f>
        <v>4</v>
      </c>
      <c r="K3036" s="210" t="str">
        <f>IFERROR(__xludf.DUMMYFUNCTION("""COMPUTED_VALUE"""),"01 02 03 04")</f>
        <v>01 02 03 04</v>
      </c>
      <c r="L3036" s="211">
        <f>IFERROR(__xludf.DUMMYFUNCTION("""COMPUTED_VALUE"""),0.0)</f>
        <v>0</v>
      </c>
      <c r="M3036" s="211"/>
      <c r="N3036" s="211"/>
      <c r="O3036" s="211"/>
      <c r="Q3036" s="210" t="str">
        <f>IFERROR(__xludf.DUMMYFUNCTION("""COMPUTED_VALUE"""),"0426163036")</f>
        <v>0426163036</v>
      </c>
      <c r="R3036" s="210" t="str">
        <f>IFERROR(__xludf.DUMMYFUNCTION("""COMPUTED_VALUE"""),"0426163036")</f>
        <v>0426163036</v>
      </c>
      <c r="S3036" s="211" t="str">
        <f>IFERROR(__xludf.DUMMYFUNCTION("""COMPUTED_VALUE"""),"03ff52db")</f>
        <v>03ff52db</v>
      </c>
      <c r="T3036" s="211" t="str">
        <f>IFERROR(__xludf.DUMMYFUNCTION("""COMPUTED_VALUE"""),"Aneka Teknik Logam")</f>
        <v>Aneka Teknik Logam</v>
      </c>
      <c r="U3036" s="215">
        <f>IFERROR(__xludf.DUMMYFUNCTION("""COMPUTED_VALUE"""),46121.38113425926)</f>
        <v>46121.38113</v>
      </c>
      <c r="V3036" s="211" t="str">
        <f>IFERROR(__xludf.DUMMYFUNCTION("""COMPUTED_VALUE"""),"HH8G+MQC, Areng Areng, Tropodo, Kec. Krian, Kabupaten Sidoarjo, Jawa Timur 61262")</f>
        <v>HH8G+MQC, Areng Areng, Tropodo, Kec. Krian, Kabupaten Sidoarjo, Jawa Timur 61262</v>
      </c>
      <c r="W3036" s="211" t="str">
        <f>IFERROR(__xludf.DUMMYFUNCTION("""COMPUTED_VALUE"""),"OUT")</f>
        <v>OUT</v>
      </c>
      <c r="X3036" s="211"/>
    </row>
    <row r="3037">
      <c r="A3037" s="210" t="str">
        <f>IFERROR(__xludf.DUMMYFUNCTION("""COMPUTED_VALUE"""),"1225632114")</f>
        <v>1225632114</v>
      </c>
      <c r="B3037" s="210" t="str">
        <f>IFERROR(__xludf.DUMMYFUNCTION("""COMPUTED_VALUE"""),"1225632114")</f>
        <v>1225632114</v>
      </c>
      <c r="C3037" s="213">
        <f>IFERROR(__xludf.DUMMYFUNCTION("""COMPUTED_VALUE"""),46021.35766203704)</f>
        <v>46021.35766</v>
      </c>
      <c r="D3037" s="211" t="str">
        <f>IFERROR(__xludf.DUMMYFUNCTION("""COMPUTED_VALUE"""),"b2b5f2c5")</f>
        <v>b2b5f2c5</v>
      </c>
      <c r="E3037" s="211" t="str">
        <f>IFERROR(__xludf.DUMMYFUNCTION("""COMPUTED_VALUE"""),"Bengkel Las Bpk. Ari")</f>
        <v>Bengkel Las Bpk. Ari</v>
      </c>
      <c r="F3037" s="211" t="str">
        <f>IFERROR(__xludf.DUMMYFUNCTION("""COMPUTED_VALUE"""),"ef306e54")</f>
        <v>ef306e54</v>
      </c>
      <c r="G3037" s="211" t="str">
        <f>IFERROR(__xludf.DUMMYFUNCTION("""COMPUTED_VALUE"""),"Karbondioksida")</f>
        <v>Karbondioksida</v>
      </c>
      <c r="H3037" s="211" t="str">
        <f>IFERROR(__xludf.DUMMYFUNCTION("""COMPUTED_VALUE"""),"OUT")</f>
        <v>OUT</v>
      </c>
      <c r="I3037" s="211" t="str">
        <f>IFERROR(__xludf.DUMMYFUNCTION("""COMPUTED_VALUE"""),"NORMAL")</f>
        <v>NORMAL</v>
      </c>
      <c r="J3037" s="211">
        <f>IFERROR(__xludf.DUMMYFUNCTION("""COMPUTED_VALUE"""),2.0)</f>
        <v>2</v>
      </c>
      <c r="K3037" s="210" t="str">
        <f>IFERROR(__xludf.DUMMYFUNCTION("""COMPUTED_VALUE"""),"13006 13049")</f>
        <v>13006 13049</v>
      </c>
      <c r="L3037" s="211">
        <f>IFERROR(__xludf.DUMMYFUNCTION("""COMPUTED_VALUE"""),180000.0)</f>
        <v>180000</v>
      </c>
      <c r="M3037" s="211"/>
      <c r="N3037" s="211"/>
      <c r="O3037" s="211"/>
      <c r="Q3037" s="210" t="str">
        <f>IFERROR(__xludf.DUMMYFUNCTION("""COMPUTED_VALUE"""),"0426243037")</f>
        <v>0426243037</v>
      </c>
      <c r="R3037" s="210" t="str">
        <f>IFERROR(__xludf.DUMMYFUNCTION("""COMPUTED_VALUE"""),"0426243037")</f>
        <v>0426243037</v>
      </c>
      <c r="S3037" s="211" t="str">
        <f>IFERROR(__xludf.DUMMYFUNCTION("""COMPUTED_VALUE"""),"b218b89b")</f>
        <v>b218b89b</v>
      </c>
      <c r="T3037" s="211" t="str">
        <f>IFERROR(__xludf.DUMMYFUNCTION("""COMPUTED_VALUE"""),"PT Harapan Sentosa")</f>
        <v>PT Harapan Sentosa</v>
      </c>
      <c r="U3037" s="215">
        <f>IFERROR(__xludf.DUMMYFUNCTION("""COMPUTED_VALUE"""),46121.38958333333)</f>
        <v>46121.38958</v>
      </c>
      <c r="V3037" s="211" t="str">
        <f>IFERROR(__xludf.DUMMYFUNCTION("""COMPUTED_VALUE"""),"Seketi, Jl. Purboyo II Selatan, RT.02/RW.02, Seketi, Kec. BalongBendo, Kabupaten Sidoarjo, Jawa Timur 61263")</f>
        <v>Seketi, Jl. Purboyo II Selatan, RT.02/RW.02, Seketi, Kec. BalongBendo, Kabupaten Sidoarjo, Jawa Timur 61263</v>
      </c>
      <c r="W3037" s="211" t="str">
        <f>IFERROR(__xludf.DUMMYFUNCTION("""COMPUTED_VALUE"""),"OUT")</f>
        <v>OUT</v>
      </c>
      <c r="X3037" s="211"/>
    </row>
    <row r="3038">
      <c r="A3038" s="210" t="str">
        <f>IFERROR(__xludf.DUMMYFUNCTION("""COMPUTED_VALUE"""),"1225632114")</f>
        <v>1225632114</v>
      </c>
      <c r="B3038" s="210" t="str">
        <f>IFERROR(__xludf.DUMMYFUNCTION("""COMPUTED_VALUE"""),"1225632114")</f>
        <v>1225632114</v>
      </c>
      <c r="C3038" s="213">
        <f>IFERROR(__xludf.DUMMYFUNCTION("""COMPUTED_VALUE"""),46021.35766203704)</f>
        <v>46021.35766</v>
      </c>
      <c r="D3038" s="211" t="str">
        <f>IFERROR(__xludf.DUMMYFUNCTION("""COMPUTED_VALUE"""),"b2b5f2c5")</f>
        <v>b2b5f2c5</v>
      </c>
      <c r="E3038" s="211" t="str">
        <f>IFERROR(__xludf.DUMMYFUNCTION("""COMPUTED_VALUE"""),"Bengkel Las Bpk. Ari")</f>
        <v>Bengkel Las Bpk. Ari</v>
      </c>
      <c r="F3038" s="211" t="str">
        <f>IFERROR(__xludf.DUMMYFUNCTION("""COMPUTED_VALUE"""),"8bdbe149")</f>
        <v>8bdbe149</v>
      </c>
      <c r="G3038" s="211" t="str">
        <f>IFERROR(__xludf.DUMMYFUNCTION("""COMPUTED_VALUE"""),"Oksigen 6m3")</f>
        <v>Oksigen 6m3</v>
      </c>
      <c r="H3038" s="211" t="str">
        <f>IFERROR(__xludf.DUMMYFUNCTION("""COMPUTED_VALUE"""),"OUT")</f>
        <v>OUT</v>
      </c>
      <c r="I3038" s="211" t="str">
        <f>IFERROR(__xludf.DUMMYFUNCTION("""COMPUTED_VALUE"""),"NORMAL")</f>
        <v>NORMAL</v>
      </c>
      <c r="J3038" s="211">
        <f>IFERROR(__xludf.DUMMYFUNCTION("""COMPUTED_VALUE"""),8.0)</f>
        <v>8</v>
      </c>
      <c r="K3038" s="210" t="str">
        <f>IFERROR(__xludf.DUMMYFUNCTION("""COMPUTED_VALUE"""),"11289 1166 11263 11262 11113 11200 11282 1131")</f>
        <v>11289 1166 11263 11262 11113 11200 11282 1131</v>
      </c>
      <c r="L3038" s="211">
        <f>IFERROR(__xludf.DUMMYFUNCTION("""COMPUTED_VALUE"""),60000.0)</f>
        <v>60000</v>
      </c>
      <c r="M3038" s="211"/>
      <c r="N3038" s="211"/>
      <c r="O3038" s="211"/>
      <c r="Q3038" s="210" t="str">
        <f>IFERROR(__xludf.DUMMYFUNCTION("""COMPUTED_VALUE"""),"0426243038")</f>
        <v>0426243038</v>
      </c>
      <c r="R3038" s="210" t="str">
        <f>IFERROR(__xludf.DUMMYFUNCTION("""COMPUTED_VALUE"""),"0426243038")</f>
        <v>0426243038</v>
      </c>
      <c r="S3038" s="211" t="str">
        <f>IFERROR(__xludf.DUMMYFUNCTION("""COMPUTED_VALUE"""),"a0f0ad2d")</f>
        <v>a0f0ad2d</v>
      </c>
      <c r="T3038" s="211" t="str">
        <f>IFERROR(__xludf.DUMMYFUNCTION("""COMPUTED_VALUE"""),"CV. Yulie Jaya")</f>
        <v>CV. Yulie Jaya</v>
      </c>
      <c r="U3038" s="215">
        <f>IFERROR(__xludf.DUMMYFUNCTION("""COMPUTED_VALUE"""),46121.39466435185)</f>
        <v>46121.39466</v>
      </c>
      <c r="V3038" s="211" t="str">
        <f>IFERROR(__xludf.DUMMYFUNCTION("""COMPUTED_VALUE"""),"JJH4+6RV, Badas, Barengkrajan, Kec. Krian, Kabupaten Sidoarjo, Jawa Timur 61262")</f>
        <v>JJH4+6RV, Badas, Barengkrajan, Kec. Krian, Kabupaten Sidoarjo, Jawa Timur 61262</v>
      </c>
      <c r="W3038" s="211" t="str">
        <f>IFERROR(__xludf.DUMMYFUNCTION("""COMPUTED_VALUE"""),"OUT")</f>
        <v>OUT</v>
      </c>
      <c r="X3038" s="211"/>
    </row>
    <row r="3039">
      <c r="A3039" s="210" t="str">
        <f>IFERROR(__xludf.DUMMYFUNCTION("""COMPUTED_VALUE"""),"1225412121")</f>
        <v>1225412121</v>
      </c>
      <c r="B3039" s="210" t="str">
        <f>IFERROR(__xludf.DUMMYFUNCTION("""COMPUTED_VALUE"""),"1225412121")</f>
        <v>1225412121</v>
      </c>
      <c r="C3039" s="213">
        <f>IFERROR(__xludf.DUMMYFUNCTION("""COMPUTED_VALUE"""),46021.37201388889)</f>
        <v>46021.37201</v>
      </c>
      <c r="D3039" s="211" t="str">
        <f>IFERROR(__xludf.DUMMYFUNCTION("""COMPUTED_VALUE"""),"5f23ba17")</f>
        <v>5f23ba17</v>
      </c>
      <c r="E3039" s="211" t="str">
        <f>IFERROR(__xludf.DUMMYFUNCTION("""COMPUTED_VALUE"""),"Bpk. Joko (Gresik)")</f>
        <v>Bpk. Joko (Gresik)</v>
      </c>
      <c r="F3039" s="211" t="str">
        <f>IFERROR(__xludf.DUMMYFUNCTION("""COMPUTED_VALUE"""),"f6aab7a9")</f>
        <v>f6aab7a9</v>
      </c>
      <c r="G3039" s="211" t="str">
        <f>IFERROR(__xludf.DUMMYFUNCTION("""COMPUTED_VALUE"""),"Oksigen 6m3 MR")</f>
        <v>Oksigen 6m3 MR</v>
      </c>
      <c r="H3039" s="211" t="str">
        <f>IFERROR(__xludf.DUMMYFUNCTION("""COMPUTED_VALUE"""),"OUT")</f>
        <v>OUT</v>
      </c>
      <c r="I3039" s="211" t="str">
        <f>IFERROR(__xludf.DUMMYFUNCTION("""COMPUTED_VALUE"""),"NORMAL")</f>
        <v>NORMAL</v>
      </c>
      <c r="J3039" s="211">
        <f>IFERROR(__xludf.DUMMYFUNCTION("""COMPUTED_VALUE"""),12.0)</f>
        <v>12</v>
      </c>
      <c r="K3039" s="210" t="str">
        <f>IFERROR(__xludf.DUMMYFUNCTION("""COMPUTED_VALUE"""),"01 02 03 04 05 06 07 08 09 10 11 12")</f>
        <v>01 02 03 04 05 06 07 08 09 10 11 12</v>
      </c>
      <c r="L3039" s="211">
        <f>IFERROR(__xludf.DUMMYFUNCTION("""COMPUTED_VALUE"""),55000.0)</f>
        <v>55000</v>
      </c>
      <c r="M3039" s="211"/>
      <c r="N3039" s="211"/>
      <c r="O3039" s="211"/>
      <c r="Q3039" s="210" t="str">
        <f>IFERROR(__xludf.DUMMYFUNCTION("""COMPUTED_VALUE"""),"1261515")</f>
        <v>1261515</v>
      </c>
      <c r="R3039" s="210" t="str">
        <f>IFERROR(__xludf.DUMMYFUNCTION("""COMPUTED_VALUE"""),"1261515")</f>
        <v>1261515</v>
      </c>
      <c r="S3039" s="211" t="str">
        <f>IFERROR(__xludf.DUMMYFUNCTION("""COMPUTED_VALUE"""),"a0f0ad2d")</f>
        <v>a0f0ad2d</v>
      </c>
      <c r="T3039" s="211" t="str">
        <f>IFERROR(__xludf.DUMMYFUNCTION("""COMPUTED_VALUE"""),"CV. Yulie Jaya")</f>
        <v>CV. Yulie Jaya</v>
      </c>
      <c r="U3039" s="215">
        <f>IFERROR(__xludf.DUMMYFUNCTION("""COMPUTED_VALUE"""),46121.5628125)</f>
        <v>46121.56281</v>
      </c>
      <c r="V3039" s="211" t="str">
        <f>IFERROR(__xludf.DUMMYFUNCTION("""COMPUTED_VALUE"""),"JJH4+6RV, Badas, Barengkrajan, Kec. Krian, Kabupaten Sidoarjo, Jawa Timur 61262")</f>
        <v>JJH4+6RV, Badas, Barengkrajan, Kec. Krian, Kabupaten Sidoarjo, Jawa Timur 61262</v>
      </c>
      <c r="W3039" s="211" t="str">
        <f>IFERROR(__xludf.DUMMYFUNCTION("""COMPUTED_VALUE"""),"IN")</f>
        <v>IN</v>
      </c>
      <c r="X3039" s="211"/>
    </row>
    <row r="3040">
      <c r="A3040" s="210" t="str">
        <f>IFERROR(__xludf.DUMMYFUNCTION("""COMPUTED_VALUE"""),"1251024")</f>
        <v>1251024</v>
      </c>
      <c r="B3040" s="210" t="str">
        <f>IFERROR(__xludf.DUMMYFUNCTION("""COMPUTED_VALUE"""),"1251024")</f>
        <v>1251024</v>
      </c>
      <c r="C3040" s="213">
        <f>IFERROR(__xludf.DUMMYFUNCTION("""COMPUTED_VALUE"""),46021.44636574074)</f>
        <v>46021.44637</v>
      </c>
      <c r="D3040" s="211" t="str">
        <f>IFERROR(__xludf.DUMMYFUNCTION("""COMPUTED_VALUE"""),"a0f0ad2d")</f>
        <v>a0f0ad2d</v>
      </c>
      <c r="E3040" s="211" t="str">
        <f>IFERROR(__xludf.DUMMYFUNCTION("""COMPUTED_VALUE"""),"CV. Yulie Jaya")</f>
        <v>CV. Yulie Jaya</v>
      </c>
      <c r="F3040" s="211" t="str">
        <f>IFERROR(__xludf.DUMMYFUNCTION("""COMPUTED_VALUE"""),"8bdbe149")</f>
        <v>8bdbe149</v>
      </c>
      <c r="G3040" s="211" t="str">
        <f>IFERROR(__xludf.DUMMYFUNCTION("""COMPUTED_VALUE"""),"Oksigen 6m3")</f>
        <v>Oksigen 6m3</v>
      </c>
      <c r="H3040" s="211" t="str">
        <f>IFERROR(__xludf.DUMMYFUNCTION("""COMPUTED_VALUE"""),"IN")</f>
        <v>IN</v>
      </c>
      <c r="I3040" s="211" t="str">
        <f>IFERROR(__xludf.DUMMYFUNCTION("""COMPUTED_VALUE"""),"EMPTY")</f>
        <v>EMPTY</v>
      </c>
      <c r="J3040" s="211">
        <f>IFERROR(__xludf.DUMMYFUNCTION("""COMPUTED_VALUE"""),3.0)</f>
        <v>3</v>
      </c>
      <c r="K3040" s="210" t="str">
        <f>IFERROR(__xludf.DUMMYFUNCTION("""COMPUTED_VALUE"""),"11284 11311 1147")</f>
        <v>11284 11311 1147</v>
      </c>
      <c r="L3040" s="211">
        <f>IFERROR(__xludf.DUMMYFUNCTION("""COMPUTED_VALUE"""),0.0)</f>
        <v>0</v>
      </c>
      <c r="M3040" s="211"/>
      <c r="N3040" s="211"/>
      <c r="O3040" s="211"/>
      <c r="Q3040" s="210" t="str">
        <f>IFERROR(__xludf.DUMMYFUNCTION("""COMPUTED_VALUE"""),"1261516")</f>
        <v>1261516</v>
      </c>
      <c r="R3040" s="210" t="str">
        <f>IFERROR(__xludf.DUMMYFUNCTION("""COMPUTED_VALUE"""),"1261516")</f>
        <v>1261516</v>
      </c>
      <c r="S3040" s="211" t="str">
        <f>IFERROR(__xludf.DUMMYFUNCTION("""COMPUTED_VALUE"""),"d9b2fac5")</f>
        <v>d9b2fac5</v>
      </c>
      <c r="T3040" s="211" t="str">
        <f>IFERROR(__xludf.DUMMYFUNCTION("""COMPUTED_VALUE"""),"Dwi Riza ( Ponokawan)")</f>
        <v>Dwi Riza ( Ponokawan)</v>
      </c>
      <c r="U3040" s="215">
        <f>IFERROR(__xludf.DUMMYFUNCTION("""COMPUTED_VALUE"""),46121.5646875)</f>
        <v>46121.56469</v>
      </c>
      <c r="V3040" s="211" t="str">
        <f>IFERROR(__xludf.DUMMYFUNCTION("""COMPUTED_VALUE"""),"Jl. Raya Ponokawan No.28 RT 07 RW 03 Kec. Krian Sidoarjo (Seberang Bengkel An.Nur/ Deretan Baraka Expres)")</f>
        <v>Jl. Raya Ponokawan No.28 RT 07 RW 03 Kec. Krian Sidoarjo (Seberang Bengkel An.Nur/ Deretan Baraka Expres)</v>
      </c>
      <c r="W3040" s="211" t="str">
        <f>IFERROR(__xludf.DUMMYFUNCTION("""COMPUTED_VALUE"""),"IN")</f>
        <v>IN</v>
      </c>
      <c r="X3040" s="211"/>
    </row>
    <row r="3041">
      <c r="A3041" s="210" t="str">
        <f>IFERROR(__xludf.DUMMYFUNCTION("""COMPUTED_VALUE"""),"1251024")</f>
        <v>1251024</v>
      </c>
      <c r="B3041" s="210" t="str">
        <f>IFERROR(__xludf.DUMMYFUNCTION("""COMPUTED_VALUE"""),"1251024")</f>
        <v>1251024</v>
      </c>
      <c r="C3041" s="213">
        <f>IFERROR(__xludf.DUMMYFUNCTION("""COMPUTED_VALUE"""),46021.44636574074)</f>
        <v>46021.44637</v>
      </c>
      <c r="D3041" s="211" t="str">
        <f>IFERROR(__xludf.DUMMYFUNCTION("""COMPUTED_VALUE"""),"a0f0ad2d")</f>
        <v>a0f0ad2d</v>
      </c>
      <c r="E3041" s="211" t="str">
        <f>IFERROR(__xludf.DUMMYFUNCTION("""COMPUTED_VALUE"""),"CV. Yulie Jaya")</f>
        <v>CV. Yulie Jaya</v>
      </c>
      <c r="F3041" s="211" t="str">
        <f>IFERROR(__xludf.DUMMYFUNCTION("""COMPUTED_VALUE"""),"7d2764f1")</f>
        <v>7d2764f1</v>
      </c>
      <c r="G3041" s="211" t="str">
        <f>IFERROR(__xludf.DUMMYFUNCTION("""COMPUTED_VALUE"""),"Oksigen 7m3")</f>
        <v>Oksigen 7m3</v>
      </c>
      <c r="H3041" s="211" t="str">
        <f>IFERROR(__xludf.DUMMYFUNCTION("""COMPUTED_VALUE"""),"IN")</f>
        <v>IN</v>
      </c>
      <c r="I3041" s="211" t="str">
        <f>IFERROR(__xludf.DUMMYFUNCTION("""COMPUTED_VALUE"""),"EMPTY")</f>
        <v>EMPTY</v>
      </c>
      <c r="J3041" s="211">
        <f>IFERROR(__xludf.DUMMYFUNCTION("""COMPUTED_VALUE"""),2.0)</f>
        <v>2</v>
      </c>
      <c r="K3041" s="210" t="str">
        <f>IFERROR(__xludf.DUMMYFUNCTION("""COMPUTED_VALUE"""),"11145 11168")</f>
        <v>11145 11168</v>
      </c>
      <c r="L3041" s="211">
        <f>IFERROR(__xludf.DUMMYFUNCTION("""COMPUTED_VALUE"""),0.0)</f>
        <v>0</v>
      </c>
      <c r="M3041" s="211"/>
      <c r="N3041" s="211"/>
      <c r="O3041" s="211"/>
      <c r="Q3041" s="210" t="str">
        <f>IFERROR(__xludf.DUMMYFUNCTION("""COMPUTED_VALUE"""),"1261517")</f>
        <v>1261517</v>
      </c>
      <c r="R3041" s="210" t="str">
        <f>IFERROR(__xludf.DUMMYFUNCTION("""COMPUTED_VALUE"""),"1261517")</f>
        <v>1261517</v>
      </c>
      <c r="S3041" s="211" t="str">
        <f>IFERROR(__xludf.DUMMYFUNCTION("""COMPUTED_VALUE"""),"b218b89b")</f>
        <v>b218b89b</v>
      </c>
      <c r="T3041" s="211" t="str">
        <f>IFERROR(__xludf.DUMMYFUNCTION("""COMPUTED_VALUE"""),"PT Harapan Sentosa")</f>
        <v>PT Harapan Sentosa</v>
      </c>
      <c r="U3041" s="215">
        <f>IFERROR(__xludf.DUMMYFUNCTION("""COMPUTED_VALUE"""),46121.56539351852)</f>
        <v>46121.56539</v>
      </c>
      <c r="V3041" s="211" t="str">
        <f>IFERROR(__xludf.DUMMYFUNCTION("""COMPUTED_VALUE"""),"Seketi, Jl. Purboyo II Selatan, RT.02/RW.02, Seketi, Kec. BalongBendo, Kabupaten Sidoarjo, Jawa Timur 61263")</f>
        <v>Seketi, Jl. Purboyo II Selatan, RT.02/RW.02, Seketi, Kec. BalongBendo, Kabupaten Sidoarjo, Jawa Timur 61263</v>
      </c>
      <c r="W3041" s="211" t="str">
        <f>IFERROR(__xludf.DUMMYFUNCTION("""COMPUTED_VALUE"""),"IN")</f>
        <v>IN</v>
      </c>
      <c r="X3041" s="211"/>
    </row>
    <row r="3042">
      <c r="A3042" s="210" t="str">
        <f>IFERROR(__xludf.DUMMYFUNCTION("""COMPUTED_VALUE"""),"1251022")</f>
        <v>1251022</v>
      </c>
      <c r="B3042" s="210" t="str">
        <f>IFERROR(__xludf.DUMMYFUNCTION("""COMPUTED_VALUE"""),"1251022")</f>
        <v>1251022</v>
      </c>
      <c r="C3042" s="213">
        <f>IFERROR(__xludf.DUMMYFUNCTION("""COMPUTED_VALUE"""),46021.447118055556)</f>
        <v>46021.44712</v>
      </c>
      <c r="D3042" s="211" t="str">
        <f>IFERROR(__xludf.DUMMYFUNCTION("""COMPUTED_VALUE"""),"1bf27092")</f>
        <v>1bf27092</v>
      </c>
      <c r="E3042" s="211" t="str">
        <f>IFERROR(__xludf.DUMMYFUNCTION("""COMPUTED_VALUE"""),"Bpk. Ari Budiarto")</f>
        <v>Bpk. Ari Budiarto</v>
      </c>
      <c r="F3042" s="211" t="str">
        <f>IFERROR(__xludf.DUMMYFUNCTION("""COMPUTED_VALUE"""),"66af7c72")</f>
        <v>66af7c72</v>
      </c>
      <c r="G3042" s="211" t="str">
        <f>IFERROR(__xludf.DUMMYFUNCTION("""COMPUTED_VALUE"""),"Argon 6m3")</f>
        <v>Argon 6m3</v>
      </c>
      <c r="H3042" s="211" t="str">
        <f>IFERROR(__xludf.DUMMYFUNCTION("""COMPUTED_VALUE"""),"IN")</f>
        <v>IN</v>
      </c>
      <c r="I3042" s="211" t="str">
        <f>IFERROR(__xludf.DUMMYFUNCTION("""COMPUTED_VALUE"""),"CLAIM")</f>
        <v>CLAIM</v>
      </c>
      <c r="J3042" s="211">
        <f>IFERROR(__xludf.DUMMYFUNCTION("""COMPUTED_VALUE"""),1.0)</f>
        <v>1</v>
      </c>
      <c r="K3042" s="210" t="str">
        <f>IFERROR(__xludf.DUMMYFUNCTION("""COMPUTED_VALUE"""),"12007")</f>
        <v>12007</v>
      </c>
      <c r="L3042" s="211">
        <f>IFERROR(__xludf.DUMMYFUNCTION("""COMPUTED_VALUE"""),0.0)</f>
        <v>0</v>
      </c>
      <c r="M3042" s="211"/>
      <c r="N3042" s="211"/>
      <c r="O3042" s="211"/>
      <c r="Q3042" s="210" t="str">
        <f>IFERROR(__xludf.DUMMYFUNCTION("""COMPUTED_VALUE"""),"0426143039")</f>
        <v>0426143039</v>
      </c>
      <c r="R3042" s="210" t="str">
        <f>IFERROR(__xludf.DUMMYFUNCTION("""COMPUTED_VALUE"""),"0426143039")</f>
        <v>0426143039</v>
      </c>
      <c r="S3042" s="211" t="str">
        <f>IFERROR(__xludf.DUMMYFUNCTION("""COMPUTED_VALUE"""),"1c4d5e93")</f>
        <v>1c4d5e93</v>
      </c>
      <c r="T3042" s="211" t="str">
        <f>IFERROR(__xludf.DUMMYFUNCTION("""COMPUTED_VALUE"""),"Karoseri Cipta Mitra Sukses")</f>
        <v>Karoseri Cipta Mitra Sukses</v>
      </c>
      <c r="U3042" s="215">
        <f>IFERROR(__xludf.DUMMYFUNCTION("""COMPUTED_VALUE"""),46121.5700462963)</f>
        <v>46121.57005</v>
      </c>
      <c r="V3042" s="211" t="str">
        <f>IFERROR(__xludf.DUMMYFUNCTION("""COMPUTED_VALUE"""),"JL. Bypass Krian No. 7800, Blok B No 11. Barengkrajan, Kec. Krian, Kabupaten Sidoarjo, Jawa Timur  61262")</f>
        <v>JL. Bypass Krian No. 7800, Blok B No 11. Barengkrajan, Kec. Krian, Kabupaten Sidoarjo, Jawa Timur  61262</v>
      </c>
      <c r="W3042" s="211" t="str">
        <f>IFERROR(__xludf.DUMMYFUNCTION("""COMPUTED_VALUE"""),"OUT")</f>
        <v>OUT</v>
      </c>
      <c r="X3042" s="211"/>
    </row>
    <row r="3043">
      <c r="A3043" s="210" t="str">
        <f>IFERROR(__xludf.DUMMYFUNCTION("""COMPUTED_VALUE"""),"1251023")</f>
        <v>1251023</v>
      </c>
      <c r="B3043" s="210" t="str">
        <f>IFERROR(__xludf.DUMMYFUNCTION("""COMPUTED_VALUE"""),"1251023")</f>
        <v>1251023</v>
      </c>
      <c r="C3043" s="213">
        <f>IFERROR(__xludf.DUMMYFUNCTION("""COMPUTED_VALUE"""),46021.44741898148)</f>
        <v>46021.44742</v>
      </c>
      <c r="D3043" s="211" t="str">
        <f>IFERROR(__xludf.DUMMYFUNCTION("""COMPUTED_VALUE"""),"9e66ced9")</f>
        <v>9e66ced9</v>
      </c>
      <c r="E3043" s="211" t="str">
        <f>IFERROR(__xludf.DUMMYFUNCTION("""COMPUTED_VALUE"""),"Bapak Angga")</f>
        <v>Bapak Angga</v>
      </c>
      <c r="F3043" s="211" t="str">
        <f>IFERROR(__xludf.DUMMYFUNCTION("""COMPUTED_VALUE"""),"7d2764f1")</f>
        <v>7d2764f1</v>
      </c>
      <c r="G3043" s="211" t="str">
        <f>IFERROR(__xludf.DUMMYFUNCTION("""COMPUTED_VALUE"""),"Oksigen 7m3")</f>
        <v>Oksigen 7m3</v>
      </c>
      <c r="H3043" s="211" t="str">
        <f>IFERROR(__xludf.DUMMYFUNCTION("""COMPUTED_VALUE"""),"IN")</f>
        <v>IN</v>
      </c>
      <c r="I3043" s="211" t="str">
        <f>IFERROR(__xludf.DUMMYFUNCTION("""COMPUTED_VALUE"""),"EMPTY")</f>
        <v>EMPTY</v>
      </c>
      <c r="J3043" s="211">
        <f>IFERROR(__xludf.DUMMYFUNCTION("""COMPUTED_VALUE"""),2.0)</f>
        <v>2</v>
      </c>
      <c r="K3043" s="210" t="str">
        <f>IFERROR(__xludf.DUMMYFUNCTION("""COMPUTED_VALUE"""),"11298 11301")</f>
        <v>11298 11301</v>
      </c>
      <c r="L3043" s="211">
        <f>IFERROR(__xludf.DUMMYFUNCTION("""COMPUTED_VALUE"""),0.0)</f>
        <v>0</v>
      </c>
      <c r="M3043" s="211"/>
      <c r="N3043" s="211"/>
      <c r="O3043" s="211"/>
      <c r="Q3043" s="210" t="str">
        <f>IFERROR(__xludf.DUMMYFUNCTION("""COMPUTED_VALUE"""),"1261507")</f>
        <v>1261507</v>
      </c>
      <c r="R3043" s="210" t="str">
        <f>IFERROR(__xludf.DUMMYFUNCTION("""COMPUTED_VALUE"""),"1261507")</f>
        <v>1261507</v>
      </c>
      <c r="S3043" s="211" t="str">
        <f>IFERROR(__xludf.DUMMYFUNCTION("""COMPUTED_VALUE"""),"1c4d5e93")</f>
        <v>1c4d5e93</v>
      </c>
      <c r="T3043" s="211" t="str">
        <f>IFERROR(__xludf.DUMMYFUNCTION("""COMPUTED_VALUE"""),"Karoseri Cipta Mitra Sukses")</f>
        <v>Karoseri Cipta Mitra Sukses</v>
      </c>
      <c r="U3043" s="215">
        <f>IFERROR(__xludf.DUMMYFUNCTION("""COMPUTED_VALUE"""),46122.35650462963)</f>
        <v>46122.3565</v>
      </c>
      <c r="V3043" s="211" t="str">
        <f>IFERROR(__xludf.DUMMYFUNCTION("""COMPUTED_VALUE"""),"JL. Bypass Krian No. 7800, Blok B No 11. Barengkrajan, Kec. Krian, Kabupaten Sidoarjo, Jawa Timur  61262")</f>
        <v>JL. Bypass Krian No. 7800, Blok B No 11. Barengkrajan, Kec. Krian, Kabupaten Sidoarjo, Jawa Timur  61262</v>
      </c>
      <c r="W3043" s="211" t="str">
        <f>IFERROR(__xludf.DUMMYFUNCTION("""COMPUTED_VALUE"""),"IN")</f>
        <v>IN</v>
      </c>
      <c r="X3043" s="211"/>
    </row>
    <row r="3044">
      <c r="A3044" s="210" t="str">
        <f>IFERROR(__xludf.DUMMYFUNCTION("""COMPUTED_VALUE"""),"1251025")</f>
        <v>1251025</v>
      </c>
      <c r="B3044" s="210" t="str">
        <f>IFERROR(__xludf.DUMMYFUNCTION("""COMPUTED_VALUE"""),"1251025")</f>
        <v>1251025</v>
      </c>
      <c r="C3044" s="213">
        <f>IFERROR(__xludf.DUMMYFUNCTION("""COMPUTED_VALUE"""),46021.4478125)</f>
        <v>46021.44781</v>
      </c>
      <c r="D3044" s="211" t="str">
        <f>IFERROR(__xludf.DUMMYFUNCTION("""COMPUTED_VALUE"""),"8f5ebaea")</f>
        <v>8f5ebaea</v>
      </c>
      <c r="E3044" s="211" t="str">
        <f>IFERROR(__xludf.DUMMYFUNCTION("""COMPUTED_VALUE"""),"PT Hua Zong Mesindo")</f>
        <v>PT Hua Zong Mesindo</v>
      </c>
      <c r="F3044" s="211" t="str">
        <f>IFERROR(__xludf.DUMMYFUNCTION("""COMPUTED_VALUE"""),"8bdbe149")</f>
        <v>8bdbe149</v>
      </c>
      <c r="G3044" s="211" t="str">
        <f>IFERROR(__xludf.DUMMYFUNCTION("""COMPUTED_VALUE"""),"Oksigen 6m3")</f>
        <v>Oksigen 6m3</v>
      </c>
      <c r="H3044" s="211" t="str">
        <f>IFERROR(__xludf.DUMMYFUNCTION("""COMPUTED_VALUE"""),"IN")</f>
        <v>IN</v>
      </c>
      <c r="I3044" s="211" t="str">
        <f>IFERROR(__xludf.DUMMYFUNCTION("""COMPUTED_VALUE"""),"EMPTY")</f>
        <v>EMPTY</v>
      </c>
      <c r="J3044" s="211">
        <f>IFERROR(__xludf.DUMMYFUNCTION("""COMPUTED_VALUE"""),3.0)</f>
        <v>3</v>
      </c>
      <c r="K3044" s="210" t="str">
        <f>IFERROR(__xludf.DUMMYFUNCTION("""COMPUTED_VALUE"""),"1182 1157 1132")</f>
        <v>1182 1157 1132</v>
      </c>
      <c r="L3044" s="211">
        <f>IFERROR(__xludf.DUMMYFUNCTION("""COMPUTED_VALUE"""),0.0)</f>
        <v>0</v>
      </c>
      <c r="M3044" s="211"/>
      <c r="N3044" s="211"/>
      <c r="O3044" s="211"/>
      <c r="Q3044" s="210" t="str">
        <f>IFERROR(__xludf.DUMMYFUNCTION("""COMPUTED_VALUE"""),"04261013043")</f>
        <v>04261013043</v>
      </c>
      <c r="R3044" s="210" t="str">
        <f>IFERROR(__xludf.DUMMYFUNCTION("""COMPUTED_VALUE"""),"04261013043")</f>
        <v>04261013043</v>
      </c>
      <c r="S3044" s="211" t="str">
        <f>IFERROR(__xludf.DUMMYFUNCTION("""COMPUTED_VALUE"""),"b2b5f2c5")</f>
        <v>b2b5f2c5</v>
      </c>
      <c r="T3044" s="211" t="str">
        <f>IFERROR(__xludf.DUMMYFUNCTION("""COMPUTED_VALUE"""),"Bengkel Las Bpk. Ari")</f>
        <v>Bengkel Las Bpk. Ari</v>
      </c>
      <c r="U3044" s="215">
        <f>IFERROR(__xludf.DUMMYFUNCTION("""COMPUTED_VALUE"""),46122.364224537036)</f>
        <v>46122.36422</v>
      </c>
      <c r="V3044" s="211" t="str">
        <f>IFERROR(__xludf.DUMMYFUNCTION("""COMPUTED_VALUE"""),"Sumber Kembar, Wonodadi, Kec. Kutorejo, Kabupaten Mojokerto, Jawa Timur")</f>
        <v>Sumber Kembar, Wonodadi, Kec. Kutorejo, Kabupaten Mojokerto, Jawa Timur</v>
      </c>
      <c r="W3044" s="211" t="str">
        <f>IFERROR(__xludf.DUMMYFUNCTION("""COMPUTED_VALUE"""),"OUT")</f>
        <v>OUT</v>
      </c>
      <c r="X3044" s="211"/>
    </row>
    <row r="3045">
      <c r="A3045" s="210" t="str">
        <f>IFERROR(__xludf.DUMMYFUNCTION("""COMPUTED_VALUE"""),"1251025")</f>
        <v>1251025</v>
      </c>
      <c r="B3045" s="210" t="str">
        <f>IFERROR(__xludf.DUMMYFUNCTION("""COMPUTED_VALUE"""),"1251025")</f>
        <v>1251025</v>
      </c>
      <c r="C3045" s="213">
        <f>IFERROR(__xludf.DUMMYFUNCTION("""COMPUTED_VALUE"""),46021.4478125)</f>
        <v>46021.44781</v>
      </c>
      <c r="D3045" s="211" t="str">
        <f>IFERROR(__xludf.DUMMYFUNCTION("""COMPUTED_VALUE"""),"8f5ebaea")</f>
        <v>8f5ebaea</v>
      </c>
      <c r="E3045" s="211" t="str">
        <f>IFERROR(__xludf.DUMMYFUNCTION("""COMPUTED_VALUE"""),"PT Hua Zong Mesindo")</f>
        <v>PT Hua Zong Mesindo</v>
      </c>
      <c r="F3045" s="211" t="str">
        <f>IFERROR(__xludf.DUMMYFUNCTION("""COMPUTED_VALUE"""),"66af7c72")</f>
        <v>66af7c72</v>
      </c>
      <c r="G3045" s="211" t="str">
        <f>IFERROR(__xludf.DUMMYFUNCTION("""COMPUTED_VALUE"""),"Argon 6m3")</f>
        <v>Argon 6m3</v>
      </c>
      <c r="H3045" s="211" t="str">
        <f>IFERROR(__xludf.DUMMYFUNCTION("""COMPUTED_VALUE"""),"IN")</f>
        <v>IN</v>
      </c>
      <c r="I3045" s="211" t="str">
        <f>IFERROR(__xludf.DUMMYFUNCTION("""COMPUTED_VALUE"""),"EMPTY")</f>
        <v>EMPTY</v>
      </c>
      <c r="J3045" s="211">
        <f>IFERROR(__xludf.DUMMYFUNCTION("""COMPUTED_VALUE"""),1.0)</f>
        <v>1</v>
      </c>
      <c r="K3045" s="210" t="str">
        <f>IFERROR(__xludf.DUMMYFUNCTION("""COMPUTED_VALUE"""),"12072")</f>
        <v>12072</v>
      </c>
      <c r="L3045" s="211">
        <f>IFERROR(__xludf.DUMMYFUNCTION("""COMPUTED_VALUE"""),0.0)</f>
        <v>0</v>
      </c>
      <c r="M3045" s="211"/>
      <c r="N3045" s="211"/>
      <c r="O3045" s="211"/>
      <c r="Q3045" s="210" t="str">
        <f>IFERROR(__xludf.DUMMYFUNCTION("""COMPUTED_VALUE"""),"0426203045")</f>
        <v>0426203045</v>
      </c>
      <c r="R3045" s="210" t="str">
        <f>IFERROR(__xludf.DUMMYFUNCTION("""COMPUTED_VALUE"""),"0426203045")</f>
        <v>0426203045</v>
      </c>
      <c r="S3045" s="211" t="str">
        <f>IFERROR(__xludf.DUMMYFUNCTION("""COMPUTED_VALUE"""),"eec2e801")</f>
        <v>eec2e801</v>
      </c>
      <c r="T3045" s="211" t="str">
        <f>IFERROR(__xludf.DUMMYFUNCTION("""COMPUTED_VALUE"""),"Mitra Wood Sejahtera")</f>
        <v>Mitra Wood Sejahtera</v>
      </c>
      <c r="U3045" s="215">
        <f>IFERROR(__xludf.DUMMYFUNCTION("""COMPUTED_VALUE"""),46122.54613425926)</f>
        <v>46122.54613</v>
      </c>
      <c r="V3045" s="211" t="str">
        <f>IFERROR(__xludf.DUMMYFUNCTION("""COMPUTED_VALUE"""),"Jl.cungkling, Jl. Tanggungan, Nanom Kidul, Lebaniwaras, Kec. Wringinanom, Kabupaten Gresik, Jawa Timur 61176")</f>
        <v>Jl.cungkling, Jl. Tanggungan, Nanom Kidul, Lebaniwaras, Kec. Wringinanom, Kabupaten Gresik, Jawa Timur 61176</v>
      </c>
      <c r="W3045" s="211" t="str">
        <f>IFERROR(__xludf.DUMMYFUNCTION("""COMPUTED_VALUE"""),"OUT")</f>
        <v>OUT</v>
      </c>
      <c r="X3045" s="211"/>
    </row>
    <row r="3046">
      <c r="A3046" s="210" t="str">
        <f>IFERROR(__xludf.DUMMYFUNCTION("""COMPUTED_VALUE"""),"1251005")</f>
        <v>1251005</v>
      </c>
      <c r="B3046" s="210" t="str">
        <f>IFERROR(__xludf.DUMMYFUNCTION("""COMPUTED_VALUE"""),"1251005")</f>
        <v>1251005</v>
      </c>
      <c r="C3046" s="213">
        <f>IFERROR(__xludf.DUMMYFUNCTION("""COMPUTED_VALUE"""),46021.57952546296)</f>
        <v>46021.57953</v>
      </c>
      <c r="D3046" s="211" t="str">
        <f>IFERROR(__xludf.DUMMYFUNCTION("""COMPUTED_VALUE"""),"b2b5f2c5")</f>
        <v>b2b5f2c5</v>
      </c>
      <c r="E3046" s="211" t="str">
        <f>IFERROR(__xludf.DUMMYFUNCTION("""COMPUTED_VALUE"""),"Bengkel Las Bpk. Ari")</f>
        <v>Bengkel Las Bpk. Ari</v>
      </c>
      <c r="F3046" s="211" t="str">
        <f>IFERROR(__xludf.DUMMYFUNCTION("""COMPUTED_VALUE"""),"ef306e54")</f>
        <v>ef306e54</v>
      </c>
      <c r="G3046" s="211" t="str">
        <f>IFERROR(__xludf.DUMMYFUNCTION("""COMPUTED_VALUE"""),"Karbondioksida")</f>
        <v>Karbondioksida</v>
      </c>
      <c r="H3046" s="211" t="str">
        <f>IFERROR(__xludf.DUMMYFUNCTION("""COMPUTED_VALUE"""),"IN")</f>
        <v>IN</v>
      </c>
      <c r="I3046" s="211" t="str">
        <f>IFERROR(__xludf.DUMMYFUNCTION("""COMPUTED_VALUE"""),"EMPTY")</f>
        <v>EMPTY</v>
      </c>
      <c r="J3046" s="211">
        <f>IFERROR(__xludf.DUMMYFUNCTION("""COMPUTED_VALUE"""),2.0)</f>
        <v>2</v>
      </c>
      <c r="K3046" s="210" t="str">
        <f>IFERROR(__xludf.DUMMYFUNCTION("""COMPUTED_VALUE"""),"13007 13005")</f>
        <v>13007 13005</v>
      </c>
      <c r="L3046" s="211">
        <f>IFERROR(__xludf.DUMMYFUNCTION("""COMPUTED_VALUE"""),0.0)</f>
        <v>0</v>
      </c>
      <c r="M3046" s="211"/>
      <c r="N3046" s="211"/>
      <c r="O3046" s="211"/>
      <c r="Q3046" s="210" t="str">
        <f>IFERROR(__xludf.DUMMYFUNCTION("""COMPUTED_VALUE"""),"1261508")</f>
        <v>1261508</v>
      </c>
      <c r="R3046" s="210" t="str">
        <f>IFERROR(__xludf.DUMMYFUNCTION("""COMPUTED_VALUE"""),"1261508")</f>
        <v>1261508</v>
      </c>
      <c r="S3046" s="211" t="str">
        <f>IFERROR(__xludf.DUMMYFUNCTION("""COMPUTED_VALUE"""),"b2b5f2c5")</f>
        <v>b2b5f2c5</v>
      </c>
      <c r="T3046" s="211" t="str">
        <f>IFERROR(__xludf.DUMMYFUNCTION("""COMPUTED_VALUE"""),"Bengkel Las Bpk. Ari")</f>
        <v>Bengkel Las Bpk. Ari</v>
      </c>
      <c r="U3046" s="215">
        <f>IFERROR(__xludf.DUMMYFUNCTION("""COMPUTED_VALUE"""),46122.58615740741)</f>
        <v>46122.58616</v>
      </c>
      <c r="V3046" s="211" t="str">
        <f>IFERROR(__xludf.DUMMYFUNCTION("""COMPUTED_VALUE"""),"Sumber Kembar, Wonodadi, Kec. Kutorejo, Kabupaten Mojokerto, Jawa Timur")</f>
        <v>Sumber Kembar, Wonodadi, Kec. Kutorejo, Kabupaten Mojokerto, Jawa Timur</v>
      </c>
      <c r="W3046" s="211" t="str">
        <f>IFERROR(__xludf.DUMMYFUNCTION("""COMPUTED_VALUE"""),"IN")</f>
        <v>IN</v>
      </c>
      <c r="X3046" s="211"/>
    </row>
    <row r="3047">
      <c r="A3047" s="210" t="str">
        <f>IFERROR(__xludf.DUMMYFUNCTION("""COMPUTED_VALUE"""),"1251005")</f>
        <v>1251005</v>
      </c>
      <c r="B3047" s="210" t="str">
        <f>IFERROR(__xludf.DUMMYFUNCTION("""COMPUTED_VALUE"""),"1251005")</f>
        <v>1251005</v>
      </c>
      <c r="C3047" s="213">
        <f>IFERROR(__xludf.DUMMYFUNCTION("""COMPUTED_VALUE"""),46021.57952546296)</f>
        <v>46021.57953</v>
      </c>
      <c r="D3047" s="211" t="str">
        <f>IFERROR(__xludf.DUMMYFUNCTION("""COMPUTED_VALUE"""),"b2b5f2c5")</f>
        <v>b2b5f2c5</v>
      </c>
      <c r="E3047" s="211" t="str">
        <f>IFERROR(__xludf.DUMMYFUNCTION("""COMPUTED_VALUE"""),"Bengkel Las Bpk. Ari")</f>
        <v>Bengkel Las Bpk. Ari</v>
      </c>
      <c r="F3047" s="211" t="str">
        <f>IFERROR(__xludf.DUMMYFUNCTION("""COMPUTED_VALUE"""),"8bdbe149")</f>
        <v>8bdbe149</v>
      </c>
      <c r="G3047" s="211" t="str">
        <f>IFERROR(__xludf.DUMMYFUNCTION("""COMPUTED_VALUE"""),"Oksigen 6m3")</f>
        <v>Oksigen 6m3</v>
      </c>
      <c r="H3047" s="211" t="str">
        <f>IFERROR(__xludf.DUMMYFUNCTION("""COMPUTED_VALUE"""),"IN")</f>
        <v>IN</v>
      </c>
      <c r="I3047" s="211" t="str">
        <f>IFERROR(__xludf.DUMMYFUNCTION("""COMPUTED_VALUE"""),"EMPTY")</f>
        <v>EMPTY</v>
      </c>
      <c r="J3047" s="211">
        <f>IFERROR(__xludf.DUMMYFUNCTION("""COMPUTED_VALUE"""),5.0)</f>
        <v>5</v>
      </c>
      <c r="K3047" s="210" t="str">
        <f>IFERROR(__xludf.DUMMYFUNCTION("""COMPUTED_VALUE"""),"11325 11192 1186 11114 1163")</f>
        <v>11325 11192 1186 11114 1163</v>
      </c>
      <c r="L3047" s="211">
        <f>IFERROR(__xludf.DUMMYFUNCTION("""COMPUTED_VALUE"""),0.0)</f>
        <v>0</v>
      </c>
      <c r="M3047" s="211"/>
      <c r="N3047" s="211"/>
      <c r="O3047" s="211"/>
      <c r="Q3047" s="210" t="str">
        <f>IFERROR(__xludf.DUMMYFUNCTION("""COMPUTED_VALUE"""),"04261023046")</f>
        <v>04261023046</v>
      </c>
      <c r="R3047" s="210" t="str">
        <f>IFERROR(__xludf.DUMMYFUNCTION("""COMPUTED_VALUE"""),"04261023046")</f>
        <v>04261023046</v>
      </c>
      <c r="S3047" s="211" t="str">
        <f>IFERROR(__xludf.DUMMYFUNCTION("""COMPUTED_VALUE"""),"b2b5f2c5")</f>
        <v>b2b5f2c5</v>
      </c>
      <c r="T3047" s="211" t="str">
        <f>IFERROR(__xludf.DUMMYFUNCTION("""COMPUTED_VALUE"""),"Bengkel Las Bpk. Ari")</f>
        <v>Bengkel Las Bpk. Ari</v>
      </c>
      <c r="U3047" s="215">
        <f>IFERROR(__xludf.DUMMYFUNCTION("""COMPUTED_VALUE"""),46123.37553240741)</f>
        <v>46123.37553</v>
      </c>
      <c r="V3047" s="211" t="str">
        <f>IFERROR(__xludf.DUMMYFUNCTION("""COMPUTED_VALUE"""),"Sumber Kembar, Wonodadi, Kec. Kutorejo, Kabupaten Mojokerto, Jawa Timur")</f>
        <v>Sumber Kembar, Wonodadi, Kec. Kutorejo, Kabupaten Mojokerto, Jawa Timur</v>
      </c>
      <c r="W3047" s="211" t="str">
        <f>IFERROR(__xludf.DUMMYFUNCTION("""COMPUTED_VALUE"""),"OUT")</f>
        <v>OUT</v>
      </c>
      <c r="X3047" s="211"/>
    </row>
    <row r="3048">
      <c r="A3048" s="210" t="str">
        <f>IFERROR(__xludf.DUMMYFUNCTION("""COMPUTED_VALUE"""),"1225352122")</f>
        <v>1225352122</v>
      </c>
      <c r="B3048" s="210" t="str">
        <f>IFERROR(__xludf.DUMMYFUNCTION("""COMPUTED_VALUE"""),"1225352122")</f>
        <v>1225352122</v>
      </c>
      <c r="C3048" s="213">
        <f>IFERROR(__xludf.DUMMYFUNCTION("""COMPUTED_VALUE"""),46021.58038194444)</f>
        <v>46021.58038</v>
      </c>
      <c r="D3048" s="211" t="str">
        <f>IFERROR(__xludf.DUMMYFUNCTION("""COMPUTED_VALUE"""),"ec231cc9")</f>
        <v>ec231cc9</v>
      </c>
      <c r="E3048" s="211" t="str">
        <f>IFERROR(__xludf.DUMMYFUNCTION("""COMPUTED_VALUE"""),"Bpk. Kohir (Maintenance Velg)")</f>
        <v>Bpk. Kohir (Maintenance Velg)</v>
      </c>
      <c r="F3048" s="211" t="str">
        <f>IFERROR(__xludf.DUMMYFUNCTION("""COMPUTED_VALUE"""),"8bdbe149")</f>
        <v>8bdbe149</v>
      </c>
      <c r="G3048" s="211" t="str">
        <f>IFERROR(__xludf.DUMMYFUNCTION("""COMPUTED_VALUE"""),"Oksigen 6m3")</f>
        <v>Oksigen 6m3</v>
      </c>
      <c r="H3048" s="211" t="str">
        <f>IFERROR(__xludf.DUMMYFUNCTION("""COMPUTED_VALUE"""),"OUT")</f>
        <v>OUT</v>
      </c>
      <c r="I3048" s="211" t="str">
        <f>IFERROR(__xludf.DUMMYFUNCTION("""COMPUTED_VALUE"""),"NORMAL")</f>
        <v>NORMAL</v>
      </c>
      <c r="J3048" s="211">
        <f>IFERROR(__xludf.DUMMYFUNCTION("""COMPUTED_VALUE"""),4.0)</f>
        <v>4</v>
      </c>
      <c r="K3048" s="210" t="str">
        <f>IFERROR(__xludf.DUMMYFUNCTION("""COMPUTED_VALUE"""),"1186 1163 11114 11192")</f>
        <v>1186 1163 11114 11192</v>
      </c>
      <c r="L3048" s="211">
        <f>IFERROR(__xludf.DUMMYFUNCTION("""COMPUTED_VALUE"""),55000.0)</f>
        <v>55000</v>
      </c>
      <c r="M3048" s="211"/>
      <c r="N3048" s="211"/>
      <c r="O3048" s="211"/>
      <c r="Q3048" s="210" t="str">
        <f>IFERROR(__xludf.DUMMYFUNCTION("""COMPUTED_VALUE"""),"0426403048")</f>
        <v>0426403048</v>
      </c>
      <c r="R3048" s="210" t="str">
        <f>IFERROR(__xludf.DUMMYFUNCTION("""COMPUTED_VALUE"""),"0426403048")</f>
        <v>0426403048</v>
      </c>
      <c r="S3048" s="211" t="str">
        <f>IFERROR(__xludf.DUMMYFUNCTION("""COMPUTED_VALUE"""),"63fc688a")</f>
        <v>63fc688a</v>
      </c>
      <c r="T3048" s="211" t="str">
        <f>IFERROR(__xludf.DUMMYFUNCTION("""COMPUTED_VALUE"""),"CV Malik Nusantara")</f>
        <v>CV Malik Nusantara</v>
      </c>
      <c r="U3048" s="215">
        <f>IFERROR(__xludf.DUMMYFUNCTION("""COMPUTED_VALUE"""),46123.39258101852)</f>
        <v>46123.39258</v>
      </c>
      <c r="V3048" s="211" t="str">
        <f>IFERROR(__xludf.DUMMYFUNCTION("""COMPUTED_VALUE"""),"Jl. Raya Balongbendo No.12, Suwaluh Utara, Suwaluh, Kec. BalongBendo, Kabupaten Sidoarjo, Jawa Timur 61263")</f>
        <v>Jl. Raya Balongbendo No.12, Suwaluh Utara, Suwaluh, Kec. BalongBendo, Kabupaten Sidoarjo, Jawa Timur 61263</v>
      </c>
      <c r="W3048" s="211" t="str">
        <f>IFERROR(__xludf.DUMMYFUNCTION("""COMPUTED_VALUE"""),"OUT")</f>
        <v>OUT</v>
      </c>
      <c r="X3048" s="211"/>
    </row>
    <row r="3049">
      <c r="A3049" s="210" t="str">
        <f>IFERROR(__xludf.DUMMYFUNCTION("""COMPUTED_VALUE"""),"1250761")</f>
        <v>1250761</v>
      </c>
      <c r="B3049" s="210" t="str">
        <f>IFERROR(__xludf.DUMMYFUNCTION("""COMPUTED_VALUE"""),"1250761")</f>
        <v>1250761</v>
      </c>
      <c r="C3049" s="213">
        <f>IFERROR(__xludf.DUMMYFUNCTION("""COMPUTED_VALUE"""),45965.70097222222)</f>
        <v>45965.70097</v>
      </c>
      <c r="D3049" s="211" t="str">
        <f>IFERROR(__xludf.DUMMYFUNCTION("""COMPUTED_VALUE"""),"e968afef")</f>
        <v>e968afef</v>
      </c>
      <c r="E3049" s="211" t="str">
        <f>IFERROR(__xludf.DUMMYFUNCTION("""COMPUTED_VALUE"""),"Bpk. Agus")</f>
        <v>Bpk. Agus</v>
      </c>
      <c r="F3049" s="211" t="str">
        <f>IFERROR(__xludf.DUMMYFUNCTION("""COMPUTED_VALUE"""),"be525f3b")</f>
        <v>be525f3b</v>
      </c>
      <c r="G3049" s="211" t="str">
        <f>IFERROR(__xludf.DUMMYFUNCTION("""COMPUTED_VALUE"""),"LPG 12kg")</f>
        <v>LPG 12kg</v>
      </c>
      <c r="H3049" s="211" t="str">
        <f>IFERROR(__xludf.DUMMYFUNCTION("""COMPUTED_VALUE"""),"IN")</f>
        <v>IN</v>
      </c>
      <c r="I3049" s="211" t="str">
        <f>IFERROR(__xludf.DUMMYFUNCTION("""COMPUTED_VALUE"""),"EMPTY")</f>
        <v>EMPTY</v>
      </c>
      <c r="J3049" s="211">
        <f>IFERROR(__xludf.DUMMYFUNCTION("""COMPUTED_VALUE"""),1.0)</f>
        <v>1</v>
      </c>
      <c r="K3049" s="210" t="str">
        <f>IFERROR(__xludf.DUMMYFUNCTION("""COMPUTED_VALUE"""),"01")</f>
        <v>01</v>
      </c>
      <c r="L3049" s="211">
        <f>IFERROR(__xludf.DUMMYFUNCTION("""COMPUTED_VALUE"""),0.0)</f>
        <v>0</v>
      </c>
      <c r="M3049" s="211"/>
      <c r="N3049" s="211"/>
      <c r="O3049" s="211"/>
      <c r="Q3049" s="210" t="str">
        <f>IFERROR(__xludf.DUMMYFUNCTION("""COMPUTED_VALUE"""),"0426283049")</f>
        <v>0426283049</v>
      </c>
      <c r="R3049" s="210" t="str">
        <f>IFERROR(__xludf.DUMMYFUNCTION("""COMPUTED_VALUE"""),"0426283049")</f>
        <v>0426283049</v>
      </c>
      <c r="S3049" s="211" t="str">
        <f>IFERROR(__xludf.DUMMYFUNCTION("""COMPUTED_VALUE"""),"4ec68cf6")</f>
        <v>4ec68cf6</v>
      </c>
      <c r="T3049" s="211" t="str">
        <f>IFERROR(__xludf.DUMMYFUNCTION("""COMPUTED_VALUE"""),"CV Sido Mukti Karya")</f>
        <v>CV Sido Mukti Karya</v>
      </c>
      <c r="U3049" s="215">
        <f>IFERROR(__xludf.DUMMYFUNCTION("""COMPUTED_VALUE"""),46123.55792824074)</f>
        <v>46123.55793</v>
      </c>
      <c r="V3049" s="211" t="str">
        <f>IFERROR(__xludf.DUMMYFUNCTION("""COMPUTED_VALUE"""),"Pergudangan Center Point no A3, Kemangsen")</f>
        <v>Pergudangan Center Point no A3, Kemangsen</v>
      </c>
      <c r="W3049" s="211" t="str">
        <f>IFERROR(__xludf.DUMMYFUNCTION("""COMPUTED_VALUE"""),"OUT")</f>
        <v>OUT</v>
      </c>
      <c r="X3049" s="211"/>
    </row>
    <row r="3050">
      <c r="A3050" s="210" t="str">
        <f>IFERROR(__xludf.DUMMYFUNCTION("""COMPUTED_VALUE"""),"1251027")</f>
        <v>1251027</v>
      </c>
      <c r="B3050" s="210" t="str">
        <f>IFERROR(__xludf.DUMMYFUNCTION("""COMPUTED_VALUE"""),"1251027")</f>
        <v>1251027</v>
      </c>
      <c r="C3050" s="213">
        <f>IFERROR(__xludf.DUMMYFUNCTION("""COMPUTED_VALUE"""),46021.61203703703)</f>
        <v>46021.61204</v>
      </c>
      <c r="D3050" s="211" t="str">
        <f>IFERROR(__xludf.DUMMYFUNCTION("""COMPUTED_VALUE"""),"ec231cc9")</f>
        <v>ec231cc9</v>
      </c>
      <c r="E3050" s="211" t="str">
        <f>IFERROR(__xludf.DUMMYFUNCTION("""COMPUTED_VALUE"""),"Bpk. Kohir (Maintenance Velg)")</f>
        <v>Bpk. Kohir (Maintenance Velg)</v>
      </c>
      <c r="F3050" s="211" t="str">
        <f>IFERROR(__xludf.DUMMYFUNCTION("""COMPUTED_VALUE"""),"8bdbe149")</f>
        <v>8bdbe149</v>
      </c>
      <c r="G3050" s="211" t="str">
        <f>IFERROR(__xludf.DUMMYFUNCTION("""COMPUTED_VALUE"""),"Oksigen 6m3")</f>
        <v>Oksigen 6m3</v>
      </c>
      <c r="H3050" s="211" t="str">
        <f>IFERROR(__xludf.DUMMYFUNCTION("""COMPUTED_VALUE"""),"IN")</f>
        <v>IN</v>
      </c>
      <c r="I3050" s="211" t="str">
        <f>IFERROR(__xludf.DUMMYFUNCTION("""COMPUTED_VALUE"""),"EMPTY")</f>
        <v>EMPTY</v>
      </c>
      <c r="J3050" s="211">
        <f>IFERROR(__xludf.DUMMYFUNCTION("""COMPUTED_VALUE"""),4.0)</f>
        <v>4</v>
      </c>
      <c r="K3050" s="210" t="str">
        <f>IFERROR(__xludf.DUMMYFUNCTION("""COMPUTED_VALUE"""),"11328 11319 11317 11104")</f>
        <v>11328 11319 11317 11104</v>
      </c>
      <c r="L3050" s="211">
        <f>IFERROR(__xludf.DUMMYFUNCTION("""COMPUTED_VALUE"""),0.0)</f>
        <v>0</v>
      </c>
      <c r="M3050" s="211"/>
      <c r="N3050" s="211"/>
      <c r="O3050" s="211"/>
      <c r="Q3050" s="210" t="str">
        <f>IFERROR(__xludf.DUMMYFUNCTION("""COMPUTED_VALUE"""),"1261531")</f>
        <v>1261531</v>
      </c>
      <c r="R3050" s="210" t="str">
        <f>IFERROR(__xludf.DUMMYFUNCTION("""COMPUTED_VALUE"""),"1261531")</f>
        <v>1261531</v>
      </c>
      <c r="S3050" s="211" t="str">
        <f>IFERROR(__xludf.DUMMYFUNCTION("""COMPUTED_VALUE"""),"b2b5f2c5")</f>
        <v>b2b5f2c5</v>
      </c>
      <c r="T3050" s="211" t="str">
        <f>IFERROR(__xludf.DUMMYFUNCTION("""COMPUTED_VALUE"""),"Bengkel Las Bpk. Ari")</f>
        <v>Bengkel Las Bpk. Ari</v>
      </c>
      <c r="U3050" s="215">
        <f>IFERROR(__xludf.DUMMYFUNCTION("""COMPUTED_VALUE"""),46123.55924768518)</f>
        <v>46123.55925</v>
      </c>
      <c r="V3050" s="211" t="str">
        <f>IFERROR(__xludf.DUMMYFUNCTION("""COMPUTED_VALUE"""),"Sumber Kembar, Wonodadi, Kec. Kutorejo, Kabupaten Mojokerto, Jawa Timur")</f>
        <v>Sumber Kembar, Wonodadi, Kec. Kutorejo, Kabupaten Mojokerto, Jawa Timur</v>
      </c>
      <c r="W3050" s="211" t="str">
        <f>IFERROR(__xludf.DUMMYFUNCTION("""COMPUTED_VALUE"""),"IN")</f>
        <v>IN</v>
      </c>
      <c r="X3050" s="211"/>
    </row>
    <row r="3051">
      <c r="A3051" s="210" t="str">
        <f>IFERROR(__xludf.DUMMYFUNCTION("""COMPUTED_VALUE"""),"1251001")</f>
        <v>1251001</v>
      </c>
      <c r="B3051" s="210" t="str">
        <f>IFERROR(__xludf.DUMMYFUNCTION("""COMPUTED_VALUE"""),"1251001")</f>
        <v>1251001</v>
      </c>
      <c r="C3051" s="213">
        <f>IFERROR(__xludf.DUMMYFUNCTION("""COMPUTED_VALUE"""),46017.51697916666)</f>
        <v>46017.51698</v>
      </c>
      <c r="D3051" s="211" t="str">
        <f>IFERROR(__xludf.DUMMYFUNCTION("""COMPUTED_VALUE"""),"ec231cc9")</f>
        <v>ec231cc9</v>
      </c>
      <c r="E3051" s="211" t="str">
        <f>IFERROR(__xludf.DUMMYFUNCTION("""COMPUTED_VALUE"""),"Bpk. Kohir (Maintenance Velg)")</f>
        <v>Bpk. Kohir (Maintenance Velg)</v>
      </c>
      <c r="F3051" s="211" t="str">
        <f>IFERROR(__xludf.DUMMYFUNCTION("""COMPUTED_VALUE"""),"ef306e54")</f>
        <v>ef306e54</v>
      </c>
      <c r="G3051" s="211" t="str">
        <f>IFERROR(__xludf.DUMMYFUNCTION("""COMPUTED_VALUE"""),"Karbondioksida")</f>
        <v>Karbondioksida</v>
      </c>
      <c r="H3051" s="211" t="str">
        <f>IFERROR(__xludf.DUMMYFUNCTION("""COMPUTED_VALUE"""),"IN")</f>
        <v>IN</v>
      </c>
      <c r="I3051" s="211" t="str">
        <f>IFERROR(__xludf.DUMMYFUNCTION("""COMPUTED_VALUE"""),"EMPTY")</f>
        <v>EMPTY</v>
      </c>
      <c r="J3051" s="211">
        <f>IFERROR(__xludf.DUMMYFUNCTION("""COMPUTED_VALUE"""),1.0)</f>
        <v>1</v>
      </c>
      <c r="K3051" s="210" t="str">
        <f>IFERROR(__xludf.DUMMYFUNCTION("""COMPUTED_VALUE"""),"13028")</f>
        <v>13028</v>
      </c>
      <c r="L3051" s="211">
        <f>IFERROR(__xludf.DUMMYFUNCTION("""COMPUTED_VALUE"""),0.0)</f>
        <v>0</v>
      </c>
      <c r="M3051" s="211"/>
      <c r="N3051" s="211"/>
      <c r="O3051" s="211"/>
      <c r="Q3051" s="210" t="str">
        <f>IFERROR(__xludf.DUMMYFUNCTION("""COMPUTED_VALUE"""),"1261510")</f>
        <v>1261510</v>
      </c>
      <c r="R3051" s="210" t="str">
        <f>IFERROR(__xludf.DUMMYFUNCTION("""COMPUTED_VALUE"""),"1261510")</f>
        <v>1261510</v>
      </c>
      <c r="S3051" s="211" t="str">
        <f>IFERROR(__xludf.DUMMYFUNCTION("""COMPUTED_VALUE"""),"9828dfc5")</f>
        <v>9828dfc5</v>
      </c>
      <c r="T3051" s="211" t="str">
        <f>IFERROR(__xludf.DUMMYFUNCTION("""COMPUTED_VALUE"""),"Bpk. David")</f>
        <v>Bpk. David</v>
      </c>
      <c r="U3051" s="215">
        <f>IFERROR(__xludf.DUMMYFUNCTION("""COMPUTED_VALUE"""),46123.56076388889)</f>
        <v>46123.56076</v>
      </c>
      <c r="V3051" s="211" t="str">
        <f>IFERROR(__xludf.DUMMYFUNCTION("""COMPUTED_VALUE"""),"GHF3+R34, Jl. Kartini, Ngingas, Ngimbangan, Kec. Mojosari, Kabupaten Mojokerto, Jawa Timur 61382")</f>
        <v>GHF3+R34, Jl. Kartini, Ngingas, Ngimbangan, Kec. Mojosari, Kabupaten Mojokerto, Jawa Timur 61382</v>
      </c>
      <c r="W3051" s="211" t="str">
        <f>IFERROR(__xludf.DUMMYFUNCTION("""COMPUTED_VALUE"""),"IN")</f>
        <v>IN</v>
      </c>
      <c r="X3051" s="211"/>
    </row>
    <row r="3052">
      <c r="A3052" s="210" t="str">
        <f>IFERROR(__xludf.DUMMYFUNCTION("""COMPUTED_VALUE"""),"122562128")</f>
        <v>122562128</v>
      </c>
      <c r="B3052" s="210" t="str">
        <f>IFERROR(__xludf.DUMMYFUNCTION("""COMPUTED_VALUE"""),"122562128")</f>
        <v>122562128</v>
      </c>
      <c r="C3052" s="213">
        <f>IFERROR(__xludf.DUMMYFUNCTION("""COMPUTED_VALUE"""),46022.35732638889)</f>
        <v>46022.35733</v>
      </c>
      <c r="D3052" s="211" t="str">
        <f>IFERROR(__xludf.DUMMYFUNCTION("""COMPUTED_VALUE"""),"734c6d17")</f>
        <v>734c6d17</v>
      </c>
      <c r="E3052" s="211" t="str">
        <f>IFERROR(__xludf.DUMMYFUNCTION("""COMPUTED_VALUE"""),"Bapak Ainol Yaqin ( Bpk. Ibnu )")</f>
        <v>Bapak Ainol Yaqin ( Bpk. Ibnu )</v>
      </c>
      <c r="F3052" s="211" t="str">
        <f>IFERROR(__xludf.DUMMYFUNCTION("""COMPUTED_VALUE"""),"7d2764f1")</f>
        <v>7d2764f1</v>
      </c>
      <c r="G3052" s="211" t="str">
        <f>IFERROR(__xludf.DUMMYFUNCTION("""COMPUTED_VALUE"""),"Oksigen 7m3")</f>
        <v>Oksigen 7m3</v>
      </c>
      <c r="H3052" s="211" t="str">
        <f>IFERROR(__xludf.DUMMYFUNCTION("""COMPUTED_VALUE"""),"OUT")</f>
        <v>OUT</v>
      </c>
      <c r="I3052" s="211" t="str">
        <f>IFERROR(__xludf.DUMMYFUNCTION("""COMPUTED_VALUE"""),"NORMAL")</f>
        <v>NORMAL</v>
      </c>
      <c r="J3052" s="211">
        <f>IFERROR(__xludf.DUMMYFUNCTION("""COMPUTED_VALUE"""),2.0)</f>
        <v>2</v>
      </c>
      <c r="K3052" s="210" t="str">
        <f>IFERROR(__xludf.DUMMYFUNCTION("""COMPUTED_VALUE"""),"11168 11145")</f>
        <v>11168 11145</v>
      </c>
      <c r="L3052" s="211">
        <f>IFERROR(__xludf.DUMMYFUNCTION("""COMPUTED_VALUE"""),60000.0)</f>
        <v>60000</v>
      </c>
      <c r="M3052" s="211"/>
      <c r="N3052" s="211"/>
      <c r="O3052" s="211"/>
      <c r="Q3052" s="210" t="str">
        <f>IFERROR(__xludf.DUMMYFUNCTION("""COMPUTED_VALUE"""),"1261509")</f>
        <v>1261509</v>
      </c>
      <c r="R3052" s="210" t="str">
        <f>IFERROR(__xludf.DUMMYFUNCTION("""COMPUTED_VALUE"""),"1261509")</f>
        <v>1261509</v>
      </c>
      <c r="S3052" s="211" t="str">
        <f>IFERROR(__xludf.DUMMYFUNCTION("""COMPUTED_VALUE"""),"4ec68cf6")</f>
        <v>4ec68cf6</v>
      </c>
      <c r="T3052" s="211" t="str">
        <f>IFERROR(__xludf.DUMMYFUNCTION("""COMPUTED_VALUE"""),"CV Sido Mukti Karya")</f>
        <v>CV Sido Mukti Karya</v>
      </c>
      <c r="U3052" s="215">
        <f>IFERROR(__xludf.DUMMYFUNCTION("""COMPUTED_VALUE"""),46123.5624537037)</f>
        <v>46123.56245</v>
      </c>
      <c r="V3052" s="211" t="str">
        <f>IFERROR(__xludf.DUMMYFUNCTION("""COMPUTED_VALUE"""),"Pergudangan Center Point no A3, Kemangsen")</f>
        <v>Pergudangan Center Point no A3, Kemangsen</v>
      </c>
      <c r="W3052" s="211" t="str">
        <f>IFERROR(__xludf.DUMMYFUNCTION("""COMPUTED_VALUE"""),"IN")</f>
        <v>IN</v>
      </c>
      <c r="X3052" s="211"/>
    </row>
    <row r="3053">
      <c r="A3053" s="210" t="str">
        <f>IFERROR(__xludf.DUMMYFUNCTION("""COMPUTED_VALUE"""),"1225642130")</f>
        <v>1225642130</v>
      </c>
      <c r="B3053" s="210" t="str">
        <f>IFERROR(__xludf.DUMMYFUNCTION("""COMPUTED_VALUE"""),"1225642130")</f>
        <v>1225642130</v>
      </c>
      <c r="C3053" s="213">
        <f>IFERROR(__xludf.DUMMYFUNCTION("""COMPUTED_VALUE"""),46022.360243055555)</f>
        <v>46022.36024</v>
      </c>
      <c r="D3053" s="211" t="str">
        <f>IFERROR(__xludf.DUMMYFUNCTION("""COMPUTED_VALUE"""),"b2b5f2c5")</f>
        <v>b2b5f2c5</v>
      </c>
      <c r="E3053" s="211" t="str">
        <f>IFERROR(__xludf.DUMMYFUNCTION("""COMPUTED_VALUE"""),"Bengkel Las Bpk. Ari")</f>
        <v>Bengkel Las Bpk. Ari</v>
      </c>
      <c r="F3053" s="211" t="str">
        <f>IFERROR(__xludf.DUMMYFUNCTION("""COMPUTED_VALUE"""),"8bdbe149")</f>
        <v>8bdbe149</v>
      </c>
      <c r="G3053" s="211" t="str">
        <f>IFERROR(__xludf.DUMMYFUNCTION("""COMPUTED_VALUE"""),"Oksigen 6m3")</f>
        <v>Oksigen 6m3</v>
      </c>
      <c r="H3053" s="211" t="str">
        <f>IFERROR(__xludf.DUMMYFUNCTION("""COMPUTED_VALUE"""),"OUT")</f>
        <v>OUT</v>
      </c>
      <c r="I3053" s="211" t="str">
        <f>IFERROR(__xludf.DUMMYFUNCTION("""COMPUTED_VALUE"""),"NORMAL")</f>
        <v>NORMAL</v>
      </c>
      <c r="J3053" s="211">
        <f>IFERROR(__xludf.DUMMYFUNCTION("""COMPUTED_VALUE"""),8.0)</f>
        <v>8</v>
      </c>
      <c r="K3053" s="210" t="str">
        <f>IFERROR(__xludf.DUMMYFUNCTION("""COMPUTED_VALUE"""),"1132 1182 11108 1154 11104 1164 1119 11115")</f>
        <v>1132 1182 11108 1154 11104 1164 1119 11115</v>
      </c>
      <c r="L3053" s="211">
        <f>IFERROR(__xludf.DUMMYFUNCTION("""COMPUTED_VALUE"""),60000.0)</f>
        <v>60000</v>
      </c>
      <c r="M3053" s="211"/>
      <c r="N3053" s="211"/>
      <c r="O3053" s="211"/>
      <c r="Q3053" s="210" t="str">
        <f>IFERROR(__xludf.DUMMYFUNCTION("""COMPUTED_VALUE"""),"1261518")</f>
        <v>1261518</v>
      </c>
      <c r="R3053" s="210" t="str">
        <f>IFERROR(__xludf.DUMMYFUNCTION("""COMPUTED_VALUE"""),"1261518")</f>
        <v>1261518</v>
      </c>
      <c r="S3053" s="211" t="str">
        <f>IFERROR(__xludf.DUMMYFUNCTION("""COMPUTED_VALUE"""),"63fc688a")</f>
        <v>63fc688a</v>
      </c>
      <c r="T3053" s="211" t="str">
        <f>IFERROR(__xludf.DUMMYFUNCTION("""COMPUTED_VALUE"""),"CV Malik Nusantara")</f>
        <v>CV Malik Nusantara</v>
      </c>
      <c r="U3053" s="215">
        <f>IFERROR(__xludf.DUMMYFUNCTION("""COMPUTED_VALUE"""),46123.56820601852)</f>
        <v>46123.56821</v>
      </c>
      <c r="V3053" s="211" t="str">
        <f>IFERROR(__xludf.DUMMYFUNCTION("""COMPUTED_VALUE"""),"Jl. Raya Balongbendo No.12, Suwaluh Utara, Suwaluh, Kec. BalongBendo, Kabupaten Sidoarjo, Jawa Timur 61263")</f>
        <v>Jl. Raya Balongbendo No.12, Suwaluh Utara, Suwaluh, Kec. BalongBendo, Kabupaten Sidoarjo, Jawa Timur 61263</v>
      </c>
      <c r="W3053" s="211" t="str">
        <f>IFERROR(__xludf.DUMMYFUNCTION("""COMPUTED_VALUE"""),"IN")</f>
        <v>IN</v>
      </c>
      <c r="X3053" s="211"/>
    </row>
    <row r="3054">
      <c r="A3054" s="210" t="str">
        <f>IFERROR(__xludf.DUMMYFUNCTION("""COMPUTED_VALUE"""),"1251028")</f>
        <v>1251028</v>
      </c>
      <c r="B3054" s="210" t="str">
        <f>IFERROR(__xludf.DUMMYFUNCTION("""COMPUTED_VALUE"""),"1251028")</f>
        <v>1251028</v>
      </c>
      <c r="C3054" s="213">
        <f>IFERROR(__xludf.DUMMYFUNCTION("""COMPUTED_VALUE"""),46022.403333333335)</f>
        <v>46022.40333</v>
      </c>
      <c r="D3054" s="211" t="str">
        <f>IFERROR(__xludf.DUMMYFUNCTION("""COMPUTED_VALUE"""),"734c6d17")</f>
        <v>734c6d17</v>
      </c>
      <c r="E3054" s="211" t="str">
        <f>IFERROR(__xludf.DUMMYFUNCTION("""COMPUTED_VALUE"""),"Bapak Ainol Yaqin ( Bpk. Ibnu )")</f>
        <v>Bapak Ainol Yaqin ( Bpk. Ibnu )</v>
      </c>
      <c r="F3054" s="211" t="str">
        <f>IFERROR(__xludf.DUMMYFUNCTION("""COMPUTED_VALUE"""),"8bdbe149")</f>
        <v>8bdbe149</v>
      </c>
      <c r="G3054" s="211" t="str">
        <f>IFERROR(__xludf.DUMMYFUNCTION("""COMPUTED_VALUE"""),"Oksigen 6m3")</f>
        <v>Oksigen 6m3</v>
      </c>
      <c r="H3054" s="211" t="str">
        <f>IFERROR(__xludf.DUMMYFUNCTION("""COMPUTED_VALUE"""),"IN")</f>
        <v>IN</v>
      </c>
      <c r="I3054" s="211" t="str">
        <f>IFERROR(__xludf.DUMMYFUNCTION("""COMPUTED_VALUE"""),"EMPTY")</f>
        <v>EMPTY</v>
      </c>
      <c r="J3054" s="211">
        <f>IFERROR(__xludf.DUMMYFUNCTION("""COMPUTED_VALUE"""),1.0)</f>
        <v>1</v>
      </c>
      <c r="K3054" s="210" t="str">
        <f>IFERROR(__xludf.DUMMYFUNCTION("""COMPUTED_VALUE"""),"11300")</f>
        <v>11300</v>
      </c>
      <c r="L3054" s="211">
        <f>IFERROR(__xludf.DUMMYFUNCTION("""COMPUTED_VALUE"""),0.0)</f>
        <v>0</v>
      </c>
      <c r="M3054" s="211"/>
      <c r="N3054" s="211"/>
      <c r="O3054" s="211"/>
      <c r="Q3054" s="210" t="str">
        <f>IFERROR(__xludf.DUMMYFUNCTION("""COMPUTED_VALUE"""),"1261521")</f>
        <v>1261521</v>
      </c>
      <c r="R3054" s="210" t="str">
        <f>IFERROR(__xludf.DUMMYFUNCTION("""COMPUTED_VALUE"""),"1261521")</f>
        <v>1261521</v>
      </c>
      <c r="S3054" s="211" t="str">
        <f>IFERROR(__xludf.DUMMYFUNCTION("""COMPUTED_VALUE"""),"d9b2fac5")</f>
        <v>d9b2fac5</v>
      </c>
      <c r="T3054" s="211" t="str">
        <f>IFERROR(__xludf.DUMMYFUNCTION("""COMPUTED_VALUE"""),"Dwi Riza ( Ponokawan)")</f>
        <v>Dwi Riza ( Ponokawan)</v>
      </c>
      <c r="U3054" s="215">
        <f>IFERROR(__xludf.DUMMYFUNCTION("""COMPUTED_VALUE"""),46123.570706018516)</f>
        <v>46123.57071</v>
      </c>
      <c r="V3054" s="211" t="str">
        <f>IFERROR(__xludf.DUMMYFUNCTION("""COMPUTED_VALUE"""),"Jl. Raya Ponokawan No.28 RT 07 RW 03 Kec. Krian Sidoarjo (Seberang Bengkel An.Nur/ Deretan Baraka Expres)")</f>
        <v>Jl. Raya Ponokawan No.28 RT 07 RW 03 Kec. Krian Sidoarjo (Seberang Bengkel An.Nur/ Deretan Baraka Expres)</v>
      </c>
      <c r="W3054" s="211" t="str">
        <f>IFERROR(__xludf.DUMMYFUNCTION("""COMPUTED_VALUE"""),"IN")</f>
        <v>IN</v>
      </c>
      <c r="X3054" s="211"/>
    </row>
    <row r="3055">
      <c r="A3055" s="210" t="str">
        <f>IFERROR(__xludf.DUMMYFUNCTION("""COMPUTED_VALUE"""),"0126102131")</f>
        <v>0126102131</v>
      </c>
      <c r="B3055" s="210" t="str">
        <f>IFERROR(__xludf.DUMMYFUNCTION("""COMPUTED_VALUE"""),"0126102131")</f>
        <v>0126102131</v>
      </c>
      <c r="C3055" s="213">
        <f>IFERROR(__xludf.DUMMYFUNCTION("""COMPUTED_VALUE"""),46024.37930555556)</f>
        <v>46024.37931</v>
      </c>
      <c r="D3055" s="211" t="str">
        <f>IFERROR(__xludf.DUMMYFUNCTION("""COMPUTED_VALUE"""),"3b04351a")</f>
        <v>3b04351a</v>
      </c>
      <c r="E3055" s="211" t="str">
        <f>IFERROR(__xludf.DUMMYFUNCTION("""COMPUTED_VALUE"""),"CV Usaha Logam Jaya ( Bpk Putra )")</f>
        <v>CV Usaha Logam Jaya ( Bpk Putra )</v>
      </c>
      <c r="F3055" s="211" t="str">
        <f>IFERROR(__xludf.DUMMYFUNCTION("""COMPUTED_VALUE"""),"be525f3b")</f>
        <v>be525f3b</v>
      </c>
      <c r="G3055" s="211" t="str">
        <f>IFERROR(__xludf.DUMMYFUNCTION("""COMPUTED_VALUE"""),"LPG 12kg")</f>
        <v>LPG 12kg</v>
      </c>
      <c r="H3055" s="211" t="str">
        <f>IFERROR(__xludf.DUMMYFUNCTION("""COMPUTED_VALUE"""),"OUT")</f>
        <v>OUT</v>
      </c>
      <c r="I3055" s="211" t="str">
        <f>IFERROR(__xludf.DUMMYFUNCTION("""COMPUTED_VALUE"""),"NORMAL")</f>
        <v>NORMAL</v>
      </c>
      <c r="J3055" s="211">
        <f>IFERROR(__xludf.DUMMYFUNCTION("""COMPUTED_VALUE"""),2.0)</f>
        <v>2</v>
      </c>
      <c r="K3055" s="210" t="str">
        <f>IFERROR(__xludf.DUMMYFUNCTION("""COMPUTED_VALUE"""),"01 02")</f>
        <v>01 02</v>
      </c>
      <c r="L3055" s="211">
        <f>IFERROR(__xludf.DUMMYFUNCTION("""COMPUTED_VALUE"""),210000.0)</f>
        <v>210000</v>
      </c>
      <c r="M3055" s="211"/>
      <c r="N3055" s="211"/>
      <c r="O3055" s="211"/>
      <c r="Q3055" s="210" t="str">
        <f>IFERROR(__xludf.DUMMYFUNCTION("""COMPUTED_VALUE"""),"1261520")</f>
        <v>1261520</v>
      </c>
      <c r="R3055" s="210" t="str">
        <f>IFERROR(__xludf.DUMMYFUNCTION("""COMPUTED_VALUE"""),"1261520")</f>
        <v>1261520</v>
      </c>
      <c r="S3055" s="211" t="str">
        <f>IFERROR(__xludf.DUMMYFUNCTION("""COMPUTED_VALUE"""),"a0f0ad2d")</f>
        <v>a0f0ad2d</v>
      </c>
      <c r="T3055" s="211" t="str">
        <f>IFERROR(__xludf.DUMMYFUNCTION("""COMPUTED_VALUE"""),"CV. Yulie Jaya")</f>
        <v>CV. Yulie Jaya</v>
      </c>
      <c r="U3055" s="215">
        <f>IFERROR(__xludf.DUMMYFUNCTION("""COMPUTED_VALUE"""),46123.57103009259)</f>
        <v>46123.57103</v>
      </c>
      <c r="V3055" s="211" t="str">
        <f>IFERROR(__xludf.DUMMYFUNCTION("""COMPUTED_VALUE"""),"JJH4+6RV, Badas, Barengkrajan, Kec. Krian, Kabupaten Sidoarjo, Jawa Timur 61262")</f>
        <v>JJH4+6RV, Badas, Barengkrajan, Kec. Krian, Kabupaten Sidoarjo, Jawa Timur 61262</v>
      </c>
      <c r="W3055" s="211" t="str">
        <f>IFERROR(__xludf.DUMMYFUNCTION("""COMPUTED_VALUE"""),"IN")</f>
        <v>IN</v>
      </c>
      <c r="X3055" s="211"/>
    </row>
    <row r="3056">
      <c r="A3056" s="210" t="str">
        <f>IFERROR(__xludf.DUMMYFUNCTION("""COMPUTED_VALUE"""),"0126102131")</f>
        <v>0126102131</v>
      </c>
      <c r="B3056" s="210" t="str">
        <f>IFERROR(__xludf.DUMMYFUNCTION("""COMPUTED_VALUE"""),"0126102131")</f>
        <v>0126102131</v>
      </c>
      <c r="C3056" s="213">
        <f>IFERROR(__xludf.DUMMYFUNCTION("""COMPUTED_VALUE"""),46024.37930555556)</f>
        <v>46024.37931</v>
      </c>
      <c r="D3056" s="211" t="str">
        <f>IFERROR(__xludf.DUMMYFUNCTION("""COMPUTED_VALUE"""),"3b04351a")</f>
        <v>3b04351a</v>
      </c>
      <c r="E3056" s="211" t="str">
        <f>IFERROR(__xludf.DUMMYFUNCTION("""COMPUTED_VALUE"""),"CV Usaha Logam Jaya ( Bpk Putra )")</f>
        <v>CV Usaha Logam Jaya ( Bpk Putra )</v>
      </c>
      <c r="F3056" s="211" t="str">
        <f>IFERROR(__xludf.DUMMYFUNCTION("""COMPUTED_VALUE"""),"8bdbe149")</f>
        <v>8bdbe149</v>
      </c>
      <c r="G3056" s="211" t="str">
        <f>IFERROR(__xludf.DUMMYFUNCTION("""COMPUTED_VALUE"""),"Oksigen 6m3")</f>
        <v>Oksigen 6m3</v>
      </c>
      <c r="H3056" s="211" t="str">
        <f>IFERROR(__xludf.DUMMYFUNCTION("""COMPUTED_VALUE"""),"OUT")</f>
        <v>OUT</v>
      </c>
      <c r="I3056" s="211" t="str">
        <f>IFERROR(__xludf.DUMMYFUNCTION("""COMPUTED_VALUE"""),"NORMAL")</f>
        <v>NORMAL</v>
      </c>
      <c r="J3056" s="211">
        <f>IFERROR(__xludf.DUMMYFUNCTION("""COMPUTED_VALUE"""),15.0)</f>
        <v>15</v>
      </c>
      <c r="K3056" s="210" t="str">
        <f>IFERROR(__xludf.DUMMYFUNCTION("""COMPUTED_VALUE"""),"11317 11176 11197 11311 1157 11323 11102 11278 11231 1147 11324 11260 11319 11326 11340")</f>
        <v>11317 11176 11197 11311 1157 11323 11102 11278 11231 1147 11324 11260 11319 11326 11340</v>
      </c>
      <c r="L3056" s="211">
        <f>IFERROR(__xludf.DUMMYFUNCTION("""COMPUTED_VALUE"""),60000.0)</f>
        <v>60000</v>
      </c>
      <c r="M3056" s="211"/>
      <c r="N3056" s="211"/>
      <c r="O3056" s="211"/>
      <c r="Q3056" s="210" t="str">
        <f>IFERROR(__xludf.DUMMYFUNCTION("""COMPUTED_VALUE"""),"1261519")</f>
        <v>1261519</v>
      </c>
      <c r="R3056" s="210" t="str">
        <f>IFERROR(__xludf.DUMMYFUNCTION("""COMPUTED_VALUE"""),"1261519")</f>
        <v>1261519</v>
      </c>
      <c r="S3056" s="211" t="str">
        <f>IFERROR(__xludf.DUMMYFUNCTION("""COMPUTED_VALUE"""),"ec231cc9")</f>
        <v>ec231cc9</v>
      </c>
      <c r="T3056" s="211" t="str">
        <f>IFERROR(__xludf.DUMMYFUNCTION("""COMPUTED_VALUE"""),"Bpk. Kohir (Maintenance Velg)")</f>
        <v>Bpk. Kohir (Maintenance Velg)</v>
      </c>
      <c r="U3056" s="215">
        <f>IFERROR(__xludf.DUMMYFUNCTION("""COMPUTED_VALUE"""),46123.571388888886)</f>
        <v>46123.57139</v>
      </c>
      <c r="V3056" s="211" t="str">
        <f>IFERROR(__xludf.DUMMYFUNCTION("""COMPUTED_VALUE"""),"Jl. Lkr. Bypass Krian Timur, Sidogolong, Watugolong, Kec. Krian, Kabupaten Sidoarjo, Jawa Timur 61262")</f>
        <v>Jl. Lkr. Bypass Krian Timur, Sidogolong, Watugolong, Kec. Krian, Kabupaten Sidoarjo, Jawa Timur 61262</v>
      </c>
      <c r="W3056" s="211" t="str">
        <f>IFERROR(__xludf.DUMMYFUNCTION("""COMPUTED_VALUE"""),"IN")</f>
        <v>IN</v>
      </c>
      <c r="X3056" s="211"/>
    </row>
    <row r="3057">
      <c r="A3057" s="210" t="str">
        <f>IFERROR(__xludf.DUMMYFUNCTION("""COMPUTED_VALUE"""),"012622133")</f>
        <v>012622133</v>
      </c>
      <c r="B3057" s="210" t="str">
        <f>IFERROR(__xludf.DUMMYFUNCTION("""COMPUTED_VALUE"""),"012622133")</f>
        <v>012622133</v>
      </c>
      <c r="C3057" s="213">
        <f>IFERROR(__xludf.DUMMYFUNCTION("""COMPUTED_VALUE"""),46024.42030092593)</f>
        <v>46024.4203</v>
      </c>
      <c r="D3057" s="211" t="str">
        <f>IFERROR(__xludf.DUMMYFUNCTION("""COMPUTED_VALUE"""),"d46989c9")</f>
        <v>d46989c9</v>
      </c>
      <c r="E3057" s="211" t="str">
        <f>IFERROR(__xludf.DUMMYFUNCTION("""COMPUTED_VALUE"""),"UD. Alin Jaya")</f>
        <v>UD. Alin Jaya</v>
      </c>
      <c r="F3057" s="211" t="str">
        <f>IFERROR(__xludf.DUMMYFUNCTION("""COMPUTED_VALUE"""),"8bdbe149")</f>
        <v>8bdbe149</v>
      </c>
      <c r="G3057" s="211" t="str">
        <f>IFERROR(__xludf.DUMMYFUNCTION("""COMPUTED_VALUE"""),"Oksigen 6m3")</f>
        <v>Oksigen 6m3</v>
      </c>
      <c r="H3057" s="211" t="str">
        <f>IFERROR(__xludf.DUMMYFUNCTION("""COMPUTED_VALUE"""),"OUT")</f>
        <v>OUT</v>
      </c>
      <c r="I3057" s="211" t="str">
        <f>IFERROR(__xludf.DUMMYFUNCTION("""COMPUTED_VALUE"""),"NORMAL")</f>
        <v>NORMAL</v>
      </c>
      <c r="J3057" s="211">
        <f>IFERROR(__xludf.DUMMYFUNCTION("""COMPUTED_VALUE"""),1.0)</f>
        <v>1</v>
      </c>
      <c r="K3057" s="210" t="str">
        <f>IFERROR(__xludf.DUMMYFUNCTION("""COMPUTED_VALUE"""),"1117")</f>
        <v>1117</v>
      </c>
      <c r="L3057" s="211">
        <f>IFERROR(__xludf.DUMMYFUNCTION("""COMPUTED_VALUE"""),65000.0)</f>
        <v>65000</v>
      </c>
      <c r="M3057" s="211"/>
      <c r="N3057" s="211"/>
      <c r="O3057" s="211"/>
      <c r="Q3057" s="210" t="str">
        <f>IFERROR(__xludf.DUMMYFUNCTION("""COMPUTED_VALUE"""),"04261033050")</f>
        <v>04261033050</v>
      </c>
      <c r="R3057" s="210" t="str">
        <f>IFERROR(__xludf.DUMMYFUNCTION("""COMPUTED_VALUE"""),"04261033050")</f>
        <v>04261033050</v>
      </c>
      <c r="S3057" s="211" t="str">
        <f>IFERROR(__xludf.DUMMYFUNCTION("""COMPUTED_VALUE"""),"b2b5f2c5")</f>
        <v>b2b5f2c5</v>
      </c>
      <c r="T3057" s="211" t="str">
        <f>IFERROR(__xludf.DUMMYFUNCTION("""COMPUTED_VALUE"""),"Bengkel Las Bpk. Ari")</f>
        <v>Bengkel Las Bpk. Ari</v>
      </c>
      <c r="U3057" s="215">
        <f>IFERROR(__xludf.DUMMYFUNCTION("""COMPUTED_VALUE"""),46125.35922453704)</f>
        <v>46125.35922</v>
      </c>
      <c r="V3057" s="211" t="str">
        <f>IFERROR(__xludf.DUMMYFUNCTION("""COMPUTED_VALUE"""),"Sumber Kembar, Wonodadi, Kec. Kutorejo, Kabupaten Mojokerto, Jawa Timur")</f>
        <v>Sumber Kembar, Wonodadi, Kec. Kutorejo, Kabupaten Mojokerto, Jawa Timur</v>
      </c>
      <c r="W3057" s="211" t="str">
        <f>IFERROR(__xludf.DUMMYFUNCTION("""COMPUTED_VALUE"""),"OUT")</f>
        <v>OUT</v>
      </c>
      <c r="X3057" s="211"/>
    </row>
    <row r="3058">
      <c r="A3058" s="210" t="str">
        <f>IFERROR(__xludf.DUMMYFUNCTION("""COMPUTED_VALUE"""),"012652134")</f>
        <v>012652134</v>
      </c>
      <c r="B3058" s="210" t="str">
        <f>IFERROR(__xludf.DUMMYFUNCTION("""COMPUTED_VALUE"""),"012652134")</f>
        <v>012652134</v>
      </c>
      <c r="C3058" s="213">
        <f>IFERROR(__xludf.DUMMYFUNCTION("""COMPUTED_VALUE"""),46024.46295138889)</f>
        <v>46024.46295</v>
      </c>
      <c r="D3058" s="211" t="str">
        <f>IFERROR(__xludf.DUMMYFUNCTION("""COMPUTED_VALUE"""),"f49860e4")</f>
        <v>f49860e4</v>
      </c>
      <c r="E3058" s="211" t="str">
        <f>IFERROR(__xludf.DUMMYFUNCTION("""COMPUTED_VALUE"""),"Mas Nur ( Jetis )")</f>
        <v>Mas Nur ( Jetis )</v>
      </c>
      <c r="F3058" s="211" t="str">
        <f>IFERROR(__xludf.DUMMYFUNCTION("""COMPUTED_VALUE"""),"8bdbe149")</f>
        <v>8bdbe149</v>
      </c>
      <c r="G3058" s="211" t="str">
        <f>IFERROR(__xludf.DUMMYFUNCTION("""COMPUTED_VALUE"""),"Oksigen 6m3")</f>
        <v>Oksigen 6m3</v>
      </c>
      <c r="H3058" s="211" t="str">
        <f>IFERROR(__xludf.DUMMYFUNCTION("""COMPUTED_VALUE"""),"OUT")</f>
        <v>OUT</v>
      </c>
      <c r="I3058" s="211" t="str">
        <f>IFERROR(__xludf.DUMMYFUNCTION("""COMPUTED_VALUE"""),"NORMAL")</f>
        <v>NORMAL</v>
      </c>
      <c r="J3058" s="211">
        <f>IFERROR(__xludf.DUMMYFUNCTION("""COMPUTED_VALUE"""),2.0)</f>
        <v>2</v>
      </c>
      <c r="K3058" s="210" t="str">
        <f>IFERROR(__xludf.DUMMYFUNCTION("""COMPUTED_VALUE"""),"11325 11328")</f>
        <v>11325 11328</v>
      </c>
      <c r="L3058" s="211">
        <f>IFERROR(__xludf.DUMMYFUNCTION("""COMPUTED_VALUE"""),60000.0)</f>
        <v>60000</v>
      </c>
      <c r="M3058" s="211"/>
      <c r="N3058" s="211"/>
      <c r="O3058" s="211"/>
      <c r="Q3058" s="210" t="str">
        <f>IFERROR(__xludf.DUMMYFUNCTION("""COMPUTED_VALUE"""),"0426123058")</f>
        <v>0426123058</v>
      </c>
      <c r="R3058" s="210" t="str">
        <f>IFERROR(__xludf.DUMMYFUNCTION("""COMPUTED_VALUE"""),"0426123058")</f>
        <v>0426123058</v>
      </c>
      <c r="S3058" s="211" t="str">
        <f>IFERROR(__xludf.DUMMYFUNCTION("""COMPUTED_VALUE"""),"d9b2fac5")</f>
        <v>d9b2fac5</v>
      </c>
      <c r="T3058" s="211" t="str">
        <f>IFERROR(__xludf.DUMMYFUNCTION("""COMPUTED_VALUE"""),"Dwi Riza ( Ponokawan)")</f>
        <v>Dwi Riza ( Ponokawan)</v>
      </c>
      <c r="U3058" s="215">
        <f>IFERROR(__xludf.DUMMYFUNCTION("""COMPUTED_VALUE"""),46125.360034722224)</f>
        <v>46125.36003</v>
      </c>
      <c r="V3058" s="211" t="str">
        <f>IFERROR(__xludf.DUMMYFUNCTION("""COMPUTED_VALUE"""),"Jl. Raya Ponokawan No.28 RT 07 RW 03 Kec. Krian Sidoarjo (Seberang Bengkel An.Nur/ Deretan Baraka Expres)")</f>
        <v>Jl. Raya Ponokawan No.28 RT 07 RW 03 Kec. Krian Sidoarjo (Seberang Bengkel An.Nur/ Deretan Baraka Expres)</v>
      </c>
      <c r="W3058" s="211" t="str">
        <f>IFERROR(__xludf.DUMMYFUNCTION("""COMPUTED_VALUE"""),"OUT")</f>
        <v>OUT</v>
      </c>
      <c r="X3058" s="211"/>
    </row>
    <row r="3059">
      <c r="A3059" s="210" t="str">
        <f>IFERROR(__xludf.DUMMYFUNCTION("""COMPUTED_VALUE"""),"1251038")</f>
        <v>1251038</v>
      </c>
      <c r="B3059" s="210" t="str">
        <f>IFERROR(__xludf.DUMMYFUNCTION("""COMPUTED_VALUE"""),"1251038")</f>
        <v>1251038</v>
      </c>
      <c r="C3059" s="213">
        <f>IFERROR(__xludf.DUMMYFUNCTION("""COMPUTED_VALUE"""),46024.53482638889)</f>
        <v>46024.53483</v>
      </c>
      <c r="D3059" s="211" t="str">
        <f>IFERROR(__xludf.DUMMYFUNCTION("""COMPUTED_VALUE"""),"63fc688a")</f>
        <v>63fc688a</v>
      </c>
      <c r="E3059" s="211" t="str">
        <f>IFERROR(__xludf.DUMMYFUNCTION("""COMPUTED_VALUE"""),"CV Malik Nusantara")</f>
        <v>CV Malik Nusantara</v>
      </c>
      <c r="F3059" s="211" t="str">
        <f>IFERROR(__xludf.DUMMYFUNCTION("""COMPUTED_VALUE"""),"8bdbe149")</f>
        <v>8bdbe149</v>
      </c>
      <c r="G3059" s="211" t="str">
        <f>IFERROR(__xludf.DUMMYFUNCTION("""COMPUTED_VALUE"""),"Oksigen 6m3")</f>
        <v>Oksigen 6m3</v>
      </c>
      <c r="H3059" s="211" t="str">
        <f>IFERROR(__xludf.DUMMYFUNCTION("""COMPUTED_VALUE"""),"IN")</f>
        <v>IN</v>
      </c>
      <c r="I3059" s="211" t="str">
        <f>IFERROR(__xludf.DUMMYFUNCTION("""COMPUTED_VALUE"""),"EMPTY")</f>
        <v>EMPTY</v>
      </c>
      <c r="J3059" s="211">
        <f>IFERROR(__xludf.DUMMYFUNCTION("""COMPUTED_VALUE"""),1.0)</f>
        <v>1</v>
      </c>
      <c r="K3059" s="210" t="str">
        <f>IFERROR(__xludf.DUMMYFUNCTION("""COMPUTED_VALUE"""),"1129")</f>
        <v>1129</v>
      </c>
      <c r="L3059" s="211">
        <f>IFERROR(__xludf.DUMMYFUNCTION("""COMPUTED_VALUE"""),0.0)</f>
        <v>0</v>
      </c>
      <c r="M3059" s="211"/>
      <c r="N3059" s="211"/>
      <c r="O3059" s="211"/>
      <c r="Q3059" s="210" t="str">
        <f>IFERROR(__xludf.DUMMYFUNCTION("""COMPUTED_VALUE"""),"0426153059")</f>
        <v>0426153059</v>
      </c>
      <c r="R3059" s="210" t="str">
        <f>IFERROR(__xludf.DUMMYFUNCTION("""COMPUTED_VALUE"""),"0426153059")</f>
        <v>0426153059</v>
      </c>
      <c r="S3059" s="211" t="str">
        <f>IFERROR(__xludf.DUMMYFUNCTION("""COMPUTED_VALUE"""),"9828dfc5")</f>
        <v>9828dfc5</v>
      </c>
      <c r="T3059" s="211" t="str">
        <f>IFERROR(__xludf.DUMMYFUNCTION("""COMPUTED_VALUE"""),"Bpk. David")</f>
        <v>Bpk. David</v>
      </c>
      <c r="U3059" s="215">
        <f>IFERROR(__xludf.DUMMYFUNCTION("""COMPUTED_VALUE"""),46125.36314814815)</f>
        <v>46125.36315</v>
      </c>
      <c r="V3059" s="211" t="str">
        <f>IFERROR(__xludf.DUMMYFUNCTION("""COMPUTED_VALUE"""),"GHF3+R34, Jl. Kartini, Ngingas, Ngimbangan, Kec. Mojosari, Kabupaten Mojokerto, Jawa Timur 61382")</f>
        <v>GHF3+R34, Jl. Kartini, Ngingas, Ngimbangan, Kec. Mojosari, Kabupaten Mojokerto, Jawa Timur 61382</v>
      </c>
      <c r="W3059" s="211" t="str">
        <f>IFERROR(__xludf.DUMMYFUNCTION("""COMPUTED_VALUE"""),"OUT")</f>
        <v>OUT</v>
      </c>
      <c r="X3059" s="211"/>
    </row>
    <row r="3060">
      <c r="A3060" s="210" t="str">
        <f>IFERROR(__xludf.DUMMYFUNCTION("""COMPUTED_VALUE"""),"1251037")</f>
        <v>1251037</v>
      </c>
      <c r="B3060" s="210" t="str">
        <f>IFERROR(__xludf.DUMMYFUNCTION("""COMPUTED_VALUE"""),"1251037")</f>
        <v>1251037</v>
      </c>
      <c r="C3060" s="213">
        <f>IFERROR(__xludf.DUMMYFUNCTION("""COMPUTED_VALUE"""),46024.535219907404)</f>
        <v>46024.53522</v>
      </c>
      <c r="D3060" s="211" t="str">
        <f>IFERROR(__xludf.DUMMYFUNCTION("""COMPUTED_VALUE"""),"f49860e4")</f>
        <v>f49860e4</v>
      </c>
      <c r="E3060" s="211" t="str">
        <f>IFERROR(__xludf.DUMMYFUNCTION("""COMPUTED_VALUE"""),"Mas Nur ( Jetis )")</f>
        <v>Mas Nur ( Jetis )</v>
      </c>
      <c r="F3060" s="211" t="str">
        <f>IFERROR(__xludf.DUMMYFUNCTION("""COMPUTED_VALUE"""),"8bdbe149")</f>
        <v>8bdbe149</v>
      </c>
      <c r="G3060" s="211" t="str">
        <f>IFERROR(__xludf.DUMMYFUNCTION("""COMPUTED_VALUE"""),"Oksigen 6m3")</f>
        <v>Oksigen 6m3</v>
      </c>
      <c r="H3060" s="211" t="str">
        <f>IFERROR(__xludf.DUMMYFUNCTION("""COMPUTED_VALUE"""),"IN")</f>
        <v>IN</v>
      </c>
      <c r="I3060" s="211" t="str">
        <f>IFERROR(__xludf.DUMMYFUNCTION("""COMPUTED_VALUE"""),"EMPTY")</f>
        <v>EMPTY</v>
      </c>
      <c r="J3060" s="211">
        <f>IFERROR(__xludf.DUMMYFUNCTION("""COMPUTED_VALUE"""),2.0)</f>
        <v>2</v>
      </c>
      <c r="K3060" s="210" t="str">
        <f>IFERROR(__xludf.DUMMYFUNCTION("""COMPUTED_VALUE"""),"11183 11255")</f>
        <v>11183 11255</v>
      </c>
      <c r="L3060" s="211">
        <f>IFERROR(__xludf.DUMMYFUNCTION("""COMPUTED_VALUE"""),0.0)</f>
        <v>0</v>
      </c>
      <c r="M3060" s="211"/>
      <c r="N3060" s="211"/>
      <c r="O3060" s="211"/>
      <c r="Q3060" s="210" t="str">
        <f>IFERROR(__xludf.DUMMYFUNCTION("""COMPUTED_VALUE"""),"042663060")</f>
        <v>042663060</v>
      </c>
      <c r="R3060" s="210" t="str">
        <f>IFERROR(__xludf.DUMMYFUNCTION("""COMPUTED_VALUE"""),"042663060")</f>
        <v>042663060</v>
      </c>
      <c r="S3060" s="211" t="str">
        <f>IFERROR(__xludf.DUMMYFUNCTION("""COMPUTED_VALUE"""),"58b72e0c")</f>
        <v>58b72e0c</v>
      </c>
      <c r="T3060" s="211" t="str">
        <f>IFERROR(__xludf.DUMMYFUNCTION("""COMPUTED_VALUE"""),"UD. Ais Jaya")</f>
        <v>UD. Ais Jaya</v>
      </c>
      <c r="U3060" s="215">
        <f>IFERROR(__xludf.DUMMYFUNCTION("""COMPUTED_VALUE"""),46125.36599537037)</f>
        <v>46125.366</v>
      </c>
      <c r="V3060" s="211" t="str">
        <f>IFERROR(__xludf.DUMMYFUNCTION("""COMPUTED_VALUE"""),"Jl. Bypass Krian, Kraton, Kec. Krian, Kabupaten Sidoarjo, Jawa Timur 61262")</f>
        <v>Jl. Bypass Krian, Kraton, Kec. Krian, Kabupaten Sidoarjo, Jawa Timur 61262</v>
      </c>
      <c r="W3060" s="211" t="str">
        <f>IFERROR(__xludf.DUMMYFUNCTION("""COMPUTED_VALUE"""),"OUT")</f>
        <v>OUT</v>
      </c>
      <c r="X3060" s="211"/>
    </row>
    <row r="3061">
      <c r="A3061" s="210" t="str">
        <f>IFERROR(__xludf.DUMMYFUNCTION("""COMPUTED_VALUE"""),"1251036")</f>
        <v>1251036</v>
      </c>
      <c r="B3061" s="210" t="str">
        <f>IFERROR(__xludf.DUMMYFUNCTION("""COMPUTED_VALUE"""),"1251036")</f>
        <v>1251036</v>
      </c>
      <c r="C3061" s="213">
        <f>IFERROR(__xludf.DUMMYFUNCTION("""COMPUTED_VALUE"""),46024.53575231481)</f>
        <v>46024.53575</v>
      </c>
      <c r="D3061" s="211" t="str">
        <f>IFERROR(__xludf.DUMMYFUNCTION("""COMPUTED_VALUE"""),"d46989c9")</f>
        <v>d46989c9</v>
      </c>
      <c r="E3061" s="211" t="str">
        <f>IFERROR(__xludf.DUMMYFUNCTION("""COMPUTED_VALUE"""),"UD. Alin Jaya")</f>
        <v>UD. Alin Jaya</v>
      </c>
      <c r="F3061" s="211" t="str">
        <f>IFERROR(__xludf.DUMMYFUNCTION("""COMPUTED_VALUE"""),"8bdbe149")</f>
        <v>8bdbe149</v>
      </c>
      <c r="G3061" s="211" t="str">
        <f>IFERROR(__xludf.DUMMYFUNCTION("""COMPUTED_VALUE"""),"Oksigen 6m3")</f>
        <v>Oksigen 6m3</v>
      </c>
      <c r="H3061" s="211" t="str">
        <f>IFERROR(__xludf.DUMMYFUNCTION("""COMPUTED_VALUE"""),"IN")</f>
        <v>IN</v>
      </c>
      <c r="I3061" s="211" t="str">
        <f>IFERROR(__xludf.DUMMYFUNCTION("""COMPUTED_VALUE"""),"EMPTY")</f>
        <v>EMPTY</v>
      </c>
      <c r="J3061" s="211">
        <f>IFERROR(__xludf.DUMMYFUNCTION("""COMPUTED_VALUE"""),1.0)</f>
        <v>1</v>
      </c>
      <c r="K3061" s="210" t="str">
        <f>IFERROR(__xludf.DUMMYFUNCTION("""COMPUTED_VALUE"""),"1181")</f>
        <v>1181</v>
      </c>
      <c r="L3061" s="211">
        <f>IFERROR(__xludf.DUMMYFUNCTION("""COMPUTED_VALUE"""),0.0)</f>
        <v>0</v>
      </c>
      <c r="M3061" s="211"/>
      <c r="N3061" s="211"/>
      <c r="O3061" s="211"/>
      <c r="Q3061" s="210" t="str">
        <f>IFERROR(__xludf.DUMMYFUNCTION("""COMPUTED_VALUE"""),"042623061")</f>
        <v>042623061</v>
      </c>
      <c r="R3061" s="210" t="str">
        <f>IFERROR(__xludf.DUMMYFUNCTION("""COMPUTED_VALUE"""),"042623061")</f>
        <v>042623061</v>
      </c>
      <c r="S3061" s="211" t="str">
        <f>IFERROR(__xludf.DUMMYFUNCTION("""COMPUTED_VALUE"""),"dcc017cb")</f>
        <v>dcc017cb</v>
      </c>
      <c r="T3061" s="211" t="str">
        <f>IFERROR(__xludf.DUMMYFUNCTION("""COMPUTED_VALUE"""),"Bpk Hidayat")</f>
        <v>Bpk Hidayat</v>
      </c>
      <c r="U3061" s="215">
        <f>IFERROR(__xludf.DUMMYFUNCTION("""COMPUTED_VALUE"""),46125.4134375)</f>
        <v>46125.41344</v>
      </c>
      <c r="V3061" s="211" t="str">
        <f>IFERROR(__xludf.DUMMYFUNCTION("""COMPUTED_VALUE"""),"HGM4+WM2, Kendal Bakung, Bakungpringgondani, Kec. BalongBendo, Kabupaten Sidoarjo, Jawa Timur 61263")</f>
        <v>HGM4+WM2, Kendal Bakung, Bakungpringgondani, Kec. BalongBendo, Kabupaten Sidoarjo, Jawa Timur 61263</v>
      </c>
      <c r="W3061" s="211" t="str">
        <f>IFERROR(__xludf.DUMMYFUNCTION("""COMPUTED_VALUE"""),"OUT")</f>
        <v>OUT</v>
      </c>
      <c r="X3061" s="211"/>
    </row>
    <row r="3062">
      <c r="A3062" s="210" t="str">
        <f>IFERROR(__xludf.DUMMYFUNCTION("""COMPUTED_VALUE"""),"1251029")</f>
        <v>1251029</v>
      </c>
      <c r="B3062" s="210" t="str">
        <f>IFERROR(__xludf.DUMMYFUNCTION("""COMPUTED_VALUE"""),"1251029")</f>
        <v>1251029</v>
      </c>
      <c r="C3062" s="213">
        <f>IFERROR(__xludf.DUMMYFUNCTION("""COMPUTED_VALUE"""),46024.53601851852)</f>
        <v>46024.53602</v>
      </c>
      <c r="D3062" s="211" t="str">
        <f>IFERROR(__xludf.DUMMYFUNCTION("""COMPUTED_VALUE"""),"3b04351a")</f>
        <v>3b04351a</v>
      </c>
      <c r="E3062" s="211" t="str">
        <f>IFERROR(__xludf.DUMMYFUNCTION("""COMPUTED_VALUE"""),"CV Usaha Logam Jaya ( Bpk Putra )")</f>
        <v>CV Usaha Logam Jaya ( Bpk Putra )</v>
      </c>
      <c r="F3062" s="211" t="str">
        <f>IFERROR(__xludf.DUMMYFUNCTION("""COMPUTED_VALUE"""),"be525f3b")</f>
        <v>be525f3b</v>
      </c>
      <c r="G3062" s="211" t="str">
        <f>IFERROR(__xludf.DUMMYFUNCTION("""COMPUTED_VALUE"""),"LPG 12kg")</f>
        <v>LPG 12kg</v>
      </c>
      <c r="H3062" s="211" t="str">
        <f>IFERROR(__xludf.DUMMYFUNCTION("""COMPUTED_VALUE"""),"IN")</f>
        <v>IN</v>
      </c>
      <c r="I3062" s="211" t="str">
        <f>IFERROR(__xludf.DUMMYFUNCTION("""COMPUTED_VALUE"""),"EMPTY")</f>
        <v>EMPTY</v>
      </c>
      <c r="J3062" s="211">
        <f>IFERROR(__xludf.DUMMYFUNCTION("""COMPUTED_VALUE"""),2.0)</f>
        <v>2</v>
      </c>
      <c r="K3062" s="210" t="str">
        <f>IFERROR(__xludf.DUMMYFUNCTION("""COMPUTED_VALUE"""),"01 02")</f>
        <v>01 02</v>
      </c>
      <c r="L3062" s="211">
        <f>IFERROR(__xludf.DUMMYFUNCTION("""COMPUTED_VALUE"""),0.0)</f>
        <v>0</v>
      </c>
      <c r="M3062" s="211"/>
      <c r="N3062" s="211"/>
      <c r="O3062" s="211"/>
      <c r="Q3062" s="210" t="str">
        <f>IFERROR(__xludf.DUMMYFUNCTION("""COMPUTED_VALUE"""),"1261522")</f>
        <v>1261522</v>
      </c>
      <c r="R3062" s="210" t="str">
        <f>IFERROR(__xludf.DUMMYFUNCTION("""COMPUTED_VALUE"""),"1261522")</f>
        <v>1261522</v>
      </c>
      <c r="S3062" s="211" t="str">
        <f>IFERROR(__xludf.DUMMYFUNCTION("""COMPUTED_VALUE"""),"d9b2fac5")</f>
        <v>d9b2fac5</v>
      </c>
      <c r="T3062" s="211" t="str">
        <f>IFERROR(__xludf.DUMMYFUNCTION("""COMPUTED_VALUE"""),"Dwi Riza ( Ponokawan)")</f>
        <v>Dwi Riza ( Ponokawan)</v>
      </c>
      <c r="U3062" s="215">
        <f>IFERROR(__xludf.DUMMYFUNCTION("""COMPUTED_VALUE"""),46125.42545138889)</f>
        <v>46125.42545</v>
      </c>
      <c r="V3062" s="211" t="str">
        <f>IFERROR(__xludf.DUMMYFUNCTION("""COMPUTED_VALUE"""),"Jl. Raya Ponokawan No.28 RT 07 RW 03 Kec. Krian Sidoarjo (Seberang Bengkel An.Nur/ Deretan Baraka Expres)")</f>
        <v>Jl. Raya Ponokawan No.28 RT 07 RW 03 Kec. Krian Sidoarjo (Seberang Bengkel An.Nur/ Deretan Baraka Expres)</v>
      </c>
      <c r="W3062" s="211" t="str">
        <f>IFERROR(__xludf.DUMMYFUNCTION("""COMPUTED_VALUE"""),"IN")</f>
        <v>IN</v>
      </c>
      <c r="X3062" s="211"/>
    </row>
    <row r="3063">
      <c r="A3063" s="210" t="str">
        <f>IFERROR(__xludf.DUMMYFUNCTION("""COMPUTED_VALUE"""),"1251029")</f>
        <v>1251029</v>
      </c>
      <c r="B3063" s="210" t="str">
        <f>IFERROR(__xludf.DUMMYFUNCTION("""COMPUTED_VALUE"""),"1251029")</f>
        <v>1251029</v>
      </c>
      <c r="C3063" s="213">
        <f>IFERROR(__xludf.DUMMYFUNCTION("""COMPUTED_VALUE"""),46024.53601851852)</f>
        <v>46024.53602</v>
      </c>
      <c r="D3063" s="211" t="str">
        <f>IFERROR(__xludf.DUMMYFUNCTION("""COMPUTED_VALUE"""),"3b04351a")</f>
        <v>3b04351a</v>
      </c>
      <c r="E3063" s="211" t="str">
        <f>IFERROR(__xludf.DUMMYFUNCTION("""COMPUTED_VALUE"""),"CV Usaha Logam Jaya ( Bpk Putra )")</f>
        <v>CV Usaha Logam Jaya ( Bpk Putra )</v>
      </c>
      <c r="F3063" s="211" t="str">
        <f>IFERROR(__xludf.DUMMYFUNCTION("""COMPUTED_VALUE"""),"7d2764f1")</f>
        <v>7d2764f1</v>
      </c>
      <c r="G3063" s="211" t="str">
        <f>IFERROR(__xludf.DUMMYFUNCTION("""COMPUTED_VALUE"""),"Oksigen 7m3")</f>
        <v>Oksigen 7m3</v>
      </c>
      <c r="H3063" s="211" t="str">
        <f>IFERROR(__xludf.DUMMYFUNCTION("""COMPUTED_VALUE"""),"IN")</f>
        <v>IN</v>
      </c>
      <c r="I3063" s="211" t="str">
        <f>IFERROR(__xludf.DUMMYFUNCTION("""COMPUTED_VALUE"""),"EMPTY")</f>
        <v>EMPTY</v>
      </c>
      <c r="J3063" s="211">
        <f>IFERROR(__xludf.DUMMYFUNCTION("""COMPUTED_VALUE"""),6.0)</f>
        <v>6</v>
      </c>
      <c r="K3063" s="210" t="str">
        <f>IFERROR(__xludf.DUMMYFUNCTION("""COMPUTED_VALUE"""),"11153 11137 11162 11160 11152 11174")</f>
        <v>11153 11137 11162 11160 11152 11174</v>
      </c>
      <c r="L3063" s="211">
        <f>IFERROR(__xludf.DUMMYFUNCTION("""COMPUTED_VALUE"""),0.0)</f>
        <v>0</v>
      </c>
      <c r="M3063" s="211"/>
      <c r="N3063" s="211"/>
      <c r="O3063" s="211"/>
      <c r="Q3063" s="210" t="str">
        <f>IFERROR(__xludf.DUMMYFUNCTION("""COMPUTED_VALUE"""),"1261523")</f>
        <v>1261523</v>
      </c>
      <c r="R3063" s="210" t="str">
        <f>IFERROR(__xludf.DUMMYFUNCTION("""COMPUTED_VALUE"""),"1261523")</f>
        <v>1261523</v>
      </c>
      <c r="S3063" s="211" t="str">
        <f>IFERROR(__xludf.DUMMYFUNCTION("""COMPUTED_VALUE"""),"dcc017cb")</f>
        <v>dcc017cb</v>
      </c>
      <c r="T3063" s="211" t="str">
        <f>IFERROR(__xludf.DUMMYFUNCTION("""COMPUTED_VALUE"""),"Bpk Hidayat")</f>
        <v>Bpk Hidayat</v>
      </c>
      <c r="U3063" s="215">
        <f>IFERROR(__xludf.DUMMYFUNCTION("""COMPUTED_VALUE"""),46125.52912037037)</f>
        <v>46125.52912</v>
      </c>
      <c r="V3063" s="211" t="str">
        <f>IFERROR(__xludf.DUMMYFUNCTION("""COMPUTED_VALUE"""),"HGM4+WM2, Kendal Bakung, Bakungpringgondani, Kec. BalongBendo, Kabupaten Sidoarjo, Jawa Timur 61263")</f>
        <v>HGM4+WM2, Kendal Bakung, Bakungpringgondani, Kec. BalongBendo, Kabupaten Sidoarjo, Jawa Timur 61263</v>
      </c>
      <c r="W3063" s="211" t="str">
        <f>IFERROR(__xludf.DUMMYFUNCTION("""COMPUTED_VALUE"""),"IN")</f>
        <v>IN</v>
      </c>
      <c r="X3063" s="211"/>
    </row>
    <row r="3064">
      <c r="A3064" s="210" t="str">
        <f>IFERROR(__xludf.DUMMYFUNCTION("""COMPUTED_VALUE"""),"1251029")</f>
        <v>1251029</v>
      </c>
      <c r="B3064" s="210" t="str">
        <f>IFERROR(__xludf.DUMMYFUNCTION("""COMPUTED_VALUE"""),"1251029")</f>
        <v>1251029</v>
      </c>
      <c r="C3064" s="213">
        <f>IFERROR(__xludf.DUMMYFUNCTION("""COMPUTED_VALUE"""),46024.53601851852)</f>
        <v>46024.53602</v>
      </c>
      <c r="D3064" s="211" t="str">
        <f>IFERROR(__xludf.DUMMYFUNCTION("""COMPUTED_VALUE"""),"3b04351a")</f>
        <v>3b04351a</v>
      </c>
      <c r="E3064" s="211" t="str">
        <f>IFERROR(__xludf.DUMMYFUNCTION("""COMPUTED_VALUE"""),"CV Usaha Logam Jaya ( Bpk Putra )")</f>
        <v>CV Usaha Logam Jaya ( Bpk Putra )</v>
      </c>
      <c r="F3064" s="211" t="str">
        <f>IFERROR(__xludf.DUMMYFUNCTION("""COMPUTED_VALUE"""),"8bdbe149")</f>
        <v>8bdbe149</v>
      </c>
      <c r="G3064" s="211" t="str">
        <f>IFERROR(__xludf.DUMMYFUNCTION("""COMPUTED_VALUE"""),"Oksigen 6m3")</f>
        <v>Oksigen 6m3</v>
      </c>
      <c r="H3064" s="211" t="str">
        <f>IFERROR(__xludf.DUMMYFUNCTION("""COMPUTED_VALUE"""),"IN")</f>
        <v>IN</v>
      </c>
      <c r="I3064" s="211" t="str">
        <f>IFERROR(__xludf.DUMMYFUNCTION("""COMPUTED_VALUE"""),"EMPTY")</f>
        <v>EMPTY</v>
      </c>
      <c r="J3064" s="211">
        <f>IFERROR(__xludf.DUMMYFUNCTION("""COMPUTED_VALUE"""),18.0)</f>
        <v>18</v>
      </c>
      <c r="K3064" s="210" t="str">
        <f>IFERROR(__xludf.DUMMYFUNCTION("""COMPUTED_VALUE"""),"11165 11240 1169 1138 1132 11248 11275 11242 11251 11209 1139 1176 1194 11247 1152 1190 11121 11257")</f>
        <v>11165 11240 1169 1138 1132 11248 11275 11242 11251 11209 1139 1176 1194 11247 1152 1190 11121 11257</v>
      </c>
      <c r="L3064" s="211">
        <f>IFERROR(__xludf.DUMMYFUNCTION("""COMPUTED_VALUE"""),0.0)</f>
        <v>0</v>
      </c>
      <c r="M3064" s="211"/>
      <c r="N3064" s="211"/>
      <c r="O3064" s="211"/>
      <c r="Q3064" s="210" t="str">
        <f>IFERROR(__xludf.DUMMYFUNCTION("""COMPUTED_VALUE"""),"1261525")</f>
        <v>1261525</v>
      </c>
      <c r="R3064" s="210" t="str">
        <f>IFERROR(__xludf.DUMMYFUNCTION("""COMPUTED_VALUE"""),"1261525")</f>
        <v>1261525</v>
      </c>
      <c r="S3064" s="211" t="str">
        <f>IFERROR(__xludf.DUMMYFUNCTION("""COMPUTED_VALUE"""),"63fc688a")</f>
        <v>63fc688a</v>
      </c>
      <c r="T3064" s="211" t="str">
        <f>IFERROR(__xludf.DUMMYFUNCTION("""COMPUTED_VALUE"""),"CV Malik Nusantara")</f>
        <v>CV Malik Nusantara</v>
      </c>
      <c r="U3064" s="215">
        <f>IFERROR(__xludf.DUMMYFUNCTION("""COMPUTED_VALUE"""),46125.52958333334)</f>
        <v>46125.52958</v>
      </c>
      <c r="V3064" s="211" t="str">
        <f>IFERROR(__xludf.DUMMYFUNCTION("""COMPUTED_VALUE"""),"Jl. Raya Balongbendo No.12, Suwaluh Utara, Suwaluh, Kec. BalongBendo, Kabupaten Sidoarjo, Jawa Timur 61263")</f>
        <v>Jl. Raya Balongbendo No.12, Suwaluh Utara, Suwaluh, Kec. BalongBendo, Kabupaten Sidoarjo, Jawa Timur 61263</v>
      </c>
      <c r="W3064" s="211" t="str">
        <f>IFERROR(__xludf.DUMMYFUNCTION("""COMPUTED_VALUE"""),"IN")</f>
        <v>IN</v>
      </c>
      <c r="X3064" s="211"/>
    </row>
    <row r="3065">
      <c r="A3065" s="210" t="str">
        <f>IFERROR(__xludf.DUMMYFUNCTION("""COMPUTED_VALUE"""),"0126362135")</f>
        <v>0126362135</v>
      </c>
      <c r="B3065" s="210" t="str">
        <f>IFERROR(__xludf.DUMMYFUNCTION("""COMPUTED_VALUE"""),"0126362135")</f>
        <v>0126362135</v>
      </c>
      <c r="C3065" s="213">
        <f>IFERROR(__xludf.DUMMYFUNCTION("""COMPUTED_VALUE"""),46024.65027777778)</f>
        <v>46024.65028</v>
      </c>
      <c r="D3065" s="211" t="str">
        <f>IFERROR(__xludf.DUMMYFUNCTION("""COMPUTED_VALUE"""),"ec231cc9")</f>
        <v>ec231cc9</v>
      </c>
      <c r="E3065" s="211" t="str">
        <f>IFERROR(__xludf.DUMMYFUNCTION("""COMPUTED_VALUE"""),"Bpk. Kohir (Maintenance Velg)")</f>
        <v>Bpk. Kohir (Maintenance Velg)</v>
      </c>
      <c r="F3065" s="211" t="str">
        <f>IFERROR(__xludf.DUMMYFUNCTION("""COMPUTED_VALUE"""),"8bdbe149")</f>
        <v>8bdbe149</v>
      </c>
      <c r="G3065" s="211" t="str">
        <f>IFERROR(__xludf.DUMMYFUNCTION("""COMPUTED_VALUE"""),"Oksigen 6m3")</f>
        <v>Oksigen 6m3</v>
      </c>
      <c r="H3065" s="211" t="str">
        <f>IFERROR(__xludf.DUMMYFUNCTION("""COMPUTED_VALUE"""),"OUT")</f>
        <v>OUT</v>
      </c>
      <c r="I3065" s="211" t="str">
        <f>IFERROR(__xludf.DUMMYFUNCTION("""COMPUTED_VALUE"""),"NORMAL")</f>
        <v>NORMAL</v>
      </c>
      <c r="J3065" s="211">
        <f>IFERROR(__xludf.DUMMYFUNCTION("""COMPUTED_VALUE"""),4.0)</f>
        <v>4</v>
      </c>
      <c r="K3065" s="210" t="str">
        <f>IFERROR(__xludf.DUMMYFUNCTION("""COMPUTED_VALUE"""),"11240 11132 1194 11209")</f>
        <v>11240 11132 1194 11209</v>
      </c>
      <c r="L3065" s="211">
        <f>IFERROR(__xludf.DUMMYFUNCTION("""COMPUTED_VALUE"""),55000.0)</f>
        <v>55000</v>
      </c>
      <c r="M3065" s="211"/>
      <c r="N3065" s="211"/>
      <c r="O3065" s="211"/>
      <c r="Q3065" s="210" t="str">
        <f>IFERROR(__xludf.DUMMYFUNCTION("""COMPUTED_VALUE"""),"1261533")</f>
        <v>1261533</v>
      </c>
      <c r="R3065" s="210" t="str">
        <f>IFERROR(__xludf.DUMMYFUNCTION("""COMPUTED_VALUE"""),"1261533")</f>
        <v>1261533</v>
      </c>
      <c r="S3065" s="211" t="str">
        <f>IFERROR(__xludf.DUMMYFUNCTION("""COMPUTED_VALUE"""),"b2b5f2c5")</f>
        <v>b2b5f2c5</v>
      </c>
      <c r="T3065" s="211" t="str">
        <f>IFERROR(__xludf.DUMMYFUNCTION("""COMPUTED_VALUE"""),"Bengkel Las Bpk. Ari")</f>
        <v>Bengkel Las Bpk. Ari</v>
      </c>
      <c r="U3065" s="215">
        <f>IFERROR(__xludf.DUMMYFUNCTION("""COMPUTED_VALUE"""),46125.531909722224)</f>
        <v>46125.53191</v>
      </c>
      <c r="V3065" s="211" t="str">
        <f>IFERROR(__xludf.DUMMYFUNCTION("""COMPUTED_VALUE"""),"Sumber Kembar, Wonodadi, Kec. Kutorejo, Kabupaten Mojokerto, Jawa Timur")</f>
        <v>Sumber Kembar, Wonodadi, Kec. Kutorejo, Kabupaten Mojokerto, Jawa Timur</v>
      </c>
      <c r="W3065" s="211" t="str">
        <f>IFERROR(__xludf.DUMMYFUNCTION("""COMPUTED_VALUE"""),"IN")</f>
        <v>IN</v>
      </c>
      <c r="X3065" s="211"/>
    </row>
    <row r="3066">
      <c r="A3066" s="210" t="str">
        <f>IFERROR(__xludf.DUMMYFUNCTION("""COMPUTED_VALUE"""),"0126362135")</f>
        <v>0126362135</v>
      </c>
      <c r="B3066" s="210" t="str">
        <f>IFERROR(__xludf.DUMMYFUNCTION("""COMPUTED_VALUE"""),"0126362135")</f>
        <v>0126362135</v>
      </c>
      <c r="C3066" s="213">
        <f>IFERROR(__xludf.DUMMYFUNCTION("""COMPUTED_VALUE"""),46024.65027777778)</f>
        <v>46024.65028</v>
      </c>
      <c r="D3066" s="211" t="str">
        <f>IFERROR(__xludf.DUMMYFUNCTION("""COMPUTED_VALUE"""),"ec231cc9")</f>
        <v>ec231cc9</v>
      </c>
      <c r="E3066" s="211" t="str">
        <f>IFERROR(__xludf.DUMMYFUNCTION("""COMPUTED_VALUE"""),"Bpk. Kohir (Maintenance Velg)")</f>
        <v>Bpk. Kohir (Maintenance Velg)</v>
      </c>
      <c r="F3066" s="211" t="str">
        <f>IFERROR(__xludf.DUMMYFUNCTION("""COMPUTED_VALUE"""),"ef306e54")</f>
        <v>ef306e54</v>
      </c>
      <c r="G3066" s="211" t="str">
        <f>IFERROR(__xludf.DUMMYFUNCTION("""COMPUTED_VALUE"""),"Karbondioksida")</f>
        <v>Karbondioksida</v>
      </c>
      <c r="H3066" s="211" t="str">
        <f>IFERROR(__xludf.DUMMYFUNCTION("""COMPUTED_VALUE"""),"OUT")</f>
        <v>OUT</v>
      </c>
      <c r="I3066" s="211" t="str">
        <f>IFERROR(__xludf.DUMMYFUNCTION("""COMPUTED_VALUE"""),"NORMAL")</f>
        <v>NORMAL</v>
      </c>
      <c r="J3066" s="211">
        <f>IFERROR(__xludf.DUMMYFUNCTION("""COMPUTED_VALUE"""),3.0)</f>
        <v>3</v>
      </c>
      <c r="K3066" s="210" t="str">
        <f>IFERROR(__xludf.DUMMYFUNCTION("""COMPUTED_VALUE"""),"13050 13028 13015")</f>
        <v>13050 13028 13015</v>
      </c>
      <c r="L3066" s="211">
        <f>IFERROR(__xludf.DUMMYFUNCTION("""COMPUTED_VALUE"""),175000.0)</f>
        <v>175000</v>
      </c>
      <c r="M3066" s="211"/>
      <c r="N3066" s="211"/>
      <c r="O3066" s="211"/>
      <c r="Q3066" s="210" t="str">
        <f>IFERROR(__xludf.DUMMYFUNCTION("""COMPUTED_VALUE"""),"1261532")</f>
        <v>1261532</v>
      </c>
      <c r="R3066" s="210" t="str">
        <f>IFERROR(__xludf.DUMMYFUNCTION("""COMPUTED_VALUE"""),"1261532")</f>
        <v>1261532</v>
      </c>
      <c r="S3066" s="211" t="str">
        <f>IFERROR(__xludf.DUMMYFUNCTION("""COMPUTED_VALUE"""),"9828dfc5")</f>
        <v>9828dfc5</v>
      </c>
      <c r="T3066" s="211" t="str">
        <f>IFERROR(__xludf.DUMMYFUNCTION("""COMPUTED_VALUE"""),"Bpk. David")</f>
        <v>Bpk. David</v>
      </c>
      <c r="U3066" s="215">
        <f>IFERROR(__xludf.DUMMYFUNCTION("""COMPUTED_VALUE"""),46125.53266203704)</f>
        <v>46125.53266</v>
      </c>
      <c r="V3066" s="211" t="str">
        <f>IFERROR(__xludf.DUMMYFUNCTION("""COMPUTED_VALUE"""),"GHF3+R34, Jl. Kartini, Ngingas, Ngimbangan, Kec. Mojosari, Kabupaten Mojokerto, Jawa Timur 61382")</f>
        <v>GHF3+R34, Jl. Kartini, Ngingas, Ngimbangan, Kec. Mojosari, Kabupaten Mojokerto, Jawa Timur 61382</v>
      </c>
      <c r="W3066" s="211" t="str">
        <f>IFERROR(__xludf.DUMMYFUNCTION("""COMPUTED_VALUE"""),"IN")</f>
        <v>IN</v>
      </c>
      <c r="X3066" s="211"/>
    </row>
    <row r="3067">
      <c r="A3067" s="210" t="str">
        <f>IFERROR(__xludf.DUMMYFUNCTION("""COMPUTED_VALUE"""),"0126652140")</f>
        <v>0126652140</v>
      </c>
      <c r="B3067" s="210" t="str">
        <f>IFERROR(__xludf.DUMMYFUNCTION("""COMPUTED_VALUE"""),"0126652140")</f>
        <v>0126652140</v>
      </c>
      <c r="C3067" s="213">
        <f>IFERROR(__xludf.DUMMYFUNCTION("""COMPUTED_VALUE"""),46025.35506944444)</f>
        <v>46025.35507</v>
      </c>
      <c r="D3067" s="211" t="str">
        <f>IFERROR(__xludf.DUMMYFUNCTION("""COMPUTED_VALUE"""),"b2b5f2c5")</f>
        <v>b2b5f2c5</v>
      </c>
      <c r="E3067" s="211" t="str">
        <f>IFERROR(__xludf.DUMMYFUNCTION("""COMPUTED_VALUE"""),"Bengkel Las Bpk. Ari")</f>
        <v>Bengkel Las Bpk. Ari</v>
      </c>
      <c r="F3067" s="211" t="str">
        <f>IFERROR(__xludf.DUMMYFUNCTION("""COMPUTED_VALUE"""),"8bdbe149")</f>
        <v>8bdbe149</v>
      </c>
      <c r="G3067" s="211" t="str">
        <f>IFERROR(__xludf.DUMMYFUNCTION("""COMPUTED_VALUE"""),"Oksigen 6m3")</f>
        <v>Oksigen 6m3</v>
      </c>
      <c r="H3067" s="211" t="str">
        <f>IFERROR(__xludf.DUMMYFUNCTION("""COMPUTED_VALUE"""),"OUT")</f>
        <v>OUT</v>
      </c>
      <c r="I3067" s="211" t="str">
        <f>IFERROR(__xludf.DUMMYFUNCTION("""COMPUTED_VALUE"""),"NORMAL")</f>
        <v>NORMAL</v>
      </c>
      <c r="J3067" s="211">
        <f>IFERROR(__xludf.DUMMYFUNCTION("""COMPUTED_VALUE"""),6.0)</f>
        <v>6</v>
      </c>
      <c r="K3067" s="210" t="str">
        <f>IFERROR(__xludf.DUMMYFUNCTION("""COMPUTED_VALUE"""),"1169 11248 11121 1190 11275 1152")</f>
        <v>1169 11248 11121 1190 11275 1152</v>
      </c>
      <c r="L3067" s="211">
        <f>IFERROR(__xludf.DUMMYFUNCTION("""COMPUTED_VALUE"""),60000.0)</f>
        <v>60000</v>
      </c>
      <c r="M3067" s="211"/>
      <c r="N3067" s="211"/>
      <c r="O3067" s="211"/>
      <c r="Q3067" s="210" t="str">
        <f>IFERROR(__xludf.DUMMYFUNCTION("""COMPUTED_VALUE"""),"1261524")</f>
        <v>1261524</v>
      </c>
      <c r="R3067" s="210" t="str">
        <f>IFERROR(__xludf.DUMMYFUNCTION("""COMPUTED_VALUE"""),"1261524")</f>
        <v>1261524</v>
      </c>
      <c r="S3067" s="211" t="str">
        <f>IFERROR(__xludf.DUMMYFUNCTION("""COMPUTED_VALUE"""),"01158be1")</f>
        <v>01158be1</v>
      </c>
      <c r="T3067" s="211" t="str">
        <f>IFERROR(__xludf.DUMMYFUNCTION("""COMPUTED_VALUE"""),"GYF")</f>
        <v>GYF</v>
      </c>
      <c r="U3067" s="215">
        <f>IFERROR(__xludf.DUMMYFUNCTION("""COMPUTED_VALUE"""),46125.53293981482)</f>
        <v>46125.53294</v>
      </c>
      <c r="V3067" s="211" t="str">
        <f>IFERROR(__xludf.DUMMYFUNCTION("""COMPUTED_VALUE"""),"Kangkungan, Lengkong, Kec. Mojoanyar, Kabupaten Mojokerto, Jawa Timur")</f>
        <v>Kangkungan, Lengkong, Kec. Mojoanyar, Kabupaten Mojokerto, Jawa Timur</v>
      </c>
      <c r="W3067" s="211" t="str">
        <f>IFERROR(__xludf.DUMMYFUNCTION("""COMPUTED_VALUE"""),"IN")</f>
        <v>IN</v>
      </c>
      <c r="X3067" s="211"/>
    </row>
    <row r="3068">
      <c r="A3068" s="210" t="str">
        <f>IFERROR(__xludf.DUMMYFUNCTION("""COMPUTED_VALUE"""),"0126652140")</f>
        <v>0126652140</v>
      </c>
      <c r="B3068" s="210" t="str">
        <f>IFERROR(__xludf.DUMMYFUNCTION("""COMPUTED_VALUE"""),"0126652140")</f>
        <v>0126652140</v>
      </c>
      <c r="C3068" s="213">
        <f>IFERROR(__xludf.DUMMYFUNCTION("""COMPUTED_VALUE"""),46025.35506944444)</f>
        <v>46025.35507</v>
      </c>
      <c r="D3068" s="211" t="str">
        <f>IFERROR(__xludf.DUMMYFUNCTION("""COMPUTED_VALUE"""),"b2b5f2c5")</f>
        <v>b2b5f2c5</v>
      </c>
      <c r="E3068" s="211" t="str">
        <f>IFERROR(__xludf.DUMMYFUNCTION("""COMPUTED_VALUE"""),"Bengkel Las Bpk. Ari")</f>
        <v>Bengkel Las Bpk. Ari</v>
      </c>
      <c r="F3068" s="211" t="str">
        <f>IFERROR(__xludf.DUMMYFUNCTION("""COMPUTED_VALUE"""),"ef306e54")</f>
        <v>ef306e54</v>
      </c>
      <c r="G3068" s="211" t="str">
        <f>IFERROR(__xludf.DUMMYFUNCTION("""COMPUTED_VALUE"""),"Karbondioksida")</f>
        <v>Karbondioksida</v>
      </c>
      <c r="H3068" s="211" t="str">
        <f>IFERROR(__xludf.DUMMYFUNCTION("""COMPUTED_VALUE"""),"OUT")</f>
        <v>OUT</v>
      </c>
      <c r="I3068" s="211" t="str">
        <f>IFERROR(__xludf.DUMMYFUNCTION("""COMPUTED_VALUE"""),"NORMAL")</f>
        <v>NORMAL</v>
      </c>
      <c r="J3068" s="211">
        <f>IFERROR(__xludf.DUMMYFUNCTION("""COMPUTED_VALUE"""),4.0)</f>
        <v>4</v>
      </c>
      <c r="K3068" s="210" t="str">
        <f>IFERROR(__xludf.DUMMYFUNCTION("""COMPUTED_VALUE"""),"13005 13007 13026 13021")</f>
        <v>13005 13007 13026 13021</v>
      </c>
      <c r="L3068" s="211">
        <f>IFERROR(__xludf.DUMMYFUNCTION("""COMPUTED_VALUE"""),180000.0)</f>
        <v>180000</v>
      </c>
      <c r="M3068" s="211"/>
      <c r="N3068" s="211"/>
      <c r="O3068" s="211"/>
      <c r="Q3068" s="210" t="str">
        <f>IFERROR(__xludf.DUMMYFUNCTION("""COMPUTED_VALUE"""),"042653062")</f>
        <v>042653062</v>
      </c>
      <c r="R3068" s="210" t="str">
        <f>IFERROR(__xludf.DUMMYFUNCTION("""COMPUTED_VALUE"""),"042653062")</f>
        <v>042653062</v>
      </c>
      <c r="S3068" s="211" t="str">
        <f>IFERROR(__xludf.DUMMYFUNCTION("""COMPUTED_VALUE"""),"8b765561")</f>
        <v>8b765561</v>
      </c>
      <c r="T3068" s="211" t="str">
        <f>IFERROR(__xludf.DUMMYFUNCTION("""COMPUTED_VALUE"""),"Bpk. Idris")</f>
        <v>Bpk. Idris</v>
      </c>
      <c r="U3068" s="215">
        <f>IFERROR(__xludf.DUMMYFUNCTION("""COMPUTED_VALUE"""),46125.55100694444)</f>
        <v>46125.55101</v>
      </c>
      <c r="V3068" s="211" t="str">
        <f>IFERROR(__xludf.DUMMYFUNCTION("""COMPUTED_VALUE"""),"JL. Soenandar Priyo Sudarmo, Balepanjang, Tropodo, Kec Krian, Kabupaten Sidoarjo, Jawa Timur")</f>
        <v>JL. Soenandar Priyo Sudarmo, Balepanjang, Tropodo, Kec Krian, Kabupaten Sidoarjo, Jawa Timur</v>
      </c>
      <c r="W3068" s="211" t="str">
        <f>IFERROR(__xludf.DUMMYFUNCTION("""COMPUTED_VALUE"""),"OUT")</f>
        <v>OUT</v>
      </c>
      <c r="X3068" s="211"/>
    </row>
    <row r="3069">
      <c r="A3069" s="210" t="str">
        <f>IFERROR(__xludf.DUMMYFUNCTION("""COMPUTED_VALUE"""),"012692141")</f>
        <v>012692141</v>
      </c>
      <c r="B3069" s="210" t="str">
        <f>IFERROR(__xludf.DUMMYFUNCTION("""COMPUTED_VALUE"""),"012692141")</f>
        <v>012692141</v>
      </c>
      <c r="C3069" s="213">
        <f>IFERROR(__xludf.DUMMYFUNCTION("""COMPUTED_VALUE"""),46025.35738425926)</f>
        <v>46025.35738</v>
      </c>
      <c r="D3069" s="211" t="str">
        <f>IFERROR(__xludf.DUMMYFUNCTION("""COMPUTED_VALUE"""),"dcdf8b31")</f>
        <v>dcdf8b31</v>
      </c>
      <c r="E3069" s="211" t="str">
        <f>IFERROR(__xludf.DUMMYFUNCTION("""COMPUTED_VALUE"""),"Bpk. Samsul (Jetis)")</f>
        <v>Bpk. Samsul (Jetis)</v>
      </c>
      <c r="F3069" s="211" t="str">
        <f>IFERROR(__xludf.DUMMYFUNCTION("""COMPUTED_VALUE"""),"7d2764f1")</f>
        <v>7d2764f1</v>
      </c>
      <c r="G3069" s="211" t="str">
        <f>IFERROR(__xludf.DUMMYFUNCTION("""COMPUTED_VALUE"""),"Oksigen 7m3")</f>
        <v>Oksigen 7m3</v>
      </c>
      <c r="H3069" s="211" t="str">
        <f>IFERROR(__xludf.DUMMYFUNCTION("""COMPUTED_VALUE"""),"OUT")</f>
        <v>OUT</v>
      </c>
      <c r="I3069" s="211" t="str">
        <f>IFERROR(__xludf.DUMMYFUNCTION("""COMPUTED_VALUE"""),"NORMAL")</f>
        <v>NORMAL</v>
      </c>
      <c r="J3069" s="211">
        <f>IFERROR(__xludf.DUMMYFUNCTION("""COMPUTED_VALUE"""),3.0)</f>
        <v>3</v>
      </c>
      <c r="K3069" s="210" t="str">
        <f>IFERROR(__xludf.DUMMYFUNCTION("""COMPUTED_VALUE"""),"11160 11162 11137")</f>
        <v>11160 11162 11137</v>
      </c>
      <c r="L3069" s="211">
        <f>IFERROR(__xludf.DUMMYFUNCTION("""COMPUTED_VALUE"""),70000.0)</f>
        <v>70000</v>
      </c>
      <c r="M3069" s="211"/>
      <c r="N3069" s="211"/>
      <c r="O3069" s="211"/>
      <c r="Q3069" s="210" t="str">
        <f>IFERROR(__xludf.DUMMYFUNCTION("""COMPUTED_VALUE"""),"042643069")</f>
        <v>042643069</v>
      </c>
      <c r="R3069" s="210" t="str">
        <f>IFERROR(__xludf.DUMMYFUNCTION("""COMPUTED_VALUE"""),"042643069")</f>
        <v>042643069</v>
      </c>
      <c r="S3069" s="211" t="str">
        <f>IFERROR(__xludf.DUMMYFUNCTION("""COMPUTED_VALUE"""),"370c84d1")</f>
        <v>370c84d1</v>
      </c>
      <c r="T3069" s="211" t="str">
        <f>IFERROR(__xludf.DUMMYFUNCTION("""COMPUTED_VALUE"""),"PT. Citra Bintang Karya")</f>
        <v>PT. Citra Bintang Karya</v>
      </c>
      <c r="U3069" s="215">
        <f>IFERROR(__xludf.DUMMYFUNCTION("""COMPUTED_VALUE"""),46125.62530092592)</f>
        <v>46125.6253</v>
      </c>
      <c r="V3069" s="211" t="str">
        <f>IFERROR(__xludf.DUMMYFUNCTION("""COMPUTED_VALUE"""),"JL. Mayjen Bambang Yuwono No.21, Sirapan, Kemangsen, Kec. Balongbendo, Kabupaten Sidoarjo, Jawa Timur 61262")</f>
        <v>JL. Mayjen Bambang Yuwono No.21, Sirapan, Kemangsen, Kec. Balongbendo, Kabupaten Sidoarjo, Jawa Timur 61262</v>
      </c>
      <c r="W3069" s="211" t="str">
        <f>IFERROR(__xludf.DUMMYFUNCTION("""COMPUTED_VALUE"""),"OUT")</f>
        <v>OUT</v>
      </c>
      <c r="X3069" s="211"/>
    </row>
    <row r="3070">
      <c r="A3070" s="210" t="str">
        <f>IFERROR(__xludf.DUMMYFUNCTION("""COMPUTED_VALUE"""),"0126182142")</f>
        <v>0126182142</v>
      </c>
      <c r="B3070" s="210" t="str">
        <f>IFERROR(__xludf.DUMMYFUNCTION("""COMPUTED_VALUE"""),"0126182142")</f>
        <v>0126182142</v>
      </c>
      <c r="C3070" s="213">
        <f>IFERROR(__xludf.DUMMYFUNCTION("""COMPUTED_VALUE"""),46025.35787037037)</f>
        <v>46025.35787</v>
      </c>
      <c r="D3070" s="211" t="str">
        <f>IFERROR(__xludf.DUMMYFUNCTION("""COMPUTED_VALUE"""),"b218b89b")</f>
        <v>b218b89b</v>
      </c>
      <c r="E3070" s="211" t="str">
        <f>IFERROR(__xludf.DUMMYFUNCTION("""COMPUTED_VALUE"""),"PT Harapan Sentosa")</f>
        <v>PT Harapan Sentosa</v>
      </c>
      <c r="F3070" s="211" t="str">
        <f>IFERROR(__xludf.DUMMYFUNCTION("""COMPUTED_VALUE"""),"ef306e54")</f>
        <v>ef306e54</v>
      </c>
      <c r="G3070" s="211" t="str">
        <f>IFERROR(__xludf.DUMMYFUNCTION("""COMPUTED_VALUE"""),"Karbondioksida")</f>
        <v>Karbondioksida</v>
      </c>
      <c r="H3070" s="211" t="str">
        <f>IFERROR(__xludf.DUMMYFUNCTION("""COMPUTED_VALUE"""),"OUT")</f>
        <v>OUT</v>
      </c>
      <c r="I3070" s="211" t="str">
        <f>IFERROR(__xludf.DUMMYFUNCTION("""COMPUTED_VALUE"""),"NORMAL")</f>
        <v>NORMAL</v>
      </c>
      <c r="J3070" s="211">
        <f>IFERROR(__xludf.DUMMYFUNCTION("""COMPUTED_VALUE"""),3.0)</f>
        <v>3</v>
      </c>
      <c r="K3070" s="210" t="str">
        <f>IFERROR(__xludf.DUMMYFUNCTION("""COMPUTED_VALUE"""),"13058 13032 13012")</f>
        <v>13058 13032 13012</v>
      </c>
      <c r="L3070" s="211">
        <f>IFERROR(__xludf.DUMMYFUNCTION("""COMPUTED_VALUE"""),210000.0)</f>
        <v>210000</v>
      </c>
      <c r="M3070" s="211"/>
      <c r="N3070" s="211"/>
      <c r="O3070" s="211"/>
      <c r="Q3070" s="210" t="str">
        <f>IFERROR(__xludf.DUMMYFUNCTION("""COMPUTED_VALUE"""),"1261526")</f>
        <v>1261526</v>
      </c>
      <c r="R3070" s="210" t="str">
        <f>IFERROR(__xludf.DUMMYFUNCTION("""COMPUTED_VALUE"""),"1261526")</f>
        <v>1261526</v>
      </c>
      <c r="S3070" s="211" t="str">
        <f>IFERROR(__xludf.DUMMYFUNCTION("""COMPUTED_VALUE"""),"370c84d1")</f>
        <v>370c84d1</v>
      </c>
      <c r="T3070" s="211" t="str">
        <f>IFERROR(__xludf.DUMMYFUNCTION("""COMPUTED_VALUE"""),"PT. Citra Bintang Karya")</f>
        <v>PT. Citra Bintang Karya</v>
      </c>
      <c r="U3070" s="215">
        <f>IFERROR(__xludf.DUMMYFUNCTION("""COMPUTED_VALUE"""),46125.65087962963)</f>
        <v>46125.65088</v>
      </c>
      <c r="V3070" s="211" t="str">
        <f>IFERROR(__xludf.DUMMYFUNCTION("""COMPUTED_VALUE"""),"JL. Mayjen Bambang Yuwono No.21, Sirapan, Kemangsen, Kec. Balongbendo, Kabupaten Sidoarjo, Jawa Timur 61262")</f>
        <v>JL. Mayjen Bambang Yuwono No.21, Sirapan, Kemangsen, Kec. Balongbendo, Kabupaten Sidoarjo, Jawa Timur 61262</v>
      </c>
      <c r="W3070" s="211" t="str">
        <f>IFERROR(__xludf.DUMMYFUNCTION("""COMPUTED_VALUE"""),"IN")</f>
        <v>IN</v>
      </c>
      <c r="X3070" s="211"/>
    </row>
    <row r="3071">
      <c r="A3071" s="210" t="str">
        <f>IFERROR(__xludf.DUMMYFUNCTION("""COMPUTED_VALUE"""),"1251041")</f>
        <v>1251041</v>
      </c>
      <c r="B3071" s="210" t="str">
        <f>IFERROR(__xludf.DUMMYFUNCTION("""COMPUTED_VALUE"""),"1251041")</f>
        <v>1251041</v>
      </c>
      <c r="C3071" s="213">
        <f>IFERROR(__xludf.DUMMYFUNCTION("""COMPUTED_VALUE"""),46025.51289351852)</f>
        <v>46025.51289</v>
      </c>
      <c r="D3071" s="211" t="str">
        <f>IFERROR(__xludf.DUMMYFUNCTION("""COMPUTED_VALUE"""),"3bcd7fe6")</f>
        <v>3bcd7fe6</v>
      </c>
      <c r="E3071" s="211" t="str">
        <f>IFERROR(__xludf.DUMMYFUNCTION("""COMPUTED_VALUE"""),"Bpk. Alvin (LB Group)")</f>
        <v>Bpk. Alvin (LB Group)</v>
      </c>
      <c r="F3071" s="211" t="str">
        <f>IFERROR(__xludf.DUMMYFUNCTION("""COMPUTED_VALUE"""),"8bdbe149")</f>
        <v>8bdbe149</v>
      </c>
      <c r="G3071" s="211" t="str">
        <f>IFERROR(__xludf.DUMMYFUNCTION("""COMPUTED_VALUE"""),"Oksigen 6m3")</f>
        <v>Oksigen 6m3</v>
      </c>
      <c r="H3071" s="211" t="str">
        <f>IFERROR(__xludf.DUMMYFUNCTION("""COMPUTED_VALUE"""),"IN")</f>
        <v>IN</v>
      </c>
      <c r="I3071" s="211" t="str">
        <f>IFERROR(__xludf.DUMMYFUNCTION("""COMPUTED_VALUE"""),"EMPTY")</f>
        <v>EMPTY</v>
      </c>
      <c r="J3071" s="211">
        <f>IFERROR(__xludf.DUMMYFUNCTION("""COMPUTED_VALUE"""),2.0)</f>
        <v>2</v>
      </c>
      <c r="K3071" s="210" t="str">
        <f>IFERROR(__xludf.DUMMYFUNCTION("""COMPUTED_VALUE"""),"11253 1155")</f>
        <v>11253 1155</v>
      </c>
      <c r="L3071" s="211">
        <f>IFERROR(__xludf.DUMMYFUNCTION("""COMPUTED_VALUE"""),0.0)</f>
        <v>0</v>
      </c>
      <c r="M3071" s="211"/>
      <c r="N3071" s="211"/>
      <c r="O3071" s="211"/>
      <c r="Q3071" s="210" t="str">
        <f>IFERROR(__xludf.DUMMYFUNCTION("""COMPUTED_VALUE"""),"0426183070")</f>
        <v>0426183070</v>
      </c>
      <c r="R3071" s="210" t="str">
        <f>IFERROR(__xludf.DUMMYFUNCTION("""COMPUTED_VALUE"""),"0426183070")</f>
        <v>0426183070</v>
      </c>
      <c r="S3071" s="211" t="str">
        <f>IFERROR(__xludf.DUMMYFUNCTION("""COMPUTED_VALUE"""),"9b941888")</f>
        <v>9b941888</v>
      </c>
      <c r="T3071" s="211" t="str">
        <f>IFERROR(__xludf.DUMMYFUNCTION("""COMPUTED_VALUE"""),"Mas Devi ( Parengan )")</f>
        <v>Mas Devi ( Parengan )</v>
      </c>
      <c r="U3071" s="215">
        <f>IFERROR(__xludf.DUMMYFUNCTION("""COMPUTED_VALUE"""),46126.35537037037)</f>
        <v>46126.35537</v>
      </c>
      <c r="V3071" s="211" t="str">
        <f>IFERROR(__xludf.DUMMYFUNCTION("""COMPUTED_VALUE"""),"Kraton Krian Sidoarjo, ( sebelah tower listrik )")</f>
        <v>Kraton Krian Sidoarjo, ( sebelah tower listrik )</v>
      </c>
      <c r="W3071" s="211" t="str">
        <f>IFERROR(__xludf.DUMMYFUNCTION("""COMPUTED_VALUE"""),"OUT")</f>
        <v>OUT</v>
      </c>
      <c r="X3071" s="211"/>
    </row>
    <row r="3072">
      <c r="A3072" s="210" t="str">
        <f>IFERROR(__xludf.DUMMYFUNCTION("""COMPUTED_VALUE"""),"1251040")</f>
        <v>1251040</v>
      </c>
      <c r="B3072" s="210" t="str">
        <f>IFERROR(__xludf.DUMMYFUNCTION("""COMPUTED_VALUE"""),"1251040")</f>
        <v>1251040</v>
      </c>
      <c r="C3072" s="213">
        <f>IFERROR(__xludf.DUMMYFUNCTION("""COMPUTED_VALUE"""),46025.514016203706)</f>
        <v>46025.51402</v>
      </c>
      <c r="D3072" s="211" t="str">
        <f>IFERROR(__xludf.DUMMYFUNCTION("""COMPUTED_VALUE"""),"dcdf8b31")</f>
        <v>dcdf8b31</v>
      </c>
      <c r="E3072" s="211" t="str">
        <f>IFERROR(__xludf.DUMMYFUNCTION("""COMPUTED_VALUE"""),"Bpk. Samsul (Jetis)")</f>
        <v>Bpk. Samsul (Jetis)</v>
      </c>
      <c r="F3072" s="211" t="str">
        <f>IFERROR(__xludf.DUMMYFUNCTION("""COMPUTED_VALUE"""),"8bdbe149")</f>
        <v>8bdbe149</v>
      </c>
      <c r="G3072" s="211" t="str">
        <f>IFERROR(__xludf.DUMMYFUNCTION("""COMPUTED_VALUE"""),"Oksigen 6m3")</f>
        <v>Oksigen 6m3</v>
      </c>
      <c r="H3072" s="211" t="str">
        <f>IFERROR(__xludf.DUMMYFUNCTION("""COMPUTED_VALUE"""),"IN")</f>
        <v>IN</v>
      </c>
      <c r="I3072" s="211" t="str">
        <f>IFERROR(__xludf.DUMMYFUNCTION("""COMPUTED_VALUE"""),"EMPTY")</f>
        <v>EMPTY</v>
      </c>
      <c r="J3072" s="211">
        <f>IFERROR(__xludf.DUMMYFUNCTION("""COMPUTED_VALUE"""),1.0)</f>
        <v>1</v>
      </c>
      <c r="K3072" s="210" t="str">
        <f>IFERROR(__xludf.DUMMYFUNCTION("""COMPUTED_VALUE"""),"11129")</f>
        <v>11129</v>
      </c>
      <c r="L3072" s="211">
        <f>IFERROR(__xludf.DUMMYFUNCTION("""COMPUTED_VALUE"""),0.0)</f>
        <v>0</v>
      </c>
      <c r="M3072" s="211"/>
      <c r="N3072" s="211"/>
      <c r="O3072" s="211"/>
      <c r="Q3072" s="210" t="str">
        <f>IFERROR(__xludf.DUMMYFUNCTION("""COMPUTED_VALUE"""),"042613072")</f>
        <v>042613072</v>
      </c>
      <c r="R3072" s="210" t="str">
        <f>IFERROR(__xludf.DUMMYFUNCTION("""COMPUTED_VALUE"""),"042613072")</f>
        <v>042613072</v>
      </c>
      <c r="S3072" s="211" t="str">
        <f>IFERROR(__xludf.DUMMYFUNCTION("""COMPUTED_VALUE"""),"12674d8f")</f>
        <v>12674d8f</v>
      </c>
      <c r="T3072" s="211" t="str">
        <f>IFERROR(__xludf.DUMMYFUNCTION("""COMPUTED_VALUE"""),"PT. Dong Sung Abadi")</f>
        <v>PT. Dong Sung Abadi</v>
      </c>
      <c r="U3072" s="215">
        <f>IFERROR(__xludf.DUMMYFUNCTION("""COMPUTED_VALUE"""),46126.36181712963)</f>
        <v>46126.36182</v>
      </c>
      <c r="V3072" s="211" t="str">
        <f>IFERROR(__xludf.DUMMYFUNCTION("""COMPUTED_VALUE"""),"Jalan Raya By Pass Krian No.Km. 32 No. 4, Semawut, Kraton, Krian, Sidoarjo Regency, East Java 61262")</f>
        <v>Jalan Raya By Pass Krian No.Km. 32 No. 4, Semawut, Kraton, Krian, Sidoarjo Regency, East Java 61262</v>
      </c>
      <c r="W3072" s="211" t="str">
        <f>IFERROR(__xludf.DUMMYFUNCTION("""COMPUTED_VALUE"""),"OUT")</f>
        <v>OUT</v>
      </c>
      <c r="X3072" s="211"/>
    </row>
    <row r="3073">
      <c r="A3073" s="210" t="str">
        <f>IFERROR(__xludf.DUMMYFUNCTION("""COMPUTED_VALUE"""),"1251039")</f>
        <v>1251039</v>
      </c>
      <c r="B3073" s="210" t="str">
        <f>IFERROR(__xludf.DUMMYFUNCTION("""COMPUTED_VALUE"""),"1251039")</f>
        <v>1251039</v>
      </c>
      <c r="C3073" s="213">
        <f>IFERROR(__xludf.DUMMYFUNCTION("""COMPUTED_VALUE"""),46025.51435185185)</f>
        <v>46025.51435</v>
      </c>
      <c r="D3073" s="211" t="str">
        <f>IFERROR(__xludf.DUMMYFUNCTION("""COMPUTED_VALUE"""),"b218b89b")</f>
        <v>b218b89b</v>
      </c>
      <c r="E3073" s="211" t="str">
        <f>IFERROR(__xludf.DUMMYFUNCTION("""COMPUTED_VALUE"""),"PT Harapan Sentosa")</f>
        <v>PT Harapan Sentosa</v>
      </c>
      <c r="F3073" s="211" t="str">
        <f>IFERROR(__xludf.DUMMYFUNCTION("""COMPUTED_VALUE"""),"8bdbe149")</f>
        <v>8bdbe149</v>
      </c>
      <c r="G3073" s="211" t="str">
        <f>IFERROR(__xludf.DUMMYFUNCTION("""COMPUTED_VALUE"""),"Oksigen 6m3")</f>
        <v>Oksigen 6m3</v>
      </c>
      <c r="H3073" s="211" t="str">
        <f>IFERROR(__xludf.DUMMYFUNCTION("""COMPUTED_VALUE"""),"IN")</f>
        <v>IN</v>
      </c>
      <c r="I3073" s="211" t="str">
        <f>IFERROR(__xludf.DUMMYFUNCTION("""COMPUTED_VALUE"""),"EMPTY")</f>
        <v>EMPTY</v>
      </c>
      <c r="J3073" s="211">
        <f>IFERROR(__xludf.DUMMYFUNCTION("""COMPUTED_VALUE"""),1.0)</f>
        <v>1</v>
      </c>
      <c r="K3073" s="210" t="str">
        <f>IFERROR(__xludf.DUMMYFUNCTION("""COMPUTED_VALUE"""),"11180")</f>
        <v>11180</v>
      </c>
      <c r="L3073" s="211">
        <f>IFERROR(__xludf.DUMMYFUNCTION("""COMPUTED_VALUE"""),0.0)</f>
        <v>0</v>
      </c>
      <c r="M3073" s="211"/>
      <c r="N3073" s="211"/>
      <c r="O3073" s="211"/>
      <c r="Q3073" s="210" t="str">
        <f>IFERROR(__xludf.DUMMYFUNCTION("""COMPUTED_VALUE"""),"0426413073")</f>
        <v>0426413073</v>
      </c>
      <c r="R3073" s="210" t="str">
        <f>IFERROR(__xludf.DUMMYFUNCTION("""COMPUTED_VALUE"""),"0426413073")</f>
        <v>0426413073</v>
      </c>
      <c r="S3073" s="211" t="str">
        <f>IFERROR(__xludf.DUMMYFUNCTION("""COMPUTED_VALUE"""),"63fc688a")</f>
        <v>63fc688a</v>
      </c>
      <c r="T3073" s="211" t="str">
        <f>IFERROR(__xludf.DUMMYFUNCTION("""COMPUTED_VALUE"""),"CV Malik Nusantara")</f>
        <v>CV Malik Nusantara</v>
      </c>
      <c r="U3073" s="215">
        <f>IFERROR(__xludf.DUMMYFUNCTION("""COMPUTED_VALUE"""),46126.37909722222)</f>
        <v>46126.3791</v>
      </c>
      <c r="V3073" s="211" t="str">
        <f>IFERROR(__xludf.DUMMYFUNCTION("""COMPUTED_VALUE"""),"Jl. Raya Balongbendo No.12, Suwaluh Utara, Suwaluh, Kec. BalongBendo, Kabupaten Sidoarjo, Jawa Timur 61263")</f>
        <v>Jl. Raya Balongbendo No.12, Suwaluh Utara, Suwaluh, Kec. BalongBendo, Kabupaten Sidoarjo, Jawa Timur 61263</v>
      </c>
      <c r="W3073" s="211" t="str">
        <f>IFERROR(__xludf.DUMMYFUNCTION("""COMPUTED_VALUE"""),"OUT")</f>
        <v>OUT</v>
      </c>
      <c r="X3073" s="211"/>
    </row>
    <row r="3074">
      <c r="A3074" s="210" t="str">
        <f>IFERROR(__xludf.DUMMYFUNCTION("""COMPUTED_VALUE"""),"1251039")</f>
        <v>1251039</v>
      </c>
      <c r="B3074" s="210" t="str">
        <f>IFERROR(__xludf.DUMMYFUNCTION("""COMPUTED_VALUE"""),"1251039")</f>
        <v>1251039</v>
      </c>
      <c r="C3074" s="213">
        <f>IFERROR(__xludf.DUMMYFUNCTION("""COMPUTED_VALUE"""),46025.51435185185)</f>
        <v>46025.51435</v>
      </c>
      <c r="D3074" s="211" t="str">
        <f>IFERROR(__xludf.DUMMYFUNCTION("""COMPUTED_VALUE"""),"b218b89b")</f>
        <v>b218b89b</v>
      </c>
      <c r="E3074" s="211" t="str">
        <f>IFERROR(__xludf.DUMMYFUNCTION("""COMPUTED_VALUE"""),"PT Harapan Sentosa")</f>
        <v>PT Harapan Sentosa</v>
      </c>
      <c r="F3074" s="211" t="str">
        <f>IFERROR(__xludf.DUMMYFUNCTION("""COMPUTED_VALUE"""),"ef306e54")</f>
        <v>ef306e54</v>
      </c>
      <c r="G3074" s="211" t="str">
        <f>IFERROR(__xludf.DUMMYFUNCTION("""COMPUTED_VALUE"""),"Karbondioksida")</f>
        <v>Karbondioksida</v>
      </c>
      <c r="H3074" s="211" t="str">
        <f>IFERROR(__xludf.DUMMYFUNCTION("""COMPUTED_VALUE"""),"IN")</f>
        <v>IN</v>
      </c>
      <c r="I3074" s="211" t="str">
        <f>IFERROR(__xludf.DUMMYFUNCTION("""COMPUTED_VALUE"""),"EMPTY")</f>
        <v>EMPTY</v>
      </c>
      <c r="J3074" s="211">
        <f>IFERROR(__xludf.DUMMYFUNCTION("""COMPUTED_VALUE"""),1.0)</f>
        <v>1</v>
      </c>
      <c r="K3074" s="210" t="str">
        <f>IFERROR(__xludf.DUMMYFUNCTION("""COMPUTED_VALUE"""),"13023")</f>
        <v>13023</v>
      </c>
      <c r="L3074" s="211">
        <f>IFERROR(__xludf.DUMMYFUNCTION("""COMPUTED_VALUE"""),0.0)</f>
        <v>0</v>
      </c>
      <c r="M3074" s="211"/>
      <c r="N3074" s="211"/>
      <c r="O3074" s="211"/>
      <c r="Q3074" s="210" t="str">
        <f>IFERROR(__xludf.DUMMYFUNCTION("""COMPUTED_VALUE"""),"042653074")</f>
        <v>042653074</v>
      </c>
      <c r="R3074" s="210" t="str">
        <f>IFERROR(__xludf.DUMMYFUNCTION("""COMPUTED_VALUE"""),"042653074")</f>
        <v>042653074</v>
      </c>
      <c r="S3074" s="211" t="str">
        <f>IFERROR(__xludf.DUMMYFUNCTION("""COMPUTED_VALUE"""),"057b6b99")</f>
        <v>057b6b99</v>
      </c>
      <c r="T3074" s="211" t="str">
        <f>IFERROR(__xludf.DUMMYFUNCTION("""COMPUTED_VALUE"""),"PT Anuta Utama Transport")</f>
        <v>PT Anuta Utama Transport</v>
      </c>
      <c r="U3074" s="215">
        <f>IFERROR(__xludf.DUMMYFUNCTION("""COMPUTED_VALUE"""),46126.3822337963)</f>
        <v>46126.38223</v>
      </c>
      <c r="V3074" s="211" t="str">
        <f>IFERROR(__xludf.DUMMYFUNCTION("""COMPUTED_VALUE"""),"Jl Raya ketimang KM 10, Kec. Wonoayu, Kab. Sidoarjo, Jawa Timur")</f>
        <v>Jl Raya ketimang KM 10, Kec. Wonoayu, Kab. Sidoarjo, Jawa Timur</v>
      </c>
      <c r="W3074" s="211" t="str">
        <f>IFERROR(__xludf.DUMMYFUNCTION("""COMPUTED_VALUE"""),"OUT")</f>
        <v>OUT</v>
      </c>
      <c r="X3074" s="211"/>
    </row>
    <row r="3075">
      <c r="A3075" s="210" t="str">
        <f>IFERROR(__xludf.DUMMYFUNCTION("""COMPUTED_VALUE"""),"012672143")</f>
        <v>012672143</v>
      </c>
      <c r="B3075" s="210" t="str">
        <f>IFERROR(__xludf.DUMMYFUNCTION("""COMPUTED_VALUE"""),"012672143")</f>
        <v>012672143</v>
      </c>
      <c r="C3075" s="213">
        <f>IFERROR(__xludf.DUMMYFUNCTION("""COMPUTED_VALUE"""),46025.542766203704)</f>
        <v>46025.54277</v>
      </c>
      <c r="D3075" s="211" t="str">
        <f>IFERROR(__xludf.DUMMYFUNCTION("""COMPUTED_VALUE"""),"734c6d17")</f>
        <v>734c6d17</v>
      </c>
      <c r="E3075" s="211" t="str">
        <f>IFERROR(__xludf.DUMMYFUNCTION("""COMPUTED_VALUE"""),"Bapak Ainol Yaqin ( Bpk. Ibnu )")</f>
        <v>Bapak Ainol Yaqin ( Bpk. Ibnu )</v>
      </c>
      <c r="F3075" s="211" t="str">
        <f>IFERROR(__xludf.DUMMYFUNCTION("""COMPUTED_VALUE"""),"7d2764f1")</f>
        <v>7d2764f1</v>
      </c>
      <c r="G3075" s="211" t="str">
        <f>IFERROR(__xludf.DUMMYFUNCTION("""COMPUTED_VALUE"""),"Oksigen 7m3")</f>
        <v>Oksigen 7m3</v>
      </c>
      <c r="H3075" s="211" t="str">
        <f>IFERROR(__xludf.DUMMYFUNCTION("""COMPUTED_VALUE"""),"OUT")</f>
        <v>OUT</v>
      </c>
      <c r="I3075" s="211" t="str">
        <f>IFERROR(__xludf.DUMMYFUNCTION("""COMPUTED_VALUE"""),"NORMAL")</f>
        <v>NORMAL</v>
      </c>
      <c r="J3075" s="211">
        <f>IFERROR(__xludf.DUMMYFUNCTION("""COMPUTED_VALUE"""),1.0)</f>
        <v>1</v>
      </c>
      <c r="K3075" s="210" t="str">
        <f>IFERROR(__xludf.DUMMYFUNCTION("""COMPUTED_VALUE"""),"11298")</f>
        <v>11298</v>
      </c>
      <c r="L3075" s="211">
        <f>IFERROR(__xludf.DUMMYFUNCTION("""COMPUTED_VALUE"""),60000.0)</f>
        <v>60000</v>
      </c>
      <c r="M3075" s="211"/>
      <c r="N3075" s="211"/>
      <c r="O3075" s="211"/>
      <c r="Q3075" s="210" t="str">
        <f>IFERROR(__xludf.DUMMYFUNCTION("""COMPUTED_VALUE"""),"042613075")</f>
        <v>042613075</v>
      </c>
      <c r="R3075" s="210" t="str">
        <f>IFERROR(__xludf.DUMMYFUNCTION("""COMPUTED_VALUE"""),"042613075")</f>
        <v>042613075</v>
      </c>
      <c r="S3075" s="211" t="str">
        <f>IFERROR(__xludf.DUMMYFUNCTION("""COMPUTED_VALUE"""),"405a11b6")</f>
        <v>405a11b6</v>
      </c>
      <c r="T3075" s="211" t="str">
        <f>IFERROR(__xludf.DUMMYFUNCTION("""COMPUTED_VALUE"""),"Ibu Rinta")</f>
        <v>Ibu Rinta</v>
      </c>
      <c r="U3075" s="215">
        <f>IFERROR(__xludf.DUMMYFUNCTION("""COMPUTED_VALUE"""),46126.4128125)</f>
        <v>46126.41281</v>
      </c>
      <c r="V3075" s="211" t="str">
        <f>IFERROR(__xludf.DUMMYFUNCTION("""COMPUTED_VALUE"""),"HHQ3+674, Semawut, Balongbendo, Kec. BalongBendo, Kabupaten Sidoarjo, Jawa Timur 61263")</f>
        <v>HHQ3+674, Semawut, Balongbendo, Kec. BalongBendo, Kabupaten Sidoarjo, Jawa Timur 61263</v>
      </c>
      <c r="W3075" s="211" t="str">
        <f>IFERROR(__xludf.DUMMYFUNCTION("""COMPUTED_VALUE"""),"OUT")</f>
        <v>OUT</v>
      </c>
      <c r="X3075" s="211"/>
    </row>
    <row r="3076">
      <c r="A3076" s="210" t="str">
        <f>IFERROR(__xludf.DUMMYFUNCTION("""COMPUTED_VALUE"""),"1251042")</f>
        <v>1251042</v>
      </c>
      <c r="B3076" s="210" t="str">
        <f>IFERROR(__xludf.DUMMYFUNCTION("""COMPUTED_VALUE"""),"1251042")</f>
        <v>1251042</v>
      </c>
      <c r="C3076" s="213">
        <f>IFERROR(__xludf.DUMMYFUNCTION("""COMPUTED_VALUE"""),46025.61131944445)</f>
        <v>46025.61132</v>
      </c>
      <c r="D3076" s="211" t="str">
        <f>IFERROR(__xludf.DUMMYFUNCTION("""COMPUTED_VALUE"""),"734c6d17")</f>
        <v>734c6d17</v>
      </c>
      <c r="E3076" s="211" t="str">
        <f>IFERROR(__xludf.DUMMYFUNCTION("""COMPUTED_VALUE"""),"Bapak Ainol Yaqin ( Bpk. Ibnu )")</f>
        <v>Bapak Ainol Yaqin ( Bpk. Ibnu )</v>
      </c>
      <c r="F3076" s="211" t="str">
        <f>IFERROR(__xludf.DUMMYFUNCTION("""COMPUTED_VALUE"""),"7d2764f1")</f>
        <v>7d2764f1</v>
      </c>
      <c r="G3076" s="211" t="str">
        <f>IFERROR(__xludf.DUMMYFUNCTION("""COMPUTED_VALUE"""),"Oksigen 7m3")</f>
        <v>Oksigen 7m3</v>
      </c>
      <c r="H3076" s="211" t="str">
        <f>IFERROR(__xludf.DUMMYFUNCTION("""COMPUTED_VALUE"""),"IN")</f>
        <v>IN</v>
      </c>
      <c r="I3076" s="211" t="str">
        <f>IFERROR(__xludf.DUMMYFUNCTION("""COMPUTED_VALUE"""),"EMPTY")</f>
        <v>EMPTY</v>
      </c>
      <c r="J3076" s="211">
        <f>IFERROR(__xludf.DUMMYFUNCTION("""COMPUTED_VALUE"""),1.0)</f>
        <v>1</v>
      </c>
      <c r="K3076" s="210" t="str">
        <f>IFERROR(__xludf.DUMMYFUNCTION("""COMPUTED_VALUE"""),"11219")</f>
        <v>11219</v>
      </c>
      <c r="L3076" s="211">
        <f>IFERROR(__xludf.DUMMYFUNCTION("""COMPUTED_VALUE"""),0.0)</f>
        <v>0</v>
      </c>
      <c r="M3076" s="211"/>
      <c r="N3076" s="211"/>
      <c r="O3076" s="211"/>
      <c r="Q3076" s="210" t="str">
        <f>IFERROR(__xludf.DUMMYFUNCTION("""COMPUTED_VALUE"""),"0426153076")</f>
        <v>0426153076</v>
      </c>
      <c r="R3076" s="210" t="str">
        <f>IFERROR(__xludf.DUMMYFUNCTION("""COMPUTED_VALUE"""),"0426153076")</f>
        <v>0426153076</v>
      </c>
      <c r="S3076" s="211" t="str">
        <f>IFERROR(__xludf.DUMMYFUNCTION("""COMPUTED_VALUE"""),"dcdf8b31")</f>
        <v>dcdf8b31</v>
      </c>
      <c r="T3076" s="211" t="str">
        <f>IFERROR(__xludf.DUMMYFUNCTION("""COMPUTED_VALUE"""),"Bpk. Samsul (Jetis)")</f>
        <v>Bpk. Samsul (Jetis)</v>
      </c>
      <c r="U3076" s="215">
        <f>IFERROR(__xludf.DUMMYFUNCTION("""COMPUTED_VALUE"""),46126.45863425926)</f>
        <v>46126.45863</v>
      </c>
      <c r="V3076" s="211" t="str">
        <f>IFERROR(__xludf.DUMMYFUNCTION("""COMPUTED_VALUE"""),"HFWF+9FG, Sido Wangi, Paringan, Kec. Jetis, Kabupaten Mojokerto, Jawa Timur")</f>
        <v>HFWF+9FG, Sido Wangi, Paringan, Kec. Jetis, Kabupaten Mojokerto, Jawa Timur</v>
      </c>
      <c r="W3076" s="211" t="str">
        <f>IFERROR(__xludf.DUMMYFUNCTION("""COMPUTED_VALUE"""),"OUT")</f>
        <v>OUT</v>
      </c>
      <c r="X3076" s="211"/>
    </row>
    <row r="3077">
      <c r="A3077" s="211"/>
      <c r="B3077" s="211"/>
      <c r="C3077" s="211"/>
      <c r="D3077" s="211"/>
      <c r="E3077" s="211"/>
      <c r="F3077" s="211"/>
      <c r="G3077" s="211"/>
      <c r="H3077" s="211"/>
      <c r="I3077" s="211"/>
      <c r="J3077" s="211"/>
      <c r="K3077" s="211"/>
      <c r="L3077" s="211"/>
      <c r="M3077" s="211"/>
      <c r="N3077" s="211"/>
      <c r="O3077" s="211"/>
      <c r="Q3077" s="210" t="str">
        <f>IFERROR(__xludf.DUMMYFUNCTION("""COMPUTED_VALUE"""),"0426433077")</f>
        <v>0426433077</v>
      </c>
      <c r="R3077" s="210" t="str">
        <f>IFERROR(__xludf.DUMMYFUNCTION("""COMPUTED_VALUE"""),"0426433077")</f>
        <v>0426433077</v>
      </c>
      <c r="S3077" s="211" t="str">
        <f>IFERROR(__xludf.DUMMYFUNCTION("""COMPUTED_VALUE"""),"ce83e171")</f>
        <v>ce83e171</v>
      </c>
      <c r="T3077" s="211" t="str">
        <f>IFERROR(__xludf.DUMMYFUNCTION("""COMPUTED_VALUE"""),"Bpk. Sulaiman")</f>
        <v>Bpk. Sulaiman</v>
      </c>
      <c r="U3077" s="215">
        <f>IFERROR(__xludf.DUMMYFUNCTION("""COMPUTED_VALUE"""),46126.45951388889)</f>
        <v>46126.45951</v>
      </c>
      <c r="V3077" s="211" t="str">
        <f>IFERROR(__xludf.DUMMYFUNCTION("""COMPUTED_VALUE"""),"Jl. Raya Kramat Temenggung No.43, Kramat, Kramat Temenggung, Kec. Tarik, Kabupaten Sidoarjo, Jawa Timur 61265")</f>
        <v>Jl. Raya Kramat Temenggung No.43, Kramat, Kramat Temenggung, Kec. Tarik, Kabupaten Sidoarjo, Jawa Timur 61265</v>
      </c>
      <c r="W3077" s="211" t="str">
        <f>IFERROR(__xludf.DUMMYFUNCTION("""COMPUTED_VALUE"""),"OUT")</f>
        <v>OUT</v>
      </c>
      <c r="X3077" s="211"/>
    </row>
    <row r="3078">
      <c r="A3078" s="210" t="str">
        <f>IFERROR(__xludf.DUMMYFUNCTION("""COMPUTED_VALUE"""),"1251030")</f>
        <v>1251030</v>
      </c>
      <c r="B3078" s="210" t="str">
        <f>IFERROR(__xludf.DUMMYFUNCTION("""COMPUTED_VALUE"""),"1251030")</f>
        <v>1251030</v>
      </c>
      <c r="C3078" s="213">
        <f>IFERROR(__xludf.DUMMYFUNCTION("""COMPUTED_VALUE"""),46025.663402777776)</f>
        <v>46025.6634</v>
      </c>
      <c r="D3078" s="211" t="str">
        <f>IFERROR(__xludf.DUMMYFUNCTION("""COMPUTED_VALUE"""),"b2b5f2c5")</f>
        <v>b2b5f2c5</v>
      </c>
      <c r="E3078" s="211" t="str">
        <f>IFERROR(__xludf.DUMMYFUNCTION("""COMPUTED_VALUE"""),"Bengkel Las Bpk. Ari")</f>
        <v>Bengkel Las Bpk. Ari</v>
      </c>
      <c r="F3078" s="211" t="str">
        <f>IFERROR(__xludf.DUMMYFUNCTION("""COMPUTED_VALUE"""),"8bdbe149")</f>
        <v>8bdbe149</v>
      </c>
      <c r="G3078" s="211" t="str">
        <f>IFERROR(__xludf.DUMMYFUNCTION("""COMPUTED_VALUE"""),"Oksigen 6m3")</f>
        <v>Oksigen 6m3</v>
      </c>
      <c r="H3078" s="211" t="str">
        <f>IFERROR(__xludf.DUMMYFUNCTION("""COMPUTED_VALUE"""),"IN")</f>
        <v>IN</v>
      </c>
      <c r="I3078" s="211" t="str">
        <f>IFERROR(__xludf.DUMMYFUNCTION("""COMPUTED_VALUE"""),"EMPTY")</f>
        <v>EMPTY</v>
      </c>
      <c r="J3078" s="211">
        <f>IFERROR(__xludf.DUMMYFUNCTION("""COMPUTED_VALUE"""),17.0)</f>
        <v>17</v>
      </c>
      <c r="K3078" s="210" t="str">
        <f>IFERROR(__xludf.DUMMYFUNCTION("""COMPUTED_VALUE"""),"11273 1132 11115 11263 1166 1162 11124 11125 11234 11113 11108 11256 11296 1149 1156 11118 11329")</f>
        <v>11273 1132 11115 11263 1166 1162 11124 11125 11234 11113 11108 11256 11296 1149 1156 11118 11329</v>
      </c>
      <c r="L3078" s="211">
        <f>IFERROR(__xludf.DUMMYFUNCTION("""COMPUTED_VALUE"""),0.0)</f>
        <v>0</v>
      </c>
      <c r="M3078" s="211"/>
      <c r="N3078" s="211"/>
      <c r="O3078" s="211"/>
      <c r="Q3078" s="210" t="str">
        <f>IFERROR(__xludf.DUMMYFUNCTION("""COMPUTED_VALUE"""),"1261534")</f>
        <v>1261534</v>
      </c>
      <c r="R3078" s="210" t="str">
        <f>IFERROR(__xludf.DUMMYFUNCTION("""COMPUTED_VALUE"""),"1261534")</f>
        <v>1261534</v>
      </c>
      <c r="S3078" s="211" t="str">
        <f>IFERROR(__xludf.DUMMYFUNCTION("""COMPUTED_VALUE"""),"12674d8f")</f>
        <v>12674d8f</v>
      </c>
      <c r="T3078" s="211" t="str">
        <f>IFERROR(__xludf.DUMMYFUNCTION("""COMPUTED_VALUE"""),"PT. Dong Sung Abadi")</f>
        <v>PT. Dong Sung Abadi</v>
      </c>
      <c r="U3078" s="215">
        <f>IFERROR(__xludf.DUMMYFUNCTION("""COMPUTED_VALUE"""),46126.4659375)</f>
        <v>46126.46594</v>
      </c>
      <c r="V3078" s="211" t="str">
        <f>IFERROR(__xludf.DUMMYFUNCTION("""COMPUTED_VALUE"""),"Jalan Raya By Pass Krian No.Km. 32 No. 4, Semawut, Kraton, Krian, Sidoarjo Regency, East Java 61262")</f>
        <v>Jalan Raya By Pass Krian No.Km. 32 No. 4, Semawut, Kraton, Krian, Sidoarjo Regency, East Java 61262</v>
      </c>
      <c r="W3078" s="211" t="str">
        <f>IFERROR(__xludf.DUMMYFUNCTION("""COMPUTED_VALUE"""),"IN")</f>
        <v>IN</v>
      </c>
      <c r="X3078" s="211"/>
    </row>
    <row r="3079">
      <c r="A3079" s="210" t="str">
        <f>IFERROR(__xludf.DUMMYFUNCTION("""COMPUTED_VALUE"""),"1251030")</f>
        <v>1251030</v>
      </c>
      <c r="B3079" s="210" t="str">
        <f>IFERROR(__xludf.DUMMYFUNCTION("""COMPUTED_VALUE"""),"1251030")</f>
        <v>1251030</v>
      </c>
      <c r="C3079" s="213">
        <f>IFERROR(__xludf.DUMMYFUNCTION("""COMPUTED_VALUE"""),46025.663402777776)</f>
        <v>46025.6634</v>
      </c>
      <c r="D3079" s="211" t="str">
        <f>IFERROR(__xludf.DUMMYFUNCTION("""COMPUTED_VALUE"""),"b2b5f2c5")</f>
        <v>b2b5f2c5</v>
      </c>
      <c r="E3079" s="211" t="str">
        <f>IFERROR(__xludf.DUMMYFUNCTION("""COMPUTED_VALUE"""),"Bengkel Las Bpk. Ari")</f>
        <v>Bengkel Las Bpk. Ari</v>
      </c>
      <c r="F3079" s="211" t="str">
        <f>IFERROR(__xludf.DUMMYFUNCTION("""COMPUTED_VALUE"""),"ef306e54")</f>
        <v>ef306e54</v>
      </c>
      <c r="G3079" s="211" t="str">
        <f>IFERROR(__xludf.DUMMYFUNCTION("""COMPUTED_VALUE"""),"Karbondioksida")</f>
        <v>Karbondioksida</v>
      </c>
      <c r="H3079" s="211" t="str">
        <f>IFERROR(__xludf.DUMMYFUNCTION("""COMPUTED_VALUE"""),"IN")</f>
        <v>IN</v>
      </c>
      <c r="I3079" s="211" t="str">
        <f>IFERROR(__xludf.DUMMYFUNCTION("""COMPUTED_VALUE"""),"EMPTY")</f>
        <v>EMPTY</v>
      </c>
      <c r="J3079" s="211">
        <f>IFERROR(__xludf.DUMMYFUNCTION("""COMPUTED_VALUE"""),5.0)</f>
        <v>5</v>
      </c>
      <c r="K3079" s="210" t="str">
        <f>IFERROR(__xludf.DUMMYFUNCTION("""COMPUTED_VALUE"""),"13047 13035 13027 13037 13006")</f>
        <v>13047 13035 13027 13037 13006</v>
      </c>
      <c r="L3079" s="211">
        <f>IFERROR(__xludf.DUMMYFUNCTION("""COMPUTED_VALUE"""),0.0)</f>
        <v>0</v>
      </c>
      <c r="M3079" s="211"/>
      <c r="N3079" s="211"/>
      <c r="O3079" s="211"/>
      <c r="Q3079" s="210" t="str">
        <f>IFERROR(__xludf.DUMMYFUNCTION("""COMPUTED_VALUE"""),"0426523078")</f>
        <v>0426523078</v>
      </c>
      <c r="R3079" s="210" t="str">
        <f>IFERROR(__xludf.DUMMYFUNCTION("""COMPUTED_VALUE"""),"0426523078")</f>
        <v>0426523078</v>
      </c>
      <c r="S3079" s="211" t="str">
        <f>IFERROR(__xludf.DUMMYFUNCTION("""COMPUTED_VALUE"""),"ec231cc9")</f>
        <v>ec231cc9</v>
      </c>
      <c r="T3079" s="211" t="str">
        <f>IFERROR(__xludf.DUMMYFUNCTION("""COMPUTED_VALUE"""),"Bpk. Kadir (Maintenance Velg)")</f>
        <v>Bpk. Kadir (Maintenance Velg)</v>
      </c>
      <c r="U3079" s="215">
        <f>IFERROR(__xludf.DUMMYFUNCTION("""COMPUTED_VALUE"""),46126.47209490741)</f>
        <v>46126.47209</v>
      </c>
      <c r="V3079" s="211" t="str">
        <f>IFERROR(__xludf.DUMMYFUNCTION("""COMPUTED_VALUE"""),"Jl. Lkr. Bypass Krian Timur, Sidogolong, Watugolong, Kec. Krian, Kabupaten Sidoarjo, Jawa Timur 61262")</f>
        <v>Jl. Lkr. Bypass Krian Timur, Sidogolong, Watugolong, Kec. Krian, Kabupaten Sidoarjo, Jawa Timur 61262</v>
      </c>
      <c r="W3079" s="211" t="str">
        <f>IFERROR(__xludf.DUMMYFUNCTION("""COMPUTED_VALUE"""),"OUT")</f>
        <v>OUT</v>
      </c>
      <c r="X3079" s="211"/>
    </row>
    <row r="3080">
      <c r="A3080" s="210" t="str">
        <f>IFERROR(__xludf.DUMMYFUNCTION("""COMPUTED_VALUE"""),"012682147")</f>
        <v>012682147</v>
      </c>
      <c r="B3080" s="210" t="str">
        <f>IFERROR(__xludf.DUMMYFUNCTION("""COMPUTED_VALUE"""),"012682147")</f>
        <v>012682147</v>
      </c>
      <c r="C3080" s="213">
        <f>IFERROR(__xludf.DUMMYFUNCTION("""COMPUTED_VALUE"""),46026.51981481481)</f>
        <v>46026.51981</v>
      </c>
      <c r="D3080" s="211" t="str">
        <f>IFERROR(__xludf.DUMMYFUNCTION("""COMPUTED_VALUE"""),"a9fe1bea")</f>
        <v>a9fe1bea</v>
      </c>
      <c r="E3080" s="211" t="str">
        <f>IFERROR(__xludf.DUMMYFUNCTION("""COMPUTED_VALUE"""),"H. Suheiri")</f>
        <v>H. Suheiri</v>
      </c>
      <c r="F3080" s="211" t="str">
        <f>IFERROR(__xludf.DUMMYFUNCTION("""COMPUTED_VALUE"""),"be525f3b")</f>
        <v>be525f3b</v>
      </c>
      <c r="G3080" s="211" t="str">
        <f>IFERROR(__xludf.DUMMYFUNCTION("""COMPUTED_VALUE"""),"LPG 12kg")</f>
        <v>LPG 12kg</v>
      </c>
      <c r="H3080" s="211" t="str">
        <f>IFERROR(__xludf.DUMMYFUNCTION("""COMPUTED_VALUE"""),"OUT")</f>
        <v>OUT</v>
      </c>
      <c r="I3080" s="211" t="str">
        <f>IFERROR(__xludf.DUMMYFUNCTION("""COMPUTED_VALUE"""),"NORMAL")</f>
        <v>NORMAL</v>
      </c>
      <c r="J3080" s="211">
        <f>IFERROR(__xludf.DUMMYFUNCTION("""COMPUTED_VALUE"""),2.0)</f>
        <v>2</v>
      </c>
      <c r="K3080" s="210" t="str">
        <f>IFERROR(__xludf.DUMMYFUNCTION("""COMPUTED_VALUE"""),"01 02")</f>
        <v>01 02</v>
      </c>
      <c r="L3080" s="211">
        <f>IFERROR(__xludf.DUMMYFUNCTION("""COMPUTED_VALUE"""),215000.0)</f>
        <v>215000</v>
      </c>
      <c r="M3080" s="211"/>
      <c r="N3080" s="211"/>
      <c r="O3080" s="211"/>
      <c r="Q3080" s="210" t="str">
        <f>IFERROR(__xludf.DUMMYFUNCTION("""COMPUTED_VALUE"""),"1261528")</f>
        <v>1261528</v>
      </c>
      <c r="R3080" s="210" t="str">
        <f>IFERROR(__xludf.DUMMYFUNCTION("""COMPUTED_VALUE"""),"1261528")</f>
        <v>1261528</v>
      </c>
      <c r="S3080" s="211" t="str">
        <f>IFERROR(__xludf.DUMMYFUNCTION("""COMPUTED_VALUE"""),"63fc688a")</f>
        <v>63fc688a</v>
      </c>
      <c r="T3080" s="211" t="str">
        <f>IFERROR(__xludf.DUMMYFUNCTION("""COMPUTED_VALUE"""),"CV Malik Nusantara")</f>
        <v>CV Malik Nusantara</v>
      </c>
      <c r="U3080" s="215">
        <f>IFERROR(__xludf.DUMMYFUNCTION("""COMPUTED_VALUE"""),46126.473287037035)</f>
        <v>46126.47329</v>
      </c>
      <c r="V3080" s="211" t="str">
        <f>IFERROR(__xludf.DUMMYFUNCTION("""COMPUTED_VALUE"""),"Jl. Raya Balongbendo No.12, Suwaluh Utara, Suwaluh, Kec. BalongBendo, Kabupaten Sidoarjo, Jawa Timur 61263")</f>
        <v>Jl. Raya Balongbendo No.12, Suwaluh Utara, Suwaluh, Kec. BalongBendo, Kabupaten Sidoarjo, Jawa Timur 61263</v>
      </c>
      <c r="W3080" s="211" t="str">
        <f>IFERROR(__xludf.DUMMYFUNCTION("""COMPUTED_VALUE"""),"IN")</f>
        <v>IN</v>
      </c>
      <c r="X3080" s="211"/>
    </row>
    <row r="3081">
      <c r="A3081" s="211"/>
      <c r="B3081" s="211"/>
      <c r="C3081" s="211"/>
      <c r="D3081" s="211"/>
      <c r="E3081" s="211"/>
      <c r="F3081" s="211"/>
      <c r="G3081" s="211"/>
      <c r="H3081" s="211"/>
      <c r="I3081" s="211"/>
      <c r="J3081" s="211"/>
      <c r="K3081" s="211"/>
      <c r="L3081" s="211"/>
      <c r="M3081" s="211"/>
      <c r="N3081" s="211"/>
      <c r="O3081" s="211"/>
      <c r="Q3081" s="210" t="str">
        <f>IFERROR(__xludf.DUMMYFUNCTION("""COMPUTED_VALUE"""),"1261527")</f>
        <v>1261527</v>
      </c>
      <c r="R3081" s="210" t="str">
        <f>IFERROR(__xludf.DUMMYFUNCTION("""COMPUTED_VALUE"""),"1261527")</f>
        <v>1261527</v>
      </c>
      <c r="S3081" s="211" t="str">
        <f>IFERROR(__xludf.DUMMYFUNCTION("""COMPUTED_VALUE"""),"9b941888")</f>
        <v>9b941888</v>
      </c>
      <c r="T3081" s="211" t="str">
        <f>IFERROR(__xludf.DUMMYFUNCTION("""COMPUTED_VALUE"""),"Mas Devi ( Parengan )")</f>
        <v>Mas Devi ( Parengan )</v>
      </c>
      <c r="U3081" s="215">
        <f>IFERROR(__xludf.DUMMYFUNCTION("""COMPUTED_VALUE"""),46126.47398148148)</f>
        <v>46126.47398</v>
      </c>
      <c r="V3081" s="211" t="str">
        <f>IFERROR(__xludf.DUMMYFUNCTION("""COMPUTED_VALUE"""),"Kraton Krian Sidoarjo, ( sebelah tower listrik )")</f>
        <v>Kraton Krian Sidoarjo, ( sebelah tower listrik )</v>
      </c>
      <c r="W3081" s="211" t="str">
        <f>IFERROR(__xludf.DUMMYFUNCTION("""COMPUTED_VALUE"""),"IN")</f>
        <v>IN</v>
      </c>
      <c r="X3081" s="211"/>
    </row>
    <row r="3082">
      <c r="A3082" s="210" t="str">
        <f>IFERROR(__xludf.DUMMYFUNCTION("""COMPUTED_VALUE"""),"012682147")</f>
        <v>012682147</v>
      </c>
      <c r="B3082" s="210" t="str">
        <f>IFERROR(__xludf.DUMMYFUNCTION("""COMPUTED_VALUE"""),"012682147")</f>
        <v>012682147</v>
      </c>
      <c r="C3082" s="213">
        <f>IFERROR(__xludf.DUMMYFUNCTION("""COMPUTED_VALUE"""),46026.51981481481)</f>
        <v>46026.51981</v>
      </c>
      <c r="D3082" s="211" t="str">
        <f>IFERROR(__xludf.DUMMYFUNCTION("""COMPUTED_VALUE"""),"a9fe1bea")</f>
        <v>a9fe1bea</v>
      </c>
      <c r="E3082" s="211" t="str">
        <f>IFERROR(__xludf.DUMMYFUNCTION("""COMPUTED_VALUE"""),"H. Suheiri")</f>
        <v>H. Suheiri</v>
      </c>
      <c r="F3082" s="211" t="str">
        <f>IFERROR(__xludf.DUMMYFUNCTION("""COMPUTED_VALUE"""),"8bdbe149")</f>
        <v>8bdbe149</v>
      </c>
      <c r="G3082" s="211" t="str">
        <f>IFERROR(__xludf.DUMMYFUNCTION("""COMPUTED_VALUE"""),"Oksigen 6m3")</f>
        <v>Oksigen 6m3</v>
      </c>
      <c r="H3082" s="211" t="str">
        <f>IFERROR(__xludf.DUMMYFUNCTION("""COMPUTED_VALUE"""),"OUT")</f>
        <v>OUT</v>
      </c>
      <c r="I3082" s="211" t="str">
        <f>IFERROR(__xludf.DUMMYFUNCTION("""COMPUTED_VALUE"""),"NORMAL")</f>
        <v>NORMAL</v>
      </c>
      <c r="J3082" s="211">
        <f>IFERROR(__xludf.DUMMYFUNCTION("""COMPUTED_VALUE"""),15.0)</f>
        <v>15</v>
      </c>
      <c r="K3082" s="210" t="str">
        <f>IFERROR(__xludf.DUMMYFUNCTION("""COMPUTED_VALUE"""),"11108 11247 11273 11284 1166 11113 11196 1149 11118 11234 1156 11125 1162 11263 11165")</f>
        <v>11108 11247 11273 11284 1166 11113 11196 1149 11118 11234 1156 11125 1162 11263 11165</v>
      </c>
      <c r="L3082" s="211">
        <f>IFERROR(__xludf.DUMMYFUNCTION("""COMPUTED_VALUE"""),55000.0)</f>
        <v>55000</v>
      </c>
      <c r="M3082" s="211"/>
      <c r="N3082" s="211"/>
      <c r="O3082" s="211"/>
      <c r="Q3082" s="210" t="str">
        <f>IFERROR(__xludf.DUMMYFUNCTION("""COMPUTED_VALUE"""),"1261529")</f>
        <v>1261529</v>
      </c>
      <c r="R3082" s="210" t="str">
        <f>IFERROR(__xludf.DUMMYFUNCTION("""COMPUTED_VALUE"""),"1261529")</f>
        <v>1261529</v>
      </c>
      <c r="S3082" s="211" t="str">
        <f>IFERROR(__xludf.DUMMYFUNCTION("""COMPUTED_VALUE"""),"405a11b6")</f>
        <v>405a11b6</v>
      </c>
      <c r="T3082" s="211" t="str">
        <f>IFERROR(__xludf.DUMMYFUNCTION("""COMPUTED_VALUE"""),"Ibu Rinta")</f>
        <v>Ibu Rinta</v>
      </c>
      <c r="U3082" s="215">
        <f>IFERROR(__xludf.DUMMYFUNCTION("""COMPUTED_VALUE"""),46126.474699074075)</f>
        <v>46126.4747</v>
      </c>
      <c r="V3082" s="211" t="str">
        <f>IFERROR(__xludf.DUMMYFUNCTION("""COMPUTED_VALUE"""),"HHQ3+674, Semawut, Balongbendo, Kec. BalongBendo, Kabupaten Sidoarjo, Jawa Timur 61263")</f>
        <v>HHQ3+674, Semawut, Balongbendo, Kec. BalongBendo, Kabupaten Sidoarjo, Jawa Timur 61263</v>
      </c>
      <c r="W3082" s="211" t="str">
        <f>IFERROR(__xludf.DUMMYFUNCTION("""COMPUTED_VALUE"""),"IN")</f>
        <v>IN</v>
      </c>
      <c r="X3082" s="211"/>
    </row>
    <row r="3083">
      <c r="A3083" s="210" t="str">
        <f>IFERROR(__xludf.DUMMYFUNCTION("""COMPUTED_VALUE"""),"012632150")</f>
        <v>012632150</v>
      </c>
      <c r="B3083" s="210" t="str">
        <f>IFERROR(__xludf.DUMMYFUNCTION("""COMPUTED_VALUE"""),"012632150")</f>
        <v>012632150</v>
      </c>
      <c r="C3083" s="213">
        <f>IFERROR(__xludf.DUMMYFUNCTION("""COMPUTED_VALUE"""),46027.349641203706)</f>
        <v>46027.34964</v>
      </c>
      <c r="D3083" s="211" t="str">
        <f>IFERROR(__xludf.DUMMYFUNCTION("""COMPUTED_VALUE"""),"a1508027")</f>
        <v>a1508027</v>
      </c>
      <c r="E3083" s="211" t="str">
        <f>IFERROR(__xludf.DUMMYFUNCTION("""COMPUTED_VALUE"""),"Agus Budiono")</f>
        <v>Agus Budiono</v>
      </c>
      <c r="F3083" s="211" t="str">
        <f>IFERROR(__xludf.DUMMYFUNCTION("""COMPUTED_VALUE"""),"7d2764f1")</f>
        <v>7d2764f1</v>
      </c>
      <c r="G3083" s="211" t="str">
        <f>IFERROR(__xludf.DUMMYFUNCTION("""COMPUTED_VALUE"""),"Oksigen 7m3")</f>
        <v>Oksigen 7m3</v>
      </c>
      <c r="H3083" s="211" t="str">
        <f>IFERROR(__xludf.DUMMYFUNCTION("""COMPUTED_VALUE"""),"OUT")</f>
        <v>OUT</v>
      </c>
      <c r="I3083" s="211" t="str">
        <f>IFERROR(__xludf.DUMMYFUNCTION("""COMPUTED_VALUE"""),"NORMAL")</f>
        <v>NORMAL</v>
      </c>
      <c r="J3083" s="211">
        <f>IFERROR(__xludf.DUMMYFUNCTION("""COMPUTED_VALUE"""),1.0)</f>
        <v>1</v>
      </c>
      <c r="K3083" s="210" t="str">
        <f>IFERROR(__xludf.DUMMYFUNCTION("""COMPUTED_VALUE"""),"11153")</f>
        <v>11153</v>
      </c>
      <c r="L3083" s="211">
        <f>IFERROR(__xludf.DUMMYFUNCTION("""COMPUTED_VALUE"""),80000.0)</f>
        <v>80000</v>
      </c>
      <c r="M3083" s="211"/>
      <c r="N3083" s="211"/>
      <c r="O3083" s="211"/>
      <c r="Q3083" s="210" t="str">
        <f>IFERROR(__xludf.DUMMYFUNCTION("""COMPUTED_VALUE"""),"1261530")</f>
        <v>1261530</v>
      </c>
      <c r="R3083" s="210" t="str">
        <f>IFERROR(__xludf.DUMMYFUNCTION("""COMPUTED_VALUE"""),"1261530")</f>
        <v>1261530</v>
      </c>
      <c r="S3083" s="211" t="str">
        <f>IFERROR(__xludf.DUMMYFUNCTION("""COMPUTED_VALUE"""),"057b6b99")</f>
        <v>057b6b99</v>
      </c>
      <c r="T3083" s="211" t="str">
        <f>IFERROR(__xludf.DUMMYFUNCTION("""COMPUTED_VALUE"""),"PT Anuta Utama Transport")</f>
        <v>PT Anuta Utama Transport</v>
      </c>
      <c r="U3083" s="215">
        <f>IFERROR(__xludf.DUMMYFUNCTION("""COMPUTED_VALUE"""),46126.55189814815)</f>
        <v>46126.5519</v>
      </c>
      <c r="V3083" s="211" t="str">
        <f>IFERROR(__xludf.DUMMYFUNCTION("""COMPUTED_VALUE"""),"Jl Raya ketimang KM 10, Kec. Wonoayu, Kab. Sidoarjo, Jawa Timur")</f>
        <v>Jl Raya ketimang KM 10, Kec. Wonoayu, Kab. Sidoarjo, Jawa Timur</v>
      </c>
      <c r="W3083" s="211" t="str">
        <f>IFERROR(__xludf.DUMMYFUNCTION("""COMPUTED_VALUE"""),"IN")</f>
        <v>IN</v>
      </c>
      <c r="X3083" s="211"/>
    </row>
    <row r="3084">
      <c r="A3084" s="210" t="str">
        <f>IFERROR(__xludf.DUMMYFUNCTION("""COMPUTED_VALUE"""),"012622151")</f>
        <v>012622151</v>
      </c>
      <c r="B3084" s="210" t="str">
        <f>IFERROR(__xludf.DUMMYFUNCTION("""COMPUTED_VALUE"""),"012622151")</f>
        <v>012622151</v>
      </c>
      <c r="C3084" s="213">
        <f>IFERROR(__xludf.DUMMYFUNCTION("""COMPUTED_VALUE"""),46027.35097222222)</f>
        <v>46027.35097</v>
      </c>
      <c r="D3084" s="211" t="str">
        <f>IFERROR(__xludf.DUMMYFUNCTION("""COMPUTED_VALUE"""),"1d018c98")</f>
        <v>1d018c98</v>
      </c>
      <c r="E3084" s="211" t="str">
        <f>IFERROR(__xludf.DUMMYFUNCTION("""COMPUTED_VALUE"""),"Ibu Angel")</f>
        <v>Ibu Angel</v>
      </c>
      <c r="F3084" s="211" t="str">
        <f>IFERROR(__xludf.DUMMYFUNCTION("""COMPUTED_VALUE"""),"2690846b")</f>
        <v>2690846b</v>
      </c>
      <c r="G3084" s="211" t="str">
        <f>IFERROR(__xludf.DUMMYFUNCTION("""COMPUTED_VALUE"""),"Oksigen 1m3 MR")</f>
        <v>Oksigen 1m3 MR</v>
      </c>
      <c r="H3084" s="211" t="str">
        <f>IFERROR(__xludf.DUMMYFUNCTION("""COMPUTED_VALUE"""),"OUT")</f>
        <v>OUT</v>
      </c>
      <c r="I3084" s="211" t="str">
        <f>IFERROR(__xludf.DUMMYFUNCTION("""COMPUTED_VALUE"""),"NORMAL")</f>
        <v>NORMAL</v>
      </c>
      <c r="J3084" s="211">
        <f>IFERROR(__xludf.DUMMYFUNCTION("""COMPUTED_VALUE"""),1.0)</f>
        <v>1</v>
      </c>
      <c r="K3084" s="210" t="str">
        <f>IFERROR(__xludf.DUMMYFUNCTION("""COMPUTED_VALUE"""),"01")</f>
        <v>01</v>
      </c>
      <c r="L3084" s="211">
        <f>IFERROR(__xludf.DUMMYFUNCTION("""COMPUTED_VALUE"""),50000.0)</f>
        <v>50000</v>
      </c>
      <c r="M3084" s="211"/>
      <c r="N3084" s="211"/>
      <c r="O3084" s="211"/>
      <c r="Q3084" s="210" t="str">
        <f>IFERROR(__xludf.DUMMYFUNCTION("""COMPUTED_VALUE"""),"1261538")</f>
        <v>1261538</v>
      </c>
      <c r="R3084" s="210" t="str">
        <f>IFERROR(__xludf.DUMMYFUNCTION("""COMPUTED_VALUE"""),"1261538")</f>
        <v>1261538</v>
      </c>
      <c r="S3084" s="211" t="str">
        <f>IFERROR(__xludf.DUMMYFUNCTION("""COMPUTED_VALUE"""),"dcdf8b31")</f>
        <v>dcdf8b31</v>
      </c>
      <c r="T3084" s="211" t="str">
        <f>IFERROR(__xludf.DUMMYFUNCTION("""COMPUTED_VALUE"""),"Bpk. Samsul (Jetis)")</f>
        <v>Bpk. Samsul (Jetis)</v>
      </c>
      <c r="U3084" s="215">
        <f>IFERROR(__xludf.DUMMYFUNCTION("""COMPUTED_VALUE"""),46126.64498842593)</f>
        <v>46126.64499</v>
      </c>
      <c r="V3084" s="211" t="str">
        <f>IFERROR(__xludf.DUMMYFUNCTION("""COMPUTED_VALUE"""),"HFWF+9FG, Sido Wangi, Paringan, Kec. Jetis, Kabupaten Mojokerto, Jawa Timur")</f>
        <v>HFWF+9FG, Sido Wangi, Paringan, Kec. Jetis, Kabupaten Mojokerto, Jawa Timur</v>
      </c>
      <c r="W3084" s="211" t="str">
        <f>IFERROR(__xludf.DUMMYFUNCTION("""COMPUTED_VALUE"""),"IN")</f>
        <v>IN</v>
      </c>
      <c r="X3084" s="211"/>
    </row>
    <row r="3085">
      <c r="A3085" s="210" t="str">
        <f>IFERROR(__xludf.DUMMYFUNCTION("""COMPUTED_VALUE"""),"122532152")</f>
        <v>122532152</v>
      </c>
      <c r="B3085" s="210" t="str">
        <f>IFERROR(__xludf.DUMMYFUNCTION("""COMPUTED_VALUE"""),"122532152")</f>
        <v>122532152</v>
      </c>
      <c r="C3085" s="213">
        <f>IFERROR(__xludf.DUMMYFUNCTION("""COMPUTED_VALUE"""),46017.359456018516)</f>
        <v>46017.35946</v>
      </c>
      <c r="D3085" s="211" t="str">
        <f>IFERROR(__xludf.DUMMYFUNCTION("""COMPUTED_VALUE"""),"1d018c98")</f>
        <v>1d018c98</v>
      </c>
      <c r="E3085" s="211" t="str">
        <f>IFERROR(__xludf.DUMMYFUNCTION("""COMPUTED_VALUE"""),"Mbak Angel")</f>
        <v>Mbak Angel</v>
      </c>
      <c r="F3085" s="211" t="str">
        <f>IFERROR(__xludf.DUMMYFUNCTION("""COMPUTED_VALUE"""),"e8544a46")</f>
        <v>e8544a46</v>
      </c>
      <c r="G3085" s="211" t="str">
        <f>IFERROR(__xludf.DUMMYFUNCTION("""COMPUTED_VALUE"""),"Oksigen 1m3")</f>
        <v>Oksigen 1m3</v>
      </c>
      <c r="H3085" s="211" t="str">
        <f>IFERROR(__xludf.DUMMYFUNCTION("""COMPUTED_VALUE"""),"OUT")</f>
        <v>OUT</v>
      </c>
      <c r="I3085" s="211" t="str">
        <f>IFERROR(__xludf.DUMMYFUNCTION("""COMPUTED_VALUE"""),"NORMAL")</f>
        <v>NORMAL</v>
      </c>
      <c r="J3085" s="211">
        <f>IFERROR(__xludf.DUMMYFUNCTION("""COMPUTED_VALUE"""),1.0)</f>
        <v>1</v>
      </c>
      <c r="K3085" s="210" t="str">
        <f>IFERROR(__xludf.DUMMYFUNCTION("""COMPUTED_VALUE"""),"0004")</f>
        <v>0004</v>
      </c>
      <c r="L3085" s="211">
        <f>IFERROR(__xludf.DUMMYFUNCTION("""COMPUTED_VALUE"""),50000.0)</f>
        <v>50000</v>
      </c>
      <c r="M3085" s="211"/>
      <c r="N3085" s="211"/>
      <c r="O3085" s="211"/>
      <c r="Q3085" s="210" t="str">
        <f>IFERROR(__xludf.DUMMYFUNCTION("""COMPUTED_VALUE"""),"1261535")</f>
        <v>1261535</v>
      </c>
      <c r="R3085" s="210" t="str">
        <f>IFERROR(__xludf.DUMMYFUNCTION("""COMPUTED_VALUE"""),"1261535")</f>
        <v>1261535</v>
      </c>
      <c r="S3085" s="211" t="str">
        <f>IFERROR(__xludf.DUMMYFUNCTION("""COMPUTED_VALUE"""),"ec231cc9")</f>
        <v>ec231cc9</v>
      </c>
      <c r="T3085" s="211" t="str">
        <f>IFERROR(__xludf.DUMMYFUNCTION("""COMPUTED_VALUE"""),"Bpk. Kadir (Maintenance Velg)")</f>
        <v>Bpk. Kadir (Maintenance Velg)</v>
      </c>
      <c r="U3085" s="215">
        <f>IFERROR(__xludf.DUMMYFUNCTION("""COMPUTED_VALUE"""),46126.645949074074)</f>
        <v>46126.64595</v>
      </c>
      <c r="V3085" s="211" t="str">
        <f>IFERROR(__xludf.DUMMYFUNCTION("""COMPUTED_VALUE"""),"Jl. Lkr. Bypass Krian Timur, Sidogolong, Watugolong, Kec. Krian, Kabupaten Sidoarjo, Jawa Timur 61262")</f>
        <v>Jl. Lkr. Bypass Krian Timur, Sidogolong, Watugolong, Kec. Krian, Kabupaten Sidoarjo, Jawa Timur 61262</v>
      </c>
      <c r="W3085" s="211" t="str">
        <f>IFERROR(__xludf.DUMMYFUNCTION("""COMPUTED_VALUE"""),"IN")</f>
        <v>IN</v>
      </c>
      <c r="X3085" s="211"/>
    </row>
    <row r="3086">
      <c r="A3086" s="210" t="str">
        <f>IFERROR(__xludf.DUMMYFUNCTION("""COMPUTED_VALUE"""),"1251046")</f>
        <v>1251046</v>
      </c>
      <c r="B3086" s="210" t="str">
        <f>IFERROR(__xludf.DUMMYFUNCTION("""COMPUTED_VALUE"""),"1251046")</f>
        <v>1251046</v>
      </c>
      <c r="C3086" s="213">
        <f>IFERROR(__xludf.DUMMYFUNCTION("""COMPUTED_VALUE"""),46027.36009259259)</f>
        <v>46027.36009</v>
      </c>
      <c r="D3086" s="211" t="str">
        <f>IFERROR(__xludf.DUMMYFUNCTION("""COMPUTED_VALUE"""),"1d018c98")</f>
        <v>1d018c98</v>
      </c>
      <c r="E3086" s="211" t="str">
        <f>IFERROR(__xludf.DUMMYFUNCTION("""COMPUTED_VALUE"""),"Ibu Angel")</f>
        <v>Ibu Angel</v>
      </c>
      <c r="F3086" s="211" t="str">
        <f>IFERROR(__xludf.DUMMYFUNCTION("""COMPUTED_VALUE"""),"e8544a46")</f>
        <v>e8544a46</v>
      </c>
      <c r="G3086" s="211" t="str">
        <f>IFERROR(__xludf.DUMMYFUNCTION("""COMPUTED_VALUE"""),"Oksigen 1m3")</f>
        <v>Oksigen 1m3</v>
      </c>
      <c r="H3086" s="211" t="str">
        <f>IFERROR(__xludf.DUMMYFUNCTION("""COMPUTED_VALUE"""),"IN")</f>
        <v>IN</v>
      </c>
      <c r="I3086" s="211" t="str">
        <f>IFERROR(__xludf.DUMMYFUNCTION("""COMPUTED_VALUE"""),"EMPTY")</f>
        <v>EMPTY</v>
      </c>
      <c r="J3086" s="211">
        <f>IFERROR(__xludf.DUMMYFUNCTION("""COMPUTED_VALUE"""),1.0)</f>
        <v>1</v>
      </c>
      <c r="K3086" s="210" t="str">
        <f>IFERROR(__xludf.DUMMYFUNCTION("""COMPUTED_VALUE"""),"0004")</f>
        <v>0004</v>
      </c>
      <c r="L3086" s="211">
        <f>IFERROR(__xludf.DUMMYFUNCTION("""COMPUTED_VALUE"""),0.0)</f>
        <v>0</v>
      </c>
      <c r="M3086" s="211"/>
      <c r="N3086" s="211"/>
      <c r="O3086" s="211"/>
      <c r="Q3086" s="210" t="str">
        <f>IFERROR(__xludf.DUMMYFUNCTION("""COMPUTED_VALUE"""),"1261536")</f>
        <v>1261536</v>
      </c>
      <c r="R3086" s="210" t="str">
        <f>IFERROR(__xludf.DUMMYFUNCTION("""COMPUTED_VALUE"""),"1261536")</f>
        <v>1261536</v>
      </c>
      <c r="S3086" s="211" t="str">
        <f>IFERROR(__xludf.DUMMYFUNCTION("""COMPUTED_VALUE"""),"ba97d58d")</f>
        <v>ba97d58d</v>
      </c>
      <c r="T3086" s="211" t="str">
        <f>IFERROR(__xludf.DUMMYFUNCTION("""COMPUTED_VALUE"""),"Bengkel Citra Mojosari")</f>
        <v>Bengkel Citra Mojosari</v>
      </c>
      <c r="U3086" s="215">
        <f>IFERROR(__xludf.DUMMYFUNCTION("""COMPUTED_VALUE"""),46126.64641203704)</f>
        <v>46126.64641</v>
      </c>
      <c r="V3086" s="211" t="str">
        <f>IFERROR(__xludf.DUMMYFUNCTION("""COMPUTED_VALUE"""),"Jl. Raden Wijaya, Kemloko, Jotangan, Kec. Mojosari, Kabupaten Mojokerto, Jawa Timur 61382")</f>
        <v>Jl. Raden Wijaya, Kemloko, Jotangan, Kec. Mojosari, Kabupaten Mojokerto, Jawa Timur 61382</v>
      </c>
      <c r="W3086" s="211" t="str">
        <f>IFERROR(__xludf.DUMMYFUNCTION("""COMPUTED_VALUE"""),"IN")</f>
        <v>IN</v>
      </c>
      <c r="X3086" s="211"/>
    </row>
    <row r="3087">
      <c r="A3087" s="210" t="str">
        <f>IFERROR(__xludf.DUMMYFUNCTION("""COMPUTED_VALUE"""),"1251047")</f>
        <v>1251047</v>
      </c>
      <c r="B3087" s="210" t="str">
        <f>IFERROR(__xludf.DUMMYFUNCTION("""COMPUTED_VALUE"""),"1251047")</f>
        <v>1251047</v>
      </c>
      <c r="C3087" s="213">
        <f>IFERROR(__xludf.DUMMYFUNCTION("""COMPUTED_VALUE"""),46017.36101851852)</f>
        <v>46017.36102</v>
      </c>
      <c r="D3087" s="211" t="str">
        <f>IFERROR(__xludf.DUMMYFUNCTION("""COMPUTED_VALUE"""),"1d018c98")</f>
        <v>1d018c98</v>
      </c>
      <c r="E3087" s="211" t="str">
        <f>IFERROR(__xludf.DUMMYFUNCTION("""COMPUTED_VALUE"""),"Ibu Angel")</f>
        <v>Ibu Angel</v>
      </c>
      <c r="F3087" s="211" t="str">
        <f>IFERROR(__xludf.DUMMYFUNCTION("""COMPUTED_VALUE"""),"e8544a46")</f>
        <v>e8544a46</v>
      </c>
      <c r="G3087" s="211" t="str">
        <f>IFERROR(__xludf.DUMMYFUNCTION("""COMPUTED_VALUE"""),"Oksigen 1m3")</f>
        <v>Oksigen 1m3</v>
      </c>
      <c r="H3087" s="211" t="str">
        <f>IFERROR(__xludf.DUMMYFUNCTION("""COMPUTED_VALUE"""),"IN")</f>
        <v>IN</v>
      </c>
      <c r="I3087" s="211" t="str">
        <f>IFERROR(__xludf.DUMMYFUNCTION("""COMPUTED_VALUE"""),"EMPTY")</f>
        <v>EMPTY</v>
      </c>
      <c r="J3087" s="211">
        <f>IFERROR(__xludf.DUMMYFUNCTION("""COMPUTED_VALUE"""),1.0)</f>
        <v>1</v>
      </c>
      <c r="K3087" s="210" t="str">
        <f>IFERROR(__xludf.DUMMYFUNCTION("""COMPUTED_VALUE"""),"0006")</f>
        <v>0006</v>
      </c>
      <c r="L3087" s="211">
        <f>IFERROR(__xludf.DUMMYFUNCTION("""COMPUTED_VALUE"""),0.0)</f>
        <v>0</v>
      </c>
      <c r="M3087" s="211"/>
      <c r="N3087" s="211"/>
      <c r="O3087" s="211"/>
      <c r="Q3087" s="210" t="str">
        <f>IFERROR(__xludf.DUMMYFUNCTION("""COMPUTED_VALUE"""),"1261537")</f>
        <v>1261537</v>
      </c>
      <c r="R3087" s="210" t="str">
        <f>IFERROR(__xludf.DUMMYFUNCTION("""COMPUTED_VALUE"""),"1261537")</f>
        <v>1261537</v>
      </c>
      <c r="S3087" s="211" t="str">
        <f>IFERROR(__xludf.DUMMYFUNCTION("""COMPUTED_VALUE"""),"ce83e171")</f>
        <v>ce83e171</v>
      </c>
      <c r="T3087" s="211" t="str">
        <f>IFERROR(__xludf.DUMMYFUNCTION("""COMPUTED_VALUE"""),"Bpk. Sulaiman")</f>
        <v>Bpk. Sulaiman</v>
      </c>
      <c r="U3087" s="215">
        <f>IFERROR(__xludf.DUMMYFUNCTION("""COMPUTED_VALUE"""),46126.64672453704)</f>
        <v>46126.64672</v>
      </c>
      <c r="V3087" s="211" t="str">
        <f>IFERROR(__xludf.DUMMYFUNCTION("""COMPUTED_VALUE"""),"Jl. Raya Kramat Temenggung No.43, Kramat, Kramat Temenggung, Kec. Tarik, Kabupaten Sidoarjo, Jawa Timur 61265")</f>
        <v>Jl. Raya Kramat Temenggung No.43, Kramat, Kramat Temenggung, Kec. Tarik, Kabupaten Sidoarjo, Jawa Timur 61265</v>
      </c>
      <c r="W3087" s="211" t="str">
        <f>IFERROR(__xludf.DUMMYFUNCTION("""COMPUTED_VALUE"""),"IN")</f>
        <v>IN</v>
      </c>
      <c r="X3087" s="211"/>
    </row>
    <row r="3088">
      <c r="A3088" s="210" t="str">
        <f>IFERROR(__xludf.DUMMYFUNCTION("""COMPUTED_VALUE"""),"0126122153")</f>
        <v>0126122153</v>
      </c>
      <c r="B3088" s="210" t="str">
        <f>IFERROR(__xludf.DUMMYFUNCTION("""COMPUTED_VALUE"""),"0126122153")</f>
        <v>0126122153</v>
      </c>
      <c r="C3088" s="213">
        <f>IFERROR(__xludf.DUMMYFUNCTION("""COMPUTED_VALUE"""),46027.36788194445)</f>
        <v>46027.36788</v>
      </c>
      <c r="D3088" s="211" t="str">
        <f>IFERROR(__xludf.DUMMYFUNCTION("""COMPUTED_VALUE"""),"a0f0ad2d")</f>
        <v>a0f0ad2d</v>
      </c>
      <c r="E3088" s="211" t="str">
        <f>IFERROR(__xludf.DUMMYFUNCTION("""COMPUTED_VALUE"""),"CV. Yulie Jaya")</f>
        <v>CV. Yulie Jaya</v>
      </c>
      <c r="F3088" s="211" t="str">
        <f>IFERROR(__xludf.DUMMYFUNCTION("""COMPUTED_VALUE"""),"7d2764f1")</f>
        <v>7d2764f1</v>
      </c>
      <c r="G3088" s="211" t="str">
        <f>IFERROR(__xludf.DUMMYFUNCTION("""COMPUTED_VALUE"""),"Oksigen 7m3")</f>
        <v>Oksigen 7m3</v>
      </c>
      <c r="H3088" s="211" t="str">
        <f>IFERROR(__xludf.DUMMYFUNCTION("""COMPUTED_VALUE"""),"OUT")</f>
        <v>OUT</v>
      </c>
      <c r="I3088" s="211" t="str">
        <f>IFERROR(__xludf.DUMMYFUNCTION("""COMPUTED_VALUE"""),"NORMAL")</f>
        <v>NORMAL</v>
      </c>
      <c r="J3088" s="211">
        <f>IFERROR(__xludf.DUMMYFUNCTION("""COMPUTED_VALUE"""),2.0)</f>
        <v>2</v>
      </c>
      <c r="K3088" s="210" t="str">
        <f>IFERROR(__xludf.DUMMYFUNCTION("""COMPUTED_VALUE"""),"11152 11174")</f>
        <v>11152 11174</v>
      </c>
      <c r="L3088" s="211">
        <f>IFERROR(__xludf.DUMMYFUNCTION("""COMPUTED_VALUE"""),60000.0)</f>
        <v>60000</v>
      </c>
      <c r="M3088" s="211"/>
      <c r="N3088" s="211"/>
      <c r="O3088" s="211"/>
      <c r="Q3088" s="210" t="str">
        <f>IFERROR(__xludf.DUMMYFUNCTION("""COMPUTED_VALUE"""),"04261043080")</f>
        <v>04261043080</v>
      </c>
      <c r="R3088" s="210" t="str">
        <f>IFERROR(__xludf.DUMMYFUNCTION("""COMPUTED_VALUE"""),"04261043080")</f>
        <v>04261043080</v>
      </c>
      <c r="S3088" s="211" t="str">
        <f>IFERROR(__xludf.DUMMYFUNCTION("""COMPUTED_VALUE"""),"b2b5f2c5")</f>
        <v>b2b5f2c5</v>
      </c>
      <c r="T3088" s="211" t="str">
        <f>IFERROR(__xludf.DUMMYFUNCTION("""COMPUTED_VALUE"""),"Bengkel Las Bpk. Ari")</f>
        <v>Bengkel Las Bpk. Ari</v>
      </c>
      <c r="U3088" s="215">
        <f>IFERROR(__xludf.DUMMYFUNCTION("""COMPUTED_VALUE"""),46127.36693287037)</f>
        <v>46127.36693</v>
      </c>
      <c r="V3088" s="211" t="str">
        <f>IFERROR(__xludf.DUMMYFUNCTION("""COMPUTED_VALUE"""),"Sumber Kembar, Wonodadi, Kec. Kutorejo, Kabupaten Mojokerto, Jawa Timur")</f>
        <v>Sumber Kembar, Wonodadi, Kec. Kutorejo, Kabupaten Mojokerto, Jawa Timur</v>
      </c>
      <c r="W3088" s="211" t="str">
        <f>IFERROR(__xludf.DUMMYFUNCTION("""COMPUTED_VALUE"""),"OUT")</f>
        <v>OUT</v>
      </c>
      <c r="X3088" s="211"/>
    </row>
    <row r="3089">
      <c r="A3089" s="210" t="str">
        <f>IFERROR(__xludf.DUMMYFUNCTION("""COMPUTED_VALUE"""),"0126122153")</f>
        <v>0126122153</v>
      </c>
      <c r="B3089" s="210" t="str">
        <f>IFERROR(__xludf.DUMMYFUNCTION("""COMPUTED_VALUE"""),"0126122153")</f>
        <v>0126122153</v>
      </c>
      <c r="C3089" s="213">
        <f>IFERROR(__xludf.DUMMYFUNCTION("""COMPUTED_VALUE"""),46027.36788194445)</f>
        <v>46027.36788</v>
      </c>
      <c r="D3089" s="211" t="str">
        <f>IFERROR(__xludf.DUMMYFUNCTION("""COMPUTED_VALUE"""),"a0f0ad2d")</f>
        <v>a0f0ad2d</v>
      </c>
      <c r="E3089" s="211" t="str">
        <f>IFERROR(__xludf.DUMMYFUNCTION("""COMPUTED_VALUE"""),"CV. Yulie Jaya")</f>
        <v>CV. Yulie Jaya</v>
      </c>
      <c r="F3089" s="211" t="str">
        <f>IFERROR(__xludf.DUMMYFUNCTION("""COMPUTED_VALUE"""),"8bdbe149")</f>
        <v>8bdbe149</v>
      </c>
      <c r="G3089" s="211" t="str">
        <f>IFERROR(__xludf.DUMMYFUNCTION("""COMPUTED_VALUE"""),"Oksigen 6m3")</f>
        <v>Oksigen 6m3</v>
      </c>
      <c r="H3089" s="211" t="str">
        <f>IFERROR(__xludf.DUMMYFUNCTION("""COMPUTED_VALUE"""),"OUT")</f>
        <v>OUT</v>
      </c>
      <c r="I3089" s="211" t="str">
        <f>IFERROR(__xludf.DUMMYFUNCTION("""COMPUTED_VALUE"""),"NORMAL")</f>
        <v>NORMAL</v>
      </c>
      <c r="J3089" s="211">
        <f>IFERROR(__xludf.DUMMYFUNCTION("""COMPUTED_VALUE"""),8.0)</f>
        <v>8</v>
      </c>
      <c r="K3089" s="210" t="str">
        <f>IFERROR(__xludf.DUMMYFUNCTION("""COMPUTED_VALUE"""),"11296 11127 11256 1132 11251 11257 11239 1176")</f>
        <v>11296 11127 11256 1132 11251 11257 11239 1176</v>
      </c>
      <c r="L3089" s="211">
        <f>IFERROR(__xludf.DUMMYFUNCTION("""COMPUTED_VALUE"""),65000.0)</f>
        <v>65000</v>
      </c>
      <c r="M3089" s="211"/>
      <c r="N3089" s="211"/>
      <c r="O3089" s="211"/>
      <c r="Q3089" s="210" t="str">
        <f>IFERROR(__xludf.DUMMYFUNCTION("""COMPUTED_VALUE"""),"042683089")</f>
        <v>042683089</v>
      </c>
      <c r="R3089" s="210" t="str">
        <f>IFERROR(__xludf.DUMMYFUNCTION("""COMPUTED_VALUE"""),"042683089")</f>
        <v>042683089</v>
      </c>
      <c r="S3089" s="211" t="str">
        <f>IFERROR(__xludf.DUMMYFUNCTION("""COMPUTED_VALUE"""),"ca4876e2")</f>
        <v>ca4876e2</v>
      </c>
      <c r="T3089" s="211" t="str">
        <f>IFERROR(__xludf.DUMMYFUNCTION("""COMPUTED_VALUE"""),"Bengkel Mustika Mojosari")</f>
        <v>Bengkel Mustika Mojosari</v>
      </c>
      <c r="U3089" s="215">
        <f>IFERROR(__xludf.DUMMYFUNCTION("""COMPUTED_VALUE"""),46127.367731481485)</f>
        <v>46127.36773</v>
      </c>
      <c r="V3089" s="211" t="str">
        <f>IFERROR(__xludf.DUMMYFUNCTION("""COMPUTED_VALUE"""),"Jl. Kusuma Bangsa, Bulanan, Randubango, Kec. Mojosari, Kabupaten Mojokerto, Jawa Timur 61382")</f>
        <v>Jl. Kusuma Bangsa, Bulanan, Randubango, Kec. Mojosari, Kabupaten Mojokerto, Jawa Timur 61382</v>
      </c>
      <c r="W3089" s="211" t="str">
        <f>IFERROR(__xludf.DUMMYFUNCTION("""COMPUTED_VALUE"""),"OUT")</f>
        <v>OUT</v>
      </c>
      <c r="X3089" s="211"/>
    </row>
    <row r="3090">
      <c r="A3090" s="210" t="str">
        <f>IFERROR(__xludf.DUMMYFUNCTION("""COMPUTED_VALUE"""),"0126662156")</f>
        <v>0126662156</v>
      </c>
      <c r="B3090" s="210" t="str">
        <f>IFERROR(__xludf.DUMMYFUNCTION("""COMPUTED_VALUE"""),"0126662156")</f>
        <v>0126662156</v>
      </c>
      <c r="C3090" s="213">
        <f>IFERROR(__xludf.DUMMYFUNCTION("""COMPUTED_VALUE"""),46027.37070601852)</f>
        <v>46027.37071</v>
      </c>
      <c r="D3090" s="211" t="str">
        <f>IFERROR(__xludf.DUMMYFUNCTION("""COMPUTED_VALUE"""),"b2b5f2c5")</f>
        <v>b2b5f2c5</v>
      </c>
      <c r="E3090" s="211" t="str">
        <f>IFERROR(__xludf.DUMMYFUNCTION("""COMPUTED_VALUE"""),"Bengkel Las Bpk. Ari")</f>
        <v>Bengkel Las Bpk. Ari</v>
      </c>
      <c r="F3090" s="211" t="str">
        <f>IFERROR(__xludf.DUMMYFUNCTION("""COMPUTED_VALUE"""),"8bdbe149")</f>
        <v>8bdbe149</v>
      </c>
      <c r="G3090" s="211" t="str">
        <f>IFERROR(__xludf.DUMMYFUNCTION("""COMPUTED_VALUE"""),"Oksigen 6m3")</f>
        <v>Oksigen 6m3</v>
      </c>
      <c r="H3090" s="211" t="str">
        <f>IFERROR(__xludf.DUMMYFUNCTION("""COMPUTED_VALUE"""),"OUT")</f>
        <v>OUT</v>
      </c>
      <c r="I3090" s="211" t="str">
        <f>IFERROR(__xludf.DUMMYFUNCTION("""COMPUTED_VALUE"""),"NORMAL")</f>
        <v>NORMAL</v>
      </c>
      <c r="J3090" s="211">
        <f>IFERROR(__xludf.DUMMYFUNCTION("""COMPUTED_VALUE"""),10.0)</f>
        <v>10</v>
      </c>
      <c r="K3090" s="210" t="str">
        <f>IFERROR(__xludf.DUMMYFUNCTION("""COMPUTED_VALUE"""),"11115 11315 1139 11242 1138 11124 11294 11202 1148 11106")</f>
        <v>11115 11315 1139 11242 1138 11124 11294 11202 1148 11106</v>
      </c>
      <c r="L3090" s="211">
        <f>IFERROR(__xludf.DUMMYFUNCTION("""COMPUTED_VALUE"""),60000.0)</f>
        <v>60000</v>
      </c>
      <c r="M3090" s="211"/>
      <c r="N3090" s="211"/>
      <c r="O3090" s="211"/>
      <c r="Q3090" s="210" t="str">
        <f>IFERROR(__xludf.DUMMYFUNCTION("""COMPUTED_VALUE"""),"1261561")</f>
        <v>1261561</v>
      </c>
      <c r="R3090" s="210" t="str">
        <f>IFERROR(__xludf.DUMMYFUNCTION("""COMPUTED_VALUE"""),"1261561")</f>
        <v>1261561</v>
      </c>
      <c r="S3090" s="211" t="str">
        <f>IFERROR(__xludf.DUMMYFUNCTION("""COMPUTED_VALUE"""),"d9b2fac5")</f>
        <v>d9b2fac5</v>
      </c>
      <c r="T3090" s="211" t="str">
        <f>IFERROR(__xludf.DUMMYFUNCTION("""COMPUTED_VALUE"""),"Dwi Riza ( Ponokawan)")</f>
        <v>Dwi Riza ( Ponokawan)</v>
      </c>
      <c r="U3090" s="215">
        <f>IFERROR(__xludf.DUMMYFUNCTION("""COMPUTED_VALUE"""),46127.608506944445)</f>
        <v>46127.60851</v>
      </c>
      <c r="V3090" s="211" t="str">
        <f>IFERROR(__xludf.DUMMYFUNCTION("""COMPUTED_VALUE"""),"Jl. Raya Ponokawan No.28 RT 07 RW 03 Kec. Krian Sidoarjo (Seberang Bengkel An.Nur/ Deretan Baraka Expres)")</f>
        <v>Jl. Raya Ponokawan No.28 RT 07 RW 03 Kec. Krian Sidoarjo (Seberang Bengkel An.Nur/ Deretan Baraka Expres)</v>
      </c>
      <c r="W3090" s="211" t="str">
        <f>IFERROR(__xludf.DUMMYFUNCTION("""COMPUTED_VALUE"""),"IN")</f>
        <v>IN</v>
      </c>
      <c r="X3090" s="211"/>
    </row>
    <row r="3091">
      <c r="A3091" s="210" t="str">
        <f>IFERROR(__xludf.DUMMYFUNCTION("""COMPUTED_VALUE"""),"0126662156")</f>
        <v>0126662156</v>
      </c>
      <c r="B3091" s="210" t="str">
        <f>IFERROR(__xludf.DUMMYFUNCTION("""COMPUTED_VALUE"""),"0126662156")</f>
        <v>0126662156</v>
      </c>
      <c r="C3091" s="213">
        <f>IFERROR(__xludf.DUMMYFUNCTION("""COMPUTED_VALUE"""),46027.37070601852)</f>
        <v>46027.37071</v>
      </c>
      <c r="D3091" s="211" t="str">
        <f>IFERROR(__xludf.DUMMYFUNCTION("""COMPUTED_VALUE"""),"b2b5f2c5")</f>
        <v>b2b5f2c5</v>
      </c>
      <c r="E3091" s="211" t="str">
        <f>IFERROR(__xludf.DUMMYFUNCTION("""COMPUTED_VALUE"""),"Bengkel Las Bpk. Ari")</f>
        <v>Bengkel Las Bpk. Ari</v>
      </c>
      <c r="F3091" s="211" t="str">
        <f>IFERROR(__xludf.DUMMYFUNCTION("""COMPUTED_VALUE"""),"ef306e54")</f>
        <v>ef306e54</v>
      </c>
      <c r="G3091" s="211" t="str">
        <f>IFERROR(__xludf.DUMMYFUNCTION("""COMPUTED_VALUE"""),"Karbondioksida")</f>
        <v>Karbondioksida</v>
      </c>
      <c r="H3091" s="211" t="str">
        <f>IFERROR(__xludf.DUMMYFUNCTION("""COMPUTED_VALUE"""),"OUT")</f>
        <v>OUT</v>
      </c>
      <c r="I3091" s="211" t="str">
        <f>IFERROR(__xludf.DUMMYFUNCTION("""COMPUTED_VALUE"""),"NORMAL")</f>
        <v>NORMAL</v>
      </c>
      <c r="J3091" s="211">
        <f>IFERROR(__xludf.DUMMYFUNCTION("""COMPUTED_VALUE"""),5.0)</f>
        <v>5</v>
      </c>
      <c r="K3091" s="210" t="str">
        <f>IFERROR(__xludf.DUMMYFUNCTION("""COMPUTED_VALUE"""),"13047 13014 13027 13037 13006")</f>
        <v>13047 13014 13027 13037 13006</v>
      </c>
      <c r="L3091" s="211">
        <f>IFERROR(__xludf.DUMMYFUNCTION("""COMPUTED_VALUE"""),180000.0)</f>
        <v>180000</v>
      </c>
      <c r="M3091" s="211"/>
      <c r="N3091" s="211"/>
      <c r="O3091" s="211"/>
      <c r="Q3091" s="210" t="str">
        <f>IFERROR(__xludf.DUMMYFUNCTION("""COMPUTED_VALUE"""),"1261564")</f>
        <v>1261564</v>
      </c>
      <c r="R3091" s="210" t="str">
        <f>IFERROR(__xludf.DUMMYFUNCTION("""COMPUTED_VALUE"""),"1261564")</f>
        <v>1261564</v>
      </c>
      <c r="S3091" s="211" t="str">
        <f>IFERROR(__xludf.DUMMYFUNCTION("""COMPUTED_VALUE"""),"a0f0ad2d")</f>
        <v>a0f0ad2d</v>
      </c>
      <c r="T3091" s="211" t="str">
        <f>IFERROR(__xludf.DUMMYFUNCTION("""COMPUTED_VALUE"""),"CV. Yulie Jaya")</f>
        <v>CV. Yulie Jaya</v>
      </c>
      <c r="U3091" s="215">
        <f>IFERROR(__xludf.DUMMYFUNCTION("""COMPUTED_VALUE"""),46127.609560185185)</f>
        <v>46127.60956</v>
      </c>
      <c r="V3091" s="211" t="str">
        <f>IFERROR(__xludf.DUMMYFUNCTION("""COMPUTED_VALUE"""),"JJH4+6RV, Badas, Barengkrajan, Kec. Krian, Kabupaten Sidoarjo, Jawa Timur 61262")</f>
        <v>JJH4+6RV, Badas, Barengkrajan, Kec. Krian, Kabupaten Sidoarjo, Jawa Timur 61262</v>
      </c>
      <c r="W3091" s="211" t="str">
        <f>IFERROR(__xludf.DUMMYFUNCTION("""COMPUTED_VALUE"""),"IN")</f>
        <v>IN</v>
      </c>
      <c r="X3091" s="211"/>
    </row>
    <row r="3092">
      <c r="A3092" s="210" t="str">
        <f>IFERROR(__xludf.DUMMYFUNCTION("""COMPUTED_VALUE"""),"0126322157")</f>
        <v>0126322157</v>
      </c>
      <c r="B3092" s="210" t="str">
        <f>IFERROR(__xludf.DUMMYFUNCTION("""COMPUTED_VALUE"""),"0126322157")</f>
        <v>0126322157</v>
      </c>
      <c r="C3092" s="213">
        <f>IFERROR(__xludf.DUMMYFUNCTION("""COMPUTED_VALUE"""),46027.376296296294)</f>
        <v>46027.3763</v>
      </c>
      <c r="D3092" s="211" t="str">
        <f>IFERROR(__xludf.DUMMYFUNCTION("""COMPUTED_VALUE"""),"8f5ebaea")</f>
        <v>8f5ebaea</v>
      </c>
      <c r="E3092" s="211" t="str">
        <f>IFERROR(__xludf.DUMMYFUNCTION("""COMPUTED_VALUE"""),"PT Hua Zong Mesindo")</f>
        <v>PT Hua Zong Mesindo</v>
      </c>
      <c r="F3092" s="211" t="str">
        <f>IFERROR(__xludf.DUMMYFUNCTION("""COMPUTED_VALUE"""),"7d2764f1")</f>
        <v>7d2764f1</v>
      </c>
      <c r="G3092" s="211" t="str">
        <f>IFERROR(__xludf.DUMMYFUNCTION("""COMPUTED_VALUE"""),"Oksigen 7m3")</f>
        <v>Oksigen 7m3</v>
      </c>
      <c r="H3092" s="211" t="str">
        <f>IFERROR(__xludf.DUMMYFUNCTION("""COMPUTED_VALUE"""),"OUT")</f>
        <v>OUT</v>
      </c>
      <c r="I3092" s="211" t="str">
        <f>IFERROR(__xludf.DUMMYFUNCTION("""COMPUTED_VALUE"""),"NORMAL")</f>
        <v>NORMAL</v>
      </c>
      <c r="J3092" s="211">
        <f>IFERROR(__xludf.DUMMYFUNCTION("""COMPUTED_VALUE"""),1.0)</f>
        <v>1</v>
      </c>
      <c r="K3092" s="210" t="str">
        <f>IFERROR(__xludf.DUMMYFUNCTION("""COMPUTED_VALUE"""),"11163")</f>
        <v>11163</v>
      </c>
      <c r="L3092" s="211">
        <f>IFERROR(__xludf.DUMMYFUNCTION("""COMPUTED_VALUE"""),65000.0)</f>
        <v>65000</v>
      </c>
      <c r="M3092" s="211"/>
      <c r="N3092" s="211"/>
      <c r="O3092" s="211"/>
      <c r="Q3092" s="210" t="str">
        <f>IFERROR(__xludf.DUMMYFUNCTION("""COMPUTED_VALUE"""),"1261563")</f>
        <v>1261563</v>
      </c>
      <c r="R3092" s="210" t="str">
        <f>IFERROR(__xludf.DUMMYFUNCTION("""COMPUTED_VALUE"""),"1261563")</f>
        <v>1261563</v>
      </c>
      <c r="S3092" s="211" t="str">
        <f>IFERROR(__xludf.DUMMYFUNCTION("""COMPUTED_VALUE"""),"8f5ebaea")</f>
        <v>8f5ebaea</v>
      </c>
      <c r="T3092" s="211" t="str">
        <f>IFERROR(__xludf.DUMMYFUNCTION("""COMPUTED_VALUE"""),"PT Hua Zong Mesindo")</f>
        <v>PT Hua Zong Mesindo</v>
      </c>
      <c r="U3092" s="215">
        <f>IFERROR(__xludf.DUMMYFUNCTION("""COMPUTED_VALUE"""),46127.609872685185)</f>
        <v>46127.60987</v>
      </c>
      <c r="V3092" s="211" t="str">
        <f>IFERROR(__xludf.DUMMYFUNCTION("""COMPUTED_VALUE"""),"Jl. Bypass Krian, Sidotemo, Sidomulyo, Kec. Krian, Kabupaten Sidoarjo, Jawa Timur 61262")</f>
        <v>Jl. Bypass Krian, Sidotemo, Sidomulyo, Kec. Krian, Kabupaten Sidoarjo, Jawa Timur 61262</v>
      </c>
      <c r="W3092" s="211" t="str">
        <f>IFERROR(__xludf.DUMMYFUNCTION("""COMPUTED_VALUE"""),"IN")</f>
        <v>IN</v>
      </c>
      <c r="X3092" s="211"/>
    </row>
    <row r="3093">
      <c r="A3093" s="210" t="str">
        <f>IFERROR(__xludf.DUMMYFUNCTION("""COMPUTED_VALUE"""),"0126322157")</f>
        <v>0126322157</v>
      </c>
      <c r="B3093" s="210" t="str">
        <f>IFERROR(__xludf.DUMMYFUNCTION("""COMPUTED_VALUE"""),"0126322157")</f>
        <v>0126322157</v>
      </c>
      <c r="C3093" s="213">
        <f>IFERROR(__xludf.DUMMYFUNCTION("""COMPUTED_VALUE"""),46027.376296296294)</f>
        <v>46027.3763</v>
      </c>
      <c r="D3093" s="211" t="str">
        <f>IFERROR(__xludf.DUMMYFUNCTION("""COMPUTED_VALUE"""),"8f5ebaea")</f>
        <v>8f5ebaea</v>
      </c>
      <c r="E3093" s="211" t="str">
        <f>IFERROR(__xludf.DUMMYFUNCTION("""COMPUTED_VALUE"""),"PT Hua Zong Mesindo")</f>
        <v>PT Hua Zong Mesindo</v>
      </c>
      <c r="F3093" s="211" t="str">
        <f>IFERROR(__xludf.DUMMYFUNCTION("""COMPUTED_VALUE"""),"66af7c72")</f>
        <v>66af7c72</v>
      </c>
      <c r="G3093" s="211" t="str">
        <f>IFERROR(__xludf.DUMMYFUNCTION("""COMPUTED_VALUE"""),"Argon 6m3")</f>
        <v>Argon 6m3</v>
      </c>
      <c r="H3093" s="211" t="str">
        <f>IFERROR(__xludf.DUMMYFUNCTION("""COMPUTED_VALUE"""),"OUT")</f>
        <v>OUT</v>
      </c>
      <c r="I3093" s="211" t="str">
        <f>IFERROR(__xludf.DUMMYFUNCTION("""COMPUTED_VALUE"""),"NORMAL")</f>
        <v>NORMAL</v>
      </c>
      <c r="J3093" s="211">
        <f>IFERROR(__xludf.DUMMYFUNCTION("""COMPUTED_VALUE"""),1.0)</f>
        <v>1</v>
      </c>
      <c r="K3093" s="210" t="str">
        <f>IFERROR(__xludf.DUMMYFUNCTION("""COMPUTED_VALUE"""),"12005")</f>
        <v>12005</v>
      </c>
      <c r="L3093" s="211">
        <f>IFERROR(__xludf.DUMMYFUNCTION("""COMPUTED_VALUE"""),215000.0)</f>
        <v>215000</v>
      </c>
      <c r="M3093" s="211"/>
      <c r="N3093" s="211"/>
      <c r="O3093" s="211"/>
      <c r="Q3093" s="210" t="str">
        <f>IFERROR(__xludf.DUMMYFUNCTION("""COMPUTED_VALUE"""),"1261562")</f>
        <v>1261562</v>
      </c>
      <c r="R3093" s="210" t="str">
        <f>IFERROR(__xludf.DUMMYFUNCTION("""COMPUTED_VALUE"""),"1261562")</f>
        <v>1261562</v>
      </c>
      <c r="S3093" s="211" t="str">
        <f>IFERROR(__xludf.DUMMYFUNCTION("""COMPUTED_VALUE"""),"1c4d5e93")</f>
        <v>1c4d5e93</v>
      </c>
      <c r="T3093" s="211" t="str">
        <f>IFERROR(__xludf.DUMMYFUNCTION("""COMPUTED_VALUE"""),"Karoseri Cipta Mitra Sukses")</f>
        <v>Karoseri Cipta Mitra Sukses</v>
      </c>
      <c r="U3093" s="215">
        <f>IFERROR(__xludf.DUMMYFUNCTION("""COMPUTED_VALUE"""),46127.61054398148)</f>
        <v>46127.61054</v>
      </c>
      <c r="V3093" s="211" t="str">
        <f>IFERROR(__xludf.DUMMYFUNCTION("""COMPUTED_VALUE"""),"JL. Bypass Krian No. 7800, Blok B No 11. Barengkrajan, Kec. Krian, Kabupaten Sidoarjo, Jawa Timur  61262")</f>
        <v>JL. Bypass Krian No. 7800, Blok B No 11. Barengkrajan, Kec. Krian, Kabupaten Sidoarjo, Jawa Timur  61262</v>
      </c>
      <c r="W3093" s="211" t="str">
        <f>IFERROR(__xludf.DUMMYFUNCTION("""COMPUTED_VALUE"""),"IN")</f>
        <v>IN</v>
      </c>
      <c r="X3093" s="211"/>
    </row>
    <row r="3094">
      <c r="A3094" s="210" t="str">
        <f>IFERROR(__xludf.DUMMYFUNCTION("""COMPUTED_VALUE"""),"1251032")</f>
        <v>1251032</v>
      </c>
      <c r="B3094" s="210" t="str">
        <f>IFERROR(__xludf.DUMMYFUNCTION("""COMPUTED_VALUE"""),"1251032")</f>
        <v>1251032</v>
      </c>
      <c r="C3094" s="213">
        <f>IFERROR(__xludf.DUMMYFUNCTION("""COMPUTED_VALUE"""),46027.61373842593)</f>
        <v>46027.61374</v>
      </c>
      <c r="D3094" s="211" t="str">
        <f>IFERROR(__xludf.DUMMYFUNCTION("""COMPUTED_VALUE"""),"b2b5f2c5")</f>
        <v>b2b5f2c5</v>
      </c>
      <c r="E3094" s="211" t="str">
        <f>IFERROR(__xludf.DUMMYFUNCTION("""COMPUTED_VALUE"""),"Bengkel Las Bpk. Ari")</f>
        <v>Bengkel Las Bpk. Ari</v>
      </c>
      <c r="F3094" s="211" t="str">
        <f>IFERROR(__xludf.DUMMYFUNCTION("""COMPUTED_VALUE"""),"8bdbe149")</f>
        <v>8bdbe149</v>
      </c>
      <c r="G3094" s="211" t="str">
        <f>IFERROR(__xludf.DUMMYFUNCTION("""COMPUTED_VALUE"""),"Oksigen 6m3")</f>
        <v>Oksigen 6m3</v>
      </c>
      <c r="H3094" s="211" t="str">
        <f>IFERROR(__xludf.DUMMYFUNCTION("""COMPUTED_VALUE"""),"IN")</f>
        <v>IN</v>
      </c>
      <c r="I3094" s="211" t="str">
        <f>IFERROR(__xludf.DUMMYFUNCTION("""COMPUTED_VALUE"""),"EMPTY")</f>
        <v>EMPTY</v>
      </c>
      <c r="J3094" s="211">
        <f>IFERROR(__xludf.DUMMYFUNCTION("""COMPUTED_VALUE"""),4.0)</f>
        <v>4</v>
      </c>
      <c r="K3094" s="210" t="str">
        <f>IFERROR(__xludf.DUMMYFUNCTION("""COMPUTED_VALUE"""),"11104 1154 1119 11312")</f>
        <v>11104 1154 1119 11312</v>
      </c>
      <c r="L3094" s="211">
        <f>IFERROR(__xludf.DUMMYFUNCTION("""COMPUTED_VALUE"""),0.0)</f>
        <v>0</v>
      </c>
      <c r="M3094" s="211"/>
      <c r="N3094" s="211"/>
      <c r="O3094" s="211"/>
      <c r="Q3094" s="210" t="str">
        <f>IFERROR(__xludf.DUMMYFUNCTION("""COMPUTED_VALUE"""),"1261541")</f>
        <v>1261541</v>
      </c>
      <c r="R3094" s="210" t="str">
        <f>IFERROR(__xludf.DUMMYFUNCTION("""COMPUTED_VALUE"""),"1261541")</f>
        <v>1261541</v>
      </c>
      <c r="S3094" s="211" t="str">
        <f>IFERROR(__xludf.DUMMYFUNCTION("""COMPUTED_VALUE"""),"ca4876e2")</f>
        <v>ca4876e2</v>
      </c>
      <c r="T3094" s="211" t="str">
        <f>IFERROR(__xludf.DUMMYFUNCTION("""COMPUTED_VALUE"""),"Bengkel Mustika Mojosari")</f>
        <v>Bengkel Mustika Mojosari</v>
      </c>
      <c r="U3094" s="215">
        <f>IFERROR(__xludf.DUMMYFUNCTION("""COMPUTED_VALUE"""),46127.62965277778)</f>
        <v>46127.62965</v>
      </c>
      <c r="V3094" s="211" t="str">
        <f>IFERROR(__xludf.DUMMYFUNCTION("""COMPUTED_VALUE"""),"Jl. Kusuma Bangsa, Bulanan, Randubango, Kec. Mojosari, Kabupaten Mojokerto, Jawa Timur 61382")</f>
        <v>Jl. Kusuma Bangsa, Bulanan, Randubango, Kec. Mojosari, Kabupaten Mojokerto, Jawa Timur 61382</v>
      </c>
      <c r="W3094" s="211" t="str">
        <f>IFERROR(__xludf.DUMMYFUNCTION("""COMPUTED_VALUE"""),"IN")</f>
        <v>IN</v>
      </c>
      <c r="X3094" s="211"/>
    </row>
    <row r="3095">
      <c r="A3095" s="210" t="str">
        <f>IFERROR(__xludf.DUMMYFUNCTION("""COMPUTED_VALUE"""),"1251032")</f>
        <v>1251032</v>
      </c>
      <c r="B3095" s="210" t="str">
        <f>IFERROR(__xludf.DUMMYFUNCTION("""COMPUTED_VALUE"""),"1251032")</f>
        <v>1251032</v>
      </c>
      <c r="C3095" s="213">
        <f>IFERROR(__xludf.DUMMYFUNCTION("""COMPUTED_VALUE"""),46027.61373842593)</f>
        <v>46027.61374</v>
      </c>
      <c r="D3095" s="211" t="str">
        <f>IFERROR(__xludf.DUMMYFUNCTION("""COMPUTED_VALUE"""),"b2b5f2c5")</f>
        <v>b2b5f2c5</v>
      </c>
      <c r="E3095" s="211" t="str">
        <f>IFERROR(__xludf.DUMMYFUNCTION("""COMPUTED_VALUE"""),"Bengkel Las Bpk. Ari")</f>
        <v>Bengkel Las Bpk. Ari</v>
      </c>
      <c r="F3095" s="211" t="str">
        <f>IFERROR(__xludf.DUMMYFUNCTION("""COMPUTED_VALUE"""),"ef306e54")</f>
        <v>ef306e54</v>
      </c>
      <c r="G3095" s="211" t="str">
        <f>IFERROR(__xludf.DUMMYFUNCTION("""COMPUTED_VALUE"""),"Karbondioksida")</f>
        <v>Karbondioksida</v>
      </c>
      <c r="H3095" s="211" t="str">
        <f>IFERROR(__xludf.DUMMYFUNCTION("""COMPUTED_VALUE"""),"IN")</f>
        <v>IN</v>
      </c>
      <c r="I3095" s="211" t="str">
        <f>IFERROR(__xludf.DUMMYFUNCTION("""COMPUTED_VALUE"""),"EMPTY")</f>
        <v>EMPTY</v>
      </c>
      <c r="J3095" s="211">
        <f>IFERROR(__xludf.DUMMYFUNCTION("""COMPUTED_VALUE"""),2.0)</f>
        <v>2</v>
      </c>
      <c r="K3095" s="210" t="str">
        <f>IFERROR(__xludf.DUMMYFUNCTION("""COMPUTED_VALUE"""),"13017 13049")</f>
        <v>13017 13049</v>
      </c>
      <c r="L3095" s="211">
        <f>IFERROR(__xludf.DUMMYFUNCTION("""COMPUTED_VALUE"""),0.0)</f>
        <v>0</v>
      </c>
      <c r="M3095" s="211"/>
      <c r="N3095" s="211"/>
      <c r="O3095" s="211"/>
      <c r="Q3095" s="210" t="str">
        <f>IFERROR(__xludf.DUMMYFUNCTION("""COMPUTED_VALUE"""),"1261539")</f>
        <v>1261539</v>
      </c>
      <c r="R3095" s="210" t="str">
        <f>IFERROR(__xludf.DUMMYFUNCTION("""COMPUTED_VALUE"""),"1261539")</f>
        <v>1261539</v>
      </c>
      <c r="S3095" s="211" t="str">
        <f>IFERROR(__xludf.DUMMYFUNCTION("""COMPUTED_VALUE"""),"b218b89b")</f>
        <v>b218b89b</v>
      </c>
      <c r="T3095" s="211" t="str">
        <f>IFERROR(__xludf.DUMMYFUNCTION("""COMPUTED_VALUE"""),"PT Harapan Sentosa")</f>
        <v>PT Harapan Sentosa</v>
      </c>
      <c r="U3095" s="215">
        <f>IFERROR(__xludf.DUMMYFUNCTION("""COMPUTED_VALUE"""),46127.63135416667)</f>
        <v>46127.63135</v>
      </c>
      <c r="V3095" s="211" t="str">
        <f>IFERROR(__xludf.DUMMYFUNCTION("""COMPUTED_VALUE"""),"Seketi, Jl. Purboyo II Selatan, RT.02/RW.02, Seketi, Kec. BalongBendo, Kabupaten Sidoarjo, Jawa Timur 61263")</f>
        <v>Seketi, Jl. Purboyo II Selatan, RT.02/RW.02, Seketi, Kec. BalongBendo, Kabupaten Sidoarjo, Jawa Timur 61263</v>
      </c>
      <c r="W3095" s="211" t="str">
        <f>IFERROR(__xludf.DUMMYFUNCTION("""COMPUTED_VALUE"""),"IN")</f>
        <v>IN</v>
      </c>
      <c r="X3095" s="211"/>
    </row>
    <row r="3096">
      <c r="A3096" s="210" t="str">
        <f>IFERROR(__xludf.DUMMYFUNCTION("""COMPUTED_VALUE"""),"1251033")</f>
        <v>1251033</v>
      </c>
      <c r="B3096" s="210" t="str">
        <f>IFERROR(__xludf.DUMMYFUNCTION("""COMPUTED_VALUE"""),"1251033")</f>
        <v>1251033</v>
      </c>
      <c r="C3096" s="213">
        <f>IFERROR(__xludf.DUMMYFUNCTION("""COMPUTED_VALUE"""),46027.61460648148)</f>
        <v>46027.61461</v>
      </c>
      <c r="D3096" s="211" t="str">
        <f>IFERROR(__xludf.DUMMYFUNCTION("""COMPUTED_VALUE"""),"01158be1")</f>
        <v>01158be1</v>
      </c>
      <c r="E3096" s="211" t="str">
        <f>IFERROR(__xludf.DUMMYFUNCTION("""COMPUTED_VALUE"""),"GYF")</f>
        <v>GYF</v>
      </c>
      <c r="F3096" s="211" t="str">
        <f>IFERROR(__xludf.DUMMYFUNCTION("""COMPUTED_VALUE"""),"8bdbe149")</f>
        <v>8bdbe149</v>
      </c>
      <c r="G3096" s="211" t="str">
        <f>IFERROR(__xludf.DUMMYFUNCTION("""COMPUTED_VALUE"""),"Oksigen 6m3")</f>
        <v>Oksigen 6m3</v>
      </c>
      <c r="H3096" s="211" t="str">
        <f>IFERROR(__xludf.DUMMYFUNCTION("""COMPUTED_VALUE"""),"IN")</f>
        <v>IN</v>
      </c>
      <c r="I3096" s="211" t="str">
        <f>IFERROR(__xludf.DUMMYFUNCTION("""COMPUTED_VALUE"""),"EMPTY")</f>
        <v>EMPTY</v>
      </c>
      <c r="J3096" s="211">
        <f>IFERROR(__xludf.DUMMYFUNCTION("""COMPUTED_VALUE"""),3.0)</f>
        <v>3</v>
      </c>
      <c r="K3096" s="210" t="str">
        <f>IFERROR(__xludf.DUMMYFUNCTION("""COMPUTED_VALUE"""),"11320 11321 11316")</f>
        <v>11320 11321 11316</v>
      </c>
      <c r="L3096" s="211">
        <f>IFERROR(__xludf.DUMMYFUNCTION("""COMPUTED_VALUE"""),0.0)</f>
        <v>0</v>
      </c>
      <c r="M3096" s="211"/>
      <c r="N3096" s="211"/>
      <c r="O3096" s="211"/>
      <c r="Q3096" s="210" t="str">
        <f>IFERROR(__xludf.DUMMYFUNCTION("""COMPUTED_VALUE"""),"1261542")</f>
        <v>1261542</v>
      </c>
      <c r="R3096" s="210" t="str">
        <f>IFERROR(__xludf.DUMMYFUNCTION("""COMPUTED_VALUE"""),"1261542")</f>
        <v>1261542</v>
      </c>
      <c r="S3096" s="211" t="str">
        <f>IFERROR(__xludf.DUMMYFUNCTION("""COMPUTED_VALUE"""),"b2b5f2c5")</f>
        <v>b2b5f2c5</v>
      </c>
      <c r="T3096" s="211" t="str">
        <f>IFERROR(__xludf.DUMMYFUNCTION("""COMPUTED_VALUE"""),"Bengkel Las Bpk. Ari")</f>
        <v>Bengkel Las Bpk. Ari</v>
      </c>
      <c r="U3096" s="215">
        <f>IFERROR(__xludf.DUMMYFUNCTION("""COMPUTED_VALUE"""),46127.633356481485)</f>
        <v>46127.63336</v>
      </c>
      <c r="V3096" s="211" t="str">
        <f>IFERROR(__xludf.DUMMYFUNCTION("""COMPUTED_VALUE"""),"Sumber Kembar, Wonodadi, Kec. Kutorejo, Kabupaten Mojokerto, Jawa Timur")</f>
        <v>Sumber Kembar, Wonodadi, Kec. Kutorejo, Kabupaten Mojokerto, Jawa Timur</v>
      </c>
      <c r="W3096" s="211" t="str">
        <f>IFERROR(__xludf.DUMMYFUNCTION("""COMPUTED_VALUE"""),"IN")</f>
        <v>IN</v>
      </c>
      <c r="X3096" s="211"/>
    </row>
    <row r="3097">
      <c r="A3097" s="210" t="str">
        <f>IFERROR(__xludf.DUMMYFUNCTION("""COMPUTED_VALUE"""),"1251031")</f>
        <v>1251031</v>
      </c>
      <c r="B3097" s="210" t="str">
        <f>IFERROR(__xludf.DUMMYFUNCTION("""COMPUTED_VALUE"""),"1251031")</f>
        <v>1251031</v>
      </c>
      <c r="C3097" s="213">
        <f>IFERROR(__xludf.DUMMYFUNCTION("""COMPUTED_VALUE"""),46027.61510416667)</f>
        <v>46027.6151</v>
      </c>
      <c r="D3097" s="211" t="str">
        <f>IFERROR(__xludf.DUMMYFUNCTION("""COMPUTED_VALUE"""),"63fc688a")</f>
        <v>63fc688a</v>
      </c>
      <c r="E3097" s="211" t="str">
        <f>IFERROR(__xludf.DUMMYFUNCTION("""COMPUTED_VALUE"""),"CV Malik Nusantara")</f>
        <v>CV Malik Nusantara</v>
      </c>
      <c r="F3097" s="211" t="str">
        <f>IFERROR(__xludf.DUMMYFUNCTION("""COMPUTED_VALUE"""),"8bdbe149")</f>
        <v>8bdbe149</v>
      </c>
      <c r="G3097" s="211" t="str">
        <f>IFERROR(__xludf.DUMMYFUNCTION("""COMPUTED_VALUE"""),"Oksigen 6m3")</f>
        <v>Oksigen 6m3</v>
      </c>
      <c r="H3097" s="211" t="str">
        <f>IFERROR(__xludf.DUMMYFUNCTION("""COMPUTED_VALUE"""),"IN")</f>
        <v>IN</v>
      </c>
      <c r="I3097" s="211" t="str">
        <f>IFERROR(__xludf.DUMMYFUNCTION("""COMPUTED_VALUE"""),"EMPTY")</f>
        <v>EMPTY</v>
      </c>
      <c r="J3097" s="211">
        <f>IFERROR(__xludf.DUMMYFUNCTION("""COMPUTED_VALUE"""),2.0)</f>
        <v>2</v>
      </c>
      <c r="K3097" s="210" t="str">
        <f>IFERROR(__xludf.DUMMYFUNCTION("""COMPUTED_VALUE"""),"11250 11310")</f>
        <v>11250 11310</v>
      </c>
      <c r="L3097" s="211">
        <f>IFERROR(__xludf.DUMMYFUNCTION("""COMPUTED_VALUE"""),0.0)</f>
        <v>0</v>
      </c>
      <c r="M3097" s="211"/>
      <c r="N3097" s="211"/>
      <c r="O3097" s="211"/>
      <c r="Q3097" s="210" t="str">
        <f>IFERROR(__xludf.DUMMYFUNCTION("""COMPUTED_VALUE"""),"1261551")</f>
        <v>1261551</v>
      </c>
      <c r="R3097" s="210" t="str">
        <f>IFERROR(__xludf.DUMMYFUNCTION("""COMPUTED_VALUE"""),"1261551")</f>
        <v>1261551</v>
      </c>
      <c r="S3097" s="211" t="str">
        <f>IFERROR(__xludf.DUMMYFUNCTION("""COMPUTED_VALUE"""),"e968afef")</f>
        <v>e968afef</v>
      </c>
      <c r="T3097" s="211" t="str">
        <f>IFERROR(__xludf.DUMMYFUNCTION("""COMPUTED_VALUE"""),"Bpk. Agus")</f>
        <v>Bpk. Agus</v>
      </c>
      <c r="U3097" s="215">
        <f>IFERROR(__xludf.DUMMYFUNCTION("""COMPUTED_VALUE"""),46127.64528935185)</f>
        <v>46127.64529</v>
      </c>
      <c r="V3097" s="211" t="str">
        <f>IFERROR(__xludf.DUMMYFUNCTION("""COMPUTED_VALUE"""),"Jl. Parengan 13, Semawut, Balongbendo, Kec. BalongBendo, Kabupaten Sidoarjo, Jawa Timur 61263")</f>
        <v>Jl. Parengan 13, Semawut, Balongbendo, Kec. BalongBendo, Kabupaten Sidoarjo, Jawa Timur 61263</v>
      </c>
      <c r="W3097" s="211" t="str">
        <f>IFERROR(__xludf.DUMMYFUNCTION("""COMPUTED_VALUE"""),"IN")</f>
        <v>IN</v>
      </c>
      <c r="X3097" s="211"/>
    </row>
    <row r="3098">
      <c r="A3098" s="210" t="str">
        <f>IFERROR(__xludf.DUMMYFUNCTION("""COMPUTED_VALUE"""),"012642158")</f>
        <v>012642158</v>
      </c>
      <c r="B3098" s="210" t="str">
        <f>IFERROR(__xludf.DUMMYFUNCTION("""COMPUTED_VALUE"""),"012642158")</f>
        <v>012642158</v>
      </c>
      <c r="C3098" s="213">
        <f>IFERROR(__xludf.DUMMYFUNCTION("""COMPUTED_VALUE"""),46027.61974537037)</f>
        <v>46027.61975</v>
      </c>
      <c r="D3098" s="211" t="str">
        <f>IFERROR(__xludf.DUMMYFUNCTION("""COMPUTED_VALUE"""),"9e5d8274")</f>
        <v>9e5d8274</v>
      </c>
      <c r="E3098" s="211" t="str">
        <f>IFERROR(__xludf.DUMMYFUNCTION("""COMPUTED_VALUE"""),"Bpk. Erry ( Lik Trosobo )")</f>
        <v>Bpk. Erry ( Lik Trosobo )</v>
      </c>
      <c r="F3098" s="211" t="str">
        <f>IFERROR(__xludf.DUMMYFUNCTION("""COMPUTED_VALUE"""),"8bdbe149")</f>
        <v>8bdbe149</v>
      </c>
      <c r="G3098" s="211" t="str">
        <f>IFERROR(__xludf.DUMMYFUNCTION("""COMPUTED_VALUE"""),"Oksigen 6m3")</f>
        <v>Oksigen 6m3</v>
      </c>
      <c r="H3098" s="211" t="str">
        <f>IFERROR(__xludf.DUMMYFUNCTION("""COMPUTED_VALUE"""),"OUT")</f>
        <v>OUT</v>
      </c>
      <c r="I3098" s="211" t="str">
        <f>IFERROR(__xludf.DUMMYFUNCTION("""COMPUTED_VALUE"""),"NORMAL")</f>
        <v>NORMAL</v>
      </c>
      <c r="J3098" s="211">
        <f>IFERROR(__xludf.DUMMYFUNCTION("""COMPUTED_VALUE"""),4.0)</f>
        <v>4</v>
      </c>
      <c r="K3098" s="210" t="str">
        <f>IFERROR(__xludf.DUMMYFUNCTION("""COMPUTED_VALUE"""),"1154 11250 11312 1119")</f>
        <v>1154 11250 11312 1119</v>
      </c>
      <c r="L3098" s="211">
        <f>IFERROR(__xludf.DUMMYFUNCTION("""COMPUTED_VALUE"""),65000.0)</f>
        <v>65000</v>
      </c>
      <c r="M3098" s="211"/>
      <c r="N3098" s="211"/>
      <c r="O3098" s="211"/>
      <c r="Q3098" s="210" t="str">
        <f>IFERROR(__xludf.DUMMYFUNCTION("""COMPUTED_VALUE"""),"042673090")</f>
        <v>042673090</v>
      </c>
      <c r="R3098" s="210" t="str">
        <f>IFERROR(__xludf.DUMMYFUNCTION("""COMPUTED_VALUE"""),"042673090")</f>
        <v>042673090</v>
      </c>
      <c r="S3098" s="211" t="str">
        <f>IFERROR(__xludf.DUMMYFUNCTION("""COMPUTED_VALUE"""),"58b72e0c")</f>
        <v>58b72e0c</v>
      </c>
      <c r="T3098" s="211" t="str">
        <f>IFERROR(__xludf.DUMMYFUNCTION("""COMPUTED_VALUE"""),"UD. Ais Jaya")</f>
        <v>UD. Ais Jaya</v>
      </c>
      <c r="U3098" s="215">
        <f>IFERROR(__xludf.DUMMYFUNCTION("""COMPUTED_VALUE"""),46128.32983796296)</f>
        <v>46128.32984</v>
      </c>
      <c r="V3098" s="211" t="str">
        <f>IFERROR(__xludf.DUMMYFUNCTION("""COMPUTED_VALUE"""),"Jl. Bypass Krian, Kraton, Kec. Krian, Kabupaten Sidoarjo, Jawa Timur 61262")</f>
        <v>Jl. Bypass Krian, Kraton, Kec. Krian, Kabupaten Sidoarjo, Jawa Timur 61262</v>
      </c>
      <c r="W3098" s="211" t="str">
        <f>IFERROR(__xludf.DUMMYFUNCTION("""COMPUTED_VALUE"""),"OUT")</f>
        <v>OUT</v>
      </c>
      <c r="X3098" s="211"/>
    </row>
    <row r="3099">
      <c r="A3099" s="210" t="str">
        <f>IFERROR(__xludf.DUMMYFUNCTION("""COMPUTED_VALUE"""),"012642158")</f>
        <v>012642158</v>
      </c>
      <c r="B3099" s="210" t="str">
        <f>IFERROR(__xludf.DUMMYFUNCTION("""COMPUTED_VALUE"""),"012642158")</f>
        <v>012642158</v>
      </c>
      <c r="C3099" s="213">
        <f>IFERROR(__xludf.DUMMYFUNCTION("""COMPUTED_VALUE"""),46027.61974537037)</f>
        <v>46027.61975</v>
      </c>
      <c r="D3099" s="211" t="str">
        <f>IFERROR(__xludf.DUMMYFUNCTION("""COMPUTED_VALUE"""),"9e5d8274")</f>
        <v>9e5d8274</v>
      </c>
      <c r="E3099" s="211" t="str">
        <f>IFERROR(__xludf.DUMMYFUNCTION("""COMPUTED_VALUE"""),"Bpk. Erry ( Lik Trosobo )")</f>
        <v>Bpk. Erry ( Lik Trosobo )</v>
      </c>
      <c r="F3099" s="211" t="str">
        <f>IFERROR(__xludf.DUMMYFUNCTION("""COMPUTED_VALUE"""),"be525f3b")</f>
        <v>be525f3b</v>
      </c>
      <c r="G3099" s="211" t="str">
        <f>IFERROR(__xludf.DUMMYFUNCTION("""COMPUTED_VALUE"""),"LPG 12kg")</f>
        <v>LPG 12kg</v>
      </c>
      <c r="H3099" s="211" t="str">
        <f>IFERROR(__xludf.DUMMYFUNCTION("""COMPUTED_VALUE"""),"OUT")</f>
        <v>OUT</v>
      </c>
      <c r="I3099" s="211" t="str">
        <f>IFERROR(__xludf.DUMMYFUNCTION("""COMPUTED_VALUE"""),"NORMAL")</f>
        <v>NORMAL</v>
      </c>
      <c r="J3099" s="211">
        <f>IFERROR(__xludf.DUMMYFUNCTION("""COMPUTED_VALUE"""),1.0)</f>
        <v>1</v>
      </c>
      <c r="K3099" s="210" t="str">
        <f>IFERROR(__xludf.DUMMYFUNCTION("""COMPUTED_VALUE"""),"01")</f>
        <v>01</v>
      </c>
      <c r="L3099" s="211">
        <f>IFERROR(__xludf.DUMMYFUNCTION("""COMPUTED_VALUE"""),215000.0)</f>
        <v>215000</v>
      </c>
      <c r="M3099" s="211"/>
      <c r="N3099" s="211"/>
      <c r="O3099" s="211"/>
      <c r="Q3099" s="210" t="str">
        <f>IFERROR(__xludf.DUMMYFUNCTION("""COMPUTED_VALUE"""),"0426133099")</f>
        <v>0426133099</v>
      </c>
      <c r="R3099" s="210" t="str">
        <f>IFERROR(__xludf.DUMMYFUNCTION("""COMPUTED_VALUE"""),"0426133099")</f>
        <v>0426133099</v>
      </c>
      <c r="S3099" s="211" t="str">
        <f>IFERROR(__xludf.DUMMYFUNCTION("""COMPUTED_VALUE"""),"d9b2fac5")</f>
        <v>d9b2fac5</v>
      </c>
      <c r="T3099" s="211" t="str">
        <f>IFERROR(__xludf.DUMMYFUNCTION("""COMPUTED_VALUE"""),"Dwi Riza ( Ponokawan)")</f>
        <v>Dwi Riza ( Ponokawan)</v>
      </c>
      <c r="U3099" s="215">
        <f>IFERROR(__xludf.DUMMYFUNCTION("""COMPUTED_VALUE"""),46128.36524305555)</f>
        <v>46128.36524</v>
      </c>
      <c r="V3099" s="211" t="str">
        <f>IFERROR(__xludf.DUMMYFUNCTION("""COMPUTED_VALUE"""),"Jl. Raya Ponokawan No.28 RT 07 RW 03 Kec. Krian Sidoarjo (Seberang Bengkel An.Nur/ Deretan Baraka Expres)")</f>
        <v>Jl. Raya Ponokawan No.28 RT 07 RW 03 Kec. Krian Sidoarjo (Seberang Bengkel An.Nur/ Deretan Baraka Expres)</v>
      </c>
      <c r="W3099" s="211" t="str">
        <f>IFERROR(__xludf.DUMMYFUNCTION("""COMPUTED_VALUE"""),"OUT")</f>
        <v>OUT</v>
      </c>
      <c r="X3099" s="211"/>
    </row>
    <row r="3100">
      <c r="A3100" s="210" t="str">
        <f>IFERROR(__xludf.DUMMYFUNCTION("""COMPUTED_VALUE"""),"1251044")</f>
        <v>1251044</v>
      </c>
      <c r="B3100" s="210" t="str">
        <f>IFERROR(__xludf.DUMMYFUNCTION("""COMPUTED_VALUE"""),"1251044")</f>
        <v>1251044</v>
      </c>
      <c r="C3100" s="213">
        <f>IFERROR(__xludf.DUMMYFUNCTION("""COMPUTED_VALUE"""),46027.628171296295)</f>
        <v>46027.62817</v>
      </c>
      <c r="D3100" s="211" t="str">
        <f>IFERROR(__xludf.DUMMYFUNCTION("""COMPUTED_VALUE"""),"8f5ebaea")</f>
        <v>8f5ebaea</v>
      </c>
      <c r="E3100" s="211" t="str">
        <f>IFERROR(__xludf.DUMMYFUNCTION("""COMPUTED_VALUE"""),"PT Hua Zong Mesindo")</f>
        <v>PT Hua Zong Mesindo</v>
      </c>
      <c r="F3100" s="211" t="str">
        <f>IFERROR(__xludf.DUMMYFUNCTION("""COMPUTED_VALUE"""),"8bdbe149")</f>
        <v>8bdbe149</v>
      </c>
      <c r="G3100" s="211" t="str">
        <f>IFERROR(__xludf.DUMMYFUNCTION("""COMPUTED_VALUE"""),"Oksigen 6m3")</f>
        <v>Oksigen 6m3</v>
      </c>
      <c r="H3100" s="211" t="str">
        <f>IFERROR(__xludf.DUMMYFUNCTION("""COMPUTED_VALUE"""),"IN")</f>
        <v>IN</v>
      </c>
      <c r="I3100" s="211" t="str">
        <f>IFERROR(__xludf.DUMMYFUNCTION("""COMPUTED_VALUE"""),"EMPTY")</f>
        <v>EMPTY</v>
      </c>
      <c r="J3100" s="211">
        <f>IFERROR(__xludf.DUMMYFUNCTION("""COMPUTED_VALUE"""),1.0)</f>
        <v>1</v>
      </c>
      <c r="K3100" s="210" t="str">
        <f>IFERROR(__xludf.DUMMYFUNCTION("""COMPUTED_VALUE"""),"1115")</f>
        <v>1115</v>
      </c>
      <c r="L3100" s="211">
        <f>IFERROR(__xludf.DUMMYFUNCTION("""COMPUTED_VALUE"""),0.0)</f>
        <v>0</v>
      </c>
      <c r="M3100" s="211"/>
      <c r="N3100" s="211"/>
      <c r="O3100" s="211"/>
      <c r="Q3100" s="210" t="str">
        <f>IFERROR(__xludf.DUMMYFUNCTION("""COMPUTED_VALUE"""),"0426443100")</f>
        <v>0426443100</v>
      </c>
      <c r="R3100" s="210" t="str">
        <f>IFERROR(__xludf.DUMMYFUNCTION("""COMPUTED_VALUE"""),"0426443100")</f>
        <v>0426443100</v>
      </c>
      <c r="S3100" s="211" t="str">
        <f>IFERROR(__xludf.DUMMYFUNCTION("""COMPUTED_VALUE"""),"ce83e171")</f>
        <v>ce83e171</v>
      </c>
      <c r="T3100" s="211" t="str">
        <f>IFERROR(__xludf.DUMMYFUNCTION("""COMPUTED_VALUE"""),"Bpk. Sulaiman")</f>
        <v>Bpk. Sulaiman</v>
      </c>
      <c r="U3100" s="215">
        <f>IFERROR(__xludf.DUMMYFUNCTION("""COMPUTED_VALUE"""),46128.36734953704)</f>
        <v>46128.36735</v>
      </c>
      <c r="V3100" s="211" t="str">
        <f>IFERROR(__xludf.DUMMYFUNCTION("""COMPUTED_VALUE"""),"Jl. Raya Kramat Temenggung No.43, Kramat, Kramat Temenggung, Kec. Tarik, Kabupaten Sidoarjo, Jawa Timur 61265")</f>
        <v>Jl. Raya Kramat Temenggung No.43, Kramat, Kramat Temenggung, Kec. Tarik, Kabupaten Sidoarjo, Jawa Timur 61265</v>
      </c>
      <c r="W3100" s="211" t="str">
        <f>IFERROR(__xludf.DUMMYFUNCTION("""COMPUTED_VALUE"""),"OUT")</f>
        <v>OUT</v>
      </c>
      <c r="X3100" s="211"/>
    </row>
    <row r="3101">
      <c r="A3101" s="210" t="str">
        <f>IFERROR(__xludf.DUMMYFUNCTION("""COMPUTED_VALUE"""),"1251044")</f>
        <v>1251044</v>
      </c>
      <c r="B3101" s="210" t="str">
        <f>IFERROR(__xludf.DUMMYFUNCTION("""COMPUTED_VALUE"""),"1251044")</f>
        <v>1251044</v>
      </c>
      <c r="C3101" s="213">
        <f>IFERROR(__xludf.DUMMYFUNCTION("""COMPUTED_VALUE"""),46027.628171296295)</f>
        <v>46027.62817</v>
      </c>
      <c r="D3101" s="211" t="str">
        <f>IFERROR(__xludf.DUMMYFUNCTION("""COMPUTED_VALUE"""),"8f5ebaea")</f>
        <v>8f5ebaea</v>
      </c>
      <c r="E3101" s="211" t="str">
        <f>IFERROR(__xludf.DUMMYFUNCTION("""COMPUTED_VALUE"""),"PT Hua Zong Mesindo")</f>
        <v>PT Hua Zong Mesindo</v>
      </c>
      <c r="F3101" s="211" t="str">
        <f>IFERROR(__xludf.DUMMYFUNCTION("""COMPUTED_VALUE"""),"ef306e54")</f>
        <v>ef306e54</v>
      </c>
      <c r="G3101" s="211" t="str">
        <f>IFERROR(__xludf.DUMMYFUNCTION("""COMPUTED_VALUE"""),"Karbondioksida")</f>
        <v>Karbondioksida</v>
      </c>
      <c r="H3101" s="211" t="str">
        <f>IFERROR(__xludf.DUMMYFUNCTION("""COMPUTED_VALUE"""),"IN")</f>
        <v>IN</v>
      </c>
      <c r="I3101" s="211" t="str">
        <f>IFERROR(__xludf.DUMMYFUNCTION("""COMPUTED_VALUE"""),"EMPTY")</f>
        <v>EMPTY</v>
      </c>
      <c r="J3101" s="211">
        <f>IFERROR(__xludf.DUMMYFUNCTION("""COMPUTED_VALUE"""),1.0)</f>
        <v>1</v>
      </c>
      <c r="K3101" s="210" t="str">
        <f>IFERROR(__xludf.DUMMYFUNCTION("""COMPUTED_VALUE"""),"13025")</f>
        <v>13025</v>
      </c>
      <c r="L3101" s="211">
        <f>IFERROR(__xludf.DUMMYFUNCTION("""COMPUTED_VALUE"""),0.0)</f>
        <v>0</v>
      </c>
      <c r="M3101" s="211"/>
      <c r="N3101" s="211"/>
      <c r="O3101" s="211"/>
      <c r="Q3101" s="210" t="str">
        <f>IFERROR(__xludf.DUMMYFUNCTION("""COMPUTED_VALUE"""),"0426163101")</f>
        <v>0426163101</v>
      </c>
      <c r="R3101" s="210" t="str">
        <f>IFERROR(__xludf.DUMMYFUNCTION("""COMPUTED_VALUE"""),"0426163101")</f>
        <v>0426163101</v>
      </c>
      <c r="S3101" s="211" t="str">
        <f>IFERROR(__xludf.DUMMYFUNCTION("""COMPUTED_VALUE"""),"dcdf8b31")</f>
        <v>dcdf8b31</v>
      </c>
      <c r="T3101" s="211" t="str">
        <f>IFERROR(__xludf.DUMMYFUNCTION("""COMPUTED_VALUE"""),"Bpk. Samsul (Jetis)")</f>
        <v>Bpk. Samsul (Jetis)</v>
      </c>
      <c r="U3101" s="215">
        <f>IFERROR(__xludf.DUMMYFUNCTION("""COMPUTED_VALUE"""),46128.36765046296)</f>
        <v>46128.36765</v>
      </c>
      <c r="V3101" s="211" t="str">
        <f>IFERROR(__xludf.DUMMYFUNCTION("""COMPUTED_VALUE"""),"HFWF+9FG, Sido Wangi, Paringan, Kec. Jetis, Kabupaten Mojokerto, Jawa Timur")</f>
        <v>HFWF+9FG, Sido Wangi, Paringan, Kec. Jetis, Kabupaten Mojokerto, Jawa Timur</v>
      </c>
      <c r="W3101" s="211" t="str">
        <f>IFERROR(__xludf.DUMMYFUNCTION("""COMPUTED_VALUE"""),"OUT")</f>
        <v>OUT</v>
      </c>
      <c r="X3101" s="211"/>
    </row>
    <row r="3102">
      <c r="A3102" s="210" t="str">
        <f>IFERROR(__xludf.DUMMYFUNCTION("""COMPUTED_VALUE"""),"1251045")</f>
        <v>1251045</v>
      </c>
      <c r="B3102" s="210" t="str">
        <f>IFERROR(__xludf.DUMMYFUNCTION("""COMPUTED_VALUE"""),"1251045")</f>
        <v>1251045</v>
      </c>
      <c r="C3102" s="213">
        <f>IFERROR(__xludf.DUMMYFUNCTION("""COMPUTED_VALUE"""),46027.62866898148)</f>
        <v>46027.62867</v>
      </c>
      <c r="D3102" s="211" t="str">
        <f>IFERROR(__xludf.DUMMYFUNCTION("""COMPUTED_VALUE"""),"a0f0ad2d")</f>
        <v>a0f0ad2d</v>
      </c>
      <c r="E3102" s="211" t="str">
        <f>IFERROR(__xludf.DUMMYFUNCTION("""COMPUTED_VALUE"""),"CV. Yulie Jaya")</f>
        <v>CV. Yulie Jaya</v>
      </c>
      <c r="F3102" s="211" t="str">
        <f>IFERROR(__xludf.DUMMYFUNCTION("""COMPUTED_VALUE"""),"7d2764f1")</f>
        <v>7d2764f1</v>
      </c>
      <c r="G3102" s="211" t="str">
        <f>IFERROR(__xludf.DUMMYFUNCTION("""COMPUTED_VALUE"""),"Oksigen 7m3")</f>
        <v>Oksigen 7m3</v>
      </c>
      <c r="H3102" s="211" t="str">
        <f>IFERROR(__xludf.DUMMYFUNCTION("""COMPUTED_VALUE"""),"IN")</f>
        <v>IN</v>
      </c>
      <c r="I3102" s="211" t="str">
        <f>IFERROR(__xludf.DUMMYFUNCTION("""COMPUTED_VALUE"""),"EMPTY")</f>
        <v>EMPTY</v>
      </c>
      <c r="J3102" s="211">
        <f>IFERROR(__xludf.DUMMYFUNCTION("""COMPUTED_VALUE"""),3.0)</f>
        <v>3</v>
      </c>
      <c r="K3102" s="210" t="str">
        <f>IFERROR(__xludf.DUMMYFUNCTION("""COMPUTED_VALUE"""),"11151 11155 11167")</f>
        <v>11151 11155 11167</v>
      </c>
      <c r="L3102" s="211">
        <f>IFERROR(__xludf.DUMMYFUNCTION("""COMPUTED_VALUE"""),0.0)</f>
        <v>0</v>
      </c>
      <c r="M3102" s="211"/>
      <c r="N3102" s="211"/>
      <c r="O3102" s="211"/>
      <c r="Q3102" s="210" t="str">
        <f>IFERROR(__xludf.DUMMYFUNCTION("""COMPUTED_VALUE"""),"0426293102")</f>
        <v>0426293102</v>
      </c>
      <c r="R3102" s="210" t="str">
        <f>IFERROR(__xludf.DUMMYFUNCTION("""COMPUTED_VALUE"""),"0426293102")</f>
        <v>0426293102</v>
      </c>
      <c r="S3102" s="211" t="str">
        <f>IFERROR(__xludf.DUMMYFUNCTION("""COMPUTED_VALUE"""),"3bcd7fe6")</f>
        <v>3bcd7fe6</v>
      </c>
      <c r="T3102" s="211" t="str">
        <f>IFERROR(__xludf.DUMMYFUNCTION("""COMPUTED_VALUE"""),"Bpk. Alvin (LB Group)")</f>
        <v>Bpk. Alvin (LB Group)</v>
      </c>
      <c r="U3102" s="215">
        <f>IFERROR(__xludf.DUMMYFUNCTION("""COMPUTED_VALUE"""),46128.36791666667)</f>
        <v>46128.36792</v>
      </c>
      <c r="V3102" s="211" t="str">
        <f>IFERROR(__xludf.DUMMYFUNCTION("""COMPUTED_VALUE"""),"MFF9+XHC, Jalan, Tambakrejo, Temuireng, Kec. Dawar Blandong, Kabupaten Mojokerto, Jawa Timur 61354")</f>
        <v>MFF9+XHC, Jalan, Tambakrejo, Temuireng, Kec. Dawar Blandong, Kabupaten Mojokerto, Jawa Timur 61354</v>
      </c>
      <c r="W3102" s="211" t="str">
        <f>IFERROR(__xludf.DUMMYFUNCTION("""COMPUTED_VALUE"""),"OUT")</f>
        <v>OUT</v>
      </c>
      <c r="X3102" s="211"/>
    </row>
    <row r="3103">
      <c r="A3103" s="210" t="str">
        <f>IFERROR(__xludf.DUMMYFUNCTION("""COMPUTED_VALUE"""),"1251045")</f>
        <v>1251045</v>
      </c>
      <c r="B3103" s="210" t="str">
        <f>IFERROR(__xludf.DUMMYFUNCTION("""COMPUTED_VALUE"""),"1251045")</f>
        <v>1251045</v>
      </c>
      <c r="C3103" s="213">
        <f>IFERROR(__xludf.DUMMYFUNCTION("""COMPUTED_VALUE"""),46027.62866898148)</f>
        <v>46027.62867</v>
      </c>
      <c r="D3103" s="211" t="str">
        <f>IFERROR(__xludf.DUMMYFUNCTION("""COMPUTED_VALUE"""),"a0f0ad2d")</f>
        <v>a0f0ad2d</v>
      </c>
      <c r="E3103" s="211" t="str">
        <f>IFERROR(__xludf.DUMMYFUNCTION("""COMPUTED_VALUE"""),"CV. Yulie Jaya")</f>
        <v>CV. Yulie Jaya</v>
      </c>
      <c r="F3103" s="211" t="str">
        <f>IFERROR(__xludf.DUMMYFUNCTION("""COMPUTED_VALUE"""),"8bdbe149")</f>
        <v>8bdbe149</v>
      </c>
      <c r="G3103" s="211" t="str">
        <f>IFERROR(__xludf.DUMMYFUNCTION("""COMPUTED_VALUE"""),"Oksigen 6m3")</f>
        <v>Oksigen 6m3</v>
      </c>
      <c r="H3103" s="211" t="str">
        <f>IFERROR(__xludf.DUMMYFUNCTION("""COMPUTED_VALUE"""),"IN")</f>
        <v>IN</v>
      </c>
      <c r="I3103" s="211" t="str">
        <f>IFERROR(__xludf.DUMMYFUNCTION("""COMPUTED_VALUE"""),"EMPTY")</f>
        <v>EMPTY</v>
      </c>
      <c r="J3103" s="211">
        <f>IFERROR(__xludf.DUMMYFUNCTION("""COMPUTED_VALUE"""),1.0)</f>
        <v>1</v>
      </c>
      <c r="K3103" s="210" t="str">
        <f>IFERROR(__xludf.DUMMYFUNCTION("""COMPUTED_VALUE"""),"11245")</f>
        <v>11245</v>
      </c>
      <c r="L3103" s="211">
        <f>IFERROR(__xludf.DUMMYFUNCTION("""COMPUTED_VALUE"""),0.0)</f>
        <v>0</v>
      </c>
      <c r="M3103" s="211"/>
      <c r="N3103" s="211"/>
      <c r="O3103" s="211"/>
      <c r="Q3103" s="210" t="str">
        <f>IFERROR(__xludf.DUMMYFUNCTION("""COMPUTED_VALUE"""),"0426153103")</f>
        <v>0426153103</v>
      </c>
      <c r="R3103" s="210" t="str">
        <f>IFERROR(__xludf.DUMMYFUNCTION("""COMPUTED_VALUE"""),"0426153103")</f>
        <v>0426153103</v>
      </c>
      <c r="S3103" s="211" t="str">
        <f>IFERROR(__xludf.DUMMYFUNCTION("""COMPUTED_VALUE"""),"17a8e612")</f>
        <v>17a8e612</v>
      </c>
      <c r="T3103" s="211" t="str">
        <f>IFERROR(__xludf.DUMMYFUNCTION("""COMPUTED_VALUE"""),"Flashtech Machinery")</f>
        <v>Flashtech Machinery</v>
      </c>
      <c r="U3103" s="215">
        <f>IFERROR(__xludf.DUMMYFUNCTION("""COMPUTED_VALUE"""),46128.60192129629)</f>
        <v>46128.60192</v>
      </c>
      <c r="V3103" s="211" t="str">
        <f>IFERROR(__xludf.DUMMYFUNCTION("""COMPUTED_VALUE"""),"Pergudangan Point Center blok A no.4, Kemangsen")</f>
        <v>Pergudangan Point Center blok A no.4, Kemangsen</v>
      </c>
      <c r="W3103" s="211" t="str">
        <f>IFERROR(__xludf.DUMMYFUNCTION("""COMPUTED_VALUE"""),"OUT")</f>
        <v>OUT</v>
      </c>
      <c r="X3103" s="211"/>
    </row>
    <row r="3104">
      <c r="A3104" s="210" t="str">
        <f>IFERROR(__xludf.DUMMYFUNCTION("""COMPUTED_VALUE"""),"1251045")</f>
        <v>1251045</v>
      </c>
      <c r="B3104" s="210" t="str">
        <f>IFERROR(__xludf.DUMMYFUNCTION("""COMPUTED_VALUE"""),"1251045")</f>
        <v>1251045</v>
      </c>
      <c r="C3104" s="213">
        <f>IFERROR(__xludf.DUMMYFUNCTION("""COMPUTED_VALUE"""),46027.62866898148)</f>
        <v>46027.62867</v>
      </c>
      <c r="D3104" s="211" t="str">
        <f>IFERROR(__xludf.DUMMYFUNCTION("""COMPUTED_VALUE"""),"a0f0ad2d")</f>
        <v>a0f0ad2d</v>
      </c>
      <c r="E3104" s="211" t="str">
        <f>IFERROR(__xludf.DUMMYFUNCTION("""COMPUTED_VALUE"""),"CV. Yulie Jaya")</f>
        <v>CV. Yulie Jaya</v>
      </c>
      <c r="F3104" s="211" t="str">
        <f>IFERROR(__xludf.DUMMYFUNCTION("""COMPUTED_VALUE"""),"be525f3b")</f>
        <v>be525f3b</v>
      </c>
      <c r="G3104" s="211" t="str">
        <f>IFERROR(__xludf.DUMMYFUNCTION("""COMPUTED_VALUE"""),"LPG 12kg")</f>
        <v>LPG 12kg</v>
      </c>
      <c r="H3104" s="211" t="str">
        <f>IFERROR(__xludf.DUMMYFUNCTION("""COMPUTED_VALUE"""),"IN")</f>
        <v>IN</v>
      </c>
      <c r="I3104" s="211" t="str">
        <f>IFERROR(__xludf.DUMMYFUNCTION("""COMPUTED_VALUE"""),"EMPTY")</f>
        <v>EMPTY</v>
      </c>
      <c r="J3104" s="211">
        <f>IFERROR(__xludf.DUMMYFUNCTION("""COMPUTED_VALUE"""),1.0)</f>
        <v>1</v>
      </c>
      <c r="K3104" s="210" t="str">
        <f>IFERROR(__xludf.DUMMYFUNCTION("""COMPUTED_VALUE"""),"01")</f>
        <v>01</v>
      </c>
      <c r="L3104" s="211">
        <f>IFERROR(__xludf.DUMMYFUNCTION("""COMPUTED_VALUE"""),0.0)</f>
        <v>0</v>
      </c>
      <c r="M3104" s="211"/>
      <c r="N3104" s="211"/>
      <c r="O3104" s="211"/>
      <c r="Q3104" s="210" t="str">
        <f>IFERROR(__xludf.DUMMYFUNCTION("""COMPUTED_VALUE"""),"1261552")</f>
        <v>1261552</v>
      </c>
      <c r="R3104" s="210" t="str">
        <f>IFERROR(__xludf.DUMMYFUNCTION("""COMPUTED_VALUE"""),"1261552")</f>
        <v>1261552</v>
      </c>
      <c r="S3104" s="211" t="str">
        <f>IFERROR(__xludf.DUMMYFUNCTION("""COMPUTED_VALUE"""),"9828dfc5")</f>
        <v>9828dfc5</v>
      </c>
      <c r="T3104" s="211" t="str">
        <f>IFERROR(__xludf.DUMMYFUNCTION("""COMPUTED_VALUE"""),"Bpk. David")</f>
        <v>Bpk. David</v>
      </c>
      <c r="U3104" s="215">
        <f>IFERROR(__xludf.DUMMYFUNCTION("""COMPUTED_VALUE"""),46128.602789351855)</f>
        <v>46128.60279</v>
      </c>
      <c r="V3104" s="211" t="str">
        <f>IFERROR(__xludf.DUMMYFUNCTION("""COMPUTED_VALUE"""),"GHF3+R34, Jl. Kartini, Ngingas, Ngimbangan, Kec. Mojosari, Kabupaten Mojokerto, Jawa Timur 61382")</f>
        <v>GHF3+R34, Jl. Kartini, Ngingas, Ngimbangan, Kec. Mojosari, Kabupaten Mojokerto, Jawa Timur 61382</v>
      </c>
      <c r="W3104" s="211" t="str">
        <f>IFERROR(__xludf.DUMMYFUNCTION("""COMPUTED_VALUE"""),"IN")</f>
        <v>IN</v>
      </c>
      <c r="X3104" s="211"/>
    </row>
    <row r="3105">
      <c r="A3105" s="210" t="str">
        <f>IFERROR(__xludf.DUMMYFUNCTION("""COMPUTED_VALUE"""),"1251048")</f>
        <v>1251048</v>
      </c>
      <c r="B3105" s="210" t="str">
        <f>IFERROR(__xludf.DUMMYFUNCTION("""COMPUTED_VALUE"""),"1251048")</f>
        <v>1251048</v>
      </c>
      <c r="C3105" s="213">
        <f>IFERROR(__xludf.DUMMYFUNCTION("""COMPUTED_VALUE"""),46027.646678240744)</f>
        <v>46027.64668</v>
      </c>
      <c r="D3105" s="211" t="str">
        <f>IFERROR(__xludf.DUMMYFUNCTION("""COMPUTED_VALUE"""),"e86baf3b")</f>
        <v>e86baf3b</v>
      </c>
      <c r="E3105" s="211" t="str">
        <f>IFERROR(__xludf.DUMMYFUNCTION("""COMPUTED_VALUE"""),"PT GEMILANG CIPTA WAWASAN")</f>
        <v>PT GEMILANG CIPTA WAWASAN</v>
      </c>
      <c r="F3105" s="211" t="str">
        <f>IFERROR(__xludf.DUMMYFUNCTION("""COMPUTED_VALUE"""),"8bdbe149")</f>
        <v>8bdbe149</v>
      </c>
      <c r="G3105" s="211" t="str">
        <f>IFERROR(__xludf.DUMMYFUNCTION("""COMPUTED_VALUE"""),"Oksigen 6m3")</f>
        <v>Oksigen 6m3</v>
      </c>
      <c r="H3105" s="211" t="str">
        <f>IFERROR(__xludf.DUMMYFUNCTION("""COMPUTED_VALUE"""),"IN")</f>
        <v>IN</v>
      </c>
      <c r="I3105" s="211" t="str">
        <f>IFERROR(__xludf.DUMMYFUNCTION("""COMPUTED_VALUE"""),"EMPTY")</f>
        <v>EMPTY</v>
      </c>
      <c r="J3105" s="211">
        <f>IFERROR(__xludf.DUMMYFUNCTION("""COMPUTED_VALUE"""),4.0)</f>
        <v>4</v>
      </c>
      <c r="K3105" s="210" t="str">
        <f>IFERROR(__xludf.DUMMYFUNCTION("""COMPUTED_VALUE"""),"11285 11198 1168 11295")</f>
        <v>11285 11198 1168 11295</v>
      </c>
      <c r="L3105" s="211">
        <f>IFERROR(__xludf.DUMMYFUNCTION("""COMPUTED_VALUE"""),0.0)</f>
        <v>0</v>
      </c>
      <c r="M3105" s="211"/>
      <c r="N3105" s="211"/>
      <c r="O3105" s="211"/>
      <c r="Q3105" s="210" t="str">
        <f>IFERROR(__xludf.DUMMYFUNCTION("""COMPUTED_VALUE"""),"1261553")</f>
        <v>1261553</v>
      </c>
      <c r="R3105" s="210" t="str">
        <f>IFERROR(__xludf.DUMMYFUNCTION("""COMPUTED_VALUE"""),"1261553")</f>
        <v>1261553</v>
      </c>
      <c r="S3105" s="211" t="str">
        <f>IFERROR(__xludf.DUMMYFUNCTION("""COMPUTED_VALUE"""),"b2b5f2c5")</f>
        <v>b2b5f2c5</v>
      </c>
      <c r="T3105" s="211" t="str">
        <f>IFERROR(__xludf.DUMMYFUNCTION("""COMPUTED_VALUE"""),"Bengkel Las Bpk. Ari")</f>
        <v>Bengkel Las Bpk. Ari</v>
      </c>
      <c r="U3105" s="215">
        <f>IFERROR(__xludf.DUMMYFUNCTION("""COMPUTED_VALUE"""),46128.60517361111)</f>
        <v>46128.60517</v>
      </c>
      <c r="V3105" s="211" t="str">
        <f>IFERROR(__xludf.DUMMYFUNCTION("""COMPUTED_VALUE"""),"Sumber Kembar, Wonodadi, Kec. Kutorejo, Kabupaten Mojokerto, Jawa Timur")</f>
        <v>Sumber Kembar, Wonodadi, Kec. Kutorejo, Kabupaten Mojokerto, Jawa Timur</v>
      </c>
      <c r="W3105" s="211" t="str">
        <f>IFERROR(__xludf.DUMMYFUNCTION("""COMPUTED_VALUE"""),"IN")</f>
        <v>IN</v>
      </c>
      <c r="X3105" s="211"/>
    </row>
    <row r="3106">
      <c r="A3106" s="210" t="str">
        <f>IFERROR(__xludf.DUMMYFUNCTION("""COMPUTED_VALUE"""),"1251048")</f>
        <v>1251048</v>
      </c>
      <c r="B3106" s="210" t="str">
        <f>IFERROR(__xludf.DUMMYFUNCTION("""COMPUTED_VALUE"""),"1251048")</f>
        <v>1251048</v>
      </c>
      <c r="C3106" s="213">
        <f>IFERROR(__xludf.DUMMYFUNCTION("""COMPUTED_VALUE"""),46027.646678240744)</f>
        <v>46027.64668</v>
      </c>
      <c r="D3106" s="211" t="str">
        <f>IFERROR(__xludf.DUMMYFUNCTION("""COMPUTED_VALUE"""),"e86baf3b")</f>
        <v>e86baf3b</v>
      </c>
      <c r="E3106" s="211" t="str">
        <f>IFERROR(__xludf.DUMMYFUNCTION("""COMPUTED_VALUE"""),"PT GEMILANG CIPTA WAWASAN")</f>
        <v>PT GEMILANG CIPTA WAWASAN</v>
      </c>
      <c r="F3106" s="211" t="str">
        <f>IFERROR(__xludf.DUMMYFUNCTION("""COMPUTED_VALUE"""),"66af7c72")</f>
        <v>66af7c72</v>
      </c>
      <c r="G3106" s="211" t="str">
        <f>IFERROR(__xludf.DUMMYFUNCTION("""COMPUTED_VALUE"""),"Argon 6m3")</f>
        <v>Argon 6m3</v>
      </c>
      <c r="H3106" s="211" t="str">
        <f>IFERROR(__xludf.DUMMYFUNCTION("""COMPUTED_VALUE"""),"IN")</f>
        <v>IN</v>
      </c>
      <c r="I3106" s="211" t="str">
        <f>IFERROR(__xludf.DUMMYFUNCTION("""COMPUTED_VALUE"""),"EMPTY")</f>
        <v>EMPTY</v>
      </c>
      <c r="J3106" s="211">
        <f>IFERROR(__xludf.DUMMYFUNCTION("""COMPUTED_VALUE"""),5.0)</f>
        <v>5</v>
      </c>
      <c r="K3106" s="210" t="str">
        <f>IFERROR(__xludf.DUMMYFUNCTION("""COMPUTED_VALUE"""),"12004 12018 12024 12037 12054")</f>
        <v>12004 12018 12024 12037 12054</v>
      </c>
      <c r="L3106" s="211">
        <f>IFERROR(__xludf.DUMMYFUNCTION("""COMPUTED_VALUE"""),0.0)</f>
        <v>0</v>
      </c>
      <c r="M3106" s="211"/>
      <c r="N3106" s="211"/>
      <c r="O3106" s="211"/>
      <c r="Q3106" s="210" t="str">
        <f>IFERROR(__xludf.DUMMYFUNCTION("""COMPUTED_VALUE"""),"1261543")</f>
        <v>1261543</v>
      </c>
      <c r="R3106" s="210" t="str">
        <f>IFERROR(__xludf.DUMMYFUNCTION("""COMPUTED_VALUE"""),"1261543")</f>
        <v>1261543</v>
      </c>
      <c r="S3106" s="211" t="str">
        <f>IFERROR(__xludf.DUMMYFUNCTION("""COMPUTED_VALUE"""),"1c48ae79")</f>
        <v>1c48ae79</v>
      </c>
      <c r="T3106" s="211" t="str">
        <f>IFERROR(__xludf.DUMMYFUNCTION("""COMPUTED_VALUE"""),"Bpk. Jafar Rosokan")</f>
        <v>Bpk. Jafar Rosokan</v>
      </c>
      <c r="U3106" s="215">
        <f>IFERROR(__xludf.DUMMYFUNCTION("""COMPUTED_VALUE"""),46128.606620370374)</f>
        <v>46128.60662</v>
      </c>
      <c r="V3106" s="211" t="str">
        <f>IFERROR(__xludf.DUMMYFUNCTION("""COMPUTED_VALUE"""),"JL. Mejayan Bambang Yuwono, Sidodadi, Kemangsen, Kec. Balongbendo, Kab Sidoarjo Jawa Timur 61263")</f>
        <v>JL. Mejayan Bambang Yuwono, Sidodadi, Kemangsen, Kec. Balongbendo, Kab Sidoarjo Jawa Timur 61263</v>
      </c>
      <c r="W3106" s="211" t="str">
        <f>IFERROR(__xludf.DUMMYFUNCTION("""COMPUTED_VALUE"""),"IN")</f>
        <v>IN</v>
      </c>
      <c r="X3106" s="211"/>
    </row>
    <row r="3107">
      <c r="A3107" s="210" t="str">
        <f>IFERROR(__xludf.DUMMYFUNCTION("""COMPUTED_VALUE"""),"1251043")</f>
        <v>1251043</v>
      </c>
      <c r="B3107" s="210" t="str">
        <f>IFERROR(__xludf.DUMMYFUNCTION("""COMPUTED_VALUE"""),"1251043")</f>
        <v>1251043</v>
      </c>
      <c r="C3107" s="213">
        <f>IFERROR(__xludf.DUMMYFUNCTION("""COMPUTED_VALUE"""),46027.65131944444)</f>
        <v>46027.65132</v>
      </c>
      <c r="D3107" s="211" t="str">
        <f>IFERROR(__xludf.DUMMYFUNCTION("""COMPUTED_VALUE"""),"a1508027")</f>
        <v>a1508027</v>
      </c>
      <c r="E3107" s="211" t="str">
        <f>IFERROR(__xludf.DUMMYFUNCTION("""COMPUTED_VALUE"""),"Agus Budiono")</f>
        <v>Agus Budiono</v>
      </c>
      <c r="F3107" s="211" t="str">
        <f>IFERROR(__xludf.DUMMYFUNCTION("""COMPUTED_VALUE"""),"8bdbe149")</f>
        <v>8bdbe149</v>
      </c>
      <c r="G3107" s="211" t="str">
        <f>IFERROR(__xludf.DUMMYFUNCTION("""COMPUTED_VALUE"""),"Oksigen 6m3")</f>
        <v>Oksigen 6m3</v>
      </c>
      <c r="H3107" s="211" t="str">
        <f>IFERROR(__xludf.DUMMYFUNCTION("""COMPUTED_VALUE"""),"IN")</f>
        <v>IN</v>
      </c>
      <c r="I3107" s="211" t="str">
        <f>IFERROR(__xludf.DUMMYFUNCTION("""COMPUTED_VALUE"""),"EMPTY")</f>
        <v>EMPTY</v>
      </c>
      <c r="J3107" s="211">
        <f>IFERROR(__xludf.DUMMYFUNCTION("""COMPUTED_VALUE"""),2.0)</f>
        <v>2</v>
      </c>
      <c r="K3107" s="210" t="str">
        <f>IFERROR(__xludf.DUMMYFUNCTION("""COMPUTED_VALUE"""),"01 76")</f>
        <v>01 76</v>
      </c>
      <c r="L3107" s="211">
        <f>IFERROR(__xludf.DUMMYFUNCTION("""COMPUTED_VALUE"""),0.0)</f>
        <v>0</v>
      </c>
      <c r="M3107" s="211"/>
      <c r="N3107" s="211"/>
      <c r="O3107" s="211"/>
      <c r="Q3107" s="210" t="str">
        <f>IFERROR(__xludf.DUMMYFUNCTION("""COMPUTED_VALUE"""),"1261546")</f>
        <v>1261546</v>
      </c>
      <c r="R3107" s="210" t="str">
        <f>IFERROR(__xludf.DUMMYFUNCTION("""COMPUTED_VALUE"""),"1261546")</f>
        <v>1261546</v>
      </c>
      <c r="S3107" s="211" t="str">
        <f>IFERROR(__xludf.DUMMYFUNCTION("""COMPUTED_VALUE"""),"3b04351a")</f>
        <v>3b04351a</v>
      </c>
      <c r="T3107" s="211" t="str">
        <f>IFERROR(__xludf.DUMMYFUNCTION("""COMPUTED_VALUE"""),"CV Usaha Logam Jaya")</f>
        <v>CV Usaha Logam Jaya</v>
      </c>
      <c r="U3107" s="215">
        <f>IFERROR(__xludf.DUMMYFUNCTION("""COMPUTED_VALUE"""),46128.607152777775)</f>
        <v>46128.60715</v>
      </c>
      <c r="V3107" s="211" t="str">
        <f>IFERROR(__xludf.DUMMYFUNCTION("""COMPUTED_VALUE"""),"Jl. Jetis Karya, Wonorejo, Jetis, Kec. Jetis, Kabupaten Mojokerto, Jawa Timur 61352")</f>
        <v>Jl. Jetis Karya, Wonorejo, Jetis, Kec. Jetis, Kabupaten Mojokerto, Jawa Timur 61352</v>
      </c>
      <c r="W3107" s="211" t="str">
        <f>IFERROR(__xludf.DUMMYFUNCTION("""COMPUTED_VALUE"""),"IN")</f>
        <v>IN</v>
      </c>
      <c r="X3107" s="211"/>
    </row>
    <row r="3108">
      <c r="A3108" s="210" t="str">
        <f>IFERROR(__xludf.DUMMYFUNCTION("""COMPUTED_VALUE"""),"1251034")</f>
        <v>1251034</v>
      </c>
      <c r="B3108" s="210" t="str">
        <f>IFERROR(__xludf.DUMMYFUNCTION("""COMPUTED_VALUE"""),"1251034")</f>
        <v>1251034</v>
      </c>
      <c r="C3108" s="213">
        <f>IFERROR(__xludf.DUMMYFUNCTION("""COMPUTED_VALUE"""),46027.67826388889)</f>
        <v>46027.67826</v>
      </c>
      <c r="D3108" s="211" t="str">
        <f>IFERROR(__xludf.DUMMYFUNCTION("""COMPUTED_VALUE"""),"9e5d8274")</f>
        <v>9e5d8274</v>
      </c>
      <c r="E3108" s="211" t="str">
        <f>IFERROR(__xludf.DUMMYFUNCTION("""COMPUTED_VALUE"""),"Bpk. Erry ( Lik Trosobo )")</f>
        <v>Bpk. Erry ( Lik Trosobo )</v>
      </c>
      <c r="F3108" s="211" t="str">
        <f>IFERROR(__xludf.DUMMYFUNCTION("""COMPUTED_VALUE"""),"8bdbe149")</f>
        <v>8bdbe149</v>
      </c>
      <c r="G3108" s="211" t="str">
        <f>IFERROR(__xludf.DUMMYFUNCTION("""COMPUTED_VALUE"""),"Oksigen 6m3")</f>
        <v>Oksigen 6m3</v>
      </c>
      <c r="H3108" s="211" t="str">
        <f>IFERROR(__xludf.DUMMYFUNCTION("""COMPUTED_VALUE"""),"IN")</f>
        <v>IN</v>
      </c>
      <c r="I3108" s="211" t="str">
        <f>IFERROR(__xludf.DUMMYFUNCTION("""COMPUTED_VALUE"""),"EMPTY")</f>
        <v>EMPTY</v>
      </c>
      <c r="J3108" s="211">
        <f>IFERROR(__xludf.DUMMYFUNCTION("""COMPUTED_VALUE"""),2.0)</f>
        <v>2</v>
      </c>
      <c r="K3108" s="210" t="str">
        <f>IFERROR(__xludf.DUMMYFUNCTION("""COMPUTED_VALUE"""),"11297 1133")</f>
        <v>11297 1133</v>
      </c>
      <c r="L3108" s="211">
        <f>IFERROR(__xludf.DUMMYFUNCTION("""COMPUTED_VALUE"""),0.0)</f>
        <v>0</v>
      </c>
      <c r="M3108" s="211"/>
      <c r="N3108" s="211"/>
      <c r="O3108" s="211"/>
      <c r="Q3108" s="210" t="str">
        <f>IFERROR(__xludf.DUMMYFUNCTION("""COMPUTED_VALUE"""),"1261545")</f>
        <v>1261545</v>
      </c>
      <c r="R3108" s="210" t="str">
        <f>IFERROR(__xludf.DUMMYFUNCTION("""COMPUTED_VALUE"""),"1261545")</f>
        <v>1261545</v>
      </c>
      <c r="S3108" s="211" t="str">
        <f>IFERROR(__xludf.DUMMYFUNCTION("""COMPUTED_VALUE"""),"785e0e07")</f>
        <v>785e0e07</v>
      </c>
      <c r="T3108" s="211" t="str">
        <f>IFERROR(__xludf.DUMMYFUNCTION("""COMPUTED_VALUE"""),"Bpk. Sukirno (Bejo)")</f>
        <v>Bpk. Sukirno (Bejo)</v>
      </c>
      <c r="U3108" s="215">
        <f>IFERROR(__xludf.DUMMYFUNCTION("""COMPUTED_VALUE"""),46128.60747685185)</f>
        <v>46128.60748</v>
      </c>
      <c r="V3108" s="211" t="str">
        <f>IFERROR(__xludf.DUMMYFUNCTION("""COMPUTED_VALUE"""),"Krajan I, Wringinanom, Kec. Wringinanom, Kabupaten Gresik, Jawa Timur 61176")</f>
        <v>Krajan I, Wringinanom, Kec. Wringinanom, Kabupaten Gresik, Jawa Timur 61176</v>
      </c>
      <c r="W3108" s="211" t="str">
        <f>IFERROR(__xludf.DUMMYFUNCTION("""COMPUTED_VALUE"""),"IN")</f>
        <v>IN</v>
      </c>
      <c r="X3108" s="211"/>
    </row>
    <row r="3109">
      <c r="A3109" s="210" t="str">
        <f>IFERROR(__xludf.DUMMYFUNCTION("""COMPUTED_VALUE"""),"012612162")</f>
        <v>012612162</v>
      </c>
      <c r="B3109" s="210" t="str">
        <f>IFERROR(__xludf.DUMMYFUNCTION("""COMPUTED_VALUE"""),"012612162")</f>
        <v>012612162</v>
      </c>
      <c r="C3109" s="213">
        <f>IFERROR(__xludf.DUMMYFUNCTION("""COMPUTED_VALUE"""),46028.38837962963)</f>
        <v>46028.38838</v>
      </c>
      <c r="D3109" s="211" t="str">
        <f>IFERROR(__xludf.DUMMYFUNCTION("""COMPUTED_VALUE"""),"b89c20a1")</f>
        <v>b89c20a1</v>
      </c>
      <c r="E3109" s="211" t="str">
        <f>IFERROR(__xludf.DUMMYFUNCTION("""COMPUTED_VALUE"""),"Harini dini")</f>
        <v>Harini dini</v>
      </c>
      <c r="F3109" s="211" t="str">
        <f>IFERROR(__xludf.DUMMYFUNCTION("""COMPUTED_VALUE"""),"e8544a46")</f>
        <v>e8544a46</v>
      </c>
      <c r="G3109" s="211" t="str">
        <f>IFERROR(__xludf.DUMMYFUNCTION("""COMPUTED_VALUE"""),"Oksigen 1m3")</f>
        <v>Oksigen 1m3</v>
      </c>
      <c r="H3109" s="211" t="str">
        <f>IFERROR(__xludf.DUMMYFUNCTION("""COMPUTED_VALUE"""),"OUT")</f>
        <v>OUT</v>
      </c>
      <c r="I3109" s="211" t="str">
        <f>IFERROR(__xludf.DUMMYFUNCTION("""COMPUTED_VALUE"""),"NORMAL")</f>
        <v>NORMAL</v>
      </c>
      <c r="J3109" s="211">
        <f>IFERROR(__xludf.DUMMYFUNCTION("""COMPUTED_VALUE"""),1.0)</f>
        <v>1</v>
      </c>
      <c r="K3109" s="210" t="str">
        <f>IFERROR(__xludf.DUMMYFUNCTION("""COMPUTED_VALUE"""),"0007")</f>
        <v>0007</v>
      </c>
      <c r="L3109" s="211">
        <f>IFERROR(__xludf.DUMMYFUNCTION("""COMPUTED_VALUE"""),60000.0)</f>
        <v>60000</v>
      </c>
      <c r="M3109" s="211"/>
      <c r="N3109" s="211"/>
      <c r="O3109" s="211"/>
      <c r="Q3109" s="210" t="str">
        <f>IFERROR(__xludf.DUMMYFUNCTION("""COMPUTED_VALUE"""),"1261554")</f>
        <v>1261554</v>
      </c>
      <c r="R3109" s="210" t="str">
        <f>IFERROR(__xludf.DUMMYFUNCTION("""COMPUTED_VALUE"""),"1261554")</f>
        <v>1261554</v>
      </c>
      <c r="S3109" s="211" t="str">
        <f>IFERROR(__xludf.DUMMYFUNCTION("""COMPUTED_VALUE"""),"58b72e0c")</f>
        <v>58b72e0c</v>
      </c>
      <c r="T3109" s="211" t="str">
        <f>IFERROR(__xludf.DUMMYFUNCTION("""COMPUTED_VALUE"""),"UD. Ais Jaya")</f>
        <v>UD. Ais Jaya</v>
      </c>
      <c r="U3109" s="215">
        <f>IFERROR(__xludf.DUMMYFUNCTION("""COMPUTED_VALUE"""),46128.647048611114)</f>
        <v>46128.64705</v>
      </c>
      <c r="V3109" s="211" t="str">
        <f>IFERROR(__xludf.DUMMYFUNCTION("""COMPUTED_VALUE"""),"Jl. Bypass Krian, Kraton, Kec. Krian, Kabupaten Sidoarjo, Jawa Timur 61262")</f>
        <v>Jl. Bypass Krian, Kraton, Kec. Krian, Kabupaten Sidoarjo, Jawa Timur 61262</v>
      </c>
      <c r="W3109" s="211" t="str">
        <f>IFERROR(__xludf.DUMMYFUNCTION("""COMPUTED_VALUE"""),"IN")</f>
        <v>IN</v>
      </c>
      <c r="X3109" s="211"/>
    </row>
    <row r="3110">
      <c r="A3110" s="211"/>
      <c r="B3110" s="211"/>
      <c r="C3110" s="211"/>
      <c r="D3110" s="211"/>
      <c r="E3110" s="211"/>
      <c r="F3110" s="211"/>
      <c r="G3110" s="211"/>
      <c r="H3110" s="211"/>
      <c r="I3110" s="211"/>
      <c r="J3110" s="211"/>
      <c r="K3110" s="211"/>
      <c r="L3110" s="211"/>
      <c r="M3110" s="211"/>
      <c r="N3110" s="211"/>
      <c r="O3110" s="211"/>
      <c r="Q3110" s="210" t="str">
        <f>IFERROR(__xludf.DUMMYFUNCTION("""COMPUTED_VALUE"""),"1261547")</f>
        <v>1261547</v>
      </c>
      <c r="R3110" s="210" t="str">
        <f>IFERROR(__xludf.DUMMYFUNCTION("""COMPUTED_VALUE"""),"1261547")</f>
        <v>1261547</v>
      </c>
      <c r="S3110" s="211" t="str">
        <f>IFERROR(__xludf.DUMMYFUNCTION("""COMPUTED_VALUE"""),"17a8e612")</f>
        <v>17a8e612</v>
      </c>
      <c r="T3110" s="211" t="str">
        <f>IFERROR(__xludf.DUMMYFUNCTION("""COMPUTED_VALUE"""),"Flashtech Machinery")</f>
        <v>Flashtech Machinery</v>
      </c>
      <c r="U3110" s="215">
        <f>IFERROR(__xludf.DUMMYFUNCTION("""COMPUTED_VALUE"""),46128.64797453704)</f>
        <v>46128.64797</v>
      </c>
      <c r="V3110" s="211" t="str">
        <f>IFERROR(__xludf.DUMMYFUNCTION("""COMPUTED_VALUE"""),"Pergudangan Point Center blok A no.4, Kemangsen")</f>
        <v>Pergudangan Point Center blok A no.4, Kemangsen</v>
      </c>
      <c r="W3110" s="211" t="str">
        <f>IFERROR(__xludf.DUMMYFUNCTION("""COMPUTED_VALUE"""),"IN")</f>
        <v>IN</v>
      </c>
      <c r="X3110" s="211"/>
    </row>
    <row r="3111">
      <c r="A3111" s="210" t="str">
        <f>IFERROR(__xludf.DUMMYFUNCTION("""COMPUTED_VALUE"""),"1251035")</f>
        <v>1251035</v>
      </c>
      <c r="B3111" s="210" t="str">
        <f>IFERROR(__xludf.DUMMYFUNCTION("""COMPUTED_VALUE"""),"1251035")</f>
        <v>1251035</v>
      </c>
      <c r="C3111" s="213">
        <f>IFERROR(__xludf.DUMMYFUNCTION("""COMPUTED_VALUE"""),46028.4153125)</f>
        <v>46028.41531</v>
      </c>
      <c r="D3111" s="211" t="str">
        <f>IFERROR(__xludf.DUMMYFUNCTION("""COMPUTED_VALUE"""),"06d600f6")</f>
        <v>06d600f6</v>
      </c>
      <c r="E3111" s="211" t="str">
        <f>IFERROR(__xludf.DUMMYFUNCTION("""COMPUTED_VALUE"""),"Ibu Ida")</f>
        <v>Ibu Ida</v>
      </c>
      <c r="F3111" s="211" t="str">
        <f>IFERROR(__xludf.DUMMYFUNCTION("""COMPUTED_VALUE"""),"f6aab7a9")</f>
        <v>f6aab7a9</v>
      </c>
      <c r="G3111" s="211" t="str">
        <f>IFERROR(__xludf.DUMMYFUNCTION("""COMPUTED_VALUE"""),"Oksigen 6m3 MR")</f>
        <v>Oksigen 6m3 MR</v>
      </c>
      <c r="H3111" s="211" t="str">
        <f>IFERROR(__xludf.DUMMYFUNCTION("""COMPUTED_VALUE"""),"IN")</f>
        <v>IN</v>
      </c>
      <c r="I3111" s="211" t="str">
        <f>IFERROR(__xludf.DUMMYFUNCTION("""COMPUTED_VALUE"""),"EMPTY")</f>
        <v>EMPTY</v>
      </c>
      <c r="J3111" s="211">
        <f>IFERROR(__xludf.DUMMYFUNCTION("""COMPUTED_VALUE"""),5.0)</f>
        <v>5</v>
      </c>
      <c r="K3111" s="210" t="str">
        <f>IFERROR(__xludf.DUMMYFUNCTION("""COMPUTED_VALUE"""),"01 02 03 04 05")</f>
        <v>01 02 03 04 05</v>
      </c>
      <c r="L3111" s="211">
        <f>IFERROR(__xludf.DUMMYFUNCTION("""COMPUTED_VALUE"""),0.0)</f>
        <v>0</v>
      </c>
      <c r="M3111" s="211"/>
      <c r="N3111" s="211"/>
      <c r="O3111" s="211"/>
      <c r="Q3111" s="210" t="str">
        <f>IFERROR(__xludf.DUMMYFUNCTION("""COMPUTED_VALUE"""),"042623104")</f>
        <v>042623104</v>
      </c>
      <c r="R3111" s="210" t="str">
        <f>IFERROR(__xludf.DUMMYFUNCTION("""COMPUTED_VALUE"""),"042623104")</f>
        <v>042623104</v>
      </c>
      <c r="S3111" s="211" t="str">
        <f>IFERROR(__xludf.DUMMYFUNCTION("""COMPUTED_VALUE"""),"514e8cd0")</f>
        <v>514e8cd0</v>
      </c>
      <c r="T3111" s="211" t="str">
        <f>IFERROR(__xludf.DUMMYFUNCTION("""COMPUTED_VALUE"""),"Bpk. Nawawi (Balongbendo)")</f>
        <v>Bpk. Nawawi (Balongbendo)</v>
      </c>
      <c r="U3111" s="215">
        <f>IFERROR(__xludf.DUMMYFUNCTION("""COMPUTED_VALUE"""),46129.34570601852)</f>
        <v>46129.34571</v>
      </c>
      <c r="V3111" s="211" t="str">
        <f>IFERROR(__xludf.DUMMYFUNCTION("""COMPUTED_VALUE"""),"Balongbendo")</f>
        <v>Balongbendo</v>
      </c>
      <c r="W3111" s="211" t="str">
        <f>IFERROR(__xludf.DUMMYFUNCTION("""COMPUTED_VALUE"""),"OUT")</f>
        <v>OUT</v>
      </c>
      <c r="X3111" s="211"/>
    </row>
    <row r="3112">
      <c r="A3112" s="210" t="str">
        <f>IFERROR(__xludf.DUMMYFUNCTION("""COMPUTED_VALUE"""),"012642168")</f>
        <v>012642168</v>
      </c>
      <c r="B3112" s="210" t="str">
        <f>IFERROR(__xludf.DUMMYFUNCTION("""COMPUTED_VALUE"""),"012642168")</f>
        <v>012642168</v>
      </c>
      <c r="C3112" s="213">
        <f>IFERROR(__xludf.DUMMYFUNCTION("""COMPUTED_VALUE"""),46028.45829861111)</f>
        <v>46028.4583</v>
      </c>
      <c r="D3112" s="211" t="str">
        <f>IFERROR(__xludf.DUMMYFUNCTION("""COMPUTED_VALUE"""),"ca4876e2")</f>
        <v>ca4876e2</v>
      </c>
      <c r="E3112" s="211" t="str">
        <f>IFERROR(__xludf.DUMMYFUNCTION("""COMPUTED_VALUE"""),"Bengkel Mustika Mojosari")</f>
        <v>Bengkel Mustika Mojosari</v>
      </c>
      <c r="F3112" s="211" t="str">
        <f>IFERROR(__xludf.DUMMYFUNCTION("""COMPUTED_VALUE"""),"7d2764f1")</f>
        <v>7d2764f1</v>
      </c>
      <c r="G3112" s="211" t="str">
        <f>IFERROR(__xludf.DUMMYFUNCTION("""COMPUTED_VALUE"""),"Oksigen 7m3")</f>
        <v>Oksigen 7m3</v>
      </c>
      <c r="H3112" s="211" t="str">
        <f>IFERROR(__xludf.DUMMYFUNCTION("""COMPUTED_VALUE"""),"OUT")</f>
        <v>OUT</v>
      </c>
      <c r="I3112" s="211" t="str">
        <f>IFERROR(__xludf.DUMMYFUNCTION("""COMPUTED_VALUE"""),"NORMAL")</f>
        <v>NORMAL</v>
      </c>
      <c r="J3112" s="211">
        <f>IFERROR(__xludf.DUMMYFUNCTION("""COMPUTED_VALUE"""),2.0)</f>
        <v>2</v>
      </c>
      <c r="K3112" s="210" t="str">
        <f>IFERROR(__xludf.DUMMYFUNCTION("""COMPUTED_VALUE"""),"11329 11318")</f>
        <v>11329 11318</v>
      </c>
      <c r="L3112" s="211">
        <f>IFERROR(__xludf.DUMMYFUNCTION("""COMPUTED_VALUE"""),65000.0)</f>
        <v>65000</v>
      </c>
      <c r="M3112" s="211"/>
      <c r="N3112" s="211"/>
      <c r="O3112" s="211"/>
      <c r="Q3112" s="210" t="str">
        <f>IFERROR(__xludf.DUMMYFUNCTION("""COMPUTED_VALUE"""),"04261053112")</f>
        <v>04261053112</v>
      </c>
      <c r="R3112" s="210" t="str">
        <f>IFERROR(__xludf.DUMMYFUNCTION("""COMPUTED_VALUE"""),"04261053112")</f>
        <v>04261053112</v>
      </c>
      <c r="S3112" s="211" t="str">
        <f>IFERROR(__xludf.DUMMYFUNCTION("""COMPUTED_VALUE"""),"b2b5f2c5")</f>
        <v>b2b5f2c5</v>
      </c>
      <c r="T3112" s="211" t="str">
        <f>IFERROR(__xludf.DUMMYFUNCTION("""COMPUTED_VALUE"""),"Bengkel Las Bpk. Ari")</f>
        <v>Bengkel Las Bpk. Ari</v>
      </c>
      <c r="U3112" s="215">
        <f>IFERROR(__xludf.DUMMYFUNCTION("""COMPUTED_VALUE"""),46129.397939814815)</f>
        <v>46129.39794</v>
      </c>
      <c r="V3112" s="211" t="str">
        <f>IFERROR(__xludf.DUMMYFUNCTION("""COMPUTED_VALUE"""),"Sumber Kembar, Wonodadi, Kec. Kutorejo, Kabupaten Mojokerto, Jawa Timur")</f>
        <v>Sumber Kembar, Wonodadi, Kec. Kutorejo, Kabupaten Mojokerto, Jawa Timur</v>
      </c>
      <c r="W3112" s="211" t="str">
        <f>IFERROR(__xludf.DUMMYFUNCTION("""COMPUTED_VALUE"""),"OUT")</f>
        <v>OUT</v>
      </c>
      <c r="X3112" s="211"/>
    </row>
    <row r="3113">
      <c r="A3113" s="210" t="str">
        <f>IFERROR(__xludf.DUMMYFUNCTION("""COMPUTED_VALUE"""),"012672171")</f>
        <v>012672171</v>
      </c>
      <c r="B3113" s="210" t="str">
        <f>IFERROR(__xludf.DUMMYFUNCTION("""COMPUTED_VALUE"""),"012672171")</f>
        <v>012672171</v>
      </c>
      <c r="C3113" s="213">
        <f>IFERROR(__xludf.DUMMYFUNCTION("""COMPUTED_VALUE"""),46028.461805555555)</f>
        <v>46028.46181</v>
      </c>
      <c r="D3113" s="211" t="str">
        <f>IFERROR(__xludf.DUMMYFUNCTION("""COMPUTED_VALUE"""),"06d600f6")</f>
        <v>06d600f6</v>
      </c>
      <c r="E3113" s="211" t="str">
        <f>IFERROR(__xludf.DUMMYFUNCTION("""COMPUTED_VALUE"""),"Ibu Ida")</f>
        <v>Ibu Ida</v>
      </c>
      <c r="F3113" s="211" t="str">
        <f>IFERROR(__xludf.DUMMYFUNCTION("""COMPUTED_VALUE"""),"f6aab7a9")</f>
        <v>f6aab7a9</v>
      </c>
      <c r="G3113" s="211" t="str">
        <f>IFERROR(__xludf.DUMMYFUNCTION("""COMPUTED_VALUE"""),"Oksigen 6m3 MR")</f>
        <v>Oksigen 6m3 MR</v>
      </c>
      <c r="H3113" s="211" t="str">
        <f>IFERROR(__xludf.DUMMYFUNCTION("""COMPUTED_VALUE"""),"OUT")</f>
        <v>OUT</v>
      </c>
      <c r="I3113" s="211" t="str">
        <f>IFERROR(__xludf.DUMMYFUNCTION("""COMPUTED_VALUE"""),"NORMAL")</f>
        <v>NORMAL</v>
      </c>
      <c r="J3113" s="211">
        <f>IFERROR(__xludf.DUMMYFUNCTION("""COMPUTED_VALUE"""),5.0)</f>
        <v>5</v>
      </c>
      <c r="K3113" s="210" t="str">
        <f>IFERROR(__xludf.DUMMYFUNCTION("""COMPUTED_VALUE"""),"01 02 03 04 05")</f>
        <v>01 02 03 04 05</v>
      </c>
      <c r="L3113" s="211">
        <f>IFERROR(__xludf.DUMMYFUNCTION("""COMPUTED_VALUE"""),50000.0)</f>
        <v>50000</v>
      </c>
      <c r="M3113" s="211"/>
      <c r="N3113" s="211"/>
      <c r="O3113" s="211"/>
      <c r="Q3113" s="210" t="str">
        <f>IFERROR(__xludf.DUMMYFUNCTION("""COMPUTED_VALUE"""),"1261548")</f>
        <v>1261548</v>
      </c>
      <c r="R3113" s="210" t="str">
        <f>IFERROR(__xludf.DUMMYFUNCTION("""COMPUTED_VALUE"""),"1261548")</f>
        <v>1261548</v>
      </c>
      <c r="S3113" s="211" t="str">
        <f>IFERROR(__xludf.DUMMYFUNCTION("""COMPUTED_VALUE"""),"514e8cd0")</f>
        <v>514e8cd0</v>
      </c>
      <c r="T3113" s="211" t="str">
        <f>IFERROR(__xludf.DUMMYFUNCTION("""COMPUTED_VALUE"""),"Bpk. Nawawi (Balongbendo)")</f>
        <v>Bpk. Nawawi (Balongbendo)</v>
      </c>
      <c r="U3113" s="215">
        <f>IFERROR(__xludf.DUMMYFUNCTION("""COMPUTED_VALUE"""),46129.40001157407)</f>
        <v>46129.40001</v>
      </c>
      <c r="V3113" s="211" t="str">
        <f>IFERROR(__xludf.DUMMYFUNCTION("""COMPUTED_VALUE"""),"Balongbendo")</f>
        <v>Balongbendo</v>
      </c>
      <c r="W3113" s="211" t="str">
        <f>IFERROR(__xludf.DUMMYFUNCTION("""COMPUTED_VALUE"""),"IN")</f>
        <v>IN</v>
      </c>
      <c r="X3113" s="211"/>
    </row>
    <row r="3114">
      <c r="A3114" s="210" t="str">
        <f>IFERROR(__xludf.DUMMYFUNCTION("""COMPUTED_VALUE"""),"012612172")</f>
        <v>012612172</v>
      </c>
      <c r="B3114" s="210" t="str">
        <f>IFERROR(__xludf.DUMMYFUNCTION("""COMPUTED_VALUE"""),"012612172")</f>
        <v>012612172</v>
      </c>
      <c r="C3114" s="213">
        <f>IFERROR(__xludf.DUMMYFUNCTION("""COMPUTED_VALUE"""),46028.5678125)</f>
        <v>46028.56781</v>
      </c>
      <c r="D3114" s="211" t="str">
        <f>IFERROR(__xludf.DUMMYFUNCTION("""COMPUTED_VALUE"""),"52cc8b7f")</f>
        <v>52cc8b7f</v>
      </c>
      <c r="E3114" s="211" t="str">
        <f>IFERROR(__xludf.DUMMYFUNCTION("""COMPUTED_VALUE"""),"Ibu Ainun")</f>
        <v>Ibu Ainun</v>
      </c>
      <c r="F3114" s="211" t="str">
        <f>IFERROR(__xludf.DUMMYFUNCTION("""COMPUTED_VALUE"""),"e8544a46")</f>
        <v>e8544a46</v>
      </c>
      <c r="G3114" s="211" t="str">
        <f>IFERROR(__xludf.DUMMYFUNCTION("""COMPUTED_VALUE"""),"Oksigen 1m3")</f>
        <v>Oksigen 1m3</v>
      </c>
      <c r="H3114" s="211" t="str">
        <f>IFERROR(__xludf.DUMMYFUNCTION("""COMPUTED_VALUE"""),"OUT")</f>
        <v>OUT</v>
      </c>
      <c r="I3114" s="211" t="str">
        <f>IFERROR(__xludf.DUMMYFUNCTION("""COMPUTED_VALUE"""),"NORMAL")</f>
        <v>NORMAL</v>
      </c>
      <c r="J3114" s="211">
        <f>IFERROR(__xludf.DUMMYFUNCTION("""COMPUTED_VALUE"""),1.0)</f>
        <v>1</v>
      </c>
      <c r="K3114" s="210" t="str">
        <f>IFERROR(__xludf.DUMMYFUNCTION("""COMPUTED_VALUE"""),"0001")</f>
        <v>0001</v>
      </c>
      <c r="L3114" s="211">
        <f>IFERROR(__xludf.DUMMYFUNCTION("""COMPUTED_VALUE"""),60000.0)</f>
        <v>60000</v>
      </c>
      <c r="M3114" s="211"/>
      <c r="N3114" s="211"/>
      <c r="O3114" s="211"/>
      <c r="Q3114" s="210" t="str">
        <f>IFERROR(__xludf.DUMMYFUNCTION("""COMPUTED_VALUE"""),"1261550")</f>
        <v>1261550</v>
      </c>
      <c r="R3114" s="210" t="str">
        <f>IFERROR(__xludf.DUMMYFUNCTION("""COMPUTED_VALUE"""),"1261550")</f>
        <v>1261550</v>
      </c>
      <c r="S3114" s="211" t="str">
        <f>IFERROR(__xludf.DUMMYFUNCTION("""COMPUTED_VALUE"""),"3a48b432")</f>
        <v>3a48b432</v>
      </c>
      <c r="T3114" s="211" t="str">
        <f>IFERROR(__xludf.DUMMYFUNCTION("""COMPUTED_VALUE"""),"Bpk. Dio")</f>
        <v>Bpk. Dio</v>
      </c>
      <c r="U3114" s="215">
        <f>IFERROR(__xludf.DUMMYFUNCTION("""COMPUTED_VALUE"""),46129.400405092594)</f>
        <v>46129.40041</v>
      </c>
      <c r="V3114" s="211" t="str">
        <f>IFERROR(__xludf.DUMMYFUNCTION("""COMPUTED_VALUE"""),"Semawut")</f>
        <v>Semawut</v>
      </c>
      <c r="W3114" s="211" t="str">
        <f>IFERROR(__xludf.DUMMYFUNCTION("""COMPUTED_VALUE"""),"IN")</f>
        <v>IN</v>
      </c>
      <c r="X3114" s="211"/>
    </row>
    <row r="3115">
      <c r="A3115" s="210" t="str">
        <f>IFERROR(__xludf.DUMMYFUNCTION("""COMPUTED_VALUE"""),"1261061")</f>
        <v>1261061</v>
      </c>
      <c r="B3115" s="210" t="str">
        <f>IFERROR(__xludf.DUMMYFUNCTION("""COMPUTED_VALUE"""),"1261061")</f>
        <v>1261061</v>
      </c>
      <c r="C3115" s="213">
        <f>IFERROR(__xludf.DUMMYFUNCTION("""COMPUTED_VALUE"""),46028.59641203703)</f>
        <v>46028.59641</v>
      </c>
      <c r="D3115" s="211" t="str">
        <f>IFERROR(__xludf.DUMMYFUNCTION("""COMPUTED_VALUE"""),"3b04351a")</f>
        <v>3b04351a</v>
      </c>
      <c r="E3115" s="211" t="str">
        <f>IFERROR(__xludf.DUMMYFUNCTION("""COMPUTED_VALUE"""),"CV Usaha Logam Jaya ( Bpk Putra )")</f>
        <v>CV Usaha Logam Jaya ( Bpk Putra )</v>
      </c>
      <c r="F3115" s="211" t="str">
        <f>IFERROR(__xludf.DUMMYFUNCTION("""COMPUTED_VALUE"""),"be525f3b")</f>
        <v>be525f3b</v>
      </c>
      <c r="G3115" s="211" t="str">
        <f>IFERROR(__xludf.DUMMYFUNCTION("""COMPUTED_VALUE"""),"LPG 12kg")</f>
        <v>LPG 12kg</v>
      </c>
      <c r="H3115" s="211" t="str">
        <f>IFERROR(__xludf.DUMMYFUNCTION("""COMPUTED_VALUE"""),"IN")</f>
        <v>IN</v>
      </c>
      <c r="I3115" s="211" t="str">
        <f>IFERROR(__xludf.DUMMYFUNCTION("""COMPUTED_VALUE"""),"EMPTY")</f>
        <v>EMPTY</v>
      </c>
      <c r="J3115" s="211">
        <f>IFERROR(__xludf.DUMMYFUNCTION("""COMPUTED_VALUE"""),2.0)</f>
        <v>2</v>
      </c>
      <c r="K3115" s="210" t="str">
        <f>IFERROR(__xludf.DUMMYFUNCTION("""COMPUTED_VALUE"""),"01 02")</f>
        <v>01 02</v>
      </c>
      <c r="L3115" s="211">
        <f>IFERROR(__xludf.DUMMYFUNCTION("""COMPUTED_VALUE"""),0.0)</f>
        <v>0</v>
      </c>
      <c r="M3115" s="211"/>
      <c r="N3115" s="211"/>
      <c r="O3115" s="211"/>
      <c r="Q3115" s="210" t="str">
        <f>IFERROR(__xludf.DUMMYFUNCTION("""COMPUTED_VALUE"""),"1261549")</f>
        <v>1261549</v>
      </c>
      <c r="R3115" s="210" t="str">
        <f>IFERROR(__xludf.DUMMYFUNCTION("""COMPUTED_VALUE"""),"1261549")</f>
        <v>1261549</v>
      </c>
      <c r="S3115" s="211" t="str">
        <f>IFERROR(__xludf.DUMMYFUNCTION("""COMPUTED_VALUE"""),"dfas2312")</f>
        <v>dfas2312</v>
      </c>
      <c r="T3115" s="211" t="str">
        <f>IFERROR(__xludf.DUMMYFUNCTION("""COMPUTED_VALUE"""),"Bpk. Fuad (Parengan)")</f>
        <v>Bpk. Fuad (Parengan)</v>
      </c>
      <c r="U3115" s="215">
        <f>IFERROR(__xludf.DUMMYFUNCTION("""COMPUTED_VALUE"""),46129.401770833334)</f>
        <v>46129.40177</v>
      </c>
      <c r="V3115" s="211" t="str">
        <f>IFERROR(__xludf.DUMMYFUNCTION("""COMPUTED_VALUE"""),"Masjid Parengan")</f>
        <v>Masjid Parengan</v>
      </c>
      <c r="W3115" s="211" t="str">
        <f>IFERROR(__xludf.DUMMYFUNCTION("""COMPUTED_VALUE"""),"IN")</f>
        <v>IN</v>
      </c>
      <c r="X3115" s="211"/>
    </row>
    <row r="3116">
      <c r="A3116" s="210" t="str">
        <f>IFERROR(__xludf.DUMMYFUNCTION("""COMPUTED_VALUE"""),"1261061")</f>
        <v>1261061</v>
      </c>
      <c r="B3116" s="210" t="str">
        <f>IFERROR(__xludf.DUMMYFUNCTION("""COMPUTED_VALUE"""),"1261061")</f>
        <v>1261061</v>
      </c>
      <c r="C3116" s="213">
        <f>IFERROR(__xludf.DUMMYFUNCTION("""COMPUTED_VALUE"""),46028.59641203703)</f>
        <v>46028.59641</v>
      </c>
      <c r="D3116" s="211" t="str">
        <f>IFERROR(__xludf.DUMMYFUNCTION("""COMPUTED_VALUE"""),"3b04351a")</f>
        <v>3b04351a</v>
      </c>
      <c r="E3116" s="211" t="str">
        <f>IFERROR(__xludf.DUMMYFUNCTION("""COMPUTED_VALUE"""),"CV Usaha Logam Jaya ( Bpk Putra )")</f>
        <v>CV Usaha Logam Jaya ( Bpk Putra )</v>
      </c>
      <c r="F3116" s="211" t="str">
        <f>IFERROR(__xludf.DUMMYFUNCTION("""COMPUTED_VALUE"""),"8bdbe149")</f>
        <v>8bdbe149</v>
      </c>
      <c r="G3116" s="211" t="str">
        <f>IFERROR(__xludf.DUMMYFUNCTION("""COMPUTED_VALUE"""),"Oksigen 6m3")</f>
        <v>Oksigen 6m3</v>
      </c>
      <c r="H3116" s="211" t="str">
        <f>IFERROR(__xludf.DUMMYFUNCTION("""COMPUTED_VALUE"""),"IN")</f>
        <v>IN</v>
      </c>
      <c r="I3116" s="211" t="str">
        <f>IFERROR(__xludf.DUMMYFUNCTION("""COMPUTED_VALUE"""),"EMPTY")</f>
        <v>EMPTY</v>
      </c>
      <c r="J3116" s="211">
        <f>IFERROR(__xludf.DUMMYFUNCTION("""COMPUTED_VALUE"""),8.0)</f>
        <v>8</v>
      </c>
      <c r="K3116" s="210" t="str">
        <f>IFERROR(__xludf.DUMMYFUNCTION("""COMPUTED_VALUE"""),"1157 11311 11317 11278 11324 11231 11319 11323")</f>
        <v>1157 11311 11317 11278 11324 11231 11319 11323</v>
      </c>
      <c r="L3116" s="211">
        <f>IFERROR(__xludf.DUMMYFUNCTION("""COMPUTED_VALUE"""),0.0)</f>
        <v>0</v>
      </c>
      <c r="M3116" s="211"/>
      <c r="N3116" s="211"/>
      <c r="O3116" s="211"/>
      <c r="Q3116" s="210" t="str">
        <f>IFERROR(__xludf.DUMMYFUNCTION("""COMPUTED_VALUE"""),"0426533113")</f>
        <v>0426533113</v>
      </c>
      <c r="R3116" s="210" t="str">
        <f>IFERROR(__xludf.DUMMYFUNCTION("""COMPUTED_VALUE"""),"0426533113")</f>
        <v>0426533113</v>
      </c>
      <c r="S3116" s="211" t="str">
        <f>IFERROR(__xludf.DUMMYFUNCTION("""COMPUTED_VALUE"""),"ec231cc9")</f>
        <v>ec231cc9</v>
      </c>
      <c r="T3116" s="211" t="str">
        <f>IFERROR(__xludf.DUMMYFUNCTION("""COMPUTED_VALUE"""),"Bpk. Kadir (Maintenance Velg)")</f>
        <v>Bpk. Kadir (Maintenance Velg)</v>
      </c>
      <c r="U3116" s="215">
        <f>IFERROR(__xludf.DUMMYFUNCTION("""COMPUTED_VALUE"""),46129.4637037037)</f>
        <v>46129.4637</v>
      </c>
      <c r="V3116" s="211" t="str">
        <f>IFERROR(__xludf.DUMMYFUNCTION("""COMPUTED_VALUE"""),"Jl. Lkr. Bypass Krian Timur, Sidogolong, Watugolong, Kec. Krian, Kabupaten Sidoarjo, Jawa Timur 61262")</f>
        <v>Jl. Lkr. Bypass Krian Timur, Sidogolong, Watugolong, Kec. Krian, Kabupaten Sidoarjo, Jawa Timur 61262</v>
      </c>
      <c r="W3116" s="211" t="str">
        <f>IFERROR(__xludf.DUMMYFUNCTION("""COMPUTED_VALUE"""),"OUT")</f>
        <v>OUT</v>
      </c>
      <c r="X3116" s="211"/>
    </row>
    <row r="3117">
      <c r="A3117" s="210" t="str">
        <f>IFERROR(__xludf.DUMMYFUNCTION("""COMPUTED_VALUE"""),"1251049")</f>
        <v>1251049</v>
      </c>
      <c r="B3117" s="210" t="str">
        <f>IFERROR(__xludf.DUMMYFUNCTION("""COMPUTED_VALUE"""),"1251049")</f>
        <v>1251049</v>
      </c>
      <c r="C3117" s="213">
        <f>IFERROR(__xludf.DUMMYFUNCTION("""COMPUTED_VALUE"""),46028.59732638889)</f>
        <v>46028.59733</v>
      </c>
      <c r="D3117" s="211" t="str">
        <f>IFERROR(__xludf.DUMMYFUNCTION("""COMPUTED_VALUE"""),"785e0e07")</f>
        <v>785e0e07</v>
      </c>
      <c r="E3117" s="211" t="str">
        <f>IFERROR(__xludf.DUMMYFUNCTION("""COMPUTED_VALUE"""),"Bpk. Sukirno (Bejo)")</f>
        <v>Bpk. Sukirno (Bejo)</v>
      </c>
      <c r="F3117" s="211" t="str">
        <f>IFERROR(__xludf.DUMMYFUNCTION("""COMPUTED_VALUE"""),"8bdbe149")</f>
        <v>8bdbe149</v>
      </c>
      <c r="G3117" s="211" t="str">
        <f>IFERROR(__xludf.DUMMYFUNCTION("""COMPUTED_VALUE"""),"Oksigen 6m3")</f>
        <v>Oksigen 6m3</v>
      </c>
      <c r="H3117" s="211" t="str">
        <f>IFERROR(__xludf.DUMMYFUNCTION("""COMPUTED_VALUE"""),"IN")</f>
        <v>IN</v>
      </c>
      <c r="I3117" s="211" t="str">
        <f>IFERROR(__xludf.DUMMYFUNCTION("""COMPUTED_VALUE"""),"EMPTY")</f>
        <v>EMPTY</v>
      </c>
      <c r="J3117" s="211">
        <f>IFERROR(__xludf.DUMMYFUNCTION("""COMPUTED_VALUE"""),4.0)</f>
        <v>4</v>
      </c>
      <c r="K3117" s="210" t="str">
        <f>IFERROR(__xludf.DUMMYFUNCTION("""COMPUTED_VALUE"""),"11134 11286 1136 11107")</f>
        <v>11134 11286 1136 11107</v>
      </c>
      <c r="L3117" s="211">
        <f>IFERROR(__xludf.DUMMYFUNCTION("""COMPUTED_VALUE"""),0.0)</f>
        <v>0</v>
      </c>
      <c r="M3117" s="211"/>
      <c r="N3117" s="211"/>
      <c r="O3117" s="211"/>
      <c r="Q3117" s="210" t="str">
        <f>IFERROR(__xludf.DUMMYFUNCTION("""COMPUTED_VALUE"""),"1261556")</f>
        <v>1261556</v>
      </c>
      <c r="R3117" s="210" t="str">
        <f>IFERROR(__xludf.DUMMYFUNCTION("""COMPUTED_VALUE"""),"1261556")</f>
        <v>1261556</v>
      </c>
      <c r="S3117" s="211" t="str">
        <f>IFERROR(__xludf.DUMMYFUNCTION("""COMPUTED_VALUE"""),"8ea74d81")</f>
        <v>8ea74d81</v>
      </c>
      <c r="T3117" s="211" t="str">
        <f>IFERROR(__xludf.DUMMYFUNCTION("""COMPUTED_VALUE"""),"Bengkel Adi Putra")</f>
        <v>Bengkel Adi Putra</v>
      </c>
      <c r="U3117" s="215">
        <f>IFERROR(__xludf.DUMMYFUNCTION("""COMPUTED_VALUE"""),46129.47017361111)</f>
        <v>46129.47017</v>
      </c>
      <c r="V3117" s="211" t="str">
        <f>IFERROR(__xludf.DUMMYFUNCTION("""COMPUTED_VALUE"""),"Bypass Balongbendo")</f>
        <v>Bypass Balongbendo</v>
      </c>
      <c r="W3117" s="211" t="str">
        <f>IFERROR(__xludf.DUMMYFUNCTION("""COMPUTED_VALUE"""),"IN")</f>
        <v>IN</v>
      </c>
      <c r="X3117" s="211"/>
    </row>
    <row r="3118">
      <c r="A3118" s="210" t="str">
        <f>IFERROR(__xludf.DUMMYFUNCTION("""COMPUTED_VALUE"""),"1251050")</f>
        <v>1251050</v>
      </c>
      <c r="B3118" s="210" t="str">
        <f>IFERROR(__xludf.DUMMYFUNCTION("""COMPUTED_VALUE"""),"1251050")</f>
        <v>1251050</v>
      </c>
      <c r="C3118" s="213">
        <f>IFERROR(__xludf.DUMMYFUNCTION("""COMPUTED_VALUE"""),46028.598125)</f>
        <v>46028.59813</v>
      </c>
      <c r="D3118" s="211" t="str">
        <f>IFERROR(__xludf.DUMMYFUNCTION("""COMPUTED_VALUE"""),"eec2e801")</f>
        <v>eec2e801</v>
      </c>
      <c r="E3118" s="211" t="str">
        <f>IFERROR(__xludf.DUMMYFUNCTION("""COMPUTED_VALUE"""),"Mitra Wood Sejahtera")</f>
        <v>Mitra Wood Sejahtera</v>
      </c>
      <c r="F3118" s="211" t="str">
        <f>IFERROR(__xludf.DUMMYFUNCTION("""COMPUTED_VALUE"""),"8bdbe149")</f>
        <v>8bdbe149</v>
      </c>
      <c r="G3118" s="211" t="str">
        <f>IFERROR(__xludf.DUMMYFUNCTION("""COMPUTED_VALUE"""),"Oksigen 6m3")</f>
        <v>Oksigen 6m3</v>
      </c>
      <c r="H3118" s="211" t="str">
        <f>IFERROR(__xludf.DUMMYFUNCTION("""COMPUTED_VALUE"""),"IN")</f>
        <v>IN</v>
      </c>
      <c r="I3118" s="211" t="str">
        <f>IFERROR(__xludf.DUMMYFUNCTION("""COMPUTED_VALUE"""),"EMPTY")</f>
        <v>EMPTY</v>
      </c>
      <c r="J3118" s="211">
        <f>IFERROR(__xludf.DUMMYFUNCTION("""COMPUTED_VALUE"""),6.0)</f>
        <v>6</v>
      </c>
      <c r="K3118" s="210" t="str">
        <f>IFERROR(__xludf.DUMMYFUNCTION("""COMPUTED_VALUE"""),"1158 11246 1170 11279 1137 11229")</f>
        <v>1158 11246 1170 11279 1137 11229</v>
      </c>
      <c r="L3118" s="211">
        <f>IFERROR(__xludf.DUMMYFUNCTION("""COMPUTED_VALUE"""),0.0)</f>
        <v>0</v>
      </c>
      <c r="M3118" s="211"/>
      <c r="N3118" s="211"/>
      <c r="O3118" s="211"/>
      <c r="Q3118" s="210" t="str">
        <f>IFERROR(__xludf.DUMMYFUNCTION("""COMPUTED_VALUE"""),"1261557")</f>
        <v>1261557</v>
      </c>
      <c r="R3118" s="210" t="str">
        <f>IFERROR(__xludf.DUMMYFUNCTION("""COMPUTED_VALUE"""),"1261557")</f>
        <v>1261557</v>
      </c>
      <c r="S3118" s="211" t="str">
        <f>IFERROR(__xludf.DUMMYFUNCTION("""COMPUTED_VALUE"""),"182fb0fe")</f>
        <v>182fb0fe</v>
      </c>
      <c r="T3118" s="211" t="str">
        <f>IFERROR(__xludf.DUMMYFUNCTION("""COMPUTED_VALUE"""),"PT Amtech")</f>
        <v>PT Amtech</v>
      </c>
      <c r="U3118" s="215">
        <f>IFERROR(__xludf.DUMMYFUNCTION("""COMPUTED_VALUE"""),46129.4705787037)</f>
        <v>46129.47058</v>
      </c>
      <c r="V3118" s="211" t="str">
        <f>IFERROR(__xludf.DUMMYFUNCTION("""COMPUTED_VALUE"""),"Pergudangan Kencana Trosobo Blok. C27 RT/RW.003/001, Pertapan Maduretno, Kec. Taman, Kabupaten Sidoarjo, Jawa Timur 61257")</f>
        <v>Pergudangan Kencana Trosobo Blok. C27 RT/RW.003/001, Pertapan Maduretno, Kec. Taman, Kabupaten Sidoarjo, Jawa Timur 61257</v>
      </c>
      <c r="W3118" s="211" t="str">
        <f>IFERROR(__xludf.DUMMYFUNCTION("""COMPUTED_VALUE"""),"IN")</f>
        <v>IN</v>
      </c>
      <c r="X3118" s="211"/>
    </row>
    <row r="3119">
      <c r="A3119" s="210" t="str">
        <f>IFERROR(__xludf.DUMMYFUNCTION("""COMPUTED_VALUE"""),"1261062")</f>
        <v>1261062</v>
      </c>
      <c r="B3119" s="210" t="str">
        <f>IFERROR(__xludf.DUMMYFUNCTION("""COMPUTED_VALUE"""),"1261062")</f>
        <v>1261062</v>
      </c>
      <c r="C3119" s="213">
        <f>IFERROR(__xludf.DUMMYFUNCTION("""COMPUTED_VALUE"""),46028.602430555555)</f>
        <v>46028.60243</v>
      </c>
      <c r="D3119" s="211" t="str">
        <f>IFERROR(__xludf.DUMMYFUNCTION("""COMPUTED_VALUE"""),"b89c20a1")</f>
        <v>b89c20a1</v>
      </c>
      <c r="E3119" s="211" t="str">
        <f>IFERROR(__xludf.DUMMYFUNCTION("""COMPUTED_VALUE"""),"Harini dini")</f>
        <v>Harini dini</v>
      </c>
      <c r="F3119" s="211" t="str">
        <f>IFERROR(__xludf.DUMMYFUNCTION("""COMPUTED_VALUE"""),"2690846b")</f>
        <v>2690846b</v>
      </c>
      <c r="G3119" s="211" t="str">
        <f>IFERROR(__xludf.DUMMYFUNCTION("""COMPUTED_VALUE"""),"Oksigen 1m3 MR")</f>
        <v>Oksigen 1m3 MR</v>
      </c>
      <c r="H3119" s="211" t="str">
        <f>IFERROR(__xludf.DUMMYFUNCTION("""COMPUTED_VALUE"""),"IN")</f>
        <v>IN</v>
      </c>
      <c r="I3119" s="211" t="str">
        <f>IFERROR(__xludf.DUMMYFUNCTION("""COMPUTED_VALUE"""),"EMPTY")</f>
        <v>EMPTY</v>
      </c>
      <c r="J3119" s="211">
        <f>IFERROR(__xludf.DUMMYFUNCTION("""COMPUTED_VALUE"""),1.0)</f>
        <v>1</v>
      </c>
      <c r="K3119" s="210" t="str">
        <f>IFERROR(__xludf.DUMMYFUNCTION("""COMPUTED_VALUE"""),"01")</f>
        <v>01</v>
      </c>
      <c r="L3119" s="211">
        <f>IFERROR(__xludf.DUMMYFUNCTION("""COMPUTED_VALUE"""),0.0)</f>
        <v>0</v>
      </c>
      <c r="M3119" s="211"/>
      <c r="N3119" s="211"/>
      <c r="O3119" s="211"/>
      <c r="Q3119" s="210" t="str">
        <f>IFERROR(__xludf.DUMMYFUNCTION("""COMPUTED_VALUE"""),"1261558")</f>
        <v>1261558</v>
      </c>
      <c r="R3119" s="210" t="str">
        <f>IFERROR(__xludf.DUMMYFUNCTION("""COMPUTED_VALUE"""),"1261558")</f>
        <v>1261558</v>
      </c>
      <c r="S3119" s="211" t="str">
        <f>IFERROR(__xludf.DUMMYFUNCTION("""COMPUTED_VALUE"""),"a0f0ad2d")</f>
        <v>a0f0ad2d</v>
      </c>
      <c r="T3119" s="211" t="str">
        <f>IFERROR(__xludf.DUMMYFUNCTION("""COMPUTED_VALUE"""),"CV. Yulie Jaya")</f>
        <v>CV. Yulie Jaya</v>
      </c>
      <c r="U3119" s="215">
        <f>IFERROR(__xludf.DUMMYFUNCTION("""COMPUTED_VALUE"""),46129.47087962963)</f>
        <v>46129.47088</v>
      </c>
      <c r="V3119" s="211" t="str">
        <f>IFERROR(__xludf.DUMMYFUNCTION("""COMPUTED_VALUE"""),"JJH4+6RV, Badas, Barengkrajan, Kec. Krian, Kabupaten Sidoarjo, Jawa Timur 61262")</f>
        <v>JJH4+6RV, Badas, Barengkrajan, Kec. Krian, Kabupaten Sidoarjo, Jawa Timur 61262</v>
      </c>
      <c r="W3119" s="211" t="str">
        <f>IFERROR(__xludf.DUMMYFUNCTION("""COMPUTED_VALUE"""),"IN")</f>
        <v>IN</v>
      </c>
      <c r="X3119" s="211"/>
    </row>
    <row r="3120">
      <c r="A3120" s="210" t="str">
        <f>IFERROR(__xludf.DUMMYFUNCTION("""COMPUTED_VALUE"""),"012632173")</f>
        <v>012632173</v>
      </c>
      <c r="B3120" s="210" t="str">
        <f>IFERROR(__xludf.DUMMYFUNCTION("""COMPUTED_VALUE"""),"012632173")</f>
        <v>012632173</v>
      </c>
      <c r="C3120" s="213">
        <f>IFERROR(__xludf.DUMMYFUNCTION("""COMPUTED_VALUE"""),46029.373773148145)</f>
        <v>46029.37377</v>
      </c>
      <c r="D3120" s="211" t="str">
        <f>IFERROR(__xludf.DUMMYFUNCTION("""COMPUTED_VALUE"""),"58b72e0c")</f>
        <v>58b72e0c</v>
      </c>
      <c r="E3120" s="211" t="str">
        <f>IFERROR(__xludf.DUMMYFUNCTION("""COMPUTED_VALUE"""),"UD. Ais Jaya")</f>
        <v>UD. Ais Jaya</v>
      </c>
      <c r="F3120" s="211" t="str">
        <f>IFERROR(__xludf.DUMMYFUNCTION("""COMPUTED_VALUE"""),"8bdbe149")</f>
        <v>8bdbe149</v>
      </c>
      <c r="G3120" s="211" t="str">
        <f>IFERROR(__xludf.DUMMYFUNCTION("""COMPUTED_VALUE"""),"Oksigen 6m3")</f>
        <v>Oksigen 6m3</v>
      </c>
      <c r="H3120" s="211" t="str">
        <f>IFERROR(__xludf.DUMMYFUNCTION("""COMPUTED_VALUE"""),"OUT")</f>
        <v>OUT</v>
      </c>
      <c r="I3120" s="211" t="str">
        <f>IFERROR(__xludf.DUMMYFUNCTION("""COMPUTED_VALUE"""),"NORMAL")</f>
        <v>NORMAL</v>
      </c>
      <c r="J3120" s="211">
        <f>IFERROR(__xludf.DUMMYFUNCTION("""COMPUTED_VALUE"""),2.0)</f>
        <v>2</v>
      </c>
      <c r="K3120" s="210" t="str">
        <f>IFERROR(__xludf.DUMMYFUNCTION("""COMPUTED_VALUE"""),"11320 11321")</f>
        <v>11320 11321</v>
      </c>
      <c r="L3120" s="211">
        <f>IFERROR(__xludf.DUMMYFUNCTION("""COMPUTED_VALUE"""),60000.0)</f>
        <v>60000</v>
      </c>
      <c r="M3120" s="211"/>
      <c r="N3120" s="211"/>
      <c r="O3120" s="211"/>
      <c r="Q3120" s="210" t="str">
        <f>IFERROR(__xludf.DUMMYFUNCTION("""COMPUTED_VALUE"""),"1261555")</f>
        <v>1261555</v>
      </c>
      <c r="R3120" s="210" t="str">
        <f>IFERROR(__xludf.DUMMYFUNCTION("""COMPUTED_VALUE"""),"1261555")</f>
        <v>1261555</v>
      </c>
      <c r="S3120" s="211" t="str">
        <f>IFERROR(__xludf.DUMMYFUNCTION("""COMPUTED_VALUE"""),"63fc688a")</f>
        <v>63fc688a</v>
      </c>
      <c r="T3120" s="211" t="str">
        <f>IFERROR(__xludf.DUMMYFUNCTION("""COMPUTED_VALUE"""),"CV Malik Nusantara")</f>
        <v>CV Malik Nusantara</v>
      </c>
      <c r="U3120" s="215">
        <f>IFERROR(__xludf.DUMMYFUNCTION("""COMPUTED_VALUE"""),46129.47119212963)</f>
        <v>46129.47119</v>
      </c>
      <c r="V3120" s="211" t="str">
        <f>IFERROR(__xludf.DUMMYFUNCTION("""COMPUTED_VALUE"""),"Jl. Raya Balongbendo No.12, Suwaluh Utara, Suwaluh, Kec. BalongBendo, Kabupaten Sidoarjo, Jawa Timur 61263")</f>
        <v>Jl. Raya Balongbendo No.12, Suwaluh Utara, Suwaluh, Kec. BalongBendo, Kabupaten Sidoarjo, Jawa Timur 61263</v>
      </c>
      <c r="W3120" s="211" t="str">
        <f>IFERROR(__xludf.DUMMYFUNCTION("""COMPUTED_VALUE"""),"IN")</f>
        <v>IN</v>
      </c>
      <c r="X3120" s="211"/>
    </row>
    <row r="3121">
      <c r="A3121" s="210" t="str">
        <f>IFERROR(__xludf.DUMMYFUNCTION("""COMPUTED_VALUE"""),"0126672178")</f>
        <v>0126672178</v>
      </c>
      <c r="B3121" s="210" t="str">
        <f>IFERROR(__xludf.DUMMYFUNCTION("""COMPUTED_VALUE"""),"0126672178")</f>
        <v>0126672178</v>
      </c>
      <c r="C3121" s="213">
        <f>IFERROR(__xludf.DUMMYFUNCTION("""COMPUTED_VALUE"""),46029.37482638889)</f>
        <v>46029.37483</v>
      </c>
      <c r="D3121" s="211" t="str">
        <f>IFERROR(__xludf.DUMMYFUNCTION("""COMPUTED_VALUE"""),"b2b5f2c5")</f>
        <v>b2b5f2c5</v>
      </c>
      <c r="E3121" s="211" t="str">
        <f>IFERROR(__xludf.DUMMYFUNCTION("""COMPUTED_VALUE"""),"Bengkel Las Bpk. Ari")</f>
        <v>Bengkel Las Bpk. Ari</v>
      </c>
      <c r="F3121" s="211" t="str">
        <f>IFERROR(__xludf.DUMMYFUNCTION("""COMPUTED_VALUE"""),"ef306e54")</f>
        <v>ef306e54</v>
      </c>
      <c r="G3121" s="211" t="str">
        <f>IFERROR(__xludf.DUMMYFUNCTION("""COMPUTED_VALUE"""),"Karbondioksida")</f>
        <v>Karbondioksida</v>
      </c>
      <c r="H3121" s="211" t="str">
        <f>IFERROR(__xludf.DUMMYFUNCTION("""COMPUTED_VALUE"""),"OUT")</f>
        <v>OUT</v>
      </c>
      <c r="I3121" s="211" t="str">
        <f>IFERROR(__xludf.DUMMYFUNCTION("""COMPUTED_VALUE"""),"NORMAL")</f>
        <v>NORMAL</v>
      </c>
      <c r="J3121" s="211">
        <f>IFERROR(__xludf.DUMMYFUNCTION("""COMPUTED_VALUE"""),5.0)</f>
        <v>5</v>
      </c>
      <c r="K3121" s="210" t="str">
        <f>IFERROR(__xludf.DUMMYFUNCTION("""COMPUTED_VALUE"""),"13017 13046 13023 13049 13035")</f>
        <v>13017 13046 13023 13049 13035</v>
      </c>
      <c r="L3121" s="211">
        <f>IFERROR(__xludf.DUMMYFUNCTION("""COMPUTED_VALUE"""),180000.0)</f>
        <v>180000</v>
      </c>
      <c r="M3121" s="211"/>
      <c r="N3121" s="211"/>
      <c r="O3121" s="211"/>
      <c r="Q3121" s="210" t="str">
        <f>IFERROR(__xludf.DUMMYFUNCTION("""COMPUTED_VALUE"""),"04261063117")</f>
        <v>04261063117</v>
      </c>
      <c r="R3121" s="210" t="str">
        <f>IFERROR(__xludf.DUMMYFUNCTION("""COMPUTED_VALUE"""),"04261063117")</f>
        <v>04261063117</v>
      </c>
      <c r="S3121" s="211" t="str">
        <f>IFERROR(__xludf.DUMMYFUNCTION("""COMPUTED_VALUE"""),"b2b5f2c5")</f>
        <v>b2b5f2c5</v>
      </c>
      <c r="T3121" s="211" t="str">
        <f>IFERROR(__xludf.DUMMYFUNCTION("""COMPUTED_VALUE"""),"Bengkel Las Bpk. Ari")</f>
        <v>Bengkel Las Bpk. Ari</v>
      </c>
      <c r="U3121" s="215">
        <f>IFERROR(__xludf.DUMMYFUNCTION("""COMPUTED_VALUE"""),46129.51082175926)</f>
        <v>46129.51082</v>
      </c>
      <c r="V3121" s="211" t="str">
        <f>IFERROR(__xludf.DUMMYFUNCTION("""COMPUTED_VALUE"""),"Sumber Kembar, Wonodadi, Kec. Kutorejo, Kabupaten Mojokerto, Jawa Timur")</f>
        <v>Sumber Kembar, Wonodadi, Kec. Kutorejo, Kabupaten Mojokerto, Jawa Timur</v>
      </c>
      <c r="W3121" s="211" t="str">
        <f>IFERROR(__xludf.DUMMYFUNCTION("""COMPUTED_VALUE"""),"OUT")</f>
        <v>OUT</v>
      </c>
      <c r="X3121" s="211"/>
    </row>
    <row r="3122">
      <c r="A3122" s="210" t="str">
        <f>IFERROR(__xludf.DUMMYFUNCTION("""COMPUTED_VALUE"""),"0126672178")</f>
        <v>0126672178</v>
      </c>
      <c r="B3122" s="210" t="str">
        <f>IFERROR(__xludf.DUMMYFUNCTION("""COMPUTED_VALUE"""),"0126672178")</f>
        <v>0126672178</v>
      </c>
      <c r="C3122" s="213">
        <f>IFERROR(__xludf.DUMMYFUNCTION("""COMPUTED_VALUE"""),46029.37482638889)</f>
        <v>46029.37483</v>
      </c>
      <c r="D3122" s="211" t="str">
        <f>IFERROR(__xludf.DUMMYFUNCTION("""COMPUTED_VALUE"""),"b2b5f2c5")</f>
        <v>b2b5f2c5</v>
      </c>
      <c r="E3122" s="211" t="str">
        <f>IFERROR(__xludf.DUMMYFUNCTION("""COMPUTED_VALUE"""),"Bengkel Las Bpk. Ari")</f>
        <v>Bengkel Las Bpk. Ari</v>
      </c>
      <c r="F3122" s="211" t="str">
        <f>IFERROR(__xludf.DUMMYFUNCTION("""COMPUTED_VALUE"""),"8bdbe149")</f>
        <v>8bdbe149</v>
      </c>
      <c r="G3122" s="211" t="str">
        <f>IFERROR(__xludf.DUMMYFUNCTION("""COMPUTED_VALUE"""),"Oksigen 6m3")</f>
        <v>Oksigen 6m3</v>
      </c>
      <c r="H3122" s="211" t="str">
        <f>IFERROR(__xludf.DUMMYFUNCTION("""COMPUTED_VALUE"""),"OUT")</f>
        <v>OUT</v>
      </c>
      <c r="I3122" s="211" t="str">
        <f>IFERROR(__xludf.DUMMYFUNCTION("""COMPUTED_VALUE"""),"NORMAL")</f>
        <v>NORMAL</v>
      </c>
      <c r="J3122" s="211">
        <f>IFERROR(__xludf.DUMMYFUNCTION("""COMPUTED_VALUE"""),5.0)</f>
        <v>5</v>
      </c>
      <c r="K3122" s="210" t="str">
        <f>IFERROR(__xludf.DUMMYFUNCTION("""COMPUTED_VALUE"""),"1168 1181 1115 11198 11255")</f>
        <v>1168 1181 1115 11198 11255</v>
      </c>
      <c r="L3122" s="211">
        <f>IFERROR(__xludf.DUMMYFUNCTION("""COMPUTED_VALUE"""),60000.0)</f>
        <v>60000</v>
      </c>
      <c r="M3122" s="211"/>
      <c r="N3122" s="211"/>
      <c r="O3122" s="211"/>
    </row>
    <row r="3123">
      <c r="A3123" s="210" t="str">
        <f>IFERROR(__xludf.DUMMYFUNCTION("""COMPUTED_VALUE"""),"012682179")</f>
        <v>012682179</v>
      </c>
      <c r="B3123" s="210" t="str">
        <f>IFERROR(__xludf.DUMMYFUNCTION("""COMPUTED_VALUE"""),"012682179")</f>
        <v>012682179</v>
      </c>
      <c r="C3123" s="213">
        <f>IFERROR(__xludf.DUMMYFUNCTION("""COMPUTED_VALUE"""),46029.61452546297)</f>
        <v>46029.61453</v>
      </c>
      <c r="D3123" s="211" t="str">
        <f>IFERROR(__xludf.DUMMYFUNCTION("""COMPUTED_VALUE"""),"17a8e612")</f>
        <v>17a8e612</v>
      </c>
      <c r="E3123" s="211" t="str">
        <f>IFERROR(__xludf.DUMMYFUNCTION("""COMPUTED_VALUE"""),"Flashtech Machinery")</f>
        <v>Flashtech Machinery</v>
      </c>
      <c r="F3123" s="211" t="str">
        <f>IFERROR(__xludf.DUMMYFUNCTION("""COMPUTED_VALUE"""),"66af7c72")</f>
        <v>66af7c72</v>
      </c>
      <c r="G3123" s="211" t="str">
        <f>IFERROR(__xludf.DUMMYFUNCTION("""COMPUTED_VALUE"""),"Argon 6m3")</f>
        <v>Argon 6m3</v>
      </c>
      <c r="H3123" s="211" t="str">
        <f>IFERROR(__xludf.DUMMYFUNCTION("""COMPUTED_VALUE"""),"OUT")</f>
        <v>OUT</v>
      </c>
      <c r="I3123" s="211" t="str">
        <f>IFERROR(__xludf.DUMMYFUNCTION("""COMPUTED_VALUE"""),"NORMAL")</f>
        <v>NORMAL</v>
      </c>
      <c r="J3123" s="211">
        <f>IFERROR(__xludf.DUMMYFUNCTION("""COMPUTED_VALUE"""),2.0)</f>
        <v>2</v>
      </c>
      <c r="K3123" s="210" t="str">
        <f>IFERROR(__xludf.DUMMYFUNCTION("""COMPUTED_VALUE"""),"12023 12045")</f>
        <v>12023 12045</v>
      </c>
      <c r="L3123" s="211">
        <f>IFERROR(__xludf.DUMMYFUNCTION("""COMPUTED_VALUE"""),210000.0)</f>
        <v>210000</v>
      </c>
      <c r="M3123" s="211"/>
      <c r="N3123" s="211"/>
      <c r="O3123" s="211"/>
    </row>
    <row r="3124">
      <c r="A3124" s="210" t="str">
        <f>IFERROR(__xludf.DUMMYFUNCTION("""COMPUTED_VALUE"""),"012692180")</f>
        <v>012692180</v>
      </c>
      <c r="B3124" s="210" t="str">
        <f>IFERROR(__xludf.DUMMYFUNCTION("""COMPUTED_VALUE"""),"012692180")</f>
        <v>012692180</v>
      </c>
      <c r="C3124" s="213">
        <f>IFERROR(__xludf.DUMMYFUNCTION("""COMPUTED_VALUE"""),46030.34722222222)</f>
        <v>46030.34722</v>
      </c>
      <c r="D3124" s="211" t="str">
        <f>IFERROR(__xludf.DUMMYFUNCTION("""COMPUTED_VALUE"""),"f8a982a4")</f>
        <v>f8a982a4</v>
      </c>
      <c r="E3124" s="211" t="str">
        <f>IFERROR(__xludf.DUMMYFUNCTION("""COMPUTED_VALUE"""),"Bpk. Nasir")</f>
        <v>Bpk. Nasir</v>
      </c>
      <c r="F3124" s="211" t="str">
        <f>IFERROR(__xludf.DUMMYFUNCTION("""COMPUTED_VALUE"""),"7d2764f1")</f>
        <v>7d2764f1</v>
      </c>
      <c r="G3124" s="211" t="str">
        <f>IFERROR(__xludf.DUMMYFUNCTION("""COMPUTED_VALUE"""),"Oksigen 7m3")</f>
        <v>Oksigen 7m3</v>
      </c>
      <c r="H3124" s="211" t="str">
        <f>IFERROR(__xludf.DUMMYFUNCTION("""COMPUTED_VALUE"""),"OUT")</f>
        <v>OUT</v>
      </c>
      <c r="I3124" s="211" t="str">
        <f>IFERROR(__xludf.DUMMYFUNCTION("""COMPUTED_VALUE"""),"NORMAL")</f>
        <v>NORMAL</v>
      </c>
      <c r="J3124" s="211">
        <f>IFERROR(__xludf.DUMMYFUNCTION("""COMPUTED_VALUE"""),5.0)</f>
        <v>5</v>
      </c>
      <c r="K3124" s="210" t="str">
        <f>IFERROR(__xludf.DUMMYFUNCTION("""COMPUTED_VALUE"""),"11301 11219 11300 11155 11167")</f>
        <v>11301 11219 11300 11155 11167</v>
      </c>
      <c r="L3124" s="211">
        <f>IFERROR(__xludf.DUMMYFUNCTION("""COMPUTED_VALUE"""),70000.0)</f>
        <v>70000</v>
      </c>
      <c r="M3124" s="211"/>
      <c r="N3124" s="211"/>
      <c r="O3124" s="211"/>
    </row>
    <row r="3125">
      <c r="A3125" s="210" t="str">
        <f>IFERROR(__xludf.DUMMYFUNCTION("""COMPUTED_VALUE"""),"1261066")</f>
        <v>1261066</v>
      </c>
      <c r="B3125" s="210" t="str">
        <f>IFERROR(__xludf.DUMMYFUNCTION("""COMPUTED_VALUE"""),"1261066")</f>
        <v>1261066</v>
      </c>
      <c r="C3125" s="213">
        <f>IFERROR(__xludf.DUMMYFUNCTION("""COMPUTED_VALUE"""),46030.36450231481)</f>
        <v>46030.3645</v>
      </c>
      <c r="D3125" s="211" t="str">
        <f>IFERROR(__xludf.DUMMYFUNCTION("""COMPUTED_VALUE"""),"f8a982a4")</f>
        <v>f8a982a4</v>
      </c>
      <c r="E3125" s="211" t="str">
        <f>IFERROR(__xludf.DUMMYFUNCTION("""COMPUTED_VALUE"""),"Bpk. Nasir")</f>
        <v>Bpk. Nasir</v>
      </c>
      <c r="F3125" s="211" t="str">
        <f>IFERROR(__xludf.DUMMYFUNCTION("""COMPUTED_VALUE"""),"8bdbe149")</f>
        <v>8bdbe149</v>
      </c>
      <c r="G3125" s="211" t="str">
        <f>IFERROR(__xludf.DUMMYFUNCTION("""COMPUTED_VALUE"""),"Oksigen 6m3")</f>
        <v>Oksigen 6m3</v>
      </c>
      <c r="H3125" s="211" t="str">
        <f>IFERROR(__xludf.DUMMYFUNCTION("""COMPUTED_VALUE"""),"IN")</f>
        <v>IN</v>
      </c>
      <c r="I3125" s="211" t="str">
        <f>IFERROR(__xludf.DUMMYFUNCTION("""COMPUTED_VALUE"""),"EMPTY")</f>
        <v>EMPTY</v>
      </c>
      <c r="J3125" s="211">
        <f>IFERROR(__xludf.DUMMYFUNCTION("""COMPUTED_VALUE"""),2.0)</f>
        <v>2</v>
      </c>
      <c r="K3125" s="210" t="str">
        <f>IFERROR(__xludf.DUMMYFUNCTION("""COMPUTED_VALUE"""),"1183 11185")</f>
        <v>1183 11185</v>
      </c>
      <c r="L3125" s="211">
        <f>IFERROR(__xludf.DUMMYFUNCTION("""COMPUTED_VALUE"""),0.0)</f>
        <v>0</v>
      </c>
      <c r="M3125" s="211"/>
      <c r="N3125" s="211"/>
      <c r="O3125" s="211"/>
    </row>
    <row r="3126">
      <c r="A3126" s="210" t="str">
        <f>IFERROR(__xludf.DUMMYFUNCTION("""COMPUTED_VALUE"""),"1261065")</f>
        <v>1261065</v>
      </c>
      <c r="B3126" s="210" t="str">
        <f>IFERROR(__xludf.DUMMYFUNCTION("""COMPUTED_VALUE"""),"1261065")</f>
        <v>1261065</v>
      </c>
      <c r="C3126" s="213">
        <f>IFERROR(__xludf.DUMMYFUNCTION("""COMPUTED_VALUE"""),46030.365439814814)</f>
        <v>46030.36544</v>
      </c>
      <c r="D3126" s="211" t="str">
        <f>IFERROR(__xludf.DUMMYFUNCTION("""COMPUTED_VALUE"""),"17a8e612")</f>
        <v>17a8e612</v>
      </c>
      <c r="E3126" s="211" t="str">
        <f>IFERROR(__xludf.DUMMYFUNCTION("""COMPUTED_VALUE"""),"Flashtech Machinery")</f>
        <v>Flashtech Machinery</v>
      </c>
      <c r="F3126" s="211" t="str">
        <f>IFERROR(__xludf.DUMMYFUNCTION("""COMPUTED_VALUE"""),"8bdbe149")</f>
        <v>8bdbe149</v>
      </c>
      <c r="G3126" s="211" t="str">
        <f>IFERROR(__xludf.DUMMYFUNCTION("""COMPUTED_VALUE"""),"Oksigen 6m3")</f>
        <v>Oksigen 6m3</v>
      </c>
      <c r="H3126" s="211" t="str">
        <f>IFERROR(__xludf.DUMMYFUNCTION("""COMPUTED_VALUE"""),"IN")</f>
        <v>IN</v>
      </c>
      <c r="I3126" s="211" t="str">
        <f>IFERROR(__xludf.DUMMYFUNCTION("""COMPUTED_VALUE"""),"EMPTY")</f>
        <v>EMPTY</v>
      </c>
      <c r="J3126" s="211">
        <f>IFERROR(__xludf.DUMMYFUNCTION("""COMPUTED_VALUE"""),1.0)</f>
        <v>1</v>
      </c>
      <c r="K3126" s="210" t="str">
        <f>IFERROR(__xludf.DUMMYFUNCTION("""COMPUTED_VALUE"""),"1134")</f>
        <v>1134</v>
      </c>
      <c r="L3126" s="211">
        <f>IFERROR(__xludf.DUMMYFUNCTION("""COMPUTED_VALUE"""),0.0)</f>
        <v>0</v>
      </c>
      <c r="M3126" s="211"/>
      <c r="N3126" s="211"/>
      <c r="O3126" s="211"/>
    </row>
    <row r="3127">
      <c r="A3127" s="210" t="str">
        <f>IFERROR(__xludf.DUMMYFUNCTION("""COMPUTED_VALUE"""),"1261065")</f>
        <v>1261065</v>
      </c>
      <c r="B3127" s="210" t="str">
        <f>IFERROR(__xludf.DUMMYFUNCTION("""COMPUTED_VALUE"""),"1261065")</f>
        <v>1261065</v>
      </c>
      <c r="C3127" s="213">
        <f>IFERROR(__xludf.DUMMYFUNCTION("""COMPUTED_VALUE"""),46030.365439814814)</f>
        <v>46030.36544</v>
      </c>
      <c r="D3127" s="211" t="str">
        <f>IFERROR(__xludf.DUMMYFUNCTION("""COMPUTED_VALUE"""),"17a8e612")</f>
        <v>17a8e612</v>
      </c>
      <c r="E3127" s="211" t="str">
        <f>IFERROR(__xludf.DUMMYFUNCTION("""COMPUTED_VALUE"""),"Flashtech Machinery")</f>
        <v>Flashtech Machinery</v>
      </c>
      <c r="F3127" s="211" t="str">
        <f>IFERROR(__xludf.DUMMYFUNCTION("""COMPUTED_VALUE"""),"66af7c72")</f>
        <v>66af7c72</v>
      </c>
      <c r="G3127" s="211" t="str">
        <f>IFERROR(__xludf.DUMMYFUNCTION("""COMPUTED_VALUE"""),"Argon 6m3")</f>
        <v>Argon 6m3</v>
      </c>
      <c r="H3127" s="211" t="str">
        <f>IFERROR(__xludf.DUMMYFUNCTION("""COMPUTED_VALUE"""),"IN")</f>
        <v>IN</v>
      </c>
      <c r="I3127" s="211" t="str">
        <f>IFERROR(__xludf.DUMMYFUNCTION("""COMPUTED_VALUE"""),"EMPTY")</f>
        <v>EMPTY</v>
      </c>
      <c r="J3127" s="211">
        <f>IFERROR(__xludf.DUMMYFUNCTION("""COMPUTED_VALUE"""),1.0)</f>
        <v>1</v>
      </c>
      <c r="K3127" s="210" t="str">
        <f>IFERROR(__xludf.DUMMYFUNCTION("""COMPUTED_VALUE"""),"12050")</f>
        <v>12050</v>
      </c>
      <c r="L3127" s="211">
        <f>IFERROR(__xludf.DUMMYFUNCTION("""COMPUTED_VALUE"""),0.0)</f>
        <v>0</v>
      </c>
      <c r="M3127" s="211"/>
      <c r="N3127" s="211"/>
      <c r="O3127" s="211"/>
    </row>
    <row r="3128">
      <c r="A3128" s="210" t="str">
        <f>IFERROR(__xludf.DUMMYFUNCTION("""COMPUTED_VALUE"""),"1261063")</f>
        <v>1261063</v>
      </c>
      <c r="B3128" s="210" t="str">
        <f>IFERROR(__xludf.DUMMYFUNCTION("""COMPUTED_VALUE"""),"1261063")</f>
        <v>1261063</v>
      </c>
      <c r="C3128" s="213">
        <f>IFERROR(__xludf.DUMMYFUNCTION("""COMPUTED_VALUE"""),46030.371296296296)</f>
        <v>46030.3713</v>
      </c>
      <c r="D3128" s="211" t="str">
        <f>IFERROR(__xludf.DUMMYFUNCTION("""COMPUTED_VALUE"""),"58b72e0c")</f>
        <v>58b72e0c</v>
      </c>
      <c r="E3128" s="211" t="str">
        <f>IFERROR(__xludf.DUMMYFUNCTION("""COMPUTED_VALUE"""),"UD. Ais Jaya")</f>
        <v>UD. Ais Jaya</v>
      </c>
      <c r="F3128" s="211" t="str">
        <f>IFERROR(__xludf.DUMMYFUNCTION("""COMPUTED_VALUE"""),"7d2764f1")</f>
        <v>7d2764f1</v>
      </c>
      <c r="G3128" s="211" t="str">
        <f>IFERROR(__xludf.DUMMYFUNCTION("""COMPUTED_VALUE"""),"Oksigen 7m3")</f>
        <v>Oksigen 7m3</v>
      </c>
      <c r="H3128" s="211" t="str">
        <f>IFERROR(__xludf.DUMMYFUNCTION("""COMPUTED_VALUE"""),"IN")</f>
        <v>IN</v>
      </c>
      <c r="I3128" s="211" t="str">
        <f>IFERROR(__xludf.DUMMYFUNCTION("""COMPUTED_VALUE"""),"EMPTY")</f>
        <v>EMPTY</v>
      </c>
      <c r="J3128" s="211">
        <f>IFERROR(__xludf.DUMMYFUNCTION("""COMPUTED_VALUE"""),2.0)</f>
        <v>2</v>
      </c>
      <c r="K3128" s="210" t="str">
        <f>IFERROR(__xludf.DUMMYFUNCTION("""COMPUTED_VALUE"""),"11138 11195")</f>
        <v>11138 11195</v>
      </c>
      <c r="L3128" s="211">
        <f>IFERROR(__xludf.DUMMYFUNCTION("""COMPUTED_VALUE"""),0.0)</f>
        <v>0</v>
      </c>
      <c r="M3128" s="211"/>
      <c r="N3128" s="211"/>
      <c r="O3128" s="211"/>
    </row>
    <row r="3129">
      <c r="A3129" s="210" t="str">
        <f>IFERROR(__xludf.DUMMYFUNCTION("""COMPUTED_VALUE"""),"1261064")</f>
        <v>1261064</v>
      </c>
      <c r="B3129" s="210" t="str">
        <f>IFERROR(__xludf.DUMMYFUNCTION("""COMPUTED_VALUE"""),"1261064")</f>
        <v>1261064</v>
      </c>
      <c r="C3129" s="213">
        <f>IFERROR(__xludf.DUMMYFUNCTION("""COMPUTED_VALUE"""),46030.37184027778)</f>
        <v>46030.37184</v>
      </c>
      <c r="D3129" s="211" t="str">
        <f>IFERROR(__xludf.DUMMYFUNCTION("""COMPUTED_VALUE"""),"b2b5f2c5")</f>
        <v>b2b5f2c5</v>
      </c>
      <c r="E3129" s="211" t="str">
        <f>IFERROR(__xludf.DUMMYFUNCTION("""COMPUTED_VALUE"""),"Bengkel Las Bpk. Ari")</f>
        <v>Bengkel Las Bpk. Ari</v>
      </c>
      <c r="F3129" s="211" t="str">
        <f>IFERROR(__xludf.DUMMYFUNCTION("""COMPUTED_VALUE"""),"ef306e54")</f>
        <v>ef306e54</v>
      </c>
      <c r="G3129" s="211" t="str">
        <f>IFERROR(__xludf.DUMMYFUNCTION("""COMPUTED_VALUE"""),"Karbondioksida")</f>
        <v>Karbondioksida</v>
      </c>
      <c r="H3129" s="211" t="str">
        <f>IFERROR(__xludf.DUMMYFUNCTION("""COMPUTED_VALUE"""),"IN")</f>
        <v>IN</v>
      </c>
      <c r="I3129" s="211" t="str">
        <f>IFERROR(__xludf.DUMMYFUNCTION("""COMPUTED_VALUE"""),"EMPTY")</f>
        <v>EMPTY</v>
      </c>
      <c r="J3129" s="211">
        <f>IFERROR(__xludf.DUMMYFUNCTION("""COMPUTED_VALUE"""),4.0)</f>
        <v>4</v>
      </c>
      <c r="K3129" s="210" t="str">
        <f>IFERROR(__xludf.DUMMYFUNCTION("""COMPUTED_VALUE"""),"13026 13037 13007 13006")</f>
        <v>13026 13037 13007 13006</v>
      </c>
      <c r="L3129" s="211">
        <f>IFERROR(__xludf.DUMMYFUNCTION("""COMPUTED_VALUE"""),0.0)</f>
        <v>0</v>
      </c>
      <c r="M3129" s="211"/>
      <c r="N3129" s="211"/>
      <c r="O3129" s="211"/>
    </row>
    <row r="3130">
      <c r="A3130" s="210" t="str">
        <f>IFERROR(__xludf.DUMMYFUNCTION("""COMPUTED_VALUE"""),"1261064")</f>
        <v>1261064</v>
      </c>
      <c r="B3130" s="210" t="str">
        <f>IFERROR(__xludf.DUMMYFUNCTION("""COMPUTED_VALUE"""),"1261064")</f>
        <v>1261064</v>
      </c>
      <c r="C3130" s="213">
        <f>IFERROR(__xludf.DUMMYFUNCTION("""COMPUTED_VALUE"""),46030.37184027778)</f>
        <v>46030.37184</v>
      </c>
      <c r="D3130" s="211" t="str">
        <f>IFERROR(__xludf.DUMMYFUNCTION("""COMPUTED_VALUE"""),"b2b5f2c5")</f>
        <v>b2b5f2c5</v>
      </c>
      <c r="E3130" s="211" t="str">
        <f>IFERROR(__xludf.DUMMYFUNCTION("""COMPUTED_VALUE"""),"Bengkel Las Bpk. Ari")</f>
        <v>Bengkel Las Bpk. Ari</v>
      </c>
      <c r="F3130" s="211" t="str">
        <f>IFERROR(__xludf.DUMMYFUNCTION("""COMPUTED_VALUE"""),"8bdbe149")</f>
        <v>8bdbe149</v>
      </c>
      <c r="G3130" s="211" t="str">
        <f>IFERROR(__xludf.DUMMYFUNCTION("""COMPUTED_VALUE"""),"Oksigen 6m3")</f>
        <v>Oksigen 6m3</v>
      </c>
      <c r="H3130" s="211" t="str">
        <f>IFERROR(__xludf.DUMMYFUNCTION("""COMPUTED_VALUE"""),"IN")</f>
        <v>IN</v>
      </c>
      <c r="I3130" s="211" t="str">
        <f>IFERROR(__xludf.DUMMYFUNCTION("""COMPUTED_VALUE"""),"EMPTY")</f>
        <v>EMPTY</v>
      </c>
      <c r="J3130" s="211">
        <f>IFERROR(__xludf.DUMMYFUNCTION("""COMPUTED_VALUE"""),10.0)</f>
        <v>10</v>
      </c>
      <c r="K3130" s="210" t="str">
        <f>IFERROR(__xludf.DUMMYFUNCTION("""COMPUTED_VALUE"""),"1152 1164 1139 1169 11200 1131 11274 11289 11202 11248")</f>
        <v>1152 1164 1139 1169 11200 1131 11274 11289 11202 11248</v>
      </c>
      <c r="L3130" s="211">
        <f>IFERROR(__xludf.DUMMYFUNCTION("""COMPUTED_VALUE"""),0.0)</f>
        <v>0</v>
      </c>
      <c r="M3130" s="211"/>
      <c r="N3130" s="211"/>
      <c r="O3130" s="211"/>
    </row>
    <row r="3131">
      <c r="A3131" s="210" t="str">
        <f>IFERROR(__xludf.DUMMYFUNCTION("""COMPUTED_VALUE"""),"1261052")</f>
        <v>1261052</v>
      </c>
      <c r="B3131" s="210" t="str">
        <f>IFERROR(__xludf.DUMMYFUNCTION("""COMPUTED_VALUE"""),"1261052")</f>
        <v>1261052</v>
      </c>
      <c r="C3131" s="213">
        <f>IFERROR(__xludf.DUMMYFUNCTION("""COMPUTED_VALUE"""),46030.3728125)</f>
        <v>46030.37281</v>
      </c>
      <c r="D3131" s="211" t="str">
        <f>IFERROR(__xludf.DUMMYFUNCTION("""COMPUTED_VALUE"""),"ec231cc9")</f>
        <v>ec231cc9</v>
      </c>
      <c r="E3131" s="211" t="str">
        <f>IFERROR(__xludf.DUMMYFUNCTION("""COMPUTED_VALUE"""),"Bpk. Kohir (Maintenance Velg)")</f>
        <v>Bpk. Kohir (Maintenance Velg)</v>
      </c>
      <c r="F3131" s="211" t="str">
        <f>IFERROR(__xludf.DUMMYFUNCTION("""COMPUTED_VALUE"""),"ef306e54")</f>
        <v>ef306e54</v>
      </c>
      <c r="G3131" s="211" t="str">
        <f>IFERROR(__xludf.DUMMYFUNCTION("""COMPUTED_VALUE"""),"Karbondioksida")</f>
        <v>Karbondioksida</v>
      </c>
      <c r="H3131" s="211" t="str">
        <f>IFERROR(__xludf.DUMMYFUNCTION("""COMPUTED_VALUE"""),"IN")</f>
        <v>IN</v>
      </c>
      <c r="I3131" s="211" t="str">
        <f>IFERROR(__xludf.DUMMYFUNCTION("""COMPUTED_VALUE"""),"EMPTY")</f>
        <v>EMPTY</v>
      </c>
      <c r="J3131" s="211">
        <f>IFERROR(__xludf.DUMMYFUNCTION("""COMPUTED_VALUE"""),3.0)</f>
        <v>3</v>
      </c>
      <c r="K3131" s="210" t="str">
        <f>IFERROR(__xludf.DUMMYFUNCTION("""COMPUTED_VALUE"""),"13048 13008 13050")</f>
        <v>13048 13008 13050</v>
      </c>
      <c r="L3131" s="211">
        <f>IFERROR(__xludf.DUMMYFUNCTION("""COMPUTED_VALUE"""),0.0)</f>
        <v>0</v>
      </c>
      <c r="M3131" s="211"/>
      <c r="N3131" s="211"/>
      <c r="O3131" s="211"/>
    </row>
    <row r="3132">
      <c r="A3132" s="210" t="str">
        <f>IFERROR(__xludf.DUMMYFUNCTION("""COMPUTED_VALUE"""),"1261052")</f>
        <v>1261052</v>
      </c>
      <c r="B3132" s="210" t="str">
        <f>IFERROR(__xludf.DUMMYFUNCTION("""COMPUTED_VALUE"""),"1261052")</f>
        <v>1261052</v>
      </c>
      <c r="C3132" s="213">
        <f>IFERROR(__xludf.DUMMYFUNCTION("""COMPUTED_VALUE"""),46030.3728125)</f>
        <v>46030.37281</v>
      </c>
      <c r="D3132" s="211" t="str">
        <f>IFERROR(__xludf.DUMMYFUNCTION("""COMPUTED_VALUE"""),"ec231cc9")</f>
        <v>ec231cc9</v>
      </c>
      <c r="E3132" s="211" t="str">
        <f>IFERROR(__xludf.DUMMYFUNCTION("""COMPUTED_VALUE"""),"Bpk. Kohir (Maintenance Velg)")</f>
        <v>Bpk. Kohir (Maintenance Velg)</v>
      </c>
      <c r="F3132" s="211" t="str">
        <f>IFERROR(__xludf.DUMMYFUNCTION("""COMPUTED_VALUE"""),"8bdbe149")</f>
        <v>8bdbe149</v>
      </c>
      <c r="G3132" s="211" t="str">
        <f>IFERROR(__xludf.DUMMYFUNCTION("""COMPUTED_VALUE"""),"Oksigen 6m3")</f>
        <v>Oksigen 6m3</v>
      </c>
      <c r="H3132" s="211" t="str">
        <f>IFERROR(__xludf.DUMMYFUNCTION("""COMPUTED_VALUE"""),"IN")</f>
        <v>IN</v>
      </c>
      <c r="I3132" s="211" t="str">
        <f>IFERROR(__xludf.DUMMYFUNCTION("""COMPUTED_VALUE"""),"EMPTY")</f>
        <v>EMPTY</v>
      </c>
      <c r="J3132" s="211">
        <f>IFERROR(__xludf.DUMMYFUNCTION("""COMPUTED_VALUE"""),4.0)</f>
        <v>4</v>
      </c>
      <c r="K3132" s="210" t="str">
        <f>IFERROR(__xludf.DUMMYFUNCTION("""COMPUTED_VALUE"""),"1163 11322 11114 1186")</f>
        <v>1163 11322 11114 1186</v>
      </c>
      <c r="L3132" s="211">
        <f>IFERROR(__xludf.DUMMYFUNCTION("""COMPUTED_VALUE"""),0.0)</f>
        <v>0</v>
      </c>
      <c r="M3132" s="211"/>
      <c r="N3132" s="211"/>
      <c r="O3132" s="211"/>
    </row>
    <row r="3133">
      <c r="A3133" s="210" t="str">
        <f>IFERROR(__xludf.DUMMYFUNCTION("""COMPUTED_VALUE"""),"1261051")</f>
        <v>1261051</v>
      </c>
      <c r="B3133" s="210" t="str">
        <f>IFERROR(__xludf.DUMMYFUNCTION("""COMPUTED_VALUE"""),"1261051")</f>
        <v>1261051</v>
      </c>
      <c r="C3133" s="213">
        <f>IFERROR(__xludf.DUMMYFUNCTION("""COMPUTED_VALUE"""),46030.37414351852)</f>
        <v>46030.37414</v>
      </c>
      <c r="D3133" s="211" t="str">
        <f>IFERROR(__xludf.DUMMYFUNCTION("""COMPUTED_VALUE"""),"ca4876e2")</f>
        <v>ca4876e2</v>
      </c>
      <c r="E3133" s="211" t="str">
        <f>IFERROR(__xludf.DUMMYFUNCTION("""COMPUTED_VALUE"""),"Bengkel Mustika Mojosari")</f>
        <v>Bengkel Mustika Mojosari</v>
      </c>
      <c r="F3133" s="211" t="str">
        <f>IFERROR(__xludf.DUMMYFUNCTION("""COMPUTED_VALUE"""),"8bdbe149")</f>
        <v>8bdbe149</v>
      </c>
      <c r="G3133" s="211" t="str">
        <f>IFERROR(__xludf.DUMMYFUNCTION("""COMPUTED_VALUE"""),"Oksigen 6m3")</f>
        <v>Oksigen 6m3</v>
      </c>
      <c r="H3133" s="211" t="str">
        <f>IFERROR(__xludf.DUMMYFUNCTION("""COMPUTED_VALUE"""),"IN")</f>
        <v>IN</v>
      </c>
      <c r="I3133" s="211" t="str">
        <f>IFERROR(__xludf.DUMMYFUNCTION("""COMPUTED_VALUE"""),"EMPTY")</f>
        <v>EMPTY</v>
      </c>
      <c r="J3133" s="211">
        <f>IFERROR(__xludf.DUMMYFUNCTION("""COMPUTED_VALUE"""),2.0)</f>
        <v>2</v>
      </c>
      <c r="K3133" s="210" t="str">
        <f>IFERROR(__xludf.DUMMYFUNCTION("""COMPUTED_VALUE"""),"1106 11109")</f>
        <v>1106 11109</v>
      </c>
      <c r="L3133" s="211">
        <f>IFERROR(__xludf.DUMMYFUNCTION("""COMPUTED_VALUE"""),0.0)</f>
        <v>0</v>
      </c>
      <c r="M3133" s="211"/>
      <c r="N3133" s="211"/>
      <c r="O3133" s="211"/>
    </row>
    <row r="3134">
      <c r="A3134" s="210" t="str">
        <f>IFERROR(__xludf.DUMMYFUNCTION("""COMPUTED_VALUE"""),"0126682181")</f>
        <v>0126682181</v>
      </c>
      <c r="B3134" s="210" t="str">
        <f>IFERROR(__xludf.DUMMYFUNCTION("""COMPUTED_VALUE"""),"0126682181")</f>
        <v>0126682181</v>
      </c>
      <c r="C3134" s="213">
        <f>IFERROR(__xludf.DUMMYFUNCTION("""COMPUTED_VALUE"""),46030.38122685185)</f>
        <v>46030.38123</v>
      </c>
      <c r="D3134" s="211" t="str">
        <f>IFERROR(__xludf.DUMMYFUNCTION("""COMPUTED_VALUE"""),"b2b5f2c5")</f>
        <v>b2b5f2c5</v>
      </c>
      <c r="E3134" s="211" t="str">
        <f>IFERROR(__xludf.DUMMYFUNCTION("""COMPUTED_VALUE"""),"Bengkel Las Bpk. Ari")</f>
        <v>Bengkel Las Bpk. Ari</v>
      </c>
      <c r="F3134" s="211" t="str">
        <f>IFERROR(__xludf.DUMMYFUNCTION("""COMPUTED_VALUE"""),"8bdbe149")</f>
        <v>8bdbe149</v>
      </c>
      <c r="G3134" s="211" t="str">
        <f>IFERROR(__xludf.DUMMYFUNCTION("""COMPUTED_VALUE"""),"Oksigen 6m3")</f>
        <v>Oksigen 6m3</v>
      </c>
      <c r="H3134" s="211" t="str">
        <f>IFERROR(__xludf.DUMMYFUNCTION("""COMPUTED_VALUE"""),"OUT")</f>
        <v>OUT</v>
      </c>
      <c r="I3134" s="211" t="str">
        <f>IFERROR(__xludf.DUMMYFUNCTION("""COMPUTED_VALUE"""),"NORMAL")</f>
        <v>NORMAL</v>
      </c>
      <c r="J3134" s="211">
        <f>IFERROR(__xludf.DUMMYFUNCTION("""COMPUTED_VALUE"""),2.0)</f>
        <v>2</v>
      </c>
      <c r="K3134" s="210" t="str">
        <f>IFERROR(__xludf.DUMMYFUNCTION("""COMPUTED_VALUE"""),"11248 1158")</f>
        <v>11248 1158</v>
      </c>
      <c r="L3134" s="211">
        <f>IFERROR(__xludf.DUMMYFUNCTION("""COMPUTED_VALUE"""),60000.0)</f>
        <v>60000</v>
      </c>
      <c r="M3134" s="211"/>
      <c r="N3134" s="211"/>
      <c r="O3134" s="211"/>
    </row>
    <row r="3135">
      <c r="A3135" s="210" t="str">
        <f>IFERROR(__xludf.DUMMYFUNCTION("""COMPUTED_VALUE"""),"0126682181")</f>
        <v>0126682181</v>
      </c>
      <c r="B3135" s="210" t="str">
        <f>IFERROR(__xludf.DUMMYFUNCTION("""COMPUTED_VALUE"""),"0126682181")</f>
        <v>0126682181</v>
      </c>
      <c r="C3135" s="213">
        <f>IFERROR(__xludf.DUMMYFUNCTION("""COMPUTED_VALUE"""),46030.38122685185)</f>
        <v>46030.38123</v>
      </c>
      <c r="D3135" s="211" t="str">
        <f>IFERROR(__xludf.DUMMYFUNCTION("""COMPUTED_VALUE"""),"b2b5f2c5")</f>
        <v>b2b5f2c5</v>
      </c>
      <c r="E3135" s="211" t="str">
        <f>IFERROR(__xludf.DUMMYFUNCTION("""COMPUTED_VALUE"""),"Bengkel Las Bpk. Ari")</f>
        <v>Bengkel Las Bpk. Ari</v>
      </c>
      <c r="F3135" s="211" t="str">
        <f>IFERROR(__xludf.DUMMYFUNCTION("""COMPUTED_VALUE"""),"ef306e54")</f>
        <v>ef306e54</v>
      </c>
      <c r="G3135" s="211" t="str">
        <f>IFERROR(__xludf.DUMMYFUNCTION("""COMPUTED_VALUE"""),"Karbondioksida")</f>
        <v>Karbondioksida</v>
      </c>
      <c r="H3135" s="211" t="str">
        <f>IFERROR(__xludf.DUMMYFUNCTION("""COMPUTED_VALUE"""),"OUT")</f>
        <v>OUT</v>
      </c>
      <c r="I3135" s="211" t="str">
        <f>IFERROR(__xludf.DUMMYFUNCTION("""COMPUTED_VALUE"""),"NORMAL")</f>
        <v>NORMAL</v>
      </c>
      <c r="J3135" s="211">
        <f>IFERROR(__xludf.DUMMYFUNCTION("""COMPUTED_VALUE"""),3.0)</f>
        <v>3</v>
      </c>
      <c r="K3135" s="210" t="str">
        <f>IFERROR(__xludf.DUMMYFUNCTION("""COMPUTED_VALUE"""),"13020 13018 13025")</f>
        <v>13020 13018 13025</v>
      </c>
      <c r="L3135" s="211">
        <f>IFERROR(__xludf.DUMMYFUNCTION("""COMPUTED_VALUE"""),180000.0)</f>
        <v>180000</v>
      </c>
      <c r="M3135" s="211"/>
      <c r="N3135" s="211"/>
      <c r="O3135" s="211"/>
    </row>
    <row r="3136">
      <c r="A3136" s="210" t="str">
        <f>IFERROR(__xludf.DUMMYFUNCTION("""COMPUTED_VALUE"""),"0126122188")</f>
        <v>0126122188</v>
      </c>
      <c r="B3136" s="210" t="str">
        <f>IFERROR(__xludf.DUMMYFUNCTION("""COMPUTED_VALUE"""),"0126122188")</f>
        <v>0126122188</v>
      </c>
      <c r="C3136" s="213">
        <f>IFERROR(__xludf.DUMMYFUNCTION("""COMPUTED_VALUE"""),46030.381875)</f>
        <v>46030.38188</v>
      </c>
      <c r="D3136" s="211" t="str">
        <f>IFERROR(__xludf.DUMMYFUNCTION("""COMPUTED_VALUE"""),"eec2e801")</f>
        <v>eec2e801</v>
      </c>
      <c r="E3136" s="211" t="str">
        <f>IFERROR(__xludf.DUMMYFUNCTION("""COMPUTED_VALUE"""),"Mitra Wood Sejahtera")</f>
        <v>Mitra Wood Sejahtera</v>
      </c>
      <c r="F3136" s="211" t="str">
        <f>IFERROR(__xludf.DUMMYFUNCTION("""COMPUTED_VALUE"""),"8bdbe149")</f>
        <v>8bdbe149</v>
      </c>
      <c r="G3136" s="211" t="str">
        <f>IFERROR(__xludf.DUMMYFUNCTION("""COMPUTED_VALUE"""),"Oksigen 6m3")</f>
        <v>Oksigen 6m3</v>
      </c>
      <c r="H3136" s="211" t="str">
        <f>IFERROR(__xludf.DUMMYFUNCTION("""COMPUTED_VALUE"""),"OUT")</f>
        <v>OUT</v>
      </c>
      <c r="I3136" s="211" t="str">
        <f>IFERROR(__xludf.DUMMYFUNCTION("""COMPUTED_VALUE"""),"NORMAL")</f>
        <v>NORMAL</v>
      </c>
      <c r="J3136" s="211">
        <f>IFERROR(__xludf.DUMMYFUNCTION("""COMPUTED_VALUE"""),6.0)</f>
        <v>6</v>
      </c>
      <c r="K3136" s="210" t="str">
        <f>IFERROR(__xludf.DUMMYFUNCTION("""COMPUTED_VALUE"""),"1157 1164 11229 11231 1137 1170")</f>
        <v>1157 1164 11229 11231 1137 1170</v>
      </c>
      <c r="L3136" s="211">
        <f>IFERROR(__xludf.DUMMYFUNCTION("""COMPUTED_VALUE"""),55000.0)</f>
        <v>55000</v>
      </c>
      <c r="M3136" s="211"/>
      <c r="N3136" s="211"/>
      <c r="O3136" s="211"/>
    </row>
    <row r="3137">
      <c r="A3137" s="210" t="str">
        <f>IFERROR(__xludf.DUMMYFUNCTION("""COMPUTED_VALUE"""),"0126352189")</f>
        <v>0126352189</v>
      </c>
      <c r="B3137" s="210" t="str">
        <f>IFERROR(__xludf.DUMMYFUNCTION("""COMPUTED_VALUE"""),"0126352189")</f>
        <v>0126352189</v>
      </c>
      <c r="C3137" s="213">
        <f>IFERROR(__xludf.DUMMYFUNCTION("""COMPUTED_VALUE"""),46030.50670138889)</f>
        <v>46030.5067</v>
      </c>
      <c r="D3137" s="211" t="str">
        <f>IFERROR(__xludf.DUMMYFUNCTION("""COMPUTED_VALUE"""),"ce83e171")</f>
        <v>ce83e171</v>
      </c>
      <c r="E3137" s="211" t="str">
        <f>IFERROR(__xludf.DUMMYFUNCTION("""COMPUTED_VALUE"""),"Bpk. Sulaiman")</f>
        <v>Bpk. Sulaiman</v>
      </c>
      <c r="F3137" s="211" t="str">
        <f>IFERROR(__xludf.DUMMYFUNCTION("""COMPUTED_VALUE"""),"be525f3b")</f>
        <v>be525f3b</v>
      </c>
      <c r="G3137" s="211" t="str">
        <f>IFERROR(__xludf.DUMMYFUNCTION("""COMPUTED_VALUE"""),"LPG 12kg")</f>
        <v>LPG 12kg</v>
      </c>
      <c r="H3137" s="211" t="str">
        <f>IFERROR(__xludf.DUMMYFUNCTION("""COMPUTED_VALUE"""),"OUT")</f>
        <v>OUT</v>
      </c>
      <c r="I3137" s="211" t="str">
        <f>IFERROR(__xludf.DUMMYFUNCTION("""COMPUTED_VALUE"""),"NORMAL")</f>
        <v>NORMAL</v>
      </c>
      <c r="J3137" s="211">
        <f>IFERROR(__xludf.DUMMYFUNCTION("""COMPUTED_VALUE"""),1.0)</f>
        <v>1</v>
      </c>
      <c r="K3137" s="210" t="str">
        <f>IFERROR(__xludf.DUMMYFUNCTION("""COMPUTED_VALUE"""),"01")</f>
        <v>01</v>
      </c>
      <c r="L3137" s="211">
        <f>IFERROR(__xludf.DUMMYFUNCTION("""COMPUTED_VALUE"""),210000.0)</f>
        <v>210000</v>
      </c>
      <c r="M3137" s="211"/>
      <c r="N3137" s="211"/>
      <c r="O3137" s="211"/>
    </row>
    <row r="3138">
      <c r="A3138" s="210" t="str">
        <f>IFERROR(__xludf.DUMMYFUNCTION("""COMPUTED_VALUE"""),"1261053")</f>
        <v>1261053</v>
      </c>
      <c r="B3138" s="210" t="str">
        <f>IFERROR(__xludf.DUMMYFUNCTION("""COMPUTED_VALUE"""),"1261053")</f>
        <v>1261053</v>
      </c>
      <c r="C3138" s="213">
        <f>IFERROR(__xludf.DUMMYFUNCTION("""COMPUTED_VALUE"""),46030.511770833335)</f>
        <v>46030.51177</v>
      </c>
      <c r="D3138" s="211" t="str">
        <f>IFERROR(__xludf.DUMMYFUNCTION("""COMPUTED_VALUE"""),"eec2e801")</f>
        <v>eec2e801</v>
      </c>
      <c r="E3138" s="211" t="str">
        <f>IFERROR(__xludf.DUMMYFUNCTION("""COMPUTED_VALUE"""),"Mitra Wood Sejahtera")</f>
        <v>Mitra Wood Sejahtera</v>
      </c>
      <c r="F3138" s="211" t="str">
        <f>IFERROR(__xludf.DUMMYFUNCTION("""COMPUTED_VALUE"""),"8bdbe149")</f>
        <v>8bdbe149</v>
      </c>
      <c r="G3138" s="211" t="str">
        <f>IFERROR(__xludf.DUMMYFUNCTION("""COMPUTED_VALUE"""),"Oksigen 6m3")</f>
        <v>Oksigen 6m3</v>
      </c>
      <c r="H3138" s="211" t="str">
        <f>IFERROR(__xludf.DUMMYFUNCTION("""COMPUTED_VALUE"""),"IN")</f>
        <v>IN</v>
      </c>
      <c r="I3138" s="211" t="str">
        <f>IFERROR(__xludf.DUMMYFUNCTION("""COMPUTED_VALUE"""),"EMPTY")</f>
        <v>EMPTY</v>
      </c>
      <c r="J3138" s="211">
        <f>IFERROR(__xludf.DUMMYFUNCTION("""COMPUTED_VALUE"""),4.0)</f>
        <v>4</v>
      </c>
      <c r="K3138" s="210" t="str">
        <f>IFERROR(__xludf.DUMMYFUNCTION("""COMPUTED_VALUE"""),"11188 1197 1141 11235")</f>
        <v>11188 1197 1141 11235</v>
      </c>
      <c r="L3138" s="211">
        <f>IFERROR(__xludf.DUMMYFUNCTION("""COMPUTED_VALUE"""),0.0)</f>
        <v>0</v>
      </c>
      <c r="M3138" s="211"/>
      <c r="N3138" s="211"/>
      <c r="O3138" s="211"/>
    </row>
    <row r="3139">
      <c r="A3139" s="210" t="str">
        <f>IFERROR(__xludf.DUMMYFUNCTION("""COMPUTED_VALUE"""),"1250526")</f>
        <v>1250526</v>
      </c>
      <c r="B3139" s="210" t="str">
        <f>IFERROR(__xludf.DUMMYFUNCTION("""COMPUTED_VALUE"""),"1250526")</f>
        <v>1250526</v>
      </c>
      <c r="C3139" s="213">
        <f>IFERROR(__xludf.DUMMYFUNCTION("""COMPUTED_VALUE"""),45891.44976851852)</f>
        <v>45891.44977</v>
      </c>
      <c r="D3139" s="211" t="str">
        <f>IFERROR(__xludf.DUMMYFUNCTION("""COMPUTED_VALUE"""),"ce83e171")</f>
        <v>ce83e171</v>
      </c>
      <c r="E3139" s="211" t="str">
        <f>IFERROR(__xludf.DUMMYFUNCTION("""COMPUTED_VALUE"""),"Bpk. Sulaiman")</f>
        <v>Bpk. Sulaiman</v>
      </c>
      <c r="F3139" s="211" t="str">
        <f>IFERROR(__xludf.DUMMYFUNCTION("""COMPUTED_VALUE"""),"f6aab7a9")</f>
        <v>f6aab7a9</v>
      </c>
      <c r="G3139" s="211" t="str">
        <f>IFERROR(__xludf.DUMMYFUNCTION("""COMPUTED_VALUE"""),"Oksigen 6m3 MR")</f>
        <v>Oksigen 6m3 MR</v>
      </c>
      <c r="H3139" s="211" t="str">
        <f>IFERROR(__xludf.DUMMYFUNCTION("""COMPUTED_VALUE"""),"IN")</f>
        <v>IN</v>
      </c>
      <c r="I3139" s="211" t="str">
        <f>IFERROR(__xludf.DUMMYFUNCTION("""COMPUTED_VALUE"""),"EMPTY")</f>
        <v>EMPTY</v>
      </c>
      <c r="J3139" s="211">
        <f>IFERROR(__xludf.DUMMYFUNCTION("""COMPUTED_VALUE"""),1.0)</f>
        <v>1</v>
      </c>
      <c r="K3139" s="210" t="str">
        <f>IFERROR(__xludf.DUMMYFUNCTION("""COMPUTED_VALUE"""),"76")</f>
        <v>76</v>
      </c>
      <c r="L3139" s="211">
        <f>IFERROR(__xludf.DUMMYFUNCTION("""COMPUTED_VALUE"""),0.0)</f>
        <v>0</v>
      </c>
      <c r="M3139" s="211"/>
      <c r="N3139" s="211"/>
      <c r="O3139" s="211"/>
    </row>
    <row r="3140">
      <c r="A3140" s="210" t="str">
        <f>IFERROR(__xludf.DUMMYFUNCTION("""COMPUTED_VALUE"""),"1261067")</f>
        <v>1261067</v>
      </c>
      <c r="B3140" s="210" t="str">
        <f>IFERROR(__xludf.DUMMYFUNCTION("""COMPUTED_VALUE"""),"1261067")</f>
        <v>1261067</v>
      </c>
      <c r="C3140" s="213">
        <f>IFERROR(__xludf.DUMMYFUNCTION("""COMPUTED_VALUE"""),46030.614270833335)</f>
        <v>46030.61427</v>
      </c>
      <c r="D3140" s="211" t="str">
        <f>IFERROR(__xludf.DUMMYFUNCTION("""COMPUTED_VALUE"""),"b218b89b")</f>
        <v>b218b89b</v>
      </c>
      <c r="E3140" s="211" t="str">
        <f>IFERROR(__xludf.DUMMYFUNCTION("""COMPUTED_VALUE"""),"PT Harapan Sentosa")</f>
        <v>PT Harapan Sentosa</v>
      </c>
      <c r="F3140" s="211" t="str">
        <f>IFERROR(__xludf.DUMMYFUNCTION("""COMPUTED_VALUE"""),"ef306e54")</f>
        <v>ef306e54</v>
      </c>
      <c r="G3140" s="211" t="str">
        <f>IFERROR(__xludf.DUMMYFUNCTION("""COMPUTED_VALUE"""),"Karbondioksida")</f>
        <v>Karbondioksida</v>
      </c>
      <c r="H3140" s="211" t="str">
        <f>IFERROR(__xludf.DUMMYFUNCTION("""COMPUTED_VALUE"""),"IN")</f>
        <v>IN</v>
      </c>
      <c r="I3140" s="211" t="str">
        <f>IFERROR(__xludf.DUMMYFUNCTION("""COMPUTED_VALUE"""),"EMPTY")</f>
        <v>EMPTY</v>
      </c>
      <c r="J3140" s="211">
        <f>IFERROR(__xludf.DUMMYFUNCTION("""COMPUTED_VALUE"""),1.0)</f>
        <v>1</v>
      </c>
      <c r="K3140" s="210" t="str">
        <f>IFERROR(__xludf.DUMMYFUNCTION("""COMPUTED_VALUE"""),"13004")</f>
        <v>13004</v>
      </c>
      <c r="L3140" s="211">
        <f>IFERROR(__xludf.DUMMYFUNCTION("""COMPUTED_VALUE"""),0.0)</f>
        <v>0</v>
      </c>
      <c r="M3140" s="211"/>
      <c r="N3140" s="211"/>
      <c r="O3140" s="211" t="b">
        <f>IFERROR(__xludf.DUMMYFUNCTION("""COMPUTED_VALUE"""),FALSE)</f>
        <v>0</v>
      </c>
    </row>
    <row r="3141">
      <c r="A3141" s="210" t="str">
        <f>IFERROR(__xludf.DUMMYFUNCTION("""COMPUTED_VALUE"""),"1261067")</f>
        <v>1261067</v>
      </c>
      <c r="B3141" s="210" t="str">
        <f>IFERROR(__xludf.DUMMYFUNCTION("""COMPUTED_VALUE"""),"1261067")</f>
        <v>1261067</v>
      </c>
      <c r="C3141" s="213">
        <f>IFERROR(__xludf.DUMMYFUNCTION("""COMPUTED_VALUE"""),46030.614270833335)</f>
        <v>46030.61427</v>
      </c>
      <c r="D3141" s="211" t="str">
        <f>IFERROR(__xludf.DUMMYFUNCTION("""COMPUTED_VALUE"""),"b218b89b")</f>
        <v>b218b89b</v>
      </c>
      <c r="E3141" s="211" t="str">
        <f>IFERROR(__xludf.DUMMYFUNCTION("""COMPUTED_VALUE"""),"PT Harapan Sentosa")</f>
        <v>PT Harapan Sentosa</v>
      </c>
      <c r="F3141" s="211" t="str">
        <f>IFERROR(__xludf.DUMMYFUNCTION("""COMPUTED_VALUE"""),"8bdbe149")</f>
        <v>8bdbe149</v>
      </c>
      <c r="G3141" s="211" t="str">
        <f>IFERROR(__xludf.DUMMYFUNCTION("""COMPUTED_VALUE"""),"Oksigen 6m3")</f>
        <v>Oksigen 6m3</v>
      </c>
      <c r="H3141" s="211" t="str">
        <f>IFERROR(__xludf.DUMMYFUNCTION("""COMPUTED_VALUE"""),"IN")</f>
        <v>IN</v>
      </c>
      <c r="I3141" s="211" t="str">
        <f>IFERROR(__xludf.DUMMYFUNCTION("""COMPUTED_VALUE"""),"EMPTY")</f>
        <v>EMPTY</v>
      </c>
      <c r="J3141" s="211">
        <f>IFERROR(__xludf.DUMMYFUNCTION("""COMPUTED_VALUE"""),1.0)</f>
        <v>1</v>
      </c>
      <c r="K3141" s="210" t="str">
        <f>IFERROR(__xludf.DUMMYFUNCTION("""COMPUTED_VALUE"""),"11258")</f>
        <v>11258</v>
      </c>
      <c r="L3141" s="211">
        <f>IFERROR(__xludf.DUMMYFUNCTION("""COMPUTED_VALUE"""),0.0)</f>
        <v>0</v>
      </c>
      <c r="M3141" s="211"/>
      <c r="N3141" s="211"/>
      <c r="O3141" s="211" t="b">
        <f>IFERROR(__xludf.DUMMYFUNCTION("""COMPUTED_VALUE"""),FALSE)</f>
        <v>0</v>
      </c>
    </row>
    <row r="3142">
      <c r="A3142" s="210" t="str">
        <f>IFERROR(__xludf.DUMMYFUNCTION("""COMPUTED_VALUE"""),"1261068")</f>
        <v>1261068</v>
      </c>
      <c r="B3142" s="210" t="str">
        <f>IFERROR(__xludf.DUMMYFUNCTION("""COMPUTED_VALUE"""),"1261068")</f>
        <v>1261068</v>
      </c>
      <c r="C3142" s="213">
        <f>IFERROR(__xludf.DUMMYFUNCTION("""COMPUTED_VALUE"""),46030.62101851852)</f>
        <v>46030.62102</v>
      </c>
      <c r="D3142" s="211" t="str">
        <f>IFERROR(__xludf.DUMMYFUNCTION("""COMPUTED_VALUE"""),"b2b5f2c5")</f>
        <v>b2b5f2c5</v>
      </c>
      <c r="E3142" s="211" t="str">
        <f>IFERROR(__xludf.DUMMYFUNCTION("""COMPUTED_VALUE"""),"Bengkel Las Bpk. Ari")</f>
        <v>Bengkel Las Bpk. Ari</v>
      </c>
      <c r="F3142" s="211" t="str">
        <f>IFERROR(__xludf.DUMMYFUNCTION("""COMPUTED_VALUE"""),"8bdbe149")</f>
        <v>8bdbe149</v>
      </c>
      <c r="G3142" s="211" t="str">
        <f>IFERROR(__xludf.DUMMYFUNCTION("""COMPUTED_VALUE"""),"Oksigen 6m3")</f>
        <v>Oksigen 6m3</v>
      </c>
      <c r="H3142" s="211" t="str">
        <f>IFERROR(__xludf.DUMMYFUNCTION("""COMPUTED_VALUE"""),"IN")</f>
        <v>IN</v>
      </c>
      <c r="I3142" s="211" t="str">
        <f>IFERROR(__xludf.DUMMYFUNCTION("""COMPUTED_VALUE"""),"EMPTY")</f>
        <v>EMPTY</v>
      </c>
      <c r="J3142" s="211">
        <f>IFERROR(__xludf.DUMMYFUNCTION("""COMPUTED_VALUE"""),1.0)</f>
        <v>1</v>
      </c>
      <c r="K3142" s="210" t="str">
        <f>IFERROR(__xludf.DUMMYFUNCTION("""COMPUTED_VALUE"""),"1138")</f>
        <v>1138</v>
      </c>
      <c r="L3142" s="211">
        <f>IFERROR(__xludf.DUMMYFUNCTION("""COMPUTED_VALUE"""),0.0)</f>
        <v>0</v>
      </c>
      <c r="M3142" s="211"/>
      <c r="N3142" s="211"/>
      <c r="O3142" s="211" t="b">
        <f>IFERROR(__xludf.DUMMYFUNCTION("""COMPUTED_VALUE"""),FALSE)</f>
        <v>0</v>
      </c>
    </row>
    <row r="3143">
      <c r="A3143" s="210" t="str">
        <f>IFERROR(__xludf.DUMMYFUNCTION("""COMPUTED_VALUE"""),"1261068")</f>
        <v>1261068</v>
      </c>
      <c r="B3143" s="210" t="str">
        <f>IFERROR(__xludf.DUMMYFUNCTION("""COMPUTED_VALUE"""),"1261068")</f>
        <v>1261068</v>
      </c>
      <c r="C3143" s="213">
        <f>IFERROR(__xludf.DUMMYFUNCTION("""COMPUTED_VALUE"""),46030.62101851852)</f>
        <v>46030.62102</v>
      </c>
      <c r="D3143" s="211" t="str">
        <f>IFERROR(__xludf.DUMMYFUNCTION("""COMPUTED_VALUE"""),"b2b5f2c5")</f>
        <v>b2b5f2c5</v>
      </c>
      <c r="E3143" s="211" t="str">
        <f>IFERROR(__xludf.DUMMYFUNCTION("""COMPUTED_VALUE"""),"Bengkel Las Bpk. Ari")</f>
        <v>Bengkel Las Bpk. Ari</v>
      </c>
      <c r="F3143" s="211" t="str">
        <f>IFERROR(__xludf.DUMMYFUNCTION("""COMPUTED_VALUE"""),"ef306e54")</f>
        <v>ef306e54</v>
      </c>
      <c r="G3143" s="211" t="str">
        <f>IFERROR(__xludf.DUMMYFUNCTION("""COMPUTED_VALUE"""),"Karbondioksida")</f>
        <v>Karbondioksida</v>
      </c>
      <c r="H3143" s="211" t="str">
        <f>IFERROR(__xludf.DUMMYFUNCTION("""COMPUTED_VALUE"""),"IN")</f>
        <v>IN</v>
      </c>
      <c r="I3143" s="211" t="str">
        <f>IFERROR(__xludf.DUMMYFUNCTION("""COMPUTED_VALUE"""),"EMPTY")</f>
        <v>EMPTY</v>
      </c>
      <c r="J3143" s="211">
        <f>IFERROR(__xludf.DUMMYFUNCTION("""COMPUTED_VALUE"""),3.0)</f>
        <v>3</v>
      </c>
      <c r="K3143" s="210" t="str">
        <f>IFERROR(__xludf.DUMMYFUNCTION("""COMPUTED_VALUE"""),"13014 13047 13005")</f>
        <v>13014 13047 13005</v>
      </c>
      <c r="L3143" s="211">
        <f>IFERROR(__xludf.DUMMYFUNCTION("""COMPUTED_VALUE"""),0.0)</f>
        <v>0</v>
      </c>
      <c r="M3143" s="211"/>
      <c r="N3143" s="211"/>
      <c r="O3143" s="211" t="b">
        <f>IFERROR(__xludf.DUMMYFUNCTION("""COMPUTED_VALUE"""),FALSE)</f>
        <v>0</v>
      </c>
    </row>
    <row r="3144">
      <c r="A3144" s="210" t="str">
        <f>IFERROR(__xludf.DUMMYFUNCTION("""COMPUTED_VALUE"""),"1261054")</f>
        <v>1261054</v>
      </c>
      <c r="B3144" s="210" t="str">
        <f>IFERROR(__xludf.DUMMYFUNCTION("""COMPUTED_VALUE"""),"1261054")</f>
        <v>1261054</v>
      </c>
      <c r="C3144" s="213">
        <f>IFERROR(__xludf.DUMMYFUNCTION("""COMPUTED_VALUE"""),46030.62163194444)</f>
        <v>46030.62163</v>
      </c>
      <c r="D3144" s="211" t="str">
        <f>IFERROR(__xludf.DUMMYFUNCTION("""COMPUTED_VALUE"""),"ce83e171")</f>
        <v>ce83e171</v>
      </c>
      <c r="E3144" s="211" t="str">
        <f>IFERROR(__xludf.DUMMYFUNCTION("""COMPUTED_VALUE"""),"Bpk. Sulaiman")</f>
        <v>Bpk. Sulaiman</v>
      </c>
      <c r="F3144" s="211" t="str">
        <f>IFERROR(__xludf.DUMMYFUNCTION("""COMPUTED_VALUE"""),"7d2764f1")</f>
        <v>7d2764f1</v>
      </c>
      <c r="G3144" s="211" t="str">
        <f>IFERROR(__xludf.DUMMYFUNCTION("""COMPUTED_VALUE"""),"Oksigen 7m3")</f>
        <v>Oksigen 7m3</v>
      </c>
      <c r="H3144" s="211" t="str">
        <f>IFERROR(__xludf.DUMMYFUNCTION("""COMPUTED_VALUE"""),"IN")</f>
        <v>IN</v>
      </c>
      <c r="I3144" s="211" t="str">
        <f>IFERROR(__xludf.DUMMYFUNCTION("""COMPUTED_VALUE"""),"EMPTY")</f>
        <v>EMPTY</v>
      </c>
      <c r="J3144" s="211">
        <f>IFERROR(__xludf.DUMMYFUNCTION("""COMPUTED_VALUE"""),1.0)</f>
        <v>1</v>
      </c>
      <c r="K3144" s="210" t="str">
        <f>IFERROR(__xludf.DUMMYFUNCTION("""COMPUTED_VALUE"""),"11173")</f>
        <v>11173</v>
      </c>
      <c r="L3144" s="211">
        <f>IFERROR(__xludf.DUMMYFUNCTION("""COMPUTED_VALUE"""),0.0)</f>
        <v>0</v>
      </c>
      <c r="M3144" s="211"/>
      <c r="N3144" s="211"/>
      <c r="O3144" s="211" t="b">
        <f>IFERROR(__xludf.DUMMYFUNCTION("""COMPUTED_VALUE"""),FALSE)</f>
        <v>0</v>
      </c>
    </row>
    <row r="3145">
      <c r="A3145" s="210" t="str">
        <f>IFERROR(__xludf.DUMMYFUNCTION("""COMPUTED_VALUE"""),"1261054")</f>
        <v>1261054</v>
      </c>
      <c r="B3145" s="210" t="str">
        <f>IFERROR(__xludf.DUMMYFUNCTION("""COMPUTED_VALUE"""),"1261054")</f>
        <v>1261054</v>
      </c>
      <c r="C3145" s="213">
        <f>IFERROR(__xludf.DUMMYFUNCTION("""COMPUTED_VALUE"""),46030.62163194444)</f>
        <v>46030.62163</v>
      </c>
      <c r="D3145" s="211" t="str">
        <f>IFERROR(__xludf.DUMMYFUNCTION("""COMPUTED_VALUE"""),"ce83e171")</f>
        <v>ce83e171</v>
      </c>
      <c r="E3145" s="211" t="str">
        <f>IFERROR(__xludf.DUMMYFUNCTION("""COMPUTED_VALUE"""),"Bpk. Sulaiman")</f>
        <v>Bpk. Sulaiman</v>
      </c>
      <c r="F3145" s="211" t="str">
        <f>IFERROR(__xludf.DUMMYFUNCTION("""COMPUTED_VALUE"""),"7d2764f1")</f>
        <v>7d2764f1</v>
      </c>
      <c r="G3145" s="211" t="str">
        <f>IFERROR(__xludf.DUMMYFUNCTION("""COMPUTED_VALUE"""),"Oksigen 7m3")</f>
        <v>Oksigen 7m3</v>
      </c>
      <c r="H3145" s="211" t="str">
        <f>IFERROR(__xludf.DUMMYFUNCTION("""COMPUTED_VALUE"""),"IN")</f>
        <v>IN</v>
      </c>
      <c r="I3145" s="211" t="str">
        <f>IFERROR(__xludf.DUMMYFUNCTION("""COMPUTED_VALUE"""),"EMPTY")</f>
        <v>EMPTY</v>
      </c>
      <c r="J3145" s="211">
        <f>IFERROR(__xludf.DUMMYFUNCTION("""COMPUTED_VALUE"""),1.0)</f>
        <v>1</v>
      </c>
      <c r="K3145" s="210" t="str">
        <f>IFERROR(__xludf.DUMMYFUNCTION("""COMPUTED_VALUE"""),"11172")</f>
        <v>11172</v>
      </c>
      <c r="L3145" s="211">
        <f>IFERROR(__xludf.DUMMYFUNCTION("""COMPUTED_VALUE"""),0.0)</f>
        <v>0</v>
      </c>
      <c r="M3145" s="211"/>
      <c r="N3145" s="211"/>
      <c r="O3145" s="211" t="b">
        <f>IFERROR(__xludf.DUMMYFUNCTION("""COMPUTED_VALUE"""),TRUE)</f>
        <v>1</v>
      </c>
    </row>
    <row r="3146">
      <c r="A3146" s="210" t="str">
        <f>IFERROR(__xludf.DUMMYFUNCTION("""COMPUTED_VALUE"""),"1261054")</f>
        <v>1261054</v>
      </c>
      <c r="B3146" s="210" t="str">
        <f>IFERROR(__xludf.DUMMYFUNCTION("""COMPUTED_VALUE"""),"1261054")</f>
        <v>1261054</v>
      </c>
      <c r="C3146" s="213">
        <f>IFERROR(__xludf.DUMMYFUNCTION("""COMPUTED_VALUE"""),46030.62163194444)</f>
        <v>46030.62163</v>
      </c>
      <c r="D3146" s="211" t="str">
        <f>IFERROR(__xludf.DUMMYFUNCTION("""COMPUTED_VALUE"""),"ce83e171")</f>
        <v>ce83e171</v>
      </c>
      <c r="E3146" s="211" t="str">
        <f>IFERROR(__xludf.DUMMYFUNCTION("""COMPUTED_VALUE"""),"Bpk. Sulaiman")</f>
        <v>Bpk. Sulaiman</v>
      </c>
      <c r="F3146" s="211" t="str">
        <f>IFERROR(__xludf.DUMMYFUNCTION("""COMPUTED_VALUE"""),"be525f3b")</f>
        <v>be525f3b</v>
      </c>
      <c r="G3146" s="211" t="str">
        <f>IFERROR(__xludf.DUMMYFUNCTION("""COMPUTED_VALUE"""),"LPG 12kg")</f>
        <v>LPG 12kg</v>
      </c>
      <c r="H3146" s="211" t="str">
        <f>IFERROR(__xludf.DUMMYFUNCTION("""COMPUTED_VALUE"""),"IN")</f>
        <v>IN</v>
      </c>
      <c r="I3146" s="211" t="str">
        <f>IFERROR(__xludf.DUMMYFUNCTION("""COMPUTED_VALUE"""),"EMPTY")</f>
        <v>EMPTY</v>
      </c>
      <c r="J3146" s="211">
        <f>IFERROR(__xludf.DUMMYFUNCTION("""COMPUTED_VALUE"""),1.0)</f>
        <v>1</v>
      </c>
      <c r="K3146" s="211"/>
      <c r="L3146" s="211">
        <f>IFERROR(__xludf.DUMMYFUNCTION("""COMPUTED_VALUE"""),0.0)</f>
        <v>0</v>
      </c>
      <c r="M3146" s="211"/>
      <c r="N3146" s="211"/>
      <c r="O3146" s="211" t="b">
        <f>IFERROR(__xludf.DUMMYFUNCTION("""COMPUTED_VALUE"""),FALSE)</f>
        <v>0</v>
      </c>
    </row>
    <row r="3147">
      <c r="A3147" s="210" t="str">
        <f>IFERROR(__xludf.DUMMYFUNCTION("""COMPUTED_VALUE"""),"0126112190")</f>
        <v>0126112190</v>
      </c>
      <c r="B3147" s="210" t="str">
        <f>IFERROR(__xludf.DUMMYFUNCTION("""COMPUTED_VALUE"""),"0126112190")</f>
        <v>0126112190</v>
      </c>
      <c r="C3147" s="213">
        <f>IFERROR(__xludf.DUMMYFUNCTION("""COMPUTED_VALUE"""),46031.349953703706)</f>
        <v>46031.34995</v>
      </c>
      <c r="D3147" s="211" t="str">
        <f>IFERROR(__xludf.DUMMYFUNCTION("""COMPUTED_VALUE"""),"3b04351a")</f>
        <v>3b04351a</v>
      </c>
      <c r="E3147" s="211" t="str">
        <f>IFERROR(__xludf.DUMMYFUNCTION("""COMPUTED_VALUE"""),"CV Usaha Logam Jaya ( Bpk Putra )")</f>
        <v>CV Usaha Logam Jaya ( Bpk Putra )</v>
      </c>
      <c r="F3147" s="211" t="str">
        <f>IFERROR(__xludf.DUMMYFUNCTION("""COMPUTED_VALUE"""),"be525f3b")</f>
        <v>be525f3b</v>
      </c>
      <c r="G3147" s="211" t="str">
        <f>IFERROR(__xludf.DUMMYFUNCTION("""COMPUTED_VALUE"""),"LPG 12kg")</f>
        <v>LPG 12kg</v>
      </c>
      <c r="H3147" s="211" t="str">
        <f>IFERROR(__xludf.DUMMYFUNCTION("""COMPUTED_VALUE"""),"OUT")</f>
        <v>OUT</v>
      </c>
      <c r="I3147" s="211" t="str">
        <f>IFERROR(__xludf.DUMMYFUNCTION("""COMPUTED_VALUE"""),"NORMAL")</f>
        <v>NORMAL</v>
      </c>
      <c r="J3147" s="211">
        <f>IFERROR(__xludf.DUMMYFUNCTION("""COMPUTED_VALUE"""),1.0)</f>
        <v>1</v>
      </c>
      <c r="K3147" s="211"/>
      <c r="L3147" s="211">
        <f>IFERROR(__xludf.DUMMYFUNCTION("""COMPUTED_VALUE"""),210000.0)</f>
        <v>210000</v>
      </c>
      <c r="M3147" s="211"/>
      <c r="N3147" s="211"/>
      <c r="O3147" s="211" t="b">
        <f>IFERROR(__xludf.DUMMYFUNCTION("""COMPUTED_VALUE"""),FALSE)</f>
        <v>0</v>
      </c>
    </row>
    <row r="3148">
      <c r="A3148" s="210" t="str">
        <f>IFERROR(__xludf.DUMMYFUNCTION("""COMPUTED_VALUE"""),"0126112190")</f>
        <v>0126112190</v>
      </c>
      <c r="B3148" s="210" t="str">
        <f>IFERROR(__xludf.DUMMYFUNCTION("""COMPUTED_VALUE"""),"0126112190")</f>
        <v>0126112190</v>
      </c>
      <c r="C3148" s="213">
        <f>IFERROR(__xludf.DUMMYFUNCTION("""COMPUTED_VALUE"""),46031.349953703706)</f>
        <v>46031.34995</v>
      </c>
      <c r="D3148" s="211" t="str">
        <f>IFERROR(__xludf.DUMMYFUNCTION("""COMPUTED_VALUE"""),"3b04351a")</f>
        <v>3b04351a</v>
      </c>
      <c r="E3148" s="211" t="str">
        <f>IFERROR(__xludf.DUMMYFUNCTION("""COMPUTED_VALUE"""),"CV Usaha Logam Jaya ( Bpk Putra )")</f>
        <v>CV Usaha Logam Jaya ( Bpk Putra )</v>
      </c>
      <c r="F3148" s="211" t="str">
        <f>IFERROR(__xludf.DUMMYFUNCTION("""COMPUTED_VALUE"""),"8bdbe149")</f>
        <v>8bdbe149</v>
      </c>
      <c r="G3148" s="211" t="str">
        <f>IFERROR(__xludf.DUMMYFUNCTION("""COMPUTED_VALUE"""),"Oksigen 6m3")</f>
        <v>Oksigen 6m3</v>
      </c>
      <c r="H3148" s="211" t="str">
        <f>IFERROR(__xludf.DUMMYFUNCTION("""COMPUTED_VALUE"""),"OUT")</f>
        <v>OUT</v>
      </c>
      <c r="I3148" s="211" t="str">
        <f>IFERROR(__xludf.DUMMYFUNCTION("""COMPUTED_VALUE"""),"NORMAL")</f>
        <v>NORMAL</v>
      </c>
      <c r="J3148" s="211">
        <f>IFERROR(__xludf.DUMMYFUNCTION("""COMPUTED_VALUE"""),15.0)</f>
        <v>15</v>
      </c>
      <c r="K3148" s="210" t="str">
        <f>IFERROR(__xludf.DUMMYFUNCTION("""COMPUTED_VALUE"""),"11279 1152 11316 1136 11109 11324 11185 1134 11317 11258 1183 11323 1138 11311 11319")</f>
        <v>11279 1152 11316 1136 11109 11324 11185 1134 11317 11258 1183 11323 1138 11311 11319</v>
      </c>
      <c r="L3148" s="211">
        <f>IFERROR(__xludf.DUMMYFUNCTION("""COMPUTED_VALUE"""),60000.0)</f>
        <v>60000</v>
      </c>
      <c r="M3148" s="211"/>
      <c r="N3148" s="211"/>
      <c r="O3148" s="211" t="b">
        <f>IFERROR(__xludf.DUMMYFUNCTION("""COMPUTED_VALUE"""),FALSE)</f>
        <v>0</v>
      </c>
    </row>
    <row r="3149">
      <c r="A3149" s="210" t="str">
        <f>IFERROR(__xludf.DUMMYFUNCTION("""COMPUTED_VALUE"""),"0126132195")</f>
        <v>0126132195</v>
      </c>
      <c r="B3149" s="210" t="str">
        <f>IFERROR(__xludf.DUMMYFUNCTION("""COMPUTED_VALUE"""),"0126132195")</f>
        <v>0126132195</v>
      </c>
      <c r="C3149" s="213">
        <f>IFERROR(__xludf.DUMMYFUNCTION("""COMPUTED_VALUE"""),46031.37774305556)</f>
        <v>46031.37774</v>
      </c>
      <c r="D3149" s="211" t="str">
        <f>IFERROR(__xludf.DUMMYFUNCTION("""COMPUTED_VALUE"""),"eec2e801")</f>
        <v>eec2e801</v>
      </c>
      <c r="E3149" s="211" t="str">
        <f>IFERROR(__xludf.DUMMYFUNCTION("""COMPUTED_VALUE"""),"Mitra Wood Sejahtera")</f>
        <v>Mitra Wood Sejahtera</v>
      </c>
      <c r="F3149" s="211" t="str">
        <f>IFERROR(__xludf.DUMMYFUNCTION("""COMPUTED_VALUE"""),"8bdbe149")</f>
        <v>8bdbe149</v>
      </c>
      <c r="G3149" s="211" t="str">
        <f>IFERROR(__xludf.DUMMYFUNCTION("""COMPUTED_VALUE"""),"Oksigen 6m3")</f>
        <v>Oksigen 6m3</v>
      </c>
      <c r="H3149" s="211" t="str">
        <f>IFERROR(__xludf.DUMMYFUNCTION("""COMPUTED_VALUE"""),"OUT")</f>
        <v>OUT</v>
      </c>
      <c r="I3149" s="211" t="str">
        <f>IFERROR(__xludf.DUMMYFUNCTION("""COMPUTED_VALUE"""),"NORMAL")</f>
        <v>NORMAL</v>
      </c>
      <c r="J3149" s="211">
        <f>IFERROR(__xludf.DUMMYFUNCTION("""COMPUTED_VALUE"""),4.0)</f>
        <v>4</v>
      </c>
      <c r="K3149" s="210" t="str">
        <f>IFERROR(__xludf.DUMMYFUNCTION("""COMPUTED_VALUE"""),"11285 11180 11278 11246")</f>
        <v>11285 11180 11278 11246</v>
      </c>
      <c r="L3149" s="211">
        <f>IFERROR(__xludf.DUMMYFUNCTION("""COMPUTED_VALUE"""),55000.0)</f>
        <v>55000</v>
      </c>
      <c r="M3149" s="211"/>
      <c r="N3149" s="211"/>
      <c r="O3149" s="211" t="b">
        <f>IFERROR(__xludf.DUMMYFUNCTION("""COMPUTED_VALUE"""),FALSE)</f>
        <v>0</v>
      </c>
    </row>
    <row r="3150">
      <c r="A3150" s="210" t="str">
        <f>IFERROR(__xludf.DUMMYFUNCTION("""COMPUTED_VALUE"""),"0126432196")</f>
        <v>0126432196</v>
      </c>
      <c r="B3150" s="210" t="str">
        <f>IFERROR(__xludf.DUMMYFUNCTION("""COMPUTED_VALUE"""),"0126432196")</f>
        <v>0126432196</v>
      </c>
      <c r="C3150" s="213">
        <f>IFERROR(__xludf.DUMMYFUNCTION("""COMPUTED_VALUE"""),46031.47510416667)</f>
        <v>46031.4751</v>
      </c>
      <c r="D3150" s="211" t="str">
        <f>IFERROR(__xludf.DUMMYFUNCTION("""COMPUTED_VALUE"""),"01158be1")</f>
        <v>01158be1</v>
      </c>
      <c r="E3150" s="211" t="str">
        <f>IFERROR(__xludf.DUMMYFUNCTION("""COMPUTED_VALUE"""),"GYF")</f>
        <v>GYF</v>
      </c>
      <c r="F3150" s="211" t="str">
        <f>IFERROR(__xludf.DUMMYFUNCTION("""COMPUTED_VALUE"""),"8bdbe149")</f>
        <v>8bdbe149</v>
      </c>
      <c r="G3150" s="211" t="str">
        <f>IFERROR(__xludf.DUMMYFUNCTION("""COMPUTED_VALUE"""),"Oksigen 6m3")</f>
        <v>Oksigen 6m3</v>
      </c>
      <c r="H3150" s="211" t="str">
        <f>IFERROR(__xludf.DUMMYFUNCTION("""COMPUTED_VALUE"""),"OUT")</f>
        <v>OUT</v>
      </c>
      <c r="I3150" s="211" t="str">
        <f>IFERROR(__xludf.DUMMYFUNCTION("""COMPUTED_VALUE"""),"NORMAL")</f>
        <v>NORMAL</v>
      </c>
      <c r="J3150" s="211">
        <f>IFERROR(__xludf.DUMMYFUNCTION("""COMPUTED_VALUE"""),10.0)</f>
        <v>10</v>
      </c>
      <c r="K3150" s="210" t="str">
        <f>IFERROR(__xludf.DUMMYFUNCTION("""COMPUTED_VALUE"""),"1155 11107 1169 11183 1133 1131 11104 11134 11289 11200")</f>
        <v>1155 11107 1169 11183 1133 1131 11104 11134 11289 11200</v>
      </c>
      <c r="L3150" s="211">
        <f>IFERROR(__xludf.DUMMYFUNCTION("""COMPUTED_VALUE"""),45000.0)</f>
        <v>45000</v>
      </c>
      <c r="M3150" s="211"/>
      <c r="N3150" s="211"/>
      <c r="O3150" s="211" t="b">
        <f>IFERROR(__xludf.DUMMYFUNCTION("""COMPUTED_VALUE"""),FALSE)</f>
        <v>0</v>
      </c>
    </row>
    <row r="3151">
      <c r="A3151" s="210" t="str">
        <f>IFERROR(__xludf.DUMMYFUNCTION("""COMPUTED_VALUE"""),"0126692197")</f>
        <v>0126692197</v>
      </c>
      <c r="B3151" s="210" t="str">
        <f>IFERROR(__xludf.DUMMYFUNCTION("""COMPUTED_VALUE"""),"0126692197")</f>
        <v>0126692197</v>
      </c>
      <c r="C3151" s="213">
        <f>IFERROR(__xludf.DUMMYFUNCTION("""COMPUTED_VALUE"""),46031.476331018515)</f>
        <v>46031.47633</v>
      </c>
      <c r="D3151" s="211" t="str">
        <f>IFERROR(__xludf.DUMMYFUNCTION("""COMPUTED_VALUE"""),"b2b5f2c5")</f>
        <v>b2b5f2c5</v>
      </c>
      <c r="E3151" s="211" t="str">
        <f>IFERROR(__xludf.DUMMYFUNCTION("""COMPUTED_VALUE"""),"Bengkel Las Bpk. Ari")</f>
        <v>Bengkel Las Bpk. Ari</v>
      </c>
      <c r="F3151" s="211" t="str">
        <f>IFERROR(__xludf.DUMMYFUNCTION("""COMPUTED_VALUE"""),"8bdbe149")</f>
        <v>8bdbe149</v>
      </c>
      <c r="G3151" s="211" t="str">
        <f>IFERROR(__xludf.DUMMYFUNCTION("""COMPUTED_VALUE"""),"Oksigen 6m3")</f>
        <v>Oksigen 6m3</v>
      </c>
      <c r="H3151" s="211" t="str">
        <f>IFERROR(__xludf.DUMMYFUNCTION("""COMPUTED_VALUE"""),"OUT")</f>
        <v>OUT</v>
      </c>
      <c r="I3151" s="211" t="str">
        <f>IFERROR(__xludf.DUMMYFUNCTION("""COMPUTED_VALUE"""),"NORMAL")</f>
        <v>NORMAL</v>
      </c>
      <c r="J3151" s="211">
        <f>IFERROR(__xludf.DUMMYFUNCTION("""COMPUTED_VALUE"""),8.0)</f>
        <v>8</v>
      </c>
      <c r="K3151" s="210" t="str">
        <f>IFERROR(__xludf.DUMMYFUNCTION("""COMPUTED_VALUE"""),"1186 11114 1163 11322 11310 11245 11297 1129")</f>
        <v>1186 11114 1163 11322 11310 11245 11297 1129</v>
      </c>
      <c r="L3151" s="211">
        <f>IFERROR(__xludf.DUMMYFUNCTION("""COMPUTED_VALUE"""),60000.0)</f>
        <v>60000</v>
      </c>
      <c r="M3151" s="211"/>
      <c r="N3151" s="211"/>
      <c r="O3151" s="211" t="b">
        <f>IFERROR(__xludf.DUMMYFUNCTION("""COMPUTED_VALUE"""),FALSE)</f>
        <v>0</v>
      </c>
    </row>
    <row r="3152">
      <c r="A3152" s="210" t="str">
        <f>IFERROR(__xludf.DUMMYFUNCTION("""COMPUTED_VALUE"""),"1261069")</f>
        <v>1261069</v>
      </c>
      <c r="B3152" s="210" t="str">
        <f>IFERROR(__xludf.DUMMYFUNCTION("""COMPUTED_VALUE"""),"1261069")</f>
        <v>1261069</v>
      </c>
      <c r="C3152" s="213">
        <f>IFERROR(__xludf.DUMMYFUNCTION("""COMPUTED_VALUE"""),46031.54002314815)</f>
        <v>46031.54002</v>
      </c>
      <c r="D3152" s="211" t="str">
        <f>IFERROR(__xludf.DUMMYFUNCTION("""COMPUTED_VALUE"""),"3b04351a")</f>
        <v>3b04351a</v>
      </c>
      <c r="E3152" s="211" t="str">
        <f>IFERROR(__xludf.DUMMYFUNCTION("""COMPUTED_VALUE"""),"CV Usaha Logam Jaya ( Bpk Putra )")</f>
        <v>CV Usaha Logam Jaya ( Bpk Putra )</v>
      </c>
      <c r="F3152" s="211" t="str">
        <f>IFERROR(__xludf.DUMMYFUNCTION("""COMPUTED_VALUE"""),"8bdbe149")</f>
        <v>8bdbe149</v>
      </c>
      <c r="G3152" s="211" t="str">
        <f>IFERROR(__xludf.DUMMYFUNCTION("""COMPUTED_VALUE"""),"Oksigen 6m3")</f>
        <v>Oksigen 6m3</v>
      </c>
      <c r="H3152" s="211" t="str">
        <f>IFERROR(__xludf.DUMMYFUNCTION("""COMPUTED_VALUE"""),"IN")</f>
        <v>IN</v>
      </c>
      <c r="I3152" s="211" t="str">
        <f>IFERROR(__xludf.DUMMYFUNCTION("""COMPUTED_VALUE"""),"EMPTY")</f>
        <v>EMPTY</v>
      </c>
      <c r="J3152" s="211">
        <f>IFERROR(__xludf.DUMMYFUNCTION("""COMPUTED_VALUE"""),7.0)</f>
        <v>7</v>
      </c>
      <c r="K3152" s="210" t="str">
        <f>IFERROR(__xludf.DUMMYFUNCTION("""COMPUTED_VALUE"""),"11197 1147 11340 11326 11260 11102 11176")</f>
        <v>11197 1147 11340 11326 11260 11102 11176</v>
      </c>
      <c r="L3152" s="211">
        <f>IFERROR(__xludf.DUMMYFUNCTION("""COMPUTED_VALUE"""),0.0)</f>
        <v>0</v>
      </c>
      <c r="M3152" s="211"/>
      <c r="N3152" s="211"/>
      <c r="O3152" s="211" t="b">
        <f>IFERROR(__xludf.DUMMYFUNCTION("""COMPUTED_VALUE"""),FALSE)</f>
        <v>0</v>
      </c>
    </row>
    <row r="3153">
      <c r="A3153" s="210" t="str">
        <f>IFERROR(__xludf.DUMMYFUNCTION("""COMPUTED_VALUE"""),"1261069")</f>
        <v>1261069</v>
      </c>
      <c r="B3153" s="210" t="str">
        <f>IFERROR(__xludf.DUMMYFUNCTION("""COMPUTED_VALUE"""),"1261069")</f>
        <v>1261069</v>
      </c>
      <c r="C3153" s="213">
        <f>IFERROR(__xludf.DUMMYFUNCTION("""COMPUTED_VALUE"""),46031.54002314815)</f>
        <v>46031.54002</v>
      </c>
      <c r="D3153" s="211" t="str">
        <f>IFERROR(__xludf.DUMMYFUNCTION("""COMPUTED_VALUE"""),"3b04351a")</f>
        <v>3b04351a</v>
      </c>
      <c r="E3153" s="211" t="str">
        <f>IFERROR(__xludf.DUMMYFUNCTION("""COMPUTED_VALUE"""),"CV Usaha Logam Jaya ( Bpk Putra )")</f>
        <v>CV Usaha Logam Jaya ( Bpk Putra )</v>
      </c>
      <c r="F3153" s="211" t="str">
        <f>IFERROR(__xludf.DUMMYFUNCTION("""COMPUTED_VALUE"""),"be525f3b")</f>
        <v>be525f3b</v>
      </c>
      <c r="G3153" s="211" t="str">
        <f>IFERROR(__xludf.DUMMYFUNCTION("""COMPUTED_VALUE"""),"LPG 12kg")</f>
        <v>LPG 12kg</v>
      </c>
      <c r="H3153" s="211" t="str">
        <f>IFERROR(__xludf.DUMMYFUNCTION("""COMPUTED_VALUE"""),"IN")</f>
        <v>IN</v>
      </c>
      <c r="I3153" s="211" t="str">
        <f>IFERROR(__xludf.DUMMYFUNCTION("""COMPUTED_VALUE"""),"EMPTY")</f>
        <v>EMPTY</v>
      </c>
      <c r="J3153" s="211">
        <f>IFERROR(__xludf.DUMMYFUNCTION("""COMPUTED_VALUE"""),1.0)</f>
        <v>1</v>
      </c>
      <c r="K3153" s="211"/>
      <c r="L3153" s="211">
        <f>IFERROR(__xludf.DUMMYFUNCTION("""COMPUTED_VALUE"""),0.0)</f>
        <v>0</v>
      </c>
      <c r="M3153" s="211"/>
      <c r="N3153" s="211"/>
      <c r="O3153" s="211" t="b">
        <f>IFERROR(__xludf.DUMMYFUNCTION("""COMPUTED_VALUE"""),FALSE)</f>
        <v>0</v>
      </c>
    </row>
    <row r="3154">
      <c r="A3154" s="210" t="str">
        <f>IFERROR(__xludf.DUMMYFUNCTION("""COMPUTED_VALUE"""),"1261056")</f>
        <v>1261056</v>
      </c>
      <c r="B3154" s="210" t="str">
        <f>IFERROR(__xludf.DUMMYFUNCTION("""COMPUTED_VALUE"""),"1261056")</f>
        <v>1261056</v>
      </c>
      <c r="C3154" s="213">
        <f>IFERROR(__xludf.DUMMYFUNCTION("""COMPUTED_VALUE"""),46031.647511574076)</f>
        <v>46031.64751</v>
      </c>
      <c r="D3154" s="211" t="str">
        <f>IFERROR(__xludf.DUMMYFUNCTION("""COMPUTED_VALUE"""),"b2b5f2c5")</f>
        <v>b2b5f2c5</v>
      </c>
      <c r="E3154" s="211" t="str">
        <f>IFERROR(__xludf.DUMMYFUNCTION("""COMPUTED_VALUE"""),"Bengkel Las Bpk. Ari")</f>
        <v>Bengkel Las Bpk. Ari</v>
      </c>
      <c r="F3154" s="211" t="str">
        <f>IFERROR(__xludf.DUMMYFUNCTION("""COMPUTED_VALUE"""),"8bdbe149")</f>
        <v>8bdbe149</v>
      </c>
      <c r="G3154" s="211" t="str">
        <f>IFERROR(__xludf.DUMMYFUNCTION("""COMPUTED_VALUE"""),"Oksigen 6m3")</f>
        <v>Oksigen 6m3</v>
      </c>
      <c r="H3154" s="211" t="str">
        <f>IFERROR(__xludf.DUMMYFUNCTION("""COMPUTED_VALUE"""),"IN")</f>
        <v>IN</v>
      </c>
      <c r="I3154" s="211" t="str">
        <f>IFERROR(__xludf.DUMMYFUNCTION("""COMPUTED_VALUE"""),"EMPTY")</f>
        <v>EMPTY</v>
      </c>
      <c r="J3154" s="211">
        <f>IFERROR(__xludf.DUMMYFUNCTION("""COMPUTED_VALUE"""),5.0)</f>
        <v>5</v>
      </c>
      <c r="K3154" s="210" t="str">
        <f>IFERROR(__xludf.DUMMYFUNCTION("""COMPUTED_VALUE"""),"11121 11124 11252 1148 11275")</f>
        <v>11121 11124 11252 1148 11275</v>
      </c>
      <c r="L3154" s="211">
        <f>IFERROR(__xludf.DUMMYFUNCTION("""COMPUTED_VALUE"""),0.0)</f>
        <v>0</v>
      </c>
      <c r="M3154" s="211"/>
      <c r="N3154" s="211"/>
      <c r="O3154" s="211" t="b">
        <f>IFERROR(__xludf.DUMMYFUNCTION("""COMPUTED_VALUE"""),FALSE)</f>
        <v>0</v>
      </c>
    </row>
    <row r="3155">
      <c r="A3155" s="210" t="str">
        <f>IFERROR(__xludf.DUMMYFUNCTION("""COMPUTED_VALUE"""),"1261056")</f>
        <v>1261056</v>
      </c>
      <c r="B3155" s="210" t="str">
        <f>IFERROR(__xludf.DUMMYFUNCTION("""COMPUTED_VALUE"""),"1261056")</f>
        <v>1261056</v>
      </c>
      <c r="C3155" s="213">
        <f>IFERROR(__xludf.DUMMYFUNCTION("""COMPUTED_VALUE"""),46031.647511574076)</f>
        <v>46031.64751</v>
      </c>
      <c r="D3155" s="211" t="str">
        <f>IFERROR(__xludf.DUMMYFUNCTION("""COMPUTED_VALUE"""),"b2b5f2c5")</f>
        <v>b2b5f2c5</v>
      </c>
      <c r="E3155" s="211" t="str">
        <f>IFERROR(__xludf.DUMMYFUNCTION("""COMPUTED_VALUE"""),"Bengkel Las Bpk. Ari")</f>
        <v>Bengkel Las Bpk. Ari</v>
      </c>
      <c r="F3155" s="211" t="str">
        <f>IFERROR(__xludf.DUMMYFUNCTION("""COMPUTED_VALUE"""),"ef306e54")</f>
        <v>ef306e54</v>
      </c>
      <c r="G3155" s="211" t="str">
        <f>IFERROR(__xludf.DUMMYFUNCTION("""COMPUTED_VALUE"""),"Karbondioksida")</f>
        <v>Karbondioksida</v>
      </c>
      <c r="H3155" s="211" t="str">
        <f>IFERROR(__xludf.DUMMYFUNCTION("""COMPUTED_VALUE"""),"IN")</f>
        <v>IN</v>
      </c>
      <c r="I3155" s="211" t="str">
        <f>IFERROR(__xludf.DUMMYFUNCTION("""COMPUTED_VALUE"""),"EMPTY")</f>
        <v>EMPTY</v>
      </c>
      <c r="J3155" s="211">
        <f>IFERROR(__xludf.DUMMYFUNCTION("""COMPUTED_VALUE"""),2.0)</f>
        <v>2</v>
      </c>
      <c r="K3155" s="210" t="str">
        <f>IFERROR(__xludf.DUMMYFUNCTION("""COMPUTED_VALUE"""),"13027 13021")</f>
        <v>13027 13021</v>
      </c>
      <c r="L3155" s="211">
        <f>IFERROR(__xludf.DUMMYFUNCTION("""COMPUTED_VALUE"""),0.0)</f>
        <v>0</v>
      </c>
      <c r="M3155" s="211"/>
      <c r="N3155" s="211"/>
      <c r="O3155" s="211" t="b">
        <f>IFERROR(__xludf.DUMMYFUNCTION("""COMPUTED_VALUE"""),FALSE)</f>
        <v>0</v>
      </c>
    </row>
    <row r="3156">
      <c r="A3156" s="210" t="str">
        <f>IFERROR(__xludf.DUMMYFUNCTION("""COMPUTED_VALUE"""),"1261055")</f>
        <v>1261055</v>
      </c>
      <c r="B3156" s="210" t="str">
        <f>IFERROR(__xludf.DUMMYFUNCTION("""COMPUTED_VALUE"""),"1261055")</f>
        <v>1261055</v>
      </c>
      <c r="C3156" s="213">
        <f>IFERROR(__xludf.DUMMYFUNCTION("""COMPUTED_VALUE"""),46031.64826388889)</f>
        <v>46031.64826</v>
      </c>
      <c r="D3156" s="211" t="str">
        <f>IFERROR(__xludf.DUMMYFUNCTION("""COMPUTED_VALUE"""),"01158be1")</f>
        <v>01158be1</v>
      </c>
      <c r="E3156" s="211" t="str">
        <f>IFERROR(__xludf.DUMMYFUNCTION("""COMPUTED_VALUE"""),"GYF")</f>
        <v>GYF</v>
      </c>
      <c r="F3156" s="211" t="str">
        <f>IFERROR(__xludf.DUMMYFUNCTION("""COMPUTED_VALUE"""),"8bdbe149")</f>
        <v>8bdbe149</v>
      </c>
      <c r="G3156" s="211" t="str">
        <f>IFERROR(__xludf.DUMMYFUNCTION("""COMPUTED_VALUE"""),"Oksigen 6m3")</f>
        <v>Oksigen 6m3</v>
      </c>
      <c r="H3156" s="211" t="str">
        <f>IFERROR(__xludf.DUMMYFUNCTION("""COMPUTED_VALUE"""),"IN")</f>
        <v>IN</v>
      </c>
      <c r="I3156" s="211" t="str">
        <f>IFERROR(__xludf.DUMMYFUNCTION("""COMPUTED_VALUE"""),"EMPTY")</f>
        <v>EMPTY</v>
      </c>
      <c r="J3156" s="211">
        <f>IFERROR(__xludf.DUMMYFUNCTION("""COMPUTED_VALUE"""),6.0)</f>
        <v>6</v>
      </c>
      <c r="K3156" s="210" t="str">
        <f>IFERROR(__xludf.DUMMYFUNCTION("""COMPUTED_VALUE"""),"11281 11241 1108 11206 1113 11103")</f>
        <v>11281 11241 1108 11206 1113 11103</v>
      </c>
      <c r="L3156" s="211">
        <f>IFERROR(__xludf.DUMMYFUNCTION("""COMPUTED_VALUE"""),0.0)</f>
        <v>0</v>
      </c>
      <c r="M3156" s="211"/>
      <c r="N3156" s="211"/>
      <c r="O3156" s="211" t="b">
        <f>IFERROR(__xludf.DUMMYFUNCTION("""COMPUTED_VALUE"""),FALSE)</f>
        <v>0</v>
      </c>
    </row>
    <row r="3157">
      <c r="A3157" s="210" t="str">
        <f>IFERROR(__xludf.DUMMYFUNCTION("""COMPUTED_VALUE"""),"012662198")</f>
        <v>012662198</v>
      </c>
      <c r="B3157" s="210" t="str">
        <f>IFERROR(__xludf.DUMMYFUNCTION("""COMPUTED_VALUE"""),"012662198")</f>
        <v>012662198</v>
      </c>
      <c r="C3157" s="213">
        <f>IFERROR(__xludf.DUMMYFUNCTION("""COMPUTED_VALUE"""),46032.41643518519)</f>
        <v>46032.41644</v>
      </c>
      <c r="D3157" s="211" t="str">
        <f>IFERROR(__xludf.DUMMYFUNCTION("""COMPUTED_VALUE"""),"45d814b4")</f>
        <v>45d814b4</v>
      </c>
      <c r="E3157" s="211" t="str">
        <f>IFERROR(__xludf.DUMMYFUNCTION("""COMPUTED_VALUE"""),"Bpk. Joko (Ponokawan)")</f>
        <v>Bpk. Joko (Ponokawan)</v>
      </c>
      <c r="F3157" s="211" t="str">
        <f>IFERROR(__xludf.DUMMYFUNCTION("""COMPUTED_VALUE"""),"8bdbe149")</f>
        <v>8bdbe149</v>
      </c>
      <c r="G3157" s="211" t="str">
        <f>IFERROR(__xludf.DUMMYFUNCTION("""COMPUTED_VALUE"""),"Oksigen 6m3")</f>
        <v>Oksigen 6m3</v>
      </c>
      <c r="H3157" s="211" t="str">
        <f>IFERROR(__xludf.DUMMYFUNCTION("""COMPUTED_VALUE"""),"OUT")</f>
        <v>OUT</v>
      </c>
      <c r="I3157" s="211" t="str">
        <f>IFERROR(__xludf.DUMMYFUNCTION("""COMPUTED_VALUE"""),"NORMAL")</f>
        <v>NORMAL</v>
      </c>
      <c r="J3157" s="211">
        <f>IFERROR(__xludf.DUMMYFUNCTION("""COMPUTED_VALUE"""),1.0)</f>
        <v>1</v>
      </c>
      <c r="K3157" s="210" t="str">
        <f>IFERROR(__xludf.DUMMYFUNCTION("""COMPUTED_VALUE"""),"1197")</f>
        <v>1197</v>
      </c>
      <c r="L3157" s="211">
        <f>IFERROR(__xludf.DUMMYFUNCTION("""COMPUTED_VALUE"""),60000.0)</f>
        <v>60000</v>
      </c>
      <c r="M3157" s="211"/>
      <c r="N3157" s="211"/>
      <c r="O3157" s="211" t="b">
        <f>IFERROR(__xludf.DUMMYFUNCTION("""COMPUTED_VALUE"""),FALSE)</f>
        <v>0</v>
      </c>
    </row>
    <row r="3158">
      <c r="A3158" s="210" t="str">
        <f>IFERROR(__xludf.DUMMYFUNCTION("""COMPUTED_VALUE"""),"1261071")</f>
        <v>1261071</v>
      </c>
      <c r="B3158" s="210" t="str">
        <f>IFERROR(__xludf.DUMMYFUNCTION("""COMPUTED_VALUE"""),"1261071")</f>
        <v>1261071</v>
      </c>
      <c r="C3158" s="213">
        <f>IFERROR(__xludf.DUMMYFUNCTION("""COMPUTED_VALUE"""),46032.49784722222)</f>
        <v>46032.49785</v>
      </c>
      <c r="D3158" s="211" t="str">
        <f>IFERROR(__xludf.DUMMYFUNCTION("""COMPUTED_VALUE"""),"45d814b4")</f>
        <v>45d814b4</v>
      </c>
      <c r="E3158" s="211" t="str">
        <f>IFERROR(__xludf.DUMMYFUNCTION("""COMPUTED_VALUE"""),"Bpk. Joko (Ponokawan)")</f>
        <v>Bpk. Joko (Ponokawan)</v>
      </c>
      <c r="F3158" s="211" t="str">
        <f>IFERROR(__xludf.DUMMYFUNCTION("""COMPUTED_VALUE"""),"7d2764f1")</f>
        <v>7d2764f1</v>
      </c>
      <c r="G3158" s="211" t="str">
        <f>IFERROR(__xludf.DUMMYFUNCTION("""COMPUTED_VALUE"""),"Oksigen 7m3")</f>
        <v>Oksigen 7m3</v>
      </c>
      <c r="H3158" s="211" t="str">
        <f>IFERROR(__xludf.DUMMYFUNCTION("""COMPUTED_VALUE"""),"IN")</f>
        <v>IN</v>
      </c>
      <c r="I3158" s="211" t="str">
        <f>IFERROR(__xludf.DUMMYFUNCTION("""COMPUTED_VALUE"""),"EMPTY")</f>
        <v>EMPTY</v>
      </c>
      <c r="J3158" s="211">
        <f>IFERROR(__xludf.DUMMYFUNCTION("""COMPUTED_VALUE"""),1.0)</f>
        <v>1</v>
      </c>
      <c r="K3158" s="210" t="str">
        <f>IFERROR(__xludf.DUMMYFUNCTION("""COMPUTED_VALUE"""),"1161")</f>
        <v>1161</v>
      </c>
      <c r="L3158" s="211">
        <f>IFERROR(__xludf.DUMMYFUNCTION("""COMPUTED_VALUE"""),0.0)</f>
        <v>0</v>
      </c>
      <c r="M3158" s="211"/>
      <c r="N3158" s="211"/>
      <c r="O3158" s="211" t="b">
        <f>IFERROR(__xludf.DUMMYFUNCTION("""COMPUTED_VALUE"""),FALSE)</f>
        <v>0</v>
      </c>
    </row>
    <row r="3159">
      <c r="A3159" s="210" t="str">
        <f>IFERROR(__xludf.DUMMYFUNCTION("""COMPUTED_VALUE"""),"1261070")</f>
        <v>1261070</v>
      </c>
      <c r="B3159" s="210" t="str">
        <f>IFERROR(__xludf.DUMMYFUNCTION("""COMPUTED_VALUE"""),"1261070")</f>
        <v>1261070</v>
      </c>
      <c r="C3159" s="213">
        <f>IFERROR(__xludf.DUMMYFUNCTION("""COMPUTED_VALUE"""),46032.498090277775)</f>
        <v>46032.49809</v>
      </c>
      <c r="D3159" s="211" t="str">
        <f>IFERROR(__xludf.DUMMYFUNCTION("""COMPUTED_VALUE"""),"a0f0ad2d")</f>
        <v>a0f0ad2d</v>
      </c>
      <c r="E3159" s="211" t="str">
        <f>IFERROR(__xludf.DUMMYFUNCTION("""COMPUTED_VALUE"""),"CV. Yulie Jaya")</f>
        <v>CV. Yulie Jaya</v>
      </c>
      <c r="F3159" s="211" t="str">
        <f>IFERROR(__xludf.DUMMYFUNCTION("""COMPUTED_VALUE"""),"7d2764f1")</f>
        <v>7d2764f1</v>
      </c>
      <c r="G3159" s="211" t="str">
        <f>IFERROR(__xludf.DUMMYFUNCTION("""COMPUTED_VALUE"""),"Oksigen 7m3")</f>
        <v>Oksigen 7m3</v>
      </c>
      <c r="H3159" s="211" t="str">
        <f>IFERROR(__xludf.DUMMYFUNCTION("""COMPUTED_VALUE"""),"IN")</f>
        <v>IN</v>
      </c>
      <c r="I3159" s="211" t="str">
        <f>IFERROR(__xludf.DUMMYFUNCTION("""COMPUTED_VALUE"""),"EMPTY")</f>
        <v>EMPTY</v>
      </c>
      <c r="J3159" s="211">
        <f>IFERROR(__xludf.DUMMYFUNCTION("""COMPUTED_VALUE"""),5.0)</f>
        <v>5</v>
      </c>
      <c r="K3159" s="210" t="str">
        <f>IFERROR(__xludf.DUMMYFUNCTION("""COMPUTED_VALUE"""),"11150 11152 11174 11147 11141")</f>
        <v>11150 11152 11174 11147 11141</v>
      </c>
      <c r="L3159" s="211">
        <f>IFERROR(__xludf.DUMMYFUNCTION("""COMPUTED_VALUE"""),0.0)</f>
        <v>0</v>
      </c>
      <c r="M3159" s="211"/>
      <c r="N3159" s="211"/>
      <c r="O3159" s="211" t="b">
        <f>IFERROR(__xludf.DUMMYFUNCTION("""COMPUTED_VALUE"""),FALSE)</f>
        <v>0</v>
      </c>
    </row>
    <row r="3160">
      <c r="A3160" s="210" t="str">
        <f>IFERROR(__xludf.DUMMYFUNCTION("""COMPUTED_VALUE"""),"1261070")</f>
        <v>1261070</v>
      </c>
      <c r="B3160" s="210" t="str">
        <f>IFERROR(__xludf.DUMMYFUNCTION("""COMPUTED_VALUE"""),"1261070")</f>
        <v>1261070</v>
      </c>
      <c r="C3160" s="213">
        <f>IFERROR(__xludf.DUMMYFUNCTION("""COMPUTED_VALUE"""),46032.498090277775)</f>
        <v>46032.49809</v>
      </c>
      <c r="D3160" s="211" t="str">
        <f>IFERROR(__xludf.DUMMYFUNCTION("""COMPUTED_VALUE"""),"a0f0ad2d")</f>
        <v>a0f0ad2d</v>
      </c>
      <c r="E3160" s="211" t="str">
        <f>IFERROR(__xludf.DUMMYFUNCTION("""COMPUTED_VALUE"""),"CV. Yulie Jaya")</f>
        <v>CV. Yulie Jaya</v>
      </c>
      <c r="F3160" s="211" t="str">
        <f>IFERROR(__xludf.DUMMYFUNCTION("""COMPUTED_VALUE"""),"8bdbe149")</f>
        <v>8bdbe149</v>
      </c>
      <c r="G3160" s="211" t="str">
        <f>IFERROR(__xludf.DUMMYFUNCTION("""COMPUTED_VALUE"""),"Oksigen 6m3")</f>
        <v>Oksigen 6m3</v>
      </c>
      <c r="H3160" s="211" t="str">
        <f>IFERROR(__xludf.DUMMYFUNCTION("""COMPUTED_VALUE"""),"IN")</f>
        <v>IN</v>
      </c>
      <c r="I3160" s="211" t="str">
        <f>IFERROR(__xludf.DUMMYFUNCTION("""COMPUTED_VALUE"""),"EMPTY")</f>
        <v>EMPTY</v>
      </c>
      <c r="J3160" s="211">
        <f>IFERROR(__xludf.DUMMYFUNCTION("""COMPUTED_VALUE"""),4.0)</f>
        <v>4</v>
      </c>
      <c r="K3160" s="210" t="str">
        <f>IFERROR(__xludf.DUMMYFUNCTION("""COMPUTED_VALUE"""),"11296 11257 11251 1132")</f>
        <v>11296 11257 11251 1132</v>
      </c>
      <c r="L3160" s="211">
        <f>IFERROR(__xludf.DUMMYFUNCTION("""COMPUTED_VALUE"""),0.0)</f>
        <v>0</v>
      </c>
      <c r="M3160" s="211"/>
      <c r="N3160" s="211"/>
      <c r="O3160" s="211" t="b">
        <f>IFERROR(__xludf.DUMMYFUNCTION("""COMPUTED_VALUE"""),FALSE)</f>
        <v>0</v>
      </c>
    </row>
    <row r="3161">
      <c r="A3161" s="210" t="str">
        <f>IFERROR(__xludf.DUMMYFUNCTION("""COMPUTED_VALUE"""),"1261070")</f>
        <v>1261070</v>
      </c>
      <c r="B3161" s="210" t="str">
        <f>IFERROR(__xludf.DUMMYFUNCTION("""COMPUTED_VALUE"""),"1261070")</f>
        <v>1261070</v>
      </c>
      <c r="C3161" s="213">
        <f>IFERROR(__xludf.DUMMYFUNCTION("""COMPUTED_VALUE"""),46032.498090277775)</f>
        <v>46032.49809</v>
      </c>
      <c r="D3161" s="211" t="str">
        <f>IFERROR(__xludf.DUMMYFUNCTION("""COMPUTED_VALUE"""),"a0f0ad2d")</f>
        <v>a0f0ad2d</v>
      </c>
      <c r="E3161" s="211" t="str">
        <f>IFERROR(__xludf.DUMMYFUNCTION("""COMPUTED_VALUE"""),"CV. Yulie Jaya")</f>
        <v>CV. Yulie Jaya</v>
      </c>
      <c r="F3161" s="211" t="str">
        <f>IFERROR(__xludf.DUMMYFUNCTION("""COMPUTED_VALUE"""),"be525f3b")</f>
        <v>be525f3b</v>
      </c>
      <c r="G3161" s="211" t="str">
        <f>IFERROR(__xludf.DUMMYFUNCTION("""COMPUTED_VALUE"""),"LPG 12kg")</f>
        <v>LPG 12kg</v>
      </c>
      <c r="H3161" s="211" t="str">
        <f>IFERROR(__xludf.DUMMYFUNCTION("""COMPUTED_VALUE"""),"IN")</f>
        <v>IN</v>
      </c>
      <c r="I3161" s="211" t="str">
        <f>IFERROR(__xludf.DUMMYFUNCTION("""COMPUTED_VALUE"""),"EMPTY")</f>
        <v>EMPTY</v>
      </c>
      <c r="J3161" s="211">
        <f>IFERROR(__xludf.DUMMYFUNCTION("""COMPUTED_VALUE"""),1.0)</f>
        <v>1</v>
      </c>
      <c r="K3161" s="211"/>
      <c r="L3161" s="211">
        <f>IFERROR(__xludf.DUMMYFUNCTION("""COMPUTED_VALUE"""),0.0)</f>
        <v>0</v>
      </c>
      <c r="M3161" s="211"/>
      <c r="N3161" s="211"/>
      <c r="O3161" s="211" t="b">
        <f>IFERROR(__xludf.DUMMYFUNCTION("""COMPUTED_VALUE"""),FALSE)</f>
        <v>0</v>
      </c>
    </row>
    <row r="3162">
      <c r="A3162" s="210" t="str">
        <f>IFERROR(__xludf.DUMMYFUNCTION("""COMPUTED_VALUE"""),"012692202")</f>
        <v>012692202</v>
      </c>
      <c r="B3162" s="210" t="str">
        <f>IFERROR(__xludf.DUMMYFUNCTION("""COMPUTED_VALUE"""),"012692202")</f>
        <v>012692202</v>
      </c>
      <c r="C3162" s="213">
        <f>IFERROR(__xludf.DUMMYFUNCTION("""COMPUTED_VALUE"""),46032.50361111111)</f>
        <v>46032.50361</v>
      </c>
      <c r="D3162" s="211" t="str">
        <f>IFERROR(__xludf.DUMMYFUNCTION("""COMPUTED_VALUE"""),"17a8e612")</f>
        <v>17a8e612</v>
      </c>
      <c r="E3162" s="211" t="str">
        <f>IFERROR(__xludf.DUMMYFUNCTION("""COMPUTED_VALUE"""),"Flashtech Machinery")</f>
        <v>Flashtech Machinery</v>
      </c>
      <c r="F3162" s="211" t="str">
        <f>IFERROR(__xludf.DUMMYFUNCTION("""COMPUTED_VALUE"""),"a50ce892")</f>
        <v>a50ce892</v>
      </c>
      <c r="G3162" s="211" t="str">
        <f>IFERROR(__xludf.DUMMYFUNCTION("""COMPUTED_VALUE"""),"Nitrogen 6m3")</f>
        <v>Nitrogen 6m3</v>
      </c>
      <c r="H3162" s="211" t="str">
        <f>IFERROR(__xludf.DUMMYFUNCTION("""COMPUTED_VALUE"""),"OUT")</f>
        <v>OUT</v>
      </c>
      <c r="I3162" s="211" t="str">
        <f>IFERROR(__xludf.DUMMYFUNCTION("""COMPUTED_VALUE"""),"NORMAL")</f>
        <v>NORMAL</v>
      </c>
      <c r="J3162" s="211">
        <f>IFERROR(__xludf.DUMMYFUNCTION("""COMPUTED_VALUE"""),1.0)</f>
        <v>1</v>
      </c>
      <c r="K3162" s="210" t="str">
        <f>IFERROR(__xludf.DUMMYFUNCTION("""COMPUTED_VALUE"""),"14001")</f>
        <v>14001</v>
      </c>
      <c r="L3162" s="211">
        <f>IFERROR(__xludf.DUMMYFUNCTION("""COMPUTED_VALUE"""),70000.0)</f>
        <v>70000</v>
      </c>
      <c r="M3162" s="211"/>
      <c r="N3162" s="211"/>
      <c r="O3162" s="211" t="b">
        <f>IFERROR(__xludf.DUMMYFUNCTION("""COMPUTED_VALUE"""),FALSE)</f>
        <v>0</v>
      </c>
    </row>
    <row r="3163">
      <c r="A3163" s="210" t="str">
        <f>IFERROR(__xludf.DUMMYFUNCTION("""COMPUTED_VALUE"""),"0126372205")</f>
        <v>0126372205</v>
      </c>
      <c r="B3163" s="210" t="str">
        <f>IFERROR(__xludf.DUMMYFUNCTION("""COMPUTED_VALUE"""),"0126372205")</f>
        <v>0126372205</v>
      </c>
      <c r="C3163" s="213">
        <f>IFERROR(__xludf.DUMMYFUNCTION("""COMPUTED_VALUE"""),46034.35303240741)</f>
        <v>46034.35303</v>
      </c>
      <c r="D3163" s="211" t="str">
        <f>IFERROR(__xludf.DUMMYFUNCTION("""COMPUTED_VALUE"""),"ec231cc9")</f>
        <v>ec231cc9</v>
      </c>
      <c r="E3163" s="211" t="str">
        <f>IFERROR(__xludf.DUMMYFUNCTION("""COMPUTED_VALUE"""),"Bpk. Kohir (Maintenance Velg)")</f>
        <v>Bpk. Kohir (Maintenance Velg)</v>
      </c>
      <c r="F3163" s="211" t="str">
        <f>IFERROR(__xludf.DUMMYFUNCTION("""COMPUTED_VALUE"""),"8bdbe149")</f>
        <v>8bdbe149</v>
      </c>
      <c r="G3163" s="211" t="str">
        <f>IFERROR(__xludf.DUMMYFUNCTION("""COMPUTED_VALUE"""),"Oksigen 6m3")</f>
        <v>Oksigen 6m3</v>
      </c>
      <c r="H3163" s="211" t="str">
        <f>IFERROR(__xludf.DUMMYFUNCTION("""COMPUTED_VALUE"""),"OUT")</f>
        <v>OUT</v>
      </c>
      <c r="I3163" s="211" t="str">
        <f>IFERROR(__xludf.DUMMYFUNCTION("""COMPUTED_VALUE"""),"NORMAL")</f>
        <v>NORMAL</v>
      </c>
      <c r="J3163" s="211">
        <f>IFERROR(__xludf.DUMMYFUNCTION("""COMPUTED_VALUE"""),4.0)</f>
        <v>4</v>
      </c>
      <c r="K3163" s="210" t="str">
        <f>IFERROR(__xludf.DUMMYFUNCTION("""COMPUTED_VALUE"""),"11260 1147 11340 11197")</f>
        <v>11260 1147 11340 11197</v>
      </c>
      <c r="L3163" s="211">
        <f>IFERROR(__xludf.DUMMYFUNCTION("""COMPUTED_VALUE"""),55000.0)</f>
        <v>55000</v>
      </c>
      <c r="M3163" s="211"/>
      <c r="N3163" s="211"/>
      <c r="O3163" s="211" t="b">
        <f>IFERROR(__xludf.DUMMYFUNCTION("""COMPUTED_VALUE"""),FALSE)</f>
        <v>0</v>
      </c>
    </row>
    <row r="3164">
      <c r="A3164" s="210" t="str">
        <f>IFERROR(__xludf.DUMMYFUNCTION("""COMPUTED_VALUE"""),"0126372205")</f>
        <v>0126372205</v>
      </c>
      <c r="B3164" s="210" t="str">
        <f>IFERROR(__xludf.DUMMYFUNCTION("""COMPUTED_VALUE"""),"0126372205")</f>
        <v>0126372205</v>
      </c>
      <c r="C3164" s="213">
        <f>IFERROR(__xludf.DUMMYFUNCTION("""COMPUTED_VALUE"""),46034.35303240741)</f>
        <v>46034.35303</v>
      </c>
      <c r="D3164" s="211" t="str">
        <f>IFERROR(__xludf.DUMMYFUNCTION("""COMPUTED_VALUE"""),"ec231cc9")</f>
        <v>ec231cc9</v>
      </c>
      <c r="E3164" s="211" t="str">
        <f>IFERROR(__xludf.DUMMYFUNCTION("""COMPUTED_VALUE"""),"Bpk. Kohir (Maintenance Velg)")</f>
        <v>Bpk. Kohir (Maintenance Velg)</v>
      </c>
      <c r="F3164" s="211" t="str">
        <f>IFERROR(__xludf.DUMMYFUNCTION("""COMPUTED_VALUE"""),"ef306e54")</f>
        <v>ef306e54</v>
      </c>
      <c r="G3164" s="211" t="str">
        <f>IFERROR(__xludf.DUMMYFUNCTION("""COMPUTED_VALUE"""),"Karbondioksida")</f>
        <v>Karbondioksida</v>
      </c>
      <c r="H3164" s="211" t="str">
        <f>IFERROR(__xludf.DUMMYFUNCTION("""COMPUTED_VALUE"""),"OUT")</f>
        <v>OUT</v>
      </c>
      <c r="I3164" s="211" t="str">
        <f>IFERROR(__xludf.DUMMYFUNCTION("""COMPUTED_VALUE"""),"NORMAL")</f>
        <v>NORMAL</v>
      </c>
      <c r="J3164" s="211">
        <f>IFERROR(__xludf.DUMMYFUNCTION("""COMPUTED_VALUE"""),2.0)</f>
        <v>2</v>
      </c>
      <c r="K3164" s="210" t="str">
        <f>IFERROR(__xludf.DUMMYFUNCTION("""COMPUTED_VALUE"""),"13005 13014")</f>
        <v>13005 13014</v>
      </c>
      <c r="L3164" s="211">
        <f>IFERROR(__xludf.DUMMYFUNCTION("""COMPUTED_VALUE"""),175000.0)</f>
        <v>175000</v>
      </c>
      <c r="M3164" s="211"/>
      <c r="N3164" s="211"/>
      <c r="O3164" s="211" t="b">
        <f>IFERROR(__xludf.DUMMYFUNCTION("""COMPUTED_VALUE"""),FALSE)</f>
        <v>0</v>
      </c>
    </row>
    <row r="3165">
      <c r="A3165" s="211"/>
      <c r="B3165" s="211"/>
      <c r="C3165" s="211"/>
      <c r="D3165" s="211"/>
      <c r="E3165" s="211"/>
      <c r="F3165" s="211"/>
      <c r="G3165" s="211"/>
      <c r="H3165" s="211"/>
      <c r="I3165" s="211"/>
      <c r="J3165" s="211"/>
      <c r="K3165" s="211"/>
      <c r="L3165" s="211"/>
      <c r="M3165" s="211"/>
      <c r="N3165" s="211"/>
      <c r="O3165" s="211"/>
    </row>
    <row r="3166">
      <c r="A3166" s="210" t="str">
        <f>IFERROR(__xludf.DUMMYFUNCTION("""COMPUTED_VALUE"""),"012612207")</f>
        <v>012612207</v>
      </c>
      <c r="B3166" s="210" t="str">
        <f>IFERROR(__xludf.DUMMYFUNCTION("""COMPUTED_VALUE"""),"012612207")</f>
        <v>012612207</v>
      </c>
      <c r="C3166" s="213">
        <f>IFERROR(__xludf.DUMMYFUNCTION("""COMPUTED_VALUE"""),46033.361238425925)</f>
        <v>46033.36124</v>
      </c>
      <c r="D3166" s="211" t="str">
        <f>IFERROR(__xludf.DUMMYFUNCTION("""COMPUTED_VALUE"""),"2814d559")</f>
        <v>2814d559</v>
      </c>
      <c r="E3166" s="211" t="str">
        <f>IFERROR(__xludf.DUMMYFUNCTION("""COMPUTED_VALUE"""),"Bpk. Gunarso")</f>
        <v>Bpk. Gunarso</v>
      </c>
      <c r="F3166" s="211" t="str">
        <f>IFERROR(__xludf.DUMMYFUNCTION("""COMPUTED_VALUE"""),"8bdbe149")</f>
        <v>8bdbe149</v>
      </c>
      <c r="G3166" s="211" t="str">
        <f>IFERROR(__xludf.DUMMYFUNCTION("""COMPUTED_VALUE"""),"Oksigen 6m3")</f>
        <v>Oksigen 6m3</v>
      </c>
      <c r="H3166" s="211" t="str">
        <f>IFERROR(__xludf.DUMMYFUNCTION("""COMPUTED_VALUE"""),"OUT")</f>
        <v>OUT</v>
      </c>
      <c r="I3166" s="211" t="str">
        <f>IFERROR(__xludf.DUMMYFUNCTION("""COMPUTED_VALUE"""),"NORMAL")</f>
        <v>NORMAL</v>
      </c>
      <c r="J3166" s="211">
        <f>IFERROR(__xludf.DUMMYFUNCTION("""COMPUTED_VALUE"""),1.0)</f>
        <v>1</v>
      </c>
      <c r="K3166" s="210" t="str">
        <f>IFERROR(__xludf.DUMMYFUNCTION("""COMPUTED_VALUE"""),"11176")</f>
        <v>11176</v>
      </c>
      <c r="L3166" s="211">
        <f>IFERROR(__xludf.DUMMYFUNCTION("""COMPUTED_VALUE"""),65000.0)</f>
        <v>65000</v>
      </c>
      <c r="M3166" s="211"/>
      <c r="N3166" s="211"/>
      <c r="O3166" s="211" t="b">
        <f>IFERROR(__xludf.DUMMYFUNCTION("""COMPUTED_VALUE"""),FALSE)</f>
        <v>0</v>
      </c>
    </row>
    <row r="3167">
      <c r="A3167" s="210" t="str">
        <f>IFERROR(__xludf.DUMMYFUNCTION("""COMPUTED_VALUE"""),"012622208")</f>
        <v>012622208</v>
      </c>
      <c r="B3167" s="210" t="str">
        <f>IFERROR(__xludf.DUMMYFUNCTION("""COMPUTED_VALUE"""),"012622208")</f>
        <v>012622208</v>
      </c>
      <c r="C3167" s="213">
        <f>IFERROR(__xludf.DUMMYFUNCTION("""COMPUTED_VALUE"""),46033.36267361111)</f>
        <v>46033.36267</v>
      </c>
      <c r="D3167" s="211" t="str">
        <f>IFERROR(__xludf.DUMMYFUNCTION("""COMPUTED_VALUE"""),"b89c20a1")</f>
        <v>b89c20a1</v>
      </c>
      <c r="E3167" s="211" t="str">
        <f>IFERROR(__xludf.DUMMYFUNCTION("""COMPUTED_VALUE"""),"Harini dini")</f>
        <v>Harini dini</v>
      </c>
      <c r="F3167" s="211" t="str">
        <f>IFERROR(__xludf.DUMMYFUNCTION("""COMPUTED_VALUE"""),"e8544a46")</f>
        <v>e8544a46</v>
      </c>
      <c r="G3167" s="211" t="str">
        <f>IFERROR(__xludf.DUMMYFUNCTION("""COMPUTED_VALUE"""),"Oksigen 1m3")</f>
        <v>Oksigen 1m3</v>
      </c>
      <c r="H3167" s="211" t="str">
        <f>IFERROR(__xludf.DUMMYFUNCTION("""COMPUTED_VALUE"""),"OUT")</f>
        <v>OUT</v>
      </c>
      <c r="I3167" s="211" t="str">
        <f>IFERROR(__xludf.DUMMYFUNCTION("""COMPUTED_VALUE"""),"NORMAL")</f>
        <v>NORMAL</v>
      </c>
      <c r="J3167" s="211">
        <f>IFERROR(__xludf.DUMMYFUNCTION("""COMPUTED_VALUE"""),1.0)</f>
        <v>1</v>
      </c>
      <c r="K3167" s="210" t="str">
        <f>IFERROR(__xludf.DUMMYFUNCTION("""COMPUTED_VALUE"""),"0003")</f>
        <v>0003</v>
      </c>
      <c r="L3167" s="211">
        <f>IFERROR(__xludf.DUMMYFUNCTION("""COMPUTED_VALUE"""),60000.0)</f>
        <v>60000</v>
      </c>
      <c r="M3167" s="211"/>
      <c r="N3167" s="211"/>
      <c r="O3167" s="211" t="b">
        <f>IFERROR(__xludf.DUMMYFUNCTION("""COMPUTED_VALUE"""),FALSE)</f>
        <v>0</v>
      </c>
    </row>
    <row r="3168">
      <c r="A3168" s="210" t="str">
        <f>IFERROR(__xludf.DUMMYFUNCTION("""COMPUTED_VALUE"""),"1261081")</f>
        <v>1261081</v>
      </c>
      <c r="B3168" s="210" t="str">
        <f>IFERROR(__xludf.DUMMYFUNCTION("""COMPUTED_VALUE"""),"1261081")</f>
        <v>1261081</v>
      </c>
      <c r="C3168" s="213">
        <f>IFERROR(__xludf.DUMMYFUNCTION("""COMPUTED_VALUE"""),46034.36984953703)</f>
        <v>46034.36985</v>
      </c>
      <c r="D3168" s="211" t="str">
        <f>IFERROR(__xludf.DUMMYFUNCTION("""COMPUTED_VALUE"""),"b89c20a1")</f>
        <v>b89c20a1</v>
      </c>
      <c r="E3168" s="211" t="str">
        <f>IFERROR(__xludf.DUMMYFUNCTION("""COMPUTED_VALUE"""),"Harini dini")</f>
        <v>Harini dini</v>
      </c>
      <c r="F3168" s="211" t="str">
        <f>IFERROR(__xludf.DUMMYFUNCTION("""COMPUTED_VALUE"""),"e8544a46")</f>
        <v>e8544a46</v>
      </c>
      <c r="G3168" s="211" t="str">
        <f>IFERROR(__xludf.DUMMYFUNCTION("""COMPUTED_VALUE"""),"Oksigen 1m3")</f>
        <v>Oksigen 1m3</v>
      </c>
      <c r="H3168" s="211" t="str">
        <f>IFERROR(__xludf.DUMMYFUNCTION("""COMPUTED_VALUE"""),"IN")</f>
        <v>IN</v>
      </c>
      <c r="I3168" s="211" t="str">
        <f>IFERROR(__xludf.DUMMYFUNCTION("""COMPUTED_VALUE"""),"EMPTY")</f>
        <v>EMPTY</v>
      </c>
      <c r="J3168" s="211">
        <f>IFERROR(__xludf.DUMMYFUNCTION("""COMPUTED_VALUE"""),1.0)</f>
        <v>1</v>
      </c>
      <c r="K3168" s="210" t="str">
        <f>IFERROR(__xludf.DUMMYFUNCTION("""COMPUTED_VALUE"""),"0007")</f>
        <v>0007</v>
      </c>
      <c r="L3168" s="211">
        <f>IFERROR(__xludf.DUMMYFUNCTION("""COMPUTED_VALUE"""),0.0)</f>
        <v>0</v>
      </c>
      <c r="M3168" s="211"/>
      <c r="N3168" s="211"/>
      <c r="O3168" s="211" t="b">
        <f>IFERROR(__xludf.DUMMYFUNCTION("""COMPUTED_VALUE"""),FALSE)</f>
        <v>0</v>
      </c>
    </row>
    <row r="3169">
      <c r="A3169" s="210" t="str">
        <f>IFERROR(__xludf.DUMMYFUNCTION("""COMPUTED_VALUE"""),"0126132209")</f>
        <v>0126132209</v>
      </c>
      <c r="B3169" s="210" t="str">
        <f>IFERROR(__xludf.DUMMYFUNCTION("""COMPUTED_VALUE"""),"0126132209")</f>
        <v>0126132209</v>
      </c>
      <c r="C3169" s="213">
        <f>IFERROR(__xludf.DUMMYFUNCTION("""COMPUTED_VALUE"""),46034.39960648148)</f>
        <v>46034.39961</v>
      </c>
      <c r="D3169" s="211" t="str">
        <f>IFERROR(__xludf.DUMMYFUNCTION("""COMPUTED_VALUE"""),"a0f0ad2d")</f>
        <v>a0f0ad2d</v>
      </c>
      <c r="E3169" s="211" t="str">
        <f>IFERROR(__xludf.DUMMYFUNCTION("""COMPUTED_VALUE"""),"CV. Yulie Jaya")</f>
        <v>CV. Yulie Jaya</v>
      </c>
      <c r="F3169" s="211" t="str">
        <f>IFERROR(__xludf.DUMMYFUNCTION("""COMPUTED_VALUE"""),"be525f3b")</f>
        <v>be525f3b</v>
      </c>
      <c r="G3169" s="211" t="str">
        <f>IFERROR(__xludf.DUMMYFUNCTION("""COMPUTED_VALUE"""),"LPG 12kg")</f>
        <v>LPG 12kg</v>
      </c>
      <c r="H3169" s="211" t="str">
        <f>IFERROR(__xludf.DUMMYFUNCTION("""COMPUTED_VALUE"""),"OUT")</f>
        <v>OUT</v>
      </c>
      <c r="I3169" s="211" t="str">
        <f>IFERROR(__xludf.DUMMYFUNCTION("""COMPUTED_VALUE"""),"NORMAL")</f>
        <v>NORMAL</v>
      </c>
      <c r="J3169" s="211">
        <f>IFERROR(__xludf.DUMMYFUNCTION("""COMPUTED_VALUE"""),2.0)</f>
        <v>2</v>
      </c>
      <c r="K3169" s="210" t="str">
        <f>IFERROR(__xludf.DUMMYFUNCTION("""COMPUTED_VALUE"""),"L001 L002")</f>
        <v>L001 L002</v>
      </c>
      <c r="L3169" s="211">
        <f>IFERROR(__xludf.DUMMYFUNCTION("""COMPUTED_VALUE"""),215000.0)</f>
        <v>215000</v>
      </c>
      <c r="M3169" s="211"/>
      <c r="N3169" s="211"/>
      <c r="O3169" s="211" t="b">
        <f>IFERROR(__xludf.DUMMYFUNCTION("""COMPUTED_VALUE"""),FALSE)</f>
        <v>0</v>
      </c>
    </row>
    <row r="3170">
      <c r="A3170" s="210" t="str">
        <f>IFERROR(__xludf.DUMMYFUNCTION("""COMPUTED_VALUE"""),"0126132209")</f>
        <v>0126132209</v>
      </c>
      <c r="B3170" s="210" t="str">
        <f>IFERROR(__xludf.DUMMYFUNCTION("""COMPUTED_VALUE"""),"0126132209")</f>
        <v>0126132209</v>
      </c>
      <c r="C3170" s="213">
        <f>IFERROR(__xludf.DUMMYFUNCTION("""COMPUTED_VALUE"""),46034.39960648148)</f>
        <v>46034.39961</v>
      </c>
      <c r="D3170" s="211" t="str">
        <f>IFERROR(__xludf.DUMMYFUNCTION("""COMPUTED_VALUE"""),"a0f0ad2d")</f>
        <v>a0f0ad2d</v>
      </c>
      <c r="E3170" s="211" t="str">
        <f>IFERROR(__xludf.DUMMYFUNCTION("""COMPUTED_VALUE"""),"CV. Yulie Jaya")</f>
        <v>CV. Yulie Jaya</v>
      </c>
      <c r="F3170" s="211" t="str">
        <f>IFERROR(__xludf.DUMMYFUNCTION("""COMPUTED_VALUE"""),"8bdbe149")</f>
        <v>8bdbe149</v>
      </c>
      <c r="G3170" s="211" t="str">
        <f>IFERROR(__xludf.DUMMYFUNCTION("""COMPUTED_VALUE"""),"Oksigen 6m3")</f>
        <v>Oksigen 6m3</v>
      </c>
      <c r="H3170" s="211" t="str">
        <f>IFERROR(__xludf.DUMMYFUNCTION("""COMPUTED_VALUE"""),"OUT")</f>
        <v>OUT</v>
      </c>
      <c r="I3170" s="211" t="str">
        <f>IFERROR(__xludf.DUMMYFUNCTION("""COMPUTED_VALUE"""),"NORMAL")</f>
        <v>NORMAL</v>
      </c>
      <c r="J3170" s="211">
        <f>IFERROR(__xludf.DUMMYFUNCTION("""COMPUTED_VALUE"""),3.0)</f>
        <v>3</v>
      </c>
      <c r="K3170" s="210" t="str">
        <f>IFERROR(__xludf.DUMMYFUNCTION("""COMPUTED_VALUE"""),"1132 11251 11257")</f>
        <v>1132 11251 11257</v>
      </c>
      <c r="L3170" s="211">
        <f>IFERROR(__xludf.DUMMYFUNCTION("""COMPUTED_VALUE"""),65000.0)</f>
        <v>65000</v>
      </c>
      <c r="M3170" s="211"/>
      <c r="N3170" s="211"/>
      <c r="O3170" s="211" t="b">
        <f>IFERROR(__xludf.DUMMYFUNCTION("""COMPUTED_VALUE"""),FALSE)</f>
        <v>0</v>
      </c>
    </row>
    <row r="3171">
      <c r="A3171" s="210" t="str">
        <f>IFERROR(__xludf.DUMMYFUNCTION("""COMPUTED_VALUE"""),"0126132209")</f>
        <v>0126132209</v>
      </c>
      <c r="B3171" s="210" t="str">
        <f>IFERROR(__xludf.DUMMYFUNCTION("""COMPUTED_VALUE"""),"0126132209")</f>
        <v>0126132209</v>
      </c>
      <c r="C3171" s="213">
        <f>IFERROR(__xludf.DUMMYFUNCTION("""COMPUTED_VALUE"""),46034.39960648148)</f>
        <v>46034.39961</v>
      </c>
      <c r="D3171" s="211" t="str">
        <f>IFERROR(__xludf.DUMMYFUNCTION("""COMPUTED_VALUE"""),"a0f0ad2d")</f>
        <v>a0f0ad2d</v>
      </c>
      <c r="E3171" s="211" t="str">
        <f>IFERROR(__xludf.DUMMYFUNCTION("""COMPUTED_VALUE"""),"CV. Yulie Jaya")</f>
        <v>CV. Yulie Jaya</v>
      </c>
      <c r="F3171" s="211" t="str">
        <f>IFERROR(__xludf.DUMMYFUNCTION("""COMPUTED_VALUE"""),"7d2764f1")</f>
        <v>7d2764f1</v>
      </c>
      <c r="G3171" s="211" t="str">
        <f>IFERROR(__xludf.DUMMYFUNCTION("""COMPUTED_VALUE"""),"Oksigen 7m3")</f>
        <v>Oksigen 7m3</v>
      </c>
      <c r="H3171" s="211" t="str">
        <f>IFERROR(__xludf.DUMMYFUNCTION("""COMPUTED_VALUE"""),"OUT")</f>
        <v>OUT</v>
      </c>
      <c r="I3171" s="211" t="str">
        <f>IFERROR(__xludf.DUMMYFUNCTION("""COMPUTED_VALUE"""),"NORMAL")</f>
        <v>NORMAL</v>
      </c>
      <c r="J3171" s="211">
        <f>IFERROR(__xludf.DUMMYFUNCTION("""COMPUTED_VALUE"""),7.0)</f>
        <v>7</v>
      </c>
      <c r="K3171" s="210" t="str">
        <f>IFERROR(__xludf.DUMMYFUNCTION("""COMPUTED_VALUE"""),"11174 11152 11150 11147 11141 11173 11172")</f>
        <v>11174 11152 11150 11147 11141 11173 11172</v>
      </c>
      <c r="L3171" s="211">
        <f>IFERROR(__xludf.DUMMYFUNCTION("""COMPUTED_VALUE"""),60000.0)</f>
        <v>60000</v>
      </c>
      <c r="M3171" s="211"/>
      <c r="N3171" s="211"/>
      <c r="O3171" s="211" t="b">
        <f>IFERROR(__xludf.DUMMYFUNCTION("""COMPUTED_VALUE"""),FALSE)</f>
        <v>0</v>
      </c>
    </row>
    <row r="3172">
      <c r="A3172" s="210" t="str">
        <f>IFERROR(__xludf.DUMMYFUNCTION("""COMPUTED_VALUE"""),"012612211")</f>
        <v>012612211</v>
      </c>
      <c r="B3172" s="210" t="str">
        <f>IFERROR(__xludf.DUMMYFUNCTION("""COMPUTED_VALUE"""),"012612211")</f>
        <v>012612211</v>
      </c>
      <c r="C3172" s="213">
        <f>IFERROR(__xludf.DUMMYFUNCTION("""COMPUTED_VALUE"""),46034.40186342593)</f>
        <v>46034.40186</v>
      </c>
      <c r="D3172" s="211" t="str">
        <f>IFERROR(__xludf.DUMMYFUNCTION("""COMPUTED_VALUE"""),"1c48ae79")</f>
        <v>1c48ae79</v>
      </c>
      <c r="E3172" s="211" t="str">
        <f>IFERROR(__xludf.DUMMYFUNCTION("""COMPUTED_VALUE"""),"Bpk. Jafar Rosokan")</f>
        <v>Bpk. Jafar Rosokan</v>
      </c>
      <c r="F3172" s="211" t="str">
        <f>IFERROR(__xludf.DUMMYFUNCTION("""COMPUTED_VALUE"""),"8bdbe149")</f>
        <v>8bdbe149</v>
      </c>
      <c r="G3172" s="211" t="str">
        <f>IFERROR(__xludf.DUMMYFUNCTION("""COMPUTED_VALUE"""),"Oksigen 6m3")</f>
        <v>Oksigen 6m3</v>
      </c>
      <c r="H3172" s="211" t="str">
        <f>IFERROR(__xludf.DUMMYFUNCTION("""COMPUTED_VALUE"""),"OUT")</f>
        <v>OUT</v>
      </c>
      <c r="I3172" s="211" t="str">
        <f>IFERROR(__xludf.DUMMYFUNCTION("""COMPUTED_VALUE"""),"NORMAL")</f>
        <v>NORMAL</v>
      </c>
      <c r="J3172" s="211">
        <f>IFERROR(__xludf.DUMMYFUNCTION("""COMPUTED_VALUE"""),2.0)</f>
        <v>2</v>
      </c>
      <c r="K3172" s="210" t="str">
        <f>IFERROR(__xludf.DUMMYFUNCTION("""COMPUTED_VALUE"""),"11235 11102")</f>
        <v>11235 11102</v>
      </c>
      <c r="L3172" s="211">
        <f>IFERROR(__xludf.DUMMYFUNCTION("""COMPUTED_VALUE"""),65000.0)</f>
        <v>65000</v>
      </c>
      <c r="M3172" s="211"/>
      <c r="N3172" s="211"/>
      <c r="O3172" s="211" t="b">
        <f>IFERROR(__xludf.DUMMYFUNCTION("""COMPUTED_VALUE"""),FALSE)</f>
        <v>0</v>
      </c>
    </row>
    <row r="3173">
      <c r="A3173" s="210" t="str">
        <f>IFERROR(__xludf.DUMMYFUNCTION("""COMPUTED_VALUE"""),"1261072")</f>
        <v>1261072</v>
      </c>
      <c r="B3173" s="210" t="str">
        <f>IFERROR(__xludf.DUMMYFUNCTION("""COMPUTED_VALUE"""),"1261072")</f>
        <v>1261072</v>
      </c>
      <c r="C3173" s="213">
        <f>IFERROR(__xludf.DUMMYFUNCTION("""COMPUTED_VALUE"""),46034.41023148148)</f>
        <v>46034.41023</v>
      </c>
      <c r="D3173" s="211" t="str">
        <f>IFERROR(__xludf.DUMMYFUNCTION("""COMPUTED_VALUE"""),"ec231cc9")</f>
        <v>ec231cc9</v>
      </c>
      <c r="E3173" s="211" t="str">
        <f>IFERROR(__xludf.DUMMYFUNCTION("""COMPUTED_VALUE"""),"Bpk. Kohir (Maintenance Velg)")</f>
        <v>Bpk. Kohir (Maintenance Velg)</v>
      </c>
      <c r="F3173" s="211" t="str">
        <f>IFERROR(__xludf.DUMMYFUNCTION("""COMPUTED_VALUE"""),"ef306e54")</f>
        <v>ef306e54</v>
      </c>
      <c r="G3173" s="211" t="str">
        <f>IFERROR(__xludf.DUMMYFUNCTION("""COMPUTED_VALUE"""),"Karbondioksida")</f>
        <v>Karbondioksida</v>
      </c>
      <c r="H3173" s="211" t="str">
        <f>IFERROR(__xludf.DUMMYFUNCTION("""COMPUTED_VALUE"""),"IN")</f>
        <v>IN</v>
      </c>
      <c r="I3173" s="211" t="str">
        <f>IFERROR(__xludf.DUMMYFUNCTION("""COMPUTED_VALUE"""),"EMPTY")</f>
        <v>EMPTY</v>
      </c>
      <c r="J3173" s="211">
        <f>IFERROR(__xludf.DUMMYFUNCTION("""COMPUTED_VALUE"""),1.0)</f>
        <v>1</v>
      </c>
      <c r="K3173" s="210" t="str">
        <f>IFERROR(__xludf.DUMMYFUNCTION("""COMPUTED_VALUE"""),"13015")</f>
        <v>13015</v>
      </c>
      <c r="L3173" s="211">
        <f>IFERROR(__xludf.DUMMYFUNCTION("""COMPUTED_VALUE"""),0.0)</f>
        <v>0</v>
      </c>
      <c r="M3173" s="211"/>
      <c r="N3173" s="211"/>
      <c r="O3173" s="211" t="b">
        <f>IFERROR(__xludf.DUMMYFUNCTION("""COMPUTED_VALUE"""),FALSE)</f>
        <v>0</v>
      </c>
    </row>
    <row r="3174">
      <c r="A3174" s="210" t="str">
        <f>IFERROR(__xludf.DUMMYFUNCTION("""COMPUTED_VALUE"""),"1261072")</f>
        <v>1261072</v>
      </c>
      <c r="B3174" s="210" t="str">
        <f>IFERROR(__xludf.DUMMYFUNCTION("""COMPUTED_VALUE"""),"1261072")</f>
        <v>1261072</v>
      </c>
      <c r="C3174" s="213">
        <f>IFERROR(__xludf.DUMMYFUNCTION("""COMPUTED_VALUE"""),46034.41023148148)</f>
        <v>46034.41023</v>
      </c>
      <c r="D3174" s="211" t="str">
        <f>IFERROR(__xludf.DUMMYFUNCTION("""COMPUTED_VALUE"""),"ec231cc9")</f>
        <v>ec231cc9</v>
      </c>
      <c r="E3174" s="211" t="str">
        <f>IFERROR(__xludf.DUMMYFUNCTION("""COMPUTED_VALUE"""),"Bpk. Kohir (Maintenance Velg)")</f>
        <v>Bpk. Kohir (Maintenance Velg)</v>
      </c>
      <c r="F3174" s="211" t="str">
        <f>IFERROR(__xludf.DUMMYFUNCTION("""COMPUTED_VALUE"""),"8bdbe149")</f>
        <v>8bdbe149</v>
      </c>
      <c r="G3174" s="211" t="str">
        <f>IFERROR(__xludf.DUMMYFUNCTION("""COMPUTED_VALUE"""),"Oksigen 6m3")</f>
        <v>Oksigen 6m3</v>
      </c>
      <c r="H3174" s="211" t="str">
        <f>IFERROR(__xludf.DUMMYFUNCTION("""COMPUTED_VALUE"""),"IN")</f>
        <v>IN</v>
      </c>
      <c r="I3174" s="211" t="str">
        <f>IFERROR(__xludf.DUMMYFUNCTION("""COMPUTED_VALUE"""),"EMPTY")</f>
        <v>EMPTY</v>
      </c>
      <c r="J3174" s="211">
        <f>IFERROR(__xludf.DUMMYFUNCTION("""COMPUTED_VALUE"""),4.0)</f>
        <v>4</v>
      </c>
      <c r="K3174" s="210" t="str">
        <f>IFERROR(__xludf.DUMMYFUNCTION("""COMPUTED_VALUE"""),"11192 1194 11209 11132")</f>
        <v>11192 1194 11209 11132</v>
      </c>
      <c r="L3174" s="211">
        <f>IFERROR(__xludf.DUMMYFUNCTION("""COMPUTED_VALUE"""),0.0)</f>
        <v>0</v>
      </c>
      <c r="M3174" s="211"/>
      <c r="N3174" s="211"/>
      <c r="O3174" s="211" t="b">
        <f>IFERROR(__xludf.DUMMYFUNCTION("""COMPUTED_VALUE"""),FALSE)</f>
        <v>0</v>
      </c>
    </row>
    <row r="3175">
      <c r="A3175" s="210" t="str">
        <f>IFERROR(__xludf.DUMMYFUNCTION("""COMPUTED_VALUE"""),"012642212")</f>
        <v>012642212</v>
      </c>
      <c r="B3175" s="210" t="str">
        <f>IFERROR(__xludf.DUMMYFUNCTION("""COMPUTED_VALUE"""),"012642212")</f>
        <v>012642212</v>
      </c>
      <c r="C3175" s="213">
        <f>IFERROR(__xludf.DUMMYFUNCTION("""COMPUTED_VALUE"""),46034.42449074074)</f>
        <v>46034.42449</v>
      </c>
      <c r="D3175" s="211" t="str">
        <f>IFERROR(__xludf.DUMMYFUNCTION("""COMPUTED_VALUE"""),"9828dfc5")</f>
        <v>9828dfc5</v>
      </c>
      <c r="E3175" s="211" t="str">
        <f>IFERROR(__xludf.DUMMYFUNCTION("""COMPUTED_VALUE"""),"Bpk. David")</f>
        <v>Bpk. David</v>
      </c>
      <c r="F3175" s="211" t="str">
        <f>IFERROR(__xludf.DUMMYFUNCTION("""COMPUTED_VALUE"""),"8bdbe149")</f>
        <v>8bdbe149</v>
      </c>
      <c r="G3175" s="211" t="str">
        <f>IFERROR(__xludf.DUMMYFUNCTION("""COMPUTED_VALUE"""),"Oksigen 6m3")</f>
        <v>Oksigen 6m3</v>
      </c>
      <c r="H3175" s="211" t="str">
        <f>IFERROR(__xludf.DUMMYFUNCTION("""COMPUTED_VALUE"""),"OUT")</f>
        <v>OUT</v>
      </c>
      <c r="I3175" s="211" t="str">
        <f>IFERROR(__xludf.DUMMYFUNCTION("""COMPUTED_VALUE"""),"NORMAL")</f>
        <v>NORMAL</v>
      </c>
      <c r="J3175" s="211">
        <f>IFERROR(__xludf.DUMMYFUNCTION("""COMPUTED_VALUE"""),3.0)</f>
        <v>3</v>
      </c>
      <c r="K3175" s="210" t="str">
        <f>IFERROR(__xludf.DUMMYFUNCTION("""COMPUTED_VALUE"""),"11326 11188 1141")</f>
        <v>11326 11188 1141</v>
      </c>
      <c r="L3175" s="211">
        <f>IFERROR(__xludf.DUMMYFUNCTION("""COMPUTED_VALUE"""),60000.0)</f>
        <v>60000</v>
      </c>
      <c r="M3175" s="211"/>
      <c r="N3175" s="211"/>
      <c r="O3175" s="211" t="b">
        <f>IFERROR(__xludf.DUMMYFUNCTION("""COMPUTED_VALUE"""),FALSE)</f>
        <v>0</v>
      </c>
    </row>
    <row r="3176">
      <c r="A3176" s="210" t="str">
        <f>IFERROR(__xludf.DUMMYFUNCTION("""COMPUTED_VALUE"""),"012642212")</f>
        <v>012642212</v>
      </c>
      <c r="B3176" s="210" t="str">
        <f>IFERROR(__xludf.DUMMYFUNCTION("""COMPUTED_VALUE"""),"012642212")</f>
        <v>012642212</v>
      </c>
      <c r="C3176" s="213">
        <f>IFERROR(__xludf.DUMMYFUNCTION("""COMPUTED_VALUE"""),46034.42449074074)</f>
        <v>46034.42449</v>
      </c>
      <c r="D3176" s="211" t="str">
        <f>IFERROR(__xludf.DUMMYFUNCTION("""COMPUTED_VALUE"""),"9828dfc5")</f>
        <v>9828dfc5</v>
      </c>
      <c r="E3176" s="211" t="str">
        <f>IFERROR(__xludf.DUMMYFUNCTION("""COMPUTED_VALUE"""),"Bpk. David")</f>
        <v>Bpk. David</v>
      </c>
      <c r="F3176" s="211" t="str">
        <f>IFERROR(__xludf.DUMMYFUNCTION("""COMPUTED_VALUE"""),"7d2764f1")</f>
        <v>7d2764f1</v>
      </c>
      <c r="G3176" s="211" t="str">
        <f>IFERROR(__xludf.DUMMYFUNCTION("""COMPUTED_VALUE"""),"Oksigen 7m3")</f>
        <v>Oksigen 7m3</v>
      </c>
      <c r="H3176" s="211" t="str">
        <f>IFERROR(__xludf.DUMMYFUNCTION("""COMPUTED_VALUE"""),"OUT")</f>
        <v>OUT</v>
      </c>
      <c r="I3176" s="211" t="str">
        <f>IFERROR(__xludf.DUMMYFUNCTION("""COMPUTED_VALUE"""),"NORMAL")</f>
        <v>NORMAL</v>
      </c>
      <c r="J3176" s="211">
        <f>IFERROR(__xludf.DUMMYFUNCTION("""COMPUTED_VALUE"""),2.0)</f>
        <v>2</v>
      </c>
      <c r="K3176" s="210" t="str">
        <f>IFERROR(__xludf.DUMMYFUNCTION("""COMPUTED_VALUE"""),"11171 11151")</f>
        <v>11171 11151</v>
      </c>
      <c r="L3176" s="211">
        <f>IFERROR(__xludf.DUMMYFUNCTION("""COMPUTED_VALUE"""),60000.0)</f>
        <v>60000</v>
      </c>
      <c r="M3176" s="211"/>
      <c r="N3176" s="211"/>
      <c r="O3176" s="211" t="b">
        <f>IFERROR(__xludf.DUMMYFUNCTION("""COMPUTED_VALUE"""),FALSE)</f>
        <v>0</v>
      </c>
    </row>
    <row r="3177">
      <c r="A3177" s="210" t="str">
        <f>IFERROR(__xludf.DUMMYFUNCTION("""COMPUTED_VALUE"""),"0126702214")</f>
        <v>0126702214</v>
      </c>
      <c r="B3177" s="210" t="str">
        <f>IFERROR(__xludf.DUMMYFUNCTION("""COMPUTED_VALUE"""),"0126702214")</f>
        <v>0126702214</v>
      </c>
      <c r="C3177" s="213">
        <f>IFERROR(__xludf.DUMMYFUNCTION("""COMPUTED_VALUE"""),46034.43135416666)</f>
        <v>46034.43135</v>
      </c>
      <c r="D3177" s="211" t="str">
        <f>IFERROR(__xludf.DUMMYFUNCTION("""COMPUTED_VALUE"""),"b2b5f2c5")</f>
        <v>b2b5f2c5</v>
      </c>
      <c r="E3177" s="211" t="str">
        <f>IFERROR(__xludf.DUMMYFUNCTION("""COMPUTED_VALUE"""),"Bengkel Las Bpk. Ari")</f>
        <v>Bengkel Las Bpk. Ari</v>
      </c>
      <c r="F3177" s="211" t="str">
        <f>IFERROR(__xludf.DUMMYFUNCTION("""COMPUTED_VALUE"""),"ef306e54")</f>
        <v>ef306e54</v>
      </c>
      <c r="G3177" s="211" t="str">
        <f>IFERROR(__xludf.DUMMYFUNCTION("""COMPUTED_VALUE"""),"Karbondioksida")</f>
        <v>Karbondioksida</v>
      </c>
      <c r="H3177" s="211" t="str">
        <f>IFERROR(__xludf.DUMMYFUNCTION("""COMPUTED_VALUE"""),"OUT")</f>
        <v>OUT</v>
      </c>
      <c r="I3177" s="211" t="str">
        <f>IFERROR(__xludf.DUMMYFUNCTION("""COMPUTED_VALUE"""),"NORMAL")</f>
        <v>NORMAL</v>
      </c>
      <c r="J3177" s="211">
        <f>IFERROR(__xludf.DUMMYFUNCTION("""COMPUTED_VALUE"""),5.0)</f>
        <v>5</v>
      </c>
      <c r="K3177" s="210" t="str">
        <f>IFERROR(__xludf.DUMMYFUNCTION("""COMPUTED_VALUE"""),"13037 13008 13026 13004 13047")</f>
        <v>13037 13008 13026 13004 13047</v>
      </c>
      <c r="L3177" s="211">
        <f>IFERROR(__xludf.DUMMYFUNCTION("""COMPUTED_VALUE"""),180000.0)</f>
        <v>180000</v>
      </c>
      <c r="M3177" s="211"/>
      <c r="N3177" s="211"/>
      <c r="O3177" s="211" t="b">
        <f>IFERROR(__xludf.DUMMYFUNCTION("""COMPUTED_VALUE"""),FALSE)</f>
        <v>0</v>
      </c>
    </row>
    <row r="3178">
      <c r="A3178" s="210" t="str">
        <f>IFERROR(__xludf.DUMMYFUNCTION("""COMPUTED_VALUE"""),"0126702214")</f>
        <v>0126702214</v>
      </c>
      <c r="B3178" s="210" t="str">
        <f>IFERROR(__xludf.DUMMYFUNCTION("""COMPUTED_VALUE"""),"0126702214")</f>
        <v>0126702214</v>
      </c>
      <c r="C3178" s="213">
        <f>IFERROR(__xludf.DUMMYFUNCTION("""COMPUTED_VALUE"""),46034.43135416666)</f>
        <v>46034.43135</v>
      </c>
      <c r="D3178" s="211" t="str">
        <f>IFERROR(__xludf.DUMMYFUNCTION("""COMPUTED_VALUE"""),"b2b5f2c5")</f>
        <v>b2b5f2c5</v>
      </c>
      <c r="E3178" s="211" t="str">
        <f>IFERROR(__xludf.DUMMYFUNCTION("""COMPUTED_VALUE"""),"Bengkel Las Bpk. Ari")</f>
        <v>Bengkel Las Bpk. Ari</v>
      </c>
      <c r="F3178" s="211" t="str">
        <f>IFERROR(__xludf.DUMMYFUNCTION("""COMPUTED_VALUE"""),"8bdbe149")</f>
        <v>8bdbe149</v>
      </c>
      <c r="G3178" s="211" t="str">
        <f>IFERROR(__xludf.DUMMYFUNCTION("""COMPUTED_VALUE"""),"Oksigen 6m3")</f>
        <v>Oksigen 6m3</v>
      </c>
      <c r="H3178" s="211" t="str">
        <f>IFERROR(__xludf.DUMMYFUNCTION("""COMPUTED_VALUE"""),"OUT")</f>
        <v>OUT</v>
      </c>
      <c r="I3178" s="211" t="str">
        <f>IFERROR(__xludf.DUMMYFUNCTION("""COMPUTED_VALUE"""),"NORMAL")</f>
        <v>NORMAL</v>
      </c>
      <c r="J3178" s="211">
        <f>IFERROR(__xludf.DUMMYFUNCTION("""COMPUTED_VALUE"""),8.0)</f>
        <v>8</v>
      </c>
      <c r="K3178" s="210" t="str">
        <f>IFERROR(__xludf.DUMMYFUNCTION("""COMPUTED_VALUE"""),"1139 11202 11253 1106 11341 11129 11296 11274")</f>
        <v>1139 11202 11253 1106 11341 11129 11296 11274</v>
      </c>
      <c r="L3178" s="211">
        <f>IFERROR(__xludf.DUMMYFUNCTION("""COMPUTED_VALUE"""),60000.0)</f>
        <v>60000</v>
      </c>
      <c r="M3178" s="211"/>
      <c r="N3178" s="211"/>
      <c r="O3178" s="211" t="b">
        <f>IFERROR(__xludf.DUMMYFUNCTION("""COMPUTED_VALUE"""),FALSE)</f>
        <v>0</v>
      </c>
    </row>
    <row r="3179">
      <c r="A3179" s="210" t="str">
        <f>IFERROR(__xludf.DUMMYFUNCTION("""COMPUTED_VALUE"""),"1261074")</f>
        <v>1261074</v>
      </c>
      <c r="B3179" s="210" t="str">
        <f>IFERROR(__xludf.DUMMYFUNCTION("""COMPUTED_VALUE"""),"1261074")</f>
        <v>1261074</v>
      </c>
      <c r="C3179" s="213">
        <f>IFERROR(__xludf.DUMMYFUNCTION("""COMPUTED_VALUE"""),46034.52327546296)</f>
        <v>46034.52328</v>
      </c>
      <c r="D3179" s="211" t="str">
        <f>IFERROR(__xludf.DUMMYFUNCTION("""COMPUTED_VALUE"""),"2d88931c")</f>
        <v>2d88931c</v>
      </c>
      <c r="E3179" s="211" t="str">
        <f>IFERROR(__xludf.DUMMYFUNCTION("""COMPUTED_VALUE"""),"PT Dunia Berkat Marga Mulya")</f>
        <v>PT Dunia Berkat Marga Mulya</v>
      </c>
      <c r="F3179" s="211" t="str">
        <f>IFERROR(__xludf.DUMMYFUNCTION("""COMPUTED_VALUE"""),"8bdbe149")</f>
        <v>8bdbe149</v>
      </c>
      <c r="G3179" s="211" t="str">
        <f>IFERROR(__xludf.DUMMYFUNCTION("""COMPUTED_VALUE"""),"Oksigen 6m3")</f>
        <v>Oksigen 6m3</v>
      </c>
      <c r="H3179" s="211" t="str">
        <f>IFERROR(__xludf.DUMMYFUNCTION("""COMPUTED_VALUE"""),"IN")</f>
        <v>IN</v>
      </c>
      <c r="I3179" s="211" t="str">
        <f>IFERROR(__xludf.DUMMYFUNCTION("""COMPUTED_VALUE"""),"EMPTY")</f>
        <v>EMPTY</v>
      </c>
      <c r="J3179" s="211">
        <f>IFERROR(__xludf.DUMMYFUNCTION("""COMPUTED_VALUE"""),2.0)</f>
        <v>2</v>
      </c>
      <c r="K3179" s="210" t="str">
        <f>IFERROR(__xludf.DUMMYFUNCTION("""COMPUTED_VALUE"""),"11232 11249")</f>
        <v>11232 11249</v>
      </c>
      <c r="L3179" s="211">
        <f>IFERROR(__xludf.DUMMYFUNCTION("""COMPUTED_VALUE"""),0.0)</f>
        <v>0</v>
      </c>
      <c r="M3179" s="211"/>
      <c r="N3179" s="211"/>
      <c r="O3179" s="211" t="b">
        <f>IFERROR(__xludf.DUMMYFUNCTION("""COMPUTED_VALUE"""),FALSE)</f>
        <v>0</v>
      </c>
    </row>
    <row r="3180">
      <c r="A3180" s="210" t="str">
        <f>IFERROR(__xludf.DUMMYFUNCTION("""COMPUTED_VALUE"""),"1261075")</f>
        <v>1261075</v>
      </c>
      <c r="B3180" s="210" t="str">
        <f>IFERROR(__xludf.DUMMYFUNCTION("""COMPUTED_VALUE"""),"1261075")</f>
        <v>1261075</v>
      </c>
      <c r="C3180" s="213">
        <f>IFERROR(__xludf.DUMMYFUNCTION("""COMPUTED_VALUE"""),46034.52449074074)</f>
        <v>46034.52449</v>
      </c>
      <c r="D3180" s="211" t="str">
        <f>IFERROR(__xludf.DUMMYFUNCTION("""COMPUTED_VALUE"""),"63fc688a")</f>
        <v>63fc688a</v>
      </c>
      <c r="E3180" s="211" t="str">
        <f>IFERROR(__xludf.DUMMYFUNCTION("""COMPUTED_VALUE"""),"CV Malik Nusantara")</f>
        <v>CV Malik Nusantara</v>
      </c>
      <c r="F3180" s="211" t="str">
        <f>IFERROR(__xludf.DUMMYFUNCTION("""COMPUTED_VALUE"""),"ef306e54")</f>
        <v>ef306e54</v>
      </c>
      <c r="G3180" s="211" t="str">
        <f>IFERROR(__xludf.DUMMYFUNCTION("""COMPUTED_VALUE"""),"Karbondioksida")</f>
        <v>Karbondioksida</v>
      </c>
      <c r="H3180" s="211" t="str">
        <f>IFERROR(__xludf.DUMMYFUNCTION("""COMPUTED_VALUE"""),"IN")</f>
        <v>IN</v>
      </c>
      <c r="I3180" s="211" t="str">
        <f>IFERROR(__xludf.DUMMYFUNCTION("""COMPUTED_VALUE"""),"EMPTY")</f>
        <v>EMPTY</v>
      </c>
      <c r="J3180" s="211">
        <f>IFERROR(__xludf.DUMMYFUNCTION("""COMPUTED_VALUE"""),1.0)</f>
        <v>1</v>
      </c>
      <c r="K3180" s="210" t="str">
        <f>IFERROR(__xludf.DUMMYFUNCTION("""COMPUTED_VALUE"""),"13061")</f>
        <v>13061</v>
      </c>
      <c r="L3180" s="211">
        <f>IFERROR(__xludf.DUMMYFUNCTION("""COMPUTED_VALUE"""),0.0)</f>
        <v>0</v>
      </c>
      <c r="M3180" s="211"/>
      <c r="N3180" s="211"/>
      <c r="O3180" s="211" t="b">
        <f>IFERROR(__xludf.DUMMYFUNCTION("""COMPUTED_VALUE"""),FALSE)</f>
        <v>0</v>
      </c>
    </row>
    <row r="3181">
      <c r="A3181" s="210" t="str">
        <f>IFERROR(__xludf.DUMMYFUNCTION("""COMPUTED_VALUE"""),"1261075")</f>
        <v>1261075</v>
      </c>
      <c r="B3181" s="210" t="str">
        <f>IFERROR(__xludf.DUMMYFUNCTION("""COMPUTED_VALUE"""),"1261075")</f>
        <v>1261075</v>
      </c>
      <c r="C3181" s="213">
        <f>IFERROR(__xludf.DUMMYFUNCTION("""COMPUTED_VALUE"""),46034.52449074074)</f>
        <v>46034.52449</v>
      </c>
      <c r="D3181" s="211" t="str">
        <f>IFERROR(__xludf.DUMMYFUNCTION("""COMPUTED_VALUE"""),"63fc688a")</f>
        <v>63fc688a</v>
      </c>
      <c r="E3181" s="211" t="str">
        <f>IFERROR(__xludf.DUMMYFUNCTION("""COMPUTED_VALUE"""),"CV Malik Nusantara")</f>
        <v>CV Malik Nusantara</v>
      </c>
      <c r="F3181" s="211" t="str">
        <f>IFERROR(__xludf.DUMMYFUNCTION("""COMPUTED_VALUE"""),"8bdbe149")</f>
        <v>8bdbe149</v>
      </c>
      <c r="G3181" s="211" t="str">
        <f>IFERROR(__xludf.DUMMYFUNCTION("""COMPUTED_VALUE"""),"Oksigen 6m3")</f>
        <v>Oksigen 6m3</v>
      </c>
      <c r="H3181" s="211" t="str">
        <f>IFERROR(__xludf.DUMMYFUNCTION("""COMPUTED_VALUE"""),"IN")</f>
        <v>IN</v>
      </c>
      <c r="I3181" s="211" t="str">
        <f>IFERROR(__xludf.DUMMYFUNCTION("""COMPUTED_VALUE"""),"EMPTY")</f>
        <v>EMPTY</v>
      </c>
      <c r="J3181" s="211">
        <f>IFERROR(__xludf.DUMMYFUNCTION("""COMPUTED_VALUE"""),2.0)</f>
        <v>2</v>
      </c>
      <c r="K3181" s="210" t="str">
        <f>IFERROR(__xludf.DUMMYFUNCTION("""COMPUTED_VALUE"""),"11112 11184")</f>
        <v>11112 11184</v>
      </c>
      <c r="L3181" s="211">
        <f>IFERROR(__xludf.DUMMYFUNCTION("""COMPUTED_VALUE"""),0.0)</f>
        <v>0</v>
      </c>
      <c r="M3181" s="211"/>
      <c r="N3181" s="211"/>
      <c r="O3181" s="211" t="b">
        <f>IFERROR(__xludf.DUMMYFUNCTION("""COMPUTED_VALUE"""),FALSE)</f>
        <v>0</v>
      </c>
    </row>
    <row r="3182">
      <c r="A3182" s="210" t="str">
        <f>IFERROR(__xludf.DUMMYFUNCTION("""COMPUTED_VALUE"""),"1261075")</f>
        <v>1261075</v>
      </c>
      <c r="B3182" s="210" t="str">
        <f>IFERROR(__xludf.DUMMYFUNCTION("""COMPUTED_VALUE"""),"1261075")</f>
        <v>1261075</v>
      </c>
      <c r="C3182" s="213">
        <f>IFERROR(__xludf.DUMMYFUNCTION("""COMPUTED_VALUE"""),46034.52449074074)</f>
        <v>46034.52449</v>
      </c>
      <c r="D3182" s="211" t="str">
        <f>IFERROR(__xludf.DUMMYFUNCTION("""COMPUTED_VALUE"""),"63fc688a")</f>
        <v>63fc688a</v>
      </c>
      <c r="E3182" s="211" t="str">
        <f>IFERROR(__xludf.DUMMYFUNCTION("""COMPUTED_VALUE"""),"CV Malik Nusantara")</f>
        <v>CV Malik Nusantara</v>
      </c>
      <c r="F3182" s="211" t="str">
        <f>IFERROR(__xludf.DUMMYFUNCTION("""COMPUTED_VALUE"""),"7d2764f1")</f>
        <v>7d2764f1</v>
      </c>
      <c r="G3182" s="211" t="str">
        <f>IFERROR(__xludf.DUMMYFUNCTION("""COMPUTED_VALUE"""),"Oksigen 7m3")</f>
        <v>Oksigen 7m3</v>
      </c>
      <c r="H3182" s="211" t="str">
        <f>IFERROR(__xludf.DUMMYFUNCTION("""COMPUTED_VALUE"""),"IN")</f>
        <v>IN</v>
      </c>
      <c r="I3182" s="211" t="str">
        <f>IFERROR(__xludf.DUMMYFUNCTION("""COMPUTED_VALUE"""),"EMPTY")</f>
        <v>EMPTY</v>
      </c>
      <c r="J3182" s="211">
        <f>IFERROR(__xludf.DUMMYFUNCTION("""COMPUTED_VALUE"""),1.0)</f>
        <v>1</v>
      </c>
      <c r="K3182" s="210" t="str">
        <f>IFERROR(__xludf.DUMMYFUNCTION("""COMPUTED_VALUE"""),"11306")</f>
        <v>11306</v>
      </c>
      <c r="L3182" s="211">
        <f>IFERROR(__xludf.DUMMYFUNCTION("""COMPUTED_VALUE"""),0.0)</f>
        <v>0</v>
      </c>
      <c r="M3182" s="211"/>
      <c r="N3182" s="211"/>
      <c r="O3182" s="211" t="b">
        <f>IFERROR(__xludf.DUMMYFUNCTION("""COMPUTED_VALUE"""),FALSE)</f>
        <v>0</v>
      </c>
    </row>
    <row r="3183">
      <c r="A3183" s="210" t="str">
        <f>IFERROR(__xludf.DUMMYFUNCTION("""COMPUTED_VALUE"""),"1261073")</f>
        <v>1261073</v>
      </c>
      <c r="B3183" s="210" t="str">
        <f>IFERROR(__xludf.DUMMYFUNCTION("""COMPUTED_VALUE"""),"1261073")</f>
        <v>1261073</v>
      </c>
      <c r="C3183" s="213">
        <f>IFERROR(__xludf.DUMMYFUNCTION("""COMPUTED_VALUE"""),46034.527291666665)</f>
        <v>46034.52729</v>
      </c>
      <c r="D3183" s="211" t="str">
        <f>IFERROR(__xludf.DUMMYFUNCTION("""COMPUTED_VALUE"""),"a0f0ad2d")</f>
        <v>a0f0ad2d</v>
      </c>
      <c r="E3183" s="211" t="str">
        <f>IFERROR(__xludf.DUMMYFUNCTION("""COMPUTED_VALUE"""),"CV. Yulie Jaya")</f>
        <v>CV. Yulie Jaya</v>
      </c>
      <c r="F3183" s="211" t="str">
        <f>IFERROR(__xludf.DUMMYFUNCTION("""COMPUTED_VALUE"""),"be525f3b")</f>
        <v>be525f3b</v>
      </c>
      <c r="G3183" s="211" t="str">
        <f>IFERROR(__xludf.DUMMYFUNCTION("""COMPUTED_VALUE"""),"LPG 12kg")</f>
        <v>LPG 12kg</v>
      </c>
      <c r="H3183" s="211" t="str">
        <f>IFERROR(__xludf.DUMMYFUNCTION("""COMPUTED_VALUE"""),"IN")</f>
        <v>IN</v>
      </c>
      <c r="I3183" s="211" t="str">
        <f>IFERROR(__xludf.DUMMYFUNCTION("""COMPUTED_VALUE"""),"EMPTY")</f>
        <v>EMPTY</v>
      </c>
      <c r="J3183" s="211">
        <f>IFERROR(__xludf.DUMMYFUNCTION("""COMPUTED_VALUE"""),1.0)</f>
        <v>1</v>
      </c>
      <c r="K3183" s="210" t="str">
        <f>IFERROR(__xludf.DUMMYFUNCTION("""COMPUTED_VALUE"""),"L002")</f>
        <v>L002</v>
      </c>
      <c r="L3183" s="211">
        <f>IFERROR(__xludf.DUMMYFUNCTION("""COMPUTED_VALUE"""),0.0)</f>
        <v>0</v>
      </c>
      <c r="M3183" s="211"/>
      <c r="N3183" s="211"/>
      <c r="O3183" s="211" t="b">
        <f>IFERROR(__xludf.DUMMYFUNCTION("""COMPUTED_VALUE"""),FALSE)</f>
        <v>0</v>
      </c>
    </row>
    <row r="3184">
      <c r="A3184" s="210" t="str">
        <f>IFERROR(__xludf.DUMMYFUNCTION("""COMPUTED_VALUE"""),"1261073")</f>
        <v>1261073</v>
      </c>
      <c r="B3184" s="210" t="str">
        <f>IFERROR(__xludf.DUMMYFUNCTION("""COMPUTED_VALUE"""),"1261073")</f>
        <v>1261073</v>
      </c>
      <c r="C3184" s="213">
        <f>IFERROR(__xludf.DUMMYFUNCTION("""COMPUTED_VALUE"""),46034.527291666665)</f>
        <v>46034.52729</v>
      </c>
      <c r="D3184" s="211" t="str">
        <f>IFERROR(__xludf.DUMMYFUNCTION("""COMPUTED_VALUE"""),"a0f0ad2d")</f>
        <v>a0f0ad2d</v>
      </c>
      <c r="E3184" s="211" t="str">
        <f>IFERROR(__xludf.DUMMYFUNCTION("""COMPUTED_VALUE"""),"CV. Yulie Jaya")</f>
        <v>CV. Yulie Jaya</v>
      </c>
      <c r="F3184" s="211" t="str">
        <f>IFERROR(__xludf.DUMMYFUNCTION("""COMPUTED_VALUE"""),"8bdbe149")</f>
        <v>8bdbe149</v>
      </c>
      <c r="G3184" s="211" t="str">
        <f>IFERROR(__xludf.DUMMYFUNCTION("""COMPUTED_VALUE"""),"Oksigen 6m3")</f>
        <v>Oksigen 6m3</v>
      </c>
      <c r="H3184" s="211" t="str">
        <f>IFERROR(__xludf.DUMMYFUNCTION("""COMPUTED_VALUE"""),"IN")</f>
        <v>IN</v>
      </c>
      <c r="I3184" s="211" t="str">
        <f>IFERROR(__xludf.DUMMYFUNCTION("""COMPUTED_VALUE"""),"EMPTY")</f>
        <v>EMPTY</v>
      </c>
      <c r="J3184" s="211">
        <f>IFERROR(__xludf.DUMMYFUNCTION("""COMPUTED_VALUE"""),2.0)</f>
        <v>2</v>
      </c>
      <c r="K3184" s="210" t="str">
        <f>IFERROR(__xludf.DUMMYFUNCTION("""COMPUTED_VALUE"""),"11127 11256")</f>
        <v>11127 11256</v>
      </c>
      <c r="L3184" s="211">
        <f>IFERROR(__xludf.DUMMYFUNCTION("""COMPUTED_VALUE"""),0.0)</f>
        <v>0</v>
      </c>
      <c r="M3184" s="211"/>
      <c r="N3184" s="211"/>
      <c r="O3184" s="211" t="b">
        <f>IFERROR(__xludf.DUMMYFUNCTION("""COMPUTED_VALUE"""),FALSE)</f>
        <v>0</v>
      </c>
    </row>
    <row r="3185">
      <c r="A3185" s="210" t="str">
        <f>IFERROR(__xludf.DUMMYFUNCTION("""COMPUTED_VALUE"""),"1261073")</f>
        <v>1261073</v>
      </c>
      <c r="B3185" s="210" t="str">
        <f>IFERROR(__xludf.DUMMYFUNCTION("""COMPUTED_VALUE"""),"1261073")</f>
        <v>1261073</v>
      </c>
      <c r="C3185" s="213">
        <f>IFERROR(__xludf.DUMMYFUNCTION("""COMPUTED_VALUE"""),46034.527291666665)</f>
        <v>46034.52729</v>
      </c>
      <c r="D3185" s="211" t="str">
        <f>IFERROR(__xludf.DUMMYFUNCTION("""COMPUTED_VALUE"""),"a0f0ad2d")</f>
        <v>a0f0ad2d</v>
      </c>
      <c r="E3185" s="211" t="str">
        <f>IFERROR(__xludf.DUMMYFUNCTION("""COMPUTED_VALUE"""),"CV. Yulie Jaya")</f>
        <v>CV. Yulie Jaya</v>
      </c>
      <c r="F3185" s="211" t="str">
        <f>IFERROR(__xludf.DUMMYFUNCTION("""COMPUTED_VALUE"""),"7d2764f1")</f>
        <v>7d2764f1</v>
      </c>
      <c r="G3185" s="211" t="str">
        <f>IFERROR(__xludf.DUMMYFUNCTION("""COMPUTED_VALUE"""),"Oksigen 7m3")</f>
        <v>Oksigen 7m3</v>
      </c>
      <c r="H3185" s="211" t="str">
        <f>IFERROR(__xludf.DUMMYFUNCTION("""COMPUTED_VALUE"""),"IN")</f>
        <v>IN</v>
      </c>
      <c r="I3185" s="211" t="str">
        <f>IFERROR(__xludf.DUMMYFUNCTION("""COMPUTED_VALUE"""),"EMPTY")</f>
        <v>EMPTY</v>
      </c>
      <c r="J3185" s="211">
        <f>IFERROR(__xludf.DUMMYFUNCTION("""COMPUTED_VALUE"""),1.0)</f>
        <v>1</v>
      </c>
      <c r="K3185" s="210" t="str">
        <f>IFERROR(__xludf.DUMMYFUNCTION("""COMPUTED_VALUE"""),"11144")</f>
        <v>11144</v>
      </c>
      <c r="L3185" s="211">
        <f>IFERROR(__xludf.DUMMYFUNCTION("""COMPUTED_VALUE"""),0.0)</f>
        <v>0</v>
      </c>
      <c r="M3185" s="211"/>
      <c r="N3185" s="211"/>
      <c r="O3185" s="211" t="b">
        <f>IFERROR(__xludf.DUMMYFUNCTION("""COMPUTED_VALUE"""),FALSE)</f>
        <v>0</v>
      </c>
    </row>
    <row r="3186">
      <c r="A3186" s="210" t="str">
        <f>IFERROR(__xludf.DUMMYFUNCTION("""COMPUTED_VALUE"""),"1261075")</f>
        <v>1261075</v>
      </c>
      <c r="B3186" s="210" t="str">
        <f>IFERROR(__xludf.DUMMYFUNCTION("""COMPUTED_VALUE"""),"1261075")</f>
        <v>1261075</v>
      </c>
      <c r="C3186" s="213">
        <f>IFERROR(__xludf.DUMMYFUNCTION("""COMPUTED_VALUE"""),46034.52449074074)</f>
        <v>46034.52449</v>
      </c>
      <c r="D3186" s="211" t="str">
        <f>IFERROR(__xludf.DUMMYFUNCTION("""COMPUTED_VALUE"""),"63fc688a")</f>
        <v>63fc688a</v>
      </c>
      <c r="E3186" s="211" t="str">
        <f>IFERROR(__xludf.DUMMYFUNCTION("""COMPUTED_VALUE"""),"CV Malik Nusantara")</f>
        <v>CV Malik Nusantara</v>
      </c>
      <c r="F3186" s="211" t="str">
        <f>IFERROR(__xludf.DUMMYFUNCTION("""COMPUTED_VALUE"""),"7d2764f1")</f>
        <v>7d2764f1</v>
      </c>
      <c r="G3186" s="211" t="str">
        <f>IFERROR(__xludf.DUMMYFUNCTION("""COMPUTED_VALUE"""),"Oksigen 7m3")</f>
        <v>Oksigen 7m3</v>
      </c>
      <c r="H3186" s="211" t="str">
        <f>IFERROR(__xludf.DUMMYFUNCTION("""COMPUTED_VALUE"""),"IN")</f>
        <v>IN</v>
      </c>
      <c r="I3186" s="211" t="str">
        <f>IFERROR(__xludf.DUMMYFUNCTION("""COMPUTED_VALUE"""),"EMPTY")</f>
        <v>EMPTY</v>
      </c>
      <c r="J3186" s="211">
        <f>IFERROR(__xludf.DUMMYFUNCTION("""COMPUTED_VALUE"""),1.0)</f>
        <v>1</v>
      </c>
      <c r="K3186" s="210" t="str">
        <f>IFERROR(__xludf.DUMMYFUNCTION("""COMPUTED_VALUE"""),"11229")</f>
        <v>11229</v>
      </c>
      <c r="L3186" s="211">
        <f>IFERROR(__xludf.DUMMYFUNCTION("""COMPUTED_VALUE"""),0.0)</f>
        <v>0</v>
      </c>
      <c r="M3186" s="211"/>
      <c r="N3186" s="211"/>
      <c r="O3186" s="211" t="b">
        <f>IFERROR(__xludf.DUMMYFUNCTION("""COMPUTED_VALUE"""),TRUE)</f>
        <v>1</v>
      </c>
    </row>
    <row r="3187">
      <c r="A3187" s="210" t="str">
        <f>IFERROR(__xludf.DUMMYFUNCTION("""COMPUTED_VALUE"""),"1261075")</f>
        <v>1261075</v>
      </c>
      <c r="B3187" s="210" t="str">
        <f>IFERROR(__xludf.DUMMYFUNCTION("""COMPUTED_VALUE"""),"1261075")</f>
        <v>1261075</v>
      </c>
      <c r="C3187" s="213">
        <f>IFERROR(__xludf.DUMMYFUNCTION("""COMPUTED_VALUE"""),46034.52449074074)</f>
        <v>46034.52449</v>
      </c>
      <c r="D3187" s="211" t="str">
        <f>IFERROR(__xludf.DUMMYFUNCTION("""COMPUTED_VALUE"""),"63fc688a")</f>
        <v>63fc688a</v>
      </c>
      <c r="E3187" s="211" t="str">
        <f>IFERROR(__xludf.DUMMYFUNCTION("""COMPUTED_VALUE"""),"CV Malik Nusantara")</f>
        <v>CV Malik Nusantara</v>
      </c>
      <c r="F3187" s="211" t="str">
        <f>IFERROR(__xludf.DUMMYFUNCTION("""COMPUTED_VALUE"""),"ef306e54")</f>
        <v>ef306e54</v>
      </c>
      <c r="G3187" s="211" t="str">
        <f>IFERROR(__xludf.DUMMYFUNCTION("""COMPUTED_VALUE"""),"Karbondioksida")</f>
        <v>Karbondioksida</v>
      </c>
      <c r="H3187" s="211" t="str">
        <f>IFERROR(__xludf.DUMMYFUNCTION("""COMPUTED_VALUE"""),"IN")</f>
        <v>IN</v>
      </c>
      <c r="I3187" s="211" t="str">
        <f>IFERROR(__xludf.DUMMYFUNCTION("""COMPUTED_VALUE"""),"CLAIM")</f>
        <v>CLAIM</v>
      </c>
      <c r="J3187" s="211">
        <f>IFERROR(__xludf.DUMMYFUNCTION("""COMPUTED_VALUE"""),1.0)</f>
        <v>1</v>
      </c>
      <c r="K3187" s="210" t="str">
        <f>IFERROR(__xludf.DUMMYFUNCTION("""COMPUTED_VALUE"""),"13030")</f>
        <v>13030</v>
      </c>
      <c r="L3187" s="211">
        <f>IFERROR(__xludf.DUMMYFUNCTION("""COMPUTED_VALUE"""),0.0)</f>
        <v>0</v>
      </c>
      <c r="M3187" s="211"/>
      <c r="N3187" s="211"/>
      <c r="O3187" s="211" t="b">
        <f>IFERROR(__xludf.DUMMYFUNCTION("""COMPUTED_VALUE"""),FALSE)</f>
        <v>0</v>
      </c>
    </row>
    <row r="3188">
      <c r="A3188" s="210" t="str">
        <f>IFERROR(__xludf.DUMMYFUNCTION("""COMPUTED_VALUE"""),"0126112215")</f>
        <v>0126112215</v>
      </c>
      <c r="B3188" s="210" t="str">
        <f>IFERROR(__xludf.DUMMYFUNCTION("""COMPUTED_VALUE"""),"0126112215")</f>
        <v>0126112215</v>
      </c>
      <c r="C3188" s="213">
        <f>IFERROR(__xludf.DUMMYFUNCTION("""COMPUTED_VALUE"""),46034.56234953704)</f>
        <v>46034.56235</v>
      </c>
      <c r="D3188" s="211" t="str">
        <f>IFERROR(__xludf.DUMMYFUNCTION("""COMPUTED_VALUE"""),"63fc688a")</f>
        <v>63fc688a</v>
      </c>
      <c r="E3188" s="211" t="str">
        <f>IFERROR(__xludf.DUMMYFUNCTION("""COMPUTED_VALUE"""),"CV Malik Nusantara")</f>
        <v>CV Malik Nusantara</v>
      </c>
      <c r="F3188" s="211" t="str">
        <f>IFERROR(__xludf.DUMMYFUNCTION("""COMPUTED_VALUE"""),"8bdbe149")</f>
        <v>8bdbe149</v>
      </c>
      <c r="G3188" s="211" t="str">
        <f>IFERROR(__xludf.DUMMYFUNCTION("""COMPUTED_VALUE"""),"Oksigen 6m3")</f>
        <v>Oksigen 6m3</v>
      </c>
      <c r="H3188" s="211" t="str">
        <f>IFERROR(__xludf.DUMMYFUNCTION("""COMPUTED_VALUE"""),"OUT")</f>
        <v>OUT</v>
      </c>
      <c r="I3188" s="211" t="str">
        <f>IFERROR(__xludf.DUMMYFUNCTION("""COMPUTED_VALUE"""),"NORMAL")</f>
        <v>NORMAL</v>
      </c>
      <c r="J3188" s="211">
        <f>IFERROR(__xludf.DUMMYFUNCTION("""COMPUTED_VALUE"""),8.0)</f>
        <v>8</v>
      </c>
      <c r="K3188" s="210" t="str">
        <f>IFERROR(__xludf.DUMMYFUNCTION("""COMPUTED_VALUE"""),"11124 11103 1148 11121 11252 1113 11241 11281")</f>
        <v>11124 11103 1148 11121 11252 1113 11241 11281</v>
      </c>
      <c r="L3188" s="211">
        <f>IFERROR(__xludf.DUMMYFUNCTION("""COMPUTED_VALUE"""),65000.0)</f>
        <v>65000</v>
      </c>
      <c r="M3188" s="211"/>
      <c r="N3188" s="211"/>
      <c r="O3188" s="211" t="b">
        <f>IFERROR(__xludf.DUMMYFUNCTION("""COMPUTED_VALUE"""),FALSE)</f>
        <v>0</v>
      </c>
    </row>
    <row r="3189">
      <c r="A3189" s="210" t="str">
        <f>IFERROR(__xludf.DUMMYFUNCTION("""COMPUTED_VALUE"""),"0126112215")</f>
        <v>0126112215</v>
      </c>
      <c r="B3189" s="210" t="str">
        <f>IFERROR(__xludf.DUMMYFUNCTION("""COMPUTED_VALUE"""),"0126112215")</f>
        <v>0126112215</v>
      </c>
      <c r="C3189" s="213">
        <f>IFERROR(__xludf.DUMMYFUNCTION("""COMPUTED_VALUE"""),46034.56234953704)</f>
        <v>46034.56235</v>
      </c>
      <c r="D3189" s="211" t="str">
        <f>IFERROR(__xludf.DUMMYFUNCTION("""COMPUTED_VALUE"""),"63fc688a")</f>
        <v>63fc688a</v>
      </c>
      <c r="E3189" s="211" t="str">
        <f>IFERROR(__xludf.DUMMYFUNCTION("""COMPUTED_VALUE"""),"CV Malik Nusantara")</f>
        <v>CV Malik Nusantara</v>
      </c>
      <c r="F3189" s="211" t="str">
        <f>IFERROR(__xludf.DUMMYFUNCTION("""COMPUTED_VALUE"""),"ef306e54")</f>
        <v>ef306e54</v>
      </c>
      <c r="G3189" s="211" t="str">
        <f>IFERROR(__xludf.DUMMYFUNCTION("""COMPUTED_VALUE"""),"Karbondioksida")</f>
        <v>Karbondioksida</v>
      </c>
      <c r="H3189" s="211" t="str">
        <f>IFERROR(__xludf.DUMMYFUNCTION("""COMPUTED_VALUE"""),"OUT")</f>
        <v>OUT</v>
      </c>
      <c r="I3189" s="211" t="str">
        <f>IFERROR(__xludf.DUMMYFUNCTION("""COMPUTED_VALUE"""),"NORMAL")</f>
        <v>NORMAL</v>
      </c>
      <c r="J3189" s="211">
        <f>IFERROR(__xludf.DUMMYFUNCTION("""COMPUTED_VALUE"""),3.0)</f>
        <v>3</v>
      </c>
      <c r="K3189" s="210" t="str">
        <f>IFERROR(__xludf.DUMMYFUNCTION("""COMPUTED_VALUE"""),"13048 13006 13007")</f>
        <v>13048 13006 13007</v>
      </c>
      <c r="L3189" s="211">
        <f>IFERROR(__xludf.DUMMYFUNCTION("""COMPUTED_VALUE"""),190000.0)</f>
        <v>190000</v>
      </c>
      <c r="M3189" s="211"/>
      <c r="N3189" s="211"/>
      <c r="O3189" s="211" t="b">
        <f>IFERROR(__xludf.DUMMYFUNCTION("""COMPUTED_VALUE"""),FALSE)</f>
        <v>0</v>
      </c>
    </row>
    <row r="3190">
      <c r="A3190" s="210" t="str">
        <f>IFERROR(__xludf.DUMMYFUNCTION("""COMPUTED_VALUE"""),"4012611990")</f>
        <v>4012611990</v>
      </c>
      <c r="B3190" s="210" t="str">
        <f>IFERROR(__xludf.DUMMYFUNCTION("""COMPUTED_VALUE"""),"4012611990")</f>
        <v>4012611990</v>
      </c>
      <c r="C3190" s="213">
        <f>IFERROR(__xludf.DUMMYFUNCTION("""COMPUTED_VALUE"""),46034.56532407407)</f>
        <v>46034.56532</v>
      </c>
      <c r="D3190" s="211" t="str">
        <f>IFERROR(__xludf.DUMMYFUNCTION("""COMPUTED_VALUE"""),"63fc688a")</f>
        <v>63fc688a</v>
      </c>
      <c r="E3190" s="211" t="str">
        <f>IFERROR(__xludf.DUMMYFUNCTION("""COMPUTED_VALUE"""),"CV Malik Nusantara")</f>
        <v>CV Malik Nusantara</v>
      </c>
      <c r="F3190" s="211" t="str">
        <f>IFERROR(__xludf.DUMMYFUNCTION("""COMPUTED_VALUE"""),"ef306e54")</f>
        <v>ef306e54</v>
      </c>
      <c r="G3190" s="211" t="str">
        <f>IFERROR(__xludf.DUMMYFUNCTION("""COMPUTED_VALUE"""),"Karbondioksida")</f>
        <v>Karbondioksida</v>
      </c>
      <c r="H3190" s="211" t="str">
        <f>IFERROR(__xludf.DUMMYFUNCTION("""COMPUTED_VALUE"""),"OTHER")</f>
        <v>OTHER</v>
      </c>
      <c r="I3190" s="211" t="str">
        <f>IFERROR(__xludf.DUMMYFUNCTION("""COMPUTED_VALUE"""),"RETUR CLAIM")</f>
        <v>RETUR CLAIM</v>
      </c>
      <c r="J3190" s="211">
        <f>IFERROR(__xludf.DUMMYFUNCTION("""COMPUTED_VALUE"""),1.0)</f>
        <v>1</v>
      </c>
      <c r="K3190" s="210" t="str">
        <f>IFERROR(__xludf.DUMMYFUNCTION("""COMPUTED_VALUE"""),"13050")</f>
        <v>13050</v>
      </c>
      <c r="L3190" s="211">
        <f>IFERROR(__xludf.DUMMYFUNCTION("""COMPUTED_VALUE"""),0.0)</f>
        <v>0</v>
      </c>
      <c r="M3190" s="211"/>
      <c r="N3190" s="211"/>
      <c r="O3190" s="211" t="b">
        <f>IFERROR(__xludf.DUMMYFUNCTION("""COMPUTED_VALUE"""),FALSE)</f>
        <v>0</v>
      </c>
    </row>
    <row r="3191">
      <c r="A3191" s="210" t="str">
        <f>IFERROR(__xludf.DUMMYFUNCTION("""COMPUTED_VALUE"""),"1261060")</f>
        <v>1261060</v>
      </c>
      <c r="B3191" s="210" t="str">
        <f>IFERROR(__xludf.DUMMYFUNCTION("""COMPUTED_VALUE"""),"1261060")</f>
        <v>1261060</v>
      </c>
      <c r="C3191" s="213">
        <f>IFERROR(__xludf.DUMMYFUNCTION("""COMPUTED_VALUE"""),46034.566782407404)</f>
        <v>46034.56678</v>
      </c>
      <c r="D3191" s="211" t="str">
        <f>IFERROR(__xludf.DUMMYFUNCTION("""COMPUTED_VALUE"""),"b2b5f2c5")</f>
        <v>b2b5f2c5</v>
      </c>
      <c r="E3191" s="211" t="str">
        <f>IFERROR(__xludf.DUMMYFUNCTION("""COMPUTED_VALUE"""),"Bengkel Las Bpk. Ari")</f>
        <v>Bengkel Las Bpk. Ari</v>
      </c>
      <c r="F3191" s="211" t="str">
        <f>IFERROR(__xludf.DUMMYFUNCTION("""COMPUTED_VALUE"""),"8bdbe149")</f>
        <v>8bdbe149</v>
      </c>
      <c r="G3191" s="211" t="str">
        <f>IFERROR(__xludf.DUMMYFUNCTION("""COMPUTED_VALUE"""),"Oksigen 6m3")</f>
        <v>Oksigen 6m3</v>
      </c>
      <c r="H3191" s="211" t="str">
        <f>IFERROR(__xludf.DUMMYFUNCTION("""COMPUTED_VALUE"""),"IN")</f>
        <v>IN</v>
      </c>
      <c r="I3191" s="211" t="str">
        <f>IFERROR(__xludf.DUMMYFUNCTION("""COMPUTED_VALUE"""),"EMPTY")</f>
        <v>EMPTY</v>
      </c>
      <c r="J3191" s="211">
        <f>IFERROR(__xludf.DUMMYFUNCTION("""COMPUTED_VALUE"""),6.0)</f>
        <v>6</v>
      </c>
      <c r="K3191" s="210" t="str">
        <f>IFERROR(__xludf.DUMMYFUNCTION("""COMPUTED_VALUE"""),"1182 11262 11242 11282 11114 1168")</f>
        <v>1182 11262 11242 11282 11114 1168</v>
      </c>
      <c r="L3191" s="211">
        <f>IFERROR(__xludf.DUMMYFUNCTION("""COMPUTED_VALUE"""),0.0)</f>
        <v>0</v>
      </c>
      <c r="M3191" s="211"/>
      <c r="N3191" s="211"/>
      <c r="O3191" s="211" t="b">
        <f>IFERROR(__xludf.DUMMYFUNCTION("""COMPUTED_VALUE"""),FALSE)</f>
        <v>0</v>
      </c>
    </row>
    <row r="3192">
      <c r="A3192" s="210" t="str">
        <f>IFERROR(__xludf.DUMMYFUNCTION("""COMPUTED_VALUE"""),"1261076")</f>
        <v>1261076</v>
      </c>
      <c r="B3192" s="210" t="str">
        <f>IFERROR(__xludf.DUMMYFUNCTION("""COMPUTED_VALUE"""),"1261076")</f>
        <v>1261076</v>
      </c>
      <c r="C3192" s="213">
        <f>IFERROR(__xludf.DUMMYFUNCTION("""COMPUTED_VALUE"""),46035.36048611111)</f>
        <v>46035.36049</v>
      </c>
      <c r="D3192" s="211" t="str">
        <f>IFERROR(__xludf.DUMMYFUNCTION("""COMPUTED_VALUE"""),"440df1db")</f>
        <v>440df1db</v>
      </c>
      <c r="E3192" s="211" t="str">
        <f>IFERROR(__xludf.DUMMYFUNCTION("""COMPUTED_VALUE"""),"PT. Mecca Abadi Sejahtera")</f>
        <v>PT. Mecca Abadi Sejahtera</v>
      </c>
      <c r="F3192" s="211" t="str">
        <f>IFERROR(__xludf.DUMMYFUNCTION("""COMPUTED_VALUE"""),"ef306e54")</f>
        <v>ef306e54</v>
      </c>
      <c r="G3192" s="211" t="str">
        <f>IFERROR(__xludf.DUMMYFUNCTION("""COMPUTED_VALUE"""),"Karbondioksida")</f>
        <v>Karbondioksida</v>
      </c>
      <c r="H3192" s="211" t="str">
        <f>IFERROR(__xludf.DUMMYFUNCTION("""COMPUTED_VALUE"""),"IN")</f>
        <v>IN</v>
      </c>
      <c r="I3192" s="211" t="str">
        <f>IFERROR(__xludf.DUMMYFUNCTION("""COMPUTED_VALUE"""),"EMPTY")</f>
        <v>EMPTY</v>
      </c>
      <c r="J3192" s="211">
        <f>IFERROR(__xludf.DUMMYFUNCTION("""COMPUTED_VALUE"""),5.0)</f>
        <v>5</v>
      </c>
      <c r="K3192" s="210" t="str">
        <f>IFERROR(__xludf.DUMMYFUNCTION("""COMPUTED_VALUE"""),"13045 13042 13010 13043 13062")</f>
        <v>13045 13042 13010 13043 13062</v>
      </c>
      <c r="L3192" s="211">
        <f>IFERROR(__xludf.DUMMYFUNCTION("""COMPUTED_VALUE"""),0.0)</f>
        <v>0</v>
      </c>
      <c r="M3192" s="211"/>
      <c r="N3192" s="211"/>
      <c r="O3192" s="211" t="b">
        <f>IFERROR(__xludf.DUMMYFUNCTION("""COMPUTED_VALUE"""),FALSE)</f>
        <v>0</v>
      </c>
    </row>
    <row r="3193">
      <c r="A3193" s="210" t="str">
        <f>IFERROR(__xludf.DUMMYFUNCTION("""COMPUTED_VALUE"""),"012672219")</f>
        <v>012672219</v>
      </c>
      <c r="B3193" s="210" t="str">
        <f>IFERROR(__xludf.DUMMYFUNCTION("""COMPUTED_VALUE"""),"012672219")</f>
        <v>012672219</v>
      </c>
      <c r="C3193" s="213">
        <f>IFERROR(__xludf.DUMMYFUNCTION("""COMPUTED_VALUE"""),46035.361342592594)</f>
        <v>46035.36134</v>
      </c>
      <c r="D3193" s="211" t="str">
        <f>IFERROR(__xludf.DUMMYFUNCTION("""COMPUTED_VALUE"""),"b0735da4")</f>
        <v>b0735da4</v>
      </c>
      <c r="E3193" s="211" t="str">
        <f>IFERROR(__xludf.DUMMYFUNCTION("""COMPUTED_VALUE"""),"Bpk. Amer Ciro")</f>
        <v>Bpk. Amer Ciro</v>
      </c>
      <c r="F3193" s="211" t="str">
        <f>IFERROR(__xludf.DUMMYFUNCTION("""COMPUTED_VALUE"""),"7d2764f1")</f>
        <v>7d2764f1</v>
      </c>
      <c r="G3193" s="211" t="str">
        <f>IFERROR(__xludf.DUMMYFUNCTION("""COMPUTED_VALUE"""),"Oksigen 7m3")</f>
        <v>Oksigen 7m3</v>
      </c>
      <c r="H3193" s="211" t="str">
        <f>IFERROR(__xludf.DUMMYFUNCTION("""COMPUTED_VALUE"""),"OUT")</f>
        <v>OUT</v>
      </c>
      <c r="I3193" s="211" t="str">
        <f>IFERROR(__xludf.DUMMYFUNCTION("""COMPUTED_VALUE"""),"NORMAL")</f>
        <v>NORMAL</v>
      </c>
      <c r="J3193" s="211">
        <f>IFERROR(__xludf.DUMMYFUNCTION("""COMPUTED_VALUE"""),2.0)</f>
        <v>2</v>
      </c>
      <c r="K3193" s="210" t="str">
        <f>IFERROR(__xludf.DUMMYFUNCTION("""COMPUTED_VALUE"""),"1161 11306")</f>
        <v>1161 11306</v>
      </c>
      <c r="L3193" s="211">
        <f>IFERROR(__xludf.DUMMYFUNCTION("""COMPUTED_VALUE"""),65000.0)</f>
        <v>65000</v>
      </c>
      <c r="M3193" s="211"/>
      <c r="N3193" s="211"/>
      <c r="O3193" s="211" t="b">
        <f>IFERROR(__xludf.DUMMYFUNCTION("""COMPUTED_VALUE"""),FALSE)</f>
        <v>0</v>
      </c>
    </row>
    <row r="3194">
      <c r="A3194" s="210" t="str">
        <f>IFERROR(__xludf.DUMMYFUNCTION("""COMPUTED_VALUE"""),"0126362223")</f>
        <v>0126362223</v>
      </c>
      <c r="B3194" s="210" t="str">
        <f>IFERROR(__xludf.DUMMYFUNCTION("""COMPUTED_VALUE"""),"0126362223")</f>
        <v>0126362223</v>
      </c>
      <c r="C3194" s="213">
        <f>IFERROR(__xludf.DUMMYFUNCTION("""COMPUTED_VALUE"""),46035.47922453703)</f>
        <v>46035.47922</v>
      </c>
      <c r="D3194" s="211" t="str">
        <f>IFERROR(__xludf.DUMMYFUNCTION("""COMPUTED_VALUE"""),"ce83e171")</f>
        <v>ce83e171</v>
      </c>
      <c r="E3194" s="211" t="str">
        <f>IFERROR(__xludf.DUMMYFUNCTION("""COMPUTED_VALUE"""),"Bpk. Sulaiman")</f>
        <v>Bpk. Sulaiman</v>
      </c>
      <c r="F3194" s="211" t="str">
        <f>IFERROR(__xludf.DUMMYFUNCTION("""COMPUTED_VALUE"""),"7d2764f1")</f>
        <v>7d2764f1</v>
      </c>
      <c r="G3194" s="211" t="str">
        <f>IFERROR(__xludf.DUMMYFUNCTION("""COMPUTED_VALUE"""),"Oksigen 7m3")</f>
        <v>Oksigen 7m3</v>
      </c>
      <c r="H3194" s="211" t="str">
        <f>IFERROR(__xludf.DUMMYFUNCTION("""COMPUTED_VALUE"""),"OUT")</f>
        <v>OUT</v>
      </c>
      <c r="I3194" s="211" t="str">
        <f>IFERROR(__xludf.DUMMYFUNCTION("""COMPUTED_VALUE"""),"NORMAL")</f>
        <v>NORMAL</v>
      </c>
      <c r="J3194" s="211">
        <f>IFERROR(__xludf.DUMMYFUNCTION("""COMPUTED_VALUE"""),3.0)</f>
        <v>3</v>
      </c>
      <c r="K3194" s="210" t="str">
        <f>IFERROR(__xludf.DUMMYFUNCTION("""COMPUTED_VALUE"""),"11138 11144 11195")</f>
        <v>11138 11144 11195</v>
      </c>
      <c r="L3194" s="211">
        <f>IFERROR(__xludf.DUMMYFUNCTION("""COMPUTED_VALUE"""),55000.0)</f>
        <v>55000</v>
      </c>
      <c r="M3194" s="211"/>
      <c r="N3194" s="211"/>
      <c r="O3194" s="211" t="b">
        <f>IFERROR(__xludf.DUMMYFUNCTION("""COMPUTED_VALUE"""),FALSE)</f>
        <v>0</v>
      </c>
    </row>
    <row r="3195">
      <c r="A3195" s="210" t="str">
        <f>IFERROR(__xludf.DUMMYFUNCTION("""COMPUTED_VALUE"""),"1261078")</f>
        <v>1261078</v>
      </c>
      <c r="B3195" s="210" t="str">
        <f>IFERROR(__xludf.DUMMYFUNCTION("""COMPUTED_VALUE"""),"1261078")</f>
        <v>1261078</v>
      </c>
      <c r="C3195" s="213">
        <f>IFERROR(__xludf.DUMMYFUNCTION("""COMPUTED_VALUE"""),46035.59894675926)</f>
        <v>46035.59895</v>
      </c>
      <c r="D3195" s="211" t="str">
        <f>IFERROR(__xludf.DUMMYFUNCTION("""COMPUTED_VALUE"""),"b2b5f2c5")</f>
        <v>b2b5f2c5</v>
      </c>
      <c r="E3195" s="211" t="str">
        <f>IFERROR(__xludf.DUMMYFUNCTION("""COMPUTED_VALUE"""),"Bengkel Las Bpk. Ari")</f>
        <v>Bengkel Las Bpk. Ari</v>
      </c>
      <c r="F3195" s="211" t="str">
        <f>IFERROR(__xludf.DUMMYFUNCTION("""COMPUTED_VALUE"""),"ef306e54")</f>
        <v>ef306e54</v>
      </c>
      <c r="G3195" s="211" t="str">
        <f>IFERROR(__xludf.DUMMYFUNCTION("""COMPUTED_VALUE"""),"Karbondioksida")</f>
        <v>Karbondioksida</v>
      </c>
      <c r="H3195" s="211" t="str">
        <f>IFERROR(__xludf.DUMMYFUNCTION("""COMPUTED_VALUE"""),"IN")</f>
        <v>IN</v>
      </c>
      <c r="I3195" s="211" t="str">
        <f>IFERROR(__xludf.DUMMYFUNCTION("""COMPUTED_VALUE"""),"EMPTY")</f>
        <v>EMPTY</v>
      </c>
      <c r="J3195" s="211">
        <f>IFERROR(__xludf.DUMMYFUNCTION("""COMPUTED_VALUE"""),4.0)</f>
        <v>4</v>
      </c>
      <c r="K3195" s="210" t="str">
        <f>IFERROR(__xludf.DUMMYFUNCTION("""COMPUTED_VALUE"""),"13046 13020 13017 13035")</f>
        <v>13046 13020 13017 13035</v>
      </c>
      <c r="L3195" s="211">
        <f>IFERROR(__xludf.DUMMYFUNCTION("""COMPUTED_VALUE"""),0.0)</f>
        <v>0</v>
      </c>
      <c r="M3195" s="211"/>
      <c r="N3195" s="211"/>
      <c r="O3195" s="211" t="b">
        <f>IFERROR(__xludf.DUMMYFUNCTION("""COMPUTED_VALUE"""),FALSE)</f>
        <v>0</v>
      </c>
    </row>
    <row r="3196">
      <c r="A3196" s="210" t="str">
        <f>IFERROR(__xludf.DUMMYFUNCTION("""COMPUTED_VALUE"""),"1261078")</f>
        <v>1261078</v>
      </c>
      <c r="B3196" s="210" t="str">
        <f>IFERROR(__xludf.DUMMYFUNCTION("""COMPUTED_VALUE"""),"1261078")</f>
        <v>1261078</v>
      </c>
      <c r="C3196" s="213">
        <f>IFERROR(__xludf.DUMMYFUNCTION("""COMPUTED_VALUE"""),46035.59894675926)</f>
        <v>46035.59895</v>
      </c>
      <c r="D3196" s="211" t="str">
        <f>IFERROR(__xludf.DUMMYFUNCTION("""COMPUTED_VALUE"""),"b2b5f2c5")</f>
        <v>b2b5f2c5</v>
      </c>
      <c r="E3196" s="211" t="str">
        <f>IFERROR(__xludf.DUMMYFUNCTION("""COMPUTED_VALUE"""),"Bengkel Las Bpk. Ari")</f>
        <v>Bengkel Las Bpk. Ari</v>
      </c>
      <c r="F3196" s="211" t="str">
        <f>IFERROR(__xludf.DUMMYFUNCTION("""COMPUTED_VALUE"""),"8bdbe149")</f>
        <v>8bdbe149</v>
      </c>
      <c r="G3196" s="211" t="str">
        <f>IFERROR(__xludf.DUMMYFUNCTION("""COMPUTED_VALUE"""),"Oksigen 6m3")</f>
        <v>Oksigen 6m3</v>
      </c>
      <c r="H3196" s="211" t="str">
        <f>IFERROR(__xludf.DUMMYFUNCTION("""COMPUTED_VALUE"""),"IN")</f>
        <v>IN</v>
      </c>
      <c r="I3196" s="211" t="str">
        <f>IFERROR(__xludf.DUMMYFUNCTION("""COMPUTED_VALUE"""),"EMPTY")</f>
        <v>EMPTY</v>
      </c>
      <c r="J3196" s="211">
        <f>IFERROR(__xludf.DUMMYFUNCTION("""COMPUTED_VALUE"""),8.0)</f>
        <v>8</v>
      </c>
      <c r="K3196" s="210" t="str">
        <f>IFERROR(__xludf.DUMMYFUNCTION("""COMPUTED_VALUE"""),"1129 1190 11106 11294 1115 11198 11255 11245")</f>
        <v>1129 1190 11106 11294 1115 11198 11255 11245</v>
      </c>
      <c r="L3196" s="211">
        <f>IFERROR(__xludf.DUMMYFUNCTION("""COMPUTED_VALUE"""),0.0)</f>
        <v>0</v>
      </c>
      <c r="M3196" s="211"/>
      <c r="N3196" s="211"/>
      <c r="O3196" s="211" t="b">
        <f>IFERROR(__xludf.DUMMYFUNCTION("""COMPUTED_VALUE"""),FALSE)</f>
        <v>0</v>
      </c>
    </row>
    <row r="3197">
      <c r="A3197" s="210" t="str">
        <f>IFERROR(__xludf.DUMMYFUNCTION("""COMPUTED_VALUE"""),"1261077")</f>
        <v>1261077</v>
      </c>
      <c r="B3197" s="210" t="str">
        <f>IFERROR(__xludf.DUMMYFUNCTION("""COMPUTED_VALUE"""),"1261077")</f>
        <v>1261077</v>
      </c>
      <c r="C3197" s="213">
        <f>IFERROR(__xludf.DUMMYFUNCTION("""COMPUTED_VALUE"""),46035.60251157408)</f>
        <v>46035.60251</v>
      </c>
      <c r="D3197" s="211" t="str">
        <f>IFERROR(__xludf.DUMMYFUNCTION("""COMPUTED_VALUE"""),"b0735da4")</f>
        <v>b0735da4</v>
      </c>
      <c r="E3197" s="211" t="str">
        <f>IFERROR(__xludf.DUMMYFUNCTION("""COMPUTED_VALUE"""),"Bpk. Amer Ciro")</f>
        <v>Bpk. Amer Ciro</v>
      </c>
      <c r="F3197" s="211" t="str">
        <f>IFERROR(__xludf.DUMMYFUNCTION("""COMPUTED_VALUE"""),"7d2764f1")</f>
        <v>7d2764f1</v>
      </c>
      <c r="G3197" s="211" t="str">
        <f>IFERROR(__xludf.DUMMYFUNCTION("""COMPUTED_VALUE"""),"Oksigen 7m3")</f>
        <v>Oksigen 7m3</v>
      </c>
      <c r="H3197" s="211" t="str">
        <f>IFERROR(__xludf.DUMMYFUNCTION("""COMPUTED_VALUE"""),"IN")</f>
        <v>IN</v>
      </c>
      <c r="I3197" s="211" t="str">
        <f>IFERROR(__xludf.DUMMYFUNCTION("""COMPUTED_VALUE"""),"EMPTY")</f>
        <v>EMPTY</v>
      </c>
      <c r="J3197" s="211">
        <f>IFERROR(__xludf.DUMMYFUNCTION("""COMPUTED_VALUE"""),2.0)</f>
        <v>2</v>
      </c>
      <c r="K3197" s="210" t="str">
        <f>IFERROR(__xludf.DUMMYFUNCTION("""COMPUTED_VALUE"""),"11305 11299")</f>
        <v>11305 11299</v>
      </c>
      <c r="L3197" s="211">
        <f>IFERROR(__xludf.DUMMYFUNCTION("""COMPUTED_VALUE"""),0.0)</f>
        <v>0</v>
      </c>
      <c r="M3197" s="211"/>
      <c r="N3197" s="211"/>
      <c r="O3197" s="211" t="b">
        <f>IFERROR(__xludf.DUMMYFUNCTION("""COMPUTED_VALUE"""),FALSE)</f>
        <v>0</v>
      </c>
    </row>
    <row r="3198">
      <c r="A3198" s="210" t="str">
        <f>IFERROR(__xludf.DUMMYFUNCTION("""COMPUTED_VALUE"""),"1261079")</f>
        <v>1261079</v>
      </c>
      <c r="B3198" s="210" t="str">
        <f>IFERROR(__xludf.DUMMYFUNCTION("""COMPUTED_VALUE"""),"1261079")</f>
        <v>1261079</v>
      </c>
      <c r="C3198" s="213">
        <f>IFERROR(__xludf.DUMMYFUNCTION("""COMPUTED_VALUE"""),46035.60288194445)</f>
        <v>46035.60288</v>
      </c>
      <c r="D3198" s="211" t="str">
        <f>IFERROR(__xludf.DUMMYFUNCTION("""COMPUTED_VALUE"""),"21ff9b6f")</f>
        <v>21ff9b6f</v>
      </c>
      <c r="E3198" s="211" t="str">
        <f>IFERROR(__xludf.DUMMYFUNCTION("""COMPUTED_VALUE"""),"Bpk. Khoirul Anam")</f>
        <v>Bpk. Khoirul Anam</v>
      </c>
      <c r="F3198" s="211" t="str">
        <f>IFERROR(__xludf.DUMMYFUNCTION("""COMPUTED_VALUE"""),"8bdbe149")</f>
        <v>8bdbe149</v>
      </c>
      <c r="G3198" s="211" t="str">
        <f>IFERROR(__xludf.DUMMYFUNCTION("""COMPUTED_VALUE"""),"Oksigen 6m3")</f>
        <v>Oksigen 6m3</v>
      </c>
      <c r="H3198" s="211" t="str">
        <f>IFERROR(__xludf.DUMMYFUNCTION("""COMPUTED_VALUE"""),"IN")</f>
        <v>IN</v>
      </c>
      <c r="I3198" s="211" t="str">
        <f>IFERROR(__xludf.DUMMYFUNCTION("""COMPUTED_VALUE"""),"EMPTY")</f>
        <v>EMPTY</v>
      </c>
      <c r="J3198" s="211">
        <f>IFERROR(__xludf.DUMMYFUNCTION("""COMPUTED_VALUE"""),4.0)</f>
        <v>4</v>
      </c>
      <c r="K3198" s="210" t="str">
        <f>IFERROR(__xludf.DUMMYFUNCTION("""COMPUTED_VALUE"""),"1171 11182 11211 11238")</f>
        <v>1171 11182 11211 11238</v>
      </c>
      <c r="L3198" s="211">
        <f>IFERROR(__xludf.DUMMYFUNCTION("""COMPUTED_VALUE"""),0.0)</f>
        <v>0</v>
      </c>
      <c r="M3198" s="211"/>
      <c r="N3198" s="211"/>
      <c r="O3198" s="211" t="b">
        <f>IFERROR(__xludf.DUMMYFUNCTION("""COMPUTED_VALUE"""),FALSE)</f>
        <v>0</v>
      </c>
    </row>
    <row r="3199">
      <c r="A3199" s="210" t="str">
        <f>IFERROR(__xludf.DUMMYFUNCTION("""COMPUTED_VALUE"""),"1261079")</f>
        <v>1261079</v>
      </c>
      <c r="B3199" s="210" t="str">
        <f>IFERROR(__xludf.DUMMYFUNCTION("""COMPUTED_VALUE"""),"1261079")</f>
        <v>1261079</v>
      </c>
      <c r="C3199" s="213">
        <f>IFERROR(__xludf.DUMMYFUNCTION("""COMPUTED_VALUE"""),46035.60288194445)</f>
        <v>46035.60288</v>
      </c>
      <c r="D3199" s="211" t="str">
        <f>IFERROR(__xludf.DUMMYFUNCTION("""COMPUTED_VALUE"""),"21ff9b6f")</f>
        <v>21ff9b6f</v>
      </c>
      <c r="E3199" s="211" t="str">
        <f>IFERROR(__xludf.DUMMYFUNCTION("""COMPUTED_VALUE"""),"Bpk. Khoirul Anam")</f>
        <v>Bpk. Khoirul Anam</v>
      </c>
      <c r="F3199" s="211" t="str">
        <f>IFERROR(__xludf.DUMMYFUNCTION("""COMPUTED_VALUE"""),"8bdbe149")</f>
        <v>8bdbe149</v>
      </c>
      <c r="G3199" s="211" t="str">
        <f>IFERROR(__xludf.DUMMYFUNCTION("""COMPUTED_VALUE"""),"Oksigen 6m3")</f>
        <v>Oksigen 6m3</v>
      </c>
      <c r="H3199" s="211" t="str">
        <f>IFERROR(__xludf.DUMMYFUNCTION("""COMPUTED_VALUE"""),"IN")</f>
        <v>IN</v>
      </c>
      <c r="I3199" s="211" t="str">
        <f>IFERROR(__xludf.DUMMYFUNCTION("""COMPUTED_VALUE"""),"EMPTY")</f>
        <v>EMPTY</v>
      </c>
      <c r="J3199" s="211">
        <f>IFERROR(__xludf.DUMMYFUNCTION("""COMPUTED_VALUE"""),2.0)</f>
        <v>2</v>
      </c>
      <c r="K3199" s="210" t="str">
        <f>IFERROR(__xludf.DUMMYFUNCTION("""COMPUTED_VALUE"""),"1199 11276")</f>
        <v>1199 11276</v>
      </c>
      <c r="L3199" s="211">
        <f>IFERROR(__xludf.DUMMYFUNCTION("""COMPUTED_VALUE"""),0.0)</f>
        <v>0</v>
      </c>
      <c r="M3199" s="211"/>
      <c r="N3199" s="211"/>
      <c r="O3199" s="211" t="b">
        <f>IFERROR(__xludf.DUMMYFUNCTION("""COMPUTED_VALUE"""),TRUE)</f>
        <v>1</v>
      </c>
    </row>
    <row r="3200">
      <c r="A3200" s="210" t="str">
        <f>IFERROR(__xludf.DUMMYFUNCTION("""COMPUTED_VALUE"""),"1261057")</f>
        <v>1261057</v>
      </c>
      <c r="B3200" s="210" t="str">
        <f>IFERROR(__xludf.DUMMYFUNCTION("""COMPUTED_VALUE"""),"1261057")</f>
        <v>1261057</v>
      </c>
      <c r="C3200" s="213">
        <f>IFERROR(__xludf.DUMMYFUNCTION("""COMPUTED_VALUE"""),46035.644537037035)</f>
        <v>46035.64454</v>
      </c>
      <c r="D3200" s="211" t="str">
        <f>IFERROR(__xludf.DUMMYFUNCTION("""COMPUTED_VALUE"""),"ce83e171")</f>
        <v>ce83e171</v>
      </c>
      <c r="E3200" s="211" t="str">
        <f>IFERROR(__xludf.DUMMYFUNCTION("""COMPUTED_VALUE"""),"Bpk. Sulaiman")</f>
        <v>Bpk. Sulaiman</v>
      </c>
      <c r="F3200" s="211" t="str">
        <f>IFERROR(__xludf.DUMMYFUNCTION("""COMPUTED_VALUE"""),"7d2764f1")</f>
        <v>7d2764f1</v>
      </c>
      <c r="G3200" s="211" t="str">
        <f>IFERROR(__xludf.DUMMYFUNCTION("""COMPUTED_VALUE"""),"Oksigen 7m3")</f>
        <v>Oksigen 7m3</v>
      </c>
      <c r="H3200" s="211" t="str">
        <f>IFERROR(__xludf.DUMMYFUNCTION("""COMPUTED_VALUE"""),"IN")</f>
        <v>IN</v>
      </c>
      <c r="I3200" s="211" t="str">
        <f>IFERROR(__xludf.DUMMYFUNCTION("""COMPUTED_VALUE"""),"EMPTY")</f>
        <v>EMPTY</v>
      </c>
      <c r="J3200" s="211">
        <f>IFERROR(__xludf.DUMMYFUNCTION("""COMPUTED_VALUE"""),1.0)</f>
        <v>1</v>
      </c>
      <c r="K3200" s="210" t="str">
        <f>IFERROR(__xludf.DUMMYFUNCTION("""COMPUTED_VALUE"""),"11139")</f>
        <v>11139</v>
      </c>
      <c r="L3200" s="211">
        <f>IFERROR(__xludf.DUMMYFUNCTION("""COMPUTED_VALUE"""),0.0)</f>
        <v>0</v>
      </c>
      <c r="M3200" s="211"/>
      <c r="N3200" s="211"/>
      <c r="O3200" s="211" t="b">
        <f>IFERROR(__xludf.DUMMYFUNCTION("""COMPUTED_VALUE"""),FALSE)</f>
        <v>0</v>
      </c>
    </row>
    <row r="3201">
      <c r="A3201" s="210" t="str">
        <f>IFERROR(__xludf.DUMMYFUNCTION("""COMPUTED_VALUE"""),"1261057")</f>
        <v>1261057</v>
      </c>
      <c r="B3201" s="210" t="str">
        <f>IFERROR(__xludf.DUMMYFUNCTION("""COMPUTED_VALUE"""),"1261057")</f>
        <v>1261057</v>
      </c>
      <c r="C3201" s="213">
        <f>IFERROR(__xludf.DUMMYFUNCTION("""COMPUTED_VALUE"""),46035.644537037035)</f>
        <v>46035.64454</v>
      </c>
      <c r="D3201" s="211" t="str">
        <f>IFERROR(__xludf.DUMMYFUNCTION("""COMPUTED_VALUE"""),"ce83e171")</f>
        <v>ce83e171</v>
      </c>
      <c r="E3201" s="211" t="str">
        <f>IFERROR(__xludf.DUMMYFUNCTION("""COMPUTED_VALUE"""),"Bpk. Sulaiman")</f>
        <v>Bpk. Sulaiman</v>
      </c>
      <c r="F3201" s="211" t="str">
        <f>IFERROR(__xludf.DUMMYFUNCTION("""COMPUTED_VALUE"""),"f6aab7a9")</f>
        <v>f6aab7a9</v>
      </c>
      <c r="G3201" s="211" t="str">
        <f>IFERROR(__xludf.DUMMYFUNCTION("""COMPUTED_VALUE"""),"Oksigen 6m3 MR")</f>
        <v>Oksigen 6m3 MR</v>
      </c>
      <c r="H3201" s="211" t="str">
        <f>IFERROR(__xludf.DUMMYFUNCTION("""COMPUTED_VALUE"""),"IN")</f>
        <v>IN</v>
      </c>
      <c r="I3201" s="211" t="str">
        <f>IFERROR(__xludf.DUMMYFUNCTION("""COMPUTED_VALUE"""),"EMPTY")</f>
        <v>EMPTY</v>
      </c>
      <c r="J3201" s="211">
        <f>IFERROR(__xludf.DUMMYFUNCTION("""COMPUTED_VALUE"""),2.0)</f>
        <v>2</v>
      </c>
      <c r="K3201" s="211"/>
      <c r="L3201" s="211">
        <f>IFERROR(__xludf.DUMMYFUNCTION("""COMPUTED_VALUE"""),0.0)</f>
        <v>0</v>
      </c>
      <c r="M3201" s="211"/>
      <c r="N3201" s="211"/>
      <c r="O3201" s="211" t="b">
        <f>IFERROR(__xludf.DUMMYFUNCTION("""COMPUTED_VALUE"""),FALSE)</f>
        <v>0</v>
      </c>
    </row>
    <row r="3202">
      <c r="A3202" s="210" t="str">
        <f>IFERROR(__xludf.DUMMYFUNCTION("""COMPUTED_VALUE"""),"1261058")</f>
        <v>1261058</v>
      </c>
      <c r="B3202" s="210" t="str">
        <f>IFERROR(__xludf.DUMMYFUNCTION("""COMPUTED_VALUE"""),"1261058")</f>
        <v>1261058</v>
      </c>
      <c r="C3202" s="213">
        <f>IFERROR(__xludf.DUMMYFUNCTION("""COMPUTED_VALUE"""),46035.64659722222)</f>
        <v>46035.6466</v>
      </c>
      <c r="D3202" s="211" t="str">
        <f>IFERROR(__xludf.DUMMYFUNCTION("""COMPUTED_VALUE"""),"01158be1")</f>
        <v>01158be1</v>
      </c>
      <c r="E3202" s="211" t="str">
        <f>IFERROR(__xludf.DUMMYFUNCTION("""COMPUTED_VALUE"""),"GYF")</f>
        <v>GYF</v>
      </c>
      <c r="F3202" s="211" t="str">
        <f>IFERROR(__xludf.DUMMYFUNCTION("""COMPUTED_VALUE"""),"8bdbe149")</f>
        <v>8bdbe149</v>
      </c>
      <c r="G3202" s="211" t="str">
        <f>IFERROR(__xludf.DUMMYFUNCTION("""COMPUTED_VALUE"""),"Oksigen 6m3")</f>
        <v>Oksigen 6m3</v>
      </c>
      <c r="H3202" s="211" t="str">
        <f>IFERROR(__xludf.DUMMYFUNCTION("""COMPUTED_VALUE"""),"IN")</f>
        <v>IN</v>
      </c>
      <c r="I3202" s="211" t="str">
        <f>IFERROR(__xludf.DUMMYFUNCTION("""COMPUTED_VALUE"""),"EMPTY")</f>
        <v>EMPTY</v>
      </c>
      <c r="J3202" s="211">
        <f>IFERROR(__xludf.DUMMYFUNCTION("""COMPUTED_VALUE"""),4.0)</f>
        <v>4</v>
      </c>
      <c r="K3202" s="210" t="str">
        <f>IFERROR(__xludf.DUMMYFUNCTION("""COMPUTED_VALUE"""),"11327 1120 11111 11271")</f>
        <v>11327 1120 11111 11271</v>
      </c>
      <c r="L3202" s="211">
        <f>IFERROR(__xludf.DUMMYFUNCTION("""COMPUTED_VALUE"""),0.0)</f>
        <v>0</v>
      </c>
      <c r="M3202" s="211"/>
      <c r="N3202" s="211"/>
      <c r="O3202" s="211" t="b">
        <f>IFERROR(__xludf.DUMMYFUNCTION("""COMPUTED_VALUE"""),FALSE)</f>
        <v>0</v>
      </c>
    </row>
    <row r="3203">
      <c r="A3203" s="210" t="str">
        <f>IFERROR(__xludf.DUMMYFUNCTION("""COMPUTED_VALUE"""),"1261058")</f>
        <v>1261058</v>
      </c>
      <c r="B3203" s="210" t="str">
        <f>IFERROR(__xludf.DUMMYFUNCTION("""COMPUTED_VALUE"""),"1261058")</f>
        <v>1261058</v>
      </c>
      <c r="C3203" s="213">
        <f>IFERROR(__xludf.DUMMYFUNCTION("""COMPUTED_VALUE"""),46035.64659722222)</f>
        <v>46035.6466</v>
      </c>
      <c r="D3203" s="211" t="str">
        <f>IFERROR(__xludf.DUMMYFUNCTION("""COMPUTED_VALUE"""),"01158be1")</f>
        <v>01158be1</v>
      </c>
      <c r="E3203" s="211" t="str">
        <f>IFERROR(__xludf.DUMMYFUNCTION("""COMPUTED_VALUE"""),"GYF")</f>
        <v>GYF</v>
      </c>
      <c r="F3203" s="211" t="str">
        <f>IFERROR(__xludf.DUMMYFUNCTION("""COMPUTED_VALUE"""),"7d2764f1")</f>
        <v>7d2764f1</v>
      </c>
      <c r="G3203" s="211" t="str">
        <f>IFERROR(__xludf.DUMMYFUNCTION("""COMPUTED_VALUE"""),"Oksigen 7m3")</f>
        <v>Oksigen 7m3</v>
      </c>
      <c r="H3203" s="211" t="str">
        <f>IFERROR(__xludf.DUMMYFUNCTION("""COMPUTED_VALUE"""),"IN")</f>
        <v>IN</v>
      </c>
      <c r="I3203" s="211" t="str">
        <f>IFERROR(__xludf.DUMMYFUNCTION("""COMPUTED_VALUE"""),"EMPTY")</f>
        <v>EMPTY</v>
      </c>
      <c r="J3203" s="211">
        <f>IFERROR(__xludf.DUMMYFUNCTION("""COMPUTED_VALUE"""),1.0)</f>
        <v>1</v>
      </c>
      <c r="K3203" s="210" t="str">
        <f>IFERROR(__xludf.DUMMYFUNCTION("""COMPUTED_VALUE"""),"11331")</f>
        <v>11331</v>
      </c>
      <c r="L3203" s="211">
        <f>IFERROR(__xludf.DUMMYFUNCTION("""COMPUTED_VALUE"""),0.0)</f>
        <v>0</v>
      </c>
      <c r="M3203" s="211"/>
      <c r="N3203" s="211"/>
      <c r="O3203" s="211" t="b">
        <f>IFERROR(__xludf.DUMMYFUNCTION("""COMPUTED_VALUE"""),FALSE)</f>
        <v>0</v>
      </c>
    </row>
    <row r="3204">
      <c r="A3204" s="210" t="str">
        <f>IFERROR(__xludf.DUMMYFUNCTION("""COMPUTED_VALUE"""),"012642224")</f>
        <v>012642224</v>
      </c>
      <c r="B3204" s="210" t="str">
        <f>IFERROR(__xludf.DUMMYFUNCTION("""COMPUTED_VALUE"""),"012642224")</f>
        <v>012642224</v>
      </c>
      <c r="C3204" s="213">
        <f>IFERROR(__xludf.DUMMYFUNCTION("""COMPUTED_VALUE"""),46035.77027777778)</f>
        <v>46035.77028</v>
      </c>
      <c r="D3204" s="211" t="str">
        <f>IFERROR(__xludf.DUMMYFUNCTION("""COMPUTED_VALUE"""),"1d018c98")</f>
        <v>1d018c98</v>
      </c>
      <c r="E3204" s="211" t="str">
        <f>IFERROR(__xludf.DUMMYFUNCTION("""COMPUTED_VALUE"""),"Mbak Angel")</f>
        <v>Mbak Angel</v>
      </c>
      <c r="F3204" s="211" t="str">
        <f>IFERROR(__xludf.DUMMYFUNCTION("""COMPUTED_VALUE"""),"8bdbe149")</f>
        <v>8bdbe149</v>
      </c>
      <c r="G3204" s="211" t="str">
        <f>IFERROR(__xludf.DUMMYFUNCTION("""COMPUTED_VALUE"""),"Oksigen 6m3")</f>
        <v>Oksigen 6m3</v>
      </c>
      <c r="H3204" s="211" t="str">
        <f>IFERROR(__xludf.DUMMYFUNCTION("""COMPUTED_VALUE"""),"OUT")</f>
        <v>OUT</v>
      </c>
      <c r="I3204" s="211" t="str">
        <f>IFERROR(__xludf.DUMMYFUNCTION("""COMPUTED_VALUE"""),"NORMAL")</f>
        <v>NORMAL</v>
      </c>
      <c r="J3204" s="211">
        <f>IFERROR(__xludf.DUMMYFUNCTION("""COMPUTED_VALUE"""),1.0)</f>
        <v>1</v>
      </c>
      <c r="K3204" s="210" t="str">
        <f>IFERROR(__xludf.DUMMYFUNCTION("""COMPUTED_VALUE"""),"11286")</f>
        <v>11286</v>
      </c>
      <c r="L3204" s="211">
        <f>IFERROR(__xludf.DUMMYFUNCTION("""COMPUTED_VALUE"""),80000.0)</f>
        <v>80000</v>
      </c>
      <c r="M3204" s="211"/>
      <c r="N3204" s="211"/>
      <c r="O3204" s="211" t="b">
        <f>IFERROR(__xludf.DUMMYFUNCTION("""COMPUTED_VALUE"""),FALSE)</f>
        <v>0</v>
      </c>
    </row>
    <row r="3205">
      <c r="A3205" s="210" t="str">
        <f>IFERROR(__xludf.DUMMYFUNCTION("""COMPUTED_VALUE"""),"012632224")</f>
        <v>012632224</v>
      </c>
      <c r="B3205" s="210" t="str">
        <f>IFERROR(__xludf.DUMMYFUNCTION("""COMPUTED_VALUE"""),"012632224")</f>
        <v>012632224</v>
      </c>
      <c r="C3205" s="213">
        <f>IFERROR(__xludf.DUMMYFUNCTION("""COMPUTED_VALUE"""),46035.80097222222)</f>
        <v>46035.80097</v>
      </c>
      <c r="D3205" s="211" t="str">
        <f>IFERROR(__xludf.DUMMYFUNCTION("""COMPUTED_VALUE"""),"b89c20a1")</f>
        <v>b89c20a1</v>
      </c>
      <c r="E3205" s="211" t="str">
        <f>IFERROR(__xludf.DUMMYFUNCTION("""COMPUTED_VALUE"""),"Harini dini")</f>
        <v>Harini dini</v>
      </c>
      <c r="F3205" s="211" t="str">
        <f>IFERROR(__xludf.DUMMYFUNCTION("""COMPUTED_VALUE"""),"e8544a46")</f>
        <v>e8544a46</v>
      </c>
      <c r="G3205" s="211" t="str">
        <f>IFERROR(__xludf.DUMMYFUNCTION("""COMPUTED_VALUE"""),"Oksigen 1m3")</f>
        <v>Oksigen 1m3</v>
      </c>
      <c r="H3205" s="211" t="str">
        <f>IFERROR(__xludf.DUMMYFUNCTION("""COMPUTED_VALUE"""),"OUT")</f>
        <v>OUT</v>
      </c>
      <c r="I3205" s="211" t="str">
        <f>IFERROR(__xludf.DUMMYFUNCTION("""COMPUTED_VALUE"""),"NORMAL")</f>
        <v>NORMAL</v>
      </c>
      <c r="J3205" s="211">
        <f>IFERROR(__xludf.DUMMYFUNCTION("""COMPUTED_VALUE"""),1.0)</f>
        <v>1</v>
      </c>
      <c r="K3205" s="210" t="str">
        <f>IFERROR(__xludf.DUMMYFUNCTION("""COMPUTED_VALUE"""),"0004")</f>
        <v>0004</v>
      </c>
      <c r="L3205" s="211">
        <f>IFERROR(__xludf.DUMMYFUNCTION("""COMPUTED_VALUE"""),60000.0)</f>
        <v>60000</v>
      </c>
      <c r="M3205" s="211"/>
      <c r="N3205" s="211"/>
      <c r="O3205" s="211" t="b">
        <f>IFERROR(__xludf.DUMMYFUNCTION("""COMPUTED_VALUE"""),FALSE)</f>
        <v>0</v>
      </c>
    </row>
    <row r="3206">
      <c r="A3206" s="210" t="str">
        <f>IFERROR(__xludf.DUMMYFUNCTION("""COMPUTED_VALUE"""),"urg7141301")</f>
        <v>urg7141301</v>
      </c>
      <c r="B3206" s="210" t="str">
        <f>IFERROR(__xludf.DUMMYFUNCTION("""COMPUTED_VALUE"""),"urg7141301")</f>
        <v>urg7141301</v>
      </c>
      <c r="C3206" s="213">
        <f>IFERROR(__xludf.DUMMYFUNCTION("""COMPUTED_VALUE"""),46035.80152777778)</f>
        <v>46035.80153</v>
      </c>
      <c r="D3206" s="211" t="str">
        <f>IFERROR(__xludf.DUMMYFUNCTION("""COMPUTED_VALUE"""),"b89c20a1")</f>
        <v>b89c20a1</v>
      </c>
      <c r="E3206" s="211" t="str">
        <f>IFERROR(__xludf.DUMMYFUNCTION("""COMPUTED_VALUE"""),"Harini dini")</f>
        <v>Harini dini</v>
      </c>
      <c r="F3206" s="211" t="str">
        <f>IFERROR(__xludf.DUMMYFUNCTION("""COMPUTED_VALUE"""),"2690846b")</f>
        <v>2690846b</v>
      </c>
      <c r="G3206" s="211" t="str">
        <f>IFERROR(__xludf.DUMMYFUNCTION("""COMPUTED_VALUE"""),"Oksigen 1m3 MR")</f>
        <v>Oksigen 1m3 MR</v>
      </c>
      <c r="H3206" s="211" t="str">
        <f>IFERROR(__xludf.DUMMYFUNCTION("""COMPUTED_VALUE"""),"IN")</f>
        <v>IN</v>
      </c>
      <c r="I3206" s="211" t="str">
        <f>IFERROR(__xludf.DUMMYFUNCTION("""COMPUTED_VALUE"""),"EMPTY")</f>
        <v>EMPTY</v>
      </c>
      <c r="J3206" s="211">
        <f>IFERROR(__xludf.DUMMYFUNCTION("""COMPUTED_VALUE"""),1.0)</f>
        <v>1</v>
      </c>
      <c r="K3206" s="211"/>
      <c r="L3206" s="211">
        <f>IFERROR(__xludf.DUMMYFUNCTION("""COMPUTED_VALUE"""),0.0)</f>
        <v>0</v>
      </c>
      <c r="M3206" s="211"/>
      <c r="N3206" s="211"/>
      <c r="O3206" s="211" t="b">
        <f>IFERROR(__xludf.DUMMYFUNCTION("""COMPUTED_VALUE"""),FALSE)</f>
        <v>0</v>
      </c>
    </row>
    <row r="3207">
      <c r="A3207" s="210" t="str">
        <f>IFERROR(__xludf.DUMMYFUNCTION("""COMPUTED_VALUE"""),"012682231")</f>
        <v>012682231</v>
      </c>
      <c r="B3207" s="210" t="str">
        <f>IFERROR(__xludf.DUMMYFUNCTION("""COMPUTED_VALUE"""),"012682231")</f>
        <v>012682231</v>
      </c>
      <c r="C3207" s="213">
        <f>IFERROR(__xludf.DUMMYFUNCTION("""COMPUTED_VALUE"""),46036.35569444444)</f>
        <v>46036.35569</v>
      </c>
      <c r="D3207" s="211" t="str">
        <f>IFERROR(__xludf.DUMMYFUNCTION("""COMPUTED_VALUE"""),"734c6d17")</f>
        <v>734c6d17</v>
      </c>
      <c r="E3207" s="211" t="str">
        <f>IFERROR(__xludf.DUMMYFUNCTION("""COMPUTED_VALUE"""),"Bapak Ainol Yaqin ( Bpk. Ibnu )")</f>
        <v>Bapak Ainol Yaqin ( Bpk. Ibnu )</v>
      </c>
      <c r="F3207" s="211" t="str">
        <f>IFERROR(__xludf.DUMMYFUNCTION("""COMPUTED_VALUE"""),"8bdbe149")</f>
        <v>8bdbe149</v>
      </c>
      <c r="G3207" s="211" t="str">
        <f>IFERROR(__xludf.DUMMYFUNCTION("""COMPUTED_VALUE"""),"Oksigen 6m3")</f>
        <v>Oksigen 6m3</v>
      </c>
      <c r="H3207" s="211" t="str">
        <f>IFERROR(__xludf.DUMMYFUNCTION("""COMPUTED_VALUE"""),"OUT")</f>
        <v>OUT</v>
      </c>
      <c r="I3207" s="211" t="str">
        <f>IFERROR(__xludf.DUMMYFUNCTION("""COMPUTED_VALUE"""),"NORMAL")</f>
        <v>NORMAL</v>
      </c>
      <c r="J3207" s="211">
        <f>IFERROR(__xludf.DUMMYFUNCTION("""COMPUTED_VALUE"""),1.0)</f>
        <v>1</v>
      </c>
      <c r="K3207" s="210" t="str">
        <f>IFERROR(__xludf.DUMMYFUNCTION("""COMPUTED_VALUE"""),"11198")</f>
        <v>11198</v>
      </c>
      <c r="L3207" s="211">
        <f>IFERROR(__xludf.DUMMYFUNCTION("""COMPUTED_VALUE"""),60000.0)</f>
        <v>60000</v>
      </c>
      <c r="M3207" s="211"/>
      <c r="N3207" s="211"/>
      <c r="O3207" s="211" t="b">
        <f>IFERROR(__xludf.DUMMYFUNCTION("""COMPUTED_VALUE"""),FALSE)</f>
        <v>0</v>
      </c>
    </row>
    <row r="3208">
      <c r="A3208" s="210" t="str">
        <f>IFERROR(__xludf.DUMMYFUNCTION("""COMPUTED_VALUE"""),"1261059")</f>
        <v>1261059</v>
      </c>
      <c r="B3208" s="210" t="str">
        <f>IFERROR(__xludf.DUMMYFUNCTION("""COMPUTED_VALUE"""),"1261059")</f>
        <v>1261059</v>
      </c>
      <c r="C3208" s="213">
        <f>IFERROR(__xludf.DUMMYFUNCTION("""COMPUTED_VALUE"""),46036.412627314814)</f>
        <v>46036.41263</v>
      </c>
      <c r="D3208" s="211" t="str">
        <f>IFERROR(__xludf.DUMMYFUNCTION("""COMPUTED_VALUE"""),"734c6d17")</f>
        <v>734c6d17</v>
      </c>
      <c r="E3208" s="211" t="str">
        <f>IFERROR(__xludf.DUMMYFUNCTION("""COMPUTED_VALUE"""),"Bapak Ainol Yaqin ( Bpk. Ibnu )")</f>
        <v>Bapak Ainol Yaqin ( Bpk. Ibnu )</v>
      </c>
      <c r="F3208" s="211" t="str">
        <f>IFERROR(__xludf.DUMMYFUNCTION("""COMPUTED_VALUE"""),"7d2764f1")</f>
        <v>7d2764f1</v>
      </c>
      <c r="G3208" s="211" t="str">
        <f>IFERROR(__xludf.DUMMYFUNCTION("""COMPUTED_VALUE"""),"Oksigen 7m3")</f>
        <v>Oksigen 7m3</v>
      </c>
      <c r="H3208" s="211" t="str">
        <f>IFERROR(__xludf.DUMMYFUNCTION("""COMPUTED_VALUE"""),"IN")</f>
        <v>IN</v>
      </c>
      <c r="I3208" s="211" t="str">
        <f>IFERROR(__xludf.DUMMYFUNCTION("""COMPUTED_VALUE"""),"EMPTY")</f>
        <v>EMPTY</v>
      </c>
      <c r="J3208" s="211">
        <f>IFERROR(__xludf.DUMMYFUNCTION("""COMPUTED_VALUE"""),1.0)</f>
        <v>1</v>
      </c>
      <c r="K3208" s="210" t="str">
        <f>IFERROR(__xludf.DUMMYFUNCTION("""COMPUTED_VALUE"""),"11145")</f>
        <v>11145</v>
      </c>
      <c r="L3208" s="211">
        <f>IFERROR(__xludf.DUMMYFUNCTION("""COMPUTED_VALUE"""),0.0)</f>
        <v>0</v>
      </c>
      <c r="M3208" s="211"/>
      <c r="N3208" s="211"/>
      <c r="O3208" s="211" t="b">
        <f>IFERROR(__xludf.DUMMYFUNCTION("""COMPUTED_VALUE"""),FALSE)</f>
        <v>0</v>
      </c>
    </row>
    <row r="3209">
      <c r="A3209" s="210" t="str">
        <f>IFERROR(__xludf.DUMMYFUNCTION("""COMPUTED_VALUE"""),"0126372233")</f>
        <v>0126372233</v>
      </c>
      <c r="B3209" s="210" t="str">
        <f>IFERROR(__xludf.DUMMYFUNCTION("""COMPUTED_VALUE"""),"0126372233")</f>
        <v>0126372233</v>
      </c>
      <c r="C3209" s="213">
        <f>IFERROR(__xludf.DUMMYFUNCTION("""COMPUTED_VALUE"""),46036.499247685184)</f>
        <v>46036.49925</v>
      </c>
      <c r="D3209" s="211" t="str">
        <f>IFERROR(__xludf.DUMMYFUNCTION("""COMPUTED_VALUE"""),"ce83e171")</f>
        <v>ce83e171</v>
      </c>
      <c r="E3209" s="211" t="str">
        <f>IFERROR(__xludf.DUMMYFUNCTION("""COMPUTED_VALUE"""),"Bpk. Sulaiman")</f>
        <v>Bpk. Sulaiman</v>
      </c>
      <c r="F3209" s="211" t="str">
        <f>IFERROR(__xludf.DUMMYFUNCTION("""COMPUTED_VALUE"""),"f6aab7a9")</f>
        <v>f6aab7a9</v>
      </c>
      <c r="G3209" s="211" t="str">
        <f>IFERROR(__xludf.DUMMYFUNCTION("""COMPUTED_VALUE"""),"Oksigen 6m3 MR")</f>
        <v>Oksigen 6m3 MR</v>
      </c>
      <c r="H3209" s="211" t="str">
        <f>IFERROR(__xludf.DUMMYFUNCTION("""COMPUTED_VALUE"""),"OUT")</f>
        <v>OUT</v>
      </c>
      <c r="I3209" s="211" t="str">
        <f>IFERROR(__xludf.DUMMYFUNCTION("""COMPUTED_VALUE"""),"NORMAL")</f>
        <v>NORMAL</v>
      </c>
      <c r="J3209" s="211">
        <f>IFERROR(__xludf.DUMMYFUNCTION("""COMPUTED_VALUE"""),2.0)</f>
        <v>2</v>
      </c>
      <c r="K3209" s="211"/>
      <c r="L3209" s="211">
        <f>IFERROR(__xludf.DUMMYFUNCTION("""COMPUTED_VALUE"""),55000.0)</f>
        <v>55000</v>
      </c>
      <c r="M3209" s="211"/>
      <c r="N3209" s="211"/>
      <c r="O3209" s="211" t="b">
        <f>IFERROR(__xludf.DUMMYFUNCTION("""COMPUTED_VALUE"""),FALSE)</f>
        <v>0</v>
      </c>
    </row>
    <row r="3210">
      <c r="A3210" s="210" t="str">
        <f>IFERROR(__xludf.DUMMYFUNCTION("""COMPUTED_VALUE"""),"0126712235")</f>
        <v>0126712235</v>
      </c>
      <c r="B3210" s="210" t="str">
        <f>IFERROR(__xludf.DUMMYFUNCTION("""COMPUTED_VALUE"""),"0126712235")</f>
        <v>0126712235</v>
      </c>
      <c r="C3210" s="213">
        <f>IFERROR(__xludf.DUMMYFUNCTION("""COMPUTED_VALUE"""),46036.49953703704)</f>
        <v>46036.49954</v>
      </c>
      <c r="D3210" s="211" t="str">
        <f>IFERROR(__xludf.DUMMYFUNCTION("""COMPUTED_VALUE"""),"b2b5f2c5")</f>
        <v>b2b5f2c5</v>
      </c>
      <c r="E3210" s="211" t="str">
        <f>IFERROR(__xludf.DUMMYFUNCTION("""COMPUTED_VALUE"""),"Bengkel Las Bpk. Ari")</f>
        <v>Bengkel Las Bpk. Ari</v>
      </c>
      <c r="F3210" s="211" t="str">
        <f>IFERROR(__xludf.DUMMYFUNCTION("""COMPUTED_VALUE"""),"8bdbe149")</f>
        <v>8bdbe149</v>
      </c>
      <c r="G3210" s="211" t="str">
        <f>IFERROR(__xludf.DUMMYFUNCTION("""COMPUTED_VALUE"""),"Oksigen 6m3")</f>
        <v>Oksigen 6m3</v>
      </c>
      <c r="H3210" s="211" t="str">
        <f>IFERROR(__xludf.DUMMYFUNCTION("""COMPUTED_VALUE"""),"OUT")</f>
        <v>OUT</v>
      </c>
      <c r="I3210" s="211" t="str">
        <f>IFERROR(__xludf.DUMMYFUNCTION("""COMPUTED_VALUE"""),"NORMAL")</f>
        <v>NORMAL</v>
      </c>
      <c r="J3210" s="211">
        <f>IFERROR(__xludf.DUMMYFUNCTION("""COMPUTED_VALUE"""),5.0)</f>
        <v>5</v>
      </c>
      <c r="K3210" s="210" t="str">
        <f>IFERROR(__xludf.DUMMYFUNCTION("""COMPUTED_VALUE"""),"1171 1120 11211 11182 11276")</f>
        <v>1171 1120 11211 11182 11276</v>
      </c>
      <c r="L3210" s="211">
        <f>IFERROR(__xludf.DUMMYFUNCTION("""COMPUTED_VALUE"""),60000.0)</f>
        <v>60000</v>
      </c>
      <c r="M3210" s="211"/>
      <c r="N3210" s="211"/>
      <c r="O3210" s="211" t="b">
        <f>IFERROR(__xludf.DUMMYFUNCTION("""COMPUTED_VALUE"""),FALSE)</f>
        <v>0</v>
      </c>
    </row>
    <row r="3211">
      <c r="A3211" s="210" t="str">
        <f>IFERROR(__xludf.DUMMYFUNCTION("""COMPUTED_VALUE"""),"0126712235")</f>
        <v>0126712235</v>
      </c>
      <c r="B3211" s="210" t="str">
        <f>IFERROR(__xludf.DUMMYFUNCTION("""COMPUTED_VALUE"""),"0126712235")</f>
        <v>0126712235</v>
      </c>
      <c r="C3211" s="213">
        <f>IFERROR(__xludf.DUMMYFUNCTION("""COMPUTED_VALUE"""),46036.49953703704)</f>
        <v>46036.49954</v>
      </c>
      <c r="D3211" s="211" t="str">
        <f>IFERROR(__xludf.DUMMYFUNCTION("""COMPUTED_VALUE"""),"b2b5f2c5")</f>
        <v>b2b5f2c5</v>
      </c>
      <c r="E3211" s="211" t="str">
        <f>IFERROR(__xludf.DUMMYFUNCTION("""COMPUTED_VALUE"""),"Bengkel Las Bpk. Ari")</f>
        <v>Bengkel Las Bpk. Ari</v>
      </c>
      <c r="F3211" s="211" t="str">
        <f>IFERROR(__xludf.DUMMYFUNCTION("""COMPUTED_VALUE"""),"ef306e54")</f>
        <v>ef306e54</v>
      </c>
      <c r="G3211" s="211" t="str">
        <f>IFERROR(__xludf.DUMMYFUNCTION("""COMPUTED_VALUE"""),"Karbondioksida")</f>
        <v>Karbondioksida</v>
      </c>
      <c r="H3211" s="211" t="str">
        <f>IFERROR(__xludf.DUMMYFUNCTION("""COMPUTED_VALUE"""),"OUT")</f>
        <v>OUT</v>
      </c>
      <c r="I3211" s="211" t="str">
        <f>IFERROR(__xludf.DUMMYFUNCTION("""COMPUTED_VALUE"""),"NORMAL")</f>
        <v>NORMAL</v>
      </c>
      <c r="J3211" s="211">
        <f>IFERROR(__xludf.DUMMYFUNCTION("""COMPUTED_VALUE"""),3.0)</f>
        <v>3</v>
      </c>
      <c r="K3211" s="210" t="str">
        <f>IFERROR(__xludf.DUMMYFUNCTION("""COMPUTED_VALUE"""),"13030 13027 13021")</f>
        <v>13030 13027 13021</v>
      </c>
      <c r="L3211" s="211">
        <f>IFERROR(__xludf.DUMMYFUNCTION("""COMPUTED_VALUE"""),180000.0)</f>
        <v>180000</v>
      </c>
      <c r="M3211" s="211"/>
      <c r="N3211" s="211"/>
      <c r="O3211" s="211" t="b">
        <f>IFERROR(__xludf.DUMMYFUNCTION("""COMPUTED_VALUE"""),FALSE)</f>
        <v>0</v>
      </c>
    </row>
    <row r="3212">
      <c r="A3212" s="210" t="str">
        <f>IFERROR(__xludf.DUMMYFUNCTION("""COMPUTED_VALUE"""),"1261084")</f>
        <v>1261084</v>
      </c>
      <c r="B3212" s="210" t="str">
        <f>IFERROR(__xludf.DUMMYFUNCTION("""COMPUTED_VALUE"""),"1261084")</f>
        <v>1261084</v>
      </c>
      <c r="C3212" s="213">
        <f>IFERROR(__xludf.DUMMYFUNCTION("""COMPUTED_VALUE"""),46036.57931712963)</f>
        <v>46036.57932</v>
      </c>
      <c r="D3212" s="211" t="str">
        <f>IFERROR(__xludf.DUMMYFUNCTION("""COMPUTED_VALUE"""),"ec231cc9")</f>
        <v>ec231cc9</v>
      </c>
      <c r="E3212" s="211" t="str">
        <f>IFERROR(__xludf.DUMMYFUNCTION("""COMPUTED_VALUE"""),"Bpk. Kohir (Maintenance Velg)")</f>
        <v>Bpk. Kohir (Maintenance Velg)</v>
      </c>
      <c r="F3212" s="211" t="str">
        <f>IFERROR(__xludf.DUMMYFUNCTION("""COMPUTED_VALUE"""),"8bdbe149")</f>
        <v>8bdbe149</v>
      </c>
      <c r="G3212" s="211" t="str">
        <f>IFERROR(__xludf.DUMMYFUNCTION("""COMPUTED_VALUE"""),"Oksigen 6m3")</f>
        <v>Oksigen 6m3</v>
      </c>
      <c r="H3212" s="211" t="str">
        <f>IFERROR(__xludf.DUMMYFUNCTION("""COMPUTED_VALUE"""),"IN")</f>
        <v>IN</v>
      </c>
      <c r="I3212" s="211" t="str">
        <f>IFERROR(__xludf.DUMMYFUNCTION("""COMPUTED_VALUE"""),"EMPTY")</f>
        <v>EMPTY</v>
      </c>
      <c r="J3212" s="211">
        <f>IFERROR(__xludf.DUMMYFUNCTION("""COMPUTED_VALUE"""),1.0)</f>
        <v>1</v>
      </c>
      <c r="K3212" s="210" t="str">
        <f>IFERROR(__xludf.DUMMYFUNCTION("""COMPUTED_VALUE"""),"11240")</f>
        <v>11240</v>
      </c>
      <c r="L3212" s="211">
        <f>IFERROR(__xludf.DUMMYFUNCTION("""COMPUTED_VALUE"""),0.0)</f>
        <v>0</v>
      </c>
      <c r="M3212" s="211"/>
      <c r="N3212" s="211"/>
      <c r="O3212" s="211" t="b">
        <f>IFERROR(__xludf.DUMMYFUNCTION("""COMPUTED_VALUE"""),FALSE)</f>
        <v>0</v>
      </c>
    </row>
    <row r="3213">
      <c r="A3213" s="210" t="str">
        <f>IFERROR(__xludf.DUMMYFUNCTION("""COMPUTED_VALUE"""),"1261083")</f>
        <v>1261083</v>
      </c>
      <c r="B3213" s="210" t="str">
        <f>IFERROR(__xludf.DUMMYFUNCTION("""COMPUTED_VALUE"""),"1261083")</f>
        <v>1261083</v>
      </c>
      <c r="C3213" s="213">
        <f>IFERROR(__xludf.DUMMYFUNCTION("""COMPUTED_VALUE"""),46036.57989583333)</f>
        <v>46036.5799</v>
      </c>
      <c r="D3213" s="211" t="str">
        <f>IFERROR(__xludf.DUMMYFUNCTION("""COMPUTED_VALUE"""),"7b9d8eba")</f>
        <v>7b9d8eba</v>
      </c>
      <c r="E3213" s="211" t="str">
        <f>IFERROR(__xludf.DUMMYFUNCTION("""COMPUTED_VALUE"""),"PT PELANGI INDOKARYA")</f>
        <v>PT PELANGI INDOKARYA</v>
      </c>
      <c r="F3213" s="211" t="str">
        <f>IFERROR(__xludf.DUMMYFUNCTION("""COMPUTED_VALUE"""),"ef306e54")</f>
        <v>ef306e54</v>
      </c>
      <c r="G3213" s="211" t="str">
        <f>IFERROR(__xludf.DUMMYFUNCTION("""COMPUTED_VALUE"""),"Karbondioksida")</f>
        <v>Karbondioksida</v>
      </c>
      <c r="H3213" s="211" t="str">
        <f>IFERROR(__xludf.DUMMYFUNCTION("""COMPUTED_VALUE"""),"IN")</f>
        <v>IN</v>
      </c>
      <c r="I3213" s="211" t="str">
        <f>IFERROR(__xludf.DUMMYFUNCTION("""COMPUTED_VALUE"""),"CLAIM")</f>
        <v>CLAIM</v>
      </c>
      <c r="J3213" s="211">
        <f>IFERROR(__xludf.DUMMYFUNCTION("""COMPUTED_VALUE"""),1.0)</f>
        <v>1</v>
      </c>
      <c r="K3213" s="210" t="str">
        <f>IFERROR(__xludf.DUMMYFUNCTION("""COMPUTED_VALUE"""),"13034")</f>
        <v>13034</v>
      </c>
      <c r="L3213" s="211">
        <f>IFERROR(__xludf.DUMMYFUNCTION("""COMPUTED_VALUE"""),0.0)</f>
        <v>0</v>
      </c>
      <c r="M3213" s="211"/>
      <c r="N3213" s="211"/>
      <c r="O3213" s="211" t="b">
        <f>IFERROR(__xludf.DUMMYFUNCTION("""COMPUTED_VALUE"""),FALSE)</f>
        <v>0</v>
      </c>
    </row>
    <row r="3214">
      <c r="A3214" s="210" t="str">
        <f>IFERROR(__xludf.DUMMYFUNCTION("""COMPUTED_VALUE"""),"1261082")</f>
        <v>1261082</v>
      </c>
      <c r="B3214" s="210" t="str">
        <f>IFERROR(__xludf.DUMMYFUNCTION("""COMPUTED_VALUE"""),"1261082")</f>
        <v>1261082</v>
      </c>
      <c r="C3214" s="213">
        <f>IFERROR(__xludf.DUMMYFUNCTION("""COMPUTED_VALUE"""),46036.58038194444)</f>
        <v>46036.58038</v>
      </c>
      <c r="D3214" s="211" t="str">
        <f>IFERROR(__xludf.DUMMYFUNCTION("""COMPUTED_VALUE"""),"7b9d8eba")</f>
        <v>7b9d8eba</v>
      </c>
      <c r="E3214" s="211" t="str">
        <f>IFERROR(__xludf.DUMMYFUNCTION("""COMPUTED_VALUE"""),"PT PELANGI INDOKARYA")</f>
        <v>PT PELANGI INDOKARYA</v>
      </c>
      <c r="F3214" s="211" t="str">
        <f>IFERROR(__xludf.DUMMYFUNCTION("""COMPUTED_VALUE"""),"ef306e54")</f>
        <v>ef306e54</v>
      </c>
      <c r="G3214" s="211" t="str">
        <f>IFERROR(__xludf.DUMMYFUNCTION("""COMPUTED_VALUE"""),"Karbondioksida")</f>
        <v>Karbondioksida</v>
      </c>
      <c r="H3214" s="211" t="str">
        <f>IFERROR(__xludf.DUMMYFUNCTION("""COMPUTED_VALUE"""),"IN")</f>
        <v>IN</v>
      </c>
      <c r="I3214" s="211" t="str">
        <f>IFERROR(__xludf.DUMMYFUNCTION("""COMPUTED_VALUE"""),"EMPTY")</f>
        <v>EMPTY</v>
      </c>
      <c r="J3214" s="211">
        <f>IFERROR(__xludf.DUMMYFUNCTION("""COMPUTED_VALUE"""),1.0)</f>
        <v>1</v>
      </c>
      <c r="K3214" s="210" t="str">
        <f>IFERROR(__xludf.DUMMYFUNCTION("""COMPUTED_VALUE"""),"13038")</f>
        <v>13038</v>
      </c>
      <c r="L3214" s="211">
        <f>IFERROR(__xludf.DUMMYFUNCTION("""COMPUTED_VALUE"""),0.0)</f>
        <v>0</v>
      </c>
      <c r="M3214" s="211"/>
      <c r="N3214" s="211"/>
      <c r="O3214" s="211" t="b">
        <f>IFERROR(__xludf.DUMMYFUNCTION("""COMPUTED_VALUE"""),FALSE)</f>
        <v>0</v>
      </c>
    </row>
    <row r="3215">
      <c r="A3215" s="210" t="str">
        <f>IFERROR(__xludf.DUMMYFUNCTION("""COMPUTED_VALUE"""),"0126252236")</f>
        <v>0126252236</v>
      </c>
      <c r="B3215" s="210" t="str">
        <f>IFERROR(__xludf.DUMMYFUNCTION("""COMPUTED_VALUE"""),"0126252236")</f>
        <v>0126252236</v>
      </c>
      <c r="C3215" s="213">
        <f>IFERROR(__xludf.DUMMYFUNCTION("""COMPUTED_VALUE"""),46036.58084490741)</f>
        <v>46036.58084</v>
      </c>
      <c r="D3215" s="211" t="str">
        <f>IFERROR(__xludf.DUMMYFUNCTION("""COMPUTED_VALUE"""),"7b9d8eba")</f>
        <v>7b9d8eba</v>
      </c>
      <c r="E3215" s="211" t="str">
        <f>IFERROR(__xludf.DUMMYFUNCTION("""COMPUTED_VALUE"""),"PT PELANGI INDOKARYA")</f>
        <v>PT PELANGI INDOKARYA</v>
      </c>
      <c r="F3215" s="211" t="str">
        <f>IFERROR(__xludf.DUMMYFUNCTION("""COMPUTED_VALUE"""),"ef306e54")</f>
        <v>ef306e54</v>
      </c>
      <c r="G3215" s="211" t="str">
        <f>IFERROR(__xludf.DUMMYFUNCTION("""COMPUTED_VALUE"""),"Karbondioksida")</f>
        <v>Karbondioksida</v>
      </c>
      <c r="H3215" s="211" t="str">
        <f>IFERROR(__xludf.DUMMYFUNCTION("""COMPUTED_VALUE"""),"OUT")</f>
        <v>OUT</v>
      </c>
      <c r="I3215" s="211" t="str">
        <f>IFERROR(__xludf.DUMMYFUNCTION("""COMPUTED_VALUE"""),"NORMAL")</f>
        <v>NORMAL</v>
      </c>
      <c r="J3215" s="211">
        <f>IFERROR(__xludf.DUMMYFUNCTION("""COMPUTED_VALUE"""),2.0)</f>
        <v>2</v>
      </c>
      <c r="K3215" s="210" t="str">
        <f>IFERROR(__xludf.DUMMYFUNCTION("""COMPUTED_VALUE"""),"13051 13052")</f>
        <v>13051 13052</v>
      </c>
      <c r="L3215" s="211">
        <f>IFERROR(__xludf.DUMMYFUNCTION("""COMPUTED_VALUE"""),190000.0)</f>
        <v>190000</v>
      </c>
      <c r="M3215" s="211"/>
      <c r="N3215" s="211"/>
      <c r="O3215" s="211" t="b">
        <f>IFERROR(__xludf.DUMMYFUNCTION("""COMPUTED_VALUE"""),FALSE)</f>
        <v>0</v>
      </c>
    </row>
    <row r="3216">
      <c r="A3216" s="210" t="str">
        <f>IFERROR(__xludf.DUMMYFUNCTION("""COMPUTED_VALUE"""),"0126122240")</f>
        <v>0126122240</v>
      </c>
      <c r="B3216" s="210" t="str">
        <f>IFERROR(__xludf.DUMMYFUNCTION("""COMPUTED_VALUE"""),"0126122240")</f>
        <v>0126122240</v>
      </c>
      <c r="C3216" s="213">
        <f>IFERROR(__xludf.DUMMYFUNCTION("""COMPUTED_VALUE"""),46036.58184027778)</f>
        <v>46036.58184</v>
      </c>
      <c r="D3216" s="211" t="str">
        <f>IFERROR(__xludf.DUMMYFUNCTION("""COMPUTED_VALUE"""),"63fc688a")</f>
        <v>63fc688a</v>
      </c>
      <c r="E3216" s="211" t="str">
        <f>IFERROR(__xludf.DUMMYFUNCTION("""COMPUTED_VALUE"""),"CV Malik Nusantara")</f>
        <v>CV Malik Nusantara</v>
      </c>
      <c r="F3216" s="211" t="str">
        <f>IFERROR(__xludf.DUMMYFUNCTION("""COMPUTED_VALUE"""),"be525f3b")</f>
        <v>be525f3b</v>
      </c>
      <c r="G3216" s="211" t="str">
        <f>IFERROR(__xludf.DUMMYFUNCTION("""COMPUTED_VALUE"""),"LPG 12kg")</f>
        <v>LPG 12kg</v>
      </c>
      <c r="H3216" s="211" t="str">
        <f>IFERROR(__xludf.DUMMYFUNCTION("""COMPUTED_VALUE"""),"OUT")</f>
        <v>OUT</v>
      </c>
      <c r="I3216" s="211" t="str">
        <f>IFERROR(__xludf.DUMMYFUNCTION("""COMPUTED_VALUE"""),"NORMAL")</f>
        <v>NORMAL</v>
      </c>
      <c r="J3216" s="211">
        <f>IFERROR(__xludf.DUMMYFUNCTION("""COMPUTED_VALUE"""),2.0)</f>
        <v>2</v>
      </c>
      <c r="K3216" s="210" t="str">
        <f>IFERROR(__xludf.DUMMYFUNCTION("""COMPUTED_VALUE"""),"L003 L004")</f>
        <v>L003 L004</v>
      </c>
      <c r="L3216" s="211">
        <f>IFERROR(__xludf.DUMMYFUNCTION("""COMPUTED_VALUE"""),200000.0)</f>
        <v>200000</v>
      </c>
      <c r="M3216" s="211"/>
      <c r="N3216" s="211"/>
      <c r="O3216" s="211" t="b">
        <f>IFERROR(__xludf.DUMMYFUNCTION("""COMPUTED_VALUE"""),FALSE)</f>
        <v>0</v>
      </c>
    </row>
    <row r="3217">
      <c r="A3217" s="210" t="str">
        <f>IFERROR(__xludf.DUMMYFUNCTION("""COMPUTED_VALUE"""),"012612241")</f>
        <v>012612241</v>
      </c>
      <c r="B3217" s="210" t="str">
        <f>IFERROR(__xludf.DUMMYFUNCTION("""COMPUTED_VALUE"""),"012612241")</f>
        <v>012612241</v>
      </c>
      <c r="C3217" s="213">
        <f>IFERROR(__xludf.DUMMYFUNCTION("""COMPUTED_VALUE"""),46036.63375)</f>
        <v>46036.63375</v>
      </c>
      <c r="D3217" s="211" t="str">
        <f>IFERROR(__xludf.DUMMYFUNCTION("""COMPUTED_VALUE"""),"1c4d5e93")</f>
        <v>1c4d5e93</v>
      </c>
      <c r="E3217" s="211" t="str">
        <f>IFERROR(__xludf.DUMMYFUNCTION("""COMPUTED_VALUE"""),"Karoseri Cipta Mitra Sukses")</f>
        <v>Karoseri Cipta Mitra Sukses</v>
      </c>
      <c r="F3217" s="211" t="str">
        <f>IFERROR(__xludf.DUMMYFUNCTION("""COMPUTED_VALUE"""),"8bdbe149")</f>
        <v>8bdbe149</v>
      </c>
      <c r="G3217" s="211" t="str">
        <f>IFERROR(__xludf.DUMMYFUNCTION("""COMPUTED_VALUE"""),"Oksigen 6m3")</f>
        <v>Oksigen 6m3</v>
      </c>
      <c r="H3217" s="211" t="str">
        <f>IFERROR(__xludf.DUMMYFUNCTION("""COMPUTED_VALUE"""),"OUT")</f>
        <v>OUT</v>
      </c>
      <c r="I3217" s="211" t="str">
        <f>IFERROR(__xludf.DUMMYFUNCTION("""COMPUTED_VALUE"""),"NORMAL")</f>
        <v>NORMAL</v>
      </c>
      <c r="J3217" s="211">
        <f>IFERROR(__xludf.DUMMYFUNCTION("""COMPUTED_VALUE"""),2.0)</f>
        <v>2</v>
      </c>
      <c r="K3217" s="210" t="str">
        <f>IFERROR(__xludf.DUMMYFUNCTION("""COMPUTED_VALUE"""),"1182 11294")</f>
        <v>1182 11294</v>
      </c>
      <c r="L3217" s="211">
        <f>IFERROR(__xludf.DUMMYFUNCTION("""COMPUTED_VALUE"""),60000.0)</f>
        <v>60000</v>
      </c>
      <c r="M3217" s="211"/>
      <c r="N3217" s="211"/>
      <c r="O3217" s="211" t="b">
        <f>IFERROR(__xludf.DUMMYFUNCTION("""COMPUTED_VALUE"""),FALSE)</f>
        <v>0</v>
      </c>
    </row>
    <row r="3218">
      <c r="A3218" s="210" t="str">
        <f>IFERROR(__xludf.DUMMYFUNCTION("""COMPUTED_VALUE"""),"0126142242")</f>
        <v>0126142242</v>
      </c>
      <c r="B3218" s="210" t="str">
        <f>IFERROR(__xludf.DUMMYFUNCTION("""COMPUTED_VALUE"""),"0126142242")</f>
        <v>0126142242</v>
      </c>
      <c r="C3218" s="213">
        <f>IFERROR(__xludf.DUMMYFUNCTION("""COMPUTED_VALUE"""),46036.63469907407)</f>
        <v>46036.6347</v>
      </c>
      <c r="D3218" s="211" t="str">
        <f>IFERROR(__xludf.DUMMYFUNCTION("""COMPUTED_VALUE"""),"8ea74d81")</f>
        <v>8ea74d81</v>
      </c>
      <c r="E3218" s="211" t="str">
        <f>IFERROR(__xludf.DUMMYFUNCTION("""COMPUTED_VALUE"""),"Bengkel Adi Putra")</f>
        <v>Bengkel Adi Putra</v>
      </c>
      <c r="F3218" s="211" t="str">
        <f>IFERROR(__xludf.DUMMYFUNCTION("""COMPUTED_VALUE"""),"8bdbe149")</f>
        <v>8bdbe149</v>
      </c>
      <c r="G3218" s="211" t="str">
        <f>IFERROR(__xludf.DUMMYFUNCTION("""COMPUTED_VALUE"""),"Oksigen 6m3")</f>
        <v>Oksigen 6m3</v>
      </c>
      <c r="H3218" s="211" t="str">
        <f>IFERROR(__xludf.DUMMYFUNCTION("""COMPUTED_VALUE"""),"OUT")</f>
        <v>OUT</v>
      </c>
      <c r="I3218" s="211" t="str">
        <f>IFERROR(__xludf.DUMMYFUNCTION("""COMPUTED_VALUE"""),"NORMAL")</f>
        <v>NORMAL</v>
      </c>
      <c r="J3218" s="211">
        <f>IFERROR(__xludf.DUMMYFUNCTION("""COMPUTED_VALUE"""),1.0)</f>
        <v>1</v>
      </c>
      <c r="K3218" s="210" t="str">
        <f>IFERROR(__xludf.DUMMYFUNCTION("""COMPUTED_VALUE"""),"1168")</f>
        <v>1168</v>
      </c>
      <c r="L3218" s="211">
        <f>IFERROR(__xludf.DUMMYFUNCTION("""COMPUTED_VALUE"""),70000.0)</f>
        <v>70000</v>
      </c>
      <c r="M3218" s="211"/>
      <c r="N3218" s="211"/>
      <c r="O3218" s="211" t="b">
        <f>IFERROR(__xludf.DUMMYFUNCTION("""COMPUTED_VALUE"""),FALSE)</f>
        <v>0</v>
      </c>
    </row>
    <row r="3219">
      <c r="A3219" s="210" t="str">
        <f>IFERROR(__xludf.DUMMYFUNCTION("""COMPUTED_VALUE"""),"0126142242")</f>
        <v>0126142242</v>
      </c>
      <c r="B3219" s="210" t="str">
        <f>IFERROR(__xludf.DUMMYFUNCTION("""COMPUTED_VALUE"""),"0126142242")</f>
        <v>0126142242</v>
      </c>
      <c r="C3219" s="213">
        <f>IFERROR(__xludf.DUMMYFUNCTION("""COMPUTED_VALUE"""),46036.63469907407)</f>
        <v>46036.6347</v>
      </c>
      <c r="D3219" s="211" t="str">
        <f>IFERROR(__xludf.DUMMYFUNCTION("""COMPUTED_VALUE"""),"8ea74d81")</f>
        <v>8ea74d81</v>
      </c>
      <c r="E3219" s="211" t="str">
        <f>IFERROR(__xludf.DUMMYFUNCTION("""COMPUTED_VALUE"""),"Bengkel Adi Putra")</f>
        <v>Bengkel Adi Putra</v>
      </c>
      <c r="F3219" s="211" t="str">
        <f>IFERROR(__xludf.DUMMYFUNCTION("""COMPUTED_VALUE"""),"ef306e54")</f>
        <v>ef306e54</v>
      </c>
      <c r="G3219" s="211" t="str">
        <f>IFERROR(__xludf.DUMMYFUNCTION("""COMPUTED_VALUE"""),"Karbondioksida")</f>
        <v>Karbondioksida</v>
      </c>
      <c r="H3219" s="211" t="str">
        <f>IFERROR(__xludf.DUMMYFUNCTION("""COMPUTED_VALUE"""),"OUT")</f>
        <v>OUT</v>
      </c>
      <c r="I3219" s="211" t="str">
        <f>IFERROR(__xludf.DUMMYFUNCTION("""COMPUTED_VALUE"""),"NORMAL")</f>
        <v>NORMAL</v>
      </c>
      <c r="J3219" s="211">
        <f>IFERROR(__xludf.DUMMYFUNCTION("""COMPUTED_VALUE"""),2.0)</f>
        <v>2</v>
      </c>
      <c r="K3219" s="210" t="str">
        <f>IFERROR(__xludf.DUMMYFUNCTION("""COMPUTED_VALUE"""),"13034 13038")</f>
        <v>13034 13038</v>
      </c>
      <c r="L3219" s="211">
        <f>IFERROR(__xludf.DUMMYFUNCTION("""COMPUTED_VALUE"""),190000.0)</f>
        <v>190000</v>
      </c>
      <c r="M3219" s="211"/>
      <c r="N3219" s="211"/>
      <c r="O3219" s="211" t="b">
        <f>IFERROR(__xludf.DUMMYFUNCTION("""COMPUTED_VALUE"""),FALSE)</f>
        <v>0</v>
      </c>
    </row>
    <row r="3220">
      <c r="A3220" s="210" t="str">
        <f>IFERROR(__xludf.DUMMYFUNCTION("""COMPUTED_VALUE"""),"1261080")</f>
        <v>1261080</v>
      </c>
      <c r="B3220" s="210" t="str">
        <f>IFERROR(__xludf.DUMMYFUNCTION("""COMPUTED_VALUE"""),"1261080")</f>
        <v>1261080</v>
      </c>
      <c r="C3220" s="213">
        <f>IFERROR(__xludf.DUMMYFUNCTION("""COMPUTED_VALUE"""),46036.64462962963)</f>
        <v>46036.64463</v>
      </c>
      <c r="D3220" s="211" t="str">
        <f>IFERROR(__xludf.DUMMYFUNCTION("""COMPUTED_VALUE"""),"b2b5f2c5")</f>
        <v>b2b5f2c5</v>
      </c>
      <c r="E3220" s="211" t="str">
        <f>IFERROR(__xludf.DUMMYFUNCTION("""COMPUTED_VALUE"""),"Bengkel Las Bpk. Ari")</f>
        <v>Bengkel Las Bpk. Ari</v>
      </c>
      <c r="F3220" s="211" t="str">
        <f>IFERROR(__xludf.DUMMYFUNCTION("""COMPUTED_VALUE"""),"ef306e54")</f>
        <v>ef306e54</v>
      </c>
      <c r="G3220" s="211" t="str">
        <f>IFERROR(__xludf.DUMMYFUNCTION("""COMPUTED_VALUE"""),"Karbondioksida")</f>
        <v>Karbondioksida</v>
      </c>
      <c r="H3220" s="211" t="str">
        <f>IFERROR(__xludf.DUMMYFUNCTION("""COMPUTED_VALUE"""),"IN")</f>
        <v>IN</v>
      </c>
      <c r="I3220" s="211" t="str">
        <f>IFERROR(__xludf.DUMMYFUNCTION("""COMPUTED_VALUE"""),"EMPTY")</f>
        <v>EMPTY</v>
      </c>
      <c r="J3220" s="211">
        <f>IFERROR(__xludf.DUMMYFUNCTION("""COMPUTED_VALUE"""),3.0)</f>
        <v>3</v>
      </c>
      <c r="K3220" s="210" t="str">
        <f>IFERROR(__xludf.DUMMYFUNCTION("""COMPUTED_VALUE"""),"13037 13018 13049")</f>
        <v>13037 13018 13049</v>
      </c>
      <c r="L3220" s="211">
        <f>IFERROR(__xludf.DUMMYFUNCTION("""COMPUTED_VALUE"""),0.0)</f>
        <v>0</v>
      </c>
      <c r="M3220" s="211"/>
      <c r="N3220" s="211"/>
      <c r="O3220" s="211" t="b">
        <f>IFERROR(__xludf.DUMMYFUNCTION("""COMPUTED_VALUE"""),FALSE)</f>
        <v>0</v>
      </c>
    </row>
    <row r="3221">
      <c r="A3221" s="210" t="str">
        <f>IFERROR(__xludf.DUMMYFUNCTION("""COMPUTED_VALUE"""),"1261080")</f>
        <v>1261080</v>
      </c>
      <c r="B3221" s="210" t="str">
        <f>IFERROR(__xludf.DUMMYFUNCTION("""COMPUTED_VALUE"""),"1261080")</f>
        <v>1261080</v>
      </c>
      <c r="C3221" s="213">
        <f>IFERROR(__xludf.DUMMYFUNCTION("""COMPUTED_VALUE"""),46036.64462962963)</f>
        <v>46036.64463</v>
      </c>
      <c r="D3221" s="211" t="str">
        <f>IFERROR(__xludf.DUMMYFUNCTION("""COMPUTED_VALUE"""),"b2b5f2c5")</f>
        <v>b2b5f2c5</v>
      </c>
      <c r="E3221" s="211" t="str">
        <f>IFERROR(__xludf.DUMMYFUNCTION("""COMPUTED_VALUE"""),"Bengkel Las Bpk. Ari")</f>
        <v>Bengkel Las Bpk. Ari</v>
      </c>
      <c r="F3221" s="211" t="str">
        <f>IFERROR(__xludf.DUMMYFUNCTION("""COMPUTED_VALUE"""),"8bdbe149")</f>
        <v>8bdbe149</v>
      </c>
      <c r="G3221" s="211" t="str">
        <f>IFERROR(__xludf.DUMMYFUNCTION("""COMPUTED_VALUE"""),"Oksigen 6m3")</f>
        <v>Oksigen 6m3</v>
      </c>
      <c r="H3221" s="211" t="str">
        <f>IFERROR(__xludf.DUMMYFUNCTION("""COMPUTED_VALUE"""),"IN")</f>
        <v>IN</v>
      </c>
      <c r="I3221" s="211" t="str">
        <f>IFERROR(__xludf.DUMMYFUNCTION("""COMPUTED_VALUE"""),"EMPTY")</f>
        <v>EMPTY</v>
      </c>
      <c r="J3221" s="211">
        <f>IFERROR(__xludf.DUMMYFUNCTION("""COMPUTED_VALUE"""),5.0)</f>
        <v>5</v>
      </c>
      <c r="K3221" s="210" t="str">
        <f>IFERROR(__xludf.DUMMYFUNCTION("""COMPUTED_VALUE"""),"11253 11341 11296 11202 11310")</f>
        <v>11253 11341 11296 11202 11310</v>
      </c>
      <c r="L3221" s="211">
        <f>IFERROR(__xludf.DUMMYFUNCTION("""COMPUTED_VALUE"""),0.0)</f>
        <v>0</v>
      </c>
      <c r="M3221" s="211"/>
      <c r="N3221" s="211"/>
      <c r="O3221" s="211" t="b">
        <f>IFERROR(__xludf.DUMMYFUNCTION("""COMPUTED_VALUE"""),FALSE)</f>
        <v>0</v>
      </c>
    </row>
    <row r="3222">
      <c r="A3222" s="210" t="str">
        <f>IFERROR(__xludf.DUMMYFUNCTION("""COMPUTED_VALUE"""),"1261085")</f>
        <v>1261085</v>
      </c>
      <c r="B3222" s="210" t="str">
        <f>IFERROR(__xludf.DUMMYFUNCTION("""COMPUTED_VALUE"""),"1261085")</f>
        <v>1261085</v>
      </c>
      <c r="C3222" s="213">
        <f>IFERROR(__xludf.DUMMYFUNCTION("""COMPUTED_VALUE"""),46036.712858796294)</f>
        <v>46036.71286</v>
      </c>
      <c r="D3222" s="211" t="str">
        <f>IFERROR(__xludf.DUMMYFUNCTION("""COMPUTED_VALUE"""),"8ea74d81")</f>
        <v>8ea74d81</v>
      </c>
      <c r="E3222" s="211" t="str">
        <f>IFERROR(__xludf.DUMMYFUNCTION("""COMPUTED_VALUE"""),"Bengkel Adi Putra")</f>
        <v>Bengkel Adi Putra</v>
      </c>
      <c r="F3222" s="211" t="str">
        <f>IFERROR(__xludf.DUMMYFUNCTION("""COMPUTED_VALUE"""),"8bdbe149")</f>
        <v>8bdbe149</v>
      </c>
      <c r="G3222" s="211" t="str">
        <f>IFERROR(__xludf.DUMMYFUNCTION("""COMPUTED_VALUE"""),"Oksigen 6m3")</f>
        <v>Oksigen 6m3</v>
      </c>
      <c r="H3222" s="211" t="str">
        <f>IFERROR(__xludf.DUMMYFUNCTION("""COMPUTED_VALUE"""),"IN")</f>
        <v>IN</v>
      </c>
      <c r="I3222" s="211" t="str">
        <f>IFERROR(__xludf.DUMMYFUNCTION("""COMPUTED_VALUE"""),"EMPTY")</f>
        <v>EMPTY</v>
      </c>
      <c r="J3222" s="211">
        <f>IFERROR(__xludf.DUMMYFUNCTION("""COMPUTED_VALUE"""),1.0)</f>
        <v>1</v>
      </c>
      <c r="K3222" s="210" t="str">
        <f>IFERROR(__xludf.DUMMYFUNCTION("""COMPUTED_VALUE"""),"1195")</f>
        <v>1195</v>
      </c>
      <c r="L3222" s="211">
        <f>IFERROR(__xludf.DUMMYFUNCTION("""COMPUTED_VALUE"""),0.0)</f>
        <v>0</v>
      </c>
      <c r="M3222" s="211"/>
      <c r="N3222" s="211"/>
      <c r="O3222" s="211" t="b">
        <f>IFERROR(__xludf.DUMMYFUNCTION("""COMPUTED_VALUE"""),FALSE)</f>
        <v>0</v>
      </c>
    </row>
    <row r="3223">
      <c r="A3223" s="210" t="str">
        <f>IFERROR(__xludf.DUMMYFUNCTION("""COMPUTED_VALUE"""),"012662243")</f>
        <v>012662243</v>
      </c>
      <c r="B3223" s="210" t="str">
        <f>IFERROR(__xludf.DUMMYFUNCTION("""COMPUTED_VALUE"""),"012662243")</f>
        <v>012662243</v>
      </c>
      <c r="C3223" s="213">
        <f>IFERROR(__xludf.DUMMYFUNCTION("""COMPUTED_VALUE"""),46037.357824074075)</f>
        <v>46037.35782</v>
      </c>
      <c r="D3223" s="211" t="str">
        <f>IFERROR(__xludf.DUMMYFUNCTION("""COMPUTED_VALUE"""),"bdb5baf3")</f>
        <v>bdb5baf3</v>
      </c>
      <c r="E3223" s="211" t="str">
        <f>IFERROR(__xludf.DUMMYFUNCTION("""COMPUTED_VALUE"""),"Bpk. Abdul")</f>
        <v>Bpk. Abdul</v>
      </c>
      <c r="F3223" s="211" t="str">
        <f>IFERROR(__xludf.DUMMYFUNCTION("""COMPUTED_VALUE"""),"8bdbe149")</f>
        <v>8bdbe149</v>
      </c>
      <c r="G3223" s="211" t="str">
        <f>IFERROR(__xludf.DUMMYFUNCTION("""COMPUTED_VALUE"""),"Oksigen 6m3")</f>
        <v>Oksigen 6m3</v>
      </c>
      <c r="H3223" s="211" t="str">
        <f>IFERROR(__xludf.DUMMYFUNCTION("""COMPUTED_VALUE"""),"OUT")</f>
        <v>OUT</v>
      </c>
      <c r="I3223" s="211" t="str">
        <f>IFERROR(__xludf.DUMMYFUNCTION("""COMPUTED_VALUE"""),"NORMAL")</f>
        <v>NORMAL</v>
      </c>
      <c r="J3223" s="211">
        <f>IFERROR(__xludf.DUMMYFUNCTION("""COMPUTED_VALUE"""),1.0)</f>
        <v>1</v>
      </c>
      <c r="K3223" s="210" t="str">
        <f>IFERROR(__xludf.DUMMYFUNCTION("""COMPUTED_VALUE"""),"11114")</f>
        <v>11114</v>
      </c>
      <c r="L3223" s="211">
        <f>IFERROR(__xludf.DUMMYFUNCTION("""COMPUTED_VALUE"""),80000.0)</f>
        <v>80000</v>
      </c>
      <c r="M3223" s="211"/>
      <c r="N3223" s="211"/>
      <c r="O3223" s="211" t="b">
        <f>IFERROR(__xludf.DUMMYFUNCTION("""COMPUTED_VALUE"""),FALSE)</f>
        <v>0</v>
      </c>
    </row>
    <row r="3224">
      <c r="A3224" s="210" t="str">
        <f>IFERROR(__xludf.DUMMYFUNCTION("""COMPUTED_VALUE"""),"0126332246")</f>
        <v>0126332246</v>
      </c>
      <c r="B3224" s="210" t="str">
        <f>IFERROR(__xludf.DUMMYFUNCTION("""COMPUTED_VALUE"""),"0126332246")</f>
        <v>0126332246</v>
      </c>
      <c r="C3224" s="213">
        <f>IFERROR(__xludf.DUMMYFUNCTION("""COMPUTED_VALUE"""),46037.35851851852)</f>
        <v>46037.35852</v>
      </c>
      <c r="D3224" s="211" t="str">
        <f>IFERROR(__xludf.DUMMYFUNCTION("""COMPUTED_VALUE"""),"8f5ebaea")</f>
        <v>8f5ebaea</v>
      </c>
      <c r="E3224" s="211" t="str">
        <f>IFERROR(__xludf.DUMMYFUNCTION("""COMPUTED_VALUE"""),"PT Hua Zong Mesindo")</f>
        <v>PT Hua Zong Mesindo</v>
      </c>
      <c r="F3224" s="211" t="str">
        <f>IFERROR(__xludf.DUMMYFUNCTION("""COMPUTED_VALUE"""),"8bdbe149")</f>
        <v>8bdbe149</v>
      </c>
      <c r="G3224" s="211" t="str">
        <f>IFERROR(__xludf.DUMMYFUNCTION("""COMPUTED_VALUE"""),"Oksigen 6m3")</f>
        <v>Oksigen 6m3</v>
      </c>
      <c r="H3224" s="211" t="str">
        <f>IFERROR(__xludf.DUMMYFUNCTION("""COMPUTED_VALUE"""),"OUT")</f>
        <v>OUT</v>
      </c>
      <c r="I3224" s="211" t="str">
        <f>IFERROR(__xludf.DUMMYFUNCTION("""COMPUTED_VALUE"""),"NORMAL")</f>
        <v>NORMAL</v>
      </c>
      <c r="J3224" s="211">
        <f>IFERROR(__xludf.DUMMYFUNCTION("""COMPUTED_VALUE"""),1.0)</f>
        <v>1</v>
      </c>
      <c r="K3224" s="210" t="str">
        <f>IFERROR(__xludf.DUMMYFUNCTION("""COMPUTED_VALUE"""),"11238")</f>
        <v>11238</v>
      </c>
      <c r="L3224" s="211">
        <f>IFERROR(__xludf.DUMMYFUNCTION("""COMPUTED_VALUE"""),60000.0)</f>
        <v>60000</v>
      </c>
      <c r="M3224" s="211"/>
      <c r="N3224" s="211"/>
      <c r="O3224" s="211" t="b">
        <f>IFERROR(__xludf.DUMMYFUNCTION("""COMPUTED_VALUE"""),FALSE)</f>
        <v>0</v>
      </c>
    </row>
    <row r="3225">
      <c r="A3225" s="210" t="str">
        <f>IFERROR(__xludf.DUMMYFUNCTION("""COMPUTED_VALUE"""),"012642247")</f>
        <v>012642247</v>
      </c>
      <c r="B3225" s="210" t="str">
        <f>IFERROR(__xludf.DUMMYFUNCTION("""COMPUTED_VALUE"""),"012642247")</f>
        <v>012642247</v>
      </c>
      <c r="C3225" s="213">
        <f>IFERROR(__xludf.DUMMYFUNCTION("""COMPUTED_VALUE"""),46037.40112268519)</f>
        <v>46037.40112</v>
      </c>
      <c r="D3225" s="211" t="str">
        <f>IFERROR(__xludf.DUMMYFUNCTION("""COMPUTED_VALUE"""),"3a48ba8b")</f>
        <v>3a48ba8b</v>
      </c>
      <c r="E3225" s="211" t="str">
        <f>IFERROR(__xludf.DUMMYFUNCTION("""COMPUTED_VALUE"""),"Bpk. Kacung")</f>
        <v>Bpk. Kacung</v>
      </c>
      <c r="F3225" s="211" t="str">
        <f>IFERROR(__xludf.DUMMYFUNCTION("""COMPUTED_VALUE"""),"be525f3b")</f>
        <v>be525f3b</v>
      </c>
      <c r="G3225" s="211" t="str">
        <f>IFERROR(__xludf.DUMMYFUNCTION("""COMPUTED_VALUE"""),"LPG 12kg")</f>
        <v>LPG 12kg</v>
      </c>
      <c r="H3225" s="211" t="str">
        <f>IFERROR(__xludf.DUMMYFUNCTION("""COMPUTED_VALUE"""),"OUT")</f>
        <v>OUT</v>
      </c>
      <c r="I3225" s="211" t="str">
        <f>IFERROR(__xludf.DUMMYFUNCTION("""COMPUTED_VALUE"""),"NORMAL")</f>
        <v>NORMAL</v>
      </c>
      <c r="J3225" s="211">
        <f>IFERROR(__xludf.DUMMYFUNCTION("""COMPUTED_VALUE"""),2.0)</f>
        <v>2</v>
      </c>
      <c r="K3225" s="210" t="str">
        <f>IFERROR(__xludf.DUMMYFUNCTION("""COMPUTED_VALUE"""),"L005 L006")</f>
        <v>L005 L006</v>
      </c>
      <c r="L3225" s="211">
        <f>IFERROR(__xludf.DUMMYFUNCTION("""COMPUTED_VALUE"""),215000.0)</f>
        <v>215000</v>
      </c>
      <c r="M3225" s="211"/>
      <c r="N3225" s="211"/>
      <c r="O3225" s="211" t="b">
        <f>IFERROR(__xludf.DUMMYFUNCTION("""COMPUTED_VALUE"""),FALSE)</f>
        <v>0</v>
      </c>
    </row>
    <row r="3226">
      <c r="A3226" s="210" t="str">
        <f>IFERROR(__xludf.DUMMYFUNCTION("""COMPUTED_VALUE"""),"1261086")</f>
        <v>1261086</v>
      </c>
      <c r="B3226" s="210" t="str">
        <f>IFERROR(__xludf.DUMMYFUNCTION("""COMPUTED_VALUE"""),"1261086")</f>
        <v>1261086</v>
      </c>
      <c r="C3226" s="213">
        <f>IFERROR(__xludf.DUMMYFUNCTION("""COMPUTED_VALUE"""),46037.40422453704)</f>
        <v>46037.40422</v>
      </c>
      <c r="D3226" s="211" t="str">
        <f>IFERROR(__xludf.DUMMYFUNCTION("""COMPUTED_VALUE"""),"bdb5baf3")</f>
        <v>bdb5baf3</v>
      </c>
      <c r="E3226" s="211" t="str">
        <f>IFERROR(__xludf.DUMMYFUNCTION("""COMPUTED_VALUE"""),"Bpk. Abdul")</f>
        <v>Bpk. Abdul</v>
      </c>
      <c r="F3226" s="211" t="str">
        <f>IFERROR(__xludf.DUMMYFUNCTION("""COMPUTED_VALUE"""),"7d2764f1")</f>
        <v>7d2764f1</v>
      </c>
      <c r="G3226" s="211" t="str">
        <f>IFERROR(__xludf.DUMMYFUNCTION("""COMPUTED_VALUE"""),"Oksigen 7m3")</f>
        <v>Oksigen 7m3</v>
      </c>
      <c r="H3226" s="211" t="str">
        <f>IFERROR(__xludf.DUMMYFUNCTION("""COMPUTED_VALUE"""),"IN")</f>
        <v>IN</v>
      </c>
      <c r="I3226" s="211" t="str">
        <f>IFERROR(__xludf.DUMMYFUNCTION("""COMPUTED_VALUE"""),"EMPTY")</f>
        <v>EMPTY</v>
      </c>
      <c r="J3226" s="211">
        <f>IFERROR(__xludf.DUMMYFUNCTION("""COMPUTED_VALUE"""),1.0)</f>
        <v>1</v>
      </c>
      <c r="K3226" s="210" t="str">
        <f>IFERROR(__xludf.DUMMYFUNCTION("""COMPUTED_VALUE"""),"11136")</f>
        <v>11136</v>
      </c>
      <c r="L3226" s="211">
        <f>IFERROR(__xludf.DUMMYFUNCTION("""COMPUTED_VALUE"""),0.0)</f>
        <v>0</v>
      </c>
      <c r="M3226" s="211"/>
      <c r="N3226" s="211"/>
      <c r="O3226" s="211" t="b">
        <f>IFERROR(__xludf.DUMMYFUNCTION("""COMPUTED_VALUE"""),FALSE)</f>
        <v>0</v>
      </c>
    </row>
    <row r="3227">
      <c r="A3227" s="210" t="str">
        <f>IFERROR(__xludf.DUMMYFUNCTION("""COMPUTED_VALUE"""),"1261086")</f>
        <v>1261086</v>
      </c>
      <c r="B3227" s="210" t="str">
        <f>IFERROR(__xludf.DUMMYFUNCTION("""COMPUTED_VALUE"""),"1261086")</f>
        <v>1261086</v>
      </c>
      <c r="C3227" s="213">
        <f>IFERROR(__xludf.DUMMYFUNCTION("""COMPUTED_VALUE"""),46037.40422453704)</f>
        <v>46037.40422</v>
      </c>
      <c r="D3227" s="211" t="str">
        <f>IFERROR(__xludf.DUMMYFUNCTION("""COMPUTED_VALUE"""),"bdb5baf3")</f>
        <v>bdb5baf3</v>
      </c>
      <c r="E3227" s="211" t="str">
        <f>IFERROR(__xludf.DUMMYFUNCTION("""COMPUTED_VALUE"""),"Bpk. Abdul")</f>
        <v>Bpk. Abdul</v>
      </c>
      <c r="F3227" s="211" t="str">
        <f>IFERROR(__xludf.DUMMYFUNCTION("""COMPUTED_VALUE"""),"f6aab7a9")</f>
        <v>f6aab7a9</v>
      </c>
      <c r="G3227" s="211" t="str">
        <f>IFERROR(__xludf.DUMMYFUNCTION("""COMPUTED_VALUE"""),"Oksigen 6m3 MR")</f>
        <v>Oksigen 6m3 MR</v>
      </c>
      <c r="H3227" s="211" t="str">
        <f>IFERROR(__xludf.DUMMYFUNCTION("""COMPUTED_VALUE"""),"IN")</f>
        <v>IN</v>
      </c>
      <c r="I3227" s="211" t="str">
        <f>IFERROR(__xludf.DUMMYFUNCTION("""COMPUTED_VALUE"""),"EMPTY")</f>
        <v>EMPTY</v>
      </c>
      <c r="J3227" s="211">
        <f>IFERROR(__xludf.DUMMYFUNCTION("""COMPUTED_VALUE"""),2.0)</f>
        <v>2</v>
      </c>
      <c r="K3227" s="211"/>
      <c r="L3227" s="211">
        <f>IFERROR(__xludf.DUMMYFUNCTION("""COMPUTED_VALUE"""),0.0)</f>
        <v>0</v>
      </c>
      <c r="M3227" s="211"/>
      <c r="N3227" s="211"/>
      <c r="O3227" s="211" t="b">
        <f>IFERROR(__xludf.DUMMYFUNCTION("""COMPUTED_VALUE"""),FALSE)</f>
        <v>0</v>
      </c>
    </row>
    <row r="3228">
      <c r="A3228" s="210" t="str">
        <f>IFERROR(__xludf.DUMMYFUNCTION("""COMPUTED_VALUE"""),"1261087")</f>
        <v>1261087</v>
      </c>
      <c r="B3228" s="210" t="str">
        <f>IFERROR(__xludf.DUMMYFUNCTION("""COMPUTED_VALUE"""),"1261087")</f>
        <v>1261087</v>
      </c>
      <c r="C3228" s="213">
        <f>IFERROR(__xludf.DUMMYFUNCTION("""COMPUTED_VALUE"""),46037.40478009259)</f>
        <v>46037.40478</v>
      </c>
      <c r="D3228" s="211" t="str">
        <f>IFERROR(__xludf.DUMMYFUNCTION("""COMPUTED_VALUE"""),"8f5ebaea")</f>
        <v>8f5ebaea</v>
      </c>
      <c r="E3228" s="211" t="str">
        <f>IFERROR(__xludf.DUMMYFUNCTION("""COMPUTED_VALUE"""),"PT Hua Zong Mesindo")</f>
        <v>PT Hua Zong Mesindo</v>
      </c>
      <c r="F3228" s="211" t="str">
        <f>IFERROR(__xludf.DUMMYFUNCTION("""COMPUTED_VALUE"""),"66af7c72")</f>
        <v>66af7c72</v>
      </c>
      <c r="G3228" s="211" t="str">
        <f>IFERROR(__xludf.DUMMYFUNCTION("""COMPUTED_VALUE"""),"Argon 6m3")</f>
        <v>Argon 6m3</v>
      </c>
      <c r="H3228" s="211" t="str">
        <f>IFERROR(__xludf.DUMMYFUNCTION("""COMPUTED_VALUE"""),"IN")</f>
        <v>IN</v>
      </c>
      <c r="I3228" s="211" t="str">
        <f>IFERROR(__xludf.DUMMYFUNCTION("""COMPUTED_VALUE"""),"EMPTY")</f>
        <v>EMPTY</v>
      </c>
      <c r="J3228" s="211">
        <f>IFERROR(__xludf.DUMMYFUNCTION("""COMPUTED_VALUE"""),1.0)</f>
        <v>1</v>
      </c>
      <c r="K3228" s="210" t="str">
        <f>IFERROR(__xludf.DUMMYFUNCTION("""COMPUTED_VALUE"""),"12053")</f>
        <v>12053</v>
      </c>
      <c r="L3228" s="211">
        <f>IFERROR(__xludf.DUMMYFUNCTION("""COMPUTED_VALUE"""),0.0)</f>
        <v>0</v>
      </c>
      <c r="M3228" s="211"/>
      <c r="N3228" s="211"/>
      <c r="O3228" s="211" t="b">
        <f>IFERROR(__xludf.DUMMYFUNCTION("""COMPUTED_VALUE"""),FALSE)</f>
        <v>0</v>
      </c>
    </row>
    <row r="3229">
      <c r="A3229" s="210" t="str">
        <f>IFERROR(__xludf.DUMMYFUNCTION("""COMPUTED_VALUE"""),"1261091")</f>
        <v>1261091</v>
      </c>
      <c r="B3229" s="210" t="str">
        <f>IFERROR(__xludf.DUMMYFUNCTION("""COMPUTED_VALUE"""),"1261091")</f>
        <v>1261091</v>
      </c>
      <c r="C3229" s="213">
        <f>IFERROR(__xludf.DUMMYFUNCTION("""COMPUTED_VALUE"""),46037.429398148146)</f>
        <v>46037.4294</v>
      </c>
      <c r="D3229" s="211" t="str">
        <f>IFERROR(__xludf.DUMMYFUNCTION("""COMPUTED_VALUE"""),"3a48ba8b")</f>
        <v>3a48ba8b</v>
      </c>
      <c r="E3229" s="211" t="str">
        <f>IFERROR(__xludf.DUMMYFUNCTION("""COMPUTED_VALUE"""),"Bpk. Kacung")</f>
        <v>Bpk. Kacung</v>
      </c>
      <c r="F3229" s="211" t="str">
        <f>IFERROR(__xludf.DUMMYFUNCTION("""COMPUTED_VALUE"""),"be525f3b")</f>
        <v>be525f3b</v>
      </c>
      <c r="G3229" s="211" t="str">
        <f>IFERROR(__xludf.DUMMYFUNCTION("""COMPUTED_VALUE"""),"LPG 12kg")</f>
        <v>LPG 12kg</v>
      </c>
      <c r="H3229" s="211" t="str">
        <f>IFERROR(__xludf.DUMMYFUNCTION("""COMPUTED_VALUE"""),"IN")</f>
        <v>IN</v>
      </c>
      <c r="I3229" s="211" t="str">
        <f>IFERROR(__xludf.DUMMYFUNCTION("""COMPUTED_VALUE"""),"EMPTY")</f>
        <v>EMPTY</v>
      </c>
      <c r="J3229" s="211">
        <f>IFERROR(__xludf.DUMMYFUNCTION("""COMPUTED_VALUE"""),2.0)</f>
        <v>2</v>
      </c>
      <c r="K3229" s="210" t="str">
        <f>IFERROR(__xludf.DUMMYFUNCTION("""COMPUTED_VALUE"""),"L006 L005")</f>
        <v>L006 L005</v>
      </c>
      <c r="L3229" s="211">
        <f>IFERROR(__xludf.DUMMYFUNCTION("""COMPUTED_VALUE"""),0.0)</f>
        <v>0</v>
      </c>
      <c r="M3229" s="211"/>
      <c r="N3229" s="211"/>
      <c r="O3229" s="211" t="b">
        <f>IFERROR(__xludf.DUMMYFUNCTION("""COMPUTED_VALUE"""),FALSE)</f>
        <v>0</v>
      </c>
    </row>
    <row r="3230">
      <c r="A3230" s="210" t="str">
        <f>IFERROR(__xludf.DUMMYFUNCTION("""COMPUTED_VALUE"""),"1261092")</f>
        <v>1261092</v>
      </c>
      <c r="B3230" s="210" t="str">
        <f>IFERROR(__xludf.DUMMYFUNCTION("""COMPUTED_VALUE"""),"1261092")</f>
        <v>1261092</v>
      </c>
      <c r="C3230" s="213">
        <f>IFERROR(__xludf.DUMMYFUNCTION("""COMPUTED_VALUE"""),46037.47351851852)</f>
        <v>46037.47352</v>
      </c>
      <c r="D3230" s="211" t="str">
        <f>IFERROR(__xludf.DUMMYFUNCTION("""COMPUTED_VALUE"""),"a0f0ad2d")</f>
        <v>a0f0ad2d</v>
      </c>
      <c r="E3230" s="211" t="str">
        <f>IFERROR(__xludf.DUMMYFUNCTION("""COMPUTED_VALUE"""),"CV. Yulie Jaya")</f>
        <v>CV. Yulie Jaya</v>
      </c>
      <c r="F3230" s="211" t="str">
        <f>IFERROR(__xludf.DUMMYFUNCTION("""COMPUTED_VALUE"""),"be525f3b")</f>
        <v>be525f3b</v>
      </c>
      <c r="G3230" s="211" t="str">
        <f>IFERROR(__xludf.DUMMYFUNCTION("""COMPUTED_VALUE"""),"LPG 12kg")</f>
        <v>LPG 12kg</v>
      </c>
      <c r="H3230" s="211" t="str">
        <f>IFERROR(__xludf.DUMMYFUNCTION("""COMPUTED_VALUE"""),"IN")</f>
        <v>IN</v>
      </c>
      <c r="I3230" s="211" t="str">
        <f>IFERROR(__xludf.DUMMYFUNCTION("""COMPUTED_VALUE"""),"EMPTY")</f>
        <v>EMPTY</v>
      </c>
      <c r="J3230" s="211">
        <f>IFERROR(__xludf.DUMMYFUNCTION("""COMPUTED_VALUE"""),1.0)</f>
        <v>1</v>
      </c>
      <c r="K3230" s="210" t="str">
        <f>IFERROR(__xludf.DUMMYFUNCTION("""COMPUTED_VALUE"""),"L001")</f>
        <v>L001</v>
      </c>
      <c r="L3230" s="211">
        <f>IFERROR(__xludf.DUMMYFUNCTION("""COMPUTED_VALUE"""),0.0)</f>
        <v>0</v>
      </c>
      <c r="M3230" s="211"/>
      <c r="N3230" s="211"/>
      <c r="O3230" s="211" t="b">
        <f>IFERROR(__xludf.DUMMYFUNCTION("""COMPUTED_VALUE"""),FALSE)</f>
        <v>0</v>
      </c>
    </row>
    <row r="3231">
      <c r="A3231" s="210" t="str">
        <f>IFERROR(__xludf.DUMMYFUNCTION("""COMPUTED_VALUE"""),"1261092")</f>
        <v>1261092</v>
      </c>
      <c r="B3231" s="210" t="str">
        <f>IFERROR(__xludf.DUMMYFUNCTION("""COMPUTED_VALUE"""),"1261092")</f>
        <v>1261092</v>
      </c>
      <c r="C3231" s="213">
        <f>IFERROR(__xludf.DUMMYFUNCTION("""COMPUTED_VALUE"""),46037.47351851852)</f>
        <v>46037.47352</v>
      </c>
      <c r="D3231" s="211" t="str">
        <f>IFERROR(__xludf.DUMMYFUNCTION("""COMPUTED_VALUE"""),"a0f0ad2d")</f>
        <v>a0f0ad2d</v>
      </c>
      <c r="E3231" s="211" t="str">
        <f>IFERROR(__xludf.DUMMYFUNCTION("""COMPUTED_VALUE"""),"CV. Yulie Jaya")</f>
        <v>CV. Yulie Jaya</v>
      </c>
      <c r="F3231" s="211" t="str">
        <f>IFERROR(__xludf.DUMMYFUNCTION("""COMPUTED_VALUE"""),"8bdbe149")</f>
        <v>8bdbe149</v>
      </c>
      <c r="G3231" s="211" t="str">
        <f>IFERROR(__xludf.DUMMYFUNCTION("""COMPUTED_VALUE"""),"Oksigen 6m3")</f>
        <v>Oksigen 6m3</v>
      </c>
      <c r="H3231" s="211" t="str">
        <f>IFERROR(__xludf.DUMMYFUNCTION("""COMPUTED_VALUE"""),"IN")</f>
        <v>IN</v>
      </c>
      <c r="I3231" s="211" t="str">
        <f>IFERROR(__xludf.DUMMYFUNCTION("""COMPUTED_VALUE"""),"EMPTY")</f>
        <v>EMPTY</v>
      </c>
      <c r="J3231" s="211">
        <f>IFERROR(__xludf.DUMMYFUNCTION("""COMPUTED_VALUE"""),3.0)</f>
        <v>3</v>
      </c>
      <c r="K3231" s="210" t="str">
        <f>IFERROR(__xludf.DUMMYFUNCTION("""COMPUTED_VALUE"""),"11251 11257 1132")</f>
        <v>11251 11257 1132</v>
      </c>
      <c r="L3231" s="211">
        <f>IFERROR(__xludf.DUMMYFUNCTION("""COMPUTED_VALUE"""),0.0)</f>
        <v>0</v>
      </c>
      <c r="M3231" s="211"/>
      <c r="N3231" s="211"/>
      <c r="O3231" s="211" t="b">
        <f>IFERROR(__xludf.DUMMYFUNCTION("""COMPUTED_VALUE"""),FALSE)</f>
        <v>0</v>
      </c>
    </row>
    <row r="3232">
      <c r="A3232" s="210" t="str">
        <f>IFERROR(__xludf.DUMMYFUNCTION("""COMPUTED_VALUE"""),"1261092")</f>
        <v>1261092</v>
      </c>
      <c r="B3232" s="210" t="str">
        <f>IFERROR(__xludf.DUMMYFUNCTION("""COMPUTED_VALUE"""),"1261092")</f>
        <v>1261092</v>
      </c>
      <c r="C3232" s="213">
        <f>IFERROR(__xludf.DUMMYFUNCTION("""COMPUTED_VALUE"""),46037.47351851852)</f>
        <v>46037.47352</v>
      </c>
      <c r="D3232" s="211" t="str">
        <f>IFERROR(__xludf.DUMMYFUNCTION("""COMPUTED_VALUE"""),"a0f0ad2d")</f>
        <v>a0f0ad2d</v>
      </c>
      <c r="E3232" s="211" t="str">
        <f>IFERROR(__xludf.DUMMYFUNCTION("""COMPUTED_VALUE"""),"CV. Yulie Jaya")</f>
        <v>CV. Yulie Jaya</v>
      </c>
      <c r="F3232" s="211" t="str">
        <f>IFERROR(__xludf.DUMMYFUNCTION("""COMPUTED_VALUE"""),"7d2764f1")</f>
        <v>7d2764f1</v>
      </c>
      <c r="G3232" s="211" t="str">
        <f>IFERROR(__xludf.DUMMYFUNCTION("""COMPUTED_VALUE"""),"Oksigen 7m3")</f>
        <v>Oksigen 7m3</v>
      </c>
      <c r="H3232" s="211" t="str">
        <f>IFERROR(__xludf.DUMMYFUNCTION("""COMPUTED_VALUE"""),"IN")</f>
        <v>IN</v>
      </c>
      <c r="I3232" s="211" t="str">
        <f>IFERROR(__xludf.DUMMYFUNCTION("""COMPUTED_VALUE"""),"EMPTY")</f>
        <v>EMPTY</v>
      </c>
      <c r="J3232" s="211">
        <f>IFERROR(__xludf.DUMMYFUNCTION("""COMPUTED_VALUE"""),1.0)</f>
        <v>1</v>
      </c>
      <c r="K3232" s="210" t="str">
        <f>IFERROR(__xludf.DUMMYFUNCTION("""COMPUTED_VALUE"""),"11169")</f>
        <v>11169</v>
      </c>
      <c r="L3232" s="211">
        <f>IFERROR(__xludf.DUMMYFUNCTION("""COMPUTED_VALUE"""),0.0)</f>
        <v>0</v>
      </c>
      <c r="M3232" s="211"/>
      <c r="N3232" s="211"/>
      <c r="O3232" s="211" t="b">
        <f>IFERROR(__xludf.DUMMYFUNCTION("""COMPUTED_VALUE"""),FALSE)</f>
        <v>0</v>
      </c>
    </row>
    <row r="3233">
      <c r="A3233" s="210" t="str">
        <f>IFERROR(__xludf.DUMMYFUNCTION("""COMPUTED_VALUE"""),"012692248")</f>
        <v>012692248</v>
      </c>
      <c r="B3233" s="210" t="str">
        <f>IFERROR(__xludf.DUMMYFUNCTION("""COMPUTED_VALUE"""),"012692248")</f>
        <v>012692248</v>
      </c>
      <c r="C3233" s="213">
        <f>IFERROR(__xludf.DUMMYFUNCTION("""COMPUTED_VALUE"""),46037.47697916667)</f>
        <v>46037.47698</v>
      </c>
      <c r="D3233" s="211" t="str">
        <f>IFERROR(__xludf.DUMMYFUNCTION("""COMPUTED_VALUE"""),"734c6d17")</f>
        <v>734c6d17</v>
      </c>
      <c r="E3233" s="211" t="str">
        <f>IFERROR(__xludf.DUMMYFUNCTION("""COMPUTED_VALUE"""),"Bapak Ainol Yaqin ( Bpk. Ibnu )")</f>
        <v>Bapak Ainol Yaqin ( Bpk. Ibnu )</v>
      </c>
      <c r="F3233" s="211" t="str">
        <f>IFERROR(__xludf.DUMMYFUNCTION("""COMPUTED_VALUE"""),"8bdbe149")</f>
        <v>8bdbe149</v>
      </c>
      <c r="G3233" s="211" t="str">
        <f>IFERROR(__xludf.DUMMYFUNCTION("""COMPUTED_VALUE"""),"Oksigen 6m3")</f>
        <v>Oksigen 6m3</v>
      </c>
      <c r="H3233" s="211" t="str">
        <f>IFERROR(__xludf.DUMMYFUNCTION("""COMPUTED_VALUE"""),"OUT")</f>
        <v>OUT</v>
      </c>
      <c r="I3233" s="211" t="str">
        <f>IFERROR(__xludf.DUMMYFUNCTION("""COMPUTED_VALUE"""),"NORMAL")</f>
        <v>NORMAL</v>
      </c>
      <c r="J3233" s="211">
        <f>IFERROR(__xludf.DUMMYFUNCTION("""COMPUTED_VALUE"""),1.0)</f>
        <v>1</v>
      </c>
      <c r="K3233" s="210" t="str">
        <f>IFERROR(__xludf.DUMMYFUNCTION("""COMPUTED_VALUE"""),"11327")</f>
        <v>11327</v>
      </c>
      <c r="L3233" s="211">
        <f>IFERROR(__xludf.DUMMYFUNCTION("""COMPUTED_VALUE"""),60000.0)</f>
        <v>60000</v>
      </c>
      <c r="M3233" s="211"/>
      <c r="N3233" s="211"/>
      <c r="O3233" s="211" t="b">
        <f>IFERROR(__xludf.DUMMYFUNCTION("""COMPUTED_VALUE"""),FALSE)</f>
        <v>0</v>
      </c>
    </row>
    <row r="3234">
      <c r="A3234" s="210" t="str">
        <f>IFERROR(__xludf.DUMMYFUNCTION("""COMPUTED_VALUE"""),"0126102253")</f>
        <v>0126102253</v>
      </c>
      <c r="B3234" s="210" t="str">
        <f>IFERROR(__xludf.DUMMYFUNCTION("""COMPUTED_VALUE"""),"0126102253")</f>
        <v>0126102253</v>
      </c>
      <c r="C3234" s="213">
        <f>IFERROR(__xludf.DUMMYFUNCTION("""COMPUTED_VALUE"""),46037.47787037037)</f>
        <v>46037.47787</v>
      </c>
      <c r="D3234" s="211" t="str">
        <f>IFERROR(__xludf.DUMMYFUNCTION("""COMPUTED_VALUE"""),"f8a982a4")</f>
        <v>f8a982a4</v>
      </c>
      <c r="E3234" s="211" t="str">
        <f>IFERROR(__xludf.DUMMYFUNCTION("""COMPUTED_VALUE"""),"Bpk. Nasir")</f>
        <v>Bpk. Nasir</v>
      </c>
      <c r="F3234" s="211" t="str">
        <f>IFERROR(__xludf.DUMMYFUNCTION("""COMPUTED_VALUE"""),"7d2764f1")</f>
        <v>7d2764f1</v>
      </c>
      <c r="G3234" s="211" t="str">
        <f>IFERROR(__xludf.DUMMYFUNCTION("""COMPUTED_VALUE"""),"Oksigen 7m3")</f>
        <v>Oksigen 7m3</v>
      </c>
      <c r="H3234" s="211" t="str">
        <f>IFERROR(__xludf.DUMMYFUNCTION("""COMPUTED_VALUE"""),"OUT")</f>
        <v>OUT</v>
      </c>
      <c r="I3234" s="211" t="str">
        <f>IFERROR(__xludf.DUMMYFUNCTION("""COMPUTED_VALUE"""),"NORMAL")</f>
        <v>NORMAL</v>
      </c>
      <c r="J3234" s="211">
        <f>IFERROR(__xludf.DUMMYFUNCTION("""COMPUTED_VALUE"""),1.0)</f>
        <v>1</v>
      </c>
      <c r="K3234" s="210" t="str">
        <f>IFERROR(__xludf.DUMMYFUNCTION("""COMPUTED_VALUE"""),"11139")</f>
        <v>11139</v>
      </c>
      <c r="L3234" s="211">
        <f>IFERROR(__xludf.DUMMYFUNCTION("""COMPUTED_VALUE"""),70000.0)</f>
        <v>70000</v>
      </c>
      <c r="M3234" s="211"/>
      <c r="N3234" s="211"/>
      <c r="O3234" s="211" t="b">
        <f>IFERROR(__xludf.DUMMYFUNCTION("""COMPUTED_VALUE"""),FALSE)</f>
        <v>0</v>
      </c>
    </row>
    <row r="3235">
      <c r="A3235" s="210" t="str">
        <f>IFERROR(__xludf.DUMMYFUNCTION("""COMPUTED_VALUE"""),"012642254")</f>
        <v>012642254</v>
      </c>
      <c r="B3235" s="210" t="str">
        <f>IFERROR(__xludf.DUMMYFUNCTION("""COMPUTED_VALUE"""),"012642254")</f>
        <v>012642254</v>
      </c>
      <c r="C3235" s="213">
        <f>IFERROR(__xludf.DUMMYFUNCTION("""COMPUTED_VALUE"""),46037.595138888886)</f>
        <v>46037.59514</v>
      </c>
      <c r="D3235" s="211" t="str">
        <f>IFERROR(__xludf.DUMMYFUNCTION("""COMPUTED_VALUE"""),"b89c20a1")</f>
        <v>b89c20a1</v>
      </c>
      <c r="E3235" s="211" t="str">
        <f>IFERROR(__xludf.DUMMYFUNCTION("""COMPUTED_VALUE"""),"Harini dini")</f>
        <v>Harini dini</v>
      </c>
      <c r="F3235" s="211" t="str">
        <f>IFERROR(__xludf.DUMMYFUNCTION("""COMPUTED_VALUE"""),"2690846b")</f>
        <v>2690846b</v>
      </c>
      <c r="G3235" s="211" t="str">
        <f>IFERROR(__xludf.DUMMYFUNCTION("""COMPUTED_VALUE"""),"Oksigen 1m3 MR")</f>
        <v>Oksigen 1m3 MR</v>
      </c>
      <c r="H3235" s="211" t="str">
        <f>IFERROR(__xludf.DUMMYFUNCTION("""COMPUTED_VALUE"""),"OUT")</f>
        <v>OUT</v>
      </c>
      <c r="I3235" s="211" t="str">
        <f>IFERROR(__xludf.DUMMYFUNCTION("""COMPUTED_VALUE"""),"NORMAL")</f>
        <v>NORMAL</v>
      </c>
      <c r="J3235" s="211">
        <f>IFERROR(__xludf.DUMMYFUNCTION("""COMPUTED_VALUE"""),1.0)</f>
        <v>1</v>
      </c>
      <c r="K3235" s="211"/>
      <c r="L3235" s="211">
        <f>IFERROR(__xludf.DUMMYFUNCTION("""COMPUTED_VALUE"""),60000.0)</f>
        <v>60000</v>
      </c>
      <c r="M3235" s="211"/>
      <c r="N3235" s="211"/>
      <c r="O3235" s="211" t="b">
        <f>IFERROR(__xludf.DUMMYFUNCTION("""COMPUTED_VALUE"""),FALSE)</f>
        <v>0</v>
      </c>
    </row>
    <row r="3236">
      <c r="A3236" s="210" t="str">
        <f>IFERROR(__xludf.DUMMYFUNCTION("""COMPUTED_VALUE"""),"1261093")</f>
        <v>1261093</v>
      </c>
      <c r="B3236" s="210" t="str">
        <f>IFERROR(__xludf.DUMMYFUNCTION("""COMPUTED_VALUE"""),"1261093")</f>
        <v>1261093</v>
      </c>
      <c r="C3236" s="213">
        <f>IFERROR(__xludf.DUMMYFUNCTION("""COMPUTED_VALUE"""),46037.6091087963)</f>
        <v>46037.60911</v>
      </c>
      <c r="D3236" s="211" t="str">
        <f>IFERROR(__xludf.DUMMYFUNCTION("""COMPUTED_VALUE"""),"734c6d17")</f>
        <v>734c6d17</v>
      </c>
      <c r="E3236" s="211" t="str">
        <f>IFERROR(__xludf.DUMMYFUNCTION("""COMPUTED_VALUE"""),"Bapak Ainol Yaqin ( Bpk. Ibnu )")</f>
        <v>Bapak Ainol Yaqin ( Bpk. Ibnu )</v>
      </c>
      <c r="F3236" s="211" t="str">
        <f>IFERROR(__xludf.DUMMYFUNCTION("""COMPUTED_VALUE"""),"7d2764f1")</f>
        <v>7d2764f1</v>
      </c>
      <c r="G3236" s="211" t="str">
        <f>IFERROR(__xludf.DUMMYFUNCTION("""COMPUTED_VALUE"""),"Oksigen 7m3")</f>
        <v>Oksigen 7m3</v>
      </c>
      <c r="H3236" s="211" t="str">
        <f>IFERROR(__xludf.DUMMYFUNCTION("""COMPUTED_VALUE"""),"IN")</f>
        <v>IN</v>
      </c>
      <c r="I3236" s="211" t="str">
        <f>IFERROR(__xludf.DUMMYFUNCTION("""COMPUTED_VALUE"""),"EMPTY")</f>
        <v>EMPTY</v>
      </c>
      <c r="J3236" s="211">
        <f>IFERROR(__xludf.DUMMYFUNCTION("""COMPUTED_VALUE"""),1.0)</f>
        <v>1</v>
      </c>
      <c r="K3236" s="210" t="str">
        <f>IFERROR(__xludf.DUMMYFUNCTION("""COMPUTED_VALUE"""),"11222")</f>
        <v>11222</v>
      </c>
      <c r="L3236" s="211">
        <f>IFERROR(__xludf.DUMMYFUNCTION("""COMPUTED_VALUE"""),0.0)</f>
        <v>0</v>
      </c>
      <c r="M3236" s="211"/>
      <c r="N3236" s="211"/>
      <c r="O3236" s="211" t="b">
        <f>IFERROR(__xludf.DUMMYFUNCTION("""COMPUTED_VALUE"""),FALSE)</f>
        <v>0</v>
      </c>
    </row>
    <row r="3237">
      <c r="A3237" s="210" t="str">
        <f>IFERROR(__xludf.DUMMYFUNCTION("""COMPUTED_VALUE"""),"1261111")</f>
        <v>1261111</v>
      </c>
      <c r="B3237" s="210" t="str">
        <f>IFERROR(__xludf.DUMMYFUNCTION("""COMPUTED_VALUE"""),"1261111")</f>
        <v>1261111</v>
      </c>
      <c r="C3237" s="213">
        <f>IFERROR(__xludf.DUMMYFUNCTION("""COMPUTED_VALUE"""),46037.62396990741)</f>
        <v>46037.62397</v>
      </c>
      <c r="D3237" s="211" t="str">
        <f>IFERROR(__xludf.DUMMYFUNCTION("""COMPUTED_VALUE"""),"b89c20a1")</f>
        <v>b89c20a1</v>
      </c>
      <c r="E3237" s="211" t="str">
        <f>IFERROR(__xludf.DUMMYFUNCTION("""COMPUTED_VALUE"""),"Harini dini")</f>
        <v>Harini dini</v>
      </c>
      <c r="F3237" s="211" t="str">
        <f>IFERROR(__xludf.DUMMYFUNCTION("""COMPUTED_VALUE"""),"e8544a46")</f>
        <v>e8544a46</v>
      </c>
      <c r="G3237" s="211" t="str">
        <f>IFERROR(__xludf.DUMMYFUNCTION("""COMPUTED_VALUE"""),"Oksigen 1m3")</f>
        <v>Oksigen 1m3</v>
      </c>
      <c r="H3237" s="211" t="str">
        <f>IFERROR(__xludf.DUMMYFUNCTION("""COMPUTED_VALUE"""),"IN")</f>
        <v>IN</v>
      </c>
      <c r="I3237" s="211" t="str">
        <f>IFERROR(__xludf.DUMMYFUNCTION("""COMPUTED_VALUE"""),"EMPTY")</f>
        <v>EMPTY</v>
      </c>
      <c r="J3237" s="211">
        <f>IFERROR(__xludf.DUMMYFUNCTION("""COMPUTED_VALUE"""),1.0)</f>
        <v>1</v>
      </c>
      <c r="K3237" s="210" t="str">
        <f>IFERROR(__xludf.DUMMYFUNCTION("""COMPUTED_VALUE"""),"0004")</f>
        <v>0004</v>
      </c>
      <c r="L3237" s="211">
        <f>IFERROR(__xludf.DUMMYFUNCTION("""COMPUTED_VALUE"""),0.0)</f>
        <v>0</v>
      </c>
      <c r="M3237" s="211"/>
      <c r="N3237" s="211"/>
      <c r="O3237" s="211" t="b">
        <f>IFERROR(__xludf.DUMMYFUNCTION("""COMPUTED_VALUE"""),FALSE)</f>
        <v>0</v>
      </c>
    </row>
    <row r="3238">
      <c r="A3238" s="210" t="str">
        <f>IFERROR(__xludf.DUMMYFUNCTION("""COMPUTED_VALUE"""),"0126152255")</f>
        <v>0126152255</v>
      </c>
      <c r="B3238" s="210" t="str">
        <f>IFERROR(__xludf.DUMMYFUNCTION("""COMPUTED_VALUE"""),"0126152255")</f>
        <v>0126152255</v>
      </c>
      <c r="C3238" s="213">
        <f>IFERROR(__xludf.DUMMYFUNCTION("""COMPUTED_VALUE"""),46037.66539351852)</f>
        <v>46037.66539</v>
      </c>
      <c r="D3238" s="211" t="str">
        <f>IFERROR(__xludf.DUMMYFUNCTION("""COMPUTED_VALUE"""),"8ea74d81")</f>
        <v>8ea74d81</v>
      </c>
      <c r="E3238" s="211" t="str">
        <f>IFERROR(__xludf.DUMMYFUNCTION("""COMPUTED_VALUE"""),"Bengkel Adi Putra")</f>
        <v>Bengkel Adi Putra</v>
      </c>
      <c r="F3238" s="211" t="str">
        <f>IFERROR(__xludf.DUMMYFUNCTION("""COMPUTED_VALUE"""),"8bdbe149")</f>
        <v>8bdbe149</v>
      </c>
      <c r="G3238" s="211" t="str">
        <f>IFERROR(__xludf.DUMMYFUNCTION("""COMPUTED_VALUE"""),"Oksigen 6m3")</f>
        <v>Oksigen 6m3</v>
      </c>
      <c r="H3238" s="211" t="str">
        <f>IFERROR(__xludf.DUMMYFUNCTION("""COMPUTED_VALUE"""),"OUT")</f>
        <v>OUT</v>
      </c>
      <c r="I3238" s="211" t="str">
        <f>IFERROR(__xludf.DUMMYFUNCTION("""COMPUTED_VALUE"""),"NORMAL")</f>
        <v>NORMAL</v>
      </c>
      <c r="J3238" s="211">
        <f>IFERROR(__xludf.DUMMYFUNCTION("""COMPUTED_VALUE"""),2.0)</f>
        <v>2</v>
      </c>
      <c r="K3238" s="210" t="str">
        <f>IFERROR(__xludf.DUMMYFUNCTION("""COMPUTED_VALUE"""),"11242 11271")</f>
        <v>11242 11271</v>
      </c>
      <c r="L3238" s="211">
        <f>IFERROR(__xludf.DUMMYFUNCTION("""COMPUTED_VALUE"""),70000.0)</f>
        <v>70000</v>
      </c>
      <c r="M3238" s="211"/>
      <c r="N3238" s="211"/>
      <c r="O3238" s="211" t="b">
        <f>IFERROR(__xludf.DUMMYFUNCTION("""COMPUTED_VALUE"""),FALSE)</f>
        <v>0</v>
      </c>
    </row>
    <row r="3239">
      <c r="A3239" s="210" t="str">
        <f>IFERROR(__xludf.DUMMYFUNCTION("""COMPUTED_VALUE"""),"1261101")</f>
        <v>1261101</v>
      </c>
      <c r="B3239" s="210" t="str">
        <f>IFERROR(__xludf.DUMMYFUNCTION("""COMPUTED_VALUE"""),"1261101")</f>
        <v>1261101</v>
      </c>
      <c r="C3239" s="213">
        <f>IFERROR(__xludf.DUMMYFUNCTION("""COMPUTED_VALUE"""),46037.67674768518)</f>
        <v>46037.67675</v>
      </c>
      <c r="D3239" s="211" t="str">
        <f>IFERROR(__xludf.DUMMYFUNCTION("""COMPUTED_VALUE"""),"b2b5f2c5")</f>
        <v>b2b5f2c5</v>
      </c>
      <c r="E3239" s="211" t="str">
        <f>IFERROR(__xludf.DUMMYFUNCTION("""COMPUTED_VALUE"""),"Bengkel Las Bpk. Ari")</f>
        <v>Bengkel Las Bpk. Ari</v>
      </c>
      <c r="F3239" s="211" t="str">
        <f>IFERROR(__xludf.DUMMYFUNCTION("""COMPUTED_VALUE"""),"ef306e54")</f>
        <v>ef306e54</v>
      </c>
      <c r="G3239" s="211" t="str">
        <f>IFERROR(__xludf.DUMMYFUNCTION("""COMPUTED_VALUE"""),"Karbondioksida")</f>
        <v>Karbondioksida</v>
      </c>
      <c r="H3239" s="211" t="str">
        <f>IFERROR(__xludf.DUMMYFUNCTION("""COMPUTED_VALUE"""),"IN")</f>
        <v>IN</v>
      </c>
      <c r="I3239" s="211" t="str">
        <f>IFERROR(__xludf.DUMMYFUNCTION("""COMPUTED_VALUE"""),"EMPTY")</f>
        <v>EMPTY</v>
      </c>
      <c r="J3239" s="211">
        <f>IFERROR(__xludf.DUMMYFUNCTION("""COMPUTED_VALUE"""),2.0)</f>
        <v>2</v>
      </c>
      <c r="K3239" s="210" t="str">
        <f>IFERROR(__xludf.DUMMYFUNCTION("""COMPUTED_VALUE"""),"13025 13026")</f>
        <v>13025 13026</v>
      </c>
      <c r="L3239" s="211">
        <f>IFERROR(__xludf.DUMMYFUNCTION("""COMPUTED_VALUE"""),0.0)</f>
        <v>0</v>
      </c>
      <c r="M3239" s="211"/>
      <c r="N3239" s="211"/>
      <c r="O3239" s="211" t="b">
        <f>IFERROR(__xludf.DUMMYFUNCTION("""COMPUTED_VALUE"""),FALSE)</f>
        <v>0</v>
      </c>
    </row>
    <row r="3240">
      <c r="A3240" s="210" t="str">
        <f>IFERROR(__xludf.DUMMYFUNCTION("""COMPUTED_VALUE"""),"1261101")</f>
        <v>1261101</v>
      </c>
      <c r="B3240" s="210" t="str">
        <f>IFERROR(__xludf.DUMMYFUNCTION("""COMPUTED_VALUE"""),"1261101")</f>
        <v>1261101</v>
      </c>
      <c r="C3240" s="213">
        <f>IFERROR(__xludf.DUMMYFUNCTION("""COMPUTED_VALUE"""),46037.67674768518)</f>
        <v>46037.67675</v>
      </c>
      <c r="D3240" s="211" t="str">
        <f>IFERROR(__xludf.DUMMYFUNCTION("""COMPUTED_VALUE"""),"b2b5f2c5")</f>
        <v>b2b5f2c5</v>
      </c>
      <c r="E3240" s="211" t="str">
        <f>IFERROR(__xludf.DUMMYFUNCTION("""COMPUTED_VALUE"""),"Bengkel Las Bpk. Ari")</f>
        <v>Bengkel Las Bpk. Ari</v>
      </c>
      <c r="F3240" s="211" t="str">
        <f>IFERROR(__xludf.DUMMYFUNCTION("""COMPUTED_VALUE"""),"8bdbe149")</f>
        <v>8bdbe149</v>
      </c>
      <c r="G3240" s="211" t="str">
        <f>IFERROR(__xludf.DUMMYFUNCTION("""COMPUTED_VALUE"""),"Oksigen 6m3")</f>
        <v>Oksigen 6m3</v>
      </c>
      <c r="H3240" s="211" t="str">
        <f>IFERROR(__xludf.DUMMYFUNCTION("""COMPUTED_VALUE"""),"IN")</f>
        <v>IN</v>
      </c>
      <c r="I3240" s="211" t="str">
        <f>IFERROR(__xludf.DUMMYFUNCTION("""COMPUTED_VALUE"""),"EMPTY")</f>
        <v>EMPTY</v>
      </c>
      <c r="J3240" s="211">
        <f>IFERROR(__xludf.DUMMYFUNCTION("""COMPUTED_VALUE"""),3.0)</f>
        <v>3</v>
      </c>
      <c r="K3240" s="210" t="str">
        <f>IFERROR(__xludf.DUMMYFUNCTION("""COMPUTED_VALUE"""),"1186 11297 1106")</f>
        <v>1186 11297 1106</v>
      </c>
      <c r="L3240" s="211">
        <f>IFERROR(__xludf.DUMMYFUNCTION("""COMPUTED_VALUE"""),0.0)</f>
        <v>0</v>
      </c>
      <c r="M3240" s="211"/>
      <c r="N3240" s="211"/>
      <c r="O3240" s="211" t="b">
        <f>IFERROR(__xludf.DUMMYFUNCTION("""COMPUTED_VALUE"""),FALSE)</f>
        <v>0</v>
      </c>
    </row>
    <row r="3241">
      <c r="A3241" s="211"/>
      <c r="B3241" s="211"/>
      <c r="C3241" s="211"/>
      <c r="D3241" s="211"/>
      <c r="E3241" s="211"/>
      <c r="F3241" s="211"/>
      <c r="G3241" s="211"/>
      <c r="H3241" s="211"/>
      <c r="I3241" s="211"/>
      <c r="J3241" s="211"/>
      <c r="K3241" s="211"/>
      <c r="L3241" s="211"/>
      <c r="M3241" s="211"/>
      <c r="N3241" s="211"/>
      <c r="O3241" s="211"/>
    </row>
    <row r="3242">
      <c r="A3242" s="211"/>
      <c r="B3242" s="211"/>
      <c r="C3242" s="211"/>
      <c r="D3242" s="211"/>
      <c r="E3242" s="211"/>
      <c r="F3242" s="211"/>
      <c r="G3242" s="211"/>
      <c r="H3242" s="211"/>
      <c r="I3242" s="211"/>
      <c r="J3242" s="211"/>
      <c r="K3242" s="211"/>
      <c r="L3242" s="211"/>
      <c r="M3242" s="211"/>
      <c r="N3242" s="211"/>
      <c r="O3242" s="211"/>
    </row>
    <row r="3243">
      <c r="A3243" s="210" t="str">
        <f>IFERROR(__xludf.DUMMYFUNCTION("""COMPUTED_VALUE"""),"1261089")</f>
        <v>1261089</v>
      </c>
      <c r="B3243" s="210" t="str">
        <f>IFERROR(__xludf.DUMMYFUNCTION("""COMPUTED_VALUE"""),"1261089")</f>
        <v>1261089</v>
      </c>
      <c r="C3243" s="213">
        <f>IFERROR(__xludf.DUMMYFUNCTION("""COMPUTED_VALUE"""),46037.677939814814)</f>
        <v>46037.67794</v>
      </c>
      <c r="D3243" s="211" t="str">
        <f>IFERROR(__xludf.DUMMYFUNCTION("""COMPUTED_VALUE"""),"9828dfc5")</f>
        <v>9828dfc5</v>
      </c>
      <c r="E3243" s="211" t="str">
        <f>IFERROR(__xludf.DUMMYFUNCTION("""COMPUTED_VALUE"""),"Bpk. David")</f>
        <v>Bpk. David</v>
      </c>
      <c r="F3243" s="211" t="str">
        <f>IFERROR(__xludf.DUMMYFUNCTION("""COMPUTED_VALUE"""),"7d2764f1")</f>
        <v>7d2764f1</v>
      </c>
      <c r="G3243" s="211" t="str">
        <f>IFERROR(__xludf.DUMMYFUNCTION("""COMPUTED_VALUE"""),"Oksigen 7m3")</f>
        <v>Oksigen 7m3</v>
      </c>
      <c r="H3243" s="211" t="str">
        <f>IFERROR(__xludf.DUMMYFUNCTION("""COMPUTED_VALUE"""),"IN")</f>
        <v>IN</v>
      </c>
      <c r="I3243" s="211" t="str">
        <f>IFERROR(__xludf.DUMMYFUNCTION("""COMPUTED_VALUE"""),"EMPTY")</f>
        <v>EMPTY</v>
      </c>
      <c r="J3243" s="211">
        <f>IFERROR(__xludf.DUMMYFUNCTION("""COMPUTED_VALUE"""),2.0)</f>
        <v>2</v>
      </c>
      <c r="K3243" s="210" t="str">
        <f>IFERROR(__xludf.DUMMYFUNCTION("""COMPUTED_VALUE"""),"11178 11337")</f>
        <v>11178 11337</v>
      </c>
      <c r="L3243" s="211">
        <f>IFERROR(__xludf.DUMMYFUNCTION("""COMPUTED_VALUE"""),0.0)</f>
        <v>0</v>
      </c>
      <c r="M3243" s="211"/>
      <c r="N3243" s="211"/>
      <c r="O3243" s="211" t="b">
        <f>IFERROR(__xludf.DUMMYFUNCTION("""COMPUTED_VALUE"""),FALSE)</f>
        <v>0</v>
      </c>
    </row>
    <row r="3244">
      <c r="A3244" s="210" t="str">
        <f>IFERROR(__xludf.DUMMYFUNCTION("""COMPUTED_VALUE"""),"1261090")</f>
        <v>1261090</v>
      </c>
      <c r="B3244" s="210" t="str">
        <f>IFERROR(__xludf.DUMMYFUNCTION("""COMPUTED_VALUE"""),"1261090")</f>
        <v>1261090</v>
      </c>
      <c r="C3244" s="213">
        <f>IFERROR(__xludf.DUMMYFUNCTION("""COMPUTED_VALUE"""),46037.67884259259)</f>
        <v>46037.67884</v>
      </c>
      <c r="D3244" s="211" t="str">
        <f>IFERROR(__xludf.DUMMYFUNCTION("""COMPUTED_VALUE"""),"f8a982a4")</f>
        <v>f8a982a4</v>
      </c>
      <c r="E3244" s="211" t="str">
        <f>IFERROR(__xludf.DUMMYFUNCTION("""COMPUTED_VALUE"""),"Bpk. Nasir")</f>
        <v>Bpk. Nasir</v>
      </c>
      <c r="F3244" s="211" t="str">
        <f>IFERROR(__xludf.DUMMYFUNCTION("""COMPUTED_VALUE"""),"7d2764f1")</f>
        <v>7d2764f1</v>
      </c>
      <c r="G3244" s="211" t="str">
        <f>IFERROR(__xludf.DUMMYFUNCTION("""COMPUTED_VALUE"""),"Oksigen 7m3")</f>
        <v>Oksigen 7m3</v>
      </c>
      <c r="H3244" s="211" t="str">
        <f>IFERROR(__xludf.DUMMYFUNCTION("""COMPUTED_VALUE"""),"IN")</f>
        <v>IN</v>
      </c>
      <c r="I3244" s="211" t="str">
        <f>IFERROR(__xludf.DUMMYFUNCTION("""COMPUTED_VALUE"""),"EMPTY")</f>
        <v>EMPTY</v>
      </c>
      <c r="J3244" s="211">
        <f>IFERROR(__xludf.DUMMYFUNCTION("""COMPUTED_VALUE"""),5.0)</f>
        <v>5</v>
      </c>
      <c r="K3244" s="210" t="str">
        <f>IFERROR(__xludf.DUMMYFUNCTION("""COMPUTED_VALUE"""),"11135 11301 11167 11219 11155")</f>
        <v>11135 11301 11167 11219 11155</v>
      </c>
      <c r="L3244" s="211">
        <f>IFERROR(__xludf.DUMMYFUNCTION("""COMPUTED_VALUE"""),0.0)</f>
        <v>0</v>
      </c>
      <c r="M3244" s="211"/>
      <c r="N3244" s="211"/>
      <c r="O3244" s="211" t="b">
        <f>IFERROR(__xludf.DUMMYFUNCTION("""COMPUTED_VALUE"""),FALSE)</f>
        <v>0</v>
      </c>
    </row>
    <row r="3245">
      <c r="A3245" s="210" t="str">
        <f>IFERROR(__xludf.DUMMYFUNCTION("""COMPUTED_VALUE"""),"1261088")</f>
        <v>1261088</v>
      </c>
      <c r="B3245" s="210" t="str">
        <f>IFERROR(__xludf.DUMMYFUNCTION("""COMPUTED_VALUE"""),"1261088")</f>
        <v>1261088</v>
      </c>
      <c r="C3245" s="213">
        <f>IFERROR(__xludf.DUMMYFUNCTION("""COMPUTED_VALUE"""),46037.68300925926)</f>
        <v>46037.68301</v>
      </c>
      <c r="D3245" s="211" t="str">
        <f>IFERROR(__xludf.DUMMYFUNCTION("""COMPUTED_VALUE"""),"03ff52db")</f>
        <v>03ff52db</v>
      </c>
      <c r="E3245" s="211" t="str">
        <f>IFERROR(__xludf.DUMMYFUNCTION("""COMPUTED_VALUE"""),"Aneka Teknik Logam")</f>
        <v>Aneka Teknik Logam</v>
      </c>
      <c r="F3245" s="211" t="str">
        <f>IFERROR(__xludf.DUMMYFUNCTION("""COMPUTED_VALUE"""),"7d2764f1")</f>
        <v>7d2764f1</v>
      </c>
      <c r="G3245" s="211" t="str">
        <f>IFERROR(__xludf.DUMMYFUNCTION("""COMPUTED_VALUE"""),"Oksigen 7m3")</f>
        <v>Oksigen 7m3</v>
      </c>
      <c r="H3245" s="211" t="str">
        <f>IFERROR(__xludf.DUMMYFUNCTION("""COMPUTED_VALUE"""),"IN")</f>
        <v>IN</v>
      </c>
      <c r="I3245" s="211" t="str">
        <f>IFERROR(__xludf.DUMMYFUNCTION("""COMPUTED_VALUE"""),"EMPTY")</f>
        <v>EMPTY</v>
      </c>
      <c r="J3245" s="211">
        <f>IFERROR(__xludf.DUMMYFUNCTION("""COMPUTED_VALUE"""),2.0)</f>
        <v>2</v>
      </c>
      <c r="K3245" s="210" t="str">
        <f>IFERROR(__xludf.DUMMYFUNCTION("""COMPUTED_VALUE"""),"11212 1128")</f>
        <v>11212 1128</v>
      </c>
      <c r="L3245" s="211">
        <f>IFERROR(__xludf.DUMMYFUNCTION("""COMPUTED_VALUE"""),0.0)</f>
        <v>0</v>
      </c>
      <c r="M3245" s="211"/>
      <c r="N3245" s="211"/>
      <c r="O3245" s="211" t="b">
        <f>IFERROR(__xludf.DUMMYFUNCTION("""COMPUTED_VALUE"""),FALSE)</f>
        <v>0</v>
      </c>
    </row>
    <row r="3246">
      <c r="A3246" s="210" t="str">
        <f>IFERROR(__xludf.DUMMYFUNCTION("""COMPUTED_VALUE"""),"1261088")</f>
        <v>1261088</v>
      </c>
      <c r="B3246" s="210" t="str">
        <f>IFERROR(__xludf.DUMMYFUNCTION("""COMPUTED_VALUE"""),"1261088")</f>
        <v>1261088</v>
      </c>
      <c r="C3246" s="213">
        <f>IFERROR(__xludf.DUMMYFUNCTION("""COMPUTED_VALUE"""),46037.68300925926)</f>
        <v>46037.68301</v>
      </c>
      <c r="D3246" s="211" t="str">
        <f>IFERROR(__xludf.DUMMYFUNCTION("""COMPUTED_VALUE"""),"03ff52db")</f>
        <v>03ff52db</v>
      </c>
      <c r="E3246" s="211" t="str">
        <f>IFERROR(__xludf.DUMMYFUNCTION("""COMPUTED_VALUE"""),"Aneka Teknik Logam")</f>
        <v>Aneka Teknik Logam</v>
      </c>
      <c r="F3246" s="211" t="str">
        <f>IFERROR(__xludf.DUMMYFUNCTION("""COMPUTED_VALUE"""),"f6aab7a9")</f>
        <v>f6aab7a9</v>
      </c>
      <c r="G3246" s="211" t="str">
        <f>IFERROR(__xludf.DUMMYFUNCTION("""COMPUTED_VALUE"""),"Oksigen 6m3 MR")</f>
        <v>Oksigen 6m3 MR</v>
      </c>
      <c r="H3246" s="211" t="str">
        <f>IFERROR(__xludf.DUMMYFUNCTION("""COMPUTED_VALUE"""),"IN")</f>
        <v>IN</v>
      </c>
      <c r="I3246" s="211" t="str">
        <f>IFERROR(__xludf.DUMMYFUNCTION("""COMPUTED_VALUE"""),"EMPTY")</f>
        <v>EMPTY</v>
      </c>
      <c r="J3246" s="211">
        <f>IFERROR(__xludf.DUMMYFUNCTION("""COMPUTED_VALUE"""),1.0)</f>
        <v>1</v>
      </c>
      <c r="K3246" s="211"/>
      <c r="L3246" s="211">
        <f>IFERROR(__xludf.DUMMYFUNCTION("""COMPUTED_VALUE"""),0.0)</f>
        <v>0</v>
      </c>
      <c r="M3246" s="211"/>
      <c r="N3246" s="211"/>
      <c r="O3246" s="211" t="b">
        <f>IFERROR(__xludf.DUMMYFUNCTION("""COMPUTED_VALUE"""),FALSE)</f>
        <v>0</v>
      </c>
    </row>
    <row r="3247">
      <c r="A3247" s="210" t="str">
        <f>IFERROR(__xludf.DUMMYFUNCTION("""COMPUTED_VALUE"""),"0126102258")</f>
        <v>0126102258</v>
      </c>
      <c r="B3247" s="210" t="str">
        <f>IFERROR(__xludf.DUMMYFUNCTION("""COMPUTED_VALUE"""),"0126102258")</f>
        <v>0126102258</v>
      </c>
      <c r="C3247" s="213">
        <f>IFERROR(__xludf.DUMMYFUNCTION("""COMPUTED_VALUE"""),46038.33346064815)</f>
        <v>46038.33346</v>
      </c>
      <c r="D3247" s="211" t="str">
        <f>IFERROR(__xludf.DUMMYFUNCTION("""COMPUTED_VALUE"""),"734c6d17")</f>
        <v>734c6d17</v>
      </c>
      <c r="E3247" s="211" t="str">
        <f>IFERROR(__xludf.DUMMYFUNCTION("""COMPUTED_VALUE"""),"Bapak Ainol Yaqin ( Bpk. Ibnu )")</f>
        <v>Bapak Ainol Yaqin ( Bpk. Ibnu )</v>
      </c>
      <c r="F3247" s="211" t="str">
        <f>IFERROR(__xludf.DUMMYFUNCTION("""COMPUTED_VALUE"""),"7d2764f1")</f>
        <v>7d2764f1</v>
      </c>
      <c r="G3247" s="211" t="str">
        <f>IFERROR(__xludf.DUMMYFUNCTION("""COMPUTED_VALUE"""),"Oksigen 7m3")</f>
        <v>Oksigen 7m3</v>
      </c>
      <c r="H3247" s="211" t="str">
        <f>IFERROR(__xludf.DUMMYFUNCTION("""COMPUTED_VALUE"""),"OUT")</f>
        <v>OUT</v>
      </c>
      <c r="I3247" s="211" t="str">
        <f>IFERROR(__xludf.DUMMYFUNCTION("""COMPUTED_VALUE"""),"NORMAL")</f>
        <v>NORMAL</v>
      </c>
      <c r="J3247" s="211">
        <f>IFERROR(__xludf.DUMMYFUNCTION("""COMPUTED_VALUE"""),1.0)</f>
        <v>1</v>
      </c>
      <c r="K3247" s="210" t="str">
        <f>IFERROR(__xludf.DUMMYFUNCTION("""COMPUTED_VALUE"""),"11178")</f>
        <v>11178</v>
      </c>
      <c r="L3247" s="211">
        <f>IFERROR(__xludf.DUMMYFUNCTION("""COMPUTED_VALUE"""),65000.0)</f>
        <v>65000</v>
      </c>
      <c r="M3247" s="211"/>
      <c r="N3247" s="211"/>
      <c r="O3247" s="211" t="b">
        <f>IFERROR(__xludf.DUMMYFUNCTION("""COMPUTED_VALUE"""),FALSE)</f>
        <v>0</v>
      </c>
    </row>
    <row r="3248">
      <c r="A3248" s="210" t="str">
        <f>IFERROR(__xludf.DUMMYFUNCTION("""COMPUTED_VALUE"""),"0126722264")</f>
        <v>0126722264</v>
      </c>
      <c r="B3248" s="210" t="str">
        <f>IFERROR(__xludf.DUMMYFUNCTION("""COMPUTED_VALUE"""),"0126722264")</f>
        <v>0126722264</v>
      </c>
      <c r="C3248" s="213">
        <f>IFERROR(__xludf.DUMMYFUNCTION("""COMPUTED_VALUE"""),46038.333449074074)</f>
        <v>46038.33345</v>
      </c>
      <c r="D3248" s="211" t="str">
        <f>IFERROR(__xludf.DUMMYFUNCTION("""COMPUTED_VALUE"""),"b2b5f2c5")</f>
        <v>b2b5f2c5</v>
      </c>
      <c r="E3248" s="211" t="str">
        <f>IFERROR(__xludf.DUMMYFUNCTION("""COMPUTED_VALUE"""),"Bengkel Las Bpk. Ari")</f>
        <v>Bengkel Las Bpk. Ari</v>
      </c>
      <c r="F3248" s="211" t="str">
        <f>IFERROR(__xludf.DUMMYFUNCTION("""COMPUTED_VALUE"""),"ef306e54")</f>
        <v>ef306e54</v>
      </c>
      <c r="G3248" s="211" t="str">
        <f>IFERROR(__xludf.DUMMYFUNCTION("""COMPUTED_VALUE"""),"Karbondioksida")</f>
        <v>Karbondioksida</v>
      </c>
      <c r="H3248" s="211" t="str">
        <f>IFERROR(__xludf.DUMMYFUNCTION("""COMPUTED_VALUE"""),"OUT")</f>
        <v>OUT</v>
      </c>
      <c r="I3248" s="211" t="str">
        <f>IFERROR(__xludf.DUMMYFUNCTION("""COMPUTED_VALUE"""),"NORMAL")</f>
        <v>NORMAL</v>
      </c>
      <c r="J3248" s="211">
        <f>IFERROR(__xludf.DUMMYFUNCTION("""COMPUTED_VALUE"""),3.0)</f>
        <v>3</v>
      </c>
      <c r="K3248" s="210" t="str">
        <f>IFERROR(__xludf.DUMMYFUNCTION("""COMPUTED_VALUE"""),"13018 13037 13049")</f>
        <v>13018 13037 13049</v>
      </c>
      <c r="L3248" s="211">
        <f>IFERROR(__xludf.DUMMYFUNCTION("""COMPUTED_VALUE"""),180000.0)</f>
        <v>180000</v>
      </c>
      <c r="M3248" s="211"/>
      <c r="N3248" s="211"/>
      <c r="O3248" s="211" t="b">
        <f>IFERROR(__xludf.DUMMYFUNCTION("""COMPUTED_VALUE"""),FALSE)</f>
        <v>0</v>
      </c>
    </row>
    <row r="3249">
      <c r="A3249" s="210" t="str">
        <f>IFERROR(__xludf.DUMMYFUNCTION("""COMPUTED_VALUE"""),"0126722264")</f>
        <v>0126722264</v>
      </c>
      <c r="B3249" s="210" t="str">
        <f>IFERROR(__xludf.DUMMYFUNCTION("""COMPUTED_VALUE"""),"0126722264")</f>
        <v>0126722264</v>
      </c>
      <c r="C3249" s="213">
        <f>IFERROR(__xludf.DUMMYFUNCTION("""COMPUTED_VALUE"""),46038.333449074074)</f>
        <v>46038.33345</v>
      </c>
      <c r="D3249" s="211" t="str">
        <f>IFERROR(__xludf.DUMMYFUNCTION("""COMPUTED_VALUE"""),"b2b5f2c5")</f>
        <v>b2b5f2c5</v>
      </c>
      <c r="E3249" s="211" t="str">
        <f>IFERROR(__xludf.DUMMYFUNCTION("""COMPUTED_VALUE"""),"Bengkel Las Bpk. Ari")</f>
        <v>Bengkel Las Bpk. Ari</v>
      </c>
      <c r="F3249" s="211" t="str">
        <f>IFERROR(__xludf.DUMMYFUNCTION("""COMPUTED_VALUE"""),"8bdbe149")</f>
        <v>8bdbe149</v>
      </c>
      <c r="G3249" s="211" t="str">
        <f>IFERROR(__xludf.DUMMYFUNCTION("""COMPUTED_VALUE"""),"Oksigen 6m3")</f>
        <v>Oksigen 6m3</v>
      </c>
      <c r="H3249" s="211" t="str">
        <f>IFERROR(__xludf.DUMMYFUNCTION("""COMPUTED_VALUE"""),"OUT")</f>
        <v>OUT</v>
      </c>
      <c r="I3249" s="211" t="str">
        <f>IFERROR(__xludf.DUMMYFUNCTION("""COMPUTED_VALUE"""),"NORMAL")</f>
        <v>NORMAL</v>
      </c>
      <c r="J3249" s="211">
        <f>IFERROR(__xludf.DUMMYFUNCTION("""COMPUTED_VALUE"""),6.0)</f>
        <v>6</v>
      </c>
      <c r="K3249" s="210" t="str">
        <f>IFERROR(__xludf.DUMMYFUNCTION("""COMPUTED_VALUE"""),"11255 1115 11111 1129 11240 1195")</f>
        <v>11255 1115 11111 1129 11240 1195</v>
      </c>
      <c r="L3249" s="211">
        <f>IFERROR(__xludf.DUMMYFUNCTION("""COMPUTED_VALUE"""),60000.0)</f>
        <v>60000</v>
      </c>
      <c r="M3249" s="211"/>
      <c r="N3249" s="211"/>
      <c r="O3249" s="211" t="b">
        <f>IFERROR(__xludf.DUMMYFUNCTION("""COMPUTED_VALUE"""),FALSE)</f>
        <v>0</v>
      </c>
    </row>
    <row r="3250">
      <c r="A3250" s="210" t="str">
        <f>IFERROR(__xludf.DUMMYFUNCTION("""COMPUTED_VALUE"""),"012672265")</f>
        <v>012672265</v>
      </c>
      <c r="B3250" s="210" t="str">
        <f>IFERROR(__xludf.DUMMYFUNCTION("""COMPUTED_VALUE"""),"012672265")</f>
        <v>012672265</v>
      </c>
      <c r="C3250" s="213">
        <f>IFERROR(__xludf.DUMMYFUNCTION("""COMPUTED_VALUE"""),46038.33346064815)</f>
        <v>46038.33346</v>
      </c>
      <c r="D3250" s="211" t="str">
        <f>IFERROR(__xludf.DUMMYFUNCTION("""COMPUTED_VALUE"""),"03ff52db")</f>
        <v>03ff52db</v>
      </c>
      <c r="E3250" s="211" t="str">
        <f>IFERROR(__xludf.DUMMYFUNCTION("""COMPUTED_VALUE"""),"Aneka Teknik Logam")</f>
        <v>Aneka Teknik Logam</v>
      </c>
      <c r="F3250" s="211" t="str">
        <f>IFERROR(__xludf.DUMMYFUNCTION("""COMPUTED_VALUE"""),"f6aab7a9")</f>
        <v>f6aab7a9</v>
      </c>
      <c r="G3250" s="211" t="str">
        <f>IFERROR(__xludf.DUMMYFUNCTION("""COMPUTED_VALUE"""),"Oksigen 6m3 MR")</f>
        <v>Oksigen 6m3 MR</v>
      </c>
      <c r="H3250" s="211" t="str">
        <f>IFERROR(__xludf.DUMMYFUNCTION("""COMPUTED_VALUE"""),"OUT")</f>
        <v>OUT</v>
      </c>
      <c r="I3250" s="211" t="str">
        <f>IFERROR(__xludf.DUMMYFUNCTION("""COMPUTED_VALUE"""),"NORMAL")</f>
        <v>NORMAL</v>
      </c>
      <c r="J3250" s="211">
        <f>IFERROR(__xludf.DUMMYFUNCTION("""COMPUTED_VALUE"""),1.0)</f>
        <v>1</v>
      </c>
      <c r="K3250" s="211"/>
      <c r="L3250" s="211">
        <f>IFERROR(__xludf.DUMMYFUNCTION("""COMPUTED_VALUE"""),55000.0)</f>
        <v>55000</v>
      </c>
      <c r="M3250" s="211"/>
      <c r="N3250" s="211"/>
      <c r="O3250" s="211" t="b">
        <f>IFERROR(__xludf.DUMMYFUNCTION("""COMPUTED_VALUE"""),FALSE)</f>
        <v>0</v>
      </c>
    </row>
    <row r="3251">
      <c r="A3251" s="210" t="str">
        <f>IFERROR(__xludf.DUMMYFUNCTION("""COMPUTED_VALUE"""),"012672266")</f>
        <v>012672266</v>
      </c>
      <c r="B3251" s="210" t="str">
        <f>IFERROR(__xludf.DUMMYFUNCTION("""COMPUTED_VALUE"""),"012672266")</f>
        <v>012672266</v>
      </c>
      <c r="C3251" s="213">
        <f>IFERROR(__xludf.DUMMYFUNCTION("""COMPUTED_VALUE"""),46038.34111111111)</f>
        <v>46038.34111</v>
      </c>
      <c r="D3251" s="211" t="str">
        <f>IFERROR(__xludf.DUMMYFUNCTION("""COMPUTED_VALUE"""),"bdb5baf3")</f>
        <v>bdb5baf3</v>
      </c>
      <c r="E3251" s="211" t="str">
        <f>IFERROR(__xludf.DUMMYFUNCTION("""COMPUTED_VALUE"""),"Bpk. Abdul")</f>
        <v>Bpk. Abdul</v>
      </c>
      <c r="F3251" s="211" t="str">
        <f>IFERROR(__xludf.DUMMYFUNCTION("""COMPUTED_VALUE"""),"f6aab7a9")</f>
        <v>f6aab7a9</v>
      </c>
      <c r="G3251" s="211" t="str">
        <f>IFERROR(__xludf.DUMMYFUNCTION("""COMPUTED_VALUE"""),"Oksigen 6m3 MR")</f>
        <v>Oksigen 6m3 MR</v>
      </c>
      <c r="H3251" s="211" t="str">
        <f>IFERROR(__xludf.DUMMYFUNCTION("""COMPUTED_VALUE"""),"OUT")</f>
        <v>OUT</v>
      </c>
      <c r="I3251" s="211" t="str">
        <f>IFERROR(__xludf.DUMMYFUNCTION("""COMPUTED_VALUE"""),"NORMAL")</f>
        <v>NORMAL</v>
      </c>
      <c r="J3251" s="211">
        <f>IFERROR(__xludf.DUMMYFUNCTION("""COMPUTED_VALUE"""),2.0)</f>
        <v>2</v>
      </c>
      <c r="K3251" s="211"/>
      <c r="L3251" s="211">
        <f>IFERROR(__xludf.DUMMYFUNCTION("""COMPUTED_VALUE"""),70000.0)</f>
        <v>70000</v>
      </c>
      <c r="M3251" s="211"/>
      <c r="N3251" s="211"/>
      <c r="O3251" s="211" t="b">
        <f>IFERROR(__xludf.DUMMYFUNCTION("""COMPUTED_VALUE"""),FALSE)</f>
        <v>0</v>
      </c>
    </row>
    <row r="3252">
      <c r="A3252" s="210" t="str">
        <f>IFERROR(__xludf.DUMMYFUNCTION("""COMPUTED_VALUE"""),"1261102")</f>
        <v>1261102</v>
      </c>
      <c r="B3252" s="210" t="str">
        <f>IFERROR(__xludf.DUMMYFUNCTION("""COMPUTED_VALUE"""),"1261102")</f>
        <v>1261102</v>
      </c>
      <c r="C3252" s="213">
        <f>IFERROR(__xludf.DUMMYFUNCTION("""COMPUTED_VALUE"""),46038.53469907407)</f>
        <v>46038.5347</v>
      </c>
      <c r="D3252" s="211" t="str">
        <f>IFERROR(__xludf.DUMMYFUNCTION("""COMPUTED_VALUE"""),"b2b5f2c5")</f>
        <v>b2b5f2c5</v>
      </c>
      <c r="E3252" s="211" t="str">
        <f>IFERROR(__xludf.DUMMYFUNCTION("""COMPUTED_VALUE"""),"Bengkel Las Bpk. Ari")</f>
        <v>Bengkel Las Bpk. Ari</v>
      </c>
      <c r="F3252" s="211" t="str">
        <f>IFERROR(__xludf.DUMMYFUNCTION("""COMPUTED_VALUE"""),"ef306e54")</f>
        <v>ef306e54</v>
      </c>
      <c r="G3252" s="211" t="str">
        <f>IFERROR(__xludf.DUMMYFUNCTION("""COMPUTED_VALUE"""),"Karbondioksida")</f>
        <v>Karbondioksida</v>
      </c>
      <c r="H3252" s="211" t="str">
        <f>IFERROR(__xludf.DUMMYFUNCTION("""COMPUTED_VALUE"""),"IN")</f>
        <v>IN</v>
      </c>
      <c r="I3252" s="211" t="str">
        <f>IFERROR(__xludf.DUMMYFUNCTION("""COMPUTED_VALUE"""),"EMPTY")</f>
        <v>EMPTY</v>
      </c>
      <c r="J3252" s="211">
        <f>IFERROR(__xludf.DUMMYFUNCTION("""COMPUTED_VALUE"""),1.0)</f>
        <v>1</v>
      </c>
      <c r="K3252" s="210" t="str">
        <f>IFERROR(__xludf.DUMMYFUNCTION("""COMPUTED_VALUE"""),"13023")</f>
        <v>13023</v>
      </c>
      <c r="L3252" s="211">
        <f>IFERROR(__xludf.DUMMYFUNCTION("""COMPUTED_VALUE"""),0.0)</f>
        <v>0</v>
      </c>
      <c r="M3252" s="211"/>
      <c r="N3252" s="211"/>
      <c r="O3252" s="211" t="b">
        <f>IFERROR(__xludf.DUMMYFUNCTION("""COMPUTED_VALUE"""),FALSE)</f>
        <v>0</v>
      </c>
    </row>
    <row r="3253">
      <c r="A3253" s="210" t="str">
        <f>IFERROR(__xludf.DUMMYFUNCTION("""COMPUTED_VALUE"""),"1261102")</f>
        <v>1261102</v>
      </c>
      <c r="B3253" s="210" t="str">
        <f>IFERROR(__xludf.DUMMYFUNCTION("""COMPUTED_VALUE"""),"1261102")</f>
        <v>1261102</v>
      </c>
      <c r="C3253" s="213">
        <f>IFERROR(__xludf.DUMMYFUNCTION("""COMPUTED_VALUE"""),46038.53469907407)</f>
        <v>46038.5347</v>
      </c>
      <c r="D3253" s="211" t="str">
        <f>IFERROR(__xludf.DUMMYFUNCTION("""COMPUTED_VALUE"""),"b2b5f2c5")</f>
        <v>b2b5f2c5</v>
      </c>
      <c r="E3253" s="211" t="str">
        <f>IFERROR(__xludf.DUMMYFUNCTION("""COMPUTED_VALUE"""),"Bengkel Las Bpk. Ari")</f>
        <v>Bengkel Las Bpk. Ari</v>
      </c>
      <c r="F3253" s="211" t="str">
        <f>IFERROR(__xludf.DUMMYFUNCTION("""COMPUTED_VALUE"""),"8bdbe149")</f>
        <v>8bdbe149</v>
      </c>
      <c r="G3253" s="211" t="str">
        <f>IFERROR(__xludf.DUMMYFUNCTION("""COMPUTED_VALUE"""),"Oksigen 6m3")</f>
        <v>Oksigen 6m3</v>
      </c>
      <c r="H3253" s="211" t="str">
        <f>IFERROR(__xludf.DUMMYFUNCTION("""COMPUTED_VALUE"""),"IN")</f>
        <v>IN</v>
      </c>
      <c r="I3253" s="211" t="str">
        <f>IFERROR(__xludf.DUMMYFUNCTION("""COMPUTED_VALUE"""),"EMPTY")</f>
        <v>EMPTY</v>
      </c>
      <c r="J3253" s="211">
        <f>IFERROR(__xludf.DUMMYFUNCTION("""COMPUTED_VALUE"""),3.0)</f>
        <v>3</v>
      </c>
      <c r="K3253" s="210" t="str">
        <f>IFERROR(__xludf.DUMMYFUNCTION("""COMPUTED_VALUE"""),"1171 1120 11274")</f>
        <v>1171 1120 11274</v>
      </c>
      <c r="L3253" s="211">
        <f>IFERROR(__xludf.DUMMYFUNCTION("""COMPUTED_VALUE"""),0.0)</f>
        <v>0</v>
      </c>
      <c r="M3253" s="211"/>
      <c r="N3253" s="211"/>
      <c r="O3253" s="211" t="b">
        <f>IFERROR(__xludf.DUMMYFUNCTION("""COMPUTED_VALUE"""),FALSE)</f>
        <v>0</v>
      </c>
    </row>
    <row r="3254">
      <c r="A3254" s="210" t="str">
        <f>IFERROR(__xludf.DUMMYFUNCTION("""COMPUTED_VALUE"""),"0126132267")</f>
        <v>0126132267</v>
      </c>
      <c r="B3254" s="210" t="str">
        <f>IFERROR(__xludf.DUMMYFUNCTION("""COMPUTED_VALUE"""),"0126132267")</f>
        <v>0126132267</v>
      </c>
      <c r="C3254" s="213">
        <f>IFERROR(__xludf.DUMMYFUNCTION("""COMPUTED_VALUE"""),46038.53703703704)</f>
        <v>46038.53704</v>
      </c>
      <c r="D3254" s="211" t="str">
        <f>IFERROR(__xludf.DUMMYFUNCTION("""COMPUTED_VALUE"""),"63fc688a")</f>
        <v>63fc688a</v>
      </c>
      <c r="E3254" s="211" t="str">
        <f>IFERROR(__xludf.DUMMYFUNCTION("""COMPUTED_VALUE"""),"CV Malik Nusantara")</f>
        <v>CV Malik Nusantara</v>
      </c>
      <c r="F3254" s="211" t="str">
        <f>IFERROR(__xludf.DUMMYFUNCTION("""COMPUTED_VALUE"""),"8bdbe149")</f>
        <v>8bdbe149</v>
      </c>
      <c r="G3254" s="211" t="str">
        <f>IFERROR(__xludf.DUMMYFUNCTION("""COMPUTED_VALUE"""),"Oksigen 6m3")</f>
        <v>Oksigen 6m3</v>
      </c>
      <c r="H3254" s="211" t="str">
        <f>IFERROR(__xludf.DUMMYFUNCTION("""COMPUTED_VALUE"""),"OUT")</f>
        <v>OUT</v>
      </c>
      <c r="I3254" s="211" t="str">
        <f>IFERROR(__xludf.DUMMYFUNCTION("""COMPUTED_VALUE"""),"NORMAL")</f>
        <v>NORMAL</v>
      </c>
      <c r="J3254" s="211">
        <f>IFERROR(__xludf.DUMMYFUNCTION("""COMPUTED_VALUE"""),10.0)</f>
        <v>10</v>
      </c>
      <c r="K3254" s="210" t="str">
        <f>IFERROR(__xludf.DUMMYFUNCTION("""COMPUTED_VALUE"""),"1194 11249 11256 1190 11245 1199 1106 1186 11184 11209")</f>
        <v>1194 11249 11256 1190 11245 1199 1106 1186 11184 11209</v>
      </c>
      <c r="L3254" s="211">
        <f>IFERROR(__xludf.DUMMYFUNCTION("""COMPUTED_VALUE"""),65000.0)</f>
        <v>65000</v>
      </c>
      <c r="M3254" s="211"/>
      <c r="N3254" s="211"/>
      <c r="O3254" s="211" t="b">
        <f>IFERROR(__xludf.DUMMYFUNCTION("""COMPUTED_VALUE"""),FALSE)</f>
        <v>0</v>
      </c>
    </row>
    <row r="3255">
      <c r="A3255" s="210" t="str">
        <f>IFERROR(__xludf.DUMMYFUNCTION("""COMPUTED_VALUE"""),"012652269")</f>
        <v>012652269</v>
      </c>
      <c r="B3255" s="210" t="str">
        <f>IFERROR(__xludf.DUMMYFUNCTION("""COMPUTED_VALUE"""),"012652269")</f>
        <v>012652269</v>
      </c>
      <c r="C3255" s="213">
        <f>IFERROR(__xludf.DUMMYFUNCTION("""COMPUTED_VALUE"""),46039.35157407408)</f>
        <v>46039.35157</v>
      </c>
      <c r="D3255" s="211" t="str">
        <f>IFERROR(__xludf.DUMMYFUNCTION("""COMPUTED_VALUE"""),"b89c20a1")</f>
        <v>b89c20a1</v>
      </c>
      <c r="E3255" s="211" t="str">
        <f>IFERROR(__xludf.DUMMYFUNCTION("""COMPUTED_VALUE"""),"Harini dini")</f>
        <v>Harini dini</v>
      </c>
      <c r="F3255" s="211" t="str">
        <f>IFERROR(__xludf.DUMMYFUNCTION("""COMPUTED_VALUE"""),"8bdbe149")</f>
        <v>8bdbe149</v>
      </c>
      <c r="G3255" s="211" t="str">
        <f>IFERROR(__xludf.DUMMYFUNCTION("""COMPUTED_VALUE"""),"Oksigen 6m3")</f>
        <v>Oksigen 6m3</v>
      </c>
      <c r="H3255" s="211" t="str">
        <f>IFERROR(__xludf.DUMMYFUNCTION("""COMPUTED_VALUE"""),"OUT")</f>
        <v>OUT</v>
      </c>
      <c r="I3255" s="211" t="str">
        <f>IFERROR(__xludf.DUMMYFUNCTION("""COMPUTED_VALUE"""),"NORMAL")</f>
        <v>NORMAL</v>
      </c>
      <c r="J3255" s="211">
        <f>IFERROR(__xludf.DUMMYFUNCTION("""COMPUTED_VALUE"""),1.0)</f>
        <v>1</v>
      </c>
      <c r="K3255" s="210" t="str">
        <f>IFERROR(__xludf.DUMMYFUNCTION("""COMPUTED_VALUE"""),"11295")</f>
        <v>11295</v>
      </c>
      <c r="L3255" s="211">
        <f>IFERROR(__xludf.DUMMYFUNCTION("""COMPUTED_VALUE"""),80000.0)</f>
        <v>80000</v>
      </c>
      <c r="M3255" s="211"/>
      <c r="N3255" s="211"/>
      <c r="O3255" s="211" t="b">
        <f>IFERROR(__xludf.DUMMYFUNCTION("""COMPUTED_VALUE"""),FALSE)</f>
        <v>0</v>
      </c>
    </row>
    <row r="3256">
      <c r="A3256" s="210" t="str">
        <f>IFERROR(__xludf.DUMMYFUNCTION("""COMPUTED_VALUE"""),"012652270")</f>
        <v>012652270</v>
      </c>
      <c r="B3256" s="210" t="str">
        <f>IFERROR(__xludf.DUMMYFUNCTION("""COMPUTED_VALUE"""),"012652270")</f>
        <v>012652270</v>
      </c>
      <c r="C3256" s="213">
        <f>IFERROR(__xludf.DUMMYFUNCTION("""COMPUTED_VALUE"""),46039.35238425926)</f>
        <v>46039.35238</v>
      </c>
      <c r="D3256" s="211" t="str">
        <f>IFERROR(__xludf.DUMMYFUNCTION("""COMPUTED_VALUE"""),"1d018c98")</f>
        <v>1d018c98</v>
      </c>
      <c r="E3256" s="211" t="str">
        <f>IFERROR(__xludf.DUMMYFUNCTION("""COMPUTED_VALUE"""),"Mbak Angel")</f>
        <v>Mbak Angel</v>
      </c>
      <c r="F3256" s="211" t="str">
        <f>IFERROR(__xludf.DUMMYFUNCTION("""COMPUTED_VALUE"""),"8bdbe149")</f>
        <v>8bdbe149</v>
      </c>
      <c r="G3256" s="211" t="str">
        <f>IFERROR(__xludf.DUMMYFUNCTION("""COMPUTED_VALUE"""),"Oksigen 6m3")</f>
        <v>Oksigen 6m3</v>
      </c>
      <c r="H3256" s="211" t="str">
        <f>IFERROR(__xludf.DUMMYFUNCTION("""COMPUTED_VALUE"""),"OUT")</f>
        <v>OUT</v>
      </c>
      <c r="I3256" s="211" t="str">
        <f>IFERROR(__xludf.DUMMYFUNCTION("""COMPUTED_VALUE"""),"NORMAL")</f>
        <v>NORMAL</v>
      </c>
      <c r="J3256" s="211">
        <f>IFERROR(__xludf.DUMMYFUNCTION("""COMPUTED_VALUE"""),1.0)</f>
        <v>1</v>
      </c>
      <c r="K3256" s="210" t="str">
        <f>IFERROR(__xludf.DUMMYFUNCTION("""COMPUTED_VALUE"""),"11192")</f>
        <v>11192</v>
      </c>
      <c r="L3256" s="211">
        <f>IFERROR(__xludf.DUMMYFUNCTION("""COMPUTED_VALUE"""),80000.0)</f>
        <v>80000</v>
      </c>
      <c r="M3256" s="211"/>
      <c r="N3256" s="211"/>
      <c r="O3256" s="211" t="b">
        <f>IFERROR(__xludf.DUMMYFUNCTION("""COMPUTED_VALUE"""),FALSE)</f>
        <v>0</v>
      </c>
    </row>
    <row r="3257">
      <c r="A3257" s="210" t="str">
        <f>IFERROR(__xludf.DUMMYFUNCTION("""COMPUTED_VALUE"""),"1261094")</f>
        <v>1261094</v>
      </c>
      <c r="B3257" s="210" t="str">
        <f>IFERROR(__xludf.DUMMYFUNCTION("""COMPUTED_VALUE"""),"1261094")</f>
        <v>1261094</v>
      </c>
      <c r="C3257" s="213">
        <f>IFERROR(__xludf.DUMMYFUNCTION("""COMPUTED_VALUE"""),46039.36318287037)</f>
        <v>46039.36318</v>
      </c>
      <c r="D3257" s="211" t="str">
        <f>IFERROR(__xludf.DUMMYFUNCTION("""COMPUTED_VALUE"""),"1d018c98")</f>
        <v>1d018c98</v>
      </c>
      <c r="E3257" s="211" t="str">
        <f>IFERROR(__xludf.DUMMYFUNCTION("""COMPUTED_VALUE"""),"Mbak Angel")</f>
        <v>Mbak Angel</v>
      </c>
      <c r="F3257" s="211" t="str">
        <f>IFERROR(__xludf.DUMMYFUNCTION("""COMPUTED_VALUE"""),"8bdbe149")</f>
        <v>8bdbe149</v>
      </c>
      <c r="G3257" s="211" t="str">
        <f>IFERROR(__xludf.DUMMYFUNCTION("""COMPUTED_VALUE"""),"Oksigen 6m3")</f>
        <v>Oksigen 6m3</v>
      </c>
      <c r="H3257" s="211" t="str">
        <f>IFERROR(__xludf.DUMMYFUNCTION("""COMPUTED_VALUE"""),"IN")</f>
        <v>IN</v>
      </c>
      <c r="I3257" s="211" t="str">
        <f>IFERROR(__xludf.DUMMYFUNCTION("""COMPUTED_VALUE"""),"EMPTY")</f>
        <v>EMPTY</v>
      </c>
      <c r="J3257" s="211">
        <f>IFERROR(__xludf.DUMMYFUNCTION("""COMPUTED_VALUE"""),1.0)</f>
        <v>1</v>
      </c>
      <c r="K3257" s="210" t="str">
        <f>IFERROR(__xludf.DUMMYFUNCTION("""COMPUTED_VALUE"""),"11286")</f>
        <v>11286</v>
      </c>
      <c r="L3257" s="211">
        <f>IFERROR(__xludf.DUMMYFUNCTION("""COMPUTED_VALUE"""),0.0)</f>
        <v>0</v>
      </c>
      <c r="M3257" s="211"/>
      <c r="N3257" s="211"/>
      <c r="O3257" s="211" t="b">
        <f>IFERROR(__xludf.DUMMYFUNCTION("""COMPUTED_VALUE"""),FALSE)</f>
        <v>0</v>
      </c>
    </row>
    <row r="3258">
      <c r="A3258" s="210" t="str">
        <f>IFERROR(__xludf.DUMMYFUNCTION("""COMPUTED_VALUE"""),"1261103")</f>
        <v>1261103</v>
      </c>
      <c r="B3258" s="210" t="str">
        <f>IFERROR(__xludf.DUMMYFUNCTION("""COMPUTED_VALUE"""),"1261103")</f>
        <v>1261103</v>
      </c>
      <c r="C3258" s="213">
        <f>IFERROR(__xludf.DUMMYFUNCTION("""COMPUTED_VALUE"""),46039.36342592593)</f>
        <v>46039.36343</v>
      </c>
      <c r="D3258" s="211" t="str">
        <f>IFERROR(__xludf.DUMMYFUNCTION("""COMPUTED_VALUE"""),"63fc688a")</f>
        <v>63fc688a</v>
      </c>
      <c r="E3258" s="211" t="str">
        <f>IFERROR(__xludf.DUMMYFUNCTION("""COMPUTED_VALUE"""),"CV Malik Nusantara")</f>
        <v>CV Malik Nusantara</v>
      </c>
      <c r="F3258" s="211" t="str">
        <f>IFERROR(__xludf.DUMMYFUNCTION("""COMPUTED_VALUE"""),"ef306e54")</f>
        <v>ef306e54</v>
      </c>
      <c r="G3258" s="211" t="str">
        <f>IFERROR(__xludf.DUMMYFUNCTION("""COMPUTED_VALUE"""),"Karbondioksida")</f>
        <v>Karbondioksida</v>
      </c>
      <c r="H3258" s="211" t="str">
        <f>IFERROR(__xludf.DUMMYFUNCTION("""COMPUTED_VALUE"""),"IN")</f>
        <v>IN</v>
      </c>
      <c r="I3258" s="211" t="str">
        <f>IFERROR(__xludf.DUMMYFUNCTION("""COMPUTED_VALUE"""),"EMPTY")</f>
        <v>EMPTY</v>
      </c>
      <c r="J3258" s="211">
        <f>IFERROR(__xludf.DUMMYFUNCTION("""COMPUTED_VALUE"""),1.0)</f>
        <v>1</v>
      </c>
      <c r="K3258" s="210" t="str">
        <f>IFERROR(__xludf.DUMMYFUNCTION("""COMPUTED_VALUE"""),"13029")</f>
        <v>13029</v>
      </c>
      <c r="L3258" s="211">
        <f>IFERROR(__xludf.DUMMYFUNCTION("""COMPUTED_VALUE"""),0.0)</f>
        <v>0</v>
      </c>
      <c r="M3258" s="211"/>
      <c r="N3258" s="211"/>
      <c r="O3258" s="211" t="b">
        <f>IFERROR(__xludf.DUMMYFUNCTION("""COMPUTED_VALUE"""),FALSE)</f>
        <v>0</v>
      </c>
    </row>
    <row r="3259">
      <c r="A3259" s="210" t="str">
        <f>IFERROR(__xludf.DUMMYFUNCTION("""COMPUTED_VALUE"""),"1261103")</f>
        <v>1261103</v>
      </c>
      <c r="B3259" s="210" t="str">
        <f>IFERROR(__xludf.DUMMYFUNCTION("""COMPUTED_VALUE"""),"1261103")</f>
        <v>1261103</v>
      </c>
      <c r="C3259" s="213">
        <f>IFERROR(__xludf.DUMMYFUNCTION("""COMPUTED_VALUE"""),46039.36342592593)</f>
        <v>46039.36343</v>
      </c>
      <c r="D3259" s="211" t="str">
        <f>IFERROR(__xludf.DUMMYFUNCTION("""COMPUTED_VALUE"""),"63fc688a")</f>
        <v>63fc688a</v>
      </c>
      <c r="E3259" s="211" t="str">
        <f>IFERROR(__xludf.DUMMYFUNCTION("""COMPUTED_VALUE"""),"CV Malik Nusantara")</f>
        <v>CV Malik Nusantara</v>
      </c>
      <c r="F3259" s="211" t="str">
        <f>IFERROR(__xludf.DUMMYFUNCTION("""COMPUTED_VALUE"""),"8bdbe149")</f>
        <v>8bdbe149</v>
      </c>
      <c r="G3259" s="211" t="str">
        <f>IFERROR(__xludf.DUMMYFUNCTION("""COMPUTED_VALUE"""),"Oksigen 6m3")</f>
        <v>Oksigen 6m3</v>
      </c>
      <c r="H3259" s="211" t="str">
        <f>IFERROR(__xludf.DUMMYFUNCTION("""COMPUTED_VALUE"""),"IN")</f>
        <v>IN</v>
      </c>
      <c r="I3259" s="211" t="str">
        <f>IFERROR(__xludf.DUMMYFUNCTION("""COMPUTED_VALUE"""),"EMPTY")</f>
        <v>EMPTY</v>
      </c>
      <c r="J3259" s="211">
        <f>IFERROR(__xludf.DUMMYFUNCTION("""COMPUTED_VALUE"""),5.0)</f>
        <v>5</v>
      </c>
      <c r="K3259" s="210" t="str">
        <f>IFERROR(__xludf.DUMMYFUNCTION("""COMPUTED_VALUE"""),"11124 11121 11103 1148 11252")</f>
        <v>11124 11121 11103 1148 11252</v>
      </c>
      <c r="L3259" s="211">
        <f>IFERROR(__xludf.DUMMYFUNCTION("""COMPUTED_VALUE"""),0.0)</f>
        <v>0</v>
      </c>
      <c r="M3259" s="211"/>
      <c r="N3259" s="211"/>
      <c r="O3259" s="211" t="b">
        <f>IFERROR(__xludf.DUMMYFUNCTION("""COMPUTED_VALUE"""),FALSE)</f>
        <v>0</v>
      </c>
    </row>
    <row r="3260">
      <c r="A3260" s="210" t="str">
        <f>IFERROR(__xludf.DUMMYFUNCTION("""COMPUTED_VALUE"""),"1261103")</f>
        <v>1261103</v>
      </c>
      <c r="B3260" s="210" t="str">
        <f>IFERROR(__xludf.DUMMYFUNCTION("""COMPUTED_VALUE"""),"1261103")</f>
        <v>1261103</v>
      </c>
      <c r="C3260" s="213">
        <f>IFERROR(__xludf.DUMMYFUNCTION("""COMPUTED_VALUE"""),46039.36342592593)</f>
        <v>46039.36343</v>
      </c>
      <c r="D3260" s="211" t="str">
        <f>IFERROR(__xludf.DUMMYFUNCTION("""COMPUTED_VALUE"""),"63fc688a")</f>
        <v>63fc688a</v>
      </c>
      <c r="E3260" s="211" t="str">
        <f>IFERROR(__xludf.DUMMYFUNCTION("""COMPUTED_VALUE"""),"CV Malik Nusantara")</f>
        <v>CV Malik Nusantara</v>
      </c>
      <c r="F3260" s="211" t="str">
        <f>IFERROR(__xludf.DUMMYFUNCTION("""COMPUTED_VALUE"""),"7d2764f1")</f>
        <v>7d2764f1</v>
      </c>
      <c r="G3260" s="211" t="str">
        <f>IFERROR(__xludf.DUMMYFUNCTION("""COMPUTED_VALUE"""),"Oksigen 7m3")</f>
        <v>Oksigen 7m3</v>
      </c>
      <c r="H3260" s="211" t="str">
        <f>IFERROR(__xludf.DUMMYFUNCTION("""COMPUTED_VALUE"""),"IN")</f>
        <v>IN</v>
      </c>
      <c r="I3260" s="211" t="str">
        <f>IFERROR(__xludf.DUMMYFUNCTION("""COMPUTED_VALUE"""),"EMPTY")</f>
        <v>EMPTY</v>
      </c>
      <c r="J3260" s="211">
        <f>IFERROR(__xludf.DUMMYFUNCTION("""COMPUTED_VALUE"""),2.0)</f>
        <v>2</v>
      </c>
      <c r="K3260" s="210" t="str">
        <f>IFERROR(__xludf.DUMMYFUNCTION("""COMPUTED_VALUE"""),"11226 11217")</f>
        <v>11226 11217</v>
      </c>
      <c r="L3260" s="211">
        <f>IFERROR(__xludf.DUMMYFUNCTION("""COMPUTED_VALUE"""),0.0)</f>
        <v>0</v>
      </c>
      <c r="M3260" s="211"/>
      <c r="N3260" s="211"/>
      <c r="O3260" s="211" t="b">
        <f>IFERROR(__xludf.DUMMYFUNCTION("""COMPUTED_VALUE"""),FALSE)</f>
        <v>0</v>
      </c>
    </row>
    <row r="3261">
      <c r="A3261" s="210" t="str">
        <f>IFERROR(__xludf.DUMMYFUNCTION("""COMPUTED_VALUE"""),"012612271")</f>
        <v>012612271</v>
      </c>
      <c r="B3261" s="210" t="str">
        <f>IFERROR(__xludf.DUMMYFUNCTION("""COMPUTED_VALUE"""),"012612271")</f>
        <v>012612271</v>
      </c>
      <c r="C3261" s="213">
        <f>IFERROR(__xludf.DUMMYFUNCTION("""COMPUTED_VALUE"""),46039.382569444446)</f>
        <v>46039.38257</v>
      </c>
      <c r="D3261" s="211" t="str">
        <f>IFERROR(__xludf.DUMMYFUNCTION("""COMPUTED_VALUE"""),"057b6b99")</f>
        <v>057b6b99</v>
      </c>
      <c r="E3261" s="211" t="str">
        <f>IFERROR(__xludf.DUMMYFUNCTION("""COMPUTED_VALUE"""),"PT Anuta Utama Transport")</f>
        <v>PT Anuta Utama Transport</v>
      </c>
      <c r="F3261" s="211" t="str">
        <f>IFERROR(__xludf.DUMMYFUNCTION("""COMPUTED_VALUE"""),"7d2764f1")</f>
        <v>7d2764f1</v>
      </c>
      <c r="G3261" s="211" t="str">
        <f>IFERROR(__xludf.DUMMYFUNCTION("""COMPUTED_VALUE"""),"Oksigen 7m3")</f>
        <v>Oksigen 7m3</v>
      </c>
      <c r="H3261" s="211" t="str">
        <f>IFERROR(__xludf.DUMMYFUNCTION("""COMPUTED_VALUE"""),"OUT")</f>
        <v>OUT</v>
      </c>
      <c r="I3261" s="211" t="str">
        <f>IFERROR(__xludf.DUMMYFUNCTION("""COMPUTED_VALUE"""),"NORMAL")</f>
        <v>NORMAL</v>
      </c>
      <c r="J3261" s="211">
        <f>IFERROR(__xludf.DUMMYFUNCTION("""COMPUTED_VALUE"""),10.0)</f>
        <v>10</v>
      </c>
      <c r="K3261" s="210" t="str">
        <f>IFERROR(__xludf.DUMMYFUNCTION("""COMPUTED_VALUE"""),"11331 11337 1128 11145 11155 11136 11135 11212 11301 11167")</f>
        <v>11331 11337 1128 11145 11155 11136 11135 11212 11301 11167</v>
      </c>
      <c r="L3261" s="211">
        <f>IFERROR(__xludf.DUMMYFUNCTION("""COMPUTED_VALUE"""),58558.56)</f>
        <v>58558.56</v>
      </c>
      <c r="M3261" s="211"/>
      <c r="N3261" s="211"/>
      <c r="O3261" s="211" t="b">
        <f>IFERROR(__xludf.DUMMYFUNCTION("""COMPUTED_VALUE"""),FALSE)</f>
        <v>0</v>
      </c>
    </row>
    <row r="3262">
      <c r="A3262" s="210" t="str">
        <f>IFERROR(__xludf.DUMMYFUNCTION("""COMPUTED_VALUE"""),"012662274")</f>
        <v>012662274</v>
      </c>
      <c r="B3262" s="210" t="str">
        <f>IFERROR(__xludf.DUMMYFUNCTION("""COMPUTED_VALUE"""),"012662274")</f>
        <v>012662274</v>
      </c>
      <c r="C3262" s="213">
        <f>IFERROR(__xludf.DUMMYFUNCTION("""COMPUTED_VALUE"""),46039.38528935185)</f>
        <v>46039.38529</v>
      </c>
      <c r="D3262" s="211" t="str">
        <f>IFERROR(__xludf.DUMMYFUNCTION("""COMPUTED_VALUE"""),"f49860e4")</f>
        <v>f49860e4</v>
      </c>
      <c r="E3262" s="211" t="str">
        <f>IFERROR(__xludf.DUMMYFUNCTION("""COMPUTED_VALUE"""),"Mas Nur ( Jetis )")</f>
        <v>Mas Nur ( Jetis )</v>
      </c>
      <c r="F3262" s="211" t="str">
        <f>IFERROR(__xludf.DUMMYFUNCTION("""COMPUTED_VALUE"""),"8bdbe149")</f>
        <v>8bdbe149</v>
      </c>
      <c r="G3262" s="211" t="str">
        <f>IFERROR(__xludf.DUMMYFUNCTION("""COMPUTED_VALUE"""),"Oksigen 6m3")</f>
        <v>Oksigen 6m3</v>
      </c>
      <c r="H3262" s="211" t="str">
        <f>IFERROR(__xludf.DUMMYFUNCTION("""COMPUTED_VALUE"""),"OUT")</f>
        <v>OUT</v>
      </c>
      <c r="I3262" s="211" t="str">
        <f>IFERROR(__xludf.DUMMYFUNCTION("""COMPUTED_VALUE"""),"NORMAL")</f>
        <v>NORMAL</v>
      </c>
      <c r="J3262" s="211">
        <f>IFERROR(__xludf.DUMMYFUNCTION("""COMPUTED_VALUE"""),2.0)</f>
        <v>2</v>
      </c>
      <c r="K3262" s="210" t="str">
        <f>IFERROR(__xludf.DUMMYFUNCTION("""COMPUTED_VALUE"""),"11232 11275")</f>
        <v>11232 11275</v>
      </c>
      <c r="L3262" s="211">
        <f>IFERROR(__xludf.DUMMYFUNCTION("""COMPUTED_VALUE"""),60000.0)</f>
        <v>60000</v>
      </c>
      <c r="M3262" s="211"/>
      <c r="N3262" s="211"/>
      <c r="O3262" s="211" t="b">
        <f>IFERROR(__xludf.DUMMYFUNCTION("""COMPUTED_VALUE"""),FALSE)</f>
        <v>0</v>
      </c>
    </row>
    <row r="3263">
      <c r="A3263" s="210" t="str">
        <f>IFERROR(__xludf.DUMMYFUNCTION("""COMPUTED_VALUE"""),"0126422275")</f>
        <v>0126422275</v>
      </c>
      <c r="B3263" s="210" t="str">
        <f>IFERROR(__xludf.DUMMYFUNCTION("""COMPUTED_VALUE"""),"0126422275")</f>
        <v>0126422275</v>
      </c>
      <c r="C3263" s="213">
        <f>IFERROR(__xludf.DUMMYFUNCTION("""COMPUTED_VALUE"""),46039.39275462963)</f>
        <v>46039.39275</v>
      </c>
      <c r="D3263" s="211" t="str">
        <f>IFERROR(__xludf.DUMMYFUNCTION("""COMPUTED_VALUE"""),"5f23ba17")</f>
        <v>5f23ba17</v>
      </c>
      <c r="E3263" s="211" t="str">
        <f>IFERROR(__xludf.DUMMYFUNCTION("""COMPUTED_VALUE"""),"Bpk. Joko (Gresik)")</f>
        <v>Bpk. Joko (Gresik)</v>
      </c>
      <c r="F3263" s="211" t="str">
        <f>IFERROR(__xludf.DUMMYFUNCTION("""COMPUTED_VALUE"""),"be525f3b")</f>
        <v>be525f3b</v>
      </c>
      <c r="G3263" s="211" t="str">
        <f>IFERROR(__xludf.DUMMYFUNCTION("""COMPUTED_VALUE"""),"LPG 12kg")</f>
        <v>LPG 12kg</v>
      </c>
      <c r="H3263" s="211" t="str">
        <f>IFERROR(__xludf.DUMMYFUNCTION("""COMPUTED_VALUE"""),"OUT")</f>
        <v>OUT</v>
      </c>
      <c r="I3263" s="211" t="str">
        <f>IFERROR(__xludf.DUMMYFUNCTION("""COMPUTED_VALUE"""),"NORMAL")</f>
        <v>NORMAL</v>
      </c>
      <c r="J3263" s="211">
        <f>IFERROR(__xludf.DUMMYFUNCTION("""COMPUTED_VALUE"""),5.0)</f>
        <v>5</v>
      </c>
      <c r="K3263" s="210" t="str">
        <f>IFERROR(__xludf.DUMMYFUNCTION("""COMPUTED_VALUE"""),"L005 L006 L007 L008 L009")</f>
        <v>L005 L006 L007 L008 L009</v>
      </c>
      <c r="L3263" s="211">
        <f>IFERROR(__xludf.DUMMYFUNCTION("""COMPUTED_VALUE"""),200000.0)</f>
        <v>200000</v>
      </c>
      <c r="M3263" s="211"/>
      <c r="N3263" s="211"/>
      <c r="O3263" s="211" t="b">
        <f>IFERROR(__xludf.DUMMYFUNCTION("""COMPUTED_VALUE"""),FALSE)</f>
        <v>0</v>
      </c>
    </row>
    <row r="3264">
      <c r="A3264" s="210" t="str">
        <f>IFERROR(__xludf.DUMMYFUNCTION("""COMPUTED_VALUE"""),"012632276")</f>
        <v>012632276</v>
      </c>
      <c r="B3264" s="210" t="str">
        <f>IFERROR(__xludf.DUMMYFUNCTION("""COMPUTED_VALUE"""),"012632276")</f>
        <v>012632276</v>
      </c>
      <c r="C3264" s="213">
        <f>IFERROR(__xludf.DUMMYFUNCTION("""COMPUTED_VALUE"""),46039.49775462963)</f>
        <v>46039.49775</v>
      </c>
      <c r="D3264" s="211" t="str">
        <f>IFERROR(__xludf.DUMMYFUNCTION("""COMPUTED_VALUE"""),"1a1efff9")</f>
        <v>1a1efff9</v>
      </c>
      <c r="E3264" s="211" t="str">
        <f>IFERROR(__xludf.DUMMYFUNCTION("""COMPUTED_VALUE"""),"Bpk. Gito Mjs")</f>
        <v>Bpk. Gito Mjs</v>
      </c>
      <c r="F3264" s="211" t="str">
        <f>IFERROR(__xludf.DUMMYFUNCTION("""COMPUTED_VALUE"""),"7d2764f1")</f>
        <v>7d2764f1</v>
      </c>
      <c r="G3264" s="211" t="str">
        <f>IFERROR(__xludf.DUMMYFUNCTION("""COMPUTED_VALUE"""),"Oksigen 7m3")</f>
        <v>Oksigen 7m3</v>
      </c>
      <c r="H3264" s="211" t="str">
        <f>IFERROR(__xludf.DUMMYFUNCTION("""COMPUTED_VALUE"""),"OUT")</f>
        <v>OUT</v>
      </c>
      <c r="I3264" s="211" t="str">
        <f>IFERROR(__xludf.DUMMYFUNCTION("""COMPUTED_VALUE"""),"NORMAL")</f>
        <v>NORMAL</v>
      </c>
      <c r="J3264" s="211">
        <f>IFERROR(__xludf.DUMMYFUNCTION("""COMPUTED_VALUE"""),1.0)</f>
        <v>1</v>
      </c>
      <c r="K3264" s="210" t="str">
        <f>IFERROR(__xludf.DUMMYFUNCTION("""COMPUTED_VALUE"""),"11219")</f>
        <v>11219</v>
      </c>
      <c r="L3264" s="211">
        <f>IFERROR(__xludf.DUMMYFUNCTION("""COMPUTED_VALUE"""),75000.0)</f>
        <v>75000</v>
      </c>
      <c r="M3264" s="211"/>
      <c r="N3264" s="211"/>
      <c r="O3264" s="211" t="b">
        <f>IFERROR(__xludf.DUMMYFUNCTION("""COMPUTED_VALUE"""),FALSE)</f>
        <v>0</v>
      </c>
    </row>
    <row r="3265">
      <c r="A3265" s="210" t="str">
        <f>IFERROR(__xludf.DUMMYFUNCTION("""COMPUTED_VALUE"""),"012672277")</f>
        <v>012672277</v>
      </c>
      <c r="B3265" s="210" t="str">
        <f>IFERROR(__xludf.DUMMYFUNCTION("""COMPUTED_VALUE"""),"012672277")</f>
        <v>012672277</v>
      </c>
      <c r="C3265" s="213">
        <f>IFERROR(__xludf.DUMMYFUNCTION("""COMPUTED_VALUE"""),46039.498020833336)</f>
        <v>46039.49802</v>
      </c>
      <c r="D3265" s="211" t="str">
        <f>IFERROR(__xludf.DUMMYFUNCTION("""COMPUTED_VALUE"""),"f49860e4")</f>
        <v>f49860e4</v>
      </c>
      <c r="E3265" s="211" t="str">
        <f>IFERROR(__xludf.DUMMYFUNCTION("""COMPUTED_VALUE"""),"Mas Nur ( Jetis )")</f>
        <v>Mas Nur ( Jetis )</v>
      </c>
      <c r="F3265" s="211" t="str">
        <f>IFERROR(__xludf.DUMMYFUNCTION("""COMPUTED_VALUE"""),"8bdbe149")</f>
        <v>8bdbe149</v>
      </c>
      <c r="G3265" s="211" t="str">
        <f>IFERROR(__xludf.DUMMYFUNCTION("""COMPUTED_VALUE"""),"Oksigen 6m3")</f>
        <v>Oksigen 6m3</v>
      </c>
      <c r="H3265" s="211" t="str">
        <f>IFERROR(__xludf.DUMMYFUNCTION("""COMPUTED_VALUE"""),"OUT")</f>
        <v>OUT</v>
      </c>
      <c r="I3265" s="211" t="str">
        <f>IFERROR(__xludf.DUMMYFUNCTION("""COMPUTED_VALUE"""),"NORMAL")</f>
        <v>NORMAL</v>
      </c>
      <c r="J3265" s="211">
        <f>IFERROR(__xludf.DUMMYFUNCTION("""COMPUTED_VALUE"""),5.0)</f>
        <v>5</v>
      </c>
      <c r="K3265" s="210" t="str">
        <f>IFERROR(__xludf.DUMMYFUNCTION("""COMPUTED_VALUE"""),"11106 11297 11262 1171 11132")</f>
        <v>11106 11297 11262 1171 11132</v>
      </c>
      <c r="L3265" s="211">
        <f>IFERROR(__xludf.DUMMYFUNCTION("""COMPUTED_VALUE"""),60000.0)</f>
        <v>60000</v>
      </c>
      <c r="M3265" s="211"/>
      <c r="N3265" s="211"/>
      <c r="O3265" s="211" t="b">
        <f>IFERROR(__xludf.DUMMYFUNCTION("""COMPUTED_VALUE"""),FALSE)</f>
        <v>0</v>
      </c>
    </row>
    <row r="3266">
      <c r="A3266" s="210" t="str">
        <f>IFERROR(__xludf.DUMMYFUNCTION("""COMPUTED_VALUE"""),"0126142278")</f>
        <v>0126142278</v>
      </c>
      <c r="B3266" s="210" t="str">
        <f>IFERROR(__xludf.DUMMYFUNCTION("""COMPUTED_VALUE"""),"0126142278")</f>
        <v>0126142278</v>
      </c>
      <c r="C3266" s="213">
        <f>IFERROR(__xludf.DUMMYFUNCTION("""COMPUTED_VALUE"""),46039.49841435185)</f>
        <v>46039.49841</v>
      </c>
      <c r="D3266" s="211" t="str">
        <f>IFERROR(__xludf.DUMMYFUNCTION("""COMPUTED_VALUE"""),"eec2e801")</f>
        <v>eec2e801</v>
      </c>
      <c r="E3266" s="211" t="str">
        <f>IFERROR(__xludf.DUMMYFUNCTION("""COMPUTED_VALUE"""),"Mitra Wood Sejahtera")</f>
        <v>Mitra Wood Sejahtera</v>
      </c>
      <c r="F3266" s="211" t="str">
        <f>IFERROR(__xludf.DUMMYFUNCTION("""COMPUTED_VALUE"""),"be525f3b")</f>
        <v>be525f3b</v>
      </c>
      <c r="G3266" s="211" t="str">
        <f>IFERROR(__xludf.DUMMYFUNCTION("""COMPUTED_VALUE"""),"LPG 12kg")</f>
        <v>LPG 12kg</v>
      </c>
      <c r="H3266" s="211" t="str">
        <f>IFERROR(__xludf.DUMMYFUNCTION("""COMPUTED_VALUE"""),"OUT")</f>
        <v>OUT</v>
      </c>
      <c r="I3266" s="211" t="str">
        <f>IFERROR(__xludf.DUMMYFUNCTION("""COMPUTED_VALUE"""),"NORMAL")</f>
        <v>NORMAL</v>
      </c>
      <c r="J3266" s="211">
        <f>IFERROR(__xludf.DUMMYFUNCTION("""COMPUTED_VALUE"""),1.0)</f>
        <v>1</v>
      </c>
      <c r="K3266" s="210" t="str">
        <f>IFERROR(__xludf.DUMMYFUNCTION("""COMPUTED_VALUE"""),"L001")</f>
        <v>L001</v>
      </c>
      <c r="L3266" s="211">
        <f>IFERROR(__xludf.DUMMYFUNCTION("""COMPUTED_VALUE"""),210000.0)</f>
        <v>210000</v>
      </c>
      <c r="M3266" s="211"/>
      <c r="N3266" s="211"/>
      <c r="O3266" s="211" t="b">
        <f>IFERROR(__xludf.DUMMYFUNCTION("""COMPUTED_VALUE"""),FALSE)</f>
        <v>0</v>
      </c>
    </row>
    <row r="3267">
      <c r="A3267" s="210" t="str">
        <f>IFERROR(__xludf.DUMMYFUNCTION("""COMPUTED_VALUE"""),"0126142278")</f>
        <v>0126142278</v>
      </c>
      <c r="B3267" s="210" t="str">
        <f>IFERROR(__xludf.DUMMYFUNCTION("""COMPUTED_VALUE"""),"0126142278")</f>
        <v>0126142278</v>
      </c>
      <c r="C3267" s="213">
        <f>IFERROR(__xludf.DUMMYFUNCTION("""COMPUTED_VALUE"""),46039.49841435185)</f>
        <v>46039.49841</v>
      </c>
      <c r="D3267" s="211" t="str">
        <f>IFERROR(__xludf.DUMMYFUNCTION("""COMPUTED_VALUE"""),"eec2e801")</f>
        <v>eec2e801</v>
      </c>
      <c r="E3267" s="211" t="str">
        <f>IFERROR(__xludf.DUMMYFUNCTION("""COMPUTED_VALUE"""),"Mitra Wood Sejahtera")</f>
        <v>Mitra Wood Sejahtera</v>
      </c>
      <c r="F3267" s="211" t="str">
        <f>IFERROR(__xludf.DUMMYFUNCTION("""COMPUTED_VALUE"""),"8bdbe149")</f>
        <v>8bdbe149</v>
      </c>
      <c r="G3267" s="211" t="str">
        <f>IFERROR(__xludf.DUMMYFUNCTION("""COMPUTED_VALUE"""),"Oksigen 6m3")</f>
        <v>Oksigen 6m3</v>
      </c>
      <c r="H3267" s="211" t="str">
        <f>IFERROR(__xludf.DUMMYFUNCTION("""COMPUTED_VALUE"""),"OUT")</f>
        <v>OUT</v>
      </c>
      <c r="I3267" s="211" t="str">
        <f>IFERROR(__xludf.DUMMYFUNCTION("""COMPUTED_VALUE"""),"NORMAL")</f>
        <v>NORMAL</v>
      </c>
      <c r="J3267" s="211">
        <f>IFERROR(__xludf.DUMMYFUNCTION("""COMPUTED_VALUE"""),6.0)</f>
        <v>6</v>
      </c>
      <c r="K3267" s="210" t="str">
        <f>IFERROR(__xludf.DUMMYFUNCTION("""COMPUTED_VALUE"""),"1108 1120 11112 11274 11206 11127")</f>
        <v>1108 1120 11112 11274 11206 11127</v>
      </c>
      <c r="L3267" s="211">
        <f>IFERROR(__xludf.DUMMYFUNCTION("""COMPUTED_VALUE"""),55000.0)</f>
        <v>55000</v>
      </c>
      <c r="M3267" s="211"/>
      <c r="N3267" s="211"/>
      <c r="O3267" s="211" t="b">
        <f>IFERROR(__xludf.DUMMYFUNCTION("""COMPUTED_VALUE"""),FALSE)</f>
        <v>0</v>
      </c>
    </row>
    <row r="3268">
      <c r="A3268" s="210" t="str">
        <f>IFERROR(__xludf.DUMMYFUNCTION("""COMPUTED_VALUE"""),"0126102279")</f>
        <v>0126102279</v>
      </c>
      <c r="B3268" s="210" t="str">
        <f>IFERROR(__xludf.DUMMYFUNCTION("""COMPUTED_VALUE"""),"0126102279")</f>
        <v>0126102279</v>
      </c>
      <c r="C3268" s="213">
        <f>IFERROR(__xludf.DUMMYFUNCTION("""COMPUTED_VALUE"""),46039.50104166667)</f>
        <v>46039.50104</v>
      </c>
      <c r="D3268" s="211" t="str">
        <f>IFERROR(__xludf.DUMMYFUNCTION("""COMPUTED_VALUE"""),"17a8e612")</f>
        <v>17a8e612</v>
      </c>
      <c r="E3268" s="211" t="str">
        <f>IFERROR(__xludf.DUMMYFUNCTION("""COMPUTED_VALUE"""),"Flashtech Machinery")</f>
        <v>Flashtech Machinery</v>
      </c>
      <c r="F3268" s="211" t="str">
        <f>IFERROR(__xludf.DUMMYFUNCTION("""COMPUTED_VALUE"""),"66af7c72")</f>
        <v>66af7c72</v>
      </c>
      <c r="G3268" s="211" t="str">
        <f>IFERROR(__xludf.DUMMYFUNCTION("""COMPUTED_VALUE"""),"Argon 6m3")</f>
        <v>Argon 6m3</v>
      </c>
      <c r="H3268" s="211" t="str">
        <f>IFERROR(__xludf.DUMMYFUNCTION("""COMPUTED_VALUE"""),"OUT")</f>
        <v>OUT</v>
      </c>
      <c r="I3268" s="211" t="str">
        <f>IFERROR(__xludf.DUMMYFUNCTION("""COMPUTED_VALUE"""),"NORMAL")</f>
        <v>NORMAL</v>
      </c>
      <c r="J3268" s="211">
        <f>IFERROR(__xludf.DUMMYFUNCTION("""COMPUTED_VALUE"""),2.0)</f>
        <v>2</v>
      </c>
      <c r="K3268" s="210" t="str">
        <f>IFERROR(__xludf.DUMMYFUNCTION("""COMPUTED_VALUE"""),"12067 12003")</f>
        <v>12067 12003</v>
      </c>
      <c r="L3268" s="211">
        <f>IFERROR(__xludf.DUMMYFUNCTION("""COMPUTED_VALUE"""),210000.0)</f>
        <v>210000</v>
      </c>
      <c r="M3268" s="211"/>
      <c r="N3268" s="211"/>
      <c r="O3268" s="211" t="b">
        <f>IFERROR(__xludf.DUMMYFUNCTION("""COMPUTED_VALUE"""),FALSE)</f>
        <v>0</v>
      </c>
    </row>
    <row r="3269">
      <c r="A3269" s="210" t="str">
        <f>IFERROR(__xludf.DUMMYFUNCTION("""COMPUTED_VALUE"""),"0126102280")</f>
        <v>0126102280</v>
      </c>
      <c r="B3269" s="210" t="str">
        <f>IFERROR(__xludf.DUMMYFUNCTION("""COMPUTED_VALUE"""),"0126102280")</f>
        <v>0126102280</v>
      </c>
      <c r="C3269" s="213">
        <f>IFERROR(__xludf.DUMMYFUNCTION("""COMPUTED_VALUE"""),46039.53392361111)</f>
        <v>46039.53392</v>
      </c>
      <c r="D3269" s="211" t="str">
        <f>IFERROR(__xludf.DUMMYFUNCTION("""COMPUTED_VALUE"""),"440df1db")</f>
        <v>440df1db</v>
      </c>
      <c r="E3269" s="211" t="str">
        <f>IFERROR(__xludf.DUMMYFUNCTION("""COMPUTED_VALUE"""),"PT. Mecca Abadi Sejahtera")</f>
        <v>PT. Mecca Abadi Sejahtera</v>
      </c>
      <c r="F3269" s="211" t="str">
        <f>IFERROR(__xludf.DUMMYFUNCTION("""COMPUTED_VALUE"""),"ef306e54")</f>
        <v>ef306e54</v>
      </c>
      <c r="G3269" s="211" t="str">
        <f>IFERROR(__xludf.DUMMYFUNCTION("""COMPUTED_VALUE"""),"Karbondioksida")</f>
        <v>Karbondioksida</v>
      </c>
      <c r="H3269" s="211" t="str">
        <f>IFERROR(__xludf.DUMMYFUNCTION("""COMPUTED_VALUE"""),"OUT")</f>
        <v>OUT</v>
      </c>
      <c r="I3269" s="211" t="str">
        <f>IFERROR(__xludf.DUMMYFUNCTION("""COMPUTED_VALUE"""),"NORMAL")</f>
        <v>NORMAL</v>
      </c>
      <c r="J3269" s="211">
        <f>IFERROR(__xludf.DUMMYFUNCTION("""COMPUTED_VALUE"""),6.0)</f>
        <v>6</v>
      </c>
      <c r="K3269" s="210" t="str">
        <f>IFERROR(__xludf.DUMMYFUNCTION("""COMPUTED_VALUE"""),"13015 13020 13045 13043 13025 13023")</f>
        <v>13015 13020 13045 13043 13025 13023</v>
      </c>
      <c r="L3269" s="211">
        <f>IFERROR(__xludf.DUMMYFUNCTION("""COMPUTED_VALUE"""),190000.0)</f>
        <v>190000</v>
      </c>
      <c r="M3269" s="211"/>
      <c r="N3269" s="211"/>
      <c r="O3269" s="211" t="b">
        <f>IFERROR(__xludf.DUMMYFUNCTION("""COMPUTED_VALUE"""),FALSE)</f>
        <v>0</v>
      </c>
    </row>
    <row r="3270">
      <c r="A3270" s="210" t="str">
        <f>IFERROR(__xludf.DUMMYFUNCTION("""COMPUTED_VALUE"""),"012682281")</f>
        <v>012682281</v>
      </c>
      <c r="B3270" s="210" t="str">
        <f>IFERROR(__xludf.DUMMYFUNCTION("""COMPUTED_VALUE"""),"012682281")</f>
        <v>012682281</v>
      </c>
      <c r="C3270" s="213">
        <f>IFERROR(__xludf.DUMMYFUNCTION("""COMPUTED_VALUE"""),46039.58224537037)</f>
        <v>46039.58225</v>
      </c>
      <c r="D3270" s="211" t="str">
        <f>IFERROR(__xludf.DUMMYFUNCTION("""COMPUTED_VALUE"""),"9b941888")</f>
        <v>9b941888</v>
      </c>
      <c r="E3270" s="211" t="str">
        <f>IFERROR(__xludf.DUMMYFUNCTION("""COMPUTED_VALUE"""),"Mas Devi ( Parengan )")</f>
        <v>Mas Devi ( Parengan )</v>
      </c>
      <c r="F3270" s="211" t="str">
        <f>IFERROR(__xludf.DUMMYFUNCTION("""COMPUTED_VALUE"""),"7d2764f1")</f>
        <v>7d2764f1</v>
      </c>
      <c r="G3270" s="211" t="str">
        <f>IFERROR(__xludf.DUMMYFUNCTION("""COMPUTED_VALUE"""),"Oksigen 7m3")</f>
        <v>Oksigen 7m3</v>
      </c>
      <c r="H3270" s="211" t="str">
        <f>IFERROR(__xludf.DUMMYFUNCTION("""COMPUTED_VALUE"""),"OUT")</f>
        <v>OUT</v>
      </c>
      <c r="I3270" s="211" t="str">
        <f>IFERROR(__xludf.DUMMYFUNCTION("""COMPUTED_VALUE"""),"NORMAL")</f>
        <v>NORMAL</v>
      </c>
      <c r="J3270" s="211">
        <f>IFERROR(__xludf.DUMMYFUNCTION("""COMPUTED_VALUE"""),1.0)</f>
        <v>1</v>
      </c>
      <c r="K3270" s="210" t="str">
        <f>IFERROR(__xludf.DUMMYFUNCTION("""COMPUTED_VALUE"""),"76")</f>
        <v>76</v>
      </c>
      <c r="L3270" s="211">
        <f>IFERROR(__xludf.DUMMYFUNCTION("""COMPUTED_VALUE"""),80000.0)</f>
        <v>80000</v>
      </c>
      <c r="M3270" s="211"/>
      <c r="N3270" s="211"/>
      <c r="O3270" s="211" t="b">
        <f>IFERROR(__xludf.DUMMYFUNCTION("""COMPUTED_VALUE"""),FALSE)</f>
        <v>0</v>
      </c>
    </row>
    <row r="3271">
      <c r="A3271" s="210" t="str">
        <f>IFERROR(__xludf.DUMMYFUNCTION("""COMPUTED_VALUE"""),"1261105")</f>
        <v>1261105</v>
      </c>
      <c r="B3271" s="210" t="str">
        <f>IFERROR(__xludf.DUMMYFUNCTION("""COMPUTED_VALUE"""),"1261105")</f>
        <v>1261105</v>
      </c>
      <c r="C3271" s="213">
        <f>IFERROR(__xludf.DUMMYFUNCTION("""COMPUTED_VALUE"""),46039.59584490741)</f>
        <v>46039.59584</v>
      </c>
      <c r="D3271" s="211" t="str">
        <f>IFERROR(__xludf.DUMMYFUNCTION("""COMPUTED_VALUE"""),"5f23ba17")</f>
        <v>5f23ba17</v>
      </c>
      <c r="E3271" s="211" t="str">
        <f>IFERROR(__xludf.DUMMYFUNCTION("""COMPUTED_VALUE"""),"Bpk. Joko (Gresik)")</f>
        <v>Bpk. Joko (Gresik)</v>
      </c>
      <c r="F3271" s="211" t="str">
        <f>IFERROR(__xludf.DUMMYFUNCTION("""COMPUTED_VALUE"""),"439cf836")</f>
        <v>439cf836</v>
      </c>
      <c r="G3271" s="211" t="str">
        <f>IFERROR(__xludf.DUMMYFUNCTION("""COMPUTED_VALUE"""),"Karbondioksida MR")</f>
        <v>Karbondioksida MR</v>
      </c>
      <c r="H3271" s="211" t="str">
        <f>IFERROR(__xludf.DUMMYFUNCTION("""COMPUTED_VALUE"""),"IN")</f>
        <v>IN</v>
      </c>
      <c r="I3271" s="211" t="str">
        <f>IFERROR(__xludf.DUMMYFUNCTION("""COMPUTED_VALUE"""),"EMPTY")</f>
        <v>EMPTY</v>
      </c>
      <c r="J3271" s="211">
        <f>IFERROR(__xludf.DUMMYFUNCTION("""COMPUTED_VALUE"""),1.0)</f>
        <v>1</v>
      </c>
      <c r="K3271" s="211"/>
      <c r="L3271" s="211">
        <f>IFERROR(__xludf.DUMMYFUNCTION("""COMPUTED_VALUE"""),0.0)</f>
        <v>0</v>
      </c>
      <c r="M3271" s="211"/>
      <c r="N3271" s="211"/>
      <c r="O3271" s="211" t="b">
        <f>IFERROR(__xludf.DUMMYFUNCTION("""COMPUTED_VALUE"""),FALSE)</f>
        <v>0</v>
      </c>
    </row>
    <row r="3272">
      <c r="A3272" s="210" t="str">
        <f>IFERROR(__xludf.DUMMYFUNCTION("""COMPUTED_VALUE"""),"1261104")</f>
        <v>1261104</v>
      </c>
      <c r="B3272" s="210" t="str">
        <f>IFERROR(__xludf.DUMMYFUNCTION("""COMPUTED_VALUE"""),"1261104")</f>
        <v>1261104</v>
      </c>
      <c r="C3272" s="213">
        <f>IFERROR(__xludf.DUMMYFUNCTION("""COMPUTED_VALUE"""),46039.59616898148)</f>
        <v>46039.59617</v>
      </c>
      <c r="D3272" s="211" t="str">
        <f>IFERROR(__xludf.DUMMYFUNCTION("""COMPUTED_VALUE"""),"f49860e4")</f>
        <v>f49860e4</v>
      </c>
      <c r="E3272" s="211" t="str">
        <f>IFERROR(__xludf.DUMMYFUNCTION("""COMPUTED_VALUE"""),"Mas Nur ( Jetis )")</f>
        <v>Mas Nur ( Jetis )</v>
      </c>
      <c r="F3272" s="211" t="str">
        <f>IFERROR(__xludf.DUMMYFUNCTION("""COMPUTED_VALUE"""),"8bdbe149")</f>
        <v>8bdbe149</v>
      </c>
      <c r="G3272" s="211" t="str">
        <f>IFERROR(__xludf.DUMMYFUNCTION("""COMPUTED_VALUE"""),"Oksigen 6m3")</f>
        <v>Oksigen 6m3</v>
      </c>
      <c r="H3272" s="211" t="str">
        <f>IFERROR(__xludf.DUMMYFUNCTION("""COMPUTED_VALUE"""),"IN")</f>
        <v>IN</v>
      </c>
      <c r="I3272" s="211" t="str">
        <f>IFERROR(__xludf.DUMMYFUNCTION("""COMPUTED_VALUE"""),"EMPTY")</f>
        <v>EMPTY</v>
      </c>
      <c r="J3272" s="211">
        <f>IFERROR(__xludf.DUMMYFUNCTION("""COMPUTED_VALUE"""),2.0)</f>
        <v>2</v>
      </c>
      <c r="K3272" s="210" t="str">
        <f>IFERROR(__xludf.DUMMYFUNCTION("""COMPUTED_VALUE"""),"1124 11308")</f>
        <v>1124 11308</v>
      </c>
      <c r="L3272" s="211">
        <f>IFERROR(__xludf.DUMMYFUNCTION("""COMPUTED_VALUE"""),0.0)</f>
        <v>0</v>
      </c>
      <c r="M3272" s="211"/>
      <c r="N3272" s="211"/>
      <c r="O3272" s="211" t="b">
        <f>IFERROR(__xludf.DUMMYFUNCTION("""COMPUTED_VALUE"""),FALSE)</f>
        <v>0</v>
      </c>
    </row>
    <row r="3273">
      <c r="A3273" s="210" t="str">
        <f>IFERROR(__xludf.DUMMYFUNCTION("""COMPUTED_VALUE"""),"4012622220")</f>
        <v>4012622220</v>
      </c>
      <c r="B3273" s="210" t="str">
        <f>IFERROR(__xludf.DUMMYFUNCTION("""COMPUTED_VALUE"""),"4012622220")</f>
        <v>4012622220</v>
      </c>
      <c r="C3273" s="213">
        <f>IFERROR(__xludf.DUMMYFUNCTION("""COMPUTED_VALUE"""),46041.34050925926)</f>
        <v>46041.34051</v>
      </c>
      <c r="D3273" s="211" t="str">
        <f>IFERROR(__xludf.DUMMYFUNCTION("""COMPUTED_VALUE"""),"be2c16c7")</f>
        <v>be2c16c7</v>
      </c>
      <c r="E3273" s="211" t="str">
        <f>IFERROR(__xludf.DUMMYFUNCTION("""COMPUTED_VALUE"""),"Toko Setya ( Mas Farid )")</f>
        <v>Toko Setya ( Mas Farid )</v>
      </c>
      <c r="F3273" s="211" t="str">
        <f>IFERROR(__xludf.DUMMYFUNCTION("""COMPUTED_VALUE"""),"be525f3b")</f>
        <v>be525f3b</v>
      </c>
      <c r="G3273" s="211" t="str">
        <f>IFERROR(__xludf.DUMMYFUNCTION("""COMPUTED_VALUE"""),"LPG 12kg")</f>
        <v>LPG 12kg</v>
      </c>
      <c r="H3273" s="211" t="str">
        <f>IFERROR(__xludf.DUMMYFUNCTION("""COMPUTED_VALUE"""),"OTHER")</f>
        <v>OTHER</v>
      </c>
      <c r="I3273" s="211" t="str">
        <f>IFERROR(__xludf.DUMMYFUNCTION("""COMPUTED_VALUE"""),"RETUR EQUIPMENT")</f>
        <v>RETUR EQUIPMENT</v>
      </c>
      <c r="J3273" s="211">
        <f>IFERROR(__xludf.DUMMYFUNCTION("""COMPUTED_VALUE"""),3.0)</f>
        <v>3</v>
      </c>
      <c r="K3273" s="211"/>
      <c r="L3273" s="211">
        <f>IFERROR(__xludf.DUMMYFUNCTION("""COMPUTED_VALUE"""),0.0)</f>
        <v>0</v>
      </c>
      <c r="M3273" s="211"/>
      <c r="N3273" s="211"/>
      <c r="O3273" s="211" t="b">
        <f>IFERROR(__xludf.DUMMYFUNCTION("""COMPUTED_VALUE"""),FALSE)</f>
        <v>0</v>
      </c>
    </row>
    <row r="3274">
      <c r="A3274" s="210" t="str">
        <f>IFERROR(__xludf.DUMMYFUNCTION("""COMPUTED_VALUE"""),"1261097")</f>
        <v>1261097</v>
      </c>
      <c r="B3274" s="210" t="str">
        <f>IFERROR(__xludf.DUMMYFUNCTION("""COMPUTED_VALUE"""),"1261097")</f>
        <v>1261097</v>
      </c>
      <c r="C3274" s="213">
        <f>IFERROR(__xludf.DUMMYFUNCTION("""COMPUTED_VALUE"""),46039.672268518516)</f>
        <v>46039.67227</v>
      </c>
      <c r="D3274" s="211" t="str">
        <f>IFERROR(__xludf.DUMMYFUNCTION("""COMPUTED_VALUE"""),"1a1efff9")</f>
        <v>1a1efff9</v>
      </c>
      <c r="E3274" s="211" t="str">
        <f>IFERROR(__xludf.DUMMYFUNCTION("""COMPUTED_VALUE"""),"Bpk. Gito Mjs")</f>
        <v>Bpk. Gito Mjs</v>
      </c>
      <c r="F3274" s="211" t="str">
        <f>IFERROR(__xludf.DUMMYFUNCTION("""COMPUTED_VALUE"""),"8bdbe149")</f>
        <v>8bdbe149</v>
      </c>
      <c r="G3274" s="211" t="str">
        <f>IFERROR(__xludf.DUMMYFUNCTION("""COMPUTED_VALUE"""),"Oksigen 6m3")</f>
        <v>Oksigen 6m3</v>
      </c>
      <c r="H3274" s="211" t="str">
        <f>IFERROR(__xludf.DUMMYFUNCTION("""COMPUTED_VALUE"""),"IN")</f>
        <v>IN</v>
      </c>
      <c r="I3274" s="211" t="str">
        <f>IFERROR(__xludf.DUMMYFUNCTION("""COMPUTED_VALUE"""),"EMPTY")</f>
        <v>EMPTY</v>
      </c>
      <c r="J3274" s="211">
        <f>IFERROR(__xludf.DUMMYFUNCTION("""COMPUTED_VALUE"""),1.0)</f>
        <v>1</v>
      </c>
      <c r="K3274" s="210" t="str">
        <f>IFERROR(__xludf.DUMMYFUNCTION("""COMPUTED_VALUE"""),"1110")</f>
        <v>1110</v>
      </c>
      <c r="L3274" s="211">
        <f>IFERROR(__xludf.DUMMYFUNCTION("""COMPUTED_VALUE"""),0.0)</f>
        <v>0</v>
      </c>
      <c r="M3274" s="211"/>
      <c r="N3274" s="211"/>
      <c r="O3274" s="211" t="b">
        <f>IFERROR(__xludf.DUMMYFUNCTION("""COMPUTED_VALUE"""),FALSE)</f>
        <v>0</v>
      </c>
    </row>
    <row r="3275">
      <c r="A3275" s="210" t="str">
        <f>IFERROR(__xludf.DUMMYFUNCTION("""COMPUTED_VALUE"""),"1261096")</f>
        <v>1261096</v>
      </c>
      <c r="B3275" s="210" t="str">
        <f>IFERROR(__xludf.DUMMYFUNCTION("""COMPUTED_VALUE"""),"1261096")</f>
        <v>1261096</v>
      </c>
      <c r="C3275" s="213">
        <f>IFERROR(__xludf.DUMMYFUNCTION("""COMPUTED_VALUE"""),46039.67254629629)</f>
        <v>46039.67255</v>
      </c>
      <c r="D3275" s="211" t="str">
        <f>IFERROR(__xludf.DUMMYFUNCTION("""COMPUTED_VALUE"""),"440df1db")</f>
        <v>440df1db</v>
      </c>
      <c r="E3275" s="211" t="str">
        <f>IFERROR(__xludf.DUMMYFUNCTION("""COMPUTED_VALUE"""),"PT. Mecca Abadi Sejahtera")</f>
        <v>PT. Mecca Abadi Sejahtera</v>
      </c>
      <c r="F3275" s="211" t="str">
        <f>IFERROR(__xludf.DUMMYFUNCTION("""COMPUTED_VALUE"""),"ef306e54")</f>
        <v>ef306e54</v>
      </c>
      <c r="G3275" s="211" t="str">
        <f>IFERROR(__xludf.DUMMYFUNCTION("""COMPUTED_VALUE"""),"Karbondioksida")</f>
        <v>Karbondioksida</v>
      </c>
      <c r="H3275" s="211" t="str">
        <f>IFERROR(__xludf.DUMMYFUNCTION("""COMPUTED_VALUE"""),"IN")</f>
        <v>IN</v>
      </c>
      <c r="I3275" s="211" t="str">
        <f>IFERROR(__xludf.DUMMYFUNCTION("""COMPUTED_VALUE"""),"EMPTY")</f>
        <v>EMPTY</v>
      </c>
      <c r="J3275" s="211">
        <f>IFERROR(__xludf.DUMMYFUNCTION("""COMPUTED_VALUE"""),2.0)</f>
        <v>2</v>
      </c>
      <c r="K3275" s="210" t="str">
        <f>IFERROR(__xludf.DUMMYFUNCTION("""COMPUTED_VALUE"""),"13056 13003")</f>
        <v>13056 13003</v>
      </c>
      <c r="L3275" s="211">
        <f>IFERROR(__xludf.DUMMYFUNCTION("""COMPUTED_VALUE"""),0.0)</f>
        <v>0</v>
      </c>
      <c r="M3275" s="211"/>
      <c r="N3275" s="211"/>
      <c r="O3275" s="211" t="b">
        <f>IFERROR(__xludf.DUMMYFUNCTION("""COMPUTED_VALUE"""),FALSE)</f>
        <v>0</v>
      </c>
    </row>
    <row r="3276">
      <c r="A3276" s="210" t="str">
        <f>IFERROR(__xludf.DUMMYFUNCTION("""COMPUTED_VALUE"""),"1261095")</f>
        <v>1261095</v>
      </c>
      <c r="B3276" s="210" t="str">
        <f>IFERROR(__xludf.DUMMYFUNCTION("""COMPUTED_VALUE"""),"1261095")</f>
        <v>1261095</v>
      </c>
      <c r="C3276" s="213">
        <f>IFERROR(__xludf.DUMMYFUNCTION("""COMPUTED_VALUE"""),46039.672997685186)</f>
        <v>46039.673</v>
      </c>
      <c r="D3276" s="211" t="str">
        <f>IFERROR(__xludf.DUMMYFUNCTION("""COMPUTED_VALUE"""),"17a8e612")</f>
        <v>17a8e612</v>
      </c>
      <c r="E3276" s="211" t="str">
        <f>IFERROR(__xludf.DUMMYFUNCTION("""COMPUTED_VALUE"""),"Flashtech Machinery")</f>
        <v>Flashtech Machinery</v>
      </c>
      <c r="F3276" s="211" t="str">
        <f>IFERROR(__xludf.DUMMYFUNCTION("""COMPUTED_VALUE"""),"66af7c72")</f>
        <v>66af7c72</v>
      </c>
      <c r="G3276" s="211" t="str">
        <f>IFERROR(__xludf.DUMMYFUNCTION("""COMPUTED_VALUE"""),"Argon 6m3")</f>
        <v>Argon 6m3</v>
      </c>
      <c r="H3276" s="211" t="str">
        <f>IFERROR(__xludf.DUMMYFUNCTION("""COMPUTED_VALUE"""),"IN")</f>
        <v>IN</v>
      </c>
      <c r="I3276" s="211" t="str">
        <f>IFERROR(__xludf.DUMMYFUNCTION("""COMPUTED_VALUE"""),"EMPTY")</f>
        <v>EMPTY</v>
      </c>
      <c r="J3276" s="211">
        <f>IFERROR(__xludf.DUMMYFUNCTION("""COMPUTED_VALUE"""),2.0)</f>
        <v>2</v>
      </c>
      <c r="K3276" s="210" t="str">
        <f>IFERROR(__xludf.DUMMYFUNCTION("""COMPUTED_VALUE"""),"12080 12025")</f>
        <v>12080 12025</v>
      </c>
      <c r="L3276" s="211">
        <f>IFERROR(__xludf.DUMMYFUNCTION("""COMPUTED_VALUE"""),0.0)</f>
        <v>0</v>
      </c>
      <c r="M3276" s="211"/>
      <c r="N3276" s="211"/>
      <c r="O3276" s="211" t="b">
        <f>IFERROR(__xludf.DUMMYFUNCTION("""COMPUTED_VALUE"""),FALSE)</f>
        <v>0</v>
      </c>
    </row>
    <row r="3277">
      <c r="A3277" s="210" t="str">
        <f>IFERROR(__xludf.DUMMYFUNCTION("""COMPUTED_VALUE"""),"1261107")</f>
        <v>1261107</v>
      </c>
      <c r="B3277" s="210" t="str">
        <f>IFERROR(__xludf.DUMMYFUNCTION("""COMPUTED_VALUE"""),"1261107")</f>
        <v>1261107</v>
      </c>
      <c r="C3277" s="213">
        <f>IFERROR(__xludf.DUMMYFUNCTION("""COMPUTED_VALUE"""),46041.37489583333)</f>
        <v>46041.3749</v>
      </c>
      <c r="D3277" s="211" t="str">
        <f>IFERROR(__xludf.DUMMYFUNCTION("""COMPUTED_VALUE"""),"9b941888")</f>
        <v>9b941888</v>
      </c>
      <c r="E3277" s="211" t="str">
        <f>IFERROR(__xludf.DUMMYFUNCTION("""COMPUTED_VALUE"""),"Mas Devi ( Parengan )")</f>
        <v>Mas Devi ( Parengan )</v>
      </c>
      <c r="F3277" s="211" t="str">
        <f>IFERROR(__xludf.DUMMYFUNCTION("""COMPUTED_VALUE"""),"7d2764f1")</f>
        <v>7d2764f1</v>
      </c>
      <c r="G3277" s="211" t="str">
        <f>IFERROR(__xludf.DUMMYFUNCTION("""COMPUTED_VALUE"""),"Oksigen 7m3")</f>
        <v>Oksigen 7m3</v>
      </c>
      <c r="H3277" s="211" t="str">
        <f>IFERROR(__xludf.DUMMYFUNCTION("""COMPUTED_VALUE"""),"IN")</f>
        <v>IN</v>
      </c>
      <c r="I3277" s="211" t="str">
        <f>IFERROR(__xludf.DUMMYFUNCTION("""COMPUTED_VALUE"""),"EMPTY")</f>
        <v>EMPTY</v>
      </c>
      <c r="J3277" s="211">
        <f>IFERROR(__xludf.DUMMYFUNCTION("""COMPUTED_VALUE"""),1.0)</f>
        <v>1</v>
      </c>
      <c r="K3277" s="210" t="str">
        <f>IFERROR(__xludf.DUMMYFUNCTION("""COMPUTED_VALUE"""),"11307")</f>
        <v>11307</v>
      </c>
      <c r="L3277" s="211">
        <f>IFERROR(__xludf.DUMMYFUNCTION("""COMPUTED_VALUE"""),0.0)</f>
        <v>0</v>
      </c>
      <c r="M3277" s="211"/>
      <c r="N3277" s="211"/>
      <c r="O3277" s="211" t="b">
        <f>IFERROR(__xludf.DUMMYFUNCTION("""COMPUTED_VALUE"""),FALSE)</f>
        <v>0</v>
      </c>
    </row>
    <row r="3278">
      <c r="A3278" s="210" t="str">
        <f>IFERROR(__xludf.DUMMYFUNCTION("""COMPUTED_VALUE"""),"1261108")</f>
        <v>1261108</v>
      </c>
      <c r="B3278" s="210" t="str">
        <f>IFERROR(__xludf.DUMMYFUNCTION("""COMPUTED_VALUE"""),"1261108")</f>
        <v>1261108</v>
      </c>
      <c r="C3278" s="213">
        <f>IFERROR(__xludf.DUMMYFUNCTION("""COMPUTED_VALUE"""),46041.37520833333)</f>
        <v>46041.37521</v>
      </c>
      <c r="D3278" s="211" t="str">
        <f>IFERROR(__xludf.DUMMYFUNCTION("""COMPUTED_VALUE"""),"eec2e801")</f>
        <v>eec2e801</v>
      </c>
      <c r="E3278" s="211" t="str">
        <f>IFERROR(__xludf.DUMMYFUNCTION("""COMPUTED_VALUE"""),"Mitra Wood Sejahtera")</f>
        <v>Mitra Wood Sejahtera</v>
      </c>
      <c r="F3278" s="211" t="str">
        <f>IFERROR(__xludf.DUMMYFUNCTION("""COMPUTED_VALUE"""),"8bdbe149")</f>
        <v>8bdbe149</v>
      </c>
      <c r="G3278" s="211" t="str">
        <f>IFERROR(__xludf.DUMMYFUNCTION("""COMPUTED_VALUE"""),"Oksigen 6m3")</f>
        <v>Oksigen 6m3</v>
      </c>
      <c r="H3278" s="211" t="str">
        <f>IFERROR(__xludf.DUMMYFUNCTION("""COMPUTED_VALUE"""),"IN")</f>
        <v>IN</v>
      </c>
      <c r="I3278" s="211" t="str">
        <f>IFERROR(__xludf.DUMMYFUNCTION("""COMPUTED_VALUE"""),"EMPTY")</f>
        <v>EMPTY</v>
      </c>
      <c r="J3278" s="211">
        <f>IFERROR(__xludf.DUMMYFUNCTION("""COMPUTED_VALUE"""),6.0)</f>
        <v>6</v>
      </c>
      <c r="K3278" s="210" t="str">
        <f>IFERROR(__xludf.DUMMYFUNCTION("""COMPUTED_VALUE"""),"1170 11231 11180 1137 11266 11199")</f>
        <v>1170 11231 11180 1137 11266 11199</v>
      </c>
      <c r="L3278" s="211">
        <f>IFERROR(__xludf.DUMMYFUNCTION("""COMPUTED_VALUE"""),0.0)</f>
        <v>0</v>
      </c>
      <c r="M3278" s="211"/>
      <c r="N3278" s="211"/>
      <c r="O3278" s="211" t="b">
        <f>IFERROR(__xludf.DUMMYFUNCTION("""COMPUTED_VALUE"""),FALSE)</f>
        <v>0</v>
      </c>
    </row>
    <row r="3279">
      <c r="A3279" s="210" t="str">
        <f>IFERROR(__xludf.DUMMYFUNCTION("""COMPUTED_VALUE"""),"0126732282")</f>
        <v>0126732282</v>
      </c>
      <c r="B3279" s="210" t="str">
        <f>IFERROR(__xludf.DUMMYFUNCTION("""COMPUTED_VALUE"""),"0126732282")</f>
        <v>0126732282</v>
      </c>
      <c r="C3279" s="213">
        <f>IFERROR(__xludf.DUMMYFUNCTION("""COMPUTED_VALUE"""),46041.37664351852)</f>
        <v>46041.37664</v>
      </c>
      <c r="D3279" s="211" t="str">
        <f>IFERROR(__xludf.DUMMYFUNCTION("""COMPUTED_VALUE"""),"b2b5f2c5")</f>
        <v>b2b5f2c5</v>
      </c>
      <c r="E3279" s="211" t="str">
        <f>IFERROR(__xludf.DUMMYFUNCTION("""COMPUTED_VALUE"""),"Bengkel Las Bpk. Ari")</f>
        <v>Bengkel Las Bpk. Ari</v>
      </c>
      <c r="F3279" s="211" t="str">
        <f>IFERROR(__xludf.DUMMYFUNCTION("""COMPUTED_VALUE"""),"8bdbe149")</f>
        <v>8bdbe149</v>
      </c>
      <c r="G3279" s="211" t="str">
        <f>IFERROR(__xludf.DUMMYFUNCTION("""COMPUTED_VALUE"""),"Oksigen 6m3")</f>
        <v>Oksigen 6m3</v>
      </c>
      <c r="H3279" s="211" t="str">
        <f>IFERROR(__xludf.DUMMYFUNCTION("""COMPUTED_VALUE"""),"OUT")</f>
        <v>OUT</v>
      </c>
      <c r="I3279" s="211" t="str">
        <f>IFERROR(__xludf.DUMMYFUNCTION("""COMPUTED_VALUE"""),"NORMAL")</f>
        <v>NORMAL</v>
      </c>
      <c r="J3279" s="211">
        <f>IFERROR(__xludf.DUMMYFUNCTION("""COMPUTED_VALUE"""),7.0)</f>
        <v>7</v>
      </c>
      <c r="K3279" s="210" t="str">
        <f>IFERROR(__xludf.DUMMYFUNCTION("""COMPUTED_VALUE"""),"1110 1170 11266 1137 11199 11180 11231")</f>
        <v>1110 1170 11266 1137 11199 11180 11231</v>
      </c>
      <c r="L3279" s="211">
        <f>IFERROR(__xludf.DUMMYFUNCTION("""COMPUTED_VALUE"""),60000.0)</f>
        <v>60000</v>
      </c>
      <c r="M3279" s="211"/>
      <c r="N3279" s="211"/>
      <c r="O3279" s="211" t="b">
        <f>IFERROR(__xludf.DUMMYFUNCTION("""COMPUTED_VALUE"""),FALSE)</f>
        <v>0</v>
      </c>
    </row>
    <row r="3280">
      <c r="A3280" s="210" t="str">
        <f>IFERROR(__xludf.DUMMYFUNCTION("""COMPUTED_VALUE"""),"0126732282")</f>
        <v>0126732282</v>
      </c>
      <c r="B3280" s="210" t="str">
        <f>IFERROR(__xludf.DUMMYFUNCTION("""COMPUTED_VALUE"""),"0126732282")</f>
        <v>0126732282</v>
      </c>
      <c r="C3280" s="213">
        <f>IFERROR(__xludf.DUMMYFUNCTION("""COMPUTED_VALUE"""),46041.37664351852)</f>
        <v>46041.37664</v>
      </c>
      <c r="D3280" s="211" t="str">
        <f>IFERROR(__xludf.DUMMYFUNCTION("""COMPUTED_VALUE"""),"b2b5f2c5")</f>
        <v>b2b5f2c5</v>
      </c>
      <c r="E3280" s="211" t="str">
        <f>IFERROR(__xludf.DUMMYFUNCTION("""COMPUTED_VALUE"""),"Bengkel Las Bpk. Ari")</f>
        <v>Bengkel Las Bpk. Ari</v>
      </c>
      <c r="F3280" s="211" t="str">
        <f>IFERROR(__xludf.DUMMYFUNCTION("""COMPUTED_VALUE"""),"ef306e54")</f>
        <v>ef306e54</v>
      </c>
      <c r="G3280" s="211" t="str">
        <f>IFERROR(__xludf.DUMMYFUNCTION("""COMPUTED_VALUE"""),"Karbondioksida")</f>
        <v>Karbondioksida</v>
      </c>
      <c r="H3280" s="211" t="str">
        <f>IFERROR(__xludf.DUMMYFUNCTION("""COMPUTED_VALUE"""),"OUT")</f>
        <v>OUT</v>
      </c>
      <c r="I3280" s="211" t="str">
        <f>IFERROR(__xludf.DUMMYFUNCTION("""COMPUTED_VALUE"""),"NORMAL")</f>
        <v>NORMAL</v>
      </c>
      <c r="J3280" s="211">
        <f>IFERROR(__xludf.DUMMYFUNCTION("""COMPUTED_VALUE"""),4.0)</f>
        <v>4</v>
      </c>
      <c r="K3280" s="210" t="str">
        <f>IFERROR(__xludf.DUMMYFUNCTION("""COMPUTED_VALUE"""),"13026 13056 13003 13010")</f>
        <v>13026 13056 13003 13010</v>
      </c>
      <c r="L3280" s="211">
        <f>IFERROR(__xludf.DUMMYFUNCTION("""COMPUTED_VALUE"""),180000.0)</f>
        <v>180000</v>
      </c>
      <c r="M3280" s="211"/>
      <c r="N3280" s="211"/>
      <c r="O3280" s="211" t="b">
        <f>IFERROR(__xludf.DUMMYFUNCTION("""COMPUTED_VALUE"""),FALSE)</f>
        <v>0</v>
      </c>
    </row>
    <row r="3281">
      <c r="A3281" s="210" t="str">
        <f>IFERROR(__xludf.DUMMYFUNCTION("""COMPUTED_VALUE"""),"0126102291")</f>
        <v>0126102291</v>
      </c>
      <c r="B3281" s="210" t="str">
        <f>IFERROR(__xludf.DUMMYFUNCTION("""COMPUTED_VALUE"""),"0126102291")</f>
        <v>0126102291</v>
      </c>
      <c r="C3281" s="213">
        <f>IFERROR(__xludf.DUMMYFUNCTION("""COMPUTED_VALUE"""),46041.37875)</f>
        <v>46041.37875</v>
      </c>
      <c r="D3281" s="211" t="str">
        <f>IFERROR(__xludf.DUMMYFUNCTION("""COMPUTED_VALUE"""),"dcdf8b31")</f>
        <v>dcdf8b31</v>
      </c>
      <c r="E3281" s="211" t="str">
        <f>IFERROR(__xludf.DUMMYFUNCTION("""COMPUTED_VALUE"""),"Bpk. Samsul (Jetis)")</f>
        <v>Bpk. Samsul (Jetis)</v>
      </c>
      <c r="F3281" s="211" t="str">
        <f>IFERROR(__xludf.DUMMYFUNCTION("""COMPUTED_VALUE"""),"7d2764f1")</f>
        <v>7d2764f1</v>
      </c>
      <c r="G3281" s="211" t="str">
        <f>IFERROR(__xludf.DUMMYFUNCTION("""COMPUTED_VALUE"""),"Oksigen 7m3")</f>
        <v>Oksigen 7m3</v>
      </c>
      <c r="H3281" s="211" t="str">
        <f>IFERROR(__xludf.DUMMYFUNCTION("""COMPUTED_VALUE"""),"OUT")</f>
        <v>OUT</v>
      </c>
      <c r="I3281" s="211" t="str">
        <f>IFERROR(__xludf.DUMMYFUNCTION("""COMPUTED_VALUE"""),"NORMAL")</f>
        <v>NORMAL</v>
      </c>
      <c r="J3281" s="211">
        <f>IFERROR(__xludf.DUMMYFUNCTION("""COMPUTED_VALUE"""),3.0)</f>
        <v>3</v>
      </c>
      <c r="K3281" s="210" t="str">
        <f>IFERROR(__xludf.DUMMYFUNCTION("""COMPUTED_VALUE"""),"11299 11305 11342")</f>
        <v>11299 11305 11342</v>
      </c>
      <c r="L3281" s="211">
        <f>IFERROR(__xludf.DUMMYFUNCTION("""COMPUTED_VALUE"""),70000.0)</f>
        <v>70000</v>
      </c>
      <c r="M3281" s="211"/>
      <c r="N3281" s="211"/>
      <c r="O3281" s="211" t="b">
        <f>IFERROR(__xludf.DUMMYFUNCTION("""COMPUTED_VALUE"""),FALSE)</f>
        <v>0</v>
      </c>
    </row>
    <row r="3282">
      <c r="A3282" s="210" t="str">
        <f>IFERROR(__xludf.DUMMYFUNCTION("""COMPUTED_VALUE"""),"1261098")</f>
        <v>1261098</v>
      </c>
      <c r="B3282" s="210" t="str">
        <f>IFERROR(__xludf.DUMMYFUNCTION("""COMPUTED_VALUE"""),"1261098")</f>
        <v>1261098</v>
      </c>
      <c r="C3282" s="213">
        <f>IFERROR(__xludf.DUMMYFUNCTION("""COMPUTED_VALUE"""),46041.59645833333)</f>
        <v>46041.59646</v>
      </c>
      <c r="D3282" s="211" t="str">
        <f>IFERROR(__xludf.DUMMYFUNCTION("""COMPUTED_VALUE"""),"dcdf8b31")</f>
        <v>dcdf8b31</v>
      </c>
      <c r="E3282" s="211" t="str">
        <f>IFERROR(__xludf.DUMMYFUNCTION("""COMPUTED_VALUE"""),"Bpk. Samsul (Jetis)")</f>
        <v>Bpk. Samsul (Jetis)</v>
      </c>
      <c r="F3282" s="211" t="str">
        <f>IFERROR(__xludf.DUMMYFUNCTION("""COMPUTED_VALUE"""),"7d2764f1")</f>
        <v>7d2764f1</v>
      </c>
      <c r="G3282" s="211" t="str">
        <f>IFERROR(__xludf.DUMMYFUNCTION("""COMPUTED_VALUE"""),"Oksigen 7m3")</f>
        <v>Oksigen 7m3</v>
      </c>
      <c r="H3282" s="211" t="str">
        <f>IFERROR(__xludf.DUMMYFUNCTION("""COMPUTED_VALUE"""),"IN")</f>
        <v>IN</v>
      </c>
      <c r="I3282" s="211" t="str">
        <f>IFERROR(__xludf.DUMMYFUNCTION("""COMPUTED_VALUE"""),"EMPTY")</f>
        <v>EMPTY</v>
      </c>
      <c r="J3282" s="211">
        <f>IFERROR(__xludf.DUMMYFUNCTION("""COMPUTED_VALUE"""),3.0)</f>
        <v>3</v>
      </c>
      <c r="K3282" s="210" t="str">
        <f>IFERROR(__xludf.DUMMYFUNCTION("""COMPUTED_VALUE"""),"11137 11160 11162")</f>
        <v>11137 11160 11162</v>
      </c>
      <c r="L3282" s="211">
        <f>IFERROR(__xludf.DUMMYFUNCTION("""COMPUTED_VALUE"""),0.0)</f>
        <v>0</v>
      </c>
      <c r="M3282" s="211"/>
      <c r="N3282" s="211"/>
      <c r="O3282" s="211" t="b">
        <f>IFERROR(__xludf.DUMMYFUNCTION("""COMPUTED_VALUE"""),FALSE)</f>
        <v>0</v>
      </c>
    </row>
    <row r="3283">
      <c r="A3283" s="210" t="str">
        <f>IFERROR(__xludf.DUMMYFUNCTION("""COMPUTED_VALUE"""),"1261098")</f>
        <v>1261098</v>
      </c>
      <c r="B3283" s="210" t="str">
        <f>IFERROR(__xludf.DUMMYFUNCTION("""COMPUTED_VALUE"""),"1261098")</f>
        <v>1261098</v>
      </c>
      <c r="C3283" s="213">
        <f>IFERROR(__xludf.DUMMYFUNCTION("""COMPUTED_VALUE"""),46041.59645833333)</f>
        <v>46041.59646</v>
      </c>
      <c r="D3283" s="211" t="str">
        <f>IFERROR(__xludf.DUMMYFUNCTION("""COMPUTED_VALUE"""),"dcdf8b31")</f>
        <v>dcdf8b31</v>
      </c>
      <c r="E3283" s="211" t="str">
        <f>IFERROR(__xludf.DUMMYFUNCTION("""COMPUTED_VALUE"""),"Bpk. Samsul (Jetis)")</f>
        <v>Bpk. Samsul (Jetis)</v>
      </c>
      <c r="F3283" s="211" t="str">
        <f>IFERROR(__xludf.DUMMYFUNCTION("""COMPUTED_VALUE"""),"8bdbe149")</f>
        <v>8bdbe149</v>
      </c>
      <c r="G3283" s="211" t="str">
        <f>IFERROR(__xludf.DUMMYFUNCTION("""COMPUTED_VALUE"""),"Oksigen 6m3")</f>
        <v>Oksigen 6m3</v>
      </c>
      <c r="H3283" s="211" t="str">
        <f>IFERROR(__xludf.DUMMYFUNCTION("""COMPUTED_VALUE"""),"IN")</f>
        <v>IN</v>
      </c>
      <c r="I3283" s="211" t="str">
        <f>IFERROR(__xludf.DUMMYFUNCTION("""COMPUTED_VALUE"""),"EMPTY")</f>
        <v>EMPTY</v>
      </c>
      <c r="J3283" s="211">
        <f>IFERROR(__xludf.DUMMYFUNCTION("""COMPUTED_VALUE"""),1.0)</f>
        <v>1</v>
      </c>
      <c r="K3283" s="210" t="str">
        <f>IFERROR(__xludf.DUMMYFUNCTION("""COMPUTED_VALUE"""),"1126")</f>
        <v>1126</v>
      </c>
      <c r="L3283" s="211">
        <f>IFERROR(__xludf.DUMMYFUNCTION("""COMPUTED_VALUE"""),0.0)</f>
        <v>0</v>
      </c>
      <c r="M3283" s="211"/>
      <c r="N3283" s="211"/>
      <c r="O3283" s="211" t="b">
        <f>IFERROR(__xludf.DUMMYFUNCTION("""COMPUTED_VALUE"""),FALSE)</f>
        <v>0</v>
      </c>
    </row>
    <row r="3284">
      <c r="A3284" s="210" t="str">
        <f>IFERROR(__xludf.DUMMYFUNCTION("""COMPUTED_VALUE"""),"1261099")</f>
        <v>1261099</v>
      </c>
      <c r="B3284" s="210" t="str">
        <f>IFERROR(__xludf.DUMMYFUNCTION("""COMPUTED_VALUE"""),"1261099")</f>
        <v>1261099</v>
      </c>
      <c r="C3284" s="213">
        <f>IFERROR(__xludf.DUMMYFUNCTION("""COMPUTED_VALUE"""),46041.5990625)</f>
        <v>46041.59906</v>
      </c>
      <c r="D3284" s="211" t="str">
        <f>IFERROR(__xludf.DUMMYFUNCTION("""COMPUTED_VALUE"""),"3b04351a")</f>
        <v>3b04351a</v>
      </c>
      <c r="E3284" s="211" t="str">
        <f>IFERROR(__xludf.DUMMYFUNCTION("""COMPUTED_VALUE"""),"CV Usaha Logam Jaya ( Bpk Putra )")</f>
        <v>CV Usaha Logam Jaya ( Bpk Putra )</v>
      </c>
      <c r="F3284" s="211" t="str">
        <f>IFERROR(__xludf.DUMMYFUNCTION("""COMPUTED_VALUE"""),"8bdbe149")</f>
        <v>8bdbe149</v>
      </c>
      <c r="G3284" s="211" t="str">
        <f>IFERROR(__xludf.DUMMYFUNCTION("""COMPUTED_VALUE"""),"Oksigen 6m3")</f>
        <v>Oksigen 6m3</v>
      </c>
      <c r="H3284" s="211" t="str">
        <f>IFERROR(__xludf.DUMMYFUNCTION("""COMPUTED_VALUE"""),"IN")</f>
        <v>IN</v>
      </c>
      <c r="I3284" s="211" t="str">
        <f>IFERROR(__xludf.DUMMYFUNCTION("""COMPUTED_VALUE"""),"EMPTY")</f>
        <v>EMPTY</v>
      </c>
      <c r="J3284" s="211">
        <f>IFERROR(__xludf.DUMMYFUNCTION("""COMPUTED_VALUE"""),10.0)</f>
        <v>10</v>
      </c>
      <c r="K3284" s="210" t="str">
        <f>IFERROR(__xludf.DUMMYFUNCTION("""COMPUTED_VALUE"""),"11236 1136 11279 11109 11316 11185 11311 11319 1134 1152")</f>
        <v>11236 1136 11279 11109 11316 11185 11311 11319 1134 1152</v>
      </c>
      <c r="L3284" s="211">
        <f>IFERROR(__xludf.DUMMYFUNCTION("""COMPUTED_VALUE"""),0.0)</f>
        <v>0</v>
      </c>
      <c r="M3284" s="211"/>
      <c r="N3284" s="211"/>
      <c r="O3284" s="211" t="b">
        <f>IFERROR(__xludf.DUMMYFUNCTION("""COMPUTED_VALUE"""),FALSE)</f>
        <v>0</v>
      </c>
    </row>
    <row r="3285">
      <c r="A3285" s="210" t="str">
        <f>IFERROR(__xludf.DUMMYFUNCTION("""COMPUTED_VALUE"""),"1261109")</f>
        <v>1261109</v>
      </c>
      <c r="B3285" s="210" t="str">
        <f>IFERROR(__xludf.DUMMYFUNCTION("""COMPUTED_VALUE"""),"1261109")</f>
        <v>1261109</v>
      </c>
      <c r="C3285" s="213">
        <f>IFERROR(__xludf.DUMMYFUNCTION("""COMPUTED_VALUE"""),46041.60016203704)</f>
        <v>46041.60016</v>
      </c>
      <c r="D3285" s="211" t="str">
        <f>IFERROR(__xludf.DUMMYFUNCTION("""COMPUTED_VALUE"""),"b2b5f2c5")</f>
        <v>b2b5f2c5</v>
      </c>
      <c r="E3285" s="211" t="str">
        <f>IFERROR(__xludf.DUMMYFUNCTION("""COMPUTED_VALUE"""),"Bengkel Las Bpk. Ari")</f>
        <v>Bengkel Las Bpk. Ari</v>
      </c>
      <c r="F3285" s="211" t="str">
        <f>IFERROR(__xludf.DUMMYFUNCTION("""COMPUTED_VALUE"""),"ef306e54")</f>
        <v>ef306e54</v>
      </c>
      <c r="G3285" s="211" t="str">
        <f>IFERROR(__xludf.DUMMYFUNCTION("""COMPUTED_VALUE"""),"Karbondioksida")</f>
        <v>Karbondioksida</v>
      </c>
      <c r="H3285" s="211" t="str">
        <f>IFERROR(__xludf.DUMMYFUNCTION("""COMPUTED_VALUE"""),"IN")</f>
        <v>IN</v>
      </c>
      <c r="I3285" s="211" t="str">
        <f>IFERROR(__xludf.DUMMYFUNCTION("""COMPUTED_VALUE"""),"EMPTY")</f>
        <v>EMPTY</v>
      </c>
      <c r="J3285" s="211">
        <f>IFERROR(__xludf.DUMMYFUNCTION("""COMPUTED_VALUE"""),5.0)</f>
        <v>5</v>
      </c>
      <c r="K3285" s="210" t="str">
        <f>IFERROR(__xludf.DUMMYFUNCTION("""COMPUTED_VALUE"""),"13004 13008 13027 13030 13047")</f>
        <v>13004 13008 13027 13030 13047</v>
      </c>
      <c r="L3285" s="211">
        <f>IFERROR(__xludf.DUMMYFUNCTION("""COMPUTED_VALUE"""),0.0)</f>
        <v>0</v>
      </c>
      <c r="M3285" s="211"/>
      <c r="N3285" s="211"/>
      <c r="O3285" s="211" t="b">
        <f>IFERROR(__xludf.DUMMYFUNCTION("""COMPUTED_VALUE"""),FALSE)</f>
        <v>0</v>
      </c>
    </row>
    <row r="3286">
      <c r="A3286" s="210" t="str">
        <f>IFERROR(__xludf.DUMMYFUNCTION("""COMPUTED_VALUE"""),"1261109")</f>
        <v>1261109</v>
      </c>
      <c r="B3286" s="210" t="str">
        <f>IFERROR(__xludf.DUMMYFUNCTION("""COMPUTED_VALUE"""),"1261109")</f>
        <v>1261109</v>
      </c>
      <c r="C3286" s="213">
        <f>IFERROR(__xludf.DUMMYFUNCTION("""COMPUTED_VALUE"""),46041.60016203704)</f>
        <v>46041.60016</v>
      </c>
      <c r="D3286" s="211" t="str">
        <f>IFERROR(__xludf.DUMMYFUNCTION("""COMPUTED_VALUE"""),"b2b5f2c5")</f>
        <v>b2b5f2c5</v>
      </c>
      <c r="E3286" s="211" t="str">
        <f>IFERROR(__xludf.DUMMYFUNCTION("""COMPUTED_VALUE"""),"Bengkel Las Bpk. Ari")</f>
        <v>Bengkel Las Bpk. Ari</v>
      </c>
      <c r="F3286" s="211" t="str">
        <f>IFERROR(__xludf.DUMMYFUNCTION("""COMPUTED_VALUE"""),"8bdbe149")</f>
        <v>8bdbe149</v>
      </c>
      <c r="G3286" s="211" t="str">
        <f>IFERROR(__xludf.DUMMYFUNCTION("""COMPUTED_VALUE"""),"Oksigen 6m3")</f>
        <v>Oksigen 6m3</v>
      </c>
      <c r="H3286" s="211" t="str">
        <f>IFERROR(__xludf.DUMMYFUNCTION("""COMPUTED_VALUE"""),"IN")</f>
        <v>IN</v>
      </c>
      <c r="I3286" s="211" t="str">
        <f>IFERROR(__xludf.DUMMYFUNCTION("""COMPUTED_VALUE"""),"EMPTY")</f>
        <v>EMPTY</v>
      </c>
      <c r="J3286" s="211">
        <f>IFERROR(__xludf.DUMMYFUNCTION("""COMPUTED_VALUE"""),6.0)</f>
        <v>6</v>
      </c>
      <c r="K3286" s="210" t="str">
        <f>IFERROR(__xludf.DUMMYFUNCTION("""COMPUTED_VALUE"""),"11276 1139 11129 11182 11211 11322")</f>
        <v>11276 1139 11129 11182 11211 11322</v>
      </c>
      <c r="L3286" s="211">
        <f>IFERROR(__xludf.DUMMYFUNCTION("""COMPUTED_VALUE"""),0.0)</f>
        <v>0</v>
      </c>
      <c r="M3286" s="211"/>
      <c r="N3286" s="211"/>
      <c r="O3286" s="211" t="b">
        <f>IFERROR(__xludf.DUMMYFUNCTION("""COMPUTED_VALUE"""),FALSE)</f>
        <v>0</v>
      </c>
    </row>
    <row r="3287">
      <c r="A3287" s="210" t="str">
        <f>IFERROR(__xludf.DUMMYFUNCTION("""COMPUTED_VALUE"""),"0126142292")</f>
        <v>0126142292</v>
      </c>
      <c r="B3287" s="210" t="str">
        <f>IFERROR(__xludf.DUMMYFUNCTION("""COMPUTED_VALUE"""),"0126142292")</f>
        <v>0126142292</v>
      </c>
      <c r="C3287" s="213">
        <f>IFERROR(__xludf.DUMMYFUNCTION("""COMPUTED_VALUE"""),46041.62751157407)</f>
        <v>46041.62751</v>
      </c>
      <c r="D3287" s="211" t="str">
        <f>IFERROR(__xludf.DUMMYFUNCTION("""COMPUTED_VALUE"""),"63fc688a")</f>
        <v>63fc688a</v>
      </c>
      <c r="E3287" s="211" t="str">
        <f>IFERROR(__xludf.DUMMYFUNCTION("""COMPUTED_VALUE"""),"CV Malik Nusantara")</f>
        <v>CV Malik Nusantara</v>
      </c>
      <c r="F3287" s="211" t="str">
        <f>IFERROR(__xludf.DUMMYFUNCTION("""COMPUTED_VALUE"""),"be525f3b")</f>
        <v>be525f3b</v>
      </c>
      <c r="G3287" s="211" t="str">
        <f>IFERROR(__xludf.DUMMYFUNCTION("""COMPUTED_VALUE"""),"LPG 12kg")</f>
        <v>LPG 12kg</v>
      </c>
      <c r="H3287" s="211" t="str">
        <f>IFERROR(__xludf.DUMMYFUNCTION("""COMPUTED_VALUE"""),"OUT")</f>
        <v>OUT</v>
      </c>
      <c r="I3287" s="211" t="str">
        <f>IFERROR(__xludf.DUMMYFUNCTION("""COMPUTED_VALUE"""),"NORMAL")</f>
        <v>NORMAL</v>
      </c>
      <c r="J3287" s="211">
        <f>IFERROR(__xludf.DUMMYFUNCTION("""COMPUTED_VALUE"""),2.0)</f>
        <v>2</v>
      </c>
      <c r="K3287" s="210" t="str">
        <f>IFERROR(__xludf.DUMMYFUNCTION("""COMPUTED_VALUE"""),"L005 L006")</f>
        <v>L005 L006</v>
      </c>
      <c r="L3287" s="211">
        <f>IFERROR(__xludf.DUMMYFUNCTION("""COMPUTED_VALUE"""),200000.0)</f>
        <v>200000</v>
      </c>
      <c r="M3287" s="211"/>
      <c r="N3287" s="211"/>
      <c r="O3287" s="211" t="b">
        <f>IFERROR(__xludf.DUMMYFUNCTION("""COMPUTED_VALUE"""),FALSE)</f>
        <v>0</v>
      </c>
    </row>
    <row r="3288">
      <c r="A3288" s="210" t="str">
        <f>IFERROR(__xludf.DUMMYFUNCTION("""COMPUTED_VALUE"""),"1261105")</f>
        <v>1261105</v>
      </c>
      <c r="B3288" s="210" t="str">
        <f>IFERROR(__xludf.DUMMYFUNCTION("""COMPUTED_VALUE"""),"1261105")</f>
        <v>1261105</v>
      </c>
      <c r="C3288" s="213">
        <f>IFERROR(__xludf.DUMMYFUNCTION("""COMPUTED_VALUE"""),46039.59584490741)</f>
        <v>46039.59584</v>
      </c>
      <c r="D3288" s="211" t="str">
        <f>IFERROR(__xludf.DUMMYFUNCTION("""COMPUTED_VALUE"""),"5f23ba17")</f>
        <v>5f23ba17</v>
      </c>
      <c r="E3288" s="211" t="str">
        <f>IFERROR(__xludf.DUMMYFUNCTION("""COMPUTED_VALUE"""),"Bpk. Joko (Gresik)")</f>
        <v>Bpk. Joko (Gresik)</v>
      </c>
      <c r="F3288" s="211" t="str">
        <f>IFERROR(__xludf.DUMMYFUNCTION("""COMPUTED_VALUE"""),"be525f3b")</f>
        <v>be525f3b</v>
      </c>
      <c r="G3288" s="211" t="str">
        <f>IFERROR(__xludf.DUMMYFUNCTION("""COMPUTED_VALUE"""),"LPG 12kg")</f>
        <v>LPG 12kg</v>
      </c>
      <c r="H3288" s="211" t="str">
        <f>IFERROR(__xludf.DUMMYFUNCTION("""COMPUTED_VALUE"""),"IN")</f>
        <v>IN</v>
      </c>
      <c r="I3288" s="211" t="str">
        <f>IFERROR(__xludf.DUMMYFUNCTION("""COMPUTED_VALUE"""),"EMPTY")</f>
        <v>EMPTY</v>
      </c>
      <c r="J3288" s="211">
        <f>IFERROR(__xludf.DUMMYFUNCTION("""COMPUTED_VALUE"""),5.0)</f>
        <v>5</v>
      </c>
      <c r="K3288" s="210" t="str">
        <f>IFERROR(__xludf.DUMMYFUNCTION("""COMPUTED_VALUE"""),"L005 L006 L007 L008 L009")</f>
        <v>L005 L006 L007 L008 L009</v>
      </c>
      <c r="L3288" s="211">
        <f>IFERROR(__xludf.DUMMYFUNCTION("""COMPUTED_VALUE"""),0.0)</f>
        <v>0</v>
      </c>
      <c r="M3288" s="211"/>
      <c r="N3288" s="211"/>
      <c r="O3288" s="211" t="b">
        <f>IFERROR(__xludf.DUMMYFUNCTION("""COMPUTED_VALUE"""),FALSE)</f>
        <v>0</v>
      </c>
    </row>
    <row r="3289">
      <c r="A3289" s="210" t="str">
        <f>IFERROR(__xludf.DUMMYFUNCTION("""COMPUTED_VALUE"""),"0126152296")</f>
        <v>0126152296</v>
      </c>
      <c r="B3289" s="210" t="str">
        <f>IFERROR(__xludf.DUMMYFUNCTION("""COMPUTED_VALUE"""),"0126152296")</f>
        <v>0126152296</v>
      </c>
      <c r="C3289" s="213">
        <f>IFERROR(__xludf.DUMMYFUNCTION("""COMPUTED_VALUE"""),46041.64635416667)</f>
        <v>46041.64635</v>
      </c>
      <c r="D3289" s="211" t="str">
        <f>IFERROR(__xludf.DUMMYFUNCTION("""COMPUTED_VALUE"""),"63fc688a")</f>
        <v>63fc688a</v>
      </c>
      <c r="E3289" s="211" t="str">
        <f>IFERROR(__xludf.DUMMYFUNCTION("""COMPUTED_VALUE"""),"CV Malik Nusantara")</f>
        <v>CV Malik Nusantara</v>
      </c>
      <c r="F3289" s="211" t="str">
        <f>IFERROR(__xludf.DUMMYFUNCTION("""COMPUTED_VALUE"""),"ef306e54")</f>
        <v>ef306e54</v>
      </c>
      <c r="G3289" s="211" t="str">
        <f>IFERROR(__xludf.DUMMYFUNCTION("""COMPUTED_VALUE"""),"Karbondioksida")</f>
        <v>Karbondioksida</v>
      </c>
      <c r="H3289" s="211" t="str">
        <f>IFERROR(__xludf.DUMMYFUNCTION("""COMPUTED_VALUE"""),"OUT")</f>
        <v>OUT</v>
      </c>
      <c r="I3289" s="211" t="str">
        <f>IFERROR(__xludf.DUMMYFUNCTION("""COMPUTED_VALUE"""),"NORMAL")</f>
        <v>NORMAL</v>
      </c>
      <c r="J3289" s="211">
        <f>IFERROR(__xludf.DUMMYFUNCTION("""COMPUTED_VALUE"""),1.0)</f>
        <v>1</v>
      </c>
      <c r="K3289" s="210" t="str">
        <f>IFERROR(__xludf.DUMMYFUNCTION("""COMPUTED_VALUE"""),"13027")</f>
        <v>13027</v>
      </c>
      <c r="L3289" s="211">
        <f>IFERROR(__xludf.DUMMYFUNCTION("""COMPUTED_VALUE"""),190000.0)</f>
        <v>190000</v>
      </c>
      <c r="M3289" s="211"/>
      <c r="N3289" s="211"/>
      <c r="O3289" s="211" t="b">
        <f>IFERROR(__xludf.DUMMYFUNCTION("""COMPUTED_VALUE"""),FALSE)</f>
        <v>0</v>
      </c>
    </row>
    <row r="3290">
      <c r="A3290" s="210" t="str">
        <f>IFERROR(__xludf.DUMMYFUNCTION("""COMPUTED_VALUE"""),"0126152296")</f>
        <v>0126152296</v>
      </c>
      <c r="B3290" s="210" t="str">
        <f>IFERROR(__xludf.DUMMYFUNCTION("""COMPUTED_VALUE"""),"0126152296")</f>
        <v>0126152296</v>
      </c>
      <c r="C3290" s="213">
        <f>IFERROR(__xludf.DUMMYFUNCTION("""COMPUTED_VALUE"""),46041.64635416667)</f>
        <v>46041.64635</v>
      </c>
      <c r="D3290" s="211" t="str">
        <f>IFERROR(__xludf.DUMMYFUNCTION("""COMPUTED_VALUE"""),"63fc688a")</f>
        <v>63fc688a</v>
      </c>
      <c r="E3290" s="211" t="str">
        <f>IFERROR(__xludf.DUMMYFUNCTION("""COMPUTED_VALUE"""),"CV Malik Nusantara")</f>
        <v>CV Malik Nusantara</v>
      </c>
      <c r="F3290" s="211" t="str">
        <f>IFERROR(__xludf.DUMMYFUNCTION("""COMPUTED_VALUE"""),"8bdbe149")</f>
        <v>8bdbe149</v>
      </c>
      <c r="G3290" s="211" t="str">
        <f>IFERROR(__xludf.DUMMYFUNCTION("""COMPUTED_VALUE"""),"Oksigen 6m3")</f>
        <v>Oksigen 6m3</v>
      </c>
      <c r="H3290" s="211" t="str">
        <f>IFERROR(__xludf.DUMMYFUNCTION("""COMPUTED_VALUE"""),"OUT")</f>
        <v>OUT</v>
      </c>
      <c r="I3290" s="211" t="str">
        <f>IFERROR(__xludf.DUMMYFUNCTION("""COMPUTED_VALUE"""),"NORMAL")</f>
        <v>NORMAL</v>
      </c>
      <c r="J3290" s="211">
        <f>IFERROR(__xludf.DUMMYFUNCTION("""COMPUTED_VALUE"""),4.0)</f>
        <v>4</v>
      </c>
      <c r="K3290" s="210" t="str">
        <f>IFERROR(__xludf.DUMMYFUNCTION("""COMPUTED_VALUE"""),"11211 11276 1139 11129")</f>
        <v>11211 11276 1139 11129</v>
      </c>
      <c r="L3290" s="211">
        <f>IFERROR(__xludf.DUMMYFUNCTION("""COMPUTED_VALUE"""),65000.0)</f>
        <v>65000</v>
      </c>
      <c r="M3290" s="211"/>
      <c r="N3290" s="211"/>
      <c r="O3290" s="211" t="b">
        <f>IFERROR(__xludf.DUMMYFUNCTION("""COMPUTED_VALUE"""),FALSE)</f>
        <v>0</v>
      </c>
    </row>
    <row r="3291">
      <c r="A3291" s="210" t="str">
        <f>IFERROR(__xludf.DUMMYFUNCTION("""COMPUTED_VALUE"""),"1261100")</f>
        <v>1261100</v>
      </c>
      <c r="B3291" s="210" t="str">
        <f>IFERROR(__xludf.DUMMYFUNCTION("""COMPUTED_VALUE"""),"1261100")</f>
        <v>1261100</v>
      </c>
      <c r="C3291" s="213">
        <f>IFERROR(__xludf.DUMMYFUNCTION("""COMPUTED_VALUE"""),46041.67884259259)</f>
        <v>46041.67884</v>
      </c>
      <c r="D3291" s="211" t="str">
        <f>IFERROR(__xludf.DUMMYFUNCTION("""COMPUTED_VALUE"""),"63fc688a")</f>
        <v>63fc688a</v>
      </c>
      <c r="E3291" s="211" t="str">
        <f>IFERROR(__xludf.DUMMYFUNCTION("""COMPUTED_VALUE"""),"CV Malik Nusantara")</f>
        <v>CV Malik Nusantara</v>
      </c>
      <c r="F3291" s="211" t="str">
        <f>IFERROR(__xludf.DUMMYFUNCTION("""COMPUTED_VALUE"""),"be525f3b")</f>
        <v>be525f3b</v>
      </c>
      <c r="G3291" s="211" t="str">
        <f>IFERROR(__xludf.DUMMYFUNCTION("""COMPUTED_VALUE"""),"LPG 12kg")</f>
        <v>LPG 12kg</v>
      </c>
      <c r="H3291" s="211" t="str">
        <f>IFERROR(__xludf.DUMMYFUNCTION("""COMPUTED_VALUE"""),"IN")</f>
        <v>IN</v>
      </c>
      <c r="I3291" s="211" t="str">
        <f>IFERROR(__xludf.DUMMYFUNCTION("""COMPUTED_VALUE"""),"EMPTY")</f>
        <v>EMPTY</v>
      </c>
      <c r="J3291" s="211">
        <f>IFERROR(__xludf.DUMMYFUNCTION("""COMPUTED_VALUE"""),2.0)</f>
        <v>2</v>
      </c>
      <c r="K3291" s="210" t="str">
        <f>IFERROR(__xludf.DUMMYFUNCTION("""COMPUTED_VALUE"""),"L003 L004")</f>
        <v>L003 L004</v>
      </c>
      <c r="L3291" s="211">
        <f>IFERROR(__xludf.DUMMYFUNCTION("""COMPUTED_VALUE"""),0.0)</f>
        <v>0</v>
      </c>
      <c r="M3291" s="211"/>
      <c r="N3291" s="211"/>
      <c r="O3291" s="211" t="b">
        <f>IFERROR(__xludf.DUMMYFUNCTION("""COMPUTED_VALUE"""),FALSE)</f>
        <v>0</v>
      </c>
    </row>
    <row r="3292">
      <c r="A3292" s="210" t="str">
        <f>IFERROR(__xludf.DUMMYFUNCTION("""COMPUTED_VALUE"""),"1261100")</f>
        <v>1261100</v>
      </c>
      <c r="B3292" s="210" t="str">
        <f>IFERROR(__xludf.DUMMYFUNCTION("""COMPUTED_VALUE"""),"1261100")</f>
        <v>1261100</v>
      </c>
      <c r="C3292" s="213">
        <f>IFERROR(__xludf.DUMMYFUNCTION("""COMPUTED_VALUE"""),46041.67884259259)</f>
        <v>46041.67884</v>
      </c>
      <c r="D3292" s="211" t="str">
        <f>IFERROR(__xludf.DUMMYFUNCTION("""COMPUTED_VALUE"""),"63fc688a")</f>
        <v>63fc688a</v>
      </c>
      <c r="E3292" s="211" t="str">
        <f>IFERROR(__xludf.DUMMYFUNCTION("""COMPUTED_VALUE"""),"CV Malik Nusantara")</f>
        <v>CV Malik Nusantara</v>
      </c>
      <c r="F3292" s="211" t="str">
        <f>IFERROR(__xludf.DUMMYFUNCTION("""COMPUTED_VALUE"""),"ef306e54")</f>
        <v>ef306e54</v>
      </c>
      <c r="G3292" s="211" t="str">
        <f>IFERROR(__xludf.DUMMYFUNCTION("""COMPUTED_VALUE"""),"Karbondioksida")</f>
        <v>Karbondioksida</v>
      </c>
      <c r="H3292" s="211" t="str">
        <f>IFERROR(__xludf.DUMMYFUNCTION("""COMPUTED_VALUE"""),"IN")</f>
        <v>IN</v>
      </c>
      <c r="I3292" s="211" t="str">
        <f>IFERROR(__xludf.DUMMYFUNCTION("""COMPUTED_VALUE"""),"EMPTY")</f>
        <v>EMPTY</v>
      </c>
      <c r="J3292" s="211">
        <f>IFERROR(__xludf.DUMMYFUNCTION("""COMPUTED_VALUE"""),2.0)</f>
        <v>2</v>
      </c>
      <c r="K3292" s="210" t="str">
        <f>IFERROR(__xludf.DUMMYFUNCTION("""COMPUTED_VALUE"""),"13006 13013")</f>
        <v>13006 13013</v>
      </c>
      <c r="L3292" s="211">
        <f>IFERROR(__xludf.DUMMYFUNCTION("""COMPUTED_VALUE"""),0.0)</f>
        <v>0</v>
      </c>
      <c r="M3292" s="211"/>
      <c r="N3292" s="211"/>
      <c r="O3292" s="211" t="b">
        <f>IFERROR(__xludf.DUMMYFUNCTION("""COMPUTED_VALUE"""),FALSE)</f>
        <v>0</v>
      </c>
    </row>
    <row r="3293">
      <c r="A3293" s="210" t="str">
        <f>IFERROR(__xludf.DUMMYFUNCTION("""COMPUTED_VALUE"""),"1261100")</f>
        <v>1261100</v>
      </c>
      <c r="B3293" s="210" t="str">
        <f>IFERROR(__xludf.DUMMYFUNCTION("""COMPUTED_VALUE"""),"1261100")</f>
        <v>1261100</v>
      </c>
      <c r="C3293" s="213">
        <f>IFERROR(__xludf.DUMMYFUNCTION("""COMPUTED_VALUE"""),46041.67884259259)</f>
        <v>46041.67884</v>
      </c>
      <c r="D3293" s="211" t="str">
        <f>IFERROR(__xludf.DUMMYFUNCTION("""COMPUTED_VALUE"""),"63fc688a")</f>
        <v>63fc688a</v>
      </c>
      <c r="E3293" s="211" t="str">
        <f>IFERROR(__xludf.DUMMYFUNCTION("""COMPUTED_VALUE"""),"CV Malik Nusantara")</f>
        <v>CV Malik Nusantara</v>
      </c>
      <c r="F3293" s="211" t="str">
        <f>IFERROR(__xludf.DUMMYFUNCTION("""COMPUTED_VALUE"""),"8bdbe149")</f>
        <v>8bdbe149</v>
      </c>
      <c r="G3293" s="211" t="str">
        <f>IFERROR(__xludf.DUMMYFUNCTION("""COMPUTED_VALUE"""),"Oksigen 6m3")</f>
        <v>Oksigen 6m3</v>
      </c>
      <c r="H3293" s="211" t="str">
        <f>IFERROR(__xludf.DUMMYFUNCTION("""COMPUTED_VALUE"""),"IN")</f>
        <v>IN</v>
      </c>
      <c r="I3293" s="211" t="str">
        <f>IFERROR(__xludf.DUMMYFUNCTION("""COMPUTED_VALUE"""),"EMPTY")</f>
        <v>EMPTY</v>
      </c>
      <c r="J3293" s="211">
        <f>IFERROR(__xludf.DUMMYFUNCTION("""COMPUTED_VALUE"""),4.0)</f>
        <v>4</v>
      </c>
      <c r="K3293" s="210" t="str">
        <f>IFERROR(__xludf.DUMMYFUNCTION("""COMPUTED_VALUE"""),"11241 11184 11245 1113")</f>
        <v>11241 11184 11245 1113</v>
      </c>
      <c r="L3293" s="211">
        <f>IFERROR(__xludf.DUMMYFUNCTION("""COMPUTED_VALUE"""),0.0)</f>
        <v>0</v>
      </c>
      <c r="M3293" s="211"/>
      <c r="N3293" s="211"/>
      <c r="O3293" s="211" t="b">
        <f>IFERROR(__xludf.DUMMYFUNCTION("""COMPUTED_VALUE"""),FALSE)</f>
        <v>0</v>
      </c>
    </row>
    <row r="3294">
      <c r="A3294" s="210" t="str">
        <f>IFERROR(__xludf.DUMMYFUNCTION("""COMPUTED_VALUE"""),"0126142297")</f>
        <v>0126142297</v>
      </c>
      <c r="B3294" s="210" t="str">
        <f>IFERROR(__xludf.DUMMYFUNCTION("""COMPUTED_VALUE"""),"0126142297")</f>
        <v>0126142297</v>
      </c>
      <c r="C3294" s="213">
        <f>IFERROR(__xludf.DUMMYFUNCTION("""COMPUTED_VALUE"""),46042.37199074074)</f>
        <v>46042.37199</v>
      </c>
      <c r="D3294" s="211" t="str">
        <f>IFERROR(__xludf.DUMMYFUNCTION("""COMPUTED_VALUE"""),"a0f0ad2d")</f>
        <v>a0f0ad2d</v>
      </c>
      <c r="E3294" s="211" t="str">
        <f>IFERROR(__xludf.DUMMYFUNCTION("""COMPUTED_VALUE"""),"CV. Yulie Jaya")</f>
        <v>CV. Yulie Jaya</v>
      </c>
      <c r="F3294" s="211" t="str">
        <f>IFERROR(__xludf.DUMMYFUNCTION("""COMPUTED_VALUE"""),"be525f3b")</f>
        <v>be525f3b</v>
      </c>
      <c r="G3294" s="211" t="str">
        <f>IFERROR(__xludf.DUMMYFUNCTION("""COMPUTED_VALUE"""),"LPG 12kg")</f>
        <v>LPG 12kg</v>
      </c>
      <c r="H3294" s="211" t="str">
        <f>IFERROR(__xludf.DUMMYFUNCTION("""COMPUTED_VALUE"""),"OUT")</f>
        <v>OUT</v>
      </c>
      <c r="I3294" s="211" t="str">
        <f>IFERROR(__xludf.DUMMYFUNCTION("""COMPUTED_VALUE"""),"NORMAL")</f>
        <v>NORMAL</v>
      </c>
      <c r="J3294" s="211">
        <f>IFERROR(__xludf.DUMMYFUNCTION("""COMPUTED_VALUE"""),1.0)</f>
        <v>1</v>
      </c>
      <c r="K3294" s="210" t="str">
        <f>IFERROR(__xludf.DUMMYFUNCTION("""COMPUTED_VALUE"""),"L009")</f>
        <v>L009</v>
      </c>
      <c r="L3294" s="211">
        <f>IFERROR(__xludf.DUMMYFUNCTION("""COMPUTED_VALUE"""),215000.0)</f>
        <v>215000</v>
      </c>
      <c r="M3294" s="211"/>
      <c r="N3294" s="211"/>
      <c r="O3294" s="211" t="b">
        <f>IFERROR(__xludf.DUMMYFUNCTION("""COMPUTED_VALUE"""),FALSE)</f>
        <v>0</v>
      </c>
    </row>
    <row r="3295">
      <c r="A3295" s="210" t="str">
        <f>IFERROR(__xludf.DUMMYFUNCTION("""COMPUTED_VALUE"""),"0126142297")</f>
        <v>0126142297</v>
      </c>
      <c r="B3295" s="210" t="str">
        <f>IFERROR(__xludf.DUMMYFUNCTION("""COMPUTED_VALUE"""),"0126142297")</f>
        <v>0126142297</v>
      </c>
      <c r="C3295" s="213">
        <f>IFERROR(__xludf.DUMMYFUNCTION("""COMPUTED_VALUE"""),46042.37199074074)</f>
        <v>46042.37199</v>
      </c>
      <c r="D3295" s="211" t="str">
        <f>IFERROR(__xludf.DUMMYFUNCTION("""COMPUTED_VALUE"""),"a0f0ad2d")</f>
        <v>a0f0ad2d</v>
      </c>
      <c r="E3295" s="211" t="str">
        <f>IFERROR(__xludf.DUMMYFUNCTION("""COMPUTED_VALUE"""),"CV. Yulie Jaya")</f>
        <v>CV. Yulie Jaya</v>
      </c>
      <c r="F3295" s="211" t="str">
        <f>IFERROR(__xludf.DUMMYFUNCTION("""COMPUTED_VALUE"""),"8bdbe149")</f>
        <v>8bdbe149</v>
      </c>
      <c r="G3295" s="211" t="str">
        <f>IFERROR(__xludf.DUMMYFUNCTION("""COMPUTED_VALUE"""),"Oksigen 6m3")</f>
        <v>Oksigen 6m3</v>
      </c>
      <c r="H3295" s="211" t="str">
        <f>IFERROR(__xludf.DUMMYFUNCTION("""COMPUTED_VALUE"""),"OUT")</f>
        <v>OUT</v>
      </c>
      <c r="I3295" s="211" t="str">
        <f>IFERROR(__xludf.DUMMYFUNCTION("""COMPUTED_VALUE"""),"NORMAL")</f>
        <v>NORMAL</v>
      </c>
      <c r="J3295" s="211">
        <f>IFERROR(__xludf.DUMMYFUNCTION("""COMPUTED_VALUE"""),10.0)</f>
        <v>10</v>
      </c>
      <c r="K3295" s="210" t="str">
        <f>IFERROR(__xludf.DUMMYFUNCTION("""COMPUTED_VALUE"""),"11279 1136 11185 1126 11182 1152 11322 11319 1124 11124")</f>
        <v>11279 1136 11185 1126 11182 1152 11322 11319 1124 11124</v>
      </c>
      <c r="L3295" s="211">
        <f>IFERROR(__xludf.DUMMYFUNCTION("""COMPUTED_VALUE"""),60000.0)</f>
        <v>60000</v>
      </c>
      <c r="M3295" s="211"/>
      <c r="N3295" s="211"/>
      <c r="O3295" s="211" t="b">
        <f>IFERROR(__xludf.DUMMYFUNCTION("""COMPUTED_VALUE"""),FALSE)</f>
        <v>0</v>
      </c>
    </row>
    <row r="3296">
      <c r="A3296" s="210" t="str">
        <f>IFERROR(__xludf.DUMMYFUNCTION("""COMPUTED_VALUE"""),"012652299")</f>
        <v>012652299</v>
      </c>
      <c r="B3296" s="210" t="str">
        <f>IFERROR(__xludf.DUMMYFUNCTION("""COMPUTED_VALUE"""),"012652299")</f>
        <v>012652299</v>
      </c>
      <c r="C3296" s="213">
        <f>IFERROR(__xludf.DUMMYFUNCTION("""COMPUTED_VALUE"""),46042.375763888886)</f>
        <v>46042.37576</v>
      </c>
      <c r="D3296" s="211" t="str">
        <f>IFERROR(__xludf.DUMMYFUNCTION("""COMPUTED_VALUE"""),"9828dfc5")</f>
        <v>9828dfc5</v>
      </c>
      <c r="E3296" s="211" t="str">
        <f>IFERROR(__xludf.DUMMYFUNCTION("""COMPUTED_VALUE"""),"Bpk. David")</f>
        <v>Bpk. David</v>
      </c>
      <c r="F3296" s="211" t="str">
        <f>IFERROR(__xludf.DUMMYFUNCTION("""COMPUTED_VALUE"""),"8bdbe149")</f>
        <v>8bdbe149</v>
      </c>
      <c r="G3296" s="211" t="str">
        <f>IFERROR(__xludf.DUMMYFUNCTION("""COMPUTED_VALUE"""),"Oksigen 6m3")</f>
        <v>Oksigen 6m3</v>
      </c>
      <c r="H3296" s="211" t="str">
        <f>IFERROR(__xludf.DUMMYFUNCTION("""COMPUTED_VALUE"""),"OUT")</f>
        <v>OUT</v>
      </c>
      <c r="I3296" s="211" t="str">
        <f>IFERROR(__xludf.DUMMYFUNCTION("""COMPUTED_VALUE"""),"NORMAL")</f>
        <v>NORMAL</v>
      </c>
      <c r="J3296" s="211">
        <f>IFERROR(__xludf.DUMMYFUNCTION("""COMPUTED_VALUE"""),10.0)</f>
        <v>10</v>
      </c>
      <c r="K3296" s="210" t="str">
        <f>IFERROR(__xludf.DUMMYFUNCTION("""COMPUTED_VALUE"""),"11121 11236 1134 1148 11103 11308 11109 11316 11311 11252")</f>
        <v>11121 11236 1134 1148 11103 11308 11109 11316 11311 11252</v>
      </c>
      <c r="L3296" s="211">
        <f>IFERROR(__xludf.DUMMYFUNCTION("""COMPUTED_VALUE"""),60000.0)</f>
        <v>60000</v>
      </c>
      <c r="M3296" s="211"/>
      <c r="N3296" s="211"/>
      <c r="O3296" s="211" t="b">
        <f>IFERROR(__xludf.DUMMYFUNCTION("""COMPUTED_VALUE"""),FALSE)</f>
        <v>0</v>
      </c>
    </row>
    <row r="3297">
      <c r="A3297" s="210" t="str">
        <f>IFERROR(__xludf.DUMMYFUNCTION("""COMPUTED_VALUE"""),"4012612285")</f>
        <v>4012612285</v>
      </c>
      <c r="B3297" s="210" t="str">
        <f>IFERROR(__xludf.DUMMYFUNCTION("""COMPUTED_VALUE"""),"4012612285")</f>
        <v>4012612285</v>
      </c>
      <c r="C3297" s="213">
        <f>IFERROR(__xludf.DUMMYFUNCTION("""COMPUTED_VALUE"""),46042.38454861111)</f>
        <v>46042.38455</v>
      </c>
      <c r="D3297" s="211" t="str">
        <f>IFERROR(__xludf.DUMMYFUNCTION("""COMPUTED_VALUE"""),"7b9d8eba")</f>
        <v>7b9d8eba</v>
      </c>
      <c r="E3297" s="211" t="str">
        <f>IFERROR(__xludf.DUMMYFUNCTION("""COMPUTED_VALUE"""),"PT PELANGI INDOKARYA")</f>
        <v>PT PELANGI INDOKARYA</v>
      </c>
      <c r="F3297" s="211" t="str">
        <f>IFERROR(__xludf.DUMMYFUNCTION("""COMPUTED_VALUE"""),"ef306e54")</f>
        <v>ef306e54</v>
      </c>
      <c r="G3297" s="211" t="str">
        <f>IFERROR(__xludf.DUMMYFUNCTION("""COMPUTED_VALUE"""),"Karbondioksida")</f>
        <v>Karbondioksida</v>
      </c>
      <c r="H3297" s="211" t="str">
        <f>IFERROR(__xludf.DUMMYFUNCTION("""COMPUTED_VALUE"""),"OTHER")</f>
        <v>OTHER</v>
      </c>
      <c r="I3297" s="211" t="str">
        <f>IFERROR(__xludf.DUMMYFUNCTION("""COMPUTED_VALUE"""),"RETUR CLAIM")</f>
        <v>RETUR CLAIM</v>
      </c>
      <c r="J3297" s="211">
        <f>IFERROR(__xludf.DUMMYFUNCTION("""COMPUTED_VALUE"""),1.0)</f>
        <v>1</v>
      </c>
      <c r="K3297" s="210" t="str">
        <f>IFERROR(__xludf.DUMMYFUNCTION("""COMPUTED_VALUE"""),"13047")</f>
        <v>13047</v>
      </c>
      <c r="L3297" s="211">
        <f>IFERROR(__xludf.DUMMYFUNCTION("""COMPUTED_VALUE"""),0.0)</f>
        <v>0</v>
      </c>
      <c r="M3297" s="211"/>
      <c r="N3297" s="211"/>
      <c r="O3297" s="211" t="b">
        <f>IFERROR(__xludf.DUMMYFUNCTION("""COMPUTED_VALUE"""),FALSE)</f>
        <v>0</v>
      </c>
    </row>
    <row r="3298">
      <c r="A3298" s="210" t="str">
        <f>IFERROR(__xludf.DUMMYFUNCTION("""COMPUTED_VALUE"""),"0126112300")</f>
        <v>0126112300</v>
      </c>
      <c r="B3298" s="210" t="str">
        <f>IFERROR(__xludf.DUMMYFUNCTION("""COMPUTED_VALUE"""),"0126112300")</f>
        <v>0126112300</v>
      </c>
      <c r="C3298" s="213">
        <f>IFERROR(__xludf.DUMMYFUNCTION("""COMPUTED_VALUE"""),46042.466099537036)</f>
        <v>46042.4661</v>
      </c>
      <c r="D3298" s="211" t="str">
        <f>IFERROR(__xludf.DUMMYFUNCTION("""COMPUTED_VALUE"""),"734c6d17")</f>
        <v>734c6d17</v>
      </c>
      <c r="E3298" s="211" t="str">
        <f>IFERROR(__xludf.DUMMYFUNCTION("""COMPUTED_VALUE"""),"Bapak Ainol Yaqin ( Bpk. Ibnu )")</f>
        <v>Bapak Ainol Yaqin ( Bpk. Ibnu )</v>
      </c>
      <c r="F3298" s="211" t="str">
        <f>IFERROR(__xludf.DUMMYFUNCTION("""COMPUTED_VALUE"""),"8bdbe149")</f>
        <v>8bdbe149</v>
      </c>
      <c r="G3298" s="211" t="str">
        <f>IFERROR(__xludf.DUMMYFUNCTION("""COMPUTED_VALUE"""),"Oksigen 6m3")</f>
        <v>Oksigen 6m3</v>
      </c>
      <c r="H3298" s="211" t="str">
        <f>IFERROR(__xludf.DUMMYFUNCTION("""COMPUTED_VALUE"""),"OUT")</f>
        <v>OUT</v>
      </c>
      <c r="I3298" s="211" t="str">
        <f>IFERROR(__xludf.DUMMYFUNCTION("""COMPUTED_VALUE"""),"NORMAL")</f>
        <v>NORMAL</v>
      </c>
      <c r="J3298" s="211">
        <f>IFERROR(__xludf.DUMMYFUNCTION("""COMPUTED_VALUE"""),2.0)</f>
        <v>2</v>
      </c>
      <c r="K3298" s="210" t="str">
        <f>IFERROR(__xludf.DUMMYFUNCTION("""COMPUTED_VALUE"""),"11245 11241")</f>
        <v>11245 11241</v>
      </c>
      <c r="L3298" s="211">
        <f>IFERROR(__xludf.DUMMYFUNCTION("""COMPUTED_VALUE"""),60000.0)</f>
        <v>60000</v>
      </c>
      <c r="M3298" s="211"/>
      <c r="N3298" s="211"/>
      <c r="O3298" s="211" t="b">
        <f>IFERROR(__xludf.DUMMYFUNCTION("""COMPUTED_VALUE"""),FALSE)</f>
        <v>0</v>
      </c>
    </row>
    <row r="3299">
      <c r="A3299" s="210" t="str">
        <f>IFERROR(__xludf.DUMMYFUNCTION("""COMPUTED_VALUE"""),"012692302")</f>
        <v>012692302</v>
      </c>
      <c r="B3299" s="210" t="str">
        <f>IFERROR(__xludf.DUMMYFUNCTION("""COMPUTED_VALUE"""),"012692302")</f>
        <v>012692302</v>
      </c>
      <c r="C3299" s="213">
        <f>IFERROR(__xludf.DUMMYFUNCTION("""COMPUTED_VALUE"""),46042.46690972222)</f>
        <v>46042.46691</v>
      </c>
      <c r="D3299" s="211" t="str">
        <f>IFERROR(__xludf.DUMMYFUNCTION("""COMPUTED_VALUE"""),"ba97d58d")</f>
        <v>ba97d58d</v>
      </c>
      <c r="E3299" s="211" t="str">
        <f>IFERROR(__xludf.DUMMYFUNCTION("""COMPUTED_VALUE"""),"Bengkel Citra Mojosari")</f>
        <v>Bengkel Citra Mojosari</v>
      </c>
      <c r="F3299" s="211" t="str">
        <f>IFERROR(__xludf.DUMMYFUNCTION("""COMPUTED_VALUE"""),"8bdbe149")</f>
        <v>8bdbe149</v>
      </c>
      <c r="G3299" s="211" t="str">
        <f>IFERROR(__xludf.DUMMYFUNCTION("""COMPUTED_VALUE"""),"Oksigen 6m3")</f>
        <v>Oksigen 6m3</v>
      </c>
      <c r="H3299" s="211" t="str">
        <f>IFERROR(__xludf.DUMMYFUNCTION("""COMPUTED_VALUE"""),"OUT")</f>
        <v>OUT</v>
      </c>
      <c r="I3299" s="211" t="str">
        <f>IFERROR(__xludf.DUMMYFUNCTION("""COMPUTED_VALUE"""),"NORMAL")</f>
        <v>NORMAL</v>
      </c>
      <c r="J3299" s="211">
        <f>IFERROR(__xludf.DUMMYFUNCTION("""COMPUTED_VALUE"""),2.0)</f>
        <v>2</v>
      </c>
      <c r="K3299" s="210" t="str">
        <f>IFERROR(__xludf.DUMMYFUNCTION("""COMPUTED_VALUE"""),"11184 1113")</f>
        <v>11184 1113</v>
      </c>
      <c r="L3299" s="211">
        <f>IFERROR(__xludf.DUMMYFUNCTION("""COMPUTED_VALUE"""),65000.0)</f>
        <v>65000</v>
      </c>
      <c r="M3299" s="211"/>
      <c r="N3299" s="211"/>
      <c r="O3299" s="211" t="b">
        <f>IFERROR(__xludf.DUMMYFUNCTION("""COMPUTED_VALUE"""),FALSE)</f>
        <v>0</v>
      </c>
    </row>
    <row r="3300">
      <c r="A3300" s="210" t="str">
        <f>IFERROR(__xludf.DUMMYFUNCTION("""COMPUTED_VALUE"""),"1261118")</f>
        <v>1261118</v>
      </c>
      <c r="B3300" s="210" t="str">
        <f>IFERROR(__xludf.DUMMYFUNCTION("""COMPUTED_VALUE"""),"1261118")</f>
        <v>1261118</v>
      </c>
      <c r="C3300" s="213">
        <f>IFERROR(__xludf.DUMMYFUNCTION("""COMPUTED_VALUE"""),46042.473275462966)</f>
        <v>46042.47328</v>
      </c>
      <c r="D3300" s="211" t="str">
        <f>IFERROR(__xludf.DUMMYFUNCTION("""COMPUTED_VALUE"""),"a0f0ad2d")</f>
        <v>a0f0ad2d</v>
      </c>
      <c r="E3300" s="211" t="str">
        <f>IFERROR(__xludf.DUMMYFUNCTION("""COMPUTED_VALUE"""),"CV. Yulie Jaya")</f>
        <v>CV. Yulie Jaya</v>
      </c>
      <c r="F3300" s="211" t="str">
        <f>IFERROR(__xludf.DUMMYFUNCTION("""COMPUTED_VALUE"""),"7d2764f1")</f>
        <v>7d2764f1</v>
      </c>
      <c r="G3300" s="211" t="str">
        <f>IFERROR(__xludf.DUMMYFUNCTION("""COMPUTED_VALUE"""),"Oksigen 7m3")</f>
        <v>Oksigen 7m3</v>
      </c>
      <c r="H3300" s="211" t="str">
        <f>IFERROR(__xludf.DUMMYFUNCTION("""COMPUTED_VALUE"""),"IN")</f>
        <v>IN</v>
      </c>
      <c r="I3300" s="211" t="str">
        <f>IFERROR(__xludf.DUMMYFUNCTION("""COMPUTED_VALUE"""),"EMPTY")</f>
        <v>EMPTY</v>
      </c>
      <c r="J3300" s="211">
        <f>IFERROR(__xludf.DUMMYFUNCTION("""COMPUTED_VALUE"""),1.0)</f>
        <v>1</v>
      </c>
      <c r="K3300" s="210" t="str">
        <f>IFERROR(__xludf.DUMMYFUNCTION("""COMPUTED_VALUE"""),"11152")</f>
        <v>11152</v>
      </c>
      <c r="L3300" s="211">
        <f>IFERROR(__xludf.DUMMYFUNCTION("""COMPUTED_VALUE"""),0.0)</f>
        <v>0</v>
      </c>
      <c r="M3300" s="211"/>
      <c r="N3300" s="211"/>
      <c r="O3300" s="211" t="b">
        <f>IFERROR(__xludf.DUMMYFUNCTION("""COMPUTED_VALUE"""),FALSE)</f>
        <v>0</v>
      </c>
    </row>
    <row r="3301">
      <c r="A3301" s="210" t="str">
        <f>IFERROR(__xludf.DUMMYFUNCTION("""COMPUTED_VALUE"""),"1261110")</f>
        <v>1261110</v>
      </c>
      <c r="B3301" s="210" t="str">
        <f>IFERROR(__xludf.DUMMYFUNCTION("""COMPUTED_VALUE"""),"1261110")</f>
        <v>1261110</v>
      </c>
      <c r="C3301" s="213">
        <f>IFERROR(__xludf.DUMMYFUNCTION("""COMPUTED_VALUE"""),46042.53135416667)</f>
        <v>46042.53135</v>
      </c>
      <c r="D3301" s="211" t="str">
        <f>IFERROR(__xludf.DUMMYFUNCTION("""COMPUTED_VALUE"""),"9828dfc5")</f>
        <v>9828dfc5</v>
      </c>
      <c r="E3301" s="211" t="str">
        <f>IFERROR(__xludf.DUMMYFUNCTION("""COMPUTED_VALUE"""),"Bpk. David")</f>
        <v>Bpk. David</v>
      </c>
      <c r="F3301" s="211" t="str">
        <f>IFERROR(__xludf.DUMMYFUNCTION("""COMPUTED_VALUE"""),"8bdbe149")</f>
        <v>8bdbe149</v>
      </c>
      <c r="G3301" s="211" t="str">
        <f>IFERROR(__xludf.DUMMYFUNCTION("""COMPUTED_VALUE"""),"Oksigen 6m3")</f>
        <v>Oksigen 6m3</v>
      </c>
      <c r="H3301" s="211" t="str">
        <f>IFERROR(__xludf.DUMMYFUNCTION("""COMPUTED_VALUE"""),"IN")</f>
        <v>IN</v>
      </c>
      <c r="I3301" s="211" t="str">
        <f>IFERROR(__xludf.DUMMYFUNCTION("""COMPUTED_VALUE"""),"EMPTY")</f>
        <v>EMPTY</v>
      </c>
      <c r="J3301" s="211">
        <f>IFERROR(__xludf.DUMMYFUNCTION("""COMPUTED_VALUE"""),2.0)</f>
        <v>2</v>
      </c>
      <c r="K3301" s="210" t="str">
        <f>IFERROR(__xludf.DUMMYFUNCTION("""COMPUTED_VALUE"""),"11188 11326")</f>
        <v>11188 11326</v>
      </c>
      <c r="L3301" s="211">
        <f>IFERROR(__xludf.DUMMYFUNCTION("""COMPUTED_VALUE"""),0.0)</f>
        <v>0</v>
      </c>
      <c r="M3301" s="211"/>
      <c r="N3301" s="211"/>
      <c r="O3301" s="211" t="b">
        <f>IFERROR(__xludf.DUMMYFUNCTION("""COMPUTED_VALUE"""),FALSE)</f>
        <v>0</v>
      </c>
    </row>
    <row r="3302">
      <c r="A3302" s="210" t="str">
        <f>IFERROR(__xludf.DUMMYFUNCTION("""COMPUTED_VALUE"""),"1261110")</f>
        <v>1261110</v>
      </c>
      <c r="B3302" s="210" t="str">
        <f>IFERROR(__xludf.DUMMYFUNCTION("""COMPUTED_VALUE"""),"1261110")</f>
        <v>1261110</v>
      </c>
      <c r="C3302" s="213">
        <f>IFERROR(__xludf.DUMMYFUNCTION("""COMPUTED_VALUE"""),46042.53135416667)</f>
        <v>46042.53135</v>
      </c>
      <c r="D3302" s="211" t="str">
        <f>IFERROR(__xludf.DUMMYFUNCTION("""COMPUTED_VALUE"""),"9828dfc5")</f>
        <v>9828dfc5</v>
      </c>
      <c r="E3302" s="211" t="str">
        <f>IFERROR(__xludf.DUMMYFUNCTION("""COMPUTED_VALUE"""),"Bpk. David")</f>
        <v>Bpk. David</v>
      </c>
      <c r="F3302" s="211" t="str">
        <f>IFERROR(__xludf.DUMMYFUNCTION("""COMPUTED_VALUE"""),"7d2764f1")</f>
        <v>7d2764f1</v>
      </c>
      <c r="G3302" s="211" t="str">
        <f>IFERROR(__xludf.DUMMYFUNCTION("""COMPUTED_VALUE"""),"Oksigen 7m3")</f>
        <v>Oksigen 7m3</v>
      </c>
      <c r="H3302" s="211" t="str">
        <f>IFERROR(__xludf.DUMMYFUNCTION("""COMPUTED_VALUE"""),"IN")</f>
        <v>IN</v>
      </c>
      <c r="I3302" s="211" t="str">
        <f>IFERROR(__xludf.DUMMYFUNCTION("""COMPUTED_VALUE"""),"EMPTY")</f>
        <v>EMPTY</v>
      </c>
      <c r="J3302" s="211">
        <f>IFERROR(__xludf.DUMMYFUNCTION("""COMPUTED_VALUE"""),4.0)</f>
        <v>4</v>
      </c>
      <c r="K3302" s="210" t="str">
        <f>IFERROR(__xludf.DUMMYFUNCTION("""COMPUTED_VALUE"""),"11171 11151 11332 11336")</f>
        <v>11171 11151 11332 11336</v>
      </c>
      <c r="L3302" s="211">
        <f>IFERROR(__xludf.DUMMYFUNCTION("""COMPUTED_VALUE"""),0.0)</f>
        <v>0</v>
      </c>
      <c r="M3302" s="211"/>
      <c r="N3302" s="211"/>
      <c r="O3302" s="211" t="b">
        <f>IFERROR(__xludf.DUMMYFUNCTION("""COMPUTED_VALUE"""),FALSE)</f>
        <v>0</v>
      </c>
    </row>
    <row r="3303">
      <c r="A3303" s="210" t="str">
        <f>IFERROR(__xludf.DUMMYFUNCTION("""COMPUTED_VALUE"""),"1261113")</f>
        <v>1261113</v>
      </c>
      <c r="B3303" s="210" t="str">
        <f>IFERROR(__xludf.DUMMYFUNCTION("""COMPUTED_VALUE"""),"1261113")</f>
        <v>1261113</v>
      </c>
      <c r="C3303" s="213">
        <f>IFERROR(__xludf.DUMMYFUNCTION("""COMPUTED_VALUE"""),46042.532222222224)</f>
        <v>46042.53222</v>
      </c>
      <c r="D3303" s="211" t="str">
        <f>IFERROR(__xludf.DUMMYFUNCTION("""COMPUTED_VALUE"""),"01158be1")</f>
        <v>01158be1</v>
      </c>
      <c r="E3303" s="211" t="str">
        <f>IFERROR(__xludf.DUMMYFUNCTION("""COMPUTED_VALUE"""),"GYF")</f>
        <v>GYF</v>
      </c>
      <c r="F3303" s="211" t="str">
        <f>IFERROR(__xludf.DUMMYFUNCTION("""COMPUTED_VALUE"""),"8bdbe149")</f>
        <v>8bdbe149</v>
      </c>
      <c r="G3303" s="211" t="str">
        <f>IFERROR(__xludf.DUMMYFUNCTION("""COMPUTED_VALUE"""),"Oksigen 6m3")</f>
        <v>Oksigen 6m3</v>
      </c>
      <c r="H3303" s="211" t="str">
        <f>IFERROR(__xludf.DUMMYFUNCTION("""COMPUTED_VALUE"""),"IN")</f>
        <v>IN</v>
      </c>
      <c r="I3303" s="211" t="str">
        <f>IFERROR(__xludf.DUMMYFUNCTION("""COMPUTED_VALUE"""),"EMPTY")</f>
        <v>EMPTY</v>
      </c>
      <c r="J3303" s="211">
        <f>IFERROR(__xludf.DUMMYFUNCTION("""COMPUTED_VALUE"""),3.0)</f>
        <v>3</v>
      </c>
      <c r="K3303" s="210" t="str">
        <f>IFERROR(__xludf.DUMMYFUNCTION("""COMPUTED_VALUE"""),"11287 11177 11107")</f>
        <v>11287 11177 11107</v>
      </c>
      <c r="L3303" s="211">
        <f>IFERROR(__xludf.DUMMYFUNCTION("""COMPUTED_VALUE"""),0.0)</f>
        <v>0</v>
      </c>
      <c r="M3303" s="211"/>
      <c r="N3303" s="211"/>
      <c r="O3303" s="211" t="b">
        <f>IFERROR(__xludf.DUMMYFUNCTION("""COMPUTED_VALUE"""),FALSE)</f>
        <v>0</v>
      </c>
    </row>
    <row r="3304">
      <c r="A3304" s="210" t="str">
        <f>IFERROR(__xludf.DUMMYFUNCTION("""COMPUTED_VALUE"""),"1261113")</f>
        <v>1261113</v>
      </c>
      <c r="B3304" s="210" t="str">
        <f>IFERROR(__xludf.DUMMYFUNCTION("""COMPUTED_VALUE"""),"1261113")</f>
        <v>1261113</v>
      </c>
      <c r="C3304" s="213">
        <f>IFERROR(__xludf.DUMMYFUNCTION("""COMPUTED_VALUE"""),46042.532222222224)</f>
        <v>46042.53222</v>
      </c>
      <c r="D3304" s="211" t="str">
        <f>IFERROR(__xludf.DUMMYFUNCTION("""COMPUTED_VALUE"""),"01158be1")</f>
        <v>01158be1</v>
      </c>
      <c r="E3304" s="211" t="str">
        <f>IFERROR(__xludf.DUMMYFUNCTION("""COMPUTED_VALUE"""),"GYF")</f>
        <v>GYF</v>
      </c>
      <c r="F3304" s="211" t="str">
        <f>IFERROR(__xludf.DUMMYFUNCTION("""COMPUTED_VALUE"""),"7d2764f1")</f>
        <v>7d2764f1</v>
      </c>
      <c r="G3304" s="211" t="str">
        <f>IFERROR(__xludf.DUMMYFUNCTION("""COMPUTED_VALUE"""),"Oksigen 7m3")</f>
        <v>Oksigen 7m3</v>
      </c>
      <c r="H3304" s="211" t="str">
        <f>IFERROR(__xludf.DUMMYFUNCTION("""COMPUTED_VALUE"""),"IN")</f>
        <v>IN</v>
      </c>
      <c r="I3304" s="211" t="str">
        <f>IFERROR(__xludf.DUMMYFUNCTION("""COMPUTED_VALUE"""),"EMPTY")</f>
        <v>EMPTY</v>
      </c>
      <c r="J3304" s="211">
        <f>IFERROR(__xludf.DUMMYFUNCTION("""COMPUTED_VALUE"""),3.0)</f>
        <v>3</v>
      </c>
      <c r="K3304" s="210" t="str">
        <f>IFERROR(__xludf.DUMMYFUNCTION("""COMPUTED_VALUE"""),"11330 11161 11164")</f>
        <v>11330 11161 11164</v>
      </c>
      <c r="L3304" s="211">
        <f>IFERROR(__xludf.DUMMYFUNCTION("""COMPUTED_VALUE"""),0.0)</f>
        <v>0</v>
      </c>
      <c r="M3304" s="211"/>
      <c r="N3304" s="211"/>
      <c r="O3304" s="211" t="b">
        <f>IFERROR(__xludf.DUMMYFUNCTION("""COMPUTED_VALUE"""),FALSE)</f>
        <v>0</v>
      </c>
    </row>
    <row r="3305">
      <c r="A3305" s="210" t="str">
        <f>IFERROR(__xludf.DUMMYFUNCTION("""COMPUTED_VALUE"""),"012622303")</f>
        <v>012622303</v>
      </c>
      <c r="B3305" s="210" t="str">
        <f>IFERROR(__xludf.DUMMYFUNCTION("""COMPUTED_VALUE"""),"012622303")</f>
        <v>012622303</v>
      </c>
      <c r="C3305" s="213">
        <f>IFERROR(__xludf.DUMMYFUNCTION("""COMPUTED_VALUE"""),46042.57813657408)</f>
        <v>46042.57814</v>
      </c>
      <c r="D3305" s="211" t="str">
        <f>IFERROR(__xludf.DUMMYFUNCTION("""COMPUTED_VALUE"""),"1c4d5e93")</f>
        <v>1c4d5e93</v>
      </c>
      <c r="E3305" s="211" t="str">
        <f>IFERROR(__xludf.DUMMYFUNCTION("""COMPUTED_VALUE"""),"Karoseri Cipta Mitra Sukses")</f>
        <v>Karoseri Cipta Mitra Sukses</v>
      </c>
      <c r="F3305" s="211" t="str">
        <f>IFERROR(__xludf.DUMMYFUNCTION("""COMPUTED_VALUE"""),"ef306e54")</f>
        <v>ef306e54</v>
      </c>
      <c r="G3305" s="211" t="str">
        <f>IFERROR(__xludf.DUMMYFUNCTION("""COMPUTED_VALUE"""),"Karbondioksida")</f>
        <v>Karbondioksida</v>
      </c>
      <c r="H3305" s="211" t="str">
        <f>IFERROR(__xludf.DUMMYFUNCTION("""COMPUTED_VALUE"""),"OUT")</f>
        <v>OUT</v>
      </c>
      <c r="I3305" s="211" t="str">
        <f>IFERROR(__xludf.DUMMYFUNCTION("""COMPUTED_VALUE"""),"NORMAL")</f>
        <v>NORMAL</v>
      </c>
      <c r="J3305" s="211">
        <f>IFERROR(__xludf.DUMMYFUNCTION("""COMPUTED_VALUE"""),3.0)</f>
        <v>3</v>
      </c>
      <c r="K3305" s="210" t="str">
        <f>IFERROR(__xludf.DUMMYFUNCTION("""COMPUTED_VALUE"""),"13062 13046 13061")</f>
        <v>13062 13046 13061</v>
      </c>
      <c r="L3305" s="211">
        <f>IFERROR(__xludf.DUMMYFUNCTION("""COMPUTED_VALUE"""),190000.0)</f>
        <v>190000</v>
      </c>
      <c r="M3305" s="211"/>
      <c r="N3305" s="211"/>
      <c r="O3305" s="211" t="b">
        <f>IFERROR(__xludf.DUMMYFUNCTION("""COMPUTED_VALUE"""),FALSE)</f>
        <v>0</v>
      </c>
    </row>
    <row r="3306">
      <c r="A3306" s="210" t="str">
        <f>IFERROR(__xludf.DUMMYFUNCTION("""COMPUTED_VALUE"""),"1261115")</f>
        <v>1261115</v>
      </c>
      <c r="B3306" s="210" t="str">
        <f>IFERROR(__xludf.DUMMYFUNCTION("""COMPUTED_VALUE"""),"1261115")</f>
        <v>1261115</v>
      </c>
      <c r="C3306" s="213">
        <f>IFERROR(__xludf.DUMMYFUNCTION("""COMPUTED_VALUE"""),46042.62614583333)</f>
        <v>46042.62615</v>
      </c>
      <c r="D3306" s="211" t="str">
        <f>IFERROR(__xludf.DUMMYFUNCTION("""COMPUTED_VALUE"""),"2d88931c")</f>
        <v>2d88931c</v>
      </c>
      <c r="E3306" s="211" t="str">
        <f>IFERROR(__xludf.DUMMYFUNCTION("""COMPUTED_VALUE"""),"PT Dunia Berkat Marga Mulya")</f>
        <v>PT Dunia Berkat Marga Mulya</v>
      </c>
      <c r="F3306" s="211" t="str">
        <f>IFERROR(__xludf.DUMMYFUNCTION("""COMPUTED_VALUE"""),"8bdbe149")</f>
        <v>8bdbe149</v>
      </c>
      <c r="G3306" s="211" t="str">
        <f>IFERROR(__xludf.DUMMYFUNCTION("""COMPUTED_VALUE"""),"Oksigen 6m3")</f>
        <v>Oksigen 6m3</v>
      </c>
      <c r="H3306" s="211" t="str">
        <f>IFERROR(__xludf.DUMMYFUNCTION("""COMPUTED_VALUE"""),"IN")</f>
        <v>IN</v>
      </c>
      <c r="I3306" s="211" t="str">
        <f>IFERROR(__xludf.DUMMYFUNCTION("""COMPUTED_VALUE"""),"EMPTY")</f>
        <v>EMPTY</v>
      </c>
      <c r="J3306" s="211">
        <f>IFERROR(__xludf.DUMMYFUNCTION("""COMPUTED_VALUE"""),1.0)</f>
        <v>1</v>
      </c>
      <c r="K3306" s="210" t="str">
        <f>IFERROR(__xludf.DUMMYFUNCTION("""COMPUTED_VALUE"""),"11128")</f>
        <v>11128</v>
      </c>
      <c r="L3306" s="211">
        <f>IFERROR(__xludf.DUMMYFUNCTION("""COMPUTED_VALUE"""),0.0)</f>
        <v>0</v>
      </c>
      <c r="M3306" s="211"/>
      <c r="N3306" s="211"/>
      <c r="O3306" s="211" t="b">
        <f>IFERROR(__xludf.DUMMYFUNCTION("""COMPUTED_VALUE"""),FALSE)</f>
        <v>0</v>
      </c>
    </row>
    <row r="3307">
      <c r="A3307" s="210" t="str">
        <f>IFERROR(__xludf.DUMMYFUNCTION("""COMPUTED_VALUE"""),"1261114")</f>
        <v>1261114</v>
      </c>
      <c r="B3307" s="210" t="str">
        <f>IFERROR(__xludf.DUMMYFUNCTION("""COMPUTED_VALUE"""),"1261114")</f>
        <v>1261114</v>
      </c>
      <c r="C3307" s="213">
        <f>IFERROR(__xludf.DUMMYFUNCTION("""COMPUTED_VALUE"""),46042.62648148148)</f>
        <v>46042.62648</v>
      </c>
      <c r="D3307" s="211" t="str">
        <f>IFERROR(__xludf.DUMMYFUNCTION("""COMPUTED_VALUE"""),"b218b89b")</f>
        <v>b218b89b</v>
      </c>
      <c r="E3307" s="211" t="str">
        <f>IFERROR(__xludf.DUMMYFUNCTION("""COMPUTED_VALUE"""),"PT Harapan Sentosa")</f>
        <v>PT Harapan Sentosa</v>
      </c>
      <c r="F3307" s="211" t="str">
        <f>IFERROR(__xludf.DUMMYFUNCTION("""COMPUTED_VALUE"""),"7d2764f1")</f>
        <v>7d2764f1</v>
      </c>
      <c r="G3307" s="211" t="str">
        <f>IFERROR(__xludf.DUMMYFUNCTION("""COMPUTED_VALUE"""),"Oksigen 7m3")</f>
        <v>Oksigen 7m3</v>
      </c>
      <c r="H3307" s="211" t="str">
        <f>IFERROR(__xludf.DUMMYFUNCTION("""COMPUTED_VALUE"""),"IN")</f>
        <v>IN</v>
      </c>
      <c r="I3307" s="211" t="str">
        <f>IFERROR(__xludf.DUMMYFUNCTION("""COMPUTED_VALUE"""),"EMPTY")</f>
        <v>EMPTY</v>
      </c>
      <c r="J3307" s="211">
        <f>IFERROR(__xludf.DUMMYFUNCTION("""COMPUTED_VALUE"""),2.0)</f>
        <v>2</v>
      </c>
      <c r="K3307" s="210" t="str">
        <f>IFERROR(__xludf.DUMMYFUNCTION("""COMPUTED_VALUE"""),"11302 11218")</f>
        <v>11302 11218</v>
      </c>
      <c r="L3307" s="211">
        <f>IFERROR(__xludf.DUMMYFUNCTION("""COMPUTED_VALUE"""),0.0)</f>
        <v>0</v>
      </c>
      <c r="M3307" s="211"/>
      <c r="N3307" s="211"/>
      <c r="O3307" s="211" t="b">
        <f>IFERROR(__xludf.DUMMYFUNCTION("""COMPUTED_VALUE"""),FALSE)</f>
        <v>0</v>
      </c>
    </row>
    <row r="3308">
      <c r="A3308" s="210" t="str">
        <f>IFERROR(__xludf.DUMMYFUNCTION("""COMPUTED_VALUE"""),"1261114")</f>
        <v>1261114</v>
      </c>
      <c r="B3308" s="210" t="str">
        <f>IFERROR(__xludf.DUMMYFUNCTION("""COMPUTED_VALUE"""),"1261114")</f>
        <v>1261114</v>
      </c>
      <c r="C3308" s="213">
        <f>IFERROR(__xludf.DUMMYFUNCTION("""COMPUTED_VALUE"""),46042.62648148148)</f>
        <v>46042.62648</v>
      </c>
      <c r="D3308" s="211" t="str">
        <f>IFERROR(__xludf.DUMMYFUNCTION("""COMPUTED_VALUE"""),"b218b89b")</f>
        <v>b218b89b</v>
      </c>
      <c r="E3308" s="211" t="str">
        <f>IFERROR(__xludf.DUMMYFUNCTION("""COMPUTED_VALUE"""),"PT Harapan Sentosa")</f>
        <v>PT Harapan Sentosa</v>
      </c>
      <c r="F3308" s="211" t="str">
        <f>IFERROR(__xludf.DUMMYFUNCTION("""COMPUTED_VALUE"""),"ef306e54")</f>
        <v>ef306e54</v>
      </c>
      <c r="G3308" s="211" t="str">
        <f>IFERROR(__xludf.DUMMYFUNCTION("""COMPUTED_VALUE"""),"Karbondioksida")</f>
        <v>Karbondioksida</v>
      </c>
      <c r="H3308" s="211" t="str">
        <f>IFERROR(__xludf.DUMMYFUNCTION("""COMPUTED_VALUE"""),"IN")</f>
        <v>IN</v>
      </c>
      <c r="I3308" s="211" t="str">
        <f>IFERROR(__xludf.DUMMYFUNCTION("""COMPUTED_VALUE"""),"EMPTY")</f>
        <v>EMPTY</v>
      </c>
      <c r="J3308" s="211">
        <f>IFERROR(__xludf.DUMMYFUNCTION("""COMPUTED_VALUE"""),1.0)</f>
        <v>1</v>
      </c>
      <c r="K3308" s="210" t="str">
        <f>IFERROR(__xludf.DUMMYFUNCTION("""COMPUTED_VALUE"""),"13058")</f>
        <v>13058</v>
      </c>
      <c r="L3308" s="211">
        <f>IFERROR(__xludf.DUMMYFUNCTION("""COMPUTED_VALUE"""),0.0)</f>
        <v>0</v>
      </c>
      <c r="M3308" s="211"/>
      <c r="N3308" s="211"/>
      <c r="O3308" s="211" t="b">
        <f>IFERROR(__xludf.DUMMYFUNCTION("""COMPUTED_VALUE"""),FALSE)</f>
        <v>0</v>
      </c>
    </row>
    <row r="3309">
      <c r="A3309" s="210" t="str">
        <f>IFERROR(__xludf.DUMMYFUNCTION("""COMPUTED_VALUE"""),"1261114")</f>
        <v>1261114</v>
      </c>
      <c r="B3309" s="210" t="str">
        <f>IFERROR(__xludf.DUMMYFUNCTION("""COMPUTED_VALUE"""),"1261114")</f>
        <v>1261114</v>
      </c>
      <c r="C3309" s="213">
        <f>IFERROR(__xludf.DUMMYFUNCTION("""COMPUTED_VALUE"""),46042.62648148148)</f>
        <v>46042.62648</v>
      </c>
      <c r="D3309" s="211" t="str">
        <f>IFERROR(__xludf.DUMMYFUNCTION("""COMPUTED_VALUE"""),"b218b89b")</f>
        <v>b218b89b</v>
      </c>
      <c r="E3309" s="211" t="str">
        <f>IFERROR(__xludf.DUMMYFUNCTION("""COMPUTED_VALUE"""),"PT Harapan Sentosa")</f>
        <v>PT Harapan Sentosa</v>
      </c>
      <c r="F3309" s="211" t="str">
        <f>IFERROR(__xludf.DUMMYFUNCTION("""COMPUTED_VALUE"""),"8bdbe149")</f>
        <v>8bdbe149</v>
      </c>
      <c r="G3309" s="211" t="str">
        <f>IFERROR(__xludf.DUMMYFUNCTION("""COMPUTED_VALUE"""),"Oksigen 6m3")</f>
        <v>Oksigen 6m3</v>
      </c>
      <c r="H3309" s="211" t="str">
        <f>IFERROR(__xludf.DUMMYFUNCTION("""COMPUTED_VALUE"""),"IN")</f>
        <v>IN</v>
      </c>
      <c r="I3309" s="211" t="str">
        <f>IFERROR(__xludf.DUMMYFUNCTION("""COMPUTED_VALUE"""),"EMPTY")</f>
        <v>EMPTY</v>
      </c>
      <c r="J3309" s="211">
        <f>IFERROR(__xludf.DUMMYFUNCTION("""COMPUTED_VALUE"""),1.0)</f>
        <v>1</v>
      </c>
      <c r="K3309" s="210" t="str">
        <f>IFERROR(__xludf.DUMMYFUNCTION("""COMPUTED_VALUE"""),"11193")</f>
        <v>11193</v>
      </c>
      <c r="L3309" s="211">
        <f>IFERROR(__xludf.DUMMYFUNCTION("""COMPUTED_VALUE"""),0.0)</f>
        <v>0</v>
      </c>
      <c r="M3309" s="211"/>
      <c r="N3309" s="211"/>
      <c r="O3309" s="211" t="b">
        <f>IFERROR(__xludf.DUMMYFUNCTION("""COMPUTED_VALUE"""),TRUE)</f>
        <v>1</v>
      </c>
    </row>
    <row r="3310">
      <c r="A3310" s="210" t="str">
        <f>IFERROR(__xludf.DUMMYFUNCTION("""COMPUTED_VALUE"""),"1261120")</f>
        <v>1261120</v>
      </c>
      <c r="B3310" s="210" t="str">
        <f>IFERROR(__xludf.DUMMYFUNCTION("""COMPUTED_VALUE"""),"1261120")</f>
        <v>1261120</v>
      </c>
      <c r="C3310" s="213">
        <f>IFERROR(__xludf.DUMMYFUNCTION("""COMPUTED_VALUE"""),46042.672789351855)</f>
        <v>46042.67279</v>
      </c>
      <c r="D3310" s="211" t="str">
        <f>IFERROR(__xludf.DUMMYFUNCTION("""COMPUTED_VALUE"""),"b2b5f2c5")</f>
        <v>b2b5f2c5</v>
      </c>
      <c r="E3310" s="211" t="str">
        <f>IFERROR(__xludf.DUMMYFUNCTION("""COMPUTED_VALUE"""),"Bengkel Las Bpk. Ari")</f>
        <v>Bengkel Las Bpk. Ari</v>
      </c>
      <c r="F3310" s="211" t="str">
        <f>IFERROR(__xludf.DUMMYFUNCTION("""COMPUTED_VALUE"""),"ef306e54")</f>
        <v>ef306e54</v>
      </c>
      <c r="G3310" s="211" t="str">
        <f>IFERROR(__xludf.DUMMYFUNCTION("""COMPUTED_VALUE"""),"Karbondioksida")</f>
        <v>Karbondioksida</v>
      </c>
      <c r="H3310" s="211" t="str">
        <f>IFERROR(__xludf.DUMMYFUNCTION("""COMPUTED_VALUE"""),"IN")</f>
        <v>IN</v>
      </c>
      <c r="I3310" s="211" t="str">
        <f>IFERROR(__xludf.DUMMYFUNCTION("""COMPUTED_VALUE"""),"EMPTY")</f>
        <v>EMPTY</v>
      </c>
      <c r="J3310" s="211">
        <f>IFERROR(__xludf.DUMMYFUNCTION("""COMPUTED_VALUE"""),1.0)</f>
        <v>1</v>
      </c>
      <c r="K3310" s="210" t="str">
        <f>IFERROR(__xludf.DUMMYFUNCTION("""COMPUTED_VALUE"""),"13037")</f>
        <v>13037</v>
      </c>
      <c r="L3310" s="211">
        <f>IFERROR(__xludf.DUMMYFUNCTION("""COMPUTED_VALUE"""),0.0)</f>
        <v>0</v>
      </c>
      <c r="M3310" s="211"/>
      <c r="N3310" s="211"/>
      <c r="O3310" s="211" t="b">
        <f>IFERROR(__xludf.DUMMYFUNCTION("""COMPUTED_VALUE"""),FALSE)</f>
        <v>0</v>
      </c>
    </row>
    <row r="3311">
      <c r="A3311" s="210" t="str">
        <f>IFERROR(__xludf.DUMMYFUNCTION("""COMPUTED_VALUE"""),"1261119")</f>
        <v>1261119</v>
      </c>
      <c r="B3311" s="210" t="str">
        <f>IFERROR(__xludf.DUMMYFUNCTION("""COMPUTED_VALUE"""),"1261119")</f>
        <v>1261119</v>
      </c>
      <c r="C3311" s="213">
        <f>IFERROR(__xludf.DUMMYFUNCTION("""COMPUTED_VALUE"""),46042.681550925925)</f>
        <v>46042.68155</v>
      </c>
      <c r="D3311" s="211" t="str">
        <f>IFERROR(__xludf.DUMMYFUNCTION("""COMPUTED_VALUE"""),"ba97d58d")</f>
        <v>ba97d58d</v>
      </c>
      <c r="E3311" s="211" t="str">
        <f>IFERROR(__xludf.DUMMYFUNCTION("""COMPUTED_VALUE"""),"Bengkel Citra Mojosari")</f>
        <v>Bengkel Citra Mojosari</v>
      </c>
      <c r="F3311" s="211" t="str">
        <f>IFERROR(__xludf.DUMMYFUNCTION("""COMPUTED_VALUE"""),"8bdbe149")</f>
        <v>8bdbe149</v>
      </c>
      <c r="G3311" s="211" t="str">
        <f>IFERROR(__xludf.DUMMYFUNCTION("""COMPUTED_VALUE"""),"Oksigen 6m3")</f>
        <v>Oksigen 6m3</v>
      </c>
      <c r="H3311" s="211" t="str">
        <f>IFERROR(__xludf.DUMMYFUNCTION("""COMPUTED_VALUE"""),"IN")</f>
        <v>IN</v>
      </c>
      <c r="I3311" s="211" t="str">
        <f>IFERROR(__xludf.DUMMYFUNCTION("""COMPUTED_VALUE"""),"EMPTY")</f>
        <v>EMPTY</v>
      </c>
      <c r="J3311" s="211">
        <f>IFERROR(__xludf.DUMMYFUNCTION("""COMPUTED_VALUE"""),2.0)</f>
        <v>2</v>
      </c>
      <c r="K3311" s="210" t="str">
        <f>IFERROR(__xludf.DUMMYFUNCTION("""COMPUTED_VALUE"""),"1135 1194")</f>
        <v>1135 1194</v>
      </c>
      <c r="L3311" s="211">
        <f>IFERROR(__xludf.DUMMYFUNCTION("""COMPUTED_VALUE"""),0.0)</f>
        <v>0</v>
      </c>
      <c r="M3311" s="211"/>
      <c r="N3311" s="211"/>
      <c r="O3311" s="211" t="b">
        <f>IFERROR(__xludf.DUMMYFUNCTION("""COMPUTED_VALUE"""),TRUE)</f>
        <v>1</v>
      </c>
    </row>
    <row r="3312">
      <c r="A3312" s="210" t="str">
        <f>IFERROR(__xludf.DUMMYFUNCTION("""COMPUTED_VALUE"""),"1261108")</f>
        <v>1261108</v>
      </c>
      <c r="B3312" s="210" t="str">
        <f>IFERROR(__xludf.DUMMYFUNCTION("""COMPUTED_VALUE"""),"1261108")</f>
        <v>1261108</v>
      </c>
      <c r="C3312" s="213">
        <f>IFERROR(__xludf.DUMMYFUNCTION("""COMPUTED_VALUE"""),46041.37520833333)</f>
        <v>46041.37521</v>
      </c>
      <c r="D3312" s="211" t="str">
        <f>IFERROR(__xludf.DUMMYFUNCTION("""COMPUTED_VALUE"""),"eec2e801")</f>
        <v>eec2e801</v>
      </c>
      <c r="E3312" s="211" t="str">
        <f>IFERROR(__xludf.DUMMYFUNCTION("""COMPUTED_VALUE"""),"Mitra Wood Sejahtera")</f>
        <v>Mitra Wood Sejahtera</v>
      </c>
      <c r="F3312" s="211" t="str">
        <f>IFERROR(__xludf.DUMMYFUNCTION("""COMPUTED_VALUE"""),"be525f3b")</f>
        <v>be525f3b</v>
      </c>
      <c r="G3312" s="211" t="str">
        <f>IFERROR(__xludf.DUMMYFUNCTION("""COMPUTED_VALUE"""),"LPG 12kg")</f>
        <v>LPG 12kg</v>
      </c>
      <c r="H3312" s="211" t="str">
        <f>IFERROR(__xludf.DUMMYFUNCTION("""COMPUTED_VALUE"""),"IN")</f>
        <v>IN</v>
      </c>
      <c r="I3312" s="211" t="str">
        <f>IFERROR(__xludf.DUMMYFUNCTION("""COMPUTED_VALUE"""),"EMPTY")</f>
        <v>EMPTY</v>
      </c>
      <c r="J3312" s="211">
        <f>IFERROR(__xludf.DUMMYFUNCTION("""COMPUTED_VALUE"""),1.0)</f>
        <v>1</v>
      </c>
      <c r="K3312" s="210" t="str">
        <f>IFERROR(__xludf.DUMMYFUNCTION("""COMPUTED_VALUE"""),"L001")</f>
        <v>L001</v>
      </c>
      <c r="L3312" s="211">
        <f>IFERROR(__xludf.DUMMYFUNCTION("""COMPUTED_VALUE"""),0.0)</f>
        <v>0</v>
      </c>
      <c r="M3312" s="211"/>
      <c r="N3312" s="211"/>
      <c r="O3312" s="211" t="b">
        <f>IFERROR(__xludf.DUMMYFUNCTION("""COMPUTED_VALUE"""),FALSE)</f>
        <v>0</v>
      </c>
    </row>
    <row r="3313">
      <c r="A3313" s="210" t="str">
        <f>IFERROR(__xludf.DUMMYFUNCTION("""COMPUTED_VALUE"""),"0126432307")</f>
        <v>0126432307</v>
      </c>
      <c r="B3313" s="210" t="str">
        <f>IFERROR(__xludf.DUMMYFUNCTION("""COMPUTED_VALUE"""),"0126432307")</f>
        <v>0126432307</v>
      </c>
      <c r="C3313" s="213">
        <f>IFERROR(__xludf.DUMMYFUNCTION("""COMPUTED_VALUE"""),46043.37229166667)</f>
        <v>46043.37229</v>
      </c>
      <c r="D3313" s="211" t="str">
        <f>IFERROR(__xludf.DUMMYFUNCTION("""COMPUTED_VALUE"""),"5f23ba17")</f>
        <v>5f23ba17</v>
      </c>
      <c r="E3313" s="211" t="str">
        <f>IFERROR(__xludf.DUMMYFUNCTION("""COMPUTED_VALUE"""),"Bpk. Joko (Gresik)")</f>
        <v>Bpk. Joko (Gresik)</v>
      </c>
      <c r="F3313" s="211" t="str">
        <f>IFERROR(__xludf.DUMMYFUNCTION("""COMPUTED_VALUE"""),"439cf836")</f>
        <v>439cf836</v>
      </c>
      <c r="G3313" s="211" t="str">
        <f>IFERROR(__xludf.DUMMYFUNCTION("""COMPUTED_VALUE"""),"Karbondioksida MR")</f>
        <v>Karbondioksida MR</v>
      </c>
      <c r="H3313" s="211" t="str">
        <f>IFERROR(__xludf.DUMMYFUNCTION("""COMPUTED_VALUE"""),"OUT")</f>
        <v>OUT</v>
      </c>
      <c r="I3313" s="211" t="str">
        <f>IFERROR(__xludf.DUMMYFUNCTION("""COMPUTED_VALUE"""),"NORMAL")</f>
        <v>NORMAL</v>
      </c>
      <c r="J3313" s="211">
        <f>IFERROR(__xludf.DUMMYFUNCTION("""COMPUTED_VALUE"""),1.0)</f>
        <v>1</v>
      </c>
      <c r="K3313" s="211"/>
      <c r="L3313" s="211">
        <f>IFERROR(__xludf.DUMMYFUNCTION("""COMPUTED_VALUE"""),160000.0)</f>
        <v>160000</v>
      </c>
      <c r="M3313" s="211"/>
      <c r="N3313" s="211"/>
      <c r="O3313" s="211" t="b">
        <f>IFERROR(__xludf.DUMMYFUNCTION("""COMPUTED_VALUE"""),FALSE)</f>
        <v>0</v>
      </c>
    </row>
    <row r="3314">
      <c r="A3314" s="210" t="str">
        <f>IFERROR(__xludf.DUMMYFUNCTION("""COMPUTED_VALUE"""),"0126742312")</f>
        <v>0126742312</v>
      </c>
      <c r="B3314" s="210" t="str">
        <f>IFERROR(__xludf.DUMMYFUNCTION("""COMPUTED_VALUE"""),"0126742312")</f>
        <v>0126742312</v>
      </c>
      <c r="C3314" s="213">
        <f>IFERROR(__xludf.DUMMYFUNCTION("""COMPUTED_VALUE"""),46043.39255787037)</f>
        <v>46043.39256</v>
      </c>
      <c r="D3314" s="211" t="str">
        <f>IFERROR(__xludf.DUMMYFUNCTION("""COMPUTED_VALUE"""),"b2b5f2c5")</f>
        <v>b2b5f2c5</v>
      </c>
      <c r="E3314" s="211" t="str">
        <f>IFERROR(__xludf.DUMMYFUNCTION("""COMPUTED_VALUE"""),"Bengkel Las Bpk. Ari")</f>
        <v>Bengkel Las Bpk. Ari</v>
      </c>
      <c r="F3314" s="211" t="str">
        <f>IFERROR(__xludf.DUMMYFUNCTION("""COMPUTED_VALUE"""),"8bdbe149")</f>
        <v>8bdbe149</v>
      </c>
      <c r="G3314" s="211" t="str">
        <f>IFERROR(__xludf.DUMMYFUNCTION("""COMPUTED_VALUE"""),"Oksigen 6m3")</f>
        <v>Oksigen 6m3</v>
      </c>
      <c r="H3314" s="211" t="str">
        <f>IFERROR(__xludf.DUMMYFUNCTION("""COMPUTED_VALUE"""),"OUT")</f>
        <v>OUT</v>
      </c>
      <c r="I3314" s="211" t="str">
        <f>IFERROR(__xludf.DUMMYFUNCTION("""COMPUTED_VALUE"""),"NORMAL")</f>
        <v>NORMAL</v>
      </c>
      <c r="J3314" s="211">
        <f>IFERROR(__xludf.DUMMYFUNCTION("""COMPUTED_VALUE"""),7.0)</f>
        <v>7</v>
      </c>
      <c r="K3314" s="210" t="str">
        <f>IFERROR(__xludf.DUMMYFUNCTION("""COMPUTED_VALUE"""),"11193 11128 11287 11188 11326 11177 11282")</f>
        <v>11193 11128 11287 11188 11326 11177 11282</v>
      </c>
      <c r="L3314" s="211">
        <f>IFERROR(__xludf.DUMMYFUNCTION("""COMPUTED_VALUE"""),60000.0)</f>
        <v>60000</v>
      </c>
      <c r="M3314" s="211"/>
      <c r="N3314" s="211"/>
      <c r="O3314" s="211" t="b">
        <f>IFERROR(__xludf.DUMMYFUNCTION("""COMPUTED_VALUE"""),FALSE)</f>
        <v>0</v>
      </c>
    </row>
    <row r="3315">
      <c r="A3315" s="210" t="str">
        <f>IFERROR(__xludf.DUMMYFUNCTION("""COMPUTED_VALUE"""),"0126742312")</f>
        <v>0126742312</v>
      </c>
      <c r="B3315" s="210" t="str">
        <f>IFERROR(__xludf.DUMMYFUNCTION("""COMPUTED_VALUE"""),"0126742312")</f>
        <v>0126742312</v>
      </c>
      <c r="C3315" s="213">
        <f>IFERROR(__xludf.DUMMYFUNCTION("""COMPUTED_VALUE"""),46043.39255787037)</f>
        <v>46043.39256</v>
      </c>
      <c r="D3315" s="211" t="str">
        <f>IFERROR(__xludf.DUMMYFUNCTION("""COMPUTED_VALUE"""),"b2b5f2c5")</f>
        <v>b2b5f2c5</v>
      </c>
      <c r="E3315" s="211" t="str">
        <f>IFERROR(__xludf.DUMMYFUNCTION("""COMPUTED_VALUE"""),"Bengkel Las Bpk. Ari")</f>
        <v>Bengkel Las Bpk. Ari</v>
      </c>
      <c r="F3315" s="211" t="str">
        <f>IFERROR(__xludf.DUMMYFUNCTION("""COMPUTED_VALUE"""),"ef306e54")</f>
        <v>ef306e54</v>
      </c>
      <c r="G3315" s="211" t="str">
        <f>IFERROR(__xludf.DUMMYFUNCTION("""COMPUTED_VALUE"""),"Karbondioksida")</f>
        <v>Karbondioksida</v>
      </c>
      <c r="H3315" s="211" t="str">
        <f>IFERROR(__xludf.DUMMYFUNCTION("""COMPUTED_VALUE"""),"OUT")</f>
        <v>OUT</v>
      </c>
      <c r="I3315" s="211" t="str">
        <f>IFERROR(__xludf.DUMMYFUNCTION("""COMPUTED_VALUE"""),"NORMAL")</f>
        <v>NORMAL</v>
      </c>
      <c r="J3315" s="211">
        <f>IFERROR(__xludf.DUMMYFUNCTION("""COMPUTED_VALUE"""),3.0)</f>
        <v>3</v>
      </c>
      <c r="K3315" s="210" t="str">
        <f>IFERROR(__xludf.DUMMYFUNCTION("""COMPUTED_VALUE"""),"13004 13008 13030")</f>
        <v>13004 13008 13030</v>
      </c>
      <c r="L3315" s="211">
        <f>IFERROR(__xludf.DUMMYFUNCTION("""COMPUTED_VALUE"""),180000.0)</f>
        <v>180000</v>
      </c>
      <c r="M3315" s="211"/>
      <c r="N3315" s="211"/>
      <c r="O3315" s="211" t="b">
        <f>IFERROR(__xludf.DUMMYFUNCTION("""COMPUTED_VALUE"""),FALSE)</f>
        <v>0</v>
      </c>
    </row>
    <row r="3316">
      <c r="A3316" s="210" t="str">
        <f>IFERROR(__xludf.DUMMYFUNCTION("""COMPUTED_VALUE"""),"012682313")</f>
        <v>012682313</v>
      </c>
      <c r="B3316" s="210" t="str">
        <f>IFERROR(__xludf.DUMMYFUNCTION("""COMPUTED_VALUE"""),"012682313")</f>
        <v>012682313</v>
      </c>
      <c r="C3316" s="213">
        <f>IFERROR(__xludf.DUMMYFUNCTION("""COMPUTED_VALUE"""),46043.498402777775)</f>
        <v>46043.4984</v>
      </c>
      <c r="D3316" s="211" t="str">
        <f>IFERROR(__xludf.DUMMYFUNCTION("""COMPUTED_VALUE"""),"196b24da")</f>
        <v>196b24da</v>
      </c>
      <c r="E3316" s="211" t="str">
        <f>IFERROR(__xludf.DUMMYFUNCTION("""COMPUTED_VALUE"""),"PT Samudra Cipta Enjineering")</f>
        <v>PT Samudra Cipta Enjineering</v>
      </c>
      <c r="F3316" s="211" t="str">
        <f>IFERROR(__xludf.DUMMYFUNCTION("""COMPUTED_VALUE"""),"b7a8fff1")</f>
        <v>b7a8fff1</v>
      </c>
      <c r="G3316" s="211" t="str">
        <f>IFERROR(__xludf.DUMMYFUNCTION("""COMPUTED_VALUE"""),"LPG 50kg")</f>
        <v>LPG 50kg</v>
      </c>
      <c r="H3316" s="211" t="str">
        <f>IFERROR(__xludf.DUMMYFUNCTION("""COMPUTED_VALUE"""),"OUT")</f>
        <v>OUT</v>
      </c>
      <c r="I3316" s="211" t="str">
        <f>IFERROR(__xludf.DUMMYFUNCTION("""COMPUTED_VALUE"""),"NORMAL")</f>
        <v>NORMAL</v>
      </c>
      <c r="J3316" s="211">
        <f>IFERROR(__xludf.DUMMYFUNCTION("""COMPUTED_VALUE"""),3.0)</f>
        <v>3</v>
      </c>
      <c r="K3316" s="210" t="str">
        <f>IFERROR(__xludf.DUMMYFUNCTION("""COMPUTED_VALUE"""),"LL001 LL002 LL003")</f>
        <v>LL001 LL002 LL003</v>
      </c>
      <c r="L3316" s="211">
        <f>IFERROR(__xludf.DUMMYFUNCTION("""COMPUTED_VALUE"""),900000.0)</f>
        <v>900000</v>
      </c>
      <c r="M3316" s="211"/>
      <c r="N3316" s="211"/>
      <c r="O3316" s="211" t="b">
        <f>IFERROR(__xludf.DUMMYFUNCTION("""COMPUTED_VALUE"""),FALSE)</f>
        <v>0</v>
      </c>
    </row>
    <row r="3317">
      <c r="A3317" s="210" t="str">
        <f>IFERROR(__xludf.DUMMYFUNCTION("""COMPUTED_VALUE"""),"0126382314")</f>
        <v>0126382314</v>
      </c>
      <c r="B3317" s="210" t="str">
        <f>IFERROR(__xludf.DUMMYFUNCTION("""COMPUTED_VALUE"""),"0126382314")</f>
        <v>0126382314</v>
      </c>
      <c r="C3317" s="213">
        <f>IFERROR(__xludf.DUMMYFUNCTION("""COMPUTED_VALUE"""),46043.50679398148)</f>
        <v>46043.50679</v>
      </c>
      <c r="D3317" s="211" t="str">
        <f>IFERROR(__xludf.DUMMYFUNCTION("""COMPUTED_VALUE"""),"ec231cc9")</f>
        <v>ec231cc9</v>
      </c>
      <c r="E3317" s="211" t="str">
        <f>IFERROR(__xludf.DUMMYFUNCTION("""COMPUTED_VALUE"""),"Bpk. Kohir (Maintenance Velg)")</f>
        <v>Bpk. Kohir (Maintenance Velg)</v>
      </c>
      <c r="F3317" s="211" t="str">
        <f>IFERROR(__xludf.DUMMYFUNCTION("""COMPUTED_VALUE"""),"8bdbe149")</f>
        <v>8bdbe149</v>
      </c>
      <c r="G3317" s="211" t="str">
        <f>IFERROR(__xludf.DUMMYFUNCTION("""COMPUTED_VALUE"""),"Oksigen 6m3")</f>
        <v>Oksigen 6m3</v>
      </c>
      <c r="H3317" s="211" t="str">
        <f>IFERROR(__xludf.DUMMYFUNCTION("""COMPUTED_VALUE"""),"OUT")</f>
        <v>OUT</v>
      </c>
      <c r="I3317" s="211" t="str">
        <f>IFERROR(__xludf.DUMMYFUNCTION("""COMPUTED_VALUE"""),"NORMAL")</f>
        <v>NORMAL</v>
      </c>
      <c r="J3317" s="211">
        <f>IFERROR(__xludf.DUMMYFUNCTION("""COMPUTED_VALUE"""),4.0)</f>
        <v>4</v>
      </c>
      <c r="K3317" s="210" t="str">
        <f>IFERROR(__xludf.DUMMYFUNCTION("""COMPUTED_VALUE"""),"11344 11343 11348 11346")</f>
        <v>11344 11343 11348 11346</v>
      </c>
      <c r="L3317" s="211">
        <f>IFERROR(__xludf.DUMMYFUNCTION("""COMPUTED_VALUE"""),55000.0)</f>
        <v>55000</v>
      </c>
      <c r="M3317" s="211"/>
      <c r="N3317" s="211"/>
      <c r="O3317" s="211" t="b">
        <f>IFERROR(__xludf.DUMMYFUNCTION("""COMPUTED_VALUE"""),FALSE)</f>
        <v>0</v>
      </c>
    </row>
    <row r="3318">
      <c r="A3318" s="210" t="str">
        <f>IFERROR(__xludf.DUMMYFUNCTION("""COMPUTED_VALUE"""),"012612315")</f>
        <v>012612315</v>
      </c>
      <c r="B3318" s="210" t="str">
        <f>IFERROR(__xludf.DUMMYFUNCTION("""COMPUTED_VALUE"""),"012612315")</f>
        <v>012612315</v>
      </c>
      <c r="C3318" s="213">
        <f>IFERROR(__xludf.DUMMYFUNCTION("""COMPUTED_VALUE"""),46043.50753472222)</f>
        <v>46043.50753</v>
      </c>
      <c r="D3318" s="211" t="str">
        <f>IFERROR(__xludf.DUMMYFUNCTION("""COMPUTED_VALUE"""),"de41c3e8")</f>
        <v>de41c3e8</v>
      </c>
      <c r="E3318" s="211" t="str">
        <f>IFERROR(__xludf.DUMMYFUNCTION("""COMPUTED_VALUE"""),"Bpk. Eko Mianto")</f>
        <v>Bpk. Eko Mianto</v>
      </c>
      <c r="F3318" s="211" t="str">
        <f>IFERROR(__xludf.DUMMYFUNCTION("""COMPUTED_VALUE"""),"7d2764f1")</f>
        <v>7d2764f1</v>
      </c>
      <c r="G3318" s="211" t="str">
        <f>IFERROR(__xludf.DUMMYFUNCTION("""COMPUTED_VALUE"""),"Oksigen 7m3")</f>
        <v>Oksigen 7m3</v>
      </c>
      <c r="H3318" s="211" t="str">
        <f>IFERROR(__xludf.DUMMYFUNCTION("""COMPUTED_VALUE"""),"OUT")</f>
        <v>OUT</v>
      </c>
      <c r="I3318" s="211" t="str">
        <f>IFERROR(__xludf.DUMMYFUNCTION("""COMPUTED_VALUE"""),"NORMAL")</f>
        <v>NORMAL</v>
      </c>
      <c r="J3318" s="211">
        <f>IFERROR(__xludf.DUMMYFUNCTION("""COMPUTED_VALUE"""),2.0)</f>
        <v>2</v>
      </c>
      <c r="K3318" s="210" t="str">
        <f>IFERROR(__xludf.DUMMYFUNCTION("""COMPUTED_VALUE"""),"11332 11336")</f>
        <v>11332 11336</v>
      </c>
      <c r="L3318" s="211">
        <f>IFERROR(__xludf.DUMMYFUNCTION("""COMPUTED_VALUE"""),70000.0)</f>
        <v>70000</v>
      </c>
      <c r="M3318" s="211"/>
      <c r="N3318" s="211"/>
      <c r="O3318" s="211" t="b">
        <f>IFERROR(__xludf.DUMMYFUNCTION("""COMPUTED_VALUE"""),FALSE)</f>
        <v>0</v>
      </c>
    </row>
    <row r="3319">
      <c r="A3319" s="210" t="str">
        <f>IFERROR(__xludf.DUMMYFUNCTION("""COMPUTED_VALUE"""),"0126112316")</f>
        <v>0126112316</v>
      </c>
      <c r="B3319" s="210" t="str">
        <f>IFERROR(__xludf.DUMMYFUNCTION("""COMPUTED_VALUE"""),"0126112316")</f>
        <v>0126112316</v>
      </c>
      <c r="C3319" s="213">
        <f>IFERROR(__xludf.DUMMYFUNCTION("""COMPUTED_VALUE"""),46043.50797453704)</f>
        <v>46043.50797</v>
      </c>
      <c r="D3319" s="211" t="str">
        <f>IFERROR(__xludf.DUMMYFUNCTION("""COMPUTED_VALUE"""),"17a8e612")</f>
        <v>17a8e612</v>
      </c>
      <c r="E3319" s="211" t="str">
        <f>IFERROR(__xludf.DUMMYFUNCTION("""COMPUTED_VALUE"""),"Flashtech Machinery")</f>
        <v>Flashtech Machinery</v>
      </c>
      <c r="F3319" s="211" t="str">
        <f>IFERROR(__xludf.DUMMYFUNCTION("""COMPUTED_VALUE"""),"66af7c72")</f>
        <v>66af7c72</v>
      </c>
      <c r="G3319" s="211" t="str">
        <f>IFERROR(__xludf.DUMMYFUNCTION("""COMPUTED_VALUE"""),"Argon 6m3")</f>
        <v>Argon 6m3</v>
      </c>
      <c r="H3319" s="211" t="str">
        <f>IFERROR(__xludf.DUMMYFUNCTION("""COMPUTED_VALUE"""),"OUT")</f>
        <v>OUT</v>
      </c>
      <c r="I3319" s="211" t="str">
        <f>IFERROR(__xludf.DUMMYFUNCTION("""COMPUTED_VALUE"""),"NORMAL")</f>
        <v>NORMAL</v>
      </c>
      <c r="J3319" s="211">
        <f>IFERROR(__xludf.DUMMYFUNCTION("""COMPUTED_VALUE"""),3.0)</f>
        <v>3</v>
      </c>
      <c r="K3319" s="210" t="str">
        <f>IFERROR(__xludf.DUMMYFUNCTION("""COMPUTED_VALUE"""),"12002 12017 12044")</f>
        <v>12002 12017 12044</v>
      </c>
      <c r="L3319" s="211">
        <f>IFERROR(__xludf.DUMMYFUNCTION("""COMPUTED_VALUE"""),210000.0)</f>
        <v>210000</v>
      </c>
      <c r="M3319" s="211"/>
      <c r="N3319" s="211"/>
      <c r="O3319" s="211" t="b">
        <f>IFERROR(__xludf.DUMMYFUNCTION("""COMPUTED_VALUE"""),FALSE)</f>
        <v>0</v>
      </c>
    </row>
    <row r="3320">
      <c r="A3320" s="210" t="str">
        <f>IFERROR(__xludf.DUMMYFUNCTION("""COMPUTED_VALUE"""),"1261116")</f>
        <v>1261116</v>
      </c>
      <c r="B3320" s="210" t="str">
        <f>IFERROR(__xludf.DUMMYFUNCTION("""COMPUTED_VALUE"""),"1261116")</f>
        <v>1261116</v>
      </c>
      <c r="C3320" s="213">
        <f>IFERROR(__xludf.DUMMYFUNCTION("""COMPUTED_VALUE"""),46043.527407407404)</f>
        <v>46043.52741</v>
      </c>
      <c r="D3320" s="211" t="str">
        <f>IFERROR(__xludf.DUMMYFUNCTION("""COMPUTED_VALUE"""),"e86baf3b")</f>
        <v>e86baf3b</v>
      </c>
      <c r="E3320" s="211" t="str">
        <f>IFERROR(__xludf.DUMMYFUNCTION("""COMPUTED_VALUE"""),"PT GEMILANG CIPTA WAWASAN")</f>
        <v>PT GEMILANG CIPTA WAWASAN</v>
      </c>
      <c r="F3320" s="211" t="str">
        <f>IFERROR(__xludf.DUMMYFUNCTION("""COMPUTED_VALUE"""),"66af7c72")</f>
        <v>66af7c72</v>
      </c>
      <c r="G3320" s="211" t="str">
        <f>IFERROR(__xludf.DUMMYFUNCTION("""COMPUTED_VALUE"""),"Argon 6m3")</f>
        <v>Argon 6m3</v>
      </c>
      <c r="H3320" s="211" t="str">
        <f>IFERROR(__xludf.DUMMYFUNCTION("""COMPUTED_VALUE"""),"IN")</f>
        <v>IN</v>
      </c>
      <c r="I3320" s="211" t="str">
        <f>IFERROR(__xludf.DUMMYFUNCTION("""COMPUTED_VALUE"""),"EMPTY")</f>
        <v>EMPTY</v>
      </c>
      <c r="J3320" s="211">
        <f>IFERROR(__xludf.DUMMYFUNCTION("""COMPUTED_VALUE"""),8.0)</f>
        <v>8</v>
      </c>
      <c r="K3320" s="210" t="str">
        <f>IFERROR(__xludf.DUMMYFUNCTION("""COMPUTED_VALUE"""),"12039 12076 12057 12075 12026 12029 12071 12048")</f>
        <v>12039 12076 12057 12075 12026 12029 12071 12048</v>
      </c>
      <c r="L3320" s="211">
        <f>IFERROR(__xludf.DUMMYFUNCTION("""COMPUTED_VALUE"""),0.0)</f>
        <v>0</v>
      </c>
      <c r="M3320" s="211"/>
      <c r="N3320" s="211"/>
      <c r="O3320" s="211" t="b">
        <f>IFERROR(__xludf.DUMMYFUNCTION("""COMPUTED_VALUE"""),FALSE)</f>
        <v>0</v>
      </c>
    </row>
    <row r="3321">
      <c r="A3321" s="210" t="str">
        <f>IFERROR(__xludf.DUMMYFUNCTION("""COMPUTED_VALUE"""),"1261116")</f>
        <v>1261116</v>
      </c>
      <c r="B3321" s="210" t="str">
        <f>IFERROR(__xludf.DUMMYFUNCTION("""COMPUTED_VALUE"""),"1261116")</f>
        <v>1261116</v>
      </c>
      <c r="C3321" s="213">
        <f>IFERROR(__xludf.DUMMYFUNCTION("""COMPUTED_VALUE"""),46043.527407407404)</f>
        <v>46043.52741</v>
      </c>
      <c r="D3321" s="211" t="str">
        <f>IFERROR(__xludf.DUMMYFUNCTION("""COMPUTED_VALUE"""),"e86baf3b")</f>
        <v>e86baf3b</v>
      </c>
      <c r="E3321" s="211" t="str">
        <f>IFERROR(__xludf.DUMMYFUNCTION("""COMPUTED_VALUE"""),"PT GEMILANG CIPTA WAWASAN")</f>
        <v>PT GEMILANG CIPTA WAWASAN</v>
      </c>
      <c r="F3321" s="211" t="str">
        <f>IFERROR(__xludf.DUMMYFUNCTION("""COMPUTED_VALUE"""),"7d2764f1")</f>
        <v>7d2764f1</v>
      </c>
      <c r="G3321" s="211" t="str">
        <f>IFERROR(__xludf.DUMMYFUNCTION("""COMPUTED_VALUE"""),"Oksigen 7m3")</f>
        <v>Oksigen 7m3</v>
      </c>
      <c r="H3321" s="211" t="str">
        <f>IFERROR(__xludf.DUMMYFUNCTION("""COMPUTED_VALUE"""),"IN")</f>
        <v>IN</v>
      </c>
      <c r="I3321" s="211" t="str">
        <f>IFERROR(__xludf.DUMMYFUNCTION("""COMPUTED_VALUE"""),"EMPTY")</f>
        <v>EMPTY</v>
      </c>
      <c r="J3321" s="211">
        <f>IFERROR(__xludf.DUMMYFUNCTION("""COMPUTED_VALUE"""),5.0)</f>
        <v>5</v>
      </c>
      <c r="K3321" s="210" t="str">
        <f>IFERROR(__xludf.DUMMYFUNCTION("""COMPUTED_VALUE"""),"11154 11143 11146 11225 11149")</f>
        <v>11154 11143 11146 11225 11149</v>
      </c>
      <c r="L3321" s="211">
        <f>IFERROR(__xludf.DUMMYFUNCTION("""COMPUTED_VALUE"""),0.0)</f>
        <v>0</v>
      </c>
      <c r="M3321" s="211"/>
      <c r="N3321" s="211"/>
      <c r="O3321" s="211" t="b">
        <f>IFERROR(__xludf.DUMMYFUNCTION("""COMPUTED_VALUE"""),FALSE)</f>
        <v>0</v>
      </c>
    </row>
    <row r="3322">
      <c r="A3322" s="210" t="str">
        <f>IFERROR(__xludf.DUMMYFUNCTION("""COMPUTED_VALUE"""),"1261116")</f>
        <v>1261116</v>
      </c>
      <c r="B3322" s="210" t="str">
        <f>IFERROR(__xludf.DUMMYFUNCTION("""COMPUTED_VALUE"""),"1261116")</f>
        <v>1261116</v>
      </c>
      <c r="C3322" s="213">
        <f>IFERROR(__xludf.DUMMYFUNCTION("""COMPUTED_VALUE"""),46043.527407407404)</f>
        <v>46043.52741</v>
      </c>
      <c r="D3322" s="211" t="str">
        <f>IFERROR(__xludf.DUMMYFUNCTION("""COMPUTED_VALUE"""),"e86baf3b")</f>
        <v>e86baf3b</v>
      </c>
      <c r="E3322" s="211" t="str">
        <f>IFERROR(__xludf.DUMMYFUNCTION("""COMPUTED_VALUE"""),"PT GEMILANG CIPTA WAWASAN")</f>
        <v>PT GEMILANG CIPTA WAWASAN</v>
      </c>
      <c r="F3322" s="211" t="str">
        <f>IFERROR(__xludf.DUMMYFUNCTION("""COMPUTED_VALUE"""),"8bdbe149")</f>
        <v>8bdbe149</v>
      </c>
      <c r="G3322" s="211" t="str">
        <f>IFERROR(__xludf.DUMMYFUNCTION("""COMPUTED_VALUE"""),"Oksigen 6m3")</f>
        <v>Oksigen 6m3</v>
      </c>
      <c r="H3322" s="211" t="str">
        <f>IFERROR(__xludf.DUMMYFUNCTION("""COMPUTED_VALUE"""),"IN")</f>
        <v>IN</v>
      </c>
      <c r="I3322" s="211" t="str">
        <f>IFERROR(__xludf.DUMMYFUNCTION("""COMPUTED_VALUE"""),"EMPTY")</f>
        <v>EMPTY</v>
      </c>
      <c r="J3322" s="211">
        <f>IFERROR(__xludf.DUMMYFUNCTION("""COMPUTED_VALUE"""),1.0)</f>
        <v>1</v>
      </c>
      <c r="K3322" s="210" t="str">
        <f>IFERROR(__xludf.DUMMYFUNCTION("""COMPUTED_VALUE"""),"1193")</f>
        <v>1193</v>
      </c>
      <c r="L3322" s="211">
        <f>IFERROR(__xludf.DUMMYFUNCTION("""COMPUTED_VALUE"""),0.0)</f>
        <v>0</v>
      </c>
      <c r="M3322" s="211"/>
      <c r="N3322" s="211"/>
      <c r="O3322" s="211" t="b">
        <f>IFERROR(__xludf.DUMMYFUNCTION("""COMPUTED_VALUE"""),FALSE)</f>
        <v>0</v>
      </c>
    </row>
    <row r="3323">
      <c r="A3323" s="210" t="str">
        <f>IFERROR(__xludf.DUMMYFUNCTION("""COMPUTED_VALUE"""),"1261116")</f>
        <v>1261116</v>
      </c>
      <c r="B3323" s="210" t="str">
        <f>IFERROR(__xludf.DUMMYFUNCTION("""COMPUTED_VALUE"""),"1261116")</f>
        <v>1261116</v>
      </c>
      <c r="C3323" s="213">
        <f>IFERROR(__xludf.DUMMYFUNCTION("""COMPUTED_VALUE"""),46043.527407407404)</f>
        <v>46043.52741</v>
      </c>
      <c r="D3323" s="211" t="str">
        <f>IFERROR(__xludf.DUMMYFUNCTION("""COMPUTED_VALUE"""),"e86baf3b")</f>
        <v>e86baf3b</v>
      </c>
      <c r="E3323" s="211" t="str">
        <f>IFERROR(__xludf.DUMMYFUNCTION("""COMPUTED_VALUE"""),"PT GEMILANG CIPTA WAWASAN")</f>
        <v>PT GEMILANG CIPTA WAWASAN</v>
      </c>
      <c r="F3323" s="211" t="str">
        <f>IFERROR(__xludf.DUMMYFUNCTION("""COMPUTED_VALUE"""),"be525f3b")</f>
        <v>be525f3b</v>
      </c>
      <c r="G3323" s="211" t="str">
        <f>IFERROR(__xludf.DUMMYFUNCTION("""COMPUTED_VALUE"""),"LPG 12kg")</f>
        <v>LPG 12kg</v>
      </c>
      <c r="H3323" s="211" t="str">
        <f>IFERROR(__xludf.DUMMYFUNCTION("""COMPUTED_VALUE"""),"IN")</f>
        <v>IN</v>
      </c>
      <c r="I3323" s="211" t="str">
        <f>IFERROR(__xludf.DUMMYFUNCTION("""COMPUTED_VALUE"""),"EMPTY")</f>
        <v>EMPTY</v>
      </c>
      <c r="J3323" s="211">
        <f>IFERROR(__xludf.DUMMYFUNCTION("""COMPUTED_VALUE"""),5.0)</f>
        <v>5</v>
      </c>
      <c r="K3323" s="211"/>
      <c r="L3323" s="211">
        <f>IFERROR(__xludf.DUMMYFUNCTION("""COMPUTED_VALUE"""),0.0)</f>
        <v>0</v>
      </c>
      <c r="M3323" s="211"/>
      <c r="N3323" s="211"/>
      <c r="O3323" s="211" t="b">
        <f>IFERROR(__xludf.DUMMYFUNCTION("""COMPUTED_VALUE"""),FALSE)</f>
        <v>0</v>
      </c>
    </row>
    <row r="3324">
      <c r="A3324" s="210" t="str">
        <f>IFERROR(__xludf.DUMMYFUNCTION("""COMPUTED_VALUE"""),"1261112")</f>
        <v>1261112</v>
      </c>
      <c r="B3324" s="210" t="str">
        <f>IFERROR(__xludf.DUMMYFUNCTION("""COMPUTED_VALUE"""),"1261112")</f>
        <v>1261112</v>
      </c>
      <c r="C3324" s="213">
        <f>IFERROR(__xludf.DUMMYFUNCTION("""COMPUTED_VALUE"""),46043.537673611114)</f>
        <v>46043.53767</v>
      </c>
      <c r="D3324" s="211" t="str">
        <f>IFERROR(__xludf.DUMMYFUNCTION("""COMPUTED_VALUE"""),"b2b5f2c5")</f>
        <v>b2b5f2c5</v>
      </c>
      <c r="E3324" s="211" t="str">
        <f>IFERROR(__xludf.DUMMYFUNCTION("""COMPUTED_VALUE"""),"Bengkel Las Bpk. Ari")</f>
        <v>Bengkel Las Bpk. Ari</v>
      </c>
      <c r="F3324" s="211" t="str">
        <f>IFERROR(__xludf.DUMMYFUNCTION("""COMPUTED_VALUE"""),"ef306e54")</f>
        <v>ef306e54</v>
      </c>
      <c r="G3324" s="211" t="str">
        <f>IFERROR(__xludf.DUMMYFUNCTION("""COMPUTED_VALUE"""),"Karbondioksida")</f>
        <v>Karbondioksida</v>
      </c>
      <c r="H3324" s="211" t="str">
        <f>IFERROR(__xludf.DUMMYFUNCTION("""COMPUTED_VALUE"""),"IN")</f>
        <v>IN</v>
      </c>
      <c r="I3324" s="211" t="str">
        <f>IFERROR(__xludf.DUMMYFUNCTION("""COMPUTED_VALUE"""),"EMPTY")</f>
        <v>EMPTY</v>
      </c>
      <c r="J3324" s="211">
        <f>IFERROR(__xludf.DUMMYFUNCTION("""COMPUTED_VALUE"""),2.0)</f>
        <v>2</v>
      </c>
      <c r="K3324" s="210" t="str">
        <f>IFERROR(__xludf.DUMMYFUNCTION("""COMPUTED_VALUE"""),"13003 13018")</f>
        <v>13003 13018</v>
      </c>
      <c r="L3324" s="211">
        <f>IFERROR(__xludf.DUMMYFUNCTION("""COMPUTED_VALUE"""),0.0)</f>
        <v>0</v>
      </c>
      <c r="M3324" s="211"/>
      <c r="N3324" s="211"/>
      <c r="O3324" s="211" t="b">
        <f>IFERROR(__xludf.DUMMYFUNCTION("""COMPUTED_VALUE"""),FALSE)</f>
        <v>0</v>
      </c>
    </row>
    <row r="3325">
      <c r="A3325" s="210" t="str">
        <f>IFERROR(__xludf.DUMMYFUNCTION("""COMPUTED_VALUE"""),"1261112")</f>
        <v>1261112</v>
      </c>
      <c r="B3325" s="210" t="str">
        <f>IFERROR(__xludf.DUMMYFUNCTION("""COMPUTED_VALUE"""),"1261112")</f>
        <v>1261112</v>
      </c>
      <c r="C3325" s="213">
        <f>IFERROR(__xludf.DUMMYFUNCTION("""COMPUTED_VALUE"""),46043.537673611114)</f>
        <v>46043.53767</v>
      </c>
      <c r="D3325" s="211" t="str">
        <f>IFERROR(__xludf.DUMMYFUNCTION("""COMPUTED_VALUE"""),"b2b5f2c5")</f>
        <v>b2b5f2c5</v>
      </c>
      <c r="E3325" s="211" t="str">
        <f>IFERROR(__xludf.DUMMYFUNCTION("""COMPUTED_VALUE"""),"Bengkel Las Bpk. Ari")</f>
        <v>Bengkel Las Bpk. Ari</v>
      </c>
      <c r="F3325" s="211" t="str">
        <f>IFERROR(__xludf.DUMMYFUNCTION("""COMPUTED_VALUE"""),"8bdbe149")</f>
        <v>8bdbe149</v>
      </c>
      <c r="G3325" s="211" t="str">
        <f>IFERROR(__xludf.DUMMYFUNCTION("""COMPUTED_VALUE"""),"Oksigen 6m3")</f>
        <v>Oksigen 6m3</v>
      </c>
      <c r="H3325" s="211" t="str">
        <f>IFERROR(__xludf.DUMMYFUNCTION("""COMPUTED_VALUE"""),"IN")</f>
        <v>IN</v>
      </c>
      <c r="I3325" s="211" t="str">
        <f>IFERROR(__xludf.DUMMYFUNCTION("""COMPUTED_VALUE"""),"EMPTY")</f>
        <v>EMPTY</v>
      </c>
      <c r="J3325" s="211">
        <f>IFERROR(__xludf.DUMMYFUNCTION("""COMPUTED_VALUE"""),5.0)</f>
        <v>5</v>
      </c>
      <c r="K3325" s="210" t="str">
        <f>IFERROR(__xludf.DUMMYFUNCTION("""COMPUTED_VALUE"""),"11240 1115 1129 11111 1110")</f>
        <v>11240 1115 1129 11111 1110</v>
      </c>
      <c r="L3325" s="211">
        <f>IFERROR(__xludf.DUMMYFUNCTION("""COMPUTED_VALUE"""),0.0)</f>
        <v>0</v>
      </c>
      <c r="M3325" s="211"/>
      <c r="N3325" s="211"/>
      <c r="O3325" s="211" t="b">
        <f>IFERROR(__xludf.DUMMYFUNCTION("""COMPUTED_VALUE"""),FALSE)</f>
        <v>0</v>
      </c>
    </row>
    <row r="3326">
      <c r="A3326" s="210" t="str">
        <f>IFERROR(__xludf.DUMMYFUNCTION("""COMPUTED_VALUE"""),"0126342317")</f>
        <v>0126342317</v>
      </c>
      <c r="B3326" s="210" t="str">
        <f>IFERROR(__xludf.DUMMYFUNCTION("""COMPUTED_VALUE"""),"0126342317")</f>
        <v>0126342317</v>
      </c>
      <c r="C3326" s="213">
        <f>IFERROR(__xludf.DUMMYFUNCTION("""COMPUTED_VALUE"""),46043.608831018515)</f>
        <v>46043.60883</v>
      </c>
      <c r="D3326" s="211" t="str">
        <f>IFERROR(__xludf.DUMMYFUNCTION("""COMPUTED_VALUE"""),"8f5ebaea")</f>
        <v>8f5ebaea</v>
      </c>
      <c r="E3326" s="211" t="str">
        <f>IFERROR(__xludf.DUMMYFUNCTION("""COMPUTED_VALUE"""),"PT Hua Zong Mesindo")</f>
        <v>PT Hua Zong Mesindo</v>
      </c>
      <c r="F3326" s="211" t="str">
        <f>IFERROR(__xludf.DUMMYFUNCTION("""COMPUTED_VALUE"""),"8bdbe149")</f>
        <v>8bdbe149</v>
      </c>
      <c r="G3326" s="211" t="str">
        <f>IFERROR(__xludf.DUMMYFUNCTION("""COMPUTED_VALUE"""),"Oksigen 6m3")</f>
        <v>Oksigen 6m3</v>
      </c>
      <c r="H3326" s="211" t="str">
        <f>IFERROR(__xludf.DUMMYFUNCTION("""COMPUTED_VALUE"""),"OUT")</f>
        <v>OUT</v>
      </c>
      <c r="I3326" s="211" t="str">
        <f>IFERROR(__xludf.DUMMYFUNCTION("""COMPUTED_VALUE"""),"NORMAL")</f>
        <v>NORMAL</v>
      </c>
      <c r="J3326" s="211">
        <f>IFERROR(__xludf.DUMMYFUNCTION("""COMPUTED_VALUE"""),3.0)</f>
        <v>3</v>
      </c>
      <c r="K3326" s="210" t="str">
        <f>IFERROR(__xludf.DUMMYFUNCTION("""COMPUTED_VALUE"""),"11345 11347 11107")</f>
        <v>11345 11347 11107</v>
      </c>
      <c r="L3326" s="211">
        <f>IFERROR(__xludf.DUMMYFUNCTION("""COMPUTED_VALUE"""),60000.0)</f>
        <v>60000</v>
      </c>
      <c r="M3326" s="211"/>
      <c r="N3326" s="211"/>
      <c r="O3326" s="211" t="b">
        <f>IFERROR(__xludf.DUMMYFUNCTION("""COMPUTED_VALUE"""),FALSE)</f>
        <v>0</v>
      </c>
    </row>
    <row r="3327">
      <c r="A3327" s="210" t="str">
        <f>IFERROR(__xludf.DUMMYFUNCTION("""COMPUTED_VALUE"""),"0126342317")</f>
        <v>0126342317</v>
      </c>
      <c r="B3327" s="210" t="str">
        <f>IFERROR(__xludf.DUMMYFUNCTION("""COMPUTED_VALUE"""),"0126342317")</f>
        <v>0126342317</v>
      </c>
      <c r="C3327" s="213">
        <f>IFERROR(__xludf.DUMMYFUNCTION("""COMPUTED_VALUE"""),46043.608831018515)</f>
        <v>46043.60883</v>
      </c>
      <c r="D3327" s="211" t="str">
        <f>IFERROR(__xludf.DUMMYFUNCTION("""COMPUTED_VALUE"""),"8f5ebaea")</f>
        <v>8f5ebaea</v>
      </c>
      <c r="E3327" s="211" t="str">
        <f>IFERROR(__xludf.DUMMYFUNCTION("""COMPUTED_VALUE"""),"PT Hua Zong Mesindo")</f>
        <v>PT Hua Zong Mesindo</v>
      </c>
      <c r="F3327" s="211" t="str">
        <f>IFERROR(__xludf.DUMMYFUNCTION("""COMPUTED_VALUE"""),"66af7c72")</f>
        <v>66af7c72</v>
      </c>
      <c r="G3327" s="211" t="str">
        <f>IFERROR(__xludf.DUMMYFUNCTION("""COMPUTED_VALUE"""),"Argon 6m3")</f>
        <v>Argon 6m3</v>
      </c>
      <c r="H3327" s="211" t="str">
        <f>IFERROR(__xludf.DUMMYFUNCTION("""COMPUTED_VALUE"""),"OUT")</f>
        <v>OUT</v>
      </c>
      <c r="I3327" s="211" t="str">
        <f>IFERROR(__xludf.DUMMYFUNCTION("""COMPUTED_VALUE"""),"NORMAL")</f>
        <v>NORMAL</v>
      </c>
      <c r="J3327" s="211">
        <f>IFERROR(__xludf.DUMMYFUNCTION("""COMPUTED_VALUE"""),2.0)</f>
        <v>2</v>
      </c>
      <c r="K3327" s="210" t="str">
        <f>IFERROR(__xludf.DUMMYFUNCTION("""COMPUTED_VALUE"""),"12012 12062")</f>
        <v>12012 12062</v>
      </c>
      <c r="L3327" s="211">
        <f>IFERROR(__xludf.DUMMYFUNCTION("""COMPUTED_VALUE"""),215000.0)</f>
        <v>215000</v>
      </c>
      <c r="M3327" s="211"/>
      <c r="N3327" s="211"/>
      <c r="O3327" s="211" t="b">
        <f>IFERROR(__xludf.DUMMYFUNCTION("""COMPUTED_VALUE"""),FALSE)</f>
        <v>0</v>
      </c>
    </row>
    <row r="3328">
      <c r="A3328" s="210" t="str">
        <f>IFERROR(__xludf.DUMMYFUNCTION("""COMPUTED_VALUE"""),"1261131")</f>
        <v>1261131</v>
      </c>
      <c r="B3328" s="210" t="str">
        <f>IFERROR(__xludf.DUMMYFUNCTION("""COMPUTED_VALUE"""),"1261131")</f>
        <v>1261131</v>
      </c>
      <c r="C3328" s="213">
        <f>IFERROR(__xludf.DUMMYFUNCTION("""COMPUTED_VALUE"""),46043.610497685186)</f>
        <v>46043.6105</v>
      </c>
      <c r="D3328" s="211" t="str">
        <f>IFERROR(__xludf.DUMMYFUNCTION("""COMPUTED_VALUE"""),"ec231cc9")</f>
        <v>ec231cc9</v>
      </c>
      <c r="E3328" s="211" t="str">
        <f>IFERROR(__xludf.DUMMYFUNCTION("""COMPUTED_VALUE"""),"Bpk. Kohir (Maintenance Velg)")</f>
        <v>Bpk. Kohir (Maintenance Velg)</v>
      </c>
      <c r="F3328" s="211" t="str">
        <f>IFERROR(__xludf.DUMMYFUNCTION("""COMPUTED_VALUE"""),"8bdbe149")</f>
        <v>8bdbe149</v>
      </c>
      <c r="G3328" s="211" t="str">
        <f>IFERROR(__xludf.DUMMYFUNCTION("""COMPUTED_VALUE"""),"Oksigen 6m3")</f>
        <v>Oksigen 6m3</v>
      </c>
      <c r="H3328" s="211" t="str">
        <f>IFERROR(__xludf.DUMMYFUNCTION("""COMPUTED_VALUE"""),"IN")</f>
        <v>IN</v>
      </c>
      <c r="I3328" s="211" t="str">
        <f>IFERROR(__xludf.DUMMYFUNCTION("""COMPUTED_VALUE"""),"EMPTY")</f>
        <v>EMPTY</v>
      </c>
      <c r="J3328" s="211">
        <f>IFERROR(__xludf.DUMMYFUNCTION("""COMPUTED_VALUE"""),3.0)</f>
        <v>3</v>
      </c>
      <c r="K3328" s="210" t="str">
        <f>IFERROR(__xludf.DUMMYFUNCTION("""COMPUTED_VALUE"""),"11197 11260 1147")</f>
        <v>11197 11260 1147</v>
      </c>
      <c r="L3328" s="211">
        <f>IFERROR(__xludf.DUMMYFUNCTION("""COMPUTED_VALUE"""),0.0)</f>
        <v>0</v>
      </c>
      <c r="M3328" s="211"/>
      <c r="N3328" s="211"/>
      <c r="O3328" s="211" t="b">
        <f>IFERROR(__xludf.DUMMYFUNCTION("""COMPUTED_VALUE"""),FALSE)</f>
        <v>0</v>
      </c>
    </row>
    <row r="3329">
      <c r="A3329" s="210" t="str">
        <f>IFERROR(__xludf.DUMMYFUNCTION("""COMPUTED_VALUE"""),"1261117")</f>
        <v>1261117</v>
      </c>
      <c r="B3329" s="210" t="str">
        <f>IFERROR(__xludf.DUMMYFUNCTION("""COMPUTED_VALUE"""),"1261117")</f>
        <v>1261117</v>
      </c>
      <c r="C3329" s="213">
        <f>IFERROR(__xludf.DUMMYFUNCTION("""COMPUTED_VALUE"""),46043.61127314815)</f>
        <v>46043.61127</v>
      </c>
      <c r="D3329" s="211" t="str">
        <f>IFERROR(__xludf.DUMMYFUNCTION("""COMPUTED_VALUE"""),"196b24da")</f>
        <v>196b24da</v>
      </c>
      <c r="E3329" s="211" t="str">
        <f>IFERROR(__xludf.DUMMYFUNCTION("""COMPUTED_VALUE"""),"PT Samudra Cipta Enjineering")</f>
        <v>PT Samudra Cipta Enjineering</v>
      </c>
      <c r="F3329" s="211" t="str">
        <f>IFERROR(__xludf.DUMMYFUNCTION("""COMPUTED_VALUE"""),"b7a8fff1")</f>
        <v>b7a8fff1</v>
      </c>
      <c r="G3329" s="211" t="str">
        <f>IFERROR(__xludf.DUMMYFUNCTION("""COMPUTED_VALUE"""),"LPG 50kg")</f>
        <v>LPG 50kg</v>
      </c>
      <c r="H3329" s="211" t="str">
        <f>IFERROR(__xludf.DUMMYFUNCTION("""COMPUTED_VALUE"""),"IN")</f>
        <v>IN</v>
      </c>
      <c r="I3329" s="211" t="str">
        <f>IFERROR(__xludf.DUMMYFUNCTION("""COMPUTED_VALUE"""),"EMPTY")</f>
        <v>EMPTY</v>
      </c>
      <c r="J3329" s="211">
        <f>IFERROR(__xludf.DUMMYFUNCTION("""COMPUTED_VALUE"""),3.0)</f>
        <v>3</v>
      </c>
      <c r="K3329" s="210" t="str">
        <f>IFERROR(__xludf.DUMMYFUNCTION("""COMPUTED_VALUE"""),"LL001 LL002 LL003")</f>
        <v>LL001 LL002 LL003</v>
      </c>
      <c r="L3329" s="211">
        <f>IFERROR(__xludf.DUMMYFUNCTION("""COMPUTED_VALUE"""),0.0)</f>
        <v>0</v>
      </c>
      <c r="M3329" s="211"/>
      <c r="N3329" s="211"/>
      <c r="O3329" s="211" t="b">
        <f>IFERROR(__xludf.DUMMYFUNCTION("""COMPUTED_VALUE"""),FALSE)</f>
        <v>0</v>
      </c>
    </row>
    <row r="3330">
      <c r="A3330" s="210" t="str">
        <f>IFERROR(__xludf.DUMMYFUNCTION("""COMPUTED_VALUE"""),"1261121")</f>
        <v>1261121</v>
      </c>
      <c r="B3330" s="210" t="str">
        <f>IFERROR(__xludf.DUMMYFUNCTION("""COMPUTED_VALUE"""),"1261121")</f>
        <v>1261121</v>
      </c>
      <c r="C3330" s="213">
        <f>IFERROR(__xludf.DUMMYFUNCTION("""COMPUTED_VALUE"""),46043.6475462963)</f>
        <v>46043.64755</v>
      </c>
      <c r="D3330" s="211" t="str">
        <f>IFERROR(__xludf.DUMMYFUNCTION("""COMPUTED_VALUE"""),"17a8e612")</f>
        <v>17a8e612</v>
      </c>
      <c r="E3330" s="211" t="str">
        <f>IFERROR(__xludf.DUMMYFUNCTION("""COMPUTED_VALUE"""),"Flashtech Machinery")</f>
        <v>Flashtech Machinery</v>
      </c>
      <c r="F3330" s="211" t="str">
        <f>IFERROR(__xludf.DUMMYFUNCTION("""COMPUTED_VALUE"""),"66af7c72")</f>
        <v>66af7c72</v>
      </c>
      <c r="G3330" s="211" t="str">
        <f>IFERROR(__xludf.DUMMYFUNCTION("""COMPUTED_VALUE"""),"Argon 6m3")</f>
        <v>Argon 6m3</v>
      </c>
      <c r="H3330" s="211" t="str">
        <f>IFERROR(__xludf.DUMMYFUNCTION("""COMPUTED_VALUE"""),"IN")</f>
        <v>IN</v>
      </c>
      <c r="I3330" s="211" t="str">
        <f>IFERROR(__xludf.DUMMYFUNCTION("""COMPUTED_VALUE"""),"EMPTY")</f>
        <v>EMPTY</v>
      </c>
      <c r="J3330" s="211">
        <f>IFERROR(__xludf.DUMMYFUNCTION("""COMPUTED_VALUE"""),4.0)</f>
        <v>4</v>
      </c>
      <c r="K3330" s="210" t="str">
        <f>IFERROR(__xludf.DUMMYFUNCTION("""COMPUTED_VALUE"""),"12010 12045 12067 12083")</f>
        <v>12010 12045 12067 12083</v>
      </c>
      <c r="L3330" s="211">
        <f>IFERROR(__xludf.DUMMYFUNCTION("""COMPUTED_VALUE"""),0.0)</f>
        <v>0</v>
      </c>
      <c r="M3330" s="211"/>
      <c r="N3330" s="211"/>
      <c r="O3330" s="211" t="b">
        <f>IFERROR(__xludf.DUMMYFUNCTION("""COMPUTED_VALUE"""),FALSE)</f>
        <v>0</v>
      </c>
    </row>
    <row r="3331">
      <c r="A3331" s="210" t="str">
        <f>IFERROR(__xludf.DUMMYFUNCTION("""COMPUTED_VALUE"""),"1261116")</f>
        <v>1261116</v>
      </c>
      <c r="B3331" s="210" t="str">
        <f>IFERROR(__xludf.DUMMYFUNCTION("""COMPUTED_VALUE"""),"1261116")</f>
        <v>1261116</v>
      </c>
      <c r="C3331" s="213">
        <f>IFERROR(__xludf.DUMMYFUNCTION("""COMPUTED_VALUE"""),46043.527407407404)</f>
        <v>46043.52741</v>
      </c>
      <c r="D3331" s="211" t="str">
        <f>IFERROR(__xludf.DUMMYFUNCTION("""COMPUTED_VALUE"""),"e86baf3b")</f>
        <v>e86baf3b</v>
      </c>
      <c r="E3331" s="211" t="str">
        <f>IFERROR(__xludf.DUMMYFUNCTION("""COMPUTED_VALUE"""),"PT GEMILANG CIPTA WAWASAN")</f>
        <v>PT GEMILANG CIPTA WAWASAN</v>
      </c>
      <c r="F3331" s="211" t="str">
        <f>IFERROR(__xludf.DUMMYFUNCTION("""COMPUTED_VALUE"""),"8bdbe149")</f>
        <v>8bdbe149</v>
      </c>
      <c r="G3331" s="211" t="str">
        <f>IFERROR(__xludf.DUMMYFUNCTION("""COMPUTED_VALUE"""),"Oksigen 6m3")</f>
        <v>Oksigen 6m3</v>
      </c>
      <c r="H3331" s="211" t="str">
        <f>IFERROR(__xludf.DUMMYFUNCTION("""COMPUTED_VALUE"""),"IN")</f>
        <v>IN</v>
      </c>
      <c r="I3331" s="211" t="str">
        <f>IFERROR(__xludf.DUMMYFUNCTION("""COMPUTED_VALUE"""),"EMPTY")</f>
        <v>EMPTY</v>
      </c>
      <c r="J3331" s="211">
        <f>IFERROR(__xludf.DUMMYFUNCTION("""COMPUTED_VALUE"""),1.0)</f>
        <v>1</v>
      </c>
      <c r="K3331" s="210" t="str">
        <f>IFERROR(__xludf.DUMMYFUNCTION("""COMPUTED_VALUE"""),"1146")</f>
        <v>1146</v>
      </c>
      <c r="L3331" s="211">
        <f>IFERROR(__xludf.DUMMYFUNCTION("""COMPUTED_VALUE"""),0.0)</f>
        <v>0</v>
      </c>
      <c r="M3331" s="211"/>
      <c r="N3331" s="211"/>
      <c r="O3331" s="211" t="b">
        <f>IFERROR(__xludf.DUMMYFUNCTION("""COMPUTED_VALUE"""),TRUE)</f>
        <v>1</v>
      </c>
    </row>
    <row r="3332">
      <c r="A3332" s="210" t="str">
        <f>IFERROR(__xludf.DUMMYFUNCTION("""COMPUTED_VALUE"""),"1261116")</f>
        <v>1261116</v>
      </c>
      <c r="B3332" s="210" t="str">
        <f>IFERROR(__xludf.DUMMYFUNCTION("""COMPUTED_VALUE"""),"1261116")</f>
        <v>1261116</v>
      </c>
      <c r="C3332" s="213">
        <f>IFERROR(__xludf.DUMMYFUNCTION("""COMPUTED_VALUE"""),46043.527407407404)</f>
        <v>46043.52741</v>
      </c>
      <c r="D3332" s="211" t="str">
        <f>IFERROR(__xludf.DUMMYFUNCTION("""COMPUTED_VALUE"""),"e86baf3b")</f>
        <v>e86baf3b</v>
      </c>
      <c r="E3332" s="211" t="str">
        <f>IFERROR(__xludf.DUMMYFUNCTION("""COMPUTED_VALUE"""),"PT GEMILANG CIPTA WAWASAN")</f>
        <v>PT GEMILANG CIPTA WAWASAN</v>
      </c>
      <c r="F3332" s="211" t="str">
        <f>IFERROR(__xludf.DUMMYFUNCTION("""COMPUTED_VALUE"""),"7d2764f1")</f>
        <v>7d2764f1</v>
      </c>
      <c r="G3332" s="211" t="str">
        <f>IFERROR(__xludf.DUMMYFUNCTION("""COMPUTED_VALUE"""),"Oksigen 7m3")</f>
        <v>Oksigen 7m3</v>
      </c>
      <c r="H3332" s="211" t="str">
        <f>IFERROR(__xludf.DUMMYFUNCTION("""COMPUTED_VALUE"""),"IN")</f>
        <v>IN</v>
      </c>
      <c r="I3332" s="211" t="str">
        <f>IFERROR(__xludf.DUMMYFUNCTION("""COMPUTED_VALUE"""),"EMPTY")</f>
        <v>EMPTY</v>
      </c>
      <c r="J3332" s="211">
        <f>IFERROR(__xludf.DUMMYFUNCTION("""COMPUTED_VALUE"""),1.0)</f>
        <v>1</v>
      </c>
      <c r="K3332" s="210" t="str">
        <f>IFERROR(__xludf.DUMMYFUNCTION("""COMPUTED_VALUE"""),"11178")</f>
        <v>11178</v>
      </c>
      <c r="L3332" s="211">
        <f>IFERROR(__xludf.DUMMYFUNCTION("""COMPUTED_VALUE"""),0.0)</f>
        <v>0</v>
      </c>
      <c r="M3332" s="211"/>
      <c r="N3332" s="211"/>
      <c r="O3332" s="211" t="b">
        <f>IFERROR(__xludf.DUMMYFUNCTION("""COMPUTED_VALUE"""),TRUE)</f>
        <v>1</v>
      </c>
    </row>
    <row r="3333">
      <c r="A3333" s="210" t="str">
        <f>IFERROR(__xludf.DUMMYFUNCTION("""COMPUTED_VALUE"""),"1261132")</f>
        <v>1261132</v>
      </c>
      <c r="B3333" s="210" t="str">
        <f>IFERROR(__xludf.DUMMYFUNCTION("""COMPUTED_VALUE"""),"1261132")</f>
        <v>1261132</v>
      </c>
      <c r="C3333" s="213">
        <f>IFERROR(__xludf.DUMMYFUNCTION("""COMPUTED_VALUE"""),46043.68813657408)</f>
        <v>46043.68814</v>
      </c>
      <c r="D3333" s="211" t="str">
        <f>IFERROR(__xludf.DUMMYFUNCTION("""COMPUTED_VALUE"""),"8f5ebaea")</f>
        <v>8f5ebaea</v>
      </c>
      <c r="E3333" s="211" t="str">
        <f>IFERROR(__xludf.DUMMYFUNCTION("""COMPUTED_VALUE"""),"PT Hua Zong Mesindo")</f>
        <v>PT Hua Zong Mesindo</v>
      </c>
      <c r="F3333" s="211" t="str">
        <f>IFERROR(__xludf.DUMMYFUNCTION("""COMPUTED_VALUE"""),"7d2764f1")</f>
        <v>7d2764f1</v>
      </c>
      <c r="G3333" s="211" t="str">
        <f>IFERROR(__xludf.DUMMYFUNCTION("""COMPUTED_VALUE"""),"Oksigen 7m3")</f>
        <v>Oksigen 7m3</v>
      </c>
      <c r="H3333" s="211" t="str">
        <f>IFERROR(__xludf.DUMMYFUNCTION("""COMPUTED_VALUE"""),"IN")</f>
        <v>IN</v>
      </c>
      <c r="I3333" s="211" t="str">
        <f>IFERROR(__xludf.DUMMYFUNCTION("""COMPUTED_VALUE"""),"EMPTY")</f>
        <v>EMPTY</v>
      </c>
      <c r="J3333" s="211">
        <f>IFERROR(__xludf.DUMMYFUNCTION("""COMPUTED_VALUE"""),1.0)</f>
        <v>1</v>
      </c>
      <c r="K3333" s="210" t="str">
        <f>IFERROR(__xludf.DUMMYFUNCTION("""COMPUTED_VALUE"""),"11163")</f>
        <v>11163</v>
      </c>
      <c r="L3333" s="211">
        <f>IFERROR(__xludf.DUMMYFUNCTION("""COMPUTED_VALUE"""),0.0)</f>
        <v>0</v>
      </c>
      <c r="M3333" s="211"/>
      <c r="N3333" s="211"/>
      <c r="O3333" s="211" t="b">
        <f>IFERROR(__xludf.DUMMYFUNCTION("""COMPUTED_VALUE"""),FALSE)</f>
        <v>0</v>
      </c>
    </row>
    <row r="3334">
      <c r="A3334" s="210" t="str">
        <f>IFERROR(__xludf.DUMMYFUNCTION("""COMPUTED_VALUE"""),"012662320")</f>
        <v>012662320</v>
      </c>
      <c r="B3334" s="210" t="str">
        <f>IFERROR(__xludf.DUMMYFUNCTION("""COMPUTED_VALUE"""),"012662320")</f>
        <v>012662320</v>
      </c>
      <c r="C3334" s="213">
        <f>IFERROR(__xludf.DUMMYFUNCTION("""COMPUTED_VALUE"""),46043.71974537037)</f>
        <v>46043.71975</v>
      </c>
      <c r="D3334" s="211" t="str">
        <f>IFERROR(__xludf.DUMMYFUNCTION("""COMPUTED_VALUE"""),"1d018c98")</f>
        <v>1d018c98</v>
      </c>
      <c r="E3334" s="211" t="str">
        <f>IFERROR(__xludf.DUMMYFUNCTION("""COMPUTED_VALUE"""),"Mbak Angel")</f>
        <v>Mbak Angel</v>
      </c>
      <c r="F3334" s="211" t="str">
        <f>IFERROR(__xludf.DUMMYFUNCTION("""COMPUTED_VALUE"""),"8bdbe149")</f>
        <v>8bdbe149</v>
      </c>
      <c r="G3334" s="211" t="str">
        <f>IFERROR(__xludf.DUMMYFUNCTION("""COMPUTED_VALUE"""),"Oksigen 6m3")</f>
        <v>Oksigen 6m3</v>
      </c>
      <c r="H3334" s="211" t="str">
        <f>IFERROR(__xludf.DUMMYFUNCTION("""COMPUTED_VALUE"""),"OUT")</f>
        <v>OUT</v>
      </c>
      <c r="I3334" s="211" t="str">
        <f>IFERROR(__xludf.DUMMYFUNCTION("""COMPUTED_VALUE"""),"NORMAL")</f>
        <v>NORMAL</v>
      </c>
      <c r="J3334" s="211">
        <f>IFERROR(__xludf.DUMMYFUNCTION("""COMPUTED_VALUE"""),1.0)</f>
        <v>1</v>
      </c>
      <c r="K3334" s="210" t="str">
        <f>IFERROR(__xludf.DUMMYFUNCTION("""COMPUTED_VALUE"""),"11286")</f>
        <v>11286</v>
      </c>
      <c r="L3334" s="211">
        <f>IFERROR(__xludf.DUMMYFUNCTION("""COMPUTED_VALUE"""),80000.0)</f>
        <v>80000</v>
      </c>
      <c r="M3334" s="211"/>
      <c r="N3334" s="211"/>
      <c r="O3334" s="211" t="b">
        <f>IFERROR(__xludf.DUMMYFUNCTION("""COMPUTED_VALUE"""),FALSE)</f>
        <v>0</v>
      </c>
    </row>
    <row r="3335">
      <c r="A3335" s="210" t="str">
        <f>IFERROR(__xludf.DUMMYFUNCTION("""COMPUTED_VALUE"""),"012692325")</f>
        <v>012692325</v>
      </c>
      <c r="B3335" s="210" t="str">
        <f>IFERROR(__xludf.DUMMYFUNCTION("""COMPUTED_VALUE"""),"012692325")</f>
        <v>012692325</v>
      </c>
      <c r="C3335" s="213">
        <f>IFERROR(__xludf.DUMMYFUNCTION("""COMPUTED_VALUE"""),46044.34984953704)</f>
        <v>46044.34985</v>
      </c>
      <c r="D3335" s="211" t="str">
        <f>IFERROR(__xludf.DUMMYFUNCTION("""COMPUTED_VALUE"""),"9b941888")</f>
        <v>9b941888</v>
      </c>
      <c r="E3335" s="211" t="str">
        <f>IFERROR(__xludf.DUMMYFUNCTION("""COMPUTED_VALUE"""),"Mas Devi ( Parengan )")</f>
        <v>Mas Devi ( Parengan )</v>
      </c>
      <c r="F3335" s="211" t="str">
        <f>IFERROR(__xludf.DUMMYFUNCTION("""COMPUTED_VALUE"""),"7d2764f1")</f>
        <v>7d2764f1</v>
      </c>
      <c r="G3335" s="211" t="str">
        <f>IFERROR(__xludf.DUMMYFUNCTION("""COMPUTED_VALUE"""),"Oksigen 7m3")</f>
        <v>Oksigen 7m3</v>
      </c>
      <c r="H3335" s="211" t="str">
        <f>IFERROR(__xludf.DUMMYFUNCTION("""COMPUTED_VALUE"""),"OUT")</f>
        <v>OUT</v>
      </c>
      <c r="I3335" s="211" t="str">
        <f>IFERROR(__xludf.DUMMYFUNCTION("""COMPUTED_VALUE"""),"NORMAL")</f>
        <v>NORMAL</v>
      </c>
      <c r="J3335" s="211">
        <f>IFERROR(__xludf.DUMMYFUNCTION("""COMPUTED_VALUE"""),5.0)</f>
        <v>5</v>
      </c>
      <c r="K3335" s="210" t="str">
        <f>IFERROR(__xludf.DUMMYFUNCTION("""COMPUTED_VALUE"""),"11163 11149 11151 11146 11143")</f>
        <v>11163 11149 11151 11146 11143</v>
      </c>
      <c r="L3335" s="211">
        <f>IFERROR(__xludf.DUMMYFUNCTION("""COMPUTED_VALUE"""),80000.0)</f>
        <v>80000</v>
      </c>
      <c r="M3335" s="211"/>
      <c r="N3335" s="211"/>
      <c r="O3335" s="211" t="b">
        <f>IFERROR(__xludf.DUMMYFUNCTION("""COMPUTED_VALUE"""),FALSE)</f>
        <v>0</v>
      </c>
    </row>
    <row r="3336">
      <c r="A3336" s="210" t="str">
        <f>IFERROR(__xludf.DUMMYFUNCTION("""COMPUTED_VALUE"""),"012662326")</f>
        <v>012662326</v>
      </c>
      <c r="B3336" s="210" t="str">
        <f>IFERROR(__xludf.DUMMYFUNCTION("""COMPUTED_VALUE"""),"012662326")</f>
        <v>012662326</v>
      </c>
      <c r="C3336" s="213">
        <f>IFERROR(__xludf.DUMMYFUNCTION("""COMPUTED_VALUE"""),46044.35273148148)</f>
        <v>46044.35273</v>
      </c>
      <c r="D3336" s="211" t="str">
        <f>IFERROR(__xludf.DUMMYFUNCTION("""COMPUTED_VALUE"""),"b89c20a1")</f>
        <v>b89c20a1</v>
      </c>
      <c r="E3336" s="211" t="str">
        <f>IFERROR(__xludf.DUMMYFUNCTION("""COMPUTED_VALUE"""),"Harini dini")</f>
        <v>Harini dini</v>
      </c>
      <c r="F3336" s="211" t="str">
        <f>IFERROR(__xludf.DUMMYFUNCTION("""COMPUTED_VALUE"""),"2690846b")</f>
        <v>2690846b</v>
      </c>
      <c r="G3336" s="211" t="str">
        <f>IFERROR(__xludf.DUMMYFUNCTION("""COMPUTED_VALUE"""),"Oksigen 1m3 MR")</f>
        <v>Oksigen 1m3 MR</v>
      </c>
      <c r="H3336" s="211" t="str">
        <f>IFERROR(__xludf.DUMMYFUNCTION("""COMPUTED_VALUE"""),"OUT")</f>
        <v>OUT</v>
      </c>
      <c r="I3336" s="211" t="str">
        <f>IFERROR(__xludf.DUMMYFUNCTION("""COMPUTED_VALUE"""),"NORMAL")</f>
        <v>NORMAL</v>
      </c>
      <c r="J3336" s="211">
        <f>IFERROR(__xludf.DUMMYFUNCTION("""COMPUTED_VALUE"""),1.0)</f>
        <v>1</v>
      </c>
      <c r="K3336" s="211"/>
      <c r="L3336" s="211">
        <f>IFERROR(__xludf.DUMMYFUNCTION("""COMPUTED_VALUE"""),60000.0)</f>
        <v>60000</v>
      </c>
      <c r="M3336" s="211"/>
      <c r="N3336" s="211"/>
      <c r="O3336" s="211" t="b">
        <f>IFERROR(__xludf.DUMMYFUNCTION("""COMPUTED_VALUE"""),FALSE)</f>
        <v>0</v>
      </c>
    </row>
    <row r="3337">
      <c r="A3337" s="210" t="str">
        <f>IFERROR(__xludf.DUMMYFUNCTION("""COMPUTED_VALUE"""),"012662326")</f>
        <v>012662326</v>
      </c>
      <c r="B3337" s="210" t="str">
        <f>IFERROR(__xludf.DUMMYFUNCTION("""COMPUTED_VALUE"""),"012662326")</f>
        <v>012662326</v>
      </c>
      <c r="C3337" s="213">
        <f>IFERROR(__xludf.DUMMYFUNCTION("""COMPUTED_VALUE"""),46044.35273148148)</f>
        <v>46044.35273</v>
      </c>
      <c r="D3337" s="211" t="str">
        <f>IFERROR(__xludf.DUMMYFUNCTION("""COMPUTED_VALUE"""),"b89c20a1")</f>
        <v>b89c20a1</v>
      </c>
      <c r="E3337" s="211" t="str">
        <f>IFERROR(__xludf.DUMMYFUNCTION("""COMPUTED_VALUE"""),"Harini dini")</f>
        <v>Harini dini</v>
      </c>
      <c r="F3337" s="211" t="str">
        <f>IFERROR(__xludf.DUMMYFUNCTION("""COMPUTED_VALUE"""),"e8544a46")</f>
        <v>e8544a46</v>
      </c>
      <c r="G3337" s="211" t="str">
        <f>IFERROR(__xludf.DUMMYFUNCTION("""COMPUTED_VALUE"""),"Oksigen 1m3")</f>
        <v>Oksigen 1m3</v>
      </c>
      <c r="H3337" s="211" t="str">
        <f>IFERROR(__xludf.DUMMYFUNCTION("""COMPUTED_VALUE"""),"OUT")</f>
        <v>OUT</v>
      </c>
      <c r="I3337" s="211" t="str">
        <f>IFERROR(__xludf.DUMMYFUNCTION("""COMPUTED_VALUE"""),"NORMAL")</f>
        <v>NORMAL</v>
      </c>
      <c r="J3337" s="211">
        <f>IFERROR(__xludf.DUMMYFUNCTION("""COMPUTED_VALUE"""),1.0)</f>
        <v>1</v>
      </c>
      <c r="K3337" s="210" t="str">
        <f>IFERROR(__xludf.DUMMYFUNCTION("""COMPUTED_VALUE"""),"0007")</f>
        <v>0007</v>
      </c>
      <c r="L3337" s="211">
        <f>IFERROR(__xludf.DUMMYFUNCTION("""COMPUTED_VALUE"""),60000.0)</f>
        <v>60000</v>
      </c>
      <c r="M3337" s="211"/>
      <c r="N3337" s="211"/>
      <c r="O3337" s="211" t="b">
        <f>IFERROR(__xludf.DUMMYFUNCTION("""COMPUTED_VALUE"""),FALSE)</f>
        <v>0</v>
      </c>
    </row>
    <row r="3338">
      <c r="A3338" s="210" t="str">
        <f>IFERROR(__xludf.DUMMYFUNCTION("""COMPUTED_VALUE"""),"1261122")</f>
        <v>1261122</v>
      </c>
      <c r="B3338" s="210" t="str">
        <f>IFERROR(__xludf.DUMMYFUNCTION("""COMPUTED_VALUE"""),"1261122")</f>
        <v>1261122</v>
      </c>
      <c r="C3338" s="213">
        <f>IFERROR(__xludf.DUMMYFUNCTION("""COMPUTED_VALUE"""),46044.369155092594)</f>
        <v>46044.36916</v>
      </c>
      <c r="D3338" s="211" t="str">
        <f>IFERROR(__xludf.DUMMYFUNCTION("""COMPUTED_VALUE"""),"1d018c98")</f>
        <v>1d018c98</v>
      </c>
      <c r="E3338" s="211" t="str">
        <f>IFERROR(__xludf.DUMMYFUNCTION("""COMPUTED_VALUE"""),"Mbak Angel")</f>
        <v>Mbak Angel</v>
      </c>
      <c r="F3338" s="211" t="str">
        <f>IFERROR(__xludf.DUMMYFUNCTION("""COMPUTED_VALUE"""),"8bdbe149")</f>
        <v>8bdbe149</v>
      </c>
      <c r="G3338" s="211" t="str">
        <f>IFERROR(__xludf.DUMMYFUNCTION("""COMPUTED_VALUE"""),"Oksigen 6m3")</f>
        <v>Oksigen 6m3</v>
      </c>
      <c r="H3338" s="211" t="str">
        <f>IFERROR(__xludf.DUMMYFUNCTION("""COMPUTED_VALUE"""),"IN")</f>
        <v>IN</v>
      </c>
      <c r="I3338" s="211" t="str">
        <f>IFERROR(__xludf.DUMMYFUNCTION("""COMPUTED_VALUE"""),"EMPTY")</f>
        <v>EMPTY</v>
      </c>
      <c r="J3338" s="211">
        <f>IFERROR(__xludf.DUMMYFUNCTION("""COMPUTED_VALUE"""),1.0)</f>
        <v>1</v>
      </c>
      <c r="K3338" s="210" t="str">
        <f>IFERROR(__xludf.DUMMYFUNCTION("""COMPUTED_VALUE"""),"11192")</f>
        <v>11192</v>
      </c>
      <c r="L3338" s="211">
        <f>IFERROR(__xludf.DUMMYFUNCTION("""COMPUTED_VALUE"""),0.0)</f>
        <v>0</v>
      </c>
      <c r="M3338" s="211"/>
      <c r="N3338" s="211"/>
      <c r="O3338" s="211" t="b">
        <f>IFERROR(__xludf.DUMMYFUNCTION("""COMPUTED_VALUE"""),FALSE)</f>
        <v>0</v>
      </c>
    </row>
    <row r="3339">
      <c r="A3339" s="210" t="str">
        <f>IFERROR(__xludf.DUMMYFUNCTION("""COMPUTED_VALUE"""),"1261123")</f>
        <v>1261123</v>
      </c>
      <c r="B3339" s="210" t="str">
        <f>IFERROR(__xludf.DUMMYFUNCTION("""COMPUTED_VALUE"""),"1261123")</f>
        <v>1261123</v>
      </c>
      <c r="C3339" s="213">
        <f>IFERROR(__xludf.DUMMYFUNCTION("""COMPUTED_VALUE"""),46044.3875)</f>
        <v>46044.3875</v>
      </c>
      <c r="D3339" s="211" t="str">
        <f>IFERROR(__xludf.DUMMYFUNCTION("""COMPUTED_VALUE"""),"b89c20a1")</f>
        <v>b89c20a1</v>
      </c>
      <c r="E3339" s="211" t="str">
        <f>IFERROR(__xludf.DUMMYFUNCTION("""COMPUTED_VALUE"""),"Harini dini")</f>
        <v>Harini dini</v>
      </c>
      <c r="F3339" s="211" t="str">
        <f>IFERROR(__xludf.DUMMYFUNCTION("""COMPUTED_VALUE"""),"2690846b")</f>
        <v>2690846b</v>
      </c>
      <c r="G3339" s="211" t="str">
        <f>IFERROR(__xludf.DUMMYFUNCTION("""COMPUTED_VALUE"""),"Oksigen 1m3 MR")</f>
        <v>Oksigen 1m3 MR</v>
      </c>
      <c r="H3339" s="211" t="str">
        <f>IFERROR(__xludf.DUMMYFUNCTION("""COMPUTED_VALUE"""),"IN")</f>
        <v>IN</v>
      </c>
      <c r="I3339" s="211" t="str">
        <f>IFERROR(__xludf.DUMMYFUNCTION("""COMPUTED_VALUE"""),"EMPTY")</f>
        <v>EMPTY</v>
      </c>
      <c r="J3339" s="211">
        <f>IFERROR(__xludf.DUMMYFUNCTION("""COMPUTED_VALUE"""),1.0)</f>
        <v>1</v>
      </c>
      <c r="K3339" s="211"/>
      <c r="L3339" s="211">
        <f>IFERROR(__xludf.DUMMYFUNCTION("""COMPUTED_VALUE"""),0.0)</f>
        <v>0</v>
      </c>
      <c r="M3339" s="211"/>
      <c r="N3339" s="211"/>
      <c r="O3339" s="211" t="b">
        <f>IFERROR(__xludf.DUMMYFUNCTION("""COMPUTED_VALUE"""),FALSE)</f>
        <v>0</v>
      </c>
    </row>
    <row r="3340">
      <c r="A3340" s="210" t="str">
        <f>IFERROR(__xludf.DUMMYFUNCTION("""COMPUTED_VALUE"""),"1261123")</f>
        <v>1261123</v>
      </c>
      <c r="B3340" s="210" t="str">
        <f>IFERROR(__xludf.DUMMYFUNCTION("""COMPUTED_VALUE"""),"1261123")</f>
        <v>1261123</v>
      </c>
      <c r="C3340" s="213">
        <f>IFERROR(__xludf.DUMMYFUNCTION("""COMPUTED_VALUE"""),46044.3875)</f>
        <v>46044.3875</v>
      </c>
      <c r="D3340" s="211" t="str">
        <f>IFERROR(__xludf.DUMMYFUNCTION("""COMPUTED_VALUE"""),"b89c20a1")</f>
        <v>b89c20a1</v>
      </c>
      <c r="E3340" s="211" t="str">
        <f>IFERROR(__xludf.DUMMYFUNCTION("""COMPUTED_VALUE"""),"Harini dini")</f>
        <v>Harini dini</v>
      </c>
      <c r="F3340" s="211" t="str">
        <f>IFERROR(__xludf.DUMMYFUNCTION("""COMPUTED_VALUE"""),"8bdbe149")</f>
        <v>8bdbe149</v>
      </c>
      <c r="G3340" s="211" t="str">
        <f>IFERROR(__xludf.DUMMYFUNCTION("""COMPUTED_VALUE"""),"Oksigen 6m3")</f>
        <v>Oksigen 6m3</v>
      </c>
      <c r="H3340" s="211" t="str">
        <f>IFERROR(__xludf.DUMMYFUNCTION("""COMPUTED_VALUE"""),"IN")</f>
        <v>IN</v>
      </c>
      <c r="I3340" s="211" t="str">
        <f>IFERROR(__xludf.DUMMYFUNCTION("""COMPUTED_VALUE"""),"EMPTY")</f>
        <v>EMPTY</v>
      </c>
      <c r="J3340" s="211">
        <f>IFERROR(__xludf.DUMMYFUNCTION("""COMPUTED_VALUE"""),1.0)</f>
        <v>1</v>
      </c>
      <c r="K3340" s="210" t="str">
        <f>IFERROR(__xludf.DUMMYFUNCTION("""COMPUTED_VALUE"""),"11295")</f>
        <v>11295</v>
      </c>
      <c r="L3340" s="211">
        <f>IFERROR(__xludf.DUMMYFUNCTION("""COMPUTED_VALUE"""),0.0)</f>
        <v>0</v>
      </c>
      <c r="M3340" s="211"/>
      <c r="N3340" s="211"/>
      <c r="O3340" s="211" t="b">
        <f>IFERROR(__xludf.DUMMYFUNCTION("""COMPUTED_VALUE"""),FALSE)</f>
        <v>0</v>
      </c>
    </row>
    <row r="3341">
      <c r="A3341" s="210" t="str">
        <f>IFERROR(__xludf.DUMMYFUNCTION("""COMPUTED_VALUE"""),"1261123")</f>
        <v>1261123</v>
      </c>
      <c r="B3341" s="210" t="str">
        <f>IFERROR(__xludf.DUMMYFUNCTION("""COMPUTED_VALUE"""),"1261123")</f>
        <v>1261123</v>
      </c>
      <c r="C3341" s="213">
        <f>IFERROR(__xludf.DUMMYFUNCTION("""COMPUTED_VALUE"""),46044.3875)</f>
        <v>46044.3875</v>
      </c>
      <c r="D3341" s="211" t="str">
        <f>IFERROR(__xludf.DUMMYFUNCTION("""COMPUTED_VALUE"""),"b89c20a1")</f>
        <v>b89c20a1</v>
      </c>
      <c r="E3341" s="211" t="str">
        <f>IFERROR(__xludf.DUMMYFUNCTION("""COMPUTED_VALUE"""),"Harini dini")</f>
        <v>Harini dini</v>
      </c>
      <c r="F3341" s="211" t="str">
        <f>IFERROR(__xludf.DUMMYFUNCTION("""COMPUTED_VALUE"""),"e8544a46")</f>
        <v>e8544a46</v>
      </c>
      <c r="G3341" s="211" t="str">
        <f>IFERROR(__xludf.DUMMYFUNCTION("""COMPUTED_VALUE"""),"Oksigen 1m3")</f>
        <v>Oksigen 1m3</v>
      </c>
      <c r="H3341" s="211" t="str">
        <f>IFERROR(__xludf.DUMMYFUNCTION("""COMPUTED_VALUE"""),"IN")</f>
        <v>IN</v>
      </c>
      <c r="I3341" s="211" t="str">
        <f>IFERROR(__xludf.DUMMYFUNCTION("""COMPUTED_VALUE"""),"EMPTY")</f>
        <v>EMPTY</v>
      </c>
      <c r="J3341" s="211">
        <f>IFERROR(__xludf.DUMMYFUNCTION("""COMPUTED_VALUE"""),1.0)</f>
        <v>1</v>
      </c>
      <c r="K3341" s="210" t="str">
        <f>IFERROR(__xludf.DUMMYFUNCTION("""COMPUTED_VALUE"""),"0003")</f>
        <v>0003</v>
      </c>
      <c r="L3341" s="211">
        <f>IFERROR(__xludf.DUMMYFUNCTION("""COMPUTED_VALUE"""),0.0)</f>
        <v>0</v>
      </c>
      <c r="M3341" s="211"/>
      <c r="N3341" s="211"/>
      <c r="O3341" s="211" t="b">
        <f>IFERROR(__xludf.DUMMYFUNCTION("""COMPUTED_VALUE"""),FALSE)</f>
        <v>0</v>
      </c>
    </row>
    <row r="3342">
      <c r="A3342" s="210" t="str">
        <f>IFERROR(__xludf.DUMMYFUNCTION("""COMPUTED_VALUE"""),"012612327")</f>
        <v>012612327</v>
      </c>
      <c r="B3342" s="210" t="str">
        <f>IFERROR(__xludf.DUMMYFUNCTION("""COMPUTED_VALUE"""),"012612327")</f>
        <v>012612327</v>
      </c>
      <c r="C3342" s="213">
        <f>IFERROR(__xludf.DUMMYFUNCTION("""COMPUTED_VALUE"""),46044.391122685185)</f>
        <v>46044.39112</v>
      </c>
      <c r="D3342" s="211" t="str">
        <f>IFERROR(__xludf.DUMMYFUNCTION("""COMPUTED_VALUE"""),"98c84274")</f>
        <v>98c84274</v>
      </c>
      <c r="E3342" s="211" t="str">
        <f>IFERROR(__xludf.DUMMYFUNCTION("""COMPUTED_VALUE"""),"Bengkel SBM (Pak Hari)")</f>
        <v>Bengkel SBM (Pak Hari)</v>
      </c>
      <c r="F3342" s="211" t="str">
        <f>IFERROR(__xludf.DUMMYFUNCTION("""COMPUTED_VALUE"""),"8bdbe149")</f>
        <v>8bdbe149</v>
      </c>
      <c r="G3342" s="211" t="str">
        <f>IFERROR(__xludf.DUMMYFUNCTION("""COMPUTED_VALUE"""),"Oksigen 6m3")</f>
        <v>Oksigen 6m3</v>
      </c>
      <c r="H3342" s="211" t="str">
        <f>IFERROR(__xludf.DUMMYFUNCTION("""COMPUTED_VALUE"""),"OUT")</f>
        <v>OUT</v>
      </c>
      <c r="I3342" s="211" t="str">
        <f>IFERROR(__xludf.DUMMYFUNCTION("""COMPUTED_VALUE"""),"NORMAL")</f>
        <v>NORMAL</v>
      </c>
      <c r="J3342" s="211">
        <f>IFERROR(__xludf.DUMMYFUNCTION("""COMPUTED_VALUE"""),5.0)</f>
        <v>5</v>
      </c>
      <c r="K3342" s="210" t="str">
        <f>IFERROR(__xludf.DUMMYFUNCTION("""COMPUTED_VALUE"""),"1147 11202 11296 11260 1193")</f>
        <v>1147 11202 11296 11260 1193</v>
      </c>
      <c r="L3342" s="211">
        <f>IFERROR(__xludf.DUMMYFUNCTION("""COMPUTED_VALUE"""),60000.0)</f>
        <v>60000</v>
      </c>
      <c r="M3342" s="211"/>
      <c r="N3342" s="211"/>
      <c r="O3342" s="211" t="b">
        <f>IFERROR(__xludf.DUMMYFUNCTION("""COMPUTED_VALUE"""),FALSE)</f>
        <v>0</v>
      </c>
    </row>
    <row r="3343">
      <c r="A3343" s="210" t="str">
        <f>IFERROR(__xludf.DUMMYFUNCTION("""COMPUTED_VALUE"""),"012612327")</f>
        <v>012612327</v>
      </c>
      <c r="B3343" s="210" t="str">
        <f>IFERROR(__xludf.DUMMYFUNCTION("""COMPUTED_VALUE"""),"012612327")</f>
        <v>012612327</v>
      </c>
      <c r="C3343" s="213">
        <f>IFERROR(__xludf.DUMMYFUNCTION("""COMPUTED_VALUE"""),46044.391122685185)</f>
        <v>46044.39112</v>
      </c>
      <c r="D3343" s="211" t="str">
        <f>IFERROR(__xludf.DUMMYFUNCTION("""COMPUTED_VALUE"""),"98c84274")</f>
        <v>98c84274</v>
      </c>
      <c r="E3343" s="211" t="str">
        <f>IFERROR(__xludf.DUMMYFUNCTION("""COMPUTED_VALUE"""),"Bengkel SBM (Pak Hari)")</f>
        <v>Bengkel SBM (Pak Hari)</v>
      </c>
      <c r="F3343" s="211" t="str">
        <f>IFERROR(__xludf.DUMMYFUNCTION("""COMPUTED_VALUE"""),"ef306e54")</f>
        <v>ef306e54</v>
      </c>
      <c r="G3343" s="211" t="str">
        <f>IFERROR(__xludf.DUMMYFUNCTION("""COMPUTED_VALUE"""),"Karbondioksida")</f>
        <v>Karbondioksida</v>
      </c>
      <c r="H3343" s="211" t="str">
        <f>IFERROR(__xludf.DUMMYFUNCTION("""COMPUTED_VALUE"""),"OUT")</f>
        <v>OUT</v>
      </c>
      <c r="I3343" s="211" t="str">
        <f>IFERROR(__xludf.DUMMYFUNCTION("""COMPUTED_VALUE"""),"NORMAL")</f>
        <v>NORMAL</v>
      </c>
      <c r="J3343" s="211">
        <f>IFERROR(__xludf.DUMMYFUNCTION("""COMPUTED_VALUE"""),1.0)</f>
        <v>1</v>
      </c>
      <c r="K3343" s="210" t="str">
        <f>IFERROR(__xludf.DUMMYFUNCTION("""COMPUTED_VALUE"""),"13042")</f>
        <v>13042</v>
      </c>
      <c r="L3343" s="211">
        <f>IFERROR(__xludf.DUMMYFUNCTION("""COMPUTED_VALUE"""),190000.0)</f>
        <v>190000</v>
      </c>
      <c r="M3343" s="211"/>
      <c r="N3343" s="211"/>
      <c r="O3343" s="211" t="b">
        <f>IFERROR(__xludf.DUMMYFUNCTION("""COMPUTED_VALUE"""),FALSE)</f>
        <v>0</v>
      </c>
    </row>
    <row r="3344">
      <c r="A3344" s="210" t="str">
        <f>IFERROR(__xludf.DUMMYFUNCTION("""COMPUTED_VALUE"""),"012622330")</f>
        <v>012622330</v>
      </c>
      <c r="B3344" s="210" t="str">
        <f>IFERROR(__xludf.DUMMYFUNCTION("""COMPUTED_VALUE"""),"012622330")</f>
        <v>012622330</v>
      </c>
      <c r="C3344" s="213">
        <f>IFERROR(__xludf.DUMMYFUNCTION("""COMPUTED_VALUE"""),46044.39665509259)</f>
        <v>46044.39666</v>
      </c>
      <c r="D3344" s="211" t="str">
        <f>IFERROR(__xludf.DUMMYFUNCTION("""COMPUTED_VALUE"""),"98c84274")</f>
        <v>98c84274</v>
      </c>
      <c r="E3344" s="211" t="str">
        <f>IFERROR(__xludf.DUMMYFUNCTION("""COMPUTED_VALUE"""),"Bengkel SBM (Pak Hari)")</f>
        <v>Bengkel SBM (Pak Hari)</v>
      </c>
      <c r="F3344" s="211" t="str">
        <f>IFERROR(__xludf.DUMMYFUNCTION("""COMPUTED_VALUE"""),"adc2bd7c")</f>
        <v>adc2bd7c</v>
      </c>
      <c r="G3344" s="211" t="str">
        <f>IFERROR(__xludf.DUMMYFUNCTION("""COMPUTED_VALUE"""),"LPG 12kg (Tbg + Isi)")</f>
        <v>LPG 12kg (Tbg + Isi)</v>
      </c>
      <c r="H3344" s="211" t="str">
        <f>IFERROR(__xludf.DUMMYFUNCTION("""COMPUTED_VALUE"""),"OUT")</f>
        <v>OUT</v>
      </c>
      <c r="I3344" s="211" t="str">
        <f>IFERROR(__xludf.DUMMYFUNCTION("""COMPUTED_VALUE"""),"NORMAL")</f>
        <v>NORMAL</v>
      </c>
      <c r="J3344" s="211">
        <f>IFERROR(__xludf.DUMMYFUNCTION("""COMPUTED_VALUE"""),2.0)</f>
        <v>2</v>
      </c>
      <c r="K3344" s="211"/>
      <c r="L3344" s="211">
        <f>IFERROR(__xludf.DUMMYFUNCTION("""COMPUTED_VALUE"""),550000.0)</f>
        <v>550000</v>
      </c>
      <c r="M3344" s="211"/>
      <c r="N3344" s="211"/>
      <c r="O3344" s="211" t="b">
        <f>IFERROR(__xludf.DUMMYFUNCTION("""COMPUTED_VALUE"""),FALSE)</f>
        <v>0</v>
      </c>
    </row>
    <row r="3345">
      <c r="A3345" s="210" t="str">
        <f>IFERROR(__xludf.DUMMYFUNCTION("""COMPUTED_VALUE"""),"012632331")</f>
        <v>012632331</v>
      </c>
      <c r="B3345" s="210" t="str">
        <f>IFERROR(__xludf.DUMMYFUNCTION("""COMPUTED_VALUE"""),"012632331")</f>
        <v>012632331</v>
      </c>
      <c r="C3345" s="213">
        <f>IFERROR(__xludf.DUMMYFUNCTION("""COMPUTED_VALUE"""),46044.43340277778)</f>
        <v>46044.4334</v>
      </c>
      <c r="D3345" s="211" t="str">
        <f>IFERROR(__xludf.DUMMYFUNCTION("""COMPUTED_VALUE"""),"d46989c9")</f>
        <v>d46989c9</v>
      </c>
      <c r="E3345" s="211" t="str">
        <f>IFERROR(__xludf.DUMMYFUNCTION("""COMPUTED_VALUE"""),"UD. Alin Jaya")</f>
        <v>UD. Alin Jaya</v>
      </c>
      <c r="F3345" s="211" t="str">
        <f>IFERROR(__xludf.DUMMYFUNCTION("""COMPUTED_VALUE"""),"7d2764f1")</f>
        <v>7d2764f1</v>
      </c>
      <c r="G3345" s="211" t="str">
        <f>IFERROR(__xludf.DUMMYFUNCTION("""COMPUTED_VALUE"""),"Oksigen 7m3")</f>
        <v>Oksigen 7m3</v>
      </c>
      <c r="H3345" s="211" t="str">
        <f>IFERROR(__xludf.DUMMYFUNCTION("""COMPUTED_VALUE"""),"OUT")</f>
        <v>OUT</v>
      </c>
      <c r="I3345" s="211" t="str">
        <f>IFERROR(__xludf.DUMMYFUNCTION("""COMPUTED_VALUE"""),"NORMAL")</f>
        <v>NORMAL</v>
      </c>
      <c r="J3345" s="211">
        <f>IFERROR(__xludf.DUMMYFUNCTION("""COMPUTED_VALUE"""),1.0)</f>
        <v>1</v>
      </c>
      <c r="K3345" s="210" t="str">
        <f>IFERROR(__xludf.DUMMYFUNCTION("""COMPUTED_VALUE"""),"11330")</f>
        <v>11330</v>
      </c>
      <c r="L3345" s="211">
        <f>IFERROR(__xludf.DUMMYFUNCTION("""COMPUTED_VALUE"""),65000.0)</f>
        <v>65000</v>
      </c>
      <c r="M3345" s="211"/>
      <c r="N3345" s="211"/>
      <c r="O3345" s="211" t="b">
        <f>IFERROR(__xludf.DUMMYFUNCTION("""COMPUTED_VALUE"""),FALSE)</f>
        <v>0</v>
      </c>
    </row>
    <row r="3346">
      <c r="A3346" s="210" t="str">
        <f>IFERROR(__xludf.DUMMYFUNCTION("""COMPUTED_VALUE"""),"0126752332")</f>
        <v>0126752332</v>
      </c>
      <c r="B3346" s="210" t="str">
        <f>IFERROR(__xludf.DUMMYFUNCTION("""COMPUTED_VALUE"""),"0126752332")</f>
        <v>0126752332</v>
      </c>
      <c r="C3346" s="213">
        <f>IFERROR(__xludf.DUMMYFUNCTION("""COMPUTED_VALUE"""),46044.433703703704)</f>
        <v>46044.4337</v>
      </c>
      <c r="D3346" s="211" t="str">
        <f>IFERROR(__xludf.DUMMYFUNCTION("""COMPUTED_VALUE"""),"e86baf3b")</f>
        <v>e86baf3b</v>
      </c>
      <c r="E3346" s="211" t="str">
        <f>IFERROR(__xludf.DUMMYFUNCTION("""COMPUTED_VALUE"""),"PT GEMILANG CIPTA WAWASAN")</f>
        <v>PT GEMILANG CIPTA WAWASAN</v>
      </c>
      <c r="F3346" s="211" t="str">
        <f>IFERROR(__xludf.DUMMYFUNCTION("""COMPUTED_VALUE"""),"7d2764f1")</f>
        <v>7d2764f1</v>
      </c>
      <c r="G3346" s="211" t="str">
        <f>IFERROR(__xludf.DUMMYFUNCTION("""COMPUTED_VALUE"""),"Oksigen 7m3")</f>
        <v>Oksigen 7m3</v>
      </c>
      <c r="H3346" s="211" t="str">
        <f>IFERROR(__xludf.DUMMYFUNCTION("""COMPUTED_VALUE"""),"OUT")</f>
        <v>OUT</v>
      </c>
      <c r="I3346" s="211" t="str">
        <f>IFERROR(__xludf.DUMMYFUNCTION("""COMPUTED_VALUE"""),"NORMAL")</f>
        <v>NORMAL</v>
      </c>
      <c r="J3346" s="211">
        <f>IFERROR(__xludf.DUMMYFUNCTION("""COMPUTED_VALUE"""),3.0)</f>
        <v>3</v>
      </c>
      <c r="K3346" s="210" t="str">
        <f>IFERROR(__xludf.DUMMYFUNCTION("""COMPUTED_VALUE"""),"11154 11152 11164")</f>
        <v>11154 11152 11164</v>
      </c>
      <c r="L3346" s="211">
        <f>IFERROR(__xludf.DUMMYFUNCTION("""COMPUTED_VALUE"""),60000.0)</f>
        <v>60000</v>
      </c>
      <c r="M3346" s="211"/>
      <c r="N3346" s="211"/>
      <c r="O3346" s="211" t="b">
        <f>IFERROR(__xludf.DUMMYFUNCTION("""COMPUTED_VALUE"""),FALSE)</f>
        <v>0</v>
      </c>
    </row>
    <row r="3347">
      <c r="A3347" s="210" t="str">
        <f>IFERROR(__xludf.DUMMYFUNCTION("""COMPUTED_VALUE"""),"0126752332")</f>
        <v>0126752332</v>
      </c>
      <c r="B3347" s="210" t="str">
        <f>IFERROR(__xludf.DUMMYFUNCTION("""COMPUTED_VALUE"""),"0126752332")</f>
        <v>0126752332</v>
      </c>
      <c r="C3347" s="213">
        <f>IFERROR(__xludf.DUMMYFUNCTION("""COMPUTED_VALUE"""),46044.433703703704)</f>
        <v>46044.4337</v>
      </c>
      <c r="D3347" s="211" t="str">
        <f>IFERROR(__xludf.DUMMYFUNCTION("""COMPUTED_VALUE"""),"e86baf3b")</f>
        <v>e86baf3b</v>
      </c>
      <c r="E3347" s="211" t="str">
        <f>IFERROR(__xludf.DUMMYFUNCTION("""COMPUTED_VALUE"""),"PT GEMILANG CIPTA WAWASAN")</f>
        <v>PT GEMILANG CIPTA WAWASAN</v>
      </c>
      <c r="F3347" s="211" t="str">
        <f>IFERROR(__xludf.DUMMYFUNCTION("""COMPUTED_VALUE"""),"8bdbe149")</f>
        <v>8bdbe149</v>
      </c>
      <c r="G3347" s="211" t="str">
        <f>IFERROR(__xludf.DUMMYFUNCTION("""COMPUTED_VALUE"""),"Oksigen 6m3")</f>
        <v>Oksigen 6m3</v>
      </c>
      <c r="H3347" s="211" t="str">
        <f>IFERROR(__xludf.DUMMYFUNCTION("""COMPUTED_VALUE"""),"OUT")</f>
        <v>OUT</v>
      </c>
      <c r="I3347" s="211" t="str">
        <f>IFERROR(__xludf.DUMMYFUNCTION("""COMPUTED_VALUE"""),"NORMAL")</f>
        <v>NORMAL</v>
      </c>
      <c r="J3347" s="211">
        <f>IFERROR(__xludf.DUMMYFUNCTION("""COMPUTED_VALUE"""),7.0)</f>
        <v>7</v>
      </c>
      <c r="K3347" s="210" t="str">
        <f>IFERROR(__xludf.DUMMYFUNCTION("""COMPUTED_VALUE"""),"11295 11341 11253 11197 11251 1132 11257")</f>
        <v>11295 11341 11253 11197 11251 1132 11257</v>
      </c>
      <c r="L3347" s="211">
        <f>IFERROR(__xludf.DUMMYFUNCTION("""COMPUTED_VALUE"""),60000.0)</f>
        <v>60000</v>
      </c>
      <c r="M3347" s="211"/>
      <c r="N3347" s="211"/>
      <c r="O3347" s="211" t="b">
        <f>IFERROR(__xludf.DUMMYFUNCTION("""COMPUTED_VALUE"""),FALSE)</f>
        <v>0</v>
      </c>
    </row>
    <row r="3348">
      <c r="A3348" s="210" t="str">
        <f>IFERROR(__xludf.DUMMYFUNCTION("""COMPUTED_VALUE"""),"0126752332")</f>
        <v>0126752332</v>
      </c>
      <c r="B3348" s="210" t="str">
        <f>IFERROR(__xludf.DUMMYFUNCTION("""COMPUTED_VALUE"""),"0126752332")</f>
        <v>0126752332</v>
      </c>
      <c r="C3348" s="213">
        <f>IFERROR(__xludf.DUMMYFUNCTION("""COMPUTED_VALUE"""),46044.433703703704)</f>
        <v>46044.4337</v>
      </c>
      <c r="D3348" s="211" t="str">
        <f>IFERROR(__xludf.DUMMYFUNCTION("""COMPUTED_VALUE"""),"e86baf3b")</f>
        <v>e86baf3b</v>
      </c>
      <c r="E3348" s="211" t="str">
        <f>IFERROR(__xludf.DUMMYFUNCTION("""COMPUTED_VALUE"""),"PT GEMILANG CIPTA WAWASAN")</f>
        <v>PT GEMILANG CIPTA WAWASAN</v>
      </c>
      <c r="F3348" s="211" t="str">
        <f>IFERROR(__xludf.DUMMYFUNCTION("""COMPUTED_VALUE"""),"be525f3b")</f>
        <v>be525f3b</v>
      </c>
      <c r="G3348" s="211" t="str">
        <f>IFERROR(__xludf.DUMMYFUNCTION("""COMPUTED_VALUE"""),"LPG 12kg")</f>
        <v>LPG 12kg</v>
      </c>
      <c r="H3348" s="211" t="str">
        <f>IFERROR(__xludf.DUMMYFUNCTION("""COMPUTED_VALUE"""),"OUT")</f>
        <v>OUT</v>
      </c>
      <c r="I3348" s="211" t="str">
        <f>IFERROR(__xludf.DUMMYFUNCTION("""COMPUTED_VALUE"""),"NORMAL")</f>
        <v>NORMAL</v>
      </c>
      <c r="J3348" s="211">
        <f>IFERROR(__xludf.DUMMYFUNCTION("""COMPUTED_VALUE"""),5.0)</f>
        <v>5</v>
      </c>
      <c r="K3348" s="210" t="str">
        <f>IFERROR(__xludf.DUMMYFUNCTION("""COMPUTED_VALUE"""),"L001 L002 L003 L004 L007")</f>
        <v>L001 L002 L003 L004 L007</v>
      </c>
      <c r="L3348" s="211">
        <f>IFERROR(__xludf.DUMMYFUNCTION("""COMPUTED_VALUE"""),210000.0)</f>
        <v>210000</v>
      </c>
      <c r="M3348" s="211"/>
      <c r="N3348" s="211"/>
      <c r="O3348" s="211" t="b">
        <f>IFERROR(__xludf.DUMMYFUNCTION("""COMPUTED_VALUE"""),FALSE)</f>
        <v>0</v>
      </c>
    </row>
    <row r="3349">
      <c r="A3349" s="210" t="str">
        <f>IFERROR(__xludf.DUMMYFUNCTION("""COMPUTED_VALUE"""),"0126752333")</f>
        <v>0126752333</v>
      </c>
      <c r="B3349" s="210" t="str">
        <f>IFERROR(__xludf.DUMMYFUNCTION("""COMPUTED_VALUE"""),"0126752333")</f>
        <v>0126752333</v>
      </c>
      <c r="C3349" s="213">
        <f>IFERROR(__xludf.DUMMYFUNCTION("""COMPUTED_VALUE"""),46044.44074074074)</f>
        <v>46044.44074</v>
      </c>
      <c r="D3349" s="211" t="str">
        <f>IFERROR(__xludf.DUMMYFUNCTION("""COMPUTED_VALUE"""),"b2b5f2c5")</f>
        <v>b2b5f2c5</v>
      </c>
      <c r="E3349" s="211" t="str">
        <f>IFERROR(__xludf.DUMMYFUNCTION("""COMPUTED_VALUE"""),"Bengkel Las Bpk. Ari")</f>
        <v>Bengkel Las Bpk. Ari</v>
      </c>
      <c r="F3349" s="211" t="str">
        <f>IFERROR(__xludf.DUMMYFUNCTION("""COMPUTED_VALUE"""),"ef306e54")</f>
        <v>ef306e54</v>
      </c>
      <c r="G3349" s="211" t="str">
        <f>IFERROR(__xludf.DUMMYFUNCTION("""COMPUTED_VALUE"""),"Karbondioksida")</f>
        <v>Karbondioksida</v>
      </c>
      <c r="H3349" s="211" t="str">
        <f>IFERROR(__xludf.DUMMYFUNCTION("""COMPUTED_VALUE"""),"OUT")</f>
        <v>OUT</v>
      </c>
      <c r="I3349" s="211" t="str">
        <f>IFERROR(__xludf.DUMMYFUNCTION("""COMPUTED_VALUE"""),"NORMAL")</f>
        <v>NORMAL</v>
      </c>
      <c r="J3349" s="211">
        <f>IFERROR(__xludf.DUMMYFUNCTION("""COMPUTED_VALUE"""),2.0)</f>
        <v>2</v>
      </c>
      <c r="K3349" s="210" t="str">
        <f>IFERROR(__xludf.DUMMYFUNCTION("""COMPUTED_VALUE"""),"13064 13065")</f>
        <v>13064 13065</v>
      </c>
      <c r="L3349" s="211">
        <f>IFERROR(__xludf.DUMMYFUNCTION("""COMPUTED_VALUE"""),180000.0)</f>
        <v>180000</v>
      </c>
      <c r="M3349" s="211"/>
      <c r="N3349" s="211"/>
      <c r="O3349" s="211" t="b">
        <f>IFERROR(__xludf.DUMMYFUNCTION("""COMPUTED_VALUE"""),FALSE)</f>
        <v>0</v>
      </c>
    </row>
    <row r="3350">
      <c r="A3350" s="210" t="str">
        <f>IFERROR(__xludf.DUMMYFUNCTION("""COMPUTED_VALUE"""),"0126752333")</f>
        <v>0126752333</v>
      </c>
      <c r="B3350" s="210" t="str">
        <f>IFERROR(__xludf.DUMMYFUNCTION("""COMPUTED_VALUE"""),"0126752333")</f>
        <v>0126752333</v>
      </c>
      <c r="C3350" s="213">
        <f>IFERROR(__xludf.DUMMYFUNCTION("""COMPUTED_VALUE"""),46044.44074074074)</f>
        <v>46044.44074</v>
      </c>
      <c r="D3350" s="211" t="str">
        <f>IFERROR(__xludf.DUMMYFUNCTION("""COMPUTED_VALUE"""),"b2b5f2c5")</f>
        <v>b2b5f2c5</v>
      </c>
      <c r="E3350" s="211" t="str">
        <f>IFERROR(__xludf.DUMMYFUNCTION("""COMPUTED_VALUE"""),"Bengkel Las Bpk. Ari")</f>
        <v>Bengkel Las Bpk. Ari</v>
      </c>
      <c r="F3350" s="211" t="str">
        <f>IFERROR(__xludf.DUMMYFUNCTION("""COMPUTED_VALUE"""),"7d2764f1")</f>
        <v>7d2764f1</v>
      </c>
      <c r="G3350" s="211" t="str">
        <f>IFERROR(__xludf.DUMMYFUNCTION("""COMPUTED_VALUE"""),"Oksigen 7m3")</f>
        <v>Oksigen 7m3</v>
      </c>
      <c r="H3350" s="211" t="str">
        <f>IFERROR(__xludf.DUMMYFUNCTION("""COMPUTED_VALUE"""),"OUT")</f>
        <v>OUT</v>
      </c>
      <c r="I3350" s="211" t="str">
        <f>IFERROR(__xludf.DUMMYFUNCTION("""COMPUTED_VALUE"""),"NORMAL")</f>
        <v>NORMAL</v>
      </c>
      <c r="J3350" s="211">
        <f>IFERROR(__xludf.DUMMYFUNCTION("""COMPUTED_VALUE"""),6.0)</f>
        <v>6</v>
      </c>
      <c r="K3350" s="210" t="str">
        <f>IFERROR(__xludf.DUMMYFUNCTION("""COMPUTED_VALUE"""),"11161 11171 11137 11160 11162 741")</f>
        <v>11161 11171 11137 11160 11162 741</v>
      </c>
      <c r="L3350" s="211">
        <f>IFERROR(__xludf.DUMMYFUNCTION("""COMPUTED_VALUE"""),60000.0)</f>
        <v>60000</v>
      </c>
      <c r="M3350" s="211"/>
      <c r="N3350" s="211"/>
      <c r="O3350" s="211" t="b">
        <f>IFERROR(__xludf.DUMMYFUNCTION("""COMPUTED_VALUE"""),FALSE)</f>
        <v>0</v>
      </c>
    </row>
    <row r="3351">
      <c r="A3351" s="210" t="str">
        <f>IFERROR(__xludf.DUMMYFUNCTION("""COMPUTED_VALUE"""),"1261133")</f>
        <v>1261133</v>
      </c>
      <c r="B3351" s="210" t="str">
        <f>IFERROR(__xludf.DUMMYFUNCTION("""COMPUTED_VALUE"""),"1261133")</f>
        <v>1261133</v>
      </c>
      <c r="C3351" s="213">
        <f>IFERROR(__xludf.DUMMYFUNCTION("""COMPUTED_VALUE"""),46044.58099537037)</f>
        <v>46044.581</v>
      </c>
      <c r="D3351" s="211" t="str">
        <f>IFERROR(__xludf.DUMMYFUNCTION("""COMPUTED_VALUE"""),"a0f0ad2d")</f>
        <v>a0f0ad2d</v>
      </c>
      <c r="E3351" s="211" t="str">
        <f>IFERROR(__xludf.DUMMYFUNCTION("""COMPUTED_VALUE"""),"CV. Yulie Jaya")</f>
        <v>CV. Yulie Jaya</v>
      </c>
      <c r="F3351" s="211" t="str">
        <f>IFERROR(__xludf.DUMMYFUNCTION("""COMPUTED_VALUE"""),"7d2764f1")</f>
        <v>7d2764f1</v>
      </c>
      <c r="G3351" s="211" t="str">
        <f>IFERROR(__xludf.DUMMYFUNCTION("""COMPUTED_VALUE"""),"Oksigen 7m3")</f>
        <v>Oksigen 7m3</v>
      </c>
      <c r="H3351" s="211" t="str">
        <f>IFERROR(__xludf.DUMMYFUNCTION("""COMPUTED_VALUE"""),"IN")</f>
        <v>IN</v>
      </c>
      <c r="I3351" s="211" t="str">
        <f>IFERROR(__xludf.DUMMYFUNCTION("""COMPUTED_VALUE"""),"EMPTY")</f>
        <v>EMPTY</v>
      </c>
      <c r="J3351" s="211">
        <f>IFERROR(__xludf.DUMMYFUNCTION("""COMPUTED_VALUE"""),4.0)</f>
        <v>4</v>
      </c>
      <c r="K3351" s="210" t="str">
        <f>IFERROR(__xludf.DUMMYFUNCTION("""COMPUTED_VALUE"""),"11147 11173 11174 11150")</f>
        <v>11147 11173 11174 11150</v>
      </c>
      <c r="L3351" s="211">
        <f>IFERROR(__xludf.DUMMYFUNCTION("""COMPUTED_VALUE"""),0.0)</f>
        <v>0</v>
      </c>
      <c r="M3351" s="211"/>
      <c r="N3351" s="211"/>
      <c r="O3351" s="211" t="b">
        <f>IFERROR(__xludf.DUMMYFUNCTION("""COMPUTED_VALUE"""),FALSE)</f>
        <v>0</v>
      </c>
    </row>
    <row r="3352">
      <c r="A3352" s="210" t="str">
        <f>IFERROR(__xludf.DUMMYFUNCTION("""COMPUTED_VALUE"""),"1261135")</f>
        <v>1261135</v>
      </c>
      <c r="B3352" s="210" t="str">
        <f>IFERROR(__xludf.DUMMYFUNCTION("""COMPUTED_VALUE"""),"1261135")</f>
        <v>1261135</v>
      </c>
      <c r="C3352" s="213">
        <f>IFERROR(__xludf.DUMMYFUNCTION("""COMPUTED_VALUE"""),46044.58162037037)</f>
        <v>46044.58162</v>
      </c>
      <c r="D3352" s="211" t="str">
        <f>IFERROR(__xludf.DUMMYFUNCTION("""COMPUTED_VALUE"""),"b2b5f2c5")</f>
        <v>b2b5f2c5</v>
      </c>
      <c r="E3352" s="211" t="str">
        <f>IFERROR(__xludf.DUMMYFUNCTION("""COMPUTED_VALUE"""),"Bengkel Las Bpk. Ari")</f>
        <v>Bengkel Las Bpk. Ari</v>
      </c>
      <c r="F3352" s="211" t="str">
        <f>IFERROR(__xludf.DUMMYFUNCTION("""COMPUTED_VALUE"""),"8bdbe149")</f>
        <v>8bdbe149</v>
      </c>
      <c r="G3352" s="211" t="str">
        <f>IFERROR(__xludf.DUMMYFUNCTION("""COMPUTED_VALUE"""),"Oksigen 6m3")</f>
        <v>Oksigen 6m3</v>
      </c>
      <c r="H3352" s="211" t="str">
        <f>IFERROR(__xludf.DUMMYFUNCTION("""COMPUTED_VALUE"""),"IN")</f>
        <v>IN</v>
      </c>
      <c r="I3352" s="211" t="str">
        <f>IFERROR(__xludf.DUMMYFUNCTION("""COMPUTED_VALUE"""),"EMPTY")</f>
        <v>EMPTY</v>
      </c>
      <c r="J3352" s="211">
        <f>IFERROR(__xludf.DUMMYFUNCTION("""COMPUTED_VALUE"""),4.0)</f>
        <v>4</v>
      </c>
      <c r="K3352" s="210" t="str">
        <f>IFERROR(__xludf.DUMMYFUNCTION("""COMPUTED_VALUE"""),"1163 1195 11255 1170")</f>
        <v>1163 1195 11255 1170</v>
      </c>
      <c r="L3352" s="211">
        <f>IFERROR(__xludf.DUMMYFUNCTION("""COMPUTED_VALUE"""),0.0)</f>
        <v>0</v>
      </c>
      <c r="M3352" s="211"/>
      <c r="N3352" s="211"/>
      <c r="O3352" s="211" t="b">
        <f>IFERROR(__xludf.DUMMYFUNCTION("""COMPUTED_VALUE"""),FALSE)</f>
        <v>0</v>
      </c>
    </row>
    <row r="3353">
      <c r="A3353" s="210" t="str">
        <f>IFERROR(__xludf.DUMMYFUNCTION("""COMPUTED_VALUE"""),"1261134")</f>
        <v>1261134</v>
      </c>
      <c r="B3353" s="210" t="str">
        <f>IFERROR(__xludf.DUMMYFUNCTION("""COMPUTED_VALUE"""),"1261134")</f>
        <v>1261134</v>
      </c>
      <c r="C3353" s="213">
        <f>IFERROR(__xludf.DUMMYFUNCTION("""COMPUTED_VALUE"""),46044.58211805556)</f>
        <v>46044.58212</v>
      </c>
      <c r="D3353" s="211" t="str">
        <f>IFERROR(__xludf.DUMMYFUNCTION("""COMPUTED_VALUE"""),"9828dfc5")</f>
        <v>9828dfc5</v>
      </c>
      <c r="E3353" s="211" t="str">
        <f>IFERROR(__xludf.DUMMYFUNCTION("""COMPUTED_VALUE"""),"Bpk. David")</f>
        <v>Bpk. David</v>
      </c>
      <c r="F3353" s="211" t="str">
        <f>IFERROR(__xludf.DUMMYFUNCTION("""COMPUTED_VALUE"""),"8bdbe149")</f>
        <v>8bdbe149</v>
      </c>
      <c r="G3353" s="211" t="str">
        <f>IFERROR(__xludf.DUMMYFUNCTION("""COMPUTED_VALUE"""),"Oksigen 6m3")</f>
        <v>Oksigen 6m3</v>
      </c>
      <c r="H3353" s="211" t="str">
        <f>IFERROR(__xludf.DUMMYFUNCTION("""COMPUTED_VALUE"""),"IN")</f>
        <v>IN</v>
      </c>
      <c r="I3353" s="211" t="str">
        <f>IFERROR(__xludf.DUMMYFUNCTION("""COMPUTED_VALUE"""),"EMPTY")</f>
        <v>EMPTY</v>
      </c>
      <c r="J3353" s="211">
        <f>IFERROR(__xludf.DUMMYFUNCTION("""COMPUTED_VALUE"""),3.0)</f>
        <v>3</v>
      </c>
      <c r="K3353" s="210" t="str">
        <f>IFERROR(__xludf.DUMMYFUNCTION("""COMPUTED_VALUE"""),"11290 1141 11316")</f>
        <v>11290 1141 11316</v>
      </c>
      <c r="L3353" s="211">
        <f>IFERROR(__xludf.DUMMYFUNCTION("""COMPUTED_VALUE"""),0.0)</f>
        <v>0</v>
      </c>
      <c r="M3353" s="211"/>
      <c r="N3353" s="211"/>
      <c r="O3353" s="211" t="b">
        <f>IFERROR(__xludf.DUMMYFUNCTION("""COMPUTED_VALUE"""),FALSE)</f>
        <v>0</v>
      </c>
    </row>
    <row r="3354">
      <c r="A3354" s="210" t="str">
        <f>IFERROR(__xludf.DUMMYFUNCTION("""COMPUTED_VALUE"""),"0126162334")</f>
        <v>0126162334</v>
      </c>
      <c r="B3354" s="210" t="str">
        <f>IFERROR(__xludf.DUMMYFUNCTION("""COMPUTED_VALUE"""),"0126162334")</f>
        <v>0126162334</v>
      </c>
      <c r="C3354" s="213">
        <f>IFERROR(__xludf.DUMMYFUNCTION("""COMPUTED_VALUE"""),46044.61096064815)</f>
        <v>46044.61096</v>
      </c>
      <c r="D3354" s="211" t="str">
        <f>IFERROR(__xludf.DUMMYFUNCTION("""COMPUTED_VALUE"""),"63fc688a")</f>
        <v>63fc688a</v>
      </c>
      <c r="E3354" s="211" t="str">
        <f>IFERROR(__xludf.DUMMYFUNCTION("""COMPUTED_VALUE"""),"CV Malik Nusantara")</f>
        <v>CV Malik Nusantara</v>
      </c>
      <c r="F3354" s="211" t="str">
        <f>IFERROR(__xludf.DUMMYFUNCTION("""COMPUTED_VALUE"""),"ef306e54")</f>
        <v>ef306e54</v>
      </c>
      <c r="G3354" s="211" t="str">
        <f>IFERROR(__xludf.DUMMYFUNCTION("""COMPUTED_VALUE"""),"Karbondioksida")</f>
        <v>Karbondioksida</v>
      </c>
      <c r="H3354" s="211" t="str">
        <f>IFERROR(__xludf.DUMMYFUNCTION("""COMPUTED_VALUE"""),"OUT")</f>
        <v>OUT</v>
      </c>
      <c r="I3354" s="211" t="str">
        <f>IFERROR(__xludf.DUMMYFUNCTION("""COMPUTED_VALUE"""),"NORMAL")</f>
        <v>NORMAL</v>
      </c>
      <c r="J3354" s="211">
        <f>IFERROR(__xludf.DUMMYFUNCTION("""COMPUTED_VALUE"""),2.0)</f>
        <v>2</v>
      </c>
      <c r="K3354" s="210" t="str">
        <f>IFERROR(__xludf.DUMMYFUNCTION("""COMPUTED_VALUE"""),"13035 13017")</f>
        <v>13035 13017</v>
      </c>
      <c r="L3354" s="211">
        <f>IFERROR(__xludf.DUMMYFUNCTION("""COMPUTED_VALUE"""),190000.0)</f>
        <v>190000</v>
      </c>
      <c r="M3354" s="211"/>
      <c r="N3354" s="211"/>
      <c r="O3354" s="211" t="b">
        <f>IFERROR(__xludf.DUMMYFUNCTION("""COMPUTED_VALUE"""),FALSE)</f>
        <v>0</v>
      </c>
    </row>
    <row r="3355">
      <c r="A3355" s="210" t="str">
        <f>IFERROR(__xludf.DUMMYFUNCTION("""COMPUTED_VALUE"""),"0126162334")</f>
        <v>0126162334</v>
      </c>
      <c r="B3355" s="210" t="str">
        <f>IFERROR(__xludf.DUMMYFUNCTION("""COMPUTED_VALUE"""),"0126162334")</f>
        <v>0126162334</v>
      </c>
      <c r="C3355" s="213">
        <f>IFERROR(__xludf.DUMMYFUNCTION("""COMPUTED_VALUE"""),46044.61096064815)</f>
        <v>46044.61096</v>
      </c>
      <c r="D3355" s="211" t="str">
        <f>IFERROR(__xludf.DUMMYFUNCTION("""COMPUTED_VALUE"""),"63fc688a")</f>
        <v>63fc688a</v>
      </c>
      <c r="E3355" s="211" t="str">
        <f>IFERROR(__xludf.DUMMYFUNCTION("""COMPUTED_VALUE"""),"CV Malik Nusantara")</f>
        <v>CV Malik Nusantara</v>
      </c>
      <c r="F3355" s="211" t="str">
        <f>IFERROR(__xludf.DUMMYFUNCTION("""COMPUTED_VALUE"""),"8bdbe149")</f>
        <v>8bdbe149</v>
      </c>
      <c r="G3355" s="211" t="str">
        <f>IFERROR(__xludf.DUMMYFUNCTION("""COMPUTED_VALUE"""),"Oksigen 6m3")</f>
        <v>Oksigen 6m3</v>
      </c>
      <c r="H3355" s="211" t="str">
        <f>IFERROR(__xludf.DUMMYFUNCTION("""COMPUTED_VALUE"""),"OUT")</f>
        <v>OUT</v>
      </c>
      <c r="I3355" s="211" t="str">
        <f>IFERROR(__xludf.DUMMYFUNCTION("""COMPUTED_VALUE"""),"NORMAL")</f>
        <v>NORMAL</v>
      </c>
      <c r="J3355" s="211">
        <f>IFERROR(__xludf.DUMMYFUNCTION("""COMPUTED_VALUE"""),2.0)</f>
        <v>2</v>
      </c>
      <c r="K3355" s="210" t="str">
        <f>IFERROR(__xludf.DUMMYFUNCTION("""COMPUTED_VALUE"""),"11240 1115")</f>
        <v>11240 1115</v>
      </c>
      <c r="L3355" s="211">
        <f>IFERROR(__xludf.DUMMYFUNCTION("""COMPUTED_VALUE"""),65000.0)</f>
        <v>65000</v>
      </c>
      <c r="M3355" s="211"/>
      <c r="N3355" s="211"/>
      <c r="O3355" s="211" t="b">
        <f>IFERROR(__xludf.DUMMYFUNCTION("""COMPUTED_VALUE"""),FALSE)</f>
        <v>0</v>
      </c>
    </row>
    <row r="3356">
      <c r="A3356" s="210" t="str">
        <f>IFERROR(__xludf.DUMMYFUNCTION("""COMPUTED_VALUE"""),"0126162334")</f>
        <v>0126162334</v>
      </c>
      <c r="B3356" s="210" t="str">
        <f>IFERROR(__xludf.DUMMYFUNCTION("""COMPUTED_VALUE"""),"0126162334")</f>
        <v>0126162334</v>
      </c>
      <c r="C3356" s="213">
        <f>IFERROR(__xludf.DUMMYFUNCTION("""COMPUTED_VALUE"""),46044.61096064815)</f>
        <v>46044.61096</v>
      </c>
      <c r="D3356" s="211" t="str">
        <f>IFERROR(__xludf.DUMMYFUNCTION("""COMPUTED_VALUE"""),"63fc688a")</f>
        <v>63fc688a</v>
      </c>
      <c r="E3356" s="211" t="str">
        <f>IFERROR(__xludf.DUMMYFUNCTION("""COMPUTED_VALUE"""),"CV Malik Nusantara")</f>
        <v>CV Malik Nusantara</v>
      </c>
      <c r="F3356" s="211" t="str">
        <f>IFERROR(__xludf.DUMMYFUNCTION("""COMPUTED_VALUE"""),"be525f3b")</f>
        <v>be525f3b</v>
      </c>
      <c r="G3356" s="211" t="str">
        <f>IFERROR(__xludf.DUMMYFUNCTION("""COMPUTED_VALUE"""),"LPG 12kg")</f>
        <v>LPG 12kg</v>
      </c>
      <c r="H3356" s="211" t="str">
        <f>IFERROR(__xludf.DUMMYFUNCTION("""COMPUTED_VALUE"""),"OUT")</f>
        <v>OUT</v>
      </c>
      <c r="I3356" s="211" t="str">
        <f>IFERROR(__xludf.DUMMYFUNCTION("""COMPUTED_VALUE"""),"NORMAL")</f>
        <v>NORMAL</v>
      </c>
      <c r="J3356" s="211">
        <f>IFERROR(__xludf.DUMMYFUNCTION("""COMPUTED_VALUE"""),2.0)</f>
        <v>2</v>
      </c>
      <c r="K3356" s="210" t="str">
        <f>IFERROR(__xludf.DUMMYFUNCTION("""COMPUTED_VALUE"""),"L008 L0010")</f>
        <v>L008 L0010</v>
      </c>
      <c r="L3356" s="211">
        <f>IFERROR(__xludf.DUMMYFUNCTION("""COMPUTED_VALUE"""),200000.0)</f>
        <v>200000</v>
      </c>
      <c r="M3356" s="211"/>
      <c r="N3356" s="211"/>
      <c r="O3356" s="211" t="b">
        <f>IFERROR(__xludf.DUMMYFUNCTION("""COMPUTED_VALUE"""),FALSE)</f>
        <v>0</v>
      </c>
    </row>
    <row r="3357">
      <c r="A3357" s="210" t="str">
        <f>IFERROR(__xludf.DUMMYFUNCTION("""COMPUTED_VALUE"""),"1261124")</f>
        <v>1261124</v>
      </c>
      <c r="B3357" s="210" t="str">
        <f>IFERROR(__xludf.DUMMYFUNCTION("""COMPUTED_VALUE"""),"1261124")</f>
        <v>1261124</v>
      </c>
      <c r="C3357" s="213">
        <f>IFERROR(__xludf.DUMMYFUNCTION("""COMPUTED_VALUE"""),46044.619988425926)</f>
        <v>46044.61999</v>
      </c>
      <c r="D3357" s="211" t="str">
        <f>IFERROR(__xludf.DUMMYFUNCTION("""COMPUTED_VALUE"""),"d46989c9")</f>
        <v>d46989c9</v>
      </c>
      <c r="E3357" s="211" t="str">
        <f>IFERROR(__xludf.DUMMYFUNCTION("""COMPUTED_VALUE"""),"UD. Alin Jaya")</f>
        <v>UD. Alin Jaya</v>
      </c>
      <c r="F3357" s="211" t="str">
        <f>IFERROR(__xludf.DUMMYFUNCTION("""COMPUTED_VALUE"""),"8bdbe149")</f>
        <v>8bdbe149</v>
      </c>
      <c r="G3357" s="211" t="str">
        <f>IFERROR(__xludf.DUMMYFUNCTION("""COMPUTED_VALUE"""),"Oksigen 6m3")</f>
        <v>Oksigen 6m3</v>
      </c>
      <c r="H3357" s="211" t="str">
        <f>IFERROR(__xludf.DUMMYFUNCTION("""COMPUTED_VALUE"""),"IN")</f>
        <v>IN</v>
      </c>
      <c r="I3357" s="211" t="str">
        <f>IFERROR(__xludf.DUMMYFUNCTION("""COMPUTED_VALUE"""),"EMPTY")</f>
        <v>EMPTY</v>
      </c>
      <c r="J3357" s="211">
        <f>IFERROR(__xludf.DUMMYFUNCTION("""COMPUTED_VALUE"""),1.0)</f>
        <v>1</v>
      </c>
      <c r="K3357" s="210" t="str">
        <f>IFERROR(__xludf.DUMMYFUNCTION("""COMPUTED_VALUE"""),"11288")</f>
        <v>11288</v>
      </c>
      <c r="L3357" s="211">
        <f>IFERROR(__xludf.DUMMYFUNCTION("""COMPUTED_VALUE"""),0.0)</f>
        <v>0</v>
      </c>
      <c r="M3357" s="211"/>
      <c r="N3357" s="211"/>
      <c r="O3357" s="211" t="b">
        <f>IFERROR(__xludf.DUMMYFUNCTION("""COMPUTED_VALUE"""),FALSE)</f>
        <v>0</v>
      </c>
    </row>
    <row r="3358">
      <c r="A3358" s="210" t="str">
        <f>IFERROR(__xludf.DUMMYFUNCTION("""COMPUTED_VALUE"""),"1261125")</f>
        <v>1261125</v>
      </c>
      <c r="B3358" s="210" t="str">
        <f>IFERROR(__xludf.DUMMYFUNCTION("""COMPUTED_VALUE"""),"1261125")</f>
        <v>1261125</v>
      </c>
      <c r="C3358" s="213">
        <f>IFERROR(__xludf.DUMMYFUNCTION("""COMPUTED_VALUE"""),46044.62055555556)</f>
        <v>46044.62056</v>
      </c>
      <c r="D3358" s="211" t="str">
        <f>IFERROR(__xludf.DUMMYFUNCTION("""COMPUTED_VALUE"""),"01158be1")</f>
        <v>01158be1</v>
      </c>
      <c r="E3358" s="211" t="str">
        <f>IFERROR(__xludf.DUMMYFUNCTION("""COMPUTED_VALUE"""),"GYF")</f>
        <v>GYF</v>
      </c>
      <c r="F3358" s="211" t="str">
        <f>IFERROR(__xludf.DUMMYFUNCTION("""COMPUTED_VALUE"""),"8bdbe149")</f>
        <v>8bdbe149</v>
      </c>
      <c r="G3358" s="211" t="str">
        <f>IFERROR(__xludf.DUMMYFUNCTION("""COMPUTED_VALUE"""),"Oksigen 6m3")</f>
        <v>Oksigen 6m3</v>
      </c>
      <c r="H3358" s="211" t="str">
        <f>IFERROR(__xludf.DUMMYFUNCTION("""COMPUTED_VALUE"""),"IN")</f>
        <v>IN</v>
      </c>
      <c r="I3358" s="211" t="str">
        <f>IFERROR(__xludf.DUMMYFUNCTION("""COMPUTED_VALUE"""),"EMPTY")</f>
        <v>EMPTY</v>
      </c>
      <c r="J3358" s="211">
        <f>IFERROR(__xludf.DUMMYFUNCTION("""COMPUTED_VALUE"""),1.0)</f>
        <v>1</v>
      </c>
      <c r="K3358" s="210" t="str">
        <f>IFERROR(__xludf.DUMMYFUNCTION("""COMPUTED_VALUE"""),"11200")</f>
        <v>11200</v>
      </c>
      <c r="L3358" s="211">
        <f>IFERROR(__xludf.DUMMYFUNCTION("""COMPUTED_VALUE"""),0.0)</f>
        <v>0</v>
      </c>
      <c r="M3358" s="211"/>
      <c r="N3358" s="211"/>
      <c r="O3358" s="211" t="b">
        <f>IFERROR(__xludf.DUMMYFUNCTION("""COMPUTED_VALUE"""),FALSE)</f>
        <v>0</v>
      </c>
    </row>
    <row r="3359">
      <c r="A3359" s="210" t="str">
        <f>IFERROR(__xludf.DUMMYFUNCTION("""COMPUTED_VALUE"""),"1261136")</f>
        <v>1261136</v>
      </c>
      <c r="B3359" s="210" t="str">
        <f>IFERROR(__xludf.DUMMYFUNCTION("""COMPUTED_VALUE"""),"1261136")</f>
        <v>1261136</v>
      </c>
      <c r="C3359" s="213">
        <f>IFERROR(__xludf.DUMMYFUNCTION("""COMPUTED_VALUE"""),46044.64876157408)</f>
        <v>46044.64876</v>
      </c>
      <c r="D3359" s="211" t="str">
        <f>IFERROR(__xludf.DUMMYFUNCTION("""COMPUTED_VALUE"""),"63fc688a")</f>
        <v>63fc688a</v>
      </c>
      <c r="E3359" s="211" t="str">
        <f>IFERROR(__xludf.DUMMYFUNCTION("""COMPUTED_VALUE"""),"CV Malik Nusantara")</f>
        <v>CV Malik Nusantara</v>
      </c>
      <c r="F3359" s="211" t="str">
        <f>IFERROR(__xludf.DUMMYFUNCTION("""COMPUTED_VALUE"""),"ef306e54")</f>
        <v>ef306e54</v>
      </c>
      <c r="G3359" s="211" t="str">
        <f>IFERROR(__xludf.DUMMYFUNCTION("""COMPUTED_VALUE"""),"Karbondioksida")</f>
        <v>Karbondioksida</v>
      </c>
      <c r="H3359" s="211" t="str">
        <f>IFERROR(__xludf.DUMMYFUNCTION("""COMPUTED_VALUE"""),"IN")</f>
        <v>IN</v>
      </c>
      <c r="I3359" s="211" t="str">
        <f>IFERROR(__xludf.DUMMYFUNCTION("""COMPUTED_VALUE"""),"EMPTY")</f>
        <v>EMPTY</v>
      </c>
      <c r="J3359" s="211">
        <f>IFERROR(__xludf.DUMMYFUNCTION("""COMPUTED_VALUE"""),2.0)</f>
        <v>2</v>
      </c>
      <c r="K3359" s="210" t="str">
        <f>IFERROR(__xludf.DUMMYFUNCTION("""COMPUTED_VALUE"""),"13048 13050")</f>
        <v>13048 13050</v>
      </c>
      <c r="L3359" s="211">
        <f>IFERROR(__xludf.DUMMYFUNCTION("""COMPUTED_VALUE"""),0.0)</f>
        <v>0</v>
      </c>
      <c r="M3359" s="211"/>
      <c r="N3359" s="211"/>
      <c r="O3359" s="211" t="b">
        <f>IFERROR(__xludf.DUMMYFUNCTION("""COMPUTED_VALUE"""),FALSE)</f>
        <v>0</v>
      </c>
    </row>
    <row r="3360">
      <c r="A3360" s="210" t="str">
        <f>IFERROR(__xludf.DUMMYFUNCTION("""COMPUTED_VALUE"""),"1261136")</f>
        <v>1261136</v>
      </c>
      <c r="B3360" s="210" t="str">
        <f>IFERROR(__xludf.DUMMYFUNCTION("""COMPUTED_VALUE"""),"1261136")</f>
        <v>1261136</v>
      </c>
      <c r="C3360" s="213">
        <f>IFERROR(__xludf.DUMMYFUNCTION("""COMPUTED_VALUE"""),46044.64876157408)</f>
        <v>46044.64876</v>
      </c>
      <c r="D3360" s="211" t="str">
        <f>IFERROR(__xludf.DUMMYFUNCTION("""COMPUTED_VALUE"""),"63fc688a")</f>
        <v>63fc688a</v>
      </c>
      <c r="E3360" s="211" t="str">
        <f>IFERROR(__xludf.DUMMYFUNCTION("""COMPUTED_VALUE"""),"CV Malik Nusantara")</f>
        <v>CV Malik Nusantara</v>
      </c>
      <c r="F3360" s="211" t="str">
        <f>IFERROR(__xludf.DUMMYFUNCTION("""COMPUTED_VALUE"""),"8bdbe149")</f>
        <v>8bdbe149</v>
      </c>
      <c r="G3360" s="211" t="str">
        <f>IFERROR(__xludf.DUMMYFUNCTION("""COMPUTED_VALUE"""),"Oksigen 6m3")</f>
        <v>Oksigen 6m3</v>
      </c>
      <c r="H3360" s="211" t="str">
        <f>IFERROR(__xludf.DUMMYFUNCTION("""COMPUTED_VALUE"""),"IN")</f>
        <v>IN</v>
      </c>
      <c r="I3360" s="211" t="str">
        <f>IFERROR(__xludf.DUMMYFUNCTION("""COMPUTED_VALUE"""),"EMPTY")</f>
        <v>EMPTY</v>
      </c>
      <c r="J3360" s="211">
        <f>IFERROR(__xludf.DUMMYFUNCTION("""COMPUTED_VALUE"""),3.0)</f>
        <v>3</v>
      </c>
      <c r="K3360" s="210" t="str">
        <f>IFERROR(__xludf.DUMMYFUNCTION("""COMPUTED_VALUE"""),"1199 11281 1186")</f>
        <v>1199 11281 1186</v>
      </c>
      <c r="L3360" s="211">
        <f>IFERROR(__xludf.DUMMYFUNCTION("""COMPUTED_VALUE"""),0.0)</f>
        <v>0</v>
      </c>
      <c r="M3360" s="211"/>
      <c r="N3360" s="211"/>
      <c r="O3360" s="211" t="b">
        <f>IFERROR(__xludf.DUMMYFUNCTION("""COMPUTED_VALUE"""),FALSE)</f>
        <v>0</v>
      </c>
    </row>
    <row r="3361">
      <c r="A3361" s="210" t="str">
        <f>IFERROR(__xludf.DUMMYFUNCTION("""COMPUTED_VALUE"""),"1261136")</f>
        <v>1261136</v>
      </c>
      <c r="B3361" s="210" t="str">
        <f>IFERROR(__xludf.DUMMYFUNCTION("""COMPUTED_VALUE"""),"1261136")</f>
        <v>1261136</v>
      </c>
      <c r="C3361" s="213">
        <f>IFERROR(__xludf.DUMMYFUNCTION("""COMPUTED_VALUE"""),46044.64876157408)</f>
        <v>46044.64876</v>
      </c>
      <c r="D3361" s="211" t="str">
        <f>IFERROR(__xludf.DUMMYFUNCTION("""COMPUTED_VALUE"""),"63fc688a")</f>
        <v>63fc688a</v>
      </c>
      <c r="E3361" s="211" t="str">
        <f>IFERROR(__xludf.DUMMYFUNCTION("""COMPUTED_VALUE"""),"CV Malik Nusantara")</f>
        <v>CV Malik Nusantara</v>
      </c>
      <c r="F3361" s="211" t="str">
        <f>IFERROR(__xludf.DUMMYFUNCTION("""COMPUTED_VALUE"""),"be525f3b")</f>
        <v>be525f3b</v>
      </c>
      <c r="G3361" s="211" t="str">
        <f>IFERROR(__xludf.DUMMYFUNCTION("""COMPUTED_VALUE"""),"LPG 12kg")</f>
        <v>LPG 12kg</v>
      </c>
      <c r="H3361" s="211" t="str">
        <f>IFERROR(__xludf.DUMMYFUNCTION("""COMPUTED_VALUE"""),"IN")</f>
        <v>IN</v>
      </c>
      <c r="I3361" s="211" t="str">
        <f>IFERROR(__xludf.DUMMYFUNCTION("""COMPUTED_VALUE"""),"EMPTY")</f>
        <v>EMPTY</v>
      </c>
      <c r="J3361" s="211">
        <f>IFERROR(__xludf.DUMMYFUNCTION("""COMPUTED_VALUE"""),4.0)</f>
        <v>4</v>
      </c>
      <c r="K3361" s="210" t="str">
        <f>IFERROR(__xludf.DUMMYFUNCTION("""COMPUTED_VALUE"""),"L0010 L008 L006 L005")</f>
        <v>L0010 L008 L006 L005</v>
      </c>
      <c r="L3361" s="211">
        <f>IFERROR(__xludf.DUMMYFUNCTION("""COMPUTED_VALUE"""),0.0)</f>
        <v>0</v>
      </c>
      <c r="M3361" s="211"/>
      <c r="N3361" s="211"/>
      <c r="O3361" s="211" t="b">
        <f>IFERROR(__xludf.DUMMYFUNCTION("""COMPUTED_VALUE"""),FALSE)</f>
        <v>0</v>
      </c>
    </row>
    <row r="3362">
      <c r="A3362" s="210" t="str">
        <f>IFERROR(__xludf.DUMMYFUNCTION("""COMPUTED_VALUE"""),"0126392338")</f>
        <v>0126392338</v>
      </c>
      <c r="B3362" s="210" t="str">
        <f>IFERROR(__xludf.DUMMYFUNCTION("""COMPUTED_VALUE"""),"0126392338")</f>
        <v>0126392338</v>
      </c>
      <c r="C3362" s="213">
        <f>IFERROR(__xludf.DUMMYFUNCTION("""COMPUTED_VALUE"""),46045.378912037035)</f>
        <v>46045.37891</v>
      </c>
      <c r="D3362" s="211" t="str">
        <f>IFERROR(__xludf.DUMMYFUNCTION("""COMPUTED_VALUE"""),"ec231cc9")</f>
        <v>ec231cc9</v>
      </c>
      <c r="E3362" s="211" t="str">
        <f>IFERROR(__xludf.DUMMYFUNCTION("""COMPUTED_VALUE"""),"Bpk. Kohir (Maintenance Velg)")</f>
        <v>Bpk. Kohir (Maintenance Velg)</v>
      </c>
      <c r="F3362" s="211" t="str">
        <f>IFERROR(__xludf.DUMMYFUNCTION("""COMPUTED_VALUE"""),"8bdbe149")</f>
        <v>8bdbe149</v>
      </c>
      <c r="G3362" s="211" t="str">
        <f>IFERROR(__xludf.DUMMYFUNCTION("""COMPUTED_VALUE"""),"Oksigen 6m3")</f>
        <v>Oksigen 6m3</v>
      </c>
      <c r="H3362" s="211" t="str">
        <f>IFERROR(__xludf.DUMMYFUNCTION("""COMPUTED_VALUE"""),"OUT")</f>
        <v>OUT</v>
      </c>
      <c r="I3362" s="211" t="str">
        <f>IFERROR(__xludf.DUMMYFUNCTION("""COMPUTED_VALUE"""),"NORMAL")</f>
        <v>NORMAL</v>
      </c>
      <c r="J3362" s="211">
        <f>IFERROR(__xludf.DUMMYFUNCTION("""COMPUTED_VALUE"""),2.0)</f>
        <v>2</v>
      </c>
      <c r="K3362" s="210" t="str">
        <f>IFERROR(__xludf.DUMMYFUNCTION("""COMPUTED_VALUE"""),"11310 11288")</f>
        <v>11310 11288</v>
      </c>
      <c r="L3362" s="211">
        <f>IFERROR(__xludf.DUMMYFUNCTION("""COMPUTED_VALUE"""),55000.0)</f>
        <v>55000</v>
      </c>
      <c r="M3362" s="211"/>
      <c r="N3362" s="211"/>
      <c r="O3362" s="211" t="b">
        <f>IFERROR(__xludf.DUMMYFUNCTION("""COMPUTED_VALUE"""),FALSE)</f>
        <v>0</v>
      </c>
    </row>
    <row r="3363">
      <c r="A3363" s="210" t="str">
        <f>IFERROR(__xludf.DUMMYFUNCTION("""COMPUTED_VALUE"""),"0126392338")</f>
        <v>0126392338</v>
      </c>
      <c r="B3363" s="210" t="str">
        <f>IFERROR(__xludf.DUMMYFUNCTION("""COMPUTED_VALUE"""),"0126392338")</f>
        <v>0126392338</v>
      </c>
      <c r="C3363" s="213">
        <f>IFERROR(__xludf.DUMMYFUNCTION("""COMPUTED_VALUE"""),46045.378912037035)</f>
        <v>46045.37891</v>
      </c>
      <c r="D3363" s="211" t="str">
        <f>IFERROR(__xludf.DUMMYFUNCTION("""COMPUTED_VALUE"""),"ec231cc9")</f>
        <v>ec231cc9</v>
      </c>
      <c r="E3363" s="211" t="str">
        <f>IFERROR(__xludf.DUMMYFUNCTION("""COMPUTED_VALUE"""),"Bpk. Kohir (Maintenance Velg)")</f>
        <v>Bpk. Kohir (Maintenance Velg)</v>
      </c>
      <c r="F3363" s="211" t="str">
        <f>IFERROR(__xludf.DUMMYFUNCTION("""COMPUTED_VALUE"""),"ef306e54")</f>
        <v>ef306e54</v>
      </c>
      <c r="G3363" s="211" t="str">
        <f>IFERROR(__xludf.DUMMYFUNCTION("""COMPUTED_VALUE"""),"Karbondioksida")</f>
        <v>Karbondioksida</v>
      </c>
      <c r="H3363" s="211" t="str">
        <f>IFERROR(__xludf.DUMMYFUNCTION("""COMPUTED_VALUE"""),"OUT")</f>
        <v>OUT</v>
      </c>
      <c r="I3363" s="211" t="str">
        <f>IFERROR(__xludf.DUMMYFUNCTION("""COMPUTED_VALUE"""),"NORMAL")</f>
        <v>NORMAL</v>
      </c>
      <c r="J3363" s="211">
        <f>IFERROR(__xludf.DUMMYFUNCTION("""COMPUTED_VALUE"""),1.0)</f>
        <v>1</v>
      </c>
      <c r="K3363" s="210" t="str">
        <f>IFERROR(__xludf.DUMMYFUNCTION("""COMPUTED_VALUE"""),"13029")</f>
        <v>13029</v>
      </c>
      <c r="L3363" s="211">
        <f>IFERROR(__xludf.DUMMYFUNCTION("""COMPUTED_VALUE"""),175000.0)</f>
        <v>175000</v>
      </c>
      <c r="M3363" s="211"/>
      <c r="N3363" s="211"/>
      <c r="O3363" s="211" t="b">
        <f>IFERROR(__xludf.DUMMYFUNCTION("""COMPUTED_VALUE"""),FALSE)</f>
        <v>0</v>
      </c>
    </row>
    <row r="3364">
      <c r="A3364" s="210" t="str">
        <f>IFERROR(__xludf.DUMMYFUNCTION("""COMPUTED_VALUE"""),"1261127")</f>
        <v>1261127</v>
      </c>
      <c r="B3364" s="210" t="str">
        <f>IFERROR(__xludf.DUMMYFUNCTION("""COMPUTED_VALUE"""),"1261127")</f>
        <v>1261127</v>
      </c>
      <c r="C3364" s="213">
        <f>IFERROR(__xludf.DUMMYFUNCTION("""COMPUTED_VALUE"""),46045.47346064815)</f>
        <v>46045.47346</v>
      </c>
      <c r="D3364" s="211" t="str">
        <f>IFERROR(__xludf.DUMMYFUNCTION("""COMPUTED_VALUE"""),"ec231cc9")</f>
        <v>ec231cc9</v>
      </c>
      <c r="E3364" s="211" t="str">
        <f>IFERROR(__xludf.DUMMYFUNCTION("""COMPUTED_VALUE"""),"Bpk. Kohir (Maintenance Velg)")</f>
        <v>Bpk. Kohir (Maintenance Velg)</v>
      </c>
      <c r="F3364" s="211" t="str">
        <f>IFERROR(__xludf.DUMMYFUNCTION("""COMPUTED_VALUE"""),"8bdbe149")</f>
        <v>8bdbe149</v>
      </c>
      <c r="G3364" s="211" t="str">
        <f>IFERROR(__xludf.DUMMYFUNCTION("""COMPUTED_VALUE"""),"Oksigen 6m3")</f>
        <v>Oksigen 6m3</v>
      </c>
      <c r="H3364" s="211" t="str">
        <f>IFERROR(__xludf.DUMMYFUNCTION("""COMPUTED_VALUE"""),"IN")</f>
        <v>IN</v>
      </c>
      <c r="I3364" s="211" t="str">
        <f>IFERROR(__xludf.DUMMYFUNCTION("""COMPUTED_VALUE"""),"EMPTY")</f>
        <v>EMPTY</v>
      </c>
      <c r="J3364" s="211">
        <f>IFERROR(__xludf.DUMMYFUNCTION("""COMPUTED_VALUE"""),2.0)</f>
        <v>2</v>
      </c>
      <c r="K3364" s="210" t="str">
        <f>IFERROR(__xludf.DUMMYFUNCTION("""COMPUTED_VALUE"""),"11340 11343")</f>
        <v>11340 11343</v>
      </c>
      <c r="L3364" s="211">
        <f>IFERROR(__xludf.DUMMYFUNCTION("""COMPUTED_VALUE"""),0.0)</f>
        <v>0</v>
      </c>
      <c r="M3364" s="211"/>
      <c r="N3364" s="211"/>
      <c r="O3364" s="211" t="b">
        <f>IFERROR(__xludf.DUMMYFUNCTION("""COMPUTED_VALUE"""),FALSE)</f>
        <v>0</v>
      </c>
    </row>
    <row r="3365">
      <c r="A3365" s="210" t="str">
        <f>IFERROR(__xludf.DUMMYFUNCTION("""COMPUTED_VALUE"""),"0126102342")</f>
        <v>0126102342</v>
      </c>
      <c r="B3365" s="210" t="str">
        <f>IFERROR(__xludf.DUMMYFUNCTION("""COMPUTED_VALUE"""),"0126102342")</f>
        <v>0126102342</v>
      </c>
      <c r="C3365" s="213">
        <f>IFERROR(__xludf.DUMMYFUNCTION("""COMPUTED_VALUE"""),46045.55484953704)</f>
        <v>46045.55485</v>
      </c>
      <c r="D3365" s="211" t="str">
        <f>IFERROR(__xludf.DUMMYFUNCTION("""COMPUTED_VALUE"""),"9b941888")</f>
        <v>9b941888</v>
      </c>
      <c r="E3365" s="211" t="str">
        <f>IFERROR(__xludf.DUMMYFUNCTION("""COMPUTED_VALUE"""),"Mas Devi ( Parengan )")</f>
        <v>Mas Devi ( Parengan )</v>
      </c>
      <c r="F3365" s="211" t="str">
        <f>IFERROR(__xludf.DUMMYFUNCTION("""COMPUTED_VALUE"""),"7d2764f1")</f>
        <v>7d2764f1</v>
      </c>
      <c r="G3365" s="211" t="str">
        <f>IFERROR(__xludf.DUMMYFUNCTION("""COMPUTED_VALUE"""),"Oksigen 7m3")</f>
        <v>Oksigen 7m3</v>
      </c>
      <c r="H3365" s="211" t="str">
        <f>IFERROR(__xludf.DUMMYFUNCTION("""COMPUTED_VALUE"""),"OUT")</f>
        <v>OUT</v>
      </c>
      <c r="I3365" s="211" t="str">
        <f>IFERROR(__xludf.DUMMYFUNCTION("""COMPUTED_VALUE"""),"NORMAL")</f>
        <v>NORMAL</v>
      </c>
      <c r="J3365" s="211">
        <f>IFERROR(__xludf.DUMMYFUNCTION("""COMPUTED_VALUE"""),4.0)</f>
        <v>4</v>
      </c>
      <c r="K3365" s="210" t="str">
        <f>IFERROR(__xludf.DUMMYFUNCTION("""COMPUTED_VALUE"""),"11150 11173 11174 11147")</f>
        <v>11150 11173 11174 11147</v>
      </c>
      <c r="L3365" s="211">
        <f>IFERROR(__xludf.DUMMYFUNCTION("""COMPUTED_VALUE"""),80000.0)</f>
        <v>80000</v>
      </c>
      <c r="M3365" s="211"/>
      <c r="N3365" s="211"/>
      <c r="O3365" s="211" t="b">
        <f>IFERROR(__xludf.DUMMYFUNCTION("""COMPUTED_VALUE"""),FALSE)</f>
        <v>0</v>
      </c>
    </row>
    <row r="3366">
      <c r="A3366" s="210" t="str">
        <f>IFERROR(__xludf.DUMMYFUNCTION("""COMPUTED_VALUE"""),"1261126")</f>
        <v>1261126</v>
      </c>
      <c r="B3366" s="210" t="str">
        <f>IFERROR(__xludf.DUMMYFUNCTION("""COMPUTED_VALUE"""),"1261126")</f>
        <v>1261126</v>
      </c>
      <c r="C3366" s="213">
        <f>IFERROR(__xludf.DUMMYFUNCTION("""COMPUTED_VALUE"""),46045.55994212963)</f>
        <v>46045.55994</v>
      </c>
      <c r="D3366" s="211" t="str">
        <f>IFERROR(__xludf.DUMMYFUNCTION("""COMPUTED_VALUE"""),"b2b5f2c5")</f>
        <v>b2b5f2c5</v>
      </c>
      <c r="E3366" s="211" t="str">
        <f>IFERROR(__xludf.DUMMYFUNCTION("""COMPUTED_VALUE"""),"Bengkel Las Bpk. Ari")</f>
        <v>Bengkel Las Bpk. Ari</v>
      </c>
      <c r="F3366" s="211" t="str">
        <f>IFERROR(__xludf.DUMMYFUNCTION("""COMPUTED_VALUE"""),"8bdbe149")</f>
        <v>8bdbe149</v>
      </c>
      <c r="G3366" s="211" t="str">
        <f>IFERROR(__xludf.DUMMYFUNCTION("""COMPUTED_VALUE"""),"Oksigen 6m3")</f>
        <v>Oksigen 6m3</v>
      </c>
      <c r="H3366" s="211" t="str">
        <f>IFERROR(__xludf.DUMMYFUNCTION("""COMPUTED_VALUE"""),"IN")</f>
        <v>IN</v>
      </c>
      <c r="I3366" s="211" t="str">
        <f>IFERROR(__xludf.DUMMYFUNCTION("""COMPUTED_VALUE"""),"EMPTY")</f>
        <v>EMPTY</v>
      </c>
      <c r="J3366" s="211">
        <f>IFERROR(__xludf.DUMMYFUNCTION("""COMPUTED_VALUE"""),1.0)</f>
        <v>1</v>
      </c>
      <c r="K3366" s="210" t="str">
        <f>IFERROR(__xludf.DUMMYFUNCTION("""COMPUTED_VALUE"""),"11180")</f>
        <v>11180</v>
      </c>
      <c r="L3366" s="211">
        <f>IFERROR(__xludf.DUMMYFUNCTION("""COMPUTED_VALUE"""),0.0)</f>
        <v>0</v>
      </c>
      <c r="M3366" s="211"/>
      <c r="N3366" s="211"/>
      <c r="O3366" s="211" t="b">
        <f>IFERROR(__xludf.DUMMYFUNCTION("""COMPUTED_VALUE"""),FALSE)</f>
        <v>0</v>
      </c>
    </row>
    <row r="3367">
      <c r="A3367" s="210" t="str">
        <f>IFERROR(__xludf.DUMMYFUNCTION("""COMPUTED_VALUE"""),"1261126")</f>
        <v>1261126</v>
      </c>
      <c r="B3367" s="210" t="str">
        <f>IFERROR(__xludf.DUMMYFUNCTION("""COMPUTED_VALUE"""),"1261126")</f>
        <v>1261126</v>
      </c>
      <c r="C3367" s="213">
        <f>IFERROR(__xludf.DUMMYFUNCTION("""COMPUTED_VALUE"""),46045.55994212963)</f>
        <v>46045.55994</v>
      </c>
      <c r="D3367" s="211" t="str">
        <f>IFERROR(__xludf.DUMMYFUNCTION("""COMPUTED_VALUE"""),"b2b5f2c5")</f>
        <v>b2b5f2c5</v>
      </c>
      <c r="E3367" s="211" t="str">
        <f>IFERROR(__xludf.DUMMYFUNCTION("""COMPUTED_VALUE"""),"Bengkel Las Bpk. Ari")</f>
        <v>Bengkel Las Bpk. Ari</v>
      </c>
      <c r="F3367" s="211" t="str">
        <f>IFERROR(__xludf.DUMMYFUNCTION("""COMPUTED_VALUE"""),"ef306e54")</f>
        <v>ef306e54</v>
      </c>
      <c r="G3367" s="211" t="str">
        <f>IFERROR(__xludf.DUMMYFUNCTION("""COMPUTED_VALUE"""),"Karbondioksida")</f>
        <v>Karbondioksida</v>
      </c>
      <c r="H3367" s="211" t="str">
        <f>IFERROR(__xludf.DUMMYFUNCTION("""COMPUTED_VALUE"""),"IN")</f>
        <v>IN</v>
      </c>
      <c r="I3367" s="211" t="str">
        <f>IFERROR(__xludf.DUMMYFUNCTION("""COMPUTED_VALUE"""),"EMPTY")</f>
        <v>EMPTY</v>
      </c>
      <c r="J3367" s="211">
        <f>IFERROR(__xludf.DUMMYFUNCTION("""COMPUTED_VALUE"""),2.0)</f>
        <v>2</v>
      </c>
      <c r="K3367" s="210" t="str">
        <f>IFERROR(__xludf.DUMMYFUNCTION("""COMPUTED_VALUE"""),"13010 13049")</f>
        <v>13010 13049</v>
      </c>
      <c r="L3367" s="211">
        <f>IFERROR(__xludf.DUMMYFUNCTION("""COMPUTED_VALUE"""),0.0)</f>
        <v>0</v>
      </c>
      <c r="M3367" s="211"/>
      <c r="N3367" s="211"/>
      <c r="O3367" s="211" t="b">
        <f>IFERROR(__xludf.DUMMYFUNCTION("""COMPUTED_VALUE"""),FALSE)</f>
        <v>0</v>
      </c>
    </row>
    <row r="3368">
      <c r="A3368" s="210" t="str">
        <f>IFERROR(__xludf.DUMMYFUNCTION("""COMPUTED_VALUE"""),"1261128")</f>
        <v>1261128</v>
      </c>
      <c r="B3368" s="210" t="str">
        <f>IFERROR(__xludf.DUMMYFUNCTION("""COMPUTED_VALUE"""),"1261128")</f>
        <v>1261128</v>
      </c>
      <c r="C3368" s="213">
        <f>IFERROR(__xludf.DUMMYFUNCTION("""COMPUTED_VALUE"""),46045.59480324074)</f>
        <v>46045.5948</v>
      </c>
      <c r="D3368" s="211" t="str">
        <f>IFERROR(__xludf.DUMMYFUNCTION("""COMPUTED_VALUE"""),"9b941888")</f>
        <v>9b941888</v>
      </c>
      <c r="E3368" s="211" t="str">
        <f>IFERROR(__xludf.DUMMYFUNCTION("""COMPUTED_VALUE"""),"Mas Devi ( Parengan )")</f>
        <v>Mas Devi ( Parengan )</v>
      </c>
      <c r="F3368" s="211" t="str">
        <f>IFERROR(__xludf.DUMMYFUNCTION("""COMPUTED_VALUE"""),"7d2764f1")</f>
        <v>7d2764f1</v>
      </c>
      <c r="G3368" s="211" t="str">
        <f>IFERROR(__xludf.DUMMYFUNCTION("""COMPUTED_VALUE"""),"Oksigen 7m3")</f>
        <v>Oksigen 7m3</v>
      </c>
      <c r="H3368" s="211" t="str">
        <f>IFERROR(__xludf.DUMMYFUNCTION("""COMPUTED_VALUE"""),"IN")</f>
        <v>IN</v>
      </c>
      <c r="I3368" s="211" t="str">
        <f>IFERROR(__xludf.DUMMYFUNCTION("""COMPUTED_VALUE"""),"EMPTY")</f>
        <v>EMPTY</v>
      </c>
      <c r="J3368" s="211">
        <f>IFERROR(__xludf.DUMMYFUNCTION("""COMPUTED_VALUE"""),2.0)</f>
        <v>2</v>
      </c>
      <c r="K3368" s="210" t="str">
        <f>IFERROR(__xludf.DUMMYFUNCTION("""COMPUTED_VALUE"""),"11146 76")</f>
        <v>11146 76</v>
      </c>
      <c r="L3368" s="211">
        <f>IFERROR(__xludf.DUMMYFUNCTION("""COMPUTED_VALUE"""),0.0)</f>
        <v>0</v>
      </c>
      <c r="M3368" s="211"/>
      <c r="N3368" s="211"/>
      <c r="O3368" s="211" t="b">
        <f>IFERROR(__xludf.DUMMYFUNCTION("""COMPUTED_VALUE"""),FALSE)</f>
        <v>0</v>
      </c>
    </row>
    <row r="3369">
      <c r="A3369" s="210" t="str">
        <f>IFERROR(__xludf.DUMMYFUNCTION("""COMPUTED_VALUE"""),"0126152344")</f>
        <v>0126152344</v>
      </c>
      <c r="B3369" s="210" t="str">
        <f>IFERROR(__xludf.DUMMYFUNCTION("""COMPUTED_VALUE"""),"0126152344")</f>
        <v>0126152344</v>
      </c>
      <c r="C3369" s="213">
        <f>IFERROR(__xludf.DUMMYFUNCTION("""COMPUTED_VALUE"""),46046.362291666665)</f>
        <v>46046.36229</v>
      </c>
      <c r="D3369" s="211" t="str">
        <f>IFERROR(__xludf.DUMMYFUNCTION("""COMPUTED_VALUE"""),"a0f0ad2d")</f>
        <v>a0f0ad2d</v>
      </c>
      <c r="E3369" s="211" t="str">
        <f>IFERROR(__xludf.DUMMYFUNCTION("""COMPUTED_VALUE"""),"CV. Yulie Jaya")</f>
        <v>CV. Yulie Jaya</v>
      </c>
      <c r="F3369" s="211" t="str">
        <f>IFERROR(__xludf.DUMMYFUNCTION("""COMPUTED_VALUE"""),"8bdbe149")</f>
        <v>8bdbe149</v>
      </c>
      <c r="G3369" s="211" t="str">
        <f>IFERROR(__xludf.DUMMYFUNCTION("""COMPUTED_VALUE"""),"Oksigen 6m3")</f>
        <v>Oksigen 6m3</v>
      </c>
      <c r="H3369" s="211" t="str">
        <f>IFERROR(__xludf.DUMMYFUNCTION("""COMPUTED_VALUE"""),"OUT")</f>
        <v>OUT</v>
      </c>
      <c r="I3369" s="211" t="str">
        <f>IFERROR(__xludf.DUMMYFUNCTION("""COMPUTED_VALUE"""),"NORMAL")</f>
        <v>NORMAL</v>
      </c>
      <c r="J3369" s="211">
        <f>IFERROR(__xludf.DUMMYFUNCTION("""COMPUTED_VALUE"""),10.0)</f>
        <v>10</v>
      </c>
      <c r="K3369" s="210" t="str">
        <f>IFERROR(__xludf.DUMMYFUNCTION("""COMPUTED_VALUE"""),"11255 11290 1129 1170 1195 1141 1110 11200 11316 1163")</f>
        <v>11255 11290 1129 1170 1195 1141 1110 11200 11316 1163</v>
      </c>
      <c r="L3369" s="211">
        <f>IFERROR(__xludf.DUMMYFUNCTION("""COMPUTED_VALUE"""),60000.0)</f>
        <v>60000</v>
      </c>
      <c r="M3369" s="211"/>
      <c r="N3369" s="211"/>
      <c r="O3369" s="211" t="b">
        <f>IFERROR(__xludf.DUMMYFUNCTION("""COMPUTED_VALUE"""),FALSE)</f>
        <v>0</v>
      </c>
    </row>
    <row r="3370">
      <c r="A3370" s="210" t="str">
        <f>IFERROR(__xludf.DUMMYFUNCTION("""COMPUTED_VALUE"""),"0126762347")</f>
        <v>0126762347</v>
      </c>
      <c r="B3370" s="210" t="str">
        <f>IFERROR(__xludf.DUMMYFUNCTION("""COMPUTED_VALUE"""),"0126762347")</f>
        <v>0126762347</v>
      </c>
      <c r="C3370" s="213">
        <f>IFERROR(__xludf.DUMMYFUNCTION("""COMPUTED_VALUE"""),46046.37181712963)</f>
        <v>46046.37182</v>
      </c>
      <c r="D3370" s="211" t="str">
        <f>IFERROR(__xludf.DUMMYFUNCTION("""COMPUTED_VALUE"""),"b2b5f2c5")</f>
        <v>b2b5f2c5</v>
      </c>
      <c r="E3370" s="211" t="str">
        <f>IFERROR(__xludf.DUMMYFUNCTION("""COMPUTED_VALUE"""),"Bengkel Las Bpk. Ari")</f>
        <v>Bengkel Las Bpk. Ari</v>
      </c>
      <c r="F3370" s="211" t="str">
        <f>IFERROR(__xludf.DUMMYFUNCTION("""COMPUTED_VALUE"""),"7d2764f1")</f>
        <v>7d2764f1</v>
      </c>
      <c r="G3370" s="211" t="str">
        <f>IFERROR(__xludf.DUMMYFUNCTION("""COMPUTED_VALUE"""),"Oksigen 7m3")</f>
        <v>Oksigen 7m3</v>
      </c>
      <c r="H3370" s="211" t="str">
        <f>IFERROR(__xludf.DUMMYFUNCTION("""COMPUTED_VALUE"""),"OUT")</f>
        <v>OUT</v>
      </c>
      <c r="I3370" s="211" t="str">
        <f>IFERROR(__xludf.DUMMYFUNCTION("""COMPUTED_VALUE"""),"NORMAL")</f>
        <v>NORMAL</v>
      </c>
      <c r="J3370" s="211">
        <f>IFERROR(__xludf.DUMMYFUNCTION("""COMPUTED_VALUE"""),5.0)</f>
        <v>5</v>
      </c>
      <c r="K3370" s="210" t="str">
        <f>IFERROR(__xludf.DUMMYFUNCTION("""COMPUTED_VALUE"""),"11302 11222 11220 11307 11218")</f>
        <v>11302 11222 11220 11307 11218</v>
      </c>
      <c r="L3370" s="211">
        <f>IFERROR(__xludf.DUMMYFUNCTION("""COMPUTED_VALUE"""),60000.0)</f>
        <v>60000</v>
      </c>
      <c r="M3370" s="211"/>
      <c r="N3370" s="211"/>
      <c r="O3370" s="211" t="b">
        <f>IFERROR(__xludf.DUMMYFUNCTION("""COMPUTED_VALUE"""),FALSE)</f>
        <v>0</v>
      </c>
    </row>
    <row r="3371">
      <c r="A3371" s="210" t="str">
        <f>IFERROR(__xludf.DUMMYFUNCTION("""COMPUTED_VALUE"""),"0126762347")</f>
        <v>0126762347</v>
      </c>
      <c r="B3371" s="210" t="str">
        <f>IFERROR(__xludf.DUMMYFUNCTION("""COMPUTED_VALUE"""),"0126762347")</f>
        <v>0126762347</v>
      </c>
      <c r="C3371" s="213">
        <f>IFERROR(__xludf.DUMMYFUNCTION("""COMPUTED_VALUE"""),46046.37181712963)</f>
        <v>46046.37182</v>
      </c>
      <c r="D3371" s="211" t="str">
        <f>IFERROR(__xludf.DUMMYFUNCTION("""COMPUTED_VALUE"""),"b2b5f2c5")</f>
        <v>b2b5f2c5</v>
      </c>
      <c r="E3371" s="211" t="str">
        <f>IFERROR(__xludf.DUMMYFUNCTION("""COMPUTED_VALUE"""),"Bengkel Las Bpk. Ari")</f>
        <v>Bengkel Las Bpk. Ari</v>
      </c>
      <c r="F3371" s="211" t="str">
        <f>IFERROR(__xludf.DUMMYFUNCTION("""COMPUTED_VALUE"""),"ef306e54")</f>
        <v>ef306e54</v>
      </c>
      <c r="G3371" s="211" t="str">
        <f>IFERROR(__xludf.DUMMYFUNCTION("""COMPUTED_VALUE"""),"Karbondioksida")</f>
        <v>Karbondioksida</v>
      </c>
      <c r="H3371" s="211" t="str">
        <f>IFERROR(__xludf.DUMMYFUNCTION("""COMPUTED_VALUE"""),"OUT")</f>
        <v>OUT</v>
      </c>
      <c r="I3371" s="211" t="str">
        <f>IFERROR(__xludf.DUMMYFUNCTION("""COMPUTED_VALUE"""),"NORMAL")</f>
        <v>NORMAL</v>
      </c>
      <c r="J3371" s="211">
        <f>IFERROR(__xludf.DUMMYFUNCTION("""COMPUTED_VALUE"""),2.0)</f>
        <v>2</v>
      </c>
      <c r="K3371" s="210" t="str">
        <f>IFERROR(__xludf.DUMMYFUNCTION("""COMPUTED_VALUE"""),"13066 13067")</f>
        <v>13066 13067</v>
      </c>
      <c r="L3371" s="211">
        <f>IFERROR(__xludf.DUMMYFUNCTION("""COMPUTED_VALUE"""),180000.0)</f>
        <v>180000</v>
      </c>
      <c r="M3371" s="211"/>
      <c r="N3371" s="211"/>
      <c r="O3371" s="211" t="b">
        <f>IFERROR(__xludf.DUMMYFUNCTION("""COMPUTED_VALUE"""),FALSE)</f>
        <v>0</v>
      </c>
    </row>
    <row r="3372">
      <c r="A3372" s="210" t="str">
        <f>IFERROR(__xludf.DUMMYFUNCTION("""COMPUTED_VALUE"""),"0126122348")</f>
        <v>0126122348</v>
      </c>
      <c r="B3372" s="210" t="str">
        <f>IFERROR(__xludf.DUMMYFUNCTION("""COMPUTED_VALUE"""),"0126122348")</f>
        <v>0126122348</v>
      </c>
      <c r="C3372" s="213">
        <f>IFERROR(__xludf.DUMMYFUNCTION("""COMPUTED_VALUE"""),46046.40924768519)</f>
        <v>46046.40925</v>
      </c>
      <c r="D3372" s="211" t="str">
        <f>IFERROR(__xludf.DUMMYFUNCTION("""COMPUTED_VALUE"""),"734c6d17")</f>
        <v>734c6d17</v>
      </c>
      <c r="E3372" s="211" t="str">
        <f>IFERROR(__xludf.DUMMYFUNCTION("""COMPUTED_VALUE"""),"Bapak Ainol Yaqin ( Bpk. Ibnu )")</f>
        <v>Bapak Ainol Yaqin ( Bpk. Ibnu )</v>
      </c>
      <c r="F3372" s="211" t="str">
        <f>IFERROR(__xludf.DUMMYFUNCTION("""COMPUTED_VALUE"""),"8bdbe149")</f>
        <v>8bdbe149</v>
      </c>
      <c r="G3372" s="211" t="str">
        <f>IFERROR(__xludf.DUMMYFUNCTION("""COMPUTED_VALUE"""),"Oksigen 6m3")</f>
        <v>Oksigen 6m3</v>
      </c>
      <c r="H3372" s="211" t="str">
        <f>IFERROR(__xludf.DUMMYFUNCTION("""COMPUTED_VALUE"""),"OUT")</f>
        <v>OUT</v>
      </c>
      <c r="I3372" s="211" t="str">
        <f>IFERROR(__xludf.DUMMYFUNCTION("""COMPUTED_VALUE"""),"NORMAL")</f>
        <v>NORMAL</v>
      </c>
      <c r="J3372" s="211">
        <f>IFERROR(__xludf.DUMMYFUNCTION("""COMPUTED_VALUE"""),2.0)</f>
        <v>2</v>
      </c>
      <c r="K3372" s="210" t="str">
        <f>IFERROR(__xludf.DUMMYFUNCTION("""COMPUTED_VALUE"""),"11111 11192")</f>
        <v>11111 11192</v>
      </c>
      <c r="L3372" s="211">
        <f>IFERROR(__xludf.DUMMYFUNCTION("""COMPUTED_VALUE"""),65000.0)</f>
        <v>65000</v>
      </c>
      <c r="M3372" s="211"/>
      <c r="N3372" s="211"/>
      <c r="O3372" s="211" t="b">
        <f>IFERROR(__xludf.DUMMYFUNCTION("""COMPUTED_VALUE"""),FALSE)</f>
        <v>0</v>
      </c>
    </row>
    <row r="3373">
      <c r="A3373" s="210" t="str">
        <f>IFERROR(__xludf.DUMMYFUNCTION("""COMPUTED_VALUE"""),"012652349")</f>
        <v>012652349</v>
      </c>
      <c r="B3373" s="210" t="str">
        <f>IFERROR(__xludf.DUMMYFUNCTION("""COMPUTED_VALUE"""),"012652349")</f>
        <v>012652349</v>
      </c>
      <c r="C3373" s="213">
        <f>IFERROR(__xludf.DUMMYFUNCTION("""COMPUTED_VALUE"""),46046.409895833334)</f>
        <v>46046.4099</v>
      </c>
      <c r="D3373" s="211" t="str">
        <f>IFERROR(__xludf.DUMMYFUNCTION("""COMPUTED_VALUE"""),"ca4876e2")</f>
        <v>ca4876e2</v>
      </c>
      <c r="E3373" s="211" t="str">
        <f>IFERROR(__xludf.DUMMYFUNCTION("""COMPUTED_VALUE"""),"Bengkel Mustika Mojosari")</f>
        <v>Bengkel Mustika Mojosari</v>
      </c>
      <c r="F3373" s="211" t="str">
        <f>IFERROR(__xludf.DUMMYFUNCTION("""COMPUTED_VALUE"""),"7d2764f1")</f>
        <v>7d2764f1</v>
      </c>
      <c r="G3373" s="211" t="str">
        <f>IFERROR(__xludf.DUMMYFUNCTION("""COMPUTED_VALUE"""),"Oksigen 7m3")</f>
        <v>Oksigen 7m3</v>
      </c>
      <c r="H3373" s="211" t="str">
        <f>IFERROR(__xludf.DUMMYFUNCTION("""COMPUTED_VALUE"""),"OUT")</f>
        <v>OUT</v>
      </c>
      <c r="I3373" s="211" t="str">
        <f>IFERROR(__xludf.DUMMYFUNCTION("""COMPUTED_VALUE"""),"NORMAL")</f>
        <v>NORMAL</v>
      </c>
      <c r="J3373" s="211">
        <f>IFERROR(__xludf.DUMMYFUNCTION("""COMPUTED_VALUE"""),2.0)</f>
        <v>2</v>
      </c>
      <c r="K3373" s="210" t="str">
        <f>IFERROR(__xludf.DUMMYFUNCTION("""COMPUTED_VALUE"""),"11225 11217")</f>
        <v>11225 11217</v>
      </c>
      <c r="L3373" s="211">
        <f>IFERROR(__xludf.DUMMYFUNCTION("""COMPUTED_VALUE"""),65000.0)</f>
        <v>65000</v>
      </c>
      <c r="M3373" s="211"/>
      <c r="N3373" s="211"/>
      <c r="O3373" s="211" t="b">
        <f>IFERROR(__xludf.DUMMYFUNCTION("""COMPUTED_VALUE"""),FALSE)</f>
        <v>0</v>
      </c>
    </row>
    <row r="3374">
      <c r="A3374" s="210" t="str">
        <f>IFERROR(__xludf.DUMMYFUNCTION("""COMPUTED_VALUE"""),"1261129")</f>
        <v>1261129</v>
      </c>
      <c r="B3374" s="210" t="str">
        <f>IFERROR(__xludf.DUMMYFUNCTION("""COMPUTED_VALUE"""),"1261129")</f>
        <v>1261129</v>
      </c>
      <c r="C3374" s="213">
        <f>IFERROR(__xludf.DUMMYFUNCTION("""COMPUTED_VALUE"""),46046.439155092594)</f>
        <v>46046.43916</v>
      </c>
      <c r="D3374" s="211" t="str">
        <f>IFERROR(__xludf.DUMMYFUNCTION("""COMPUTED_VALUE"""),"a0f0ad2d")</f>
        <v>a0f0ad2d</v>
      </c>
      <c r="E3374" s="211" t="str">
        <f>IFERROR(__xludf.DUMMYFUNCTION("""COMPUTED_VALUE"""),"CV. Yulie Jaya")</f>
        <v>CV. Yulie Jaya</v>
      </c>
      <c r="F3374" s="211" t="str">
        <f>IFERROR(__xludf.DUMMYFUNCTION("""COMPUTED_VALUE"""),"8bdbe149")</f>
        <v>8bdbe149</v>
      </c>
      <c r="G3374" s="211" t="str">
        <f>IFERROR(__xludf.DUMMYFUNCTION("""COMPUTED_VALUE"""),"Oksigen 6m3")</f>
        <v>Oksigen 6m3</v>
      </c>
      <c r="H3374" s="211" t="str">
        <f>IFERROR(__xludf.DUMMYFUNCTION("""COMPUTED_VALUE"""),"IN")</f>
        <v>IN</v>
      </c>
      <c r="I3374" s="211" t="str">
        <f>IFERROR(__xludf.DUMMYFUNCTION("""COMPUTED_VALUE"""),"EMPTY")</f>
        <v>EMPTY</v>
      </c>
      <c r="J3374" s="211">
        <f>IFERROR(__xludf.DUMMYFUNCTION("""COMPUTED_VALUE"""),5.0)</f>
        <v>5</v>
      </c>
      <c r="K3374" s="210" t="str">
        <f>IFERROR(__xludf.DUMMYFUNCTION("""COMPUTED_VALUE"""),"1152 1176 11185 11279 1124")</f>
        <v>1152 1176 11185 11279 1124</v>
      </c>
      <c r="L3374" s="211">
        <f>IFERROR(__xludf.DUMMYFUNCTION("""COMPUTED_VALUE"""),0.0)</f>
        <v>0</v>
      </c>
      <c r="M3374" s="211"/>
      <c r="N3374" s="211"/>
      <c r="O3374" s="211" t="b">
        <f>IFERROR(__xludf.DUMMYFUNCTION("""COMPUTED_VALUE"""),FALSE)</f>
        <v>0</v>
      </c>
    </row>
    <row r="3375">
      <c r="A3375" s="210" t="str">
        <f>IFERROR(__xludf.DUMMYFUNCTION("""COMPUTED_VALUE"""),"1261129")</f>
        <v>1261129</v>
      </c>
      <c r="B3375" s="210" t="str">
        <f>IFERROR(__xludf.DUMMYFUNCTION("""COMPUTED_VALUE"""),"1261129")</f>
        <v>1261129</v>
      </c>
      <c r="C3375" s="213">
        <f>IFERROR(__xludf.DUMMYFUNCTION("""COMPUTED_VALUE"""),46046.439155092594)</f>
        <v>46046.43916</v>
      </c>
      <c r="D3375" s="211" t="str">
        <f>IFERROR(__xludf.DUMMYFUNCTION("""COMPUTED_VALUE"""),"a0f0ad2d")</f>
        <v>a0f0ad2d</v>
      </c>
      <c r="E3375" s="211" t="str">
        <f>IFERROR(__xludf.DUMMYFUNCTION("""COMPUTED_VALUE"""),"CV. Yulie Jaya")</f>
        <v>CV. Yulie Jaya</v>
      </c>
      <c r="F3375" s="211" t="str">
        <f>IFERROR(__xludf.DUMMYFUNCTION("""COMPUTED_VALUE"""),"7d2764f1")</f>
        <v>7d2764f1</v>
      </c>
      <c r="G3375" s="211" t="str">
        <f>IFERROR(__xludf.DUMMYFUNCTION("""COMPUTED_VALUE"""),"Oksigen 7m3")</f>
        <v>Oksigen 7m3</v>
      </c>
      <c r="H3375" s="211" t="str">
        <f>IFERROR(__xludf.DUMMYFUNCTION("""COMPUTED_VALUE"""),"IN")</f>
        <v>IN</v>
      </c>
      <c r="I3375" s="211" t="str">
        <f>IFERROR(__xludf.DUMMYFUNCTION("""COMPUTED_VALUE"""),"EMPTY")</f>
        <v>EMPTY</v>
      </c>
      <c r="J3375" s="211">
        <f>IFERROR(__xludf.DUMMYFUNCTION("""COMPUTED_VALUE"""),2.0)</f>
        <v>2</v>
      </c>
      <c r="K3375" s="210" t="str">
        <f>IFERROR(__xludf.DUMMYFUNCTION("""COMPUTED_VALUE"""),"11172 11141")</f>
        <v>11172 11141</v>
      </c>
      <c r="L3375" s="211">
        <f>IFERROR(__xludf.DUMMYFUNCTION("""COMPUTED_VALUE"""),0.0)</f>
        <v>0</v>
      </c>
      <c r="M3375" s="211"/>
      <c r="N3375" s="211"/>
      <c r="O3375" s="211" t="b">
        <f>IFERROR(__xludf.DUMMYFUNCTION("""COMPUTED_VALUE"""),FALSE)</f>
        <v>0</v>
      </c>
    </row>
    <row r="3376">
      <c r="A3376" s="210" t="str">
        <f>IFERROR(__xludf.DUMMYFUNCTION("""COMPUTED_VALUE"""),"0126112350")</f>
        <v>0126112350</v>
      </c>
      <c r="B3376" s="210" t="str">
        <f>IFERROR(__xludf.DUMMYFUNCTION("""COMPUTED_VALUE"""),"0126112350")</f>
        <v>0126112350</v>
      </c>
      <c r="C3376" s="213">
        <f>IFERROR(__xludf.DUMMYFUNCTION("""COMPUTED_VALUE"""),46046.47008101852)</f>
        <v>46046.47008</v>
      </c>
      <c r="D3376" s="211" t="str">
        <f>IFERROR(__xludf.DUMMYFUNCTION("""COMPUTED_VALUE"""),"f8a982a4")</f>
        <v>f8a982a4</v>
      </c>
      <c r="E3376" s="211" t="str">
        <f>IFERROR(__xludf.DUMMYFUNCTION("""COMPUTED_VALUE"""),"Bpk. Nasir")</f>
        <v>Bpk. Nasir</v>
      </c>
      <c r="F3376" s="211" t="str">
        <f>IFERROR(__xludf.DUMMYFUNCTION("""COMPUTED_VALUE"""),"8bdbe149")</f>
        <v>8bdbe149</v>
      </c>
      <c r="G3376" s="211" t="str">
        <f>IFERROR(__xludf.DUMMYFUNCTION("""COMPUTED_VALUE"""),"Oksigen 6m3")</f>
        <v>Oksigen 6m3</v>
      </c>
      <c r="H3376" s="211" t="str">
        <f>IFERROR(__xludf.DUMMYFUNCTION("""COMPUTED_VALUE"""),"OUT")</f>
        <v>OUT</v>
      </c>
      <c r="I3376" s="211" t="str">
        <f>IFERROR(__xludf.DUMMYFUNCTION("""COMPUTED_VALUE"""),"NORMAL")</f>
        <v>NORMAL</v>
      </c>
      <c r="J3376" s="211">
        <f>IFERROR(__xludf.DUMMYFUNCTION("""COMPUTED_VALUE"""),1.0)</f>
        <v>1</v>
      </c>
      <c r="K3376" s="210" t="str">
        <f>IFERROR(__xludf.DUMMYFUNCTION("""COMPUTED_VALUE"""),"1146")</f>
        <v>1146</v>
      </c>
      <c r="L3376" s="211">
        <f>IFERROR(__xludf.DUMMYFUNCTION("""COMPUTED_VALUE"""),70000.0)</f>
        <v>70000</v>
      </c>
      <c r="M3376" s="211"/>
      <c r="N3376" s="211"/>
      <c r="O3376" s="211" t="b">
        <f>IFERROR(__xludf.DUMMYFUNCTION("""COMPUTED_VALUE"""),FALSE)</f>
        <v>0</v>
      </c>
    </row>
    <row r="3377">
      <c r="A3377" s="210" t="str">
        <f>IFERROR(__xludf.DUMMYFUNCTION("""COMPUTED_VALUE"""),"1261137")</f>
        <v>1261137</v>
      </c>
      <c r="B3377" s="210" t="str">
        <f>IFERROR(__xludf.DUMMYFUNCTION("""COMPUTED_VALUE"""),"1261137")</f>
        <v>1261137</v>
      </c>
      <c r="C3377" s="213">
        <f>IFERROR(__xludf.DUMMYFUNCTION("""COMPUTED_VALUE"""),46046.49056712963)</f>
        <v>46046.49057</v>
      </c>
      <c r="D3377" s="211" t="str">
        <f>IFERROR(__xludf.DUMMYFUNCTION("""COMPUTED_VALUE"""),"b2b5f2c5")</f>
        <v>b2b5f2c5</v>
      </c>
      <c r="E3377" s="211" t="str">
        <f>IFERROR(__xludf.DUMMYFUNCTION("""COMPUTED_VALUE"""),"Bengkel Las Bpk. Ari")</f>
        <v>Bengkel Las Bpk. Ari</v>
      </c>
      <c r="F3377" s="211" t="str">
        <f>IFERROR(__xludf.DUMMYFUNCTION("""COMPUTED_VALUE"""),"8bdbe149")</f>
        <v>8bdbe149</v>
      </c>
      <c r="G3377" s="211" t="str">
        <f>IFERROR(__xludf.DUMMYFUNCTION("""COMPUTED_VALUE"""),"Oksigen 6m3")</f>
        <v>Oksigen 6m3</v>
      </c>
      <c r="H3377" s="211" t="str">
        <f>IFERROR(__xludf.DUMMYFUNCTION("""COMPUTED_VALUE"""),"IN")</f>
        <v>IN</v>
      </c>
      <c r="I3377" s="211" t="str">
        <f>IFERROR(__xludf.DUMMYFUNCTION("""COMPUTED_VALUE"""),"EMPTY")</f>
        <v>EMPTY</v>
      </c>
      <c r="J3377" s="211">
        <f>IFERROR(__xludf.DUMMYFUNCTION("""COMPUTED_VALUE"""),6.0)</f>
        <v>6</v>
      </c>
      <c r="K3377" s="210" t="str">
        <f>IFERROR(__xludf.DUMMYFUNCTION("""COMPUTED_VALUE"""),"11326 1181 1158 11128 11248 11193")</f>
        <v>11326 1181 1158 11128 11248 11193</v>
      </c>
      <c r="L3377" s="211">
        <f>IFERROR(__xludf.DUMMYFUNCTION("""COMPUTED_VALUE"""),0.0)</f>
        <v>0</v>
      </c>
      <c r="M3377" s="211"/>
      <c r="N3377" s="211"/>
      <c r="O3377" s="211" t="b">
        <f>IFERROR(__xludf.DUMMYFUNCTION("""COMPUTED_VALUE"""),FALSE)</f>
        <v>0</v>
      </c>
    </row>
    <row r="3378">
      <c r="A3378" s="210" t="str">
        <f>IFERROR(__xludf.DUMMYFUNCTION("""COMPUTED_VALUE"""),"1261137")</f>
        <v>1261137</v>
      </c>
      <c r="B3378" s="210" t="str">
        <f>IFERROR(__xludf.DUMMYFUNCTION("""COMPUTED_VALUE"""),"1261137")</f>
        <v>1261137</v>
      </c>
      <c r="C3378" s="213">
        <f>IFERROR(__xludf.DUMMYFUNCTION("""COMPUTED_VALUE"""),46046.49056712963)</f>
        <v>46046.49057</v>
      </c>
      <c r="D3378" s="211" t="str">
        <f>IFERROR(__xludf.DUMMYFUNCTION("""COMPUTED_VALUE"""),"b2b5f2c5")</f>
        <v>b2b5f2c5</v>
      </c>
      <c r="E3378" s="211" t="str">
        <f>IFERROR(__xludf.DUMMYFUNCTION("""COMPUTED_VALUE"""),"Bengkel Las Bpk. Ari")</f>
        <v>Bengkel Las Bpk. Ari</v>
      </c>
      <c r="F3378" s="211" t="str">
        <f>IFERROR(__xludf.DUMMYFUNCTION("""COMPUTED_VALUE"""),"ef306e54")</f>
        <v>ef306e54</v>
      </c>
      <c r="G3378" s="211" t="str">
        <f>IFERROR(__xludf.DUMMYFUNCTION("""COMPUTED_VALUE"""),"Karbondioksida")</f>
        <v>Karbondioksida</v>
      </c>
      <c r="H3378" s="211" t="str">
        <f>IFERROR(__xludf.DUMMYFUNCTION("""COMPUTED_VALUE"""),"IN")</f>
        <v>IN</v>
      </c>
      <c r="I3378" s="211" t="str">
        <f>IFERROR(__xludf.DUMMYFUNCTION("""COMPUTED_VALUE"""),"EMPTY")</f>
        <v>EMPTY</v>
      </c>
      <c r="J3378" s="211">
        <f>IFERROR(__xludf.DUMMYFUNCTION("""COMPUTED_VALUE"""),2.0)</f>
        <v>2</v>
      </c>
      <c r="K3378" s="210" t="str">
        <f>IFERROR(__xludf.DUMMYFUNCTION("""COMPUTED_VALUE"""),"13026 13056")</f>
        <v>13026 13056</v>
      </c>
      <c r="L3378" s="211">
        <f>IFERROR(__xludf.DUMMYFUNCTION("""COMPUTED_VALUE"""),0.0)</f>
        <v>0</v>
      </c>
      <c r="M3378" s="211"/>
      <c r="N3378" s="211"/>
      <c r="O3378" s="211" t="b">
        <f>IFERROR(__xludf.DUMMYFUNCTION("""COMPUTED_VALUE"""),FALSE)</f>
        <v>0</v>
      </c>
    </row>
    <row r="3379">
      <c r="A3379" s="211"/>
      <c r="B3379" s="211"/>
      <c r="C3379" s="211"/>
      <c r="D3379" s="211"/>
      <c r="E3379" s="211"/>
      <c r="F3379" s="211"/>
      <c r="G3379" s="211"/>
      <c r="H3379" s="211"/>
      <c r="I3379" s="211"/>
      <c r="J3379" s="211"/>
      <c r="K3379" s="211"/>
      <c r="L3379" s="211"/>
      <c r="M3379" s="211"/>
      <c r="N3379" s="211"/>
      <c r="O3379" s="211"/>
    </row>
    <row r="3380">
      <c r="A3380" s="210" t="str">
        <f>IFERROR(__xludf.DUMMYFUNCTION("""COMPUTED_VALUE"""),"1261138")</f>
        <v>1261138</v>
      </c>
      <c r="B3380" s="210" t="str">
        <f>IFERROR(__xludf.DUMMYFUNCTION("""COMPUTED_VALUE"""),"1261138")</f>
        <v>1261138</v>
      </c>
      <c r="C3380" s="213">
        <f>IFERROR(__xludf.DUMMYFUNCTION("""COMPUTED_VALUE"""),46046.601493055554)</f>
        <v>46046.60149</v>
      </c>
      <c r="D3380" s="211" t="str">
        <f>IFERROR(__xludf.DUMMYFUNCTION("""COMPUTED_VALUE"""),"ca4876e2")</f>
        <v>ca4876e2</v>
      </c>
      <c r="E3380" s="211" t="str">
        <f>IFERROR(__xludf.DUMMYFUNCTION("""COMPUTED_VALUE"""),"Bengkel Mustika Mojosari")</f>
        <v>Bengkel Mustika Mojosari</v>
      </c>
      <c r="F3380" s="211" t="str">
        <f>IFERROR(__xludf.DUMMYFUNCTION("""COMPUTED_VALUE"""),"7d2764f1")</f>
        <v>7d2764f1</v>
      </c>
      <c r="G3380" s="211" t="str">
        <f>IFERROR(__xludf.DUMMYFUNCTION("""COMPUTED_VALUE"""),"Oksigen 7m3")</f>
        <v>Oksigen 7m3</v>
      </c>
      <c r="H3380" s="211" t="str">
        <f>IFERROR(__xludf.DUMMYFUNCTION("""COMPUTED_VALUE"""),"IN")</f>
        <v>IN</v>
      </c>
      <c r="I3380" s="211" t="str">
        <f>IFERROR(__xludf.DUMMYFUNCTION("""COMPUTED_VALUE"""),"EMPTY")</f>
        <v>EMPTY</v>
      </c>
      <c r="J3380" s="211">
        <f>IFERROR(__xludf.DUMMYFUNCTION("""COMPUTED_VALUE"""),2.0)</f>
        <v>2</v>
      </c>
      <c r="K3380" s="210" t="str">
        <f>IFERROR(__xludf.DUMMYFUNCTION("""COMPUTED_VALUE"""),"11318 11329")</f>
        <v>11318 11329</v>
      </c>
      <c r="L3380" s="211">
        <f>IFERROR(__xludf.DUMMYFUNCTION("""COMPUTED_VALUE"""),0.0)</f>
        <v>0</v>
      </c>
      <c r="M3380" s="211"/>
      <c r="N3380" s="211"/>
      <c r="O3380" s="211" t="b">
        <f>IFERROR(__xludf.DUMMYFUNCTION("""COMPUTED_VALUE"""),FALSE)</f>
        <v>0</v>
      </c>
    </row>
    <row r="3381">
      <c r="A3381" s="210" t="str">
        <f>IFERROR(__xludf.DUMMYFUNCTION("""COMPUTED_VALUE"""),"1261130")</f>
        <v>1261130</v>
      </c>
      <c r="B3381" s="210" t="str">
        <f>IFERROR(__xludf.DUMMYFUNCTION("""COMPUTED_VALUE"""),"1261130")</f>
        <v>1261130</v>
      </c>
      <c r="C3381" s="213">
        <f>IFERROR(__xludf.DUMMYFUNCTION("""COMPUTED_VALUE"""),46046.61597222222)</f>
        <v>46046.61597</v>
      </c>
      <c r="D3381" s="211" t="str">
        <f>IFERROR(__xludf.DUMMYFUNCTION("""COMPUTED_VALUE"""),"f8a982a4")</f>
        <v>f8a982a4</v>
      </c>
      <c r="E3381" s="211" t="str">
        <f>IFERROR(__xludf.DUMMYFUNCTION("""COMPUTED_VALUE"""),"Bpk. Nasir")</f>
        <v>Bpk. Nasir</v>
      </c>
      <c r="F3381" s="211" t="str">
        <f>IFERROR(__xludf.DUMMYFUNCTION("""COMPUTED_VALUE"""),"8bdbe149")</f>
        <v>8bdbe149</v>
      </c>
      <c r="G3381" s="211" t="str">
        <f>IFERROR(__xludf.DUMMYFUNCTION("""COMPUTED_VALUE"""),"Oksigen 6m3")</f>
        <v>Oksigen 6m3</v>
      </c>
      <c r="H3381" s="211" t="str">
        <f>IFERROR(__xludf.DUMMYFUNCTION("""COMPUTED_VALUE"""),"IN")</f>
        <v>IN</v>
      </c>
      <c r="I3381" s="211" t="str">
        <f>IFERROR(__xludf.DUMMYFUNCTION("""COMPUTED_VALUE"""),"EMPTY")</f>
        <v>EMPTY</v>
      </c>
      <c r="J3381" s="211">
        <f>IFERROR(__xludf.DUMMYFUNCTION("""COMPUTED_VALUE"""),1.0)</f>
        <v>1</v>
      </c>
      <c r="K3381" s="210" t="str">
        <f>IFERROR(__xludf.DUMMYFUNCTION("""COMPUTED_VALUE"""),"1198")</f>
        <v>1198</v>
      </c>
      <c r="L3381" s="211">
        <f>IFERROR(__xludf.DUMMYFUNCTION("""COMPUTED_VALUE"""),0.0)</f>
        <v>0</v>
      </c>
      <c r="M3381" s="211"/>
      <c r="N3381" s="211"/>
      <c r="O3381" s="211" t="b">
        <f>IFERROR(__xludf.DUMMYFUNCTION("""COMPUTED_VALUE"""),FALSE)</f>
        <v>0</v>
      </c>
    </row>
    <row r="3382">
      <c r="A3382" s="210" t="str">
        <f>IFERROR(__xludf.DUMMYFUNCTION("""COMPUTED_VALUE"""),"1261130")</f>
        <v>1261130</v>
      </c>
      <c r="B3382" s="210" t="str">
        <f>IFERROR(__xludf.DUMMYFUNCTION("""COMPUTED_VALUE"""),"1261130")</f>
        <v>1261130</v>
      </c>
      <c r="C3382" s="213">
        <f>IFERROR(__xludf.DUMMYFUNCTION("""COMPUTED_VALUE"""),46046.61597222222)</f>
        <v>46046.61597</v>
      </c>
      <c r="D3382" s="211" t="str">
        <f>IFERROR(__xludf.DUMMYFUNCTION("""COMPUTED_VALUE"""),"f8a982a4")</f>
        <v>f8a982a4</v>
      </c>
      <c r="E3382" s="211" t="str">
        <f>IFERROR(__xludf.DUMMYFUNCTION("""COMPUTED_VALUE"""),"Bpk. Nasir")</f>
        <v>Bpk. Nasir</v>
      </c>
      <c r="F3382" s="211" t="str">
        <f>IFERROR(__xludf.DUMMYFUNCTION("""COMPUTED_VALUE"""),"7d2764f1")</f>
        <v>7d2764f1</v>
      </c>
      <c r="G3382" s="211" t="str">
        <f>IFERROR(__xludf.DUMMYFUNCTION("""COMPUTED_VALUE"""),"Oksigen 7m3")</f>
        <v>Oksigen 7m3</v>
      </c>
      <c r="H3382" s="211" t="str">
        <f>IFERROR(__xludf.DUMMYFUNCTION("""COMPUTED_VALUE"""),"IN")</f>
        <v>IN</v>
      </c>
      <c r="I3382" s="211" t="str">
        <f>IFERROR(__xludf.DUMMYFUNCTION("""COMPUTED_VALUE"""),"EMPTY")</f>
        <v>EMPTY</v>
      </c>
      <c r="J3382" s="211">
        <f>IFERROR(__xludf.DUMMYFUNCTION("""COMPUTED_VALUE"""),4.0)</f>
        <v>4</v>
      </c>
      <c r="K3382" s="210" t="str">
        <f>IFERROR(__xludf.DUMMYFUNCTION("""COMPUTED_VALUE"""),"11140 11333 11335 11338")</f>
        <v>11140 11333 11335 11338</v>
      </c>
      <c r="L3382" s="211">
        <f>IFERROR(__xludf.DUMMYFUNCTION("""COMPUTED_VALUE"""),0.0)</f>
        <v>0</v>
      </c>
      <c r="M3382" s="211"/>
      <c r="N3382" s="211"/>
      <c r="O3382" s="211" t="b">
        <f>IFERROR(__xludf.DUMMYFUNCTION("""COMPUTED_VALUE"""),FALSE)</f>
        <v>0</v>
      </c>
    </row>
    <row r="3383">
      <c r="A3383" s="210" t="str">
        <f>IFERROR(__xludf.DUMMYFUNCTION("""COMPUTED_VALUE"""),"0126112352")</f>
        <v>0126112352</v>
      </c>
      <c r="B3383" s="210" t="str">
        <f>IFERROR(__xludf.DUMMYFUNCTION("""COMPUTED_VALUE"""),"0126112352")</f>
        <v>0126112352</v>
      </c>
      <c r="C3383" s="213">
        <f>IFERROR(__xludf.DUMMYFUNCTION("""COMPUTED_VALUE"""),46047.52648148148)</f>
        <v>46047.52648</v>
      </c>
      <c r="D3383" s="211" t="str">
        <f>IFERROR(__xludf.DUMMYFUNCTION("""COMPUTED_VALUE"""),"9b941888")</f>
        <v>9b941888</v>
      </c>
      <c r="E3383" s="211" t="str">
        <f>IFERROR(__xludf.DUMMYFUNCTION("""COMPUTED_VALUE"""),"Mas Devi ( Parengan )")</f>
        <v>Mas Devi ( Parengan )</v>
      </c>
      <c r="F3383" s="211" t="str">
        <f>IFERROR(__xludf.DUMMYFUNCTION("""COMPUTED_VALUE"""),"7d2764f1")</f>
        <v>7d2764f1</v>
      </c>
      <c r="G3383" s="211" t="str">
        <f>IFERROR(__xludf.DUMMYFUNCTION("""COMPUTED_VALUE"""),"Oksigen 7m3")</f>
        <v>Oksigen 7m3</v>
      </c>
      <c r="H3383" s="211" t="str">
        <f>IFERROR(__xludf.DUMMYFUNCTION("""COMPUTED_VALUE"""),"OUT")</f>
        <v>OUT</v>
      </c>
      <c r="I3383" s="211" t="str">
        <f>IFERROR(__xludf.DUMMYFUNCTION("""COMPUTED_VALUE"""),"NORMAL")</f>
        <v>NORMAL</v>
      </c>
      <c r="J3383" s="211">
        <f>IFERROR(__xludf.DUMMYFUNCTION("""COMPUTED_VALUE"""),3.0)</f>
        <v>3</v>
      </c>
      <c r="K3383" s="210" t="str">
        <f>IFERROR(__xludf.DUMMYFUNCTION("""COMPUTED_VALUE"""),"11140 11141 11172")</f>
        <v>11140 11141 11172</v>
      </c>
      <c r="L3383" s="211">
        <f>IFERROR(__xludf.DUMMYFUNCTION("""COMPUTED_VALUE"""),80000.0)</f>
        <v>80000</v>
      </c>
      <c r="M3383" s="211"/>
      <c r="N3383" s="211"/>
      <c r="O3383" s="211" t="b">
        <f>IFERROR(__xludf.DUMMYFUNCTION("""COMPUTED_VALUE"""),FALSE)</f>
        <v>0</v>
      </c>
    </row>
    <row r="3384">
      <c r="A3384" s="210" t="str">
        <f>IFERROR(__xludf.DUMMYFUNCTION("""COMPUTED_VALUE"""),"1261139")</f>
        <v>1261139</v>
      </c>
      <c r="B3384" s="210" t="str">
        <f>IFERROR(__xludf.DUMMYFUNCTION("""COMPUTED_VALUE"""),"1261139")</f>
        <v>1261139</v>
      </c>
      <c r="C3384" s="213">
        <f>IFERROR(__xludf.DUMMYFUNCTION("""COMPUTED_VALUE"""),46048.346597222226)</f>
        <v>46048.3466</v>
      </c>
      <c r="D3384" s="211" t="str">
        <f>IFERROR(__xludf.DUMMYFUNCTION("""COMPUTED_VALUE"""),"9b941888")</f>
        <v>9b941888</v>
      </c>
      <c r="E3384" s="211" t="str">
        <f>IFERROR(__xludf.DUMMYFUNCTION("""COMPUTED_VALUE"""),"Mas Devi ( Parengan )")</f>
        <v>Mas Devi ( Parengan )</v>
      </c>
      <c r="F3384" s="211" t="str">
        <f>IFERROR(__xludf.DUMMYFUNCTION("""COMPUTED_VALUE"""),"7d2764f1")</f>
        <v>7d2764f1</v>
      </c>
      <c r="G3384" s="211" t="str">
        <f>IFERROR(__xludf.DUMMYFUNCTION("""COMPUTED_VALUE"""),"Oksigen 7m3")</f>
        <v>Oksigen 7m3</v>
      </c>
      <c r="H3384" s="211" t="str">
        <f>IFERROR(__xludf.DUMMYFUNCTION("""COMPUTED_VALUE"""),"IN")</f>
        <v>IN</v>
      </c>
      <c r="I3384" s="211" t="str">
        <f>IFERROR(__xludf.DUMMYFUNCTION("""COMPUTED_VALUE"""),"EMPTY")</f>
        <v>EMPTY</v>
      </c>
      <c r="J3384" s="211">
        <f>IFERROR(__xludf.DUMMYFUNCTION("""COMPUTED_VALUE"""),6.0)</f>
        <v>6</v>
      </c>
      <c r="K3384" s="210" t="str">
        <f>IFERROR(__xludf.DUMMYFUNCTION("""COMPUTED_VALUE"""),"11151 11143 11163 11174 11147 11149")</f>
        <v>11151 11143 11163 11174 11147 11149</v>
      </c>
      <c r="L3384" s="211">
        <f>IFERROR(__xludf.DUMMYFUNCTION("""COMPUTED_VALUE"""),0.0)</f>
        <v>0</v>
      </c>
      <c r="M3384" s="211"/>
      <c r="N3384" s="211"/>
      <c r="O3384" s="211" t="b">
        <f>IFERROR(__xludf.DUMMYFUNCTION("""COMPUTED_VALUE"""),FALSE)</f>
        <v>0</v>
      </c>
    </row>
    <row r="3385">
      <c r="A3385" s="210" t="str">
        <f>IFERROR(__xludf.DUMMYFUNCTION("""COMPUTED_VALUE"""),"0126172356")</f>
        <v>0126172356</v>
      </c>
      <c r="B3385" s="210" t="str">
        <f>IFERROR(__xludf.DUMMYFUNCTION("""COMPUTED_VALUE"""),"0126172356")</f>
        <v>0126172356</v>
      </c>
      <c r="C3385" s="213">
        <f>IFERROR(__xludf.DUMMYFUNCTION("""COMPUTED_VALUE"""),46048.47519675926)</f>
        <v>46048.4752</v>
      </c>
      <c r="D3385" s="211" t="str">
        <f>IFERROR(__xludf.DUMMYFUNCTION("""COMPUTED_VALUE"""),"63fc688a")</f>
        <v>63fc688a</v>
      </c>
      <c r="E3385" s="211" t="str">
        <f>IFERROR(__xludf.DUMMYFUNCTION("""COMPUTED_VALUE"""),"CV Malik Nusantara")</f>
        <v>CV Malik Nusantara</v>
      </c>
      <c r="F3385" s="211" t="str">
        <f>IFERROR(__xludf.DUMMYFUNCTION("""COMPUTED_VALUE"""),"8bdbe149")</f>
        <v>8bdbe149</v>
      </c>
      <c r="G3385" s="211" t="str">
        <f>IFERROR(__xludf.DUMMYFUNCTION("""COMPUTED_VALUE"""),"Oksigen 6m3")</f>
        <v>Oksigen 6m3</v>
      </c>
      <c r="H3385" s="211" t="str">
        <f>IFERROR(__xludf.DUMMYFUNCTION("""COMPUTED_VALUE"""),"OUT")</f>
        <v>OUT</v>
      </c>
      <c r="I3385" s="211" t="str">
        <f>IFERROR(__xludf.DUMMYFUNCTION("""COMPUTED_VALUE"""),"NORMAL")</f>
        <v>NORMAL</v>
      </c>
      <c r="J3385" s="211">
        <f>IFERROR(__xludf.DUMMYFUNCTION("""COMPUTED_VALUE"""),5.0)</f>
        <v>5</v>
      </c>
      <c r="K3385" s="210" t="str">
        <f>IFERROR(__xludf.DUMMYFUNCTION("""COMPUTED_VALUE"""),"1176 11185 11279 1124 1152")</f>
        <v>1176 11185 11279 1124 1152</v>
      </c>
      <c r="L3385" s="211">
        <f>IFERROR(__xludf.DUMMYFUNCTION("""COMPUTED_VALUE"""),65000.0)</f>
        <v>65000</v>
      </c>
      <c r="M3385" s="211"/>
      <c r="N3385" s="211"/>
      <c r="O3385" s="211" t="b">
        <f>IFERROR(__xludf.DUMMYFUNCTION("""COMPUTED_VALUE"""),FALSE)</f>
        <v>0</v>
      </c>
    </row>
    <row r="3386">
      <c r="A3386" s="210" t="str">
        <f>IFERROR(__xludf.DUMMYFUNCTION("""COMPUTED_VALUE"""),"1261141")</f>
        <v>1261141</v>
      </c>
      <c r="B3386" s="210" t="str">
        <f>IFERROR(__xludf.DUMMYFUNCTION("""COMPUTED_VALUE"""),"1261141")</f>
        <v>1261141</v>
      </c>
      <c r="C3386" s="213">
        <f>IFERROR(__xludf.DUMMYFUNCTION("""COMPUTED_VALUE"""),46048.47767361111)</f>
        <v>46048.47767</v>
      </c>
      <c r="D3386" s="211" t="str">
        <f>IFERROR(__xludf.DUMMYFUNCTION("""COMPUTED_VALUE"""),"63fc688a")</f>
        <v>63fc688a</v>
      </c>
      <c r="E3386" s="211" t="str">
        <f>IFERROR(__xludf.DUMMYFUNCTION("""COMPUTED_VALUE"""),"CV Malik Nusantara")</f>
        <v>CV Malik Nusantara</v>
      </c>
      <c r="F3386" s="211" t="str">
        <f>IFERROR(__xludf.DUMMYFUNCTION("""COMPUTED_VALUE"""),"8bdbe149")</f>
        <v>8bdbe149</v>
      </c>
      <c r="G3386" s="211" t="str">
        <f>IFERROR(__xludf.DUMMYFUNCTION("""COMPUTED_VALUE"""),"Oksigen 6m3")</f>
        <v>Oksigen 6m3</v>
      </c>
      <c r="H3386" s="211" t="str">
        <f>IFERROR(__xludf.DUMMYFUNCTION("""COMPUTED_VALUE"""),"IN")</f>
        <v>IN</v>
      </c>
      <c r="I3386" s="211" t="str">
        <f>IFERROR(__xludf.DUMMYFUNCTION("""COMPUTED_VALUE"""),"EMPTY")</f>
        <v>EMPTY</v>
      </c>
      <c r="J3386" s="211">
        <f>IFERROR(__xludf.DUMMYFUNCTION("""COMPUTED_VALUE"""),5.0)</f>
        <v>5</v>
      </c>
      <c r="K3386" s="210" t="str">
        <f>IFERROR(__xludf.DUMMYFUNCTION("""COMPUTED_VALUE"""),"11240 11129 11276 11211 1190")</f>
        <v>11240 11129 11276 11211 1190</v>
      </c>
      <c r="L3386" s="211">
        <f>IFERROR(__xludf.DUMMYFUNCTION("""COMPUTED_VALUE"""),0.0)</f>
        <v>0</v>
      </c>
      <c r="M3386" s="211"/>
      <c r="N3386" s="211"/>
      <c r="O3386" s="211" t="b">
        <f>IFERROR(__xludf.DUMMYFUNCTION("""COMPUTED_VALUE"""),FALSE)</f>
        <v>0</v>
      </c>
    </row>
    <row r="3387">
      <c r="A3387" s="210" t="str">
        <f>IFERROR(__xludf.DUMMYFUNCTION("""COMPUTED_VALUE"""),"1261140")</f>
        <v>1261140</v>
      </c>
      <c r="B3387" s="210" t="str">
        <f>IFERROR(__xludf.DUMMYFUNCTION("""COMPUTED_VALUE"""),"1261140")</f>
        <v>1261140</v>
      </c>
      <c r="C3387" s="213">
        <f>IFERROR(__xludf.DUMMYFUNCTION("""COMPUTED_VALUE"""),46048.61618055555)</f>
        <v>46048.61618</v>
      </c>
      <c r="D3387" s="211" t="str">
        <f>IFERROR(__xludf.DUMMYFUNCTION("""COMPUTED_VALUE"""),"8f5ebaea")</f>
        <v>8f5ebaea</v>
      </c>
      <c r="E3387" s="211" t="str">
        <f>IFERROR(__xludf.DUMMYFUNCTION("""COMPUTED_VALUE"""),"PT Hua Zong Mesindo")</f>
        <v>PT Hua Zong Mesindo</v>
      </c>
      <c r="F3387" s="211" t="str">
        <f>IFERROR(__xludf.DUMMYFUNCTION("""COMPUTED_VALUE"""),"8bdbe149")</f>
        <v>8bdbe149</v>
      </c>
      <c r="G3387" s="211" t="str">
        <f>IFERROR(__xludf.DUMMYFUNCTION("""COMPUTED_VALUE"""),"Oksigen 6m3")</f>
        <v>Oksigen 6m3</v>
      </c>
      <c r="H3387" s="211" t="str">
        <f>IFERROR(__xludf.DUMMYFUNCTION("""COMPUTED_VALUE"""),"IN")</f>
        <v>IN</v>
      </c>
      <c r="I3387" s="211" t="str">
        <f>IFERROR(__xludf.DUMMYFUNCTION("""COMPUTED_VALUE"""),"EMPTY")</f>
        <v>EMPTY</v>
      </c>
      <c r="J3387" s="211">
        <f>IFERROR(__xludf.DUMMYFUNCTION("""COMPUTED_VALUE"""),1.0)</f>
        <v>1</v>
      </c>
      <c r="K3387" s="210" t="str">
        <f>IFERROR(__xludf.DUMMYFUNCTION("""COMPUTED_VALUE"""),"11238")</f>
        <v>11238</v>
      </c>
      <c r="L3387" s="211">
        <f>IFERROR(__xludf.DUMMYFUNCTION("""COMPUTED_VALUE"""),0.0)</f>
        <v>0</v>
      </c>
      <c r="M3387" s="211"/>
      <c r="N3387" s="211"/>
      <c r="O3387" s="211" t="b">
        <f>IFERROR(__xludf.DUMMYFUNCTION("""COMPUTED_VALUE"""),FALSE)</f>
        <v>0</v>
      </c>
    </row>
    <row r="3388">
      <c r="A3388" s="210" t="str">
        <f>IFERROR(__xludf.DUMMYFUNCTION("""COMPUTED_VALUE"""),"1261140")</f>
        <v>1261140</v>
      </c>
      <c r="B3388" s="210" t="str">
        <f>IFERROR(__xludf.DUMMYFUNCTION("""COMPUTED_VALUE"""),"1261140")</f>
        <v>1261140</v>
      </c>
      <c r="C3388" s="213">
        <f>IFERROR(__xludf.DUMMYFUNCTION("""COMPUTED_VALUE"""),46048.61618055555)</f>
        <v>46048.61618</v>
      </c>
      <c r="D3388" s="211" t="str">
        <f>IFERROR(__xludf.DUMMYFUNCTION("""COMPUTED_VALUE"""),"8f5ebaea")</f>
        <v>8f5ebaea</v>
      </c>
      <c r="E3388" s="211" t="str">
        <f>IFERROR(__xludf.DUMMYFUNCTION("""COMPUTED_VALUE"""),"PT Hua Zong Mesindo")</f>
        <v>PT Hua Zong Mesindo</v>
      </c>
      <c r="F3388" s="211" t="str">
        <f>IFERROR(__xludf.DUMMYFUNCTION("""COMPUTED_VALUE"""),"7d2764f1")</f>
        <v>7d2764f1</v>
      </c>
      <c r="G3388" s="211" t="str">
        <f>IFERROR(__xludf.DUMMYFUNCTION("""COMPUTED_VALUE"""),"Oksigen 7m3")</f>
        <v>Oksigen 7m3</v>
      </c>
      <c r="H3388" s="211" t="str">
        <f>IFERROR(__xludf.DUMMYFUNCTION("""COMPUTED_VALUE"""),"IN")</f>
        <v>IN</v>
      </c>
      <c r="I3388" s="211" t="str">
        <f>IFERROR(__xludf.DUMMYFUNCTION("""COMPUTED_VALUE"""),"EMPTY")</f>
        <v>EMPTY</v>
      </c>
      <c r="J3388" s="211">
        <f>IFERROR(__xludf.DUMMYFUNCTION("""COMPUTED_VALUE"""),1.0)</f>
        <v>1</v>
      </c>
      <c r="K3388" s="210" t="str">
        <f>IFERROR(__xludf.DUMMYFUNCTION("""COMPUTED_VALUE"""),"11314")</f>
        <v>11314</v>
      </c>
      <c r="L3388" s="211">
        <f>IFERROR(__xludf.DUMMYFUNCTION("""COMPUTED_VALUE"""),0.0)</f>
        <v>0</v>
      </c>
      <c r="M3388" s="211"/>
      <c r="N3388" s="211"/>
      <c r="O3388" s="211" t="b">
        <f>IFERROR(__xludf.DUMMYFUNCTION("""COMPUTED_VALUE"""),FALSE)</f>
        <v>0</v>
      </c>
    </row>
    <row r="3389">
      <c r="A3389" s="210" t="str">
        <f>IFERROR(__xludf.DUMMYFUNCTION("""COMPUTED_VALUE"""),"1261131")</f>
        <v>1261131</v>
      </c>
      <c r="B3389" s="210" t="str">
        <f>IFERROR(__xludf.DUMMYFUNCTION("""COMPUTED_VALUE"""),"1261131")</f>
        <v>1261131</v>
      </c>
      <c r="C3389" s="213">
        <f>IFERROR(__xludf.DUMMYFUNCTION("""COMPUTED_VALUE"""),46043.610497685186)</f>
        <v>46043.6105</v>
      </c>
      <c r="D3389" s="211" t="str">
        <f>IFERROR(__xludf.DUMMYFUNCTION("""COMPUTED_VALUE"""),"ec231cc9")</f>
        <v>ec231cc9</v>
      </c>
      <c r="E3389" s="211" t="str">
        <f>IFERROR(__xludf.DUMMYFUNCTION("""COMPUTED_VALUE"""),"Bpk. Kohir (Maintenance Velg)")</f>
        <v>Bpk. Kohir (Maintenance Velg)</v>
      </c>
      <c r="F3389" s="211" t="str">
        <f>IFERROR(__xludf.DUMMYFUNCTION("""COMPUTED_VALUE"""),"ef306e54")</f>
        <v>ef306e54</v>
      </c>
      <c r="G3389" s="211" t="str">
        <f>IFERROR(__xludf.DUMMYFUNCTION("""COMPUTED_VALUE"""),"Karbondioksida")</f>
        <v>Karbondioksida</v>
      </c>
      <c r="H3389" s="211" t="str">
        <f>IFERROR(__xludf.DUMMYFUNCTION("""COMPUTED_VALUE"""),"IN")</f>
        <v>IN</v>
      </c>
      <c r="I3389" s="211" t="str">
        <f>IFERROR(__xludf.DUMMYFUNCTION("""COMPUTED_VALUE"""),"EMPTY")</f>
        <v>EMPTY</v>
      </c>
      <c r="J3389" s="211">
        <f>IFERROR(__xludf.DUMMYFUNCTION("""COMPUTED_VALUE"""),1.0)</f>
        <v>1</v>
      </c>
      <c r="K3389" s="210" t="str">
        <f>IFERROR(__xludf.DUMMYFUNCTION("""COMPUTED_VALUE"""),"13028")</f>
        <v>13028</v>
      </c>
      <c r="L3389" s="211">
        <f>IFERROR(__xludf.DUMMYFUNCTION("""COMPUTED_VALUE"""),0.0)</f>
        <v>0</v>
      </c>
      <c r="M3389" s="211"/>
      <c r="N3389" s="211"/>
      <c r="O3389" s="211" t="b">
        <f>IFERROR(__xludf.DUMMYFUNCTION("""COMPUTED_VALUE"""),FALSE)</f>
        <v>0</v>
      </c>
    </row>
    <row r="3390">
      <c r="A3390" s="210" t="str">
        <f>IFERROR(__xludf.DUMMYFUNCTION("""COMPUTED_VALUE"""),"1261152")</f>
        <v>1261152</v>
      </c>
      <c r="B3390" s="210" t="str">
        <f>IFERROR(__xludf.DUMMYFUNCTION("""COMPUTED_VALUE"""),"1261152")</f>
        <v>1261152</v>
      </c>
      <c r="C3390" s="213">
        <f>IFERROR(__xludf.DUMMYFUNCTION("""COMPUTED_VALUE"""),46048.62605324074)</f>
        <v>46048.62605</v>
      </c>
      <c r="D3390" s="211" t="str">
        <f>IFERROR(__xludf.DUMMYFUNCTION("""COMPUTED_VALUE"""),"ec231cc9")</f>
        <v>ec231cc9</v>
      </c>
      <c r="E3390" s="211" t="str">
        <f>IFERROR(__xludf.DUMMYFUNCTION("""COMPUTED_VALUE"""),"Bpk. Kohir (Maintenance Velg)")</f>
        <v>Bpk. Kohir (Maintenance Velg)</v>
      </c>
      <c r="F3390" s="211" t="str">
        <f>IFERROR(__xludf.DUMMYFUNCTION("""COMPUTED_VALUE"""),"8bdbe149")</f>
        <v>8bdbe149</v>
      </c>
      <c r="G3390" s="211" t="str">
        <f>IFERROR(__xludf.DUMMYFUNCTION("""COMPUTED_VALUE"""),"Oksigen 6m3")</f>
        <v>Oksigen 6m3</v>
      </c>
      <c r="H3390" s="211" t="str">
        <f>IFERROR(__xludf.DUMMYFUNCTION("""COMPUTED_VALUE"""),"IN")</f>
        <v>IN</v>
      </c>
      <c r="I3390" s="211" t="str">
        <f>IFERROR(__xludf.DUMMYFUNCTION("""COMPUTED_VALUE"""),"EMPTY")</f>
        <v>EMPTY</v>
      </c>
      <c r="J3390" s="211">
        <f>IFERROR(__xludf.DUMMYFUNCTION("""COMPUTED_VALUE"""),1.0)</f>
        <v>1</v>
      </c>
      <c r="K3390" s="210" t="str">
        <f>IFERROR(__xludf.DUMMYFUNCTION("""COMPUTED_VALUE"""),"11348")</f>
        <v>11348</v>
      </c>
      <c r="L3390" s="211">
        <f>IFERROR(__xludf.DUMMYFUNCTION("""COMPUTED_VALUE"""),0.0)</f>
        <v>0</v>
      </c>
      <c r="M3390" s="211"/>
      <c r="N3390" s="211"/>
      <c r="O3390" s="211" t="b">
        <f>IFERROR(__xludf.DUMMYFUNCTION("""COMPUTED_VALUE"""),FALSE)</f>
        <v>0</v>
      </c>
    </row>
    <row r="3391">
      <c r="A3391" s="210" t="str">
        <f>IFERROR(__xludf.DUMMYFUNCTION("""COMPUTED_VALUE"""),"1261152")</f>
        <v>1261152</v>
      </c>
      <c r="B3391" s="210" t="str">
        <f>IFERROR(__xludf.DUMMYFUNCTION("""COMPUTED_VALUE"""),"1261152")</f>
        <v>1261152</v>
      </c>
      <c r="C3391" s="213">
        <f>IFERROR(__xludf.DUMMYFUNCTION("""COMPUTED_VALUE"""),46048.62605324074)</f>
        <v>46048.62605</v>
      </c>
      <c r="D3391" s="211" t="str">
        <f>IFERROR(__xludf.DUMMYFUNCTION("""COMPUTED_VALUE"""),"ec231cc9")</f>
        <v>ec231cc9</v>
      </c>
      <c r="E3391" s="211" t="str">
        <f>IFERROR(__xludf.DUMMYFUNCTION("""COMPUTED_VALUE"""),"Bpk. Kohir (Maintenance Velg)")</f>
        <v>Bpk. Kohir (Maintenance Velg)</v>
      </c>
      <c r="F3391" s="211" t="str">
        <f>IFERROR(__xludf.DUMMYFUNCTION("""COMPUTED_VALUE"""),"ef306e54")</f>
        <v>ef306e54</v>
      </c>
      <c r="G3391" s="211" t="str">
        <f>IFERROR(__xludf.DUMMYFUNCTION("""COMPUTED_VALUE"""),"Karbondioksida")</f>
        <v>Karbondioksida</v>
      </c>
      <c r="H3391" s="211" t="str">
        <f>IFERROR(__xludf.DUMMYFUNCTION("""COMPUTED_VALUE"""),"IN")</f>
        <v>IN</v>
      </c>
      <c r="I3391" s="211" t="str">
        <f>IFERROR(__xludf.DUMMYFUNCTION("""COMPUTED_VALUE"""),"EMPTY")</f>
        <v>EMPTY</v>
      </c>
      <c r="J3391" s="211">
        <f>IFERROR(__xludf.DUMMYFUNCTION("""COMPUTED_VALUE"""),2.0)</f>
        <v>2</v>
      </c>
      <c r="K3391" s="210" t="str">
        <f>IFERROR(__xludf.DUMMYFUNCTION("""COMPUTED_VALUE"""),"13014 13005")</f>
        <v>13014 13005</v>
      </c>
      <c r="L3391" s="211">
        <f>IFERROR(__xludf.DUMMYFUNCTION("""COMPUTED_VALUE"""),0.0)</f>
        <v>0</v>
      </c>
      <c r="M3391" s="211"/>
      <c r="N3391" s="211"/>
      <c r="O3391" s="211" t="b">
        <f>IFERROR(__xludf.DUMMYFUNCTION("""COMPUTED_VALUE"""),FALSE)</f>
        <v>0</v>
      </c>
    </row>
    <row r="3392">
      <c r="A3392" s="210" t="str">
        <f>IFERROR(__xludf.DUMMYFUNCTION("""COMPUTED_VALUE"""),"1261151")</f>
        <v>1261151</v>
      </c>
      <c r="B3392" s="210" t="str">
        <f>IFERROR(__xludf.DUMMYFUNCTION("""COMPUTED_VALUE"""),"1261151")</f>
        <v>1261151</v>
      </c>
      <c r="C3392" s="213">
        <f>IFERROR(__xludf.DUMMYFUNCTION("""COMPUTED_VALUE"""),46048.62657407407)</f>
        <v>46048.62657</v>
      </c>
      <c r="D3392" s="211" t="str">
        <f>IFERROR(__xludf.DUMMYFUNCTION("""COMPUTED_VALUE"""),"a0f0ad2d")</f>
        <v>a0f0ad2d</v>
      </c>
      <c r="E3392" s="211" t="str">
        <f>IFERROR(__xludf.DUMMYFUNCTION("""COMPUTED_VALUE"""),"CV. Yulie Jaya")</f>
        <v>CV. Yulie Jaya</v>
      </c>
      <c r="F3392" s="211" t="str">
        <f>IFERROR(__xludf.DUMMYFUNCTION("""COMPUTED_VALUE"""),"8bdbe149")</f>
        <v>8bdbe149</v>
      </c>
      <c r="G3392" s="211" t="str">
        <f>IFERROR(__xludf.DUMMYFUNCTION("""COMPUTED_VALUE"""),"Oksigen 6m3")</f>
        <v>Oksigen 6m3</v>
      </c>
      <c r="H3392" s="211" t="str">
        <f>IFERROR(__xludf.DUMMYFUNCTION("""COMPUTED_VALUE"""),"IN")</f>
        <v>IN</v>
      </c>
      <c r="I3392" s="211" t="str">
        <f>IFERROR(__xludf.DUMMYFUNCTION("""COMPUTED_VALUE"""),"EMPTY")</f>
        <v>EMPTY</v>
      </c>
      <c r="J3392" s="211">
        <f>IFERROR(__xludf.DUMMYFUNCTION("""COMPUTED_VALUE"""),3.0)</f>
        <v>3</v>
      </c>
      <c r="K3392" s="210" t="str">
        <f>IFERROR(__xludf.DUMMYFUNCTION("""COMPUTED_VALUE"""),"1136 1126 11124")</f>
        <v>1136 1126 11124</v>
      </c>
      <c r="L3392" s="211">
        <f>IFERROR(__xludf.DUMMYFUNCTION("""COMPUTED_VALUE"""),0.0)</f>
        <v>0</v>
      </c>
      <c r="M3392" s="211"/>
      <c r="N3392" s="211"/>
      <c r="O3392" s="211" t="b">
        <f>IFERROR(__xludf.DUMMYFUNCTION("""COMPUTED_VALUE"""),FALSE)</f>
        <v>0</v>
      </c>
    </row>
    <row r="3393">
      <c r="A3393" s="210" t="str">
        <f>IFERROR(__xludf.DUMMYFUNCTION("""COMPUTED_VALUE"""),"1261142")</f>
        <v>1261142</v>
      </c>
      <c r="B3393" s="210" t="str">
        <f>IFERROR(__xludf.DUMMYFUNCTION("""COMPUTED_VALUE"""),"1261142")</f>
        <v>1261142</v>
      </c>
      <c r="C3393" s="213">
        <f>IFERROR(__xludf.DUMMYFUNCTION("""COMPUTED_VALUE"""),46048.68990740741)</f>
        <v>46048.68991</v>
      </c>
      <c r="D3393" s="211" t="str">
        <f>IFERROR(__xludf.DUMMYFUNCTION("""COMPUTED_VALUE"""),"b2b5f2c5")</f>
        <v>b2b5f2c5</v>
      </c>
      <c r="E3393" s="211" t="str">
        <f>IFERROR(__xludf.DUMMYFUNCTION("""COMPUTED_VALUE"""),"Bengkel Las Bpk. Ari")</f>
        <v>Bengkel Las Bpk. Ari</v>
      </c>
      <c r="F3393" s="211" t="str">
        <f>IFERROR(__xludf.DUMMYFUNCTION("""COMPUTED_VALUE"""),"ef306e54")</f>
        <v>ef306e54</v>
      </c>
      <c r="G3393" s="211" t="str">
        <f>IFERROR(__xludf.DUMMYFUNCTION("""COMPUTED_VALUE"""),"Karbondioksida")</f>
        <v>Karbondioksida</v>
      </c>
      <c r="H3393" s="211" t="str">
        <f>IFERROR(__xludf.DUMMYFUNCTION("""COMPUTED_VALUE"""),"IN")</f>
        <v>IN</v>
      </c>
      <c r="I3393" s="211" t="str">
        <f>IFERROR(__xludf.DUMMYFUNCTION("""COMPUTED_VALUE"""),"EMPTY")</f>
        <v>EMPTY</v>
      </c>
      <c r="J3393" s="211">
        <f>IFERROR(__xludf.DUMMYFUNCTION("""COMPUTED_VALUE"""),3.0)</f>
        <v>3</v>
      </c>
      <c r="K3393" s="210" t="str">
        <f>IFERROR(__xludf.DUMMYFUNCTION("""COMPUTED_VALUE"""),"13008 13064 13065")</f>
        <v>13008 13064 13065</v>
      </c>
      <c r="L3393" s="211">
        <f>IFERROR(__xludf.DUMMYFUNCTION("""COMPUTED_VALUE"""),0.0)</f>
        <v>0</v>
      </c>
      <c r="M3393" s="211"/>
      <c r="N3393" s="211"/>
      <c r="O3393" s="211" t="b">
        <f>IFERROR(__xludf.DUMMYFUNCTION("""COMPUTED_VALUE"""),FALSE)</f>
        <v>0</v>
      </c>
    </row>
    <row r="3394">
      <c r="A3394" s="210" t="str">
        <f>IFERROR(__xludf.DUMMYFUNCTION("""COMPUTED_VALUE"""),"1261142")</f>
        <v>1261142</v>
      </c>
      <c r="B3394" s="210" t="str">
        <f>IFERROR(__xludf.DUMMYFUNCTION("""COMPUTED_VALUE"""),"1261142")</f>
        <v>1261142</v>
      </c>
      <c r="C3394" s="213">
        <f>IFERROR(__xludf.DUMMYFUNCTION("""COMPUTED_VALUE"""),46048.68990740741)</f>
        <v>46048.68991</v>
      </c>
      <c r="D3394" s="211" t="str">
        <f>IFERROR(__xludf.DUMMYFUNCTION("""COMPUTED_VALUE"""),"b2b5f2c5")</f>
        <v>b2b5f2c5</v>
      </c>
      <c r="E3394" s="211" t="str">
        <f>IFERROR(__xludf.DUMMYFUNCTION("""COMPUTED_VALUE"""),"Bengkel Las Bpk. Ari")</f>
        <v>Bengkel Las Bpk. Ari</v>
      </c>
      <c r="F3394" s="211" t="str">
        <f>IFERROR(__xludf.DUMMYFUNCTION("""COMPUTED_VALUE"""),"7d2764f1")</f>
        <v>7d2764f1</v>
      </c>
      <c r="G3394" s="211" t="str">
        <f>IFERROR(__xludf.DUMMYFUNCTION("""COMPUTED_VALUE"""),"Oksigen 7m3")</f>
        <v>Oksigen 7m3</v>
      </c>
      <c r="H3394" s="211" t="str">
        <f>IFERROR(__xludf.DUMMYFUNCTION("""COMPUTED_VALUE"""),"IN")</f>
        <v>IN</v>
      </c>
      <c r="I3394" s="211" t="str">
        <f>IFERROR(__xludf.DUMMYFUNCTION("""COMPUTED_VALUE"""),"EMPTY")</f>
        <v>EMPTY</v>
      </c>
      <c r="J3394" s="211">
        <f>IFERROR(__xludf.DUMMYFUNCTION("""COMPUTED_VALUE"""),3.0)</f>
        <v>3</v>
      </c>
      <c r="K3394" s="210" t="str">
        <f>IFERROR(__xludf.DUMMYFUNCTION("""COMPUTED_VALUE"""),"11171 741 11307")</f>
        <v>11171 741 11307</v>
      </c>
      <c r="L3394" s="211">
        <f>IFERROR(__xludf.DUMMYFUNCTION("""COMPUTED_VALUE"""),0.0)</f>
        <v>0</v>
      </c>
      <c r="M3394" s="211"/>
      <c r="N3394" s="211"/>
      <c r="O3394" s="211" t="b">
        <f>IFERROR(__xludf.DUMMYFUNCTION("""COMPUTED_VALUE"""),FALSE)</f>
        <v>0</v>
      </c>
    </row>
    <row r="3395">
      <c r="A3395" s="210" t="str">
        <f>IFERROR(__xludf.DUMMYFUNCTION("""COMPUTED_VALUE"""),"1261142")</f>
        <v>1261142</v>
      </c>
      <c r="B3395" s="210" t="str">
        <f>IFERROR(__xludf.DUMMYFUNCTION("""COMPUTED_VALUE"""),"1261142")</f>
        <v>1261142</v>
      </c>
      <c r="C3395" s="213">
        <f>IFERROR(__xludf.DUMMYFUNCTION("""COMPUTED_VALUE"""),46048.68990740741)</f>
        <v>46048.68991</v>
      </c>
      <c r="D3395" s="211" t="str">
        <f>IFERROR(__xludf.DUMMYFUNCTION("""COMPUTED_VALUE"""),"b2b5f2c5")</f>
        <v>b2b5f2c5</v>
      </c>
      <c r="E3395" s="211" t="str">
        <f>IFERROR(__xludf.DUMMYFUNCTION("""COMPUTED_VALUE"""),"Bengkel Las Bpk. Ari")</f>
        <v>Bengkel Las Bpk. Ari</v>
      </c>
      <c r="F3395" s="211" t="str">
        <f>IFERROR(__xludf.DUMMYFUNCTION("""COMPUTED_VALUE"""),"8bdbe149")</f>
        <v>8bdbe149</v>
      </c>
      <c r="G3395" s="211" t="str">
        <f>IFERROR(__xludf.DUMMYFUNCTION("""COMPUTED_VALUE"""),"Oksigen 6m3")</f>
        <v>Oksigen 6m3</v>
      </c>
      <c r="H3395" s="211" t="str">
        <f>IFERROR(__xludf.DUMMYFUNCTION("""COMPUTED_VALUE"""),"IN")</f>
        <v>IN</v>
      </c>
      <c r="I3395" s="211" t="str">
        <f>IFERROR(__xludf.DUMMYFUNCTION("""COMPUTED_VALUE"""),"EMPTY")</f>
        <v>EMPTY</v>
      </c>
      <c r="J3395" s="211">
        <f>IFERROR(__xludf.DUMMYFUNCTION("""COMPUTED_VALUE"""),1.0)</f>
        <v>1</v>
      </c>
      <c r="K3395" s="210" t="str">
        <f>IFERROR(__xludf.DUMMYFUNCTION("""COMPUTED_VALUE"""),"11115")</f>
        <v>11115</v>
      </c>
      <c r="L3395" s="211">
        <f>IFERROR(__xludf.DUMMYFUNCTION("""COMPUTED_VALUE"""),0.0)</f>
        <v>0</v>
      </c>
      <c r="M3395" s="211"/>
      <c r="N3395" s="211"/>
      <c r="O3395" s="211" t="b">
        <f>IFERROR(__xludf.DUMMYFUNCTION("""COMPUTED_VALUE"""),FALSE)</f>
        <v>0</v>
      </c>
    </row>
    <row r="3396">
      <c r="A3396" s="210" t="str">
        <f>IFERROR(__xludf.DUMMYFUNCTION("""COMPUTED_VALUE"""),"012682358")</f>
        <v>012682358</v>
      </c>
      <c r="B3396" s="210" t="str">
        <f>IFERROR(__xludf.DUMMYFUNCTION("""COMPUTED_VALUE"""),"012682358")</f>
        <v>012682358</v>
      </c>
      <c r="C3396" s="213">
        <f>IFERROR(__xludf.DUMMYFUNCTION("""COMPUTED_VALUE"""),46049.35649305556)</f>
        <v>46049.35649</v>
      </c>
      <c r="D3396" s="211" t="str">
        <f>IFERROR(__xludf.DUMMYFUNCTION("""COMPUTED_VALUE"""),"bdb5baf3")</f>
        <v>bdb5baf3</v>
      </c>
      <c r="E3396" s="211" t="str">
        <f>IFERROR(__xludf.DUMMYFUNCTION("""COMPUTED_VALUE"""),"Bpk. Abdul")</f>
        <v>Bpk. Abdul</v>
      </c>
      <c r="F3396" s="211" t="str">
        <f>IFERROR(__xludf.DUMMYFUNCTION("""COMPUTED_VALUE"""),"0e3fc7f3")</f>
        <v>0e3fc7f3</v>
      </c>
      <c r="G3396" s="211" t="str">
        <f>IFERROR(__xludf.DUMMYFUNCTION("""COMPUTED_VALUE"""),"Acetylene MR")</f>
        <v>Acetylene MR</v>
      </c>
      <c r="H3396" s="211" t="str">
        <f>IFERROR(__xludf.DUMMYFUNCTION("""COMPUTED_VALUE"""),"OUT")</f>
        <v>OUT</v>
      </c>
      <c r="I3396" s="211" t="str">
        <f>IFERROR(__xludf.DUMMYFUNCTION("""COMPUTED_VALUE"""),"NORMAL")</f>
        <v>NORMAL</v>
      </c>
      <c r="J3396" s="211">
        <f>IFERROR(__xludf.DUMMYFUNCTION("""COMPUTED_VALUE"""),1.0)</f>
        <v>1</v>
      </c>
      <c r="K3396" s="211"/>
      <c r="L3396" s="211">
        <f>IFERROR(__xludf.DUMMYFUNCTION("""COMPUTED_VALUE"""),400000.0)</f>
        <v>400000</v>
      </c>
      <c r="M3396" s="211"/>
      <c r="N3396" s="211"/>
      <c r="O3396" s="211" t="b">
        <f>IFERROR(__xludf.DUMMYFUNCTION("""COMPUTED_VALUE"""),FALSE)</f>
        <v>0</v>
      </c>
    </row>
    <row r="3397">
      <c r="A3397" s="210" t="str">
        <f>IFERROR(__xludf.DUMMYFUNCTION("""COMPUTED_VALUE"""),"1261153")</f>
        <v>1261153</v>
      </c>
      <c r="B3397" s="210" t="str">
        <f>IFERROR(__xludf.DUMMYFUNCTION("""COMPUTED_VALUE"""),"1261153")</f>
        <v>1261153</v>
      </c>
      <c r="C3397" s="213">
        <f>IFERROR(__xludf.DUMMYFUNCTION("""COMPUTED_VALUE"""),46049.36927083333)</f>
        <v>46049.36927</v>
      </c>
      <c r="D3397" s="211" t="str">
        <f>IFERROR(__xludf.DUMMYFUNCTION("""COMPUTED_VALUE"""),"bdb5baf3")</f>
        <v>bdb5baf3</v>
      </c>
      <c r="E3397" s="211" t="str">
        <f>IFERROR(__xludf.DUMMYFUNCTION("""COMPUTED_VALUE"""),"Bpk. Abdul")</f>
        <v>Bpk. Abdul</v>
      </c>
      <c r="F3397" s="211" t="str">
        <f>IFERROR(__xludf.DUMMYFUNCTION("""COMPUTED_VALUE"""),"3b9d6a30")</f>
        <v>3b9d6a30</v>
      </c>
      <c r="G3397" s="211" t="str">
        <f>IFERROR(__xludf.DUMMYFUNCTION("""COMPUTED_VALUE"""),"Acetyline")</f>
        <v>Acetyline</v>
      </c>
      <c r="H3397" s="211" t="str">
        <f>IFERROR(__xludf.DUMMYFUNCTION("""COMPUTED_VALUE"""),"IN")</f>
        <v>IN</v>
      </c>
      <c r="I3397" s="211" t="str">
        <f>IFERROR(__xludf.DUMMYFUNCTION("""COMPUTED_VALUE"""),"EMPTY")</f>
        <v>EMPTY</v>
      </c>
      <c r="J3397" s="211">
        <f>IFERROR(__xludf.DUMMYFUNCTION("""COMPUTED_VALUE"""),1.0)</f>
        <v>1</v>
      </c>
      <c r="K3397" s="211"/>
      <c r="L3397" s="211">
        <f>IFERROR(__xludf.DUMMYFUNCTION("""COMPUTED_VALUE"""),0.0)</f>
        <v>0</v>
      </c>
      <c r="M3397" s="211"/>
      <c r="N3397" s="211"/>
      <c r="O3397" s="211" t="b">
        <f>IFERROR(__xludf.DUMMYFUNCTION("""COMPUTED_VALUE"""),FALSE)</f>
        <v>0</v>
      </c>
    </row>
    <row r="3398">
      <c r="A3398" s="210" t="str">
        <f>IFERROR(__xludf.DUMMYFUNCTION("""COMPUTED_VALUE"""),"0126162364")</f>
        <v>0126162364</v>
      </c>
      <c r="B3398" s="210" t="str">
        <f>IFERROR(__xludf.DUMMYFUNCTION("""COMPUTED_VALUE"""),"0126162364")</f>
        <v>0126162364</v>
      </c>
      <c r="C3398" s="213">
        <f>IFERROR(__xludf.DUMMYFUNCTION("""COMPUTED_VALUE"""),46049.37813657407)</f>
        <v>46049.37814</v>
      </c>
      <c r="D3398" s="211" t="str">
        <f>IFERROR(__xludf.DUMMYFUNCTION("""COMPUTED_VALUE"""),"8ea74d81")</f>
        <v>8ea74d81</v>
      </c>
      <c r="E3398" s="211" t="str">
        <f>IFERROR(__xludf.DUMMYFUNCTION("""COMPUTED_VALUE"""),"Bengkel Adi Putra")</f>
        <v>Bengkel Adi Putra</v>
      </c>
      <c r="F3398" s="211" t="str">
        <f>IFERROR(__xludf.DUMMYFUNCTION("""COMPUTED_VALUE"""),"8bdbe149")</f>
        <v>8bdbe149</v>
      </c>
      <c r="G3398" s="211" t="str">
        <f>IFERROR(__xludf.DUMMYFUNCTION("""COMPUTED_VALUE"""),"Oksigen 6m3")</f>
        <v>Oksigen 6m3</v>
      </c>
      <c r="H3398" s="211" t="str">
        <f>IFERROR(__xludf.DUMMYFUNCTION("""COMPUTED_VALUE"""),"OUT")</f>
        <v>OUT</v>
      </c>
      <c r="I3398" s="211" t="str">
        <f>IFERROR(__xludf.DUMMYFUNCTION("""COMPUTED_VALUE"""),"NORMAL")</f>
        <v>NORMAL</v>
      </c>
      <c r="J3398" s="211">
        <f>IFERROR(__xludf.DUMMYFUNCTION("""COMPUTED_VALUE"""),2.0)</f>
        <v>2</v>
      </c>
      <c r="K3398" s="210" t="str">
        <f>IFERROR(__xludf.DUMMYFUNCTION("""COMPUTED_VALUE"""),"1181 1126")</f>
        <v>1181 1126</v>
      </c>
      <c r="L3398" s="211">
        <f>IFERROR(__xludf.DUMMYFUNCTION("""COMPUTED_VALUE"""),70000.0)</f>
        <v>70000</v>
      </c>
      <c r="M3398" s="211"/>
      <c r="N3398" s="211"/>
      <c r="O3398" s="211" t="b">
        <f>IFERROR(__xludf.DUMMYFUNCTION("""COMPUTED_VALUE"""),FALSE)</f>
        <v>0</v>
      </c>
    </row>
    <row r="3399">
      <c r="A3399" s="210" t="str">
        <f>IFERROR(__xludf.DUMMYFUNCTION("""COMPUTED_VALUE"""),"0126442366")</f>
        <v>0126442366</v>
      </c>
      <c r="B3399" s="210" t="str">
        <f>IFERROR(__xludf.DUMMYFUNCTION("""COMPUTED_VALUE"""),"0126442366")</f>
        <v>0126442366</v>
      </c>
      <c r="C3399" s="213">
        <f>IFERROR(__xludf.DUMMYFUNCTION("""COMPUTED_VALUE"""),46049.38143518518)</f>
        <v>46049.38144</v>
      </c>
      <c r="D3399" s="211" t="str">
        <f>IFERROR(__xludf.DUMMYFUNCTION("""COMPUTED_VALUE"""),"01158be1")</f>
        <v>01158be1</v>
      </c>
      <c r="E3399" s="211" t="str">
        <f>IFERROR(__xludf.DUMMYFUNCTION("""COMPUTED_VALUE"""),"GYF")</f>
        <v>GYF</v>
      </c>
      <c r="F3399" s="211" t="str">
        <f>IFERROR(__xludf.DUMMYFUNCTION("""COMPUTED_VALUE"""),"8bdbe149")</f>
        <v>8bdbe149</v>
      </c>
      <c r="G3399" s="211" t="str">
        <f>IFERROR(__xludf.DUMMYFUNCTION("""COMPUTED_VALUE"""),"Oksigen 6m3")</f>
        <v>Oksigen 6m3</v>
      </c>
      <c r="H3399" s="211" t="str">
        <f>IFERROR(__xludf.DUMMYFUNCTION("""COMPUTED_VALUE"""),"OUT")</f>
        <v>OUT</v>
      </c>
      <c r="I3399" s="211" t="str">
        <f>IFERROR(__xludf.DUMMYFUNCTION("""COMPUTED_VALUE"""),"NORMAL")</f>
        <v>NORMAL</v>
      </c>
      <c r="J3399" s="211">
        <f>IFERROR(__xludf.DUMMYFUNCTION("""COMPUTED_VALUE"""),15.0)</f>
        <v>15</v>
      </c>
      <c r="K3399" s="210" t="str">
        <f>IFERROR(__xludf.DUMMYFUNCTION("""COMPUTED_VALUE"""),"11358 11357 11129 11211 11348 11238 11356 11124 11349 11351 11350 11355 11354 11353 11352")</f>
        <v>11358 11357 11129 11211 11348 11238 11356 11124 11349 11351 11350 11355 11354 11353 11352</v>
      </c>
      <c r="L3399" s="211">
        <f>IFERROR(__xludf.DUMMYFUNCTION("""COMPUTED_VALUE"""),45000.0)</f>
        <v>45000</v>
      </c>
      <c r="M3399" s="211"/>
      <c r="N3399" s="211"/>
      <c r="O3399" s="211" t="b">
        <f>IFERROR(__xludf.DUMMYFUNCTION("""COMPUTED_VALUE"""),FALSE)</f>
        <v>0</v>
      </c>
    </row>
    <row r="3400">
      <c r="A3400" s="210" t="str">
        <f>IFERROR(__xludf.DUMMYFUNCTION("""COMPUTED_VALUE"""),"0126162367")</f>
        <v>0126162367</v>
      </c>
      <c r="B3400" s="210" t="str">
        <f>IFERROR(__xludf.DUMMYFUNCTION("""COMPUTED_VALUE"""),"0126162367")</f>
        <v>0126162367</v>
      </c>
      <c r="C3400" s="213">
        <f>IFERROR(__xludf.DUMMYFUNCTION("""COMPUTED_VALUE"""),46049.38591435185)</f>
        <v>46049.38591</v>
      </c>
      <c r="D3400" s="211" t="str">
        <f>IFERROR(__xludf.DUMMYFUNCTION("""COMPUTED_VALUE"""),"a0f0ad2d")</f>
        <v>a0f0ad2d</v>
      </c>
      <c r="E3400" s="211" t="str">
        <f>IFERROR(__xludf.DUMMYFUNCTION("""COMPUTED_VALUE"""),"CV. Yulie Jaya")</f>
        <v>CV. Yulie Jaya</v>
      </c>
      <c r="F3400" s="211" t="str">
        <f>IFERROR(__xludf.DUMMYFUNCTION("""COMPUTED_VALUE"""),"7d2764f1")</f>
        <v>7d2764f1</v>
      </c>
      <c r="G3400" s="211" t="str">
        <f>IFERROR(__xludf.DUMMYFUNCTION("""COMPUTED_VALUE"""),"Oksigen 7m3")</f>
        <v>Oksigen 7m3</v>
      </c>
      <c r="H3400" s="211" t="str">
        <f>IFERROR(__xludf.DUMMYFUNCTION("""COMPUTED_VALUE"""),"OUT")</f>
        <v>OUT</v>
      </c>
      <c r="I3400" s="211" t="str">
        <f>IFERROR(__xludf.DUMMYFUNCTION("""COMPUTED_VALUE"""),"NORMAL")</f>
        <v>NORMAL</v>
      </c>
      <c r="J3400" s="211">
        <f>IFERROR(__xludf.DUMMYFUNCTION("""COMPUTED_VALUE"""),10.0)</f>
        <v>10</v>
      </c>
      <c r="K3400" s="210" t="str">
        <f>IFERROR(__xludf.DUMMYFUNCTION("""COMPUTED_VALUE"""),"11143 11146 11147 11163 11151 11171 11174 11329 11318 11149")</f>
        <v>11143 11146 11147 11163 11151 11171 11174 11329 11318 11149</v>
      </c>
      <c r="L3400" s="211">
        <f>IFERROR(__xludf.DUMMYFUNCTION("""COMPUTED_VALUE"""),65000.0)</f>
        <v>65000</v>
      </c>
      <c r="M3400" s="211"/>
      <c r="N3400" s="211"/>
      <c r="O3400" s="211" t="b">
        <f>IFERROR(__xludf.DUMMYFUNCTION("""COMPUTED_VALUE"""),FALSE)</f>
        <v>0</v>
      </c>
    </row>
    <row r="3401">
      <c r="A3401" s="210" t="str">
        <f>IFERROR(__xludf.DUMMYFUNCTION("""COMPUTED_VALUE"""),"0126162367")</f>
        <v>0126162367</v>
      </c>
      <c r="B3401" s="210" t="str">
        <f>IFERROR(__xludf.DUMMYFUNCTION("""COMPUTED_VALUE"""),"0126162367")</f>
        <v>0126162367</v>
      </c>
      <c r="C3401" s="213">
        <f>IFERROR(__xludf.DUMMYFUNCTION("""COMPUTED_VALUE"""),46049.38591435185)</f>
        <v>46049.38591</v>
      </c>
      <c r="D3401" s="211" t="str">
        <f>IFERROR(__xludf.DUMMYFUNCTION("""COMPUTED_VALUE"""),"a0f0ad2d")</f>
        <v>a0f0ad2d</v>
      </c>
      <c r="E3401" s="211" t="str">
        <f>IFERROR(__xludf.DUMMYFUNCTION("""COMPUTED_VALUE"""),"CV. Yulie Jaya")</f>
        <v>CV. Yulie Jaya</v>
      </c>
      <c r="F3401" s="211" t="str">
        <f>IFERROR(__xludf.DUMMYFUNCTION("""COMPUTED_VALUE"""),"be525f3b")</f>
        <v>be525f3b</v>
      </c>
      <c r="G3401" s="211" t="str">
        <f>IFERROR(__xludf.DUMMYFUNCTION("""COMPUTED_VALUE"""),"LPG 12kg")</f>
        <v>LPG 12kg</v>
      </c>
      <c r="H3401" s="211" t="str">
        <f>IFERROR(__xludf.DUMMYFUNCTION("""COMPUTED_VALUE"""),"OUT")</f>
        <v>OUT</v>
      </c>
      <c r="I3401" s="211" t="str">
        <f>IFERROR(__xludf.DUMMYFUNCTION("""COMPUTED_VALUE"""),"NORMAL")</f>
        <v>NORMAL</v>
      </c>
      <c r="J3401" s="211">
        <f>IFERROR(__xludf.DUMMYFUNCTION("""COMPUTED_VALUE"""),2.0)</f>
        <v>2</v>
      </c>
      <c r="K3401" s="210" t="str">
        <f>IFERROR(__xludf.DUMMYFUNCTION("""COMPUTED_VALUE"""),"L005 L006")</f>
        <v>L005 L006</v>
      </c>
      <c r="L3401" s="211">
        <f>IFERROR(__xludf.DUMMYFUNCTION("""COMPUTED_VALUE"""),215000.0)</f>
        <v>215000</v>
      </c>
      <c r="M3401" s="211"/>
      <c r="N3401" s="211"/>
      <c r="O3401" s="211" t="b">
        <f>IFERROR(__xludf.DUMMYFUNCTION("""COMPUTED_VALUE"""),FALSE)</f>
        <v>0</v>
      </c>
    </row>
    <row r="3402">
      <c r="A3402" s="210" t="str">
        <f>IFERROR(__xludf.DUMMYFUNCTION("""COMPUTED_VALUE"""),"0126772368")</f>
        <v>0126772368</v>
      </c>
      <c r="B3402" s="210" t="str">
        <f>IFERROR(__xludf.DUMMYFUNCTION("""COMPUTED_VALUE"""),"0126772368")</f>
        <v>0126772368</v>
      </c>
      <c r="C3402" s="213">
        <f>IFERROR(__xludf.DUMMYFUNCTION("""COMPUTED_VALUE"""),46049.40972222222)</f>
        <v>46049.40972</v>
      </c>
      <c r="D3402" s="211" t="str">
        <f>IFERROR(__xludf.DUMMYFUNCTION("""COMPUTED_VALUE"""),"b2b5f2c5")</f>
        <v>b2b5f2c5</v>
      </c>
      <c r="E3402" s="211" t="str">
        <f>IFERROR(__xludf.DUMMYFUNCTION("""COMPUTED_VALUE"""),"Bengkel Las Bpk. Ari")</f>
        <v>Bengkel Las Bpk. Ari</v>
      </c>
      <c r="F3402" s="211" t="str">
        <f>IFERROR(__xludf.DUMMYFUNCTION("""COMPUTED_VALUE"""),"ef306e54")</f>
        <v>ef306e54</v>
      </c>
      <c r="G3402" s="211" t="str">
        <f>IFERROR(__xludf.DUMMYFUNCTION("""COMPUTED_VALUE"""),"Karbondioksida")</f>
        <v>Karbondioksida</v>
      </c>
      <c r="H3402" s="211" t="str">
        <f>IFERROR(__xludf.DUMMYFUNCTION("""COMPUTED_VALUE"""),"OUT")</f>
        <v>OUT</v>
      </c>
      <c r="I3402" s="211" t="str">
        <f>IFERROR(__xludf.DUMMYFUNCTION("""COMPUTED_VALUE"""),"NORMAL")</f>
        <v>NORMAL</v>
      </c>
      <c r="J3402" s="211">
        <f>IFERROR(__xludf.DUMMYFUNCTION("""COMPUTED_VALUE"""),3.0)</f>
        <v>3</v>
      </c>
      <c r="K3402" s="210" t="str">
        <f>IFERROR(__xludf.DUMMYFUNCTION("""COMPUTED_VALUE"""),"13064 13058 13028")</f>
        <v>13064 13058 13028</v>
      </c>
      <c r="L3402" s="211">
        <f>IFERROR(__xludf.DUMMYFUNCTION("""COMPUTED_VALUE"""),180000.0)</f>
        <v>180000</v>
      </c>
      <c r="M3402" s="211"/>
      <c r="N3402" s="211"/>
      <c r="O3402" s="211" t="b">
        <f>IFERROR(__xludf.DUMMYFUNCTION("""COMPUTED_VALUE"""),FALSE)</f>
        <v>0</v>
      </c>
    </row>
    <row r="3403">
      <c r="A3403" s="210" t="str">
        <f>IFERROR(__xludf.DUMMYFUNCTION("""COMPUTED_VALUE"""),"0126772368")</f>
        <v>0126772368</v>
      </c>
      <c r="B3403" s="210" t="str">
        <f>IFERROR(__xludf.DUMMYFUNCTION("""COMPUTED_VALUE"""),"0126772368")</f>
        <v>0126772368</v>
      </c>
      <c r="C3403" s="213">
        <f>IFERROR(__xludf.DUMMYFUNCTION("""COMPUTED_VALUE"""),46049.40972222222)</f>
        <v>46049.40972</v>
      </c>
      <c r="D3403" s="211" t="str">
        <f>IFERROR(__xludf.DUMMYFUNCTION("""COMPUTED_VALUE"""),"b2b5f2c5")</f>
        <v>b2b5f2c5</v>
      </c>
      <c r="E3403" s="211" t="str">
        <f>IFERROR(__xludf.DUMMYFUNCTION("""COMPUTED_VALUE"""),"Bengkel Las Bpk. Ari")</f>
        <v>Bengkel Las Bpk. Ari</v>
      </c>
      <c r="F3403" s="211" t="str">
        <f>IFERROR(__xludf.DUMMYFUNCTION("""COMPUTED_VALUE"""),"8bdbe149")</f>
        <v>8bdbe149</v>
      </c>
      <c r="G3403" s="211" t="str">
        <f>IFERROR(__xludf.DUMMYFUNCTION("""COMPUTED_VALUE"""),"Oksigen 6m3")</f>
        <v>Oksigen 6m3</v>
      </c>
      <c r="H3403" s="211" t="str">
        <f>IFERROR(__xludf.DUMMYFUNCTION("""COMPUTED_VALUE"""),"OUT")</f>
        <v>OUT</v>
      </c>
      <c r="I3403" s="211" t="str">
        <f>IFERROR(__xludf.DUMMYFUNCTION("""COMPUTED_VALUE"""),"NORMAL")</f>
        <v>NORMAL</v>
      </c>
      <c r="J3403" s="211">
        <f>IFERROR(__xludf.DUMMYFUNCTION("""COMPUTED_VALUE"""),6.0)</f>
        <v>6</v>
      </c>
      <c r="K3403" s="210" t="str">
        <f>IFERROR(__xludf.DUMMYFUNCTION("""COMPUTED_VALUE"""),"1198 11128 11180 1158 11240 11193")</f>
        <v>1198 11128 11180 1158 11240 11193</v>
      </c>
      <c r="L3403" s="211">
        <f>IFERROR(__xludf.DUMMYFUNCTION("""COMPUTED_VALUE"""),60000.0)</f>
        <v>60000</v>
      </c>
      <c r="M3403" s="211"/>
      <c r="N3403" s="211"/>
      <c r="O3403" s="211" t="b">
        <f>IFERROR(__xludf.DUMMYFUNCTION("""COMPUTED_VALUE"""),FALSE)</f>
        <v>0</v>
      </c>
    </row>
    <row r="3404">
      <c r="A3404" s="210" t="str">
        <f>IFERROR(__xludf.DUMMYFUNCTION("""COMPUTED_VALUE"""),"1261144")</f>
        <v>1261144</v>
      </c>
      <c r="B3404" s="210" t="str">
        <f>IFERROR(__xludf.DUMMYFUNCTION("""COMPUTED_VALUE"""),"1261144")</f>
        <v>1261144</v>
      </c>
      <c r="C3404" s="213">
        <f>IFERROR(__xludf.DUMMYFUNCTION("""COMPUTED_VALUE"""),46049.47534722222)</f>
        <v>46049.47535</v>
      </c>
      <c r="D3404" s="211" t="str">
        <f>IFERROR(__xludf.DUMMYFUNCTION("""COMPUTED_VALUE"""),"a0f0ad2d")</f>
        <v>a0f0ad2d</v>
      </c>
      <c r="E3404" s="211" t="str">
        <f>IFERROR(__xludf.DUMMYFUNCTION("""COMPUTED_VALUE"""),"CV. Yulie Jaya")</f>
        <v>CV. Yulie Jaya</v>
      </c>
      <c r="F3404" s="211" t="str">
        <f>IFERROR(__xludf.DUMMYFUNCTION("""COMPUTED_VALUE"""),"8bdbe149")</f>
        <v>8bdbe149</v>
      </c>
      <c r="G3404" s="211" t="str">
        <f>IFERROR(__xludf.DUMMYFUNCTION("""COMPUTED_VALUE"""),"Oksigen 6m3")</f>
        <v>Oksigen 6m3</v>
      </c>
      <c r="H3404" s="211" t="str">
        <f>IFERROR(__xludf.DUMMYFUNCTION("""COMPUTED_VALUE"""),"IN")</f>
        <v>IN</v>
      </c>
      <c r="I3404" s="211" t="str">
        <f>IFERROR(__xludf.DUMMYFUNCTION("""COMPUTED_VALUE"""),"EMPTY")</f>
        <v>EMPTY</v>
      </c>
      <c r="J3404" s="211">
        <f>IFERROR(__xludf.DUMMYFUNCTION("""COMPUTED_VALUE"""),4.0)</f>
        <v>4</v>
      </c>
      <c r="K3404" s="210" t="str">
        <f>IFERROR(__xludf.DUMMYFUNCTION("""COMPUTED_VALUE"""),"11182 11316 11200 11239")</f>
        <v>11182 11316 11200 11239</v>
      </c>
      <c r="L3404" s="211">
        <f>IFERROR(__xludf.DUMMYFUNCTION("""COMPUTED_VALUE"""),0.0)</f>
        <v>0</v>
      </c>
      <c r="M3404" s="211"/>
      <c r="N3404" s="211"/>
      <c r="O3404" s="211" t="b">
        <f>IFERROR(__xludf.DUMMYFUNCTION("""COMPUTED_VALUE"""),FALSE)</f>
        <v>0</v>
      </c>
    </row>
    <row r="3405">
      <c r="A3405" s="210" t="str">
        <f>IFERROR(__xludf.DUMMYFUNCTION("""COMPUTED_VALUE"""),"1261144")</f>
        <v>1261144</v>
      </c>
      <c r="B3405" s="210" t="str">
        <f>IFERROR(__xludf.DUMMYFUNCTION("""COMPUTED_VALUE"""),"1261144")</f>
        <v>1261144</v>
      </c>
      <c r="C3405" s="213">
        <f>IFERROR(__xludf.DUMMYFUNCTION("""COMPUTED_VALUE"""),46049.47534722222)</f>
        <v>46049.47535</v>
      </c>
      <c r="D3405" s="211" t="str">
        <f>IFERROR(__xludf.DUMMYFUNCTION("""COMPUTED_VALUE"""),"a0f0ad2d")</f>
        <v>a0f0ad2d</v>
      </c>
      <c r="E3405" s="211" t="str">
        <f>IFERROR(__xludf.DUMMYFUNCTION("""COMPUTED_VALUE"""),"CV. Yulie Jaya")</f>
        <v>CV. Yulie Jaya</v>
      </c>
      <c r="F3405" s="211" t="str">
        <f>IFERROR(__xludf.DUMMYFUNCTION("""COMPUTED_VALUE"""),"be525f3b")</f>
        <v>be525f3b</v>
      </c>
      <c r="G3405" s="211" t="str">
        <f>IFERROR(__xludf.DUMMYFUNCTION("""COMPUTED_VALUE"""),"LPG 12kg")</f>
        <v>LPG 12kg</v>
      </c>
      <c r="H3405" s="211" t="str">
        <f>IFERROR(__xludf.DUMMYFUNCTION("""COMPUTED_VALUE"""),"IN")</f>
        <v>IN</v>
      </c>
      <c r="I3405" s="211" t="str">
        <f>IFERROR(__xludf.DUMMYFUNCTION("""COMPUTED_VALUE"""),"EMPTY")</f>
        <v>EMPTY</v>
      </c>
      <c r="J3405" s="211">
        <f>IFERROR(__xludf.DUMMYFUNCTION("""COMPUTED_VALUE"""),2.0)</f>
        <v>2</v>
      </c>
      <c r="K3405" s="210" t="str">
        <f>IFERROR(__xludf.DUMMYFUNCTION("""COMPUTED_VALUE"""),"L006 L009")</f>
        <v>L006 L009</v>
      </c>
      <c r="L3405" s="211">
        <f>IFERROR(__xludf.DUMMYFUNCTION("""COMPUTED_VALUE"""),0.0)</f>
        <v>0</v>
      </c>
      <c r="M3405" s="211"/>
      <c r="N3405" s="211"/>
      <c r="O3405" s="211" t="b">
        <f>IFERROR(__xludf.DUMMYFUNCTION("""COMPUTED_VALUE"""),FALSE)</f>
        <v>0</v>
      </c>
    </row>
    <row r="3406">
      <c r="A3406" s="210" t="str">
        <f>IFERROR(__xludf.DUMMYFUNCTION("""COMPUTED_VALUE"""),"1261143")</f>
        <v>1261143</v>
      </c>
      <c r="B3406" s="210" t="str">
        <f>IFERROR(__xludf.DUMMYFUNCTION("""COMPUTED_VALUE"""),"1261143")</f>
        <v>1261143</v>
      </c>
      <c r="C3406" s="213">
        <f>IFERROR(__xludf.DUMMYFUNCTION("""COMPUTED_VALUE"""),46049.47619212963)</f>
        <v>46049.47619</v>
      </c>
      <c r="D3406" s="211" t="str">
        <f>IFERROR(__xludf.DUMMYFUNCTION("""COMPUTED_VALUE"""),"8ea74d81")</f>
        <v>8ea74d81</v>
      </c>
      <c r="E3406" s="211" t="str">
        <f>IFERROR(__xludf.DUMMYFUNCTION("""COMPUTED_VALUE"""),"Bengkel Adi Putra")</f>
        <v>Bengkel Adi Putra</v>
      </c>
      <c r="F3406" s="211" t="str">
        <f>IFERROR(__xludf.DUMMYFUNCTION("""COMPUTED_VALUE"""),"8bdbe149")</f>
        <v>8bdbe149</v>
      </c>
      <c r="G3406" s="211" t="str">
        <f>IFERROR(__xludf.DUMMYFUNCTION("""COMPUTED_VALUE"""),"Oksigen 6m3")</f>
        <v>Oksigen 6m3</v>
      </c>
      <c r="H3406" s="211" t="str">
        <f>IFERROR(__xludf.DUMMYFUNCTION("""COMPUTED_VALUE"""),"IN")</f>
        <v>IN</v>
      </c>
      <c r="I3406" s="211" t="str">
        <f>IFERROR(__xludf.DUMMYFUNCTION("""COMPUTED_VALUE"""),"EMPTY")</f>
        <v>EMPTY</v>
      </c>
      <c r="J3406" s="211">
        <f>IFERROR(__xludf.DUMMYFUNCTION("""COMPUTED_VALUE"""),3.0)</f>
        <v>3</v>
      </c>
      <c r="K3406" s="210" t="str">
        <f>IFERROR(__xludf.DUMMYFUNCTION("""COMPUTED_VALUE"""),"1111 11271 1168")</f>
        <v>1111 11271 1168</v>
      </c>
      <c r="L3406" s="211">
        <f>IFERROR(__xludf.DUMMYFUNCTION("""COMPUTED_VALUE"""),0.0)</f>
        <v>0</v>
      </c>
      <c r="M3406" s="211"/>
      <c r="N3406" s="211"/>
      <c r="O3406" s="211" t="b">
        <f>IFERROR(__xludf.DUMMYFUNCTION("""COMPUTED_VALUE"""),FALSE)</f>
        <v>0</v>
      </c>
    </row>
    <row r="3407">
      <c r="A3407" s="210" t="str">
        <f>IFERROR(__xludf.DUMMYFUNCTION("""COMPUTED_VALUE"""),"1261154")</f>
        <v>1261154</v>
      </c>
      <c r="B3407" s="210" t="str">
        <f>IFERROR(__xludf.DUMMYFUNCTION("""COMPUTED_VALUE"""),"1261154")</f>
        <v>1261154</v>
      </c>
      <c r="C3407" s="213">
        <f>IFERROR(__xludf.DUMMYFUNCTION("""COMPUTED_VALUE"""),46049.68667824074)</f>
        <v>46049.68668</v>
      </c>
      <c r="D3407" s="211" t="str">
        <f>IFERROR(__xludf.DUMMYFUNCTION("""COMPUTED_VALUE"""),"01158be1")</f>
        <v>01158be1</v>
      </c>
      <c r="E3407" s="211" t="str">
        <f>IFERROR(__xludf.DUMMYFUNCTION("""COMPUTED_VALUE"""),"GYF")</f>
        <v>GYF</v>
      </c>
      <c r="F3407" s="211" t="str">
        <f>IFERROR(__xludf.DUMMYFUNCTION("""COMPUTED_VALUE"""),"8bdbe149")</f>
        <v>8bdbe149</v>
      </c>
      <c r="G3407" s="211" t="str">
        <f>IFERROR(__xludf.DUMMYFUNCTION("""COMPUTED_VALUE"""),"Oksigen 6m3")</f>
        <v>Oksigen 6m3</v>
      </c>
      <c r="H3407" s="211" t="str">
        <f>IFERROR(__xludf.DUMMYFUNCTION("""COMPUTED_VALUE"""),"IN")</f>
        <v>IN</v>
      </c>
      <c r="I3407" s="211" t="str">
        <f>IFERROR(__xludf.DUMMYFUNCTION("""COMPUTED_VALUE"""),"EMPTY")</f>
        <v>EMPTY</v>
      </c>
      <c r="J3407" s="211">
        <f>IFERROR(__xludf.DUMMYFUNCTION("""COMPUTED_VALUE"""),4.0)</f>
        <v>4</v>
      </c>
      <c r="K3407" s="210" t="str">
        <f>IFERROR(__xludf.DUMMYFUNCTION("""COMPUTED_VALUE"""),"11183 1133 11267 1131")</f>
        <v>11183 1133 11267 1131</v>
      </c>
      <c r="L3407" s="211">
        <f>IFERROR(__xludf.DUMMYFUNCTION("""COMPUTED_VALUE"""),0.0)</f>
        <v>0</v>
      </c>
      <c r="M3407" s="211"/>
      <c r="N3407" s="211"/>
      <c r="O3407" s="211" t="b">
        <f>IFERROR(__xludf.DUMMYFUNCTION("""COMPUTED_VALUE"""),FALSE)</f>
        <v>0</v>
      </c>
    </row>
    <row r="3408">
      <c r="A3408" s="210" t="str">
        <f>IFERROR(__xludf.DUMMYFUNCTION("""COMPUTED_VALUE"""),"012612369")</f>
        <v>012612369</v>
      </c>
      <c r="B3408" s="210" t="str">
        <f>IFERROR(__xludf.DUMMYFUNCTION("""COMPUTED_VALUE"""),"012612369")</f>
        <v>012612369</v>
      </c>
      <c r="C3408" s="213">
        <f>IFERROR(__xludf.DUMMYFUNCTION("""COMPUTED_VALUE"""),46050.36010416667)</f>
        <v>46050.3601</v>
      </c>
      <c r="D3408" s="211" t="str">
        <f>IFERROR(__xludf.DUMMYFUNCTION("""COMPUTED_VALUE"""),"89d46c39")</f>
        <v>89d46c39</v>
      </c>
      <c r="E3408" s="211" t="str">
        <f>IFERROR(__xludf.DUMMYFUNCTION("""COMPUTED_VALUE"""),"PT Cakar Baja Persada")</f>
        <v>PT Cakar Baja Persada</v>
      </c>
      <c r="F3408" s="211" t="str">
        <f>IFERROR(__xludf.DUMMYFUNCTION("""COMPUTED_VALUE"""),"7d2764f1")</f>
        <v>7d2764f1</v>
      </c>
      <c r="G3408" s="211" t="str">
        <f>IFERROR(__xludf.DUMMYFUNCTION("""COMPUTED_VALUE"""),"Oksigen 7m3")</f>
        <v>Oksigen 7m3</v>
      </c>
      <c r="H3408" s="211" t="str">
        <f>IFERROR(__xludf.DUMMYFUNCTION("""COMPUTED_VALUE"""),"OUT")</f>
        <v>OUT</v>
      </c>
      <c r="I3408" s="211" t="str">
        <f>IFERROR(__xludf.DUMMYFUNCTION("""COMPUTED_VALUE"""),"NORMAL")</f>
        <v>NORMAL</v>
      </c>
      <c r="J3408" s="211">
        <f>IFERROR(__xludf.DUMMYFUNCTION("""COMPUTED_VALUE"""),2.0)</f>
        <v>2</v>
      </c>
      <c r="K3408" s="210" t="str">
        <f>IFERROR(__xludf.DUMMYFUNCTION("""COMPUTED_VALUE"""),"11335 11338")</f>
        <v>11335 11338</v>
      </c>
      <c r="L3408" s="211">
        <f>IFERROR(__xludf.DUMMYFUNCTION("""COMPUTED_VALUE"""),54054.05)</f>
        <v>54054.05</v>
      </c>
      <c r="M3408" s="211"/>
      <c r="N3408" s="211"/>
      <c r="O3408" s="211" t="b">
        <f>IFERROR(__xludf.DUMMYFUNCTION("""COMPUTED_VALUE"""),FALSE)</f>
        <v>0</v>
      </c>
    </row>
    <row r="3409">
      <c r="A3409" s="210" t="str">
        <f>IFERROR(__xludf.DUMMYFUNCTION("""COMPUTED_VALUE"""),"012612369")</f>
        <v>012612369</v>
      </c>
      <c r="B3409" s="210" t="str">
        <f>IFERROR(__xludf.DUMMYFUNCTION("""COMPUTED_VALUE"""),"012612369")</f>
        <v>012612369</v>
      </c>
      <c r="C3409" s="213">
        <f>IFERROR(__xludf.DUMMYFUNCTION("""COMPUTED_VALUE"""),46050.36010416667)</f>
        <v>46050.3601</v>
      </c>
      <c r="D3409" s="211" t="str">
        <f>IFERROR(__xludf.DUMMYFUNCTION("""COMPUTED_VALUE"""),"89d46c39")</f>
        <v>89d46c39</v>
      </c>
      <c r="E3409" s="211" t="str">
        <f>IFERROR(__xludf.DUMMYFUNCTION("""COMPUTED_VALUE"""),"PT Cakar Baja Persada")</f>
        <v>PT Cakar Baja Persada</v>
      </c>
      <c r="F3409" s="211" t="str">
        <f>IFERROR(__xludf.DUMMYFUNCTION("""COMPUTED_VALUE"""),"3b9d6a30")</f>
        <v>3b9d6a30</v>
      </c>
      <c r="G3409" s="211" t="str">
        <f>IFERROR(__xludf.DUMMYFUNCTION("""COMPUTED_VALUE"""),"Acetyline")</f>
        <v>Acetyline</v>
      </c>
      <c r="H3409" s="211" t="str">
        <f>IFERROR(__xludf.DUMMYFUNCTION("""COMPUTED_VALUE"""),"OUT")</f>
        <v>OUT</v>
      </c>
      <c r="I3409" s="211" t="str">
        <f>IFERROR(__xludf.DUMMYFUNCTION("""COMPUTED_VALUE"""),"NORMAL")</f>
        <v>NORMAL</v>
      </c>
      <c r="J3409" s="211">
        <f>IFERROR(__xludf.DUMMYFUNCTION("""COMPUTED_VALUE"""),1.0)</f>
        <v>1</v>
      </c>
      <c r="K3409" s="210" t="str">
        <f>IFERROR(__xludf.DUMMYFUNCTION("""COMPUTED_VALUE"""),"7003")</f>
        <v>7003</v>
      </c>
      <c r="L3409" s="211">
        <f>IFERROR(__xludf.DUMMYFUNCTION("""COMPUTED_VALUE"""),405405.41)</f>
        <v>405405.41</v>
      </c>
      <c r="M3409" s="211"/>
      <c r="N3409" s="211"/>
      <c r="O3409" s="211" t="b">
        <f>IFERROR(__xludf.DUMMYFUNCTION("""COMPUTED_VALUE"""),FALSE)</f>
        <v>0</v>
      </c>
    </row>
    <row r="3410">
      <c r="A3410" s="210" t="str">
        <f>IFERROR(__xludf.DUMMYFUNCTION("""COMPUTED_VALUE"""),"0126292373")</f>
        <v>0126292373</v>
      </c>
      <c r="B3410" s="210" t="str">
        <f>IFERROR(__xludf.DUMMYFUNCTION("""COMPUTED_VALUE"""),"0126292373")</f>
        <v>0126292373</v>
      </c>
      <c r="C3410" s="213">
        <f>IFERROR(__xludf.DUMMYFUNCTION("""COMPUTED_VALUE"""),46050.36048611111)</f>
        <v>46050.36049</v>
      </c>
      <c r="D3410" s="211" t="str">
        <f>IFERROR(__xludf.DUMMYFUNCTION("""COMPUTED_VALUE"""),"2d88931c")</f>
        <v>2d88931c</v>
      </c>
      <c r="E3410" s="211" t="str">
        <f>IFERROR(__xludf.DUMMYFUNCTION("""COMPUTED_VALUE"""),"PT Dunia Berkat Marga Mulya")</f>
        <v>PT Dunia Berkat Marga Mulya</v>
      </c>
      <c r="F3410" s="211" t="str">
        <f>IFERROR(__xludf.DUMMYFUNCTION("""COMPUTED_VALUE"""),"8bdbe149")</f>
        <v>8bdbe149</v>
      </c>
      <c r="G3410" s="211" t="str">
        <f>IFERROR(__xludf.DUMMYFUNCTION("""COMPUTED_VALUE"""),"Oksigen 6m3")</f>
        <v>Oksigen 6m3</v>
      </c>
      <c r="H3410" s="211" t="str">
        <f>IFERROR(__xludf.DUMMYFUNCTION("""COMPUTED_VALUE"""),"OUT")</f>
        <v>OUT</v>
      </c>
      <c r="I3410" s="211" t="str">
        <f>IFERROR(__xludf.DUMMYFUNCTION("""COMPUTED_VALUE"""),"NORMAL")</f>
        <v>NORMAL</v>
      </c>
      <c r="J3410" s="211">
        <f>IFERROR(__xludf.DUMMYFUNCTION("""COMPUTED_VALUE"""),5.0)</f>
        <v>5</v>
      </c>
      <c r="K3410" s="210" t="str">
        <f>IFERROR(__xludf.DUMMYFUNCTION("""COMPUTED_VALUE"""),"1190 11276 1199 1136 1168")</f>
        <v>1190 11276 1199 1136 1168</v>
      </c>
      <c r="L3410" s="211">
        <f>IFERROR(__xludf.DUMMYFUNCTION("""COMPUTED_VALUE"""),60000.0)</f>
        <v>60000</v>
      </c>
      <c r="M3410" s="211"/>
      <c r="N3410" s="211"/>
      <c r="O3410" s="211" t="b">
        <f>IFERROR(__xludf.DUMMYFUNCTION("""COMPUTED_VALUE"""),FALSE)</f>
        <v>0</v>
      </c>
    </row>
    <row r="3411">
      <c r="A3411" s="210" t="str">
        <f>IFERROR(__xludf.DUMMYFUNCTION("""COMPUTED_VALUE"""),"0126402374")</f>
        <v>0126402374</v>
      </c>
      <c r="B3411" s="210" t="str">
        <f>IFERROR(__xludf.DUMMYFUNCTION("""COMPUTED_VALUE"""),"0126402374")</f>
        <v>0126402374</v>
      </c>
      <c r="C3411" s="213">
        <f>IFERROR(__xludf.DUMMYFUNCTION("""COMPUTED_VALUE"""),46050.3618287037)</f>
        <v>46050.36183</v>
      </c>
      <c r="D3411" s="211" t="str">
        <f>IFERROR(__xludf.DUMMYFUNCTION("""COMPUTED_VALUE"""),"ec231cc9")</f>
        <v>ec231cc9</v>
      </c>
      <c r="E3411" s="211" t="str">
        <f>IFERROR(__xludf.DUMMYFUNCTION("""COMPUTED_VALUE"""),"Bpk. Kohir (Maintenance Velg)")</f>
        <v>Bpk. Kohir (Maintenance Velg)</v>
      </c>
      <c r="F3411" s="211" t="str">
        <f>IFERROR(__xludf.DUMMYFUNCTION("""COMPUTED_VALUE"""),"8bdbe149")</f>
        <v>8bdbe149</v>
      </c>
      <c r="G3411" s="211" t="str">
        <f>IFERROR(__xludf.DUMMYFUNCTION("""COMPUTED_VALUE"""),"Oksigen 6m3")</f>
        <v>Oksigen 6m3</v>
      </c>
      <c r="H3411" s="211" t="str">
        <f>IFERROR(__xludf.DUMMYFUNCTION("""COMPUTED_VALUE"""),"OUT")</f>
        <v>OUT</v>
      </c>
      <c r="I3411" s="211" t="str">
        <f>IFERROR(__xludf.DUMMYFUNCTION("""COMPUTED_VALUE"""),"NORMAL")</f>
        <v>NORMAL</v>
      </c>
      <c r="J3411" s="211">
        <f>IFERROR(__xludf.DUMMYFUNCTION("""COMPUTED_VALUE"""),2.0)</f>
        <v>2</v>
      </c>
      <c r="K3411" s="210" t="str">
        <f>IFERROR(__xludf.DUMMYFUNCTION("""COMPUTED_VALUE"""),"11316 1186")</f>
        <v>11316 1186</v>
      </c>
      <c r="L3411" s="211">
        <f>IFERROR(__xludf.DUMMYFUNCTION("""COMPUTED_VALUE"""),55000.0)</f>
        <v>55000</v>
      </c>
      <c r="M3411" s="211"/>
      <c r="N3411" s="211"/>
      <c r="O3411" s="211" t="b">
        <f>IFERROR(__xludf.DUMMYFUNCTION("""COMPUTED_VALUE"""),FALSE)</f>
        <v>0</v>
      </c>
    </row>
    <row r="3412">
      <c r="A3412" s="210" t="str">
        <f>IFERROR(__xludf.DUMMYFUNCTION("""COMPUTED_VALUE"""),"0126402374")</f>
        <v>0126402374</v>
      </c>
      <c r="B3412" s="210" t="str">
        <f>IFERROR(__xludf.DUMMYFUNCTION("""COMPUTED_VALUE"""),"0126402374")</f>
        <v>0126402374</v>
      </c>
      <c r="C3412" s="213">
        <f>IFERROR(__xludf.DUMMYFUNCTION("""COMPUTED_VALUE"""),46050.3618287037)</f>
        <v>46050.36183</v>
      </c>
      <c r="D3412" s="211" t="str">
        <f>IFERROR(__xludf.DUMMYFUNCTION("""COMPUTED_VALUE"""),"ec231cc9")</f>
        <v>ec231cc9</v>
      </c>
      <c r="E3412" s="211" t="str">
        <f>IFERROR(__xludf.DUMMYFUNCTION("""COMPUTED_VALUE"""),"Bpk. Kohir (Maintenance Velg)")</f>
        <v>Bpk. Kohir (Maintenance Velg)</v>
      </c>
      <c r="F3412" s="211" t="str">
        <f>IFERROR(__xludf.DUMMYFUNCTION("""COMPUTED_VALUE"""),"ef306e54")</f>
        <v>ef306e54</v>
      </c>
      <c r="G3412" s="211" t="str">
        <f>IFERROR(__xludf.DUMMYFUNCTION("""COMPUTED_VALUE"""),"Karbondioksida")</f>
        <v>Karbondioksida</v>
      </c>
      <c r="H3412" s="211" t="str">
        <f>IFERROR(__xludf.DUMMYFUNCTION("""COMPUTED_VALUE"""),"OUT")</f>
        <v>OUT</v>
      </c>
      <c r="I3412" s="211" t="str">
        <f>IFERROR(__xludf.DUMMYFUNCTION("""COMPUTED_VALUE"""),"NORMAL")</f>
        <v>NORMAL</v>
      </c>
      <c r="J3412" s="211">
        <f>IFERROR(__xludf.DUMMYFUNCTION("""COMPUTED_VALUE"""),2.0)</f>
        <v>2</v>
      </c>
      <c r="K3412" s="210" t="str">
        <f>IFERROR(__xludf.DUMMYFUNCTION("""COMPUTED_VALUE"""),"13006 13014")</f>
        <v>13006 13014</v>
      </c>
      <c r="L3412" s="211">
        <f>IFERROR(__xludf.DUMMYFUNCTION("""COMPUTED_VALUE"""),175000.0)</f>
        <v>175000</v>
      </c>
      <c r="M3412" s="211"/>
      <c r="N3412" s="211"/>
      <c r="O3412" s="211" t="b">
        <f>IFERROR(__xludf.DUMMYFUNCTION("""COMPUTED_VALUE"""),FALSE)</f>
        <v>0</v>
      </c>
    </row>
    <row r="3413">
      <c r="A3413" s="210" t="str">
        <f>IFERROR(__xludf.DUMMYFUNCTION("""COMPUTED_VALUE"""),"0126382375")</f>
        <v>0126382375</v>
      </c>
      <c r="B3413" s="210" t="str">
        <f>IFERROR(__xludf.DUMMYFUNCTION("""COMPUTED_VALUE"""),"0126382375")</f>
        <v>0126382375</v>
      </c>
      <c r="C3413" s="213">
        <f>IFERROR(__xludf.DUMMYFUNCTION("""COMPUTED_VALUE"""),46050.367256944446)</f>
        <v>46050.36726</v>
      </c>
      <c r="D3413" s="211" t="str">
        <f>IFERROR(__xludf.DUMMYFUNCTION("""COMPUTED_VALUE"""),"ce83e171")</f>
        <v>ce83e171</v>
      </c>
      <c r="E3413" s="211" t="str">
        <f>IFERROR(__xludf.DUMMYFUNCTION("""COMPUTED_VALUE"""),"Bpk. Sulaiman")</f>
        <v>Bpk. Sulaiman</v>
      </c>
      <c r="F3413" s="211" t="str">
        <f>IFERROR(__xludf.DUMMYFUNCTION("""COMPUTED_VALUE"""),"7d2764f1")</f>
        <v>7d2764f1</v>
      </c>
      <c r="G3413" s="211" t="str">
        <f>IFERROR(__xludf.DUMMYFUNCTION("""COMPUTED_VALUE"""),"Oksigen 7m3")</f>
        <v>Oksigen 7m3</v>
      </c>
      <c r="H3413" s="211" t="str">
        <f>IFERROR(__xludf.DUMMYFUNCTION("""COMPUTED_VALUE"""),"OUT")</f>
        <v>OUT</v>
      </c>
      <c r="I3413" s="211" t="str">
        <f>IFERROR(__xludf.DUMMYFUNCTION("""COMPUTED_VALUE"""),"NORMAL")</f>
        <v>NORMAL</v>
      </c>
      <c r="J3413" s="211">
        <f>IFERROR(__xludf.DUMMYFUNCTION("""COMPUTED_VALUE"""),3.0)</f>
        <v>3</v>
      </c>
      <c r="K3413" s="210" t="str">
        <f>IFERROR(__xludf.DUMMYFUNCTION("""COMPUTED_VALUE"""),"11333 11307 11314")</f>
        <v>11333 11307 11314</v>
      </c>
      <c r="L3413" s="211">
        <f>IFERROR(__xludf.DUMMYFUNCTION("""COMPUTED_VALUE"""),55000.0)</f>
        <v>55000</v>
      </c>
      <c r="M3413" s="211"/>
      <c r="N3413" s="211"/>
      <c r="O3413" s="211" t="b">
        <f>IFERROR(__xludf.DUMMYFUNCTION("""COMPUTED_VALUE"""),FALSE)</f>
        <v>0</v>
      </c>
    </row>
    <row r="3414">
      <c r="A3414" s="210" t="str">
        <f>IFERROR(__xludf.DUMMYFUNCTION("""COMPUTED_VALUE"""),"0126172376")</f>
        <v>0126172376</v>
      </c>
      <c r="B3414" s="210" t="str">
        <f>IFERROR(__xludf.DUMMYFUNCTION("""COMPUTED_VALUE"""),"0126172376")</f>
        <v>0126172376</v>
      </c>
      <c r="C3414" s="213">
        <f>IFERROR(__xludf.DUMMYFUNCTION("""COMPUTED_VALUE"""),46050.37126157407)</f>
        <v>46050.37126</v>
      </c>
      <c r="D3414" s="211" t="str">
        <f>IFERROR(__xludf.DUMMYFUNCTION("""COMPUTED_VALUE"""),"8ea74d81")</f>
        <v>8ea74d81</v>
      </c>
      <c r="E3414" s="211" t="str">
        <f>IFERROR(__xludf.DUMMYFUNCTION("""COMPUTED_VALUE"""),"Bengkel Adi Putra")</f>
        <v>Bengkel Adi Putra</v>
      </c>
      <c r="F3414" s="211" t="str">
        <f>IFERROR(__xludf.DUMMYFUNCTION("""COMPUTED_VALUE"""),"ef306e54")</f>
        <v>ef306e54</v>
      </c>
      <c r="G3414" s="211" t="str">
        <f>IFERROR(__xludf.DUMMYFUNCTION("""COMPUTED_VALUE"""),"Karbondioksida")</f>
        <v>Karbondioksida</v>
      </c>
      <c r="H3414" s="211" t="str">
        <f>IFERROR(__xludf.DUMMYFUNCTION("""COMPUTED_VALUE"""),"OUT")</f>
        <v>OUT</v>
      </c>
      <c r="I3414" s="211" t="str">
        <f>IFERROR(__xludf.DUMMYFUNCTION("""COMPUTED_VALUE"""),"NORMAL")</f>
        <v>NORMAL</v>
      </c>
      <c r="J3414" s="211">
        <f>IFERROR(__xludf.DUMMYFUNCTION("""COMPUTED_VALUE"""),1.0)</f>
        <v>1</v>
      </c>
      <c r="K3414" s="210" t="str">
        <f>IFERROR(__xludf.DUMMYFUNCTION("""COMPUTED_VALUE"""),"13005")</f>
        <v>13005</v>
      </c>
      <c r="L3414" s="211">
        <f>IFERROR(__xludf.DUMMYFUNCTION("""COMPUTED_VALUE"""),190000.0)</f>
        <v>190000</v>
      </c>
      <c r="M3414" s="211"/>
      <c r="N3414" s="211"/>
      <c r="O3414" s="211" t="b">
        <f>IFERROR(__xludf.DUMMYFUNCTION("""COMPUTED_VALUE"""),FALSE)</f>
        <v>0</v>
      </c>
    </row>
    <row r="3415">
      <c r="A3415" s="210" t="str">
        <f>IFERROR(__xludf.DUMMYFUNCTION("""COMPUTED_VALUE"""),"1261145")</f>
        <v>1261145</v>
      </c>
      <c r="B3415" s="210" t="str">
        <f>IFERROR(__xludf.DUMMYFUNCTION("""COMPUTED_VALUE"""),"1261145")</f>
        <v>1261145</v>
      </c>
      <c r="C3415" s="213">
        <f>IFERROR(__xludf.DUMMYFUNCTION("""COMPUTED_VALUE"""),46050.3996875)</f>
        <v>46050.39969</v>
      </c>
      <c r="D3415" s="211" t="str">
        <f>IFERROR(__xludf.DUMMYFUNCTION("""COMPUTED_VALUE"""),"b2b5f2c5")</f>
        <v>b2b5f2c5</v>
      </c>
      <c r="E3415" s="211" t="str">
        <f>IFERROR(__xludf.DUMMYFUNCTION("""COMPUTED_VALUE"""),"Bengkel Las Bpk. Ari")</f>
        <v>Bengkel Las Bpk. Ari</v>
      </c>
      <c r="F3415" s="211" t="str">
        <f>IFERROR(__xludf.DUMMYFUNCTION("""COMPUTED_VALUE"""),"8bdbe149")</f>
        <v>8bdbe149</v>
      </c>
      <c r="G3415" s="211" t="str">
        <f>IFERROR(__xludf.DUMMYFUNCTION("""COMPUTED_VALUE"""),"Oksigen 6m3")</f>
        <v>Oksigen 6m3</v>
      </c>
      <c r="H3415" s="211" t="str">
        <f>IFERROR(__xludf.DUMMYFUNCTION("""COMPUTED_VALUE"""),"IN")</f>
        <v>IN</v>
      </c>
      <c r="I3415" s="211" t="str">
        <f>IFERROR(__xludf.DUMMYFUNCTION("""COMPUTED_VALUE"""),"EMPTY")</f>
        <v>EMPTY</v>
      </c>
      <c r="J3415" s="211">
        <f>IFERROR(__xludf.DUMMYFUNCTION("""COMPUTED_VALUE"""),3.0)</f>
        <v>3</v>
      </c>
      <c r="K3415" s="210" t="str">
        <f>IFERROR(__xludf.DUMMYFUNCTION("""COMPUTED_VALUE"""),"11282 11177 11188")</f>
        <v>11282 11177 11188</v>
      </c>
      <c r="L3415" s="211">
        <f>IFERROR(__xludf.DUMMYFUNCTION("""COMPUTED_VALUE"""),0.0)</f>
        <v>0</v>
      </c>
      <c r="M3415" s="211"/>
      <c r="N3415" s="211"/>
      <c r="O3415" s="211" t="b">
        <f>IFERROR(__xludf.DUMMYFUNCTION("""COMPUTED_VALUE"""),FALSE)</f>
        <v>0</v>
      </c>
    </row>
    <row r="3416">
      <c r="A3416" s="210" t="str">
        <f>IFERROR(__xludf.DUMMYFUNCTION("""COMPUTED_VALUE"""),"1261145")</f>
        <v>1261145</v>
      </c>
      <c r="B3416" s="210" t="str">
        <f>IFERROR(__xludf.DUMMYFUNCTION("""COMPUTED_VALUE"""),"1261145")</f>
        <v>1261145</v>
      </c>
      <c r="C3416" s="213">
        <f>IFERROR(__xludf.DUMMYFUNCTION("""COMPUTED_VALUE"""),46050.3996875)</f>
        <v>46050.39969</v>
      </c>
      <c r="D3416" s="211" t="str">
        <f>IFERROR(__xludf.DUMMYFUNCTION("""COMPUTED_VALUE"""),"b2b5f2c5")</f>
        <v>b2b5f2c5</v>
      </c>
      <c r="E3416" s="211" t="str">
        <f>IFERROR(__xludf.DUMMYFUNCTION("""COMPUTED_VALUE"""),"Bengkel Las Bpk. Ari")</f>
        <v>Bengkel Las Bpk. Ari</v>
      </c>
      <c r="F3416" s="211" t="str">
        <f>IFERROR(__xludf.DUMMYFUNCTION("""COMPUTED_VALUE"""),"7d2764f1")</f>
        <v>7d2764f1</v>
      </c>
      <c r="G3416" s="211" t="str">
        <f>IFERROR(__xludf.DUMMYFUNCTION("""COMPUTED_VALUE"""),"Oksigen 7m3")</f>
        <v>Oksigen 7m3</v>
      </c>
      <c r="H3416" s="211" t="str">
        <f>IFERROR(__xludf.DUMMYFUNCTION("""COMPUTED_VALUE"""),"IN")</f>
        <v>IN</v>
      </c>
      <c r="I3416" s="211" t="str">
        <f>IFERROR(__xludf.DUMMYFUNCTION("""COMPUTED_VALUE"""),"EMPTY")</f>
        <v>EMPTY</v>
      </c>
      <c r="J3416" s="211">
        <f>IFERROR(__xludf.DUMMYFUNCTION("""COMPUTED_VALUE"""),1.0)</f>
        <v>1</v>
      </c>
      <c r="K3416" s="210" t="str">
        <f>IFERROR(__xludf.DUMMYFUNCTION("""COMPUTED_VALUE"""),"11162")</f>
        <v>11162</v>
      </c>
      <c r="L3416" s="211">
        <f>IFERROR(__xludf.DUMMYFUNCTION("""COMPUTED_VALUE"""),0.0)</f>
        <v>0</v>
      </c>
      <c r="M3416" s="211"/>
      <c r="N3416" s="211"/>
      <c r="O3416" s="211" t="b">
        <f>IFERROR(__xludf.DUMMYFUNCTION("""COMPUTED_VALUE"""),FALSE)</f>
        <v>0</v>
      </c>
    </row>
    <row r="3417">
      <c r="A3417" s="210" t="str">
        <f>IFERROR(__xludf.DUMMYFUNCTION("""COMPUTED_VALUE"""),"012662377")</f>
        <v>012662377</v>
      </c>
      <c r="B3417" s="210" t="str">
        <f>IFERROR(__xludf.DUMMYFUNCTION("""COMPUTED_VALUE"""),"012662377")</f>
        <v>012662377</v>
      </c>
      <c r="C3417" s="213">
        <f>IFERROR(__xludf.DUMMYFUNCTION("""COMPUTED_VALUE"""),46050.40107638889)</f>
        <v>46050.40108</v>
      </c>
      <c r="D3417" s="211" t="str">
        <f>IFERROR(__xludf.DUMMYFUNCTION("""COMPUTED_VALUE"""),"9828dfc5")</f>
        <v>9828dfc5</v>
      </c>
      <c r="E3417" s="211" t="str">
        <f>IFERROR(__xludf.DUMMYFUNCTION("""COMPUTED_VALUE"""),"Bpk. David")</f>
        <v>Bpk. David</v>
      </c>
      <c r="F3417" s="211" t="str">
        <f>IFERROR(__xludf.DUMMYFUNCTION("""COMPUTED_VALUE"""),"8bdbe149")</f>
        <v>8bdbe149</v>
      </c>
      <c r="G3417" s="211" t="str">
        <f>IFERROR(__xludf.DUMMYFUNCTION("""COMPUTED_VALUE"""),"Oksigen 6m3")</f>
        <v>Oksigen 6m3</v>
      </c>
      <c r="H3417" s="211" t="str">
        <f>IFERROR(__xludf.DUMMYFUNCTION("""COMPUTED_VALUE"""),"OUT")</f>
        <v>OUT</v>
      </c>
      <c r="I3417" s="211" t="str">
        <f>IFERROR(__xludf.DUMMYFUNCTION("""COMPUTED_VALUE"""),"NORMAL")</f>
        <v>NORMAL</v>
      </c>
      <c r="J3417" s="211">
        <f>IFERROR(__xludf.DUMMYFUNCTION("""COMPUTED_VALUE"""),10.0)</f>
        <v>10</v>
      </c>
      <c r="K3417" s="210" t="str">
        <f>IFERROR(__xludf.DUMMYFUNCTION("""COMPUTED_VALUE"""),"11282 1131 11239 11271 11248 11267 11200 11115 1111 1133")</f>
        <v>11282 1131 11239 11271 11248 11267 11200 11115 1111 1133</v>
      </c>
      <c r="L3417" s="211">
        <f>IFERROR(__xludf.DUMMYFUNCTION("""COMPUTED_VALUE"""),60000.0)</f>
        <v>60000</v>
      </c>
      <c r="M3417" s="211"/>
      <c r="N3417" s="211"/>
      <c r="O3417" s="211" t="b">
        <f>IFERROR(__xludf.DUMMYFUNCTION("""COMPUTED_VALUE"""),FALSE)</f>
        <v>0</v>
      </c>
    </row>
    <row r="3418">
      <c r="A3418" s="210" t="str">
        <f>IFERROR(__xludf.DUMMYFUNCTION("""COMPUTED_VALUE"""),"012632379")</f>
        <v>012632379</v>
      </c>
      <c r="B3418" s="210" t="str">
        <f>IFERROR(__xludf.DUMMYFUNCTION("""COMPUTED_VALUE"""),"012632379")</f>
        <v>012632379</v>
      </c>
      <c r="C3418" s="213">
        <f>IFERROR(__xludf.DUMMYFUNCTION("""COMPUTED_VALUE"""),46050.4031712963)</f>
        <v>46050.40317</v>
      </c>
      <c r="D3418" s="211" t="str">
        <f>IFERROR(__xludf.DUMMYFUNCTION("""COMPUTED_VALUE"""),"98c84274")</f>
        <v>98c84274</v>
      </c>
      <c r="E3418" s="211" t="str">
        <f>IFERROR(__xludf.DUMMYFUNCTION("""COMPUTED_VALUE"""),"Bengkel SBM (Pak Hari)")</f>
        <v>Bengkel SBM (Pak Hari)</v>
      </c>
      <c r="F3418" s="211" t="str">
        <f>IFERROR(__xludf.DUMMYFUNCTION("""COMPUTED_VALUE"""),"8bdbe149")</f>
        <v>8bdbe149</v>
      </c>
      <c r="G3418" s="211" t="str">
        <f>IFERROR(__xludf.DUMMYFUNCTION("""COMPUTED_VALUE"""),"Oksigen 6m3")</f>
        <v>Oksigen 6m3</v>
      </c>
      <c r="H3418" s="211" t="str">
        <f>IFERROR(__xludf.DUMMYFUNCTION("""COMPUTED_VALUE"""),"OUT")</f>
        <v>OUT</v>
      </c>
      <c r="I3418" s="211" t="str">
        <f>IFERROR(__xludf.DUMMYFUNCTION("""COMPUTED_VALUE"""),"NORMAL")</f>
        <v>NORMAL</v>
      </c>
      <c r="J3418" s="211">
        <f>IFERROR(__xludf.DUMMYFUNCTION("""COMPUTED_VALUE"""),5.0)</f>
        <v>5</v>
      </c>
      <c r="K3418" s="210" t="str">
        <f>IFERROR(__xludf.DUMMYFUNCTION("""COMPUTED_VALUE"""),"11281 11182 11183 11326 11188")</f>
        <v>11281 11182 11183 11326 11188</v>
      </c>
      <c r="L3418" s="211">
        <f>IFERROR(__xludf.DUMMYFUNCTION("""COMPUTED_VALUE"""),60000.0)</f>
        <v>60000</v>
      </c>
      <c r="M3418" s="211"/>
      <c r="N3418" s="211"/>
      <c r="O3418" s="211" t="b">
        <f>IFERROR(__xludf.DUMMYFUNCTION("""COMPUTED_VALUE"""),FALSE)</f>
        <v>0</v>
      </c>
    </row>
    <row r="3419">
      <c r="A3419" s="210" t="str">
        <f>IFERROR(__xludf.DUMMYFUNCTION("""COMPUTED_VALUE"""),"012632379")</f>
        <v>012632379</v>
      </c>
      <c r="B3419" s="210" t="str">
        <f>IFERROR(__xludf.DUMMYFUNCTION("""COMPUTED_VALUE"""),"012632379")</f>
        <v>012632379</v>
      </c>
      <c r="C3419" s="213">
        <f>IFERROR(__xludf.DUMMYFUNCTION("""COMPUTED_VALUE"""),46050.4031712963)</f>
        <v>46050.40317</v>
      </c>
      <c r="D3419" s="211" t="str">
        <f>IFERROR(__xludf.DUMMYFUNCTION("""COMPUTED_VALUE"""),"98c84274")</f>
        <v>98c84274</v>
      </c>
      <c r="E3419" s="211" t="str">
        <f>IFERROR(__xludf.DUMMYFUNCTION("""COMPUTED_VALUE"""),"Bengkel SBM (Pak Hari)")</f>
        <v>Bengkel SBM (Pak Hari)</v>
      </c>
      <c r="F3419" s="211" t="str">
        <f>IFERROR(__xludf.DUMMYFUNCTION("""COMPUTED_VALUE"""),"ef306e54")</f>
        <v>ef306e54</v>
      </c>
      <c r="G3419" s="211" t="str">
        <f>IFERROR(__xludf.DUMMYFUNCTION("""COMPUTED_VALUE"""),"Karbondioksida")</f>
        <v>Karbondioksida</v>
      </c>
      <c r="H3419" s="211" t="str">
        <f>IFERROR(__xludf.DUMMYFUNCTION("""COMPUTED_VALUE"""),"OUT")</f>
        <v>OUT</v>
      </c>
      <c r="I3419" s="211" t="str">
        <f>IFERROR(__xludf.DUMMYFUNCTION("""COMPUTED_VALUE"""),"NORMAL")</f>
        <v>NORMAL</v>
      </c>
      <c r="J3419" s="211">
        <f>IFERROR(__xludf.DUMMYFUNCTION("""COMPUTED_VALUE"""),4.0)</f>
        <v>4</v>
      </c>
      <c r="K3419" s="210" t="str">
        <f>IFERROR(__xludf.DUMMYFUNCTION("""COMPUTED_VALUE"""),"13008 13010 13049 13003")</f>
        <v>13008 13010 13049 13003</v>
      </c>
      <c r="L3419" s="211">
        <f>IFERROR(__xludf.DUMMYFUNCTION("""COMPUTED_VALUE"""),190000.0)</f>
        <v>190000</v>
      </c>
      <c r="M3419" s="211"/>
      <c r="N3419" s="211"/>
      <c r="O3419" s="211" t="b">
        <f>IFERROR(__xludf.DUMMYFUNCTION("""COMPUTED_VALUE"""),FALSE)</f>
        <v>0</v>
      </c>
    </row>
    <row r="3420">
      <c r="A3420" s="211"/>
      <c r="B3420" s="211"/>
      <c r="C3420" s="211"/>
      <c r="D3420" s="211"/>
      <c r="E3420" s="211"/>
      <c r="F3420" s="211"/>
      <c r="G3420" s="211"/>
      <c r="H3420" s="211"/>
      <c r="I3420" s="211"/>
      <c r="J3420" s="211"/>
      <c r="K3420" s="211"/>
      <c r="L3420" s="211"/>
      <c r="M3420" s="211"/>
      <c r="N3420" s="211"/>
      <c r="O3420" s="211"/>
    </row>
    <row r="3421">
      <c r="A3421" s="210" t="str">
        <f>IFERROR(__xludf.DUMMYFUNCTION("""COMPUTED_VALUE"""),"0126202380")</f>
        <v>0126202380</v>
      </c>
      <c r="B3421" s="210" t="str">
        <f>IFERROR(__xludf.DUMMYFUNCTION("""COMPUTED_VALUE"""),"0126202380")</f>
        <v>0126202380</v>
      </c>
      <c r="C3421" s="213">
        <f>IFERROR(__xludf.DUMMYFUNCTION("""COMPUTED_VALUE"""),46050.41837962963)</f>
        <v>46050.41838</v>
      </c>
      <c r="D3421" s="211" t="str">
        <f>IFERROR(__xludf.DUMMYFUNCTION("""COMPUTED_VALUE"""),"182fb0fe")</f>
        <v>182fb0fe</v>
      </c>
      <c r="E3421" s="211" t="str">
        <f>IFERROR(__xludf.DUMMYFUNCTION("""COMPUTED_VALUE"""),"PT Amtech")</f>
        <v>PT Amtech</v>
      </c>
      <c r="F3421" s="211" t="str">
        <f>IFERROR(__xludf.DUMMYFUNCTION("""COMPUTED_VALUE"""),"8bdbe149")</f>
        <v>8bdbe149</v>
      </c>
      <c r="G3421" s="211" t="str">
        <f>IFERROR(__xludf.DUMMYFUNCTION("""COMPUTED_VALUE"""),"Oksigen 6m3")</f>
        <v>Oksigen 6m3</v>
      </c>
      <c r="H3421" s="211" t="str">
        <f>IFERROR(__xludf.DUMMYFUNCTION("""COMPUTED_VALUE"""),"OUT")</f>
        <v>OUT</v>
      </c>
      <c r="I3421" s="211" t="str">
        <f>IFERROR(__xludf.DUMMYFUNCTION("""COMPUTED_VALUE"""),"NORMAL")</f>
        <v>NORMAL</v>
      </c>
      <c r="J3421" s="211">
        <f>IFERROR(__xludf.DUMMYFUNCTION("""COMPUTED_VALUE"""),2.0)</f>
        <v>2</v>
      </c>
      <c r="K3421" s="210" t="str">
        <f>IFERROR(__xludf.DUMMYFUNCTION("""COMPUTED_VALUE"""),"1135 11177")</f>
        <v>1135 11177</v>
      </c>
      <c r="L3421" s="211">
        <f>IFERROR(__xludf.DUMMYFUNCTION("""COMPUTED_VALUE"""),60000.0)</f>
        <v>60000</v>
      </c>
      <c r="M3421" s="211"/>
      <c r="N3421" s="211"/>
      <c r="O3421" s="211" t="b">
        <f>IFERROR(__xludf.DUMMYFUNCTION("""COMPUTED_VALUE"""),FALSE)</f>
        <v>0</v>
      </c>
    </row>
    <row r="3422">
      <c r="A3422" s="210" t="str">
        <f>IFERROR(__xludf.DUMMYFUNCTION("""COMPUTED_VALUE"""),"0126222381")</f>
        <v>0126222381</v>
      </c>
      <c r="B3422" s="210" t="str">
        <f>IFERROR(__xludf.DUMMYFUNCTION("""COMPUTED_VALUE"""),"0126222381")</f>
        <v>0126222381</v>
      </c>
      <c r="C3422" s="213">
        <f>IFERROR(__xludf.DUMMYFUNCTION("""COMPUTED_VALUE"""),46050.433229166665)</f>
        <v>46050.43323</v>
      </c>
      <c r="D3422" s="211" t="str">
        <f>IFERROR(__xludf.DUMMYFUNCTION("""COMPUTED_VALUE"""),"4ec68cf6")</f>
        <v>4ec68cf6</v>
      </c>
      <c r="E3422" s="211" t="str">
        <f>IFERROR(__xludf.DUMMYFUNCTION("""COMPUTED_VALUE"""),"CV Sido Mukti Karya")</f>
        <v>CV Sido Mukti Karya</v>
      </c>
      <c r="F3422" s="211" t="str">
        <f>IFERROR(__xludf.DUMMYFUNCTION("""COMPUTED_VALUE"""),"8bdbe149")</f>
        <v>8bdbe149</v>
      </c>
      <c r="G3422" s="211" t="str">
        <f>IFERROR(__xludf.DUMMYFUNCTION("""COMPUTED_VALUE"""),"Oksigen 6m3")</f>
        <v>Oksigen 6m3</v>
      </c>
      <c r="H3422" s="211" t="str">
        <f>IFERROR(__xludf.DUMMYFUNCTION("""COMPUTED_VALUE"""),"OUT")</f>
        <v>OUT</v>
      </c>
      <c r="I3422" s="211" t="str">
        <f>IFERROR(__xludf.DUMMYFUNCTION("""COMPUTED_VALUE"""),"NORMAL")</f>
        <v>NORMAL</v>
      </c>
      <c r="J3422" s="211">
        <f>IFERROR(__xludf.DUMMYFUNCTION("""COMPUTED_VALUE"""),2.0)</f>
        <v>2</v>
      </c>
      <c r="K3422" s="210" t="str">
        <f>IFERROR(__xludf.DUMMYFUNCTION("""COMPUTED_VALUE"""),"1194 1207")</f>
        <v>1194 1207</v>
      </c>
      <c r="L3422" s="211">
        <f>IFERROR(__xludf.DUMMYFUNCTION("""COMPUTED_VALUE"""),60000.0)</f>
        <v>60000</v>
      </c>
      <c r="M3422" s="211"/>
      <c r="N3422" s="211"/>
      <c r="O3422" s="211" t="b">
        <f>IFERROR(__xludf.DUMMYFUNCTION("""COMPUTED_VALUE"""),FALSE)</f>
        <v>0</v>
      </c>
    </row>
    <row r="3423">
      <c r="A3423" s="210" t="str">
        <f>IFERROR(__xludf.DUMMYFUNCTION("""COMPUTED_VALUE"""),"0126222381")</f>
        <v>0126222381</v>
      </c>
      <c r="B3423" s="210" t="str">
        <f>IFERROR(__xludf.DUMMYFUNCTION("""COMPUTED_VALUE"""),"0126222381")</f>
        <v>0126222381</v>
      </c>
      <c r="C3423" s="213">
        <f>IFERROR(__xludf.DUMMYFUNCTION("""COMPUTED_VALUE"""),46050.433229166665)</f>
        <v>46050.43323</v>
      </c>
      <c r="D3423" s="211" t="str">
        <f>IFERROR(__xludf.DUMMYFUNCTION("""COMPUTED_VALUE"""),"4ec68cf6")</f>
        <v>4ec68cf6</v>
      </c>
      <c r="E3423" s="211" t="str">
        <f>IFERROR(__xludf.DUMMYFUNCTION("""COMPUTED_VALUE"""),"CV Sido Mukti Karya")</f>
        <v>CV Sido Mukti Karya</v>
      </c>
      <c r="F3423" s="211" t="str">
        <f>IFERROR(__xludf.DUMMYFUNCTION("""COMPUTED_VALUE"""),"7d2764f1")</f>
        <v>7d2764f1</v>
      </c>
      <c r="G3423" s="211" t="str">
        <f>IFERROR(__xludf.DUMMYFUNCTION("""COMPUTED_VALUE"""),"Oksigen 7m3")</f>
        <v>Oksigen 7m3</v>
      </c>
      <c r="H3423" s="211" t="str">
        <f>IFERROR(__xludf.DUMMYFUNCTION("""COMPUTED_VALUE"""),"OUT")</f>
        <v>OUT</v>
      </c>
      <c r="I3423" s="211" t="str">
        <f>IFERROR(__xludf.DUMMYFUNCTION("""COMPUTED_VALUE"""),"NORMAL")</f>
        <v>NORMAL</v>
      </c>
      <c r="J3423" s="211">
        <f>IFERROR(__xludf.DUMMYFUNCTION("""COMPUTED_VALUE"""),4.0)</f>
        <v>4</v>
      </c>
      <c r="K3423" s="210" t="str">
        <f>IFERROR(__xludf.DUMMYFUNCTION("""COMPUTED_VALUE"""),"76 741 11162 11178")</f>
        <v>76 741 11162 11178</v>
      </c>
      <c r="L3423" s="211">
        <f>IFERROR(__xludf.DUMMYFUNCTION("""COMPUTED_VALUE"""),60000.0)</f>
        <v>60000</v>
      </c>
      <c r="M3423" s="211"/>
      <c r="N3423" s="211"/>
      <c r="O3423" s="211" t="b">
        <f>IFERROR(__xludf.DUMMYFUNCTION("""COMPUTED_VALUE"""),FALSE)</f>
        <v>0</v>
      </c>
    </row>
    <row r="3424">
      <c r="A3424" s="210" t="str">
        <f>IFERROR(__xludf.DUMMYFUNCTION("""COMPUTED_VALUE"""),"0126222381")</f>
        <v>0126222381</v>
      </c>
      <c r="B3424" s="210" t="str">
        <f>IFERROR(__xludf.DUMMYFUNCTION("""COMPUTED_VALUE"""),"0126222381")</f>
        <v>0126222381</v>
      </c>
      <c r="C3424" s="213">
        <f>IFERROR(__xludf.DUMMYFUNCTION("""COMPUTED_VALUE"""),46050.433229166665)</f>
        <v>46050.43323</v>
      </c>
      <c r="D3424" s="211" t="str">
        <f>IFERROR(__xludf.DUMMYFUNCTION("""COMPUTED_VALUE"""),"4ec68cf6")</f>
        <v>4ec68cf6</v>
      </c>
      <c r="E3424" s="211" t="str">
        <f>IFERROR(__xludf.DUMMYFUNCTION("""COMPUTED_VALUE"""),"CV Sido Mukti Karya")</f>
        <v>CV Sido Mukti Karya</v>
      </c>
      <c r="F3424" s="211" t="str">
        <f>IFERROR(__xludf.DUMMYFUNCTION("""COMPUTED_VALUE"""),"ef306e54")</f>
        <v>ef306e54</v>
      </c>
      <c r="G3424" s="211" t="str">
        <f>IFERROR(__xludf.DUMMYFUNCTION("""COMPUTED_VALUE"""),"Karbondioksida")</f>
        <v>Karbondioksida</v>
      </c>
      <c r="H3424" s="211" t="str">
        <f>IFERROR(__xludf.DUMMYFUNCTION("""COMPUTED_VALUE"""),"OUT")</f>
        <v>OUT</v>
      </c>
      <c r="I3424" s="211" t="str">
        <f>IFERROR(__xludf.DUMMYFUNCTION("""COMPUTED_VALUE"""),"NORMAL")</f>
        <v>NORMAL</v>
      </c>
      <c r="J3424" s="211">
        <f>IFERROR(__xludf.DUMMYFUNCTION("""COMPUTED_VALUE"""),2.0)</f>
        <v>2</v>
      </c>
      <c r="K3424" s="210" t="str">
        <f>IFERROR(__xludf.DUMMYFUNCTION("""COMPUTED_VALUE"""),"13048 13050")</f>
        <v>13048 13050</v>
      </c>
      <c r="L3424" s="211">
        <f>IFERROR(__xludf.DUMMYFUNCTION("""COMPUTED_VALUE"""),180000.0)</f>
        <v>180000</v>
      </c>
      <c r="M3424" s="211"/>
      <c r="N3424" s="211"/>
      <c r="O3424" s="211" t="b">
        <f>IFERROR(__xludf.DUMMYFUNCTION("""COMPUTED_VALUE"""),FALSE)</f>
        <v>0</v>
      </c>
    </row>
    <row r="3425">
      <c r="A3425" s="210" t="str">
        <f>IFERROR(__xludf.DUMMYFUNCTION("""COMPUTED_VALUE"""),"1261146")</f>
        <v>1261146</v>
      </c>
      <c r="B3425" s="210" t="str">
        <f>IFERROR(__xludf.DUMMYFUNCTION("""COMPUTED_VALUE"""),"1261146")</f>
        <v>1261146</v>
      </c>
      <c r="C3425" s="213">
        <f>IFERROR(__xludf.DUMMYFUNCTION("""COMPUTED_VALUE"""),46050.49862268518)</f>
        <v>46050.49862</v>
      </c>
      <c r="D3425" s="211" t="str">
        <f>IFERROR(__xludf.DUMMYFUNCTION("""COMPUTED_VALUE"""),"4ec68cf6")</f>
        <v>4ec68cf6</v>
      </c>
      <c r="E3425" s="211" t="str">
        <f>IFERROR(__xludf.DUMMYFUNCTION("""COMPUTED_VALUE"""),"CV Sido Mukti Karya")</f>
        <v>CV Sido Mukti Karya</v>
      </c>
      <c r="F3425" s="211" t="str">
        <f>IFERROR(__xludf.DUMMYFUNCTION("""COMPUTED_VALUE"""),"8bdbe149")</f>
        <v>8bdbe149</v>
      </c>
      <c r="G3425" s="211" t="str">
        <f>IFERROR(__xludf.DUMMYFUNCTION("""COMPUTED_VALUE"""),"Oksigen 6m3")</f>
        <v>Oksigen 6m3</v>
      </c>
      <c r="H3425" s="211" t="str">
        <f>IFERROR(__xludf.DUMMYFUNCTION("""COMPUTED_VALUE"""),"IN")</f>
        <v>IN</v>
      </c>
      <c r="I3425" s="211" t="str">
        <f>IFERROR(__xludf.DUMMYFUNCTION("""COMPUTED_VALUE"""),"EMPTY")</f>
        <v>EMPTY</v>
      </c>
      <c r="J3425" s="211">
        <f>IFERROR(__xludf.DUMMYFUNCTION("""COMPUTED_VALUE"""),3.0)</f>
        <v>3</v>
      </c>
      <c r="K3425" s="210" t="str">
        <f>IFERROR(__xludf.DUMMYFUNCTION("""COMPUTED_VALUE"""),"1101 11186 11280")</f>
        <v>1101 11186 11280</v>
      </c>
      <c r="L3425" s="211">
        <f>IFERROR(__xludf.DUMMYFUNCTION("""COMPUTED_VALUE"""),0.0)</f>
        <v>0</v>
      </c>
      <c r="M3425" s="211"/>
      <c r="N3425" s="211"/>
      <c r="O3425" s="211" t="b">
        <f>IFERROR(__xludf.DUMMYFUNCTION("""COMPUTED_VALUE"""),FALSE)</f>
        <v>0</v>
      </c>
    </row>
    <row r="3426">
      <c r="A3426" s="210" t="str">
        <f>IFERROR(__xludf.DUMMYFUNCTION("""COMPUTED_VALUE"""),"1261146")</f>
        <v>1261146</v>
      </c>
      <c r="B3426" s="210" t="str">
        <f>IFERROR(__xludf.DUMMYFUNCTION("""COMPUTED_VALUE"""),"1261146")</f>
        <v>1261146</v>
      </c>
      <c r="C3426" s="213">
        <f>IFERROR(__xludf.DUMMYFUNCTION("""COMPUTED_VALUE"""),46050.49862268518)</f>
        <v>46050.49862</v>
      </c>
      <c r="D3426" s="211" t="str">
        <f>IFERROR(__xludf.DUMMYFUNCTION("""COMPUTED_VALUE"""),"4ec68cf6")</f>
        <v>4ec68cf6</v>
      </c>
      <c r="E3426" s="211" t="str">
        <f>IFERROR(__xludf.DUMMYFUNCTION("""COMPUTED_VALUE"""),"CV Sido Mukti Karya")</f>
        <v>CV Sido Mukti Karya</v>
      </c>
      <c r="F3426" s="211" t="str">
        <f>IFERROR(__xludf.DUMMYFUNCTION("""COMPUTED_VALUE"""),"7d2764f1")</f>
        <v>7d2764f1</v>
      </c>
      <c r="G3426" s="211" t="str">
        <f>IFERROR(__xludf.DUMMYFUNCTION("""COMPUTED_VALUE"""),"Oksigen 7m3")</f>
        <v>Oksigen 7m3</v>
      </c>
      <c r="H3426" s="211" t="str">
        <f>IFERROR(__xludf.DUMMYFUNCTION("""COMPUTED_VALUE"""),"IN")</f>
        <v>IN</v>
      </c>
      <c r="I3426" s="211" t="str">
        <f>IFERROR(__xludf.DUMMYFUNCTION("""COMPUTED_VALUE"""),"EMPTY")</f>
        <v>EMPTY</v>
      </c>
      <c r="J3426" s="211">
        <f>IFERROR(__xludf.DUMMYFUNCTION("""COMPUTED_VALUE"""),1.0)</f>
        <v>1</v>
      </c>
      <c r="K3426" s="210" t="str">
        <f>IFERROR(__xludf.DUMMYFUNCTION("""COMPUTED_VALUE"""),"11166")</f>
        <v>11166</v>
      </c>
      <c r="L3426" s="211">
        <f>IFERROR(__xludf.DUMMYFUNCTION("""COMPUTED_VALUE"""),0.0)</f>
        <v>0</v>
      </c>
      <c r="M3426" s="211"/>
      <c r="N3426" s="211"/>
      <c r="O3426" s="211" t="b">
        <f>IFERROR(__xludf.DUMMYFUNCTION("""COMPUTED_VALUE"""),FALSE)</f>
        <v>0</v>
      </c>
    </row>
    <row r="3427">
      <c r="A3427" s="210" t="str">
        <f>IFERROR(__xludf.DUMMYFUNCTION("""COMPUTED_VALUE"""),"1261147")</f>
        <v>1261147</v>
      </c>
      <c r="B3427" s="210" t="str">
        <f>IFERROR(__xludf.DUMMYFUNCTION("""COMPUTED_VALUE"""),"1261147")</f>
        <v>1261147</v>
      </c>
      <c r="C3427" s="213">
        <f>IFERROR(__xludf.DUMMYFUNCTION("""COMPUTED_VALUE"""),46050.49940972222)</f>
        <v>46050.49941</v>
      </c>
      <c r="D3427" s="211" t="str">
        <f>IFERROR(__xludf.DUMMYFUNCTION("""COMPUTED_VALUE"""),"182fb0fe")</f>
        <v>182fb0fe</v>
      </c>
      <c r="E3427" s="211" t="str">
        <f>IFERROR(__xludf.DUMMYFUNCTION("""COMPUTED_VALUE"""),"PT Amtech")</f>
        <v>PT Amtech</v>
      </c>
      <c r="F3427" s="211" t="str">
        <f>IFERROR(__xludf.DUMMYFUNCTION("""COMPUTED_VALUE"""),"8bdbe149")</f>
        <v>8bdbe149</v>
      </c>
      <c r="G3427" s="211" t="str">
        <f>IFERROR(__xludf.DUMMYFUNCTION("""COMPUTED_VALUE"""),"Oksigen 6m3")</f>
        <v>Oksigen 6m3</v>
      </c>
      <c r="H3427" s="211" t="str">
        <f>IFERROR(__xludf.DUMMYFUNCTION("""COMPUTED_VALUE"""),"IN")</f>
        <v>IN</v>
      </c>
      <c r="I3427" s="211" t="str">
        <f>IFERROR(__xludf.DUMMYFUNCTION("""COMPUTED_VALUE"""),"EMPTY")</f>
        <v>EMPTY</v>
      </c>
      <c r="J3427" s="211">
        <f>IFERROR(__xludf.DUMMYFUNCTION("""COMPUTED_VALUE"""),1.0)</f>
        <v>1</v>
      </c>
      <c r="K3427" s="210" t="str">
        <f>IFERROR(__xludf.DUMMYFUNCTION("""COMPUTED_VALUE"""),"11191")</f>
        <v>11191</v>
      </c>
      <c r="L3427" s="211">
        <f>IFERROR(__xludf.DUMMYFUNCTION("""COMPUTED_VALUE"""),0.0)</f>
        <v>0</v>
      </c>
      <c r="M3427" s="211"/>
      <c r="N3427" s="211"/>
      <c r="O3427" s="211" t="b">
        <f>IFERROR(__xludf.DUMMYFUNCTION("""COMPUTED_VALUE"""),FALSE)</f>
        <v>0</v>
      </c>
    </row>
    <row r="3428">
      <c r="A3428" s="210" t="str">
        <f>IFERROR(__xludf.DUMMYFUNCTION("""COMPUTED_VALUE"""),"1261157")</f>
        <v>1261157</v>
      </c>
      <c r="B3428" s="210" t="str">
        <f>IFERROR(__xludf.DUMMYFUNCTION("""COMPUTED_VALUE"""),"1261157")</f>
        <v>1261157</v>
      </c>
      <c r="C3428" s="213">
        <f>IFERROR(__xludf.DUMMYFUNCTION("""COMPUTED_VALUE"""),46050.50751157408)</f>
        <v>46050.50751</v>
      </c>
      <c r="D3428" s="211" t="str">
        <f>IFERROR(__xludf.DUMMYFUNCTION("""COMPUTED_VALUE"""),"ce83e171")</f>
        <v>ce83e171</v>
      </c>
      <c r="E3428" s="211" t="str">
        <f>IFERROR(__xludf.DUMMYFUNCTION("""COMPUTED_VALUE"""),"Bpk. Sulaiman")</f>
        <v>Bpk. Sulaiman</v>
      </c>
      <c r="F3428" s="211" t="str">
        <f>IFERROR(__xludf.DUMMYFUNCTION("""COMPUTED_VALUE"""),"7d2764f1")</f>
        <v>7d2764f1</v>
      </c>
      <c r="G3428" s="211" t="str">
        <f>IFERROR(__xludf.DUMMYFUNCTION("""COMPUTED_VALUE"""),"Oksigen 7m3")</f>
        <v>Oksigen 7m3</v>
      </c>
      <c r="H3428" s="211" t="str">
        <f>IFERROR(__xludf.DUMMYFUNCTION("""COMPUTED_VALUE"""),"IN")</f>
        <v>IN</v>
      </c>
      <c r="I3428" s="211" t="str">
        <f>IFERROR(__xludf.DUMMYFUNCTION("""COMPUTED_VALUE"""),"EMPTY")</f>
        <v>EMPTY</v>
      </c>
      <c r="J3428" s="211">
        <f>IFERROR(__xludf.DUMMYFUNCTION("""COMPUTED_VALUE"""),1.0)</f>
        <v>1</v>
      </c>
      <c r="K3428" s="210" t="str">
        <f>IFERROR(__xludf.DUMMYFUNCTION("""COMPUTED_VALUE"""),"11138")</f>
        <v>11138</v>
      </c>
      <c r="L3428" s="211">
        <f>IFERROR(__xludf.DUMMYFUNCTION("""COMPUTED_VALUE"""),0.0)</f>
        <v>0</v>
      </c>
      <c r="M3428" s="211"/>
      <c r="N3428" s="211"/>
      <c r="O3428" s="211" t="b">
        <f>IFERROR(__xludf.DUMMYFUNCTION("""COMPUTED_VALUE"""),FALSE)</f>
        <v>0</v>
      </c>
    </row>
    <row r="3429">
      <c r="A3429" s="210" t="str">
        <f>IFERROR(__xludf.DUMMYFUNCTION("""COMPUTED_VALUE"""),"1261157")</f>
        <v>1261157</v>
      </c>
      <c r="B3429" s="210" t="str">
        <f>IFERROR(__xludf.DUMMYFUNCTION("""COMPUTED_VALUE"""),"1261157")</f>
        <v>1261157</v>
      </c>
      <c r="C3429" s="213">
        <f>IFERROR(__xludf.DUMMYFUNCTION("""COMPUTED_VALUE"""),46050.50751157408)</f>
        <v>46050.50751</v>
      </c>
      <c r="D3429" s="211" t="str">
        <f>IFERROR(__xludf.DUMMYFUNCTION("""COMPUTED_VALUE"""),"ce83e171")</f>
        <v>ce83e171</v>
      </c>
      <c r="E3429" s="211" t="str">
        <f>IFERROR(__xludf.DUMMYFUNCTION("""COMPUTED_VALUE"""),"Bpk. Sulaiman")</f>
        <v>Bpk. Sulaiman</v>
      </c>
      <c r="F3429" s="211" t="str">
        <f>IFERROR(__xludf.DUMMYFUNCTION("""COMPUTED_VALUE"""),"f6aab7a9")</f>
        <v>f6aab7a9</v>
      </c>
      <c r="G3429" s="211" t="str">
        <f>IFERROR(__xludf.DUMMYFUNCTION("""COMPUTED_VALUE"""),"Oksigen 6m3 MR")</f>
        <v>Oksigen 6m3 MR</v>
      </c>
      <c r="H3429" s="211" t="str">
        <f>IFERROR(__xludf.DUMMYFUNCTION("""COMPUTED_VALUE"""),"IN")</f>
        <v>IN</v>
      </c>
      <c r="I3429" s="211" t="str">
        <f>IFERROR(__xludf.DUMMYFUNCTION("""COMPUTED_VALUE"""),"EMPTY")</f>
        <v>EMPTY</v>
      </c>
      <c r="J3429" s="211">
        <f>IFERROR(__xludf.DUMMYFUNCTION("""COMPUTED_VALUE"""),5.0)</f>
        <v>5</v>
      </c>
      <c r="K3429" s="211"/>
      <c r="L3429" s="211">
        <f>IFERROR(__xludf.DUMMYFUNCTION("""COMPUTED_VALUE"""),0.0)</f>
        <v>0</v>
      </c>
      <c r="M3429" s="211"/>
      <c r="N3429" s="211"/>
      <c r="O3429" s="211" t="b">
        <f>IFERROR(__xludf.DUMMYFUNCTION("""COMPUTED_VALUE"""),FALSE)</f>
        <v>0</v>
      </c>
    </row>
    <row r="3430">
      <c r="A3430" s="210" t="str">
        <f>IFERROR(__xludf.DUMMYFUNCTION("""COMPUTED_VALUE"""),"1261156")</f>
        <v>1261156</v>
      </c>
      <c r="B3430" s="210" t="str">
        <f>IFERROR(__xludf.DUMMYFUNCTION("""COMPUTED_VALUE"""),"1261156")</f>
        <v>1261156</v>
      </c>
      <c r="C3430" s="213">
        <f>IFERROR(__xludf.DUMMYFUNCTION("""COMPUTED_VALUE"""),46050.508564814816)</f>
        <v>46050.50856</v>
      </c>
      <c r="D3430" s="211" t="str">
        <f>IFERROR(__xludf.DUMMYFUNCTION("""COMPUTED_VALUE"""),"ec231cc9")</f>
        <v>ec231cc9</v>
      </c>
      <c r="E3430" s="211" t="str">
        <f>IFERROR(__xludf.DUMMYFUNCTION("""COMPUTED_VALUE"""),"Bpk. Kohir (Maintenance Velg)")</f>
        <v>Bpk. Kohir (Maintenance Velg)</v>
      </c>
      <c r="F3430" s="211" t="str">
        <f>IFERROR(__xludf.DUMMYFUNCTION("""COMPUTED_VALUE"""),"8bdbe149")</f>
        <v>8bdbe149</v>
      </c>
      <c r="G3430" s="211" t="str">
        <f>IFERROR(__xludf.DUMMYFUNCTION("""COMPUTED_VALUE"""),"Oksigen 6m3")</f>
        <v>Oksigen 6m3</v>
      </c>
      <c r="H3430" s="211" t="str">
        <f>IFERROR(__xludf.DUMMYFUNCTION("""COMPUTED_VALUE"""),"IN")</f>
        <v>IN</v>
      </c>
      <c r="I3430" s="211" t="str">
        <f>IFERROR(__xludf.DUMMYFUNCTION("""COMPUTED_VALUE"""),"EMPTY")</f>
        <v>EMPTY</v>
      </c>
      <c r="J3430" s="211">
        <f>IFERROR(__xludf.DUMMYFUNCTION("""COMPUTED_VALUE"""),3.0)</f>
        <v>3</v>
      </c>
      <c r="K3430" s="210" t="str">
        <f>IFERROR(__xludf.DUMMYFUNCTION("""COMPUTED_VALUE"""),"11346 11288 11344")</f>
        <v>11346 11288 11344</v>
      </c>
      <c r="L3430" s="211">
        <f>IFERROR(__xludf.DUMMYFUNCTION("""COMPUTED_VALUE"""),0.0)</f>
        <v>0</v>
      </c>
      <c r="M3430" s="211"/>
      <c r="N3430" s="211"/>
      <c r="O3430" s="211" t="b">
        <f>IFERROR(__xludf.DUMMYFUNCTION("""COMPUTED_VALUE"""),FALSE)</f>
        <v>0</v>
      </c>
    </row>
    <row r="3431">
      <c r="A3431" s="210" t="str">
        <f>IFERROR(__xludf.DUMMYFUNCTION("""COMPUTED_VALUE"""),"1261155")</f>
        <v>1261155</v>
      </c>
      <c r="B3431" s="210" t="str">
        <f>IFERROR(__xludf.DUMMYFUNCTION("""COMPUTED_VALUE"""),"1261155")</f>
        <v>1261155</v>
      </c>
      <c r="C3431" s="213">
        <f>IFERROR(__xludf.DUMMYFUNCTION("""COMPUTED_VALUE"""),46050.50894675926)</f>
        <v>46050.50895</v>
      </c>
      <c r="D3431" s="211" t="str">
        <f>IFERROR(__xludf.DUMMYFUNCTION("""COMPUTED_VALUE"""),"8ea74d81")</f>
        <v>8ea74d81</v>
      </c>
      <c r="E3431" s="211" t="str">
        <f>IFERROR(__xludf.DUMMYFUNCTION("""COMPUTED_VALUE"""),"Bengkel Adi Putra")</f>
        <v>Bengkel Adi Putra</v>
      </c>
      <c r="F3431" s="211" t="str">
        <f>IFERROR(__xludf.DUMMYFUNCTION("""COMPUTED_VALUE"""),"ef306e54")</f>
        <v>ef306e54</v>
      </c>
      <c r="G3431" s="211" t="str">
        <f>IFERROR(__xludf.DUMMYFUNCTION("""COMPUTED_VALUE"""),"Karbondioksida")</f>
        <v>Karbondioksida</v>
      </c>
      <c r="H3431" s="211" t="str">
        <f>IFERROR(__xludf.DUMMYFUNCTION("""COMPUTED_VALUE"""),"IN")</f>
        <v>IN</v>
      </c>
      <c r="I3431" s="211" t="str">
        <f>IFERROR(__xludf.DUMMYFUNCTION("""COMPUTED_VALUE"""),"EMPTY")</f>
        <v>EMPTY</v>
      </c>
      <c r="J3431" s="211">
        <f>IFERROR(__xludf.DUMMYFUNCTION("""COMPUTED_VALUE"""),1.0)</f>
        <v>1</v>
      </c>
      <c r="K3431" s="210" t="str">
        <f>IFERROR(__xludf.DUMMYFUNCTION("""COMPUTED_VALUE"""),"13034")</f>
        <v>13034</v>
      </c>
      <c r="L3431" s="211">
        <f>IFERROR(__xludf.DUMMYFUNCTION("""COMPUTED_VALUE"""),0.0)</f>
        <v>0</v>
      </c>
      <c r="M3431" s="211"/>
      <c r="N3431" s="211"/>
      <c r="O3431" s="211" t="b">
        <f>IFERROR(__xludf.DUMMYFUNCTION("""COMPUTED_VALUE"""),FALSE)</f>
        <v>0</v>
      </c>
    </row>
    <row r="3432">
      <c r="A3432" s="210" t="str">
        <f>IFERROR(__xludf.DUMMYFUNCTION("""COMPUTED_VALUE"""),"012632379")</f>
        <v>012632379</v>
      </c>
      <c r="B3432" s="210" t="str">
        <f>IFERROR(__xludf.DUMMYFUNCTION("""COMPUTED_VALUE"""),"012632379")</f>
        <v>012632379</v>
      </c>
      <c r="C3432" s="213">
        <f>IFERROR(__xludf.DUMMYFUNCTION("""COMPUTED_VALUE"""),46050.4031712963)</f>
        <v>46050.40317</v>
      </c>
      <c r="D3432" s="211" t="str">
        <f>IFERROR(__xludf.DUMMYFUNCTION("""COMPUTED_VALUE"""),"98c84274")</f>
        <v>98c84274</v>
      </c>
      <c r="E3432" s="211" t="str">
        <f>IFERROR(__xludf.DUMMYFUNCTION("""COMPUTED_VALUE"""),"Bengkel SBM (Pak Hari)")</f>
        <v>Bengkel SBM (Pak Hari)</v>
      </c>
      <c r="F3432" s="211" t="str">
        <f>IFERROR(__xludf.DUMMYFUNCTION("""COMPUTED_VALUE"""),"be525f3b")</f>
        <v>be525f3b</v>
      </c>
      <c r="G3432" s="211" t="str">
        <f>IFERROR(__xludf.DUMMYFUNCTION("""COMPUTED_VALUE"""),"LPG 12kg")</f>
        <v>LPG 12kg</v>
      </c>
      <c r="H3432" s="211" t="str">
        <f>IFERROR(__xludf.DUMMYFUNCTION("""COMPUTED_VALUE"""),"OUT")</f>
        <v>OUT</v>
      </c>
      <c r="I3432" s="211" t="str">
        <f>IFERROR(__xludf.DUMMYFUNCTION("""COMPUTED_VALUE"""),"NORMAL")</f>
        <v>NORMAL</v>
      </c>
      <c r="J3432" s="211">
        <f>IFERROR(__xludf.DUMMYFUNCTION("""COMPUTED_VALUE"""),1.0)</f>
        <v>1</v>
      </c>
      <c r="K3432" s="210" t="str">
        <f>IFERROR(__xludf.DUMMYFUNCTION("""COMPUTED_VALUE"""),"L0011")</f>
        <v>L0011</v>
      </c>
      <c r="L3432" s="211">
        <f>IFERROR(__xludf.DUMMYFUNCTION("""COMPUTED_VALUE"""),205000.0)</f>
        <v>205000</v>
      </c>
      <c r="M3432" s="211"/>
      <c r="N3432" s="211"/>
      <c r="O3432" s="211" t="b">
        <f>IFERROR(__xludf.DUMMYFUNCTION("""COMPUTED_VALUE"""),FALSE)</f>
        <v>0</v>
      </c>
    </row>
    <row r="3433">
      <c r="A3433" s="210" t="str">
        <f>IFERROR(__xludf.DUMMYFUNCTION("""COMPUTED_VALUE"""),"1261156")</f>
        <v>1261156</v>
      </c>
      <c r="B3433" s="210" t="str">
        <f>IFERROR(__xludf.DUMMYFUNCTION("""COMPUTED_VALUE"""),"1261156")</f>
        <v>1261156</v>
      </c>
      <c r="C3433" s="213">
        <f>IFERROR(__xludf.DUMMYFUNCTION("""COMPUTED_VALUE"""),46050.508564814816)</f>
        <v>46050.50856</v>
      </c>
      <c r="D3433" s="211" t="str">
        <f>IFERROR(__xludf.DUMMYFUNCTION("""COMPUTED_VALUE"""),"ec231cc9")</f>
        <v>ec231cc9</v>
      </c>
      <c r="E3433" s="211" t="str">
        <f>IFERROR(__xludf.DUMMYFUNCTION("""COMPUTED_VALUE"""),"Bpk. Kohir (Maintenance Velg)")</f>
        <v>Bpk. Kohir (Maintenance Velg)</v>
      </c>
      <c r="F3433" s="211" t="str">
        <f>IFERROR(__xludf.DUMMYFUNCTION("""COMPUTED_VALUE"""),"ef306e54")</f>
        <v>ef306e54</v>
      </c>
      <c r="G3433" s="211" t="str">
        <f>IFERROR(__xludf.DUMMYFUNCTION("""COMPUTED_VALUE"""),"Karbondioksida")</f>
        <v>Karbondioksida</v>
      </c>
      <c r="H3433" s="211" t="str">
        <f>IFERROR(__xludf.DUMMYFUNCTION("""COMPUTED_VALUE"""),"IN")</f>
        <v>IN</v>
      </c>
      <c r="I3433" s="211" t="str">
        <f>IFERROR(__xludf.DUMMYFUNCTION("""COMPUTED_VALUE"""),"EMPTY")</f>
        <v>EMPTY</v>
      </c>
      <c r="J3433" s="211">
        <f>IFERROR(__xludf.DUMMYFUNCTION("""COMPUTED_VALUE"""),1.0)</f>
        <v>1</v>
      </c>
      <c r="K3433" s="210" t="str">
        <f>IFERROR(__xludf.DUMMYFUNCTION("""COMPUTED_VALUE"""),"13029")</f>
        <v>13029</v>
      </c>
      <c r="L3433" s="211">
        <f>IFERROR(__xludf.DUMMYFUNCTION("""COMPUTED_VALUE"""),0.0)</f>
        <v>0</v>
      </c>
      <c r="M3433" s="211"/>
      <c r="N3433" s="211"/>
      <c r="O3433" s="211" t="b">
        <f>IFERROR(__xludf.DUMMYFUNCTION("""COMPUTED_VALUE"""),FALSE)</f>
        <v>0</v>
      </c>
    </row>
    <row r="3434">
      <c r="A3434" s="210" t="str">
        <f>IFERROR(__xludf.DUMMYFUNCTION("""COMPUTED_VALUE"""),"1261148")</f>
        <v>1261148</v>
      </c>
      <c r="B3434" s="210" t="str">
        <f>IFERROR(__xludf.DUMMYFUNCTION("""COMPUTED_VALUE"""),"1261148")</f>
        <v>1261148</v>
      </c>
      <c r="C3434" s="213">
        <f>IFERROR(__xludf.DUMMYFUNCTION("""COMPUTED_VALUE"""),46050.65574074074)</f>
        <v>46050.65574</v>
      </c>
      <c r="D3434" s="211" t="str">
        <f>IFERROR(__xludf.DUMMYFUNCTION("""COMPUTED_VALUE"""),"9828dfc5")</f>
        <v>9828dfc5</v>
      </c>
      <c r="E3434" s="211" t="str">
        <f>IFERROR(__xludf.DUMMYFUNCTION("""COMPUTED_VALUE"""),"Bpk. David")</f>
        <v>Bpk. David</v>
      </c>
      <c r="F3434" s="211" t="str">
        <f>IFERROR(__xludf.DUMMYFUNCTION("""COMPUTED_VALUE"""),"8bdbe149")</f>
        <v>8bdbe149</v>
      </c>
      <c r="G3434" s="211" t="str">
        <f>IFERROR(__xludf.DUMMYFUNCTION("""COMPUTED_VALUE"""),"Oksigen 6m3")</f>
        <v>Oksigen 6m3</v>
      </c>
      <c r="H3434" s="211" t="str">
        <f>IFERROR(__xludf.DUMMYFUNCTION("""COMPUTED_VALUE"""),"IN")</f>
        <v>IN</v>
      </c>
      <c r="I3434" s="211" t="str">
        <f>IFERROR(__xludf.DUMMYFUNCTION("""COMPUTED_VALUE"""),"EMPTY")</f>
        <v>EMPTY</v>
      </c>
      <c r="J3434" s="211">
        <f>IFERROR(__xludf.DUMMYFUNCTION("""COMPUTED_VALUE"""),5.0)</f>
        <v>5</v>
      </c>
      <c r="K3434" s="210" t="str">
        <f>IFERROR(__xludf.DUMMYFUNCTION("""COMPUTED_VALUE"""),"11109 11236 11308 1134 1148")</f>
        <v>11109 11236 11308 1134 1148</v>
      </c>
      <c r="L3434" s="211">
        <f>IFERROR(__xludf.DUMMYFUNCTION("""COMPUTED_VALUE"""),0.0)</f>
        <v>0</v>
      </c>
      <c r="M3434" s="211"/>
      <c r="N3434" s="211"/>
      <c r="O3434" s="211" t="b">
        <f>IFERROR(__xludf.DUMMYFUNCTION("""COMPUTED_VALUE"""),FALSE)</f>
        <v>0</v>
      </c>
    </row>
    <row r="3435">
      <c r="A3435" s="210" t="str">
        <f>IFERROR(__xludf.DUMMYFUNCTION("""COMPUTED_VALUE"""),"1261149")</f>
        <v>1261149</v>
      </c>
      <c r="B3435" s="210" t="str">
        <f>IFERROR(__xludf.DUMMYFUNCTION("""COMPUTED_VALUE"""),"1261149")</f>
        <v>1261149</v>
      </c>
      <c r="C3435" s="213">
        <f>IFERROR(__xludf.DUMMYFUNCTION("""COMPUTED_VALUE"""),46050.65626157408)</f>
        <v>46050.65626</v>
      </c>
      <c r="D3435" s="211" t="str">
        <f>IFERROR(__xludf.DUMMYFUNCTION("""COMPUTED_VALUE"""),"98c84274")</f>
        <v>98c84274</v>
      </c>
      <c r="E3435" s="211" t="str">
        <f>IFERROR(__xludf.DUMMYFUNCTION("""COMPUTED_VALUE"""),"Bengkel SBM (Pak Hari)")</f>
        <v>Bengkel SBM (Pak Hari)</v>
      </c>
      <c r="F3435" s="211" t="str">
        <f>IFERROR(__xludf.DUMMYFUNCTION("""COMPUTED_VALUE"""),"8bdbe149")</f>
        <v>8bdbe149</v>
      </c>
      <c r="G3435" s="211" t="str">
        <f>IFERROR(__xludf.DUMMYFUNCTION("""COMPUTED_VALUE"""),"Oksigen 6m3")</f>
        <v>Oksigen 6m3</v>
      </c>
      <c r="H3435" s="211" t="str">
        <f>IFERROR(__xludf.DUMMYFUNCTION("""COMPUTED_VALUE"""),"IN")</f>
        <v>IN</v>
      </c>
      <c r="I3435" s="211" t="str">
        <f>IFERROR(__xludf.DUMMYFUNCTION("""COMPUTED_VALUE"""),"EMPTY")</f>
        <v>EMPTY</v>
      </c>
      <c r="J3435" s="211">
        <f>IFERROR(__xludf.DUMMYFUNCTION("""COMPUTED_VALUE"""),3.0)</f>
        <v>3</v>
      </c>
      <c r="K3435" s="210" t="str">
        <f>IFERROR(__xludf.DUMMYFUNCTION("""COMPUTED_VALUE"""),"11202 11260 1193")</f>
        <v>11202 11260 1193</v>
      </c>
      <c r="L3435" s="211">
        <f>IFERROR(__xludf.DUMMYFUNCTION("""COMPUTED_VALUE"""),0.0)</f>
        <v>0</v>
      </c>
      <c r="M3435" s="211"/>
      <c r="N3435" s="211"/>
      <c r="O3435" s="211" t="b">
        <f>IFERROR(__xludf.DUMMYFUNCTION("""COMPUTED_VALUE"""),FALSE)</f>
        <v>0</v>
      </c>
    </row>
    <row r="3436">
      <c r="A3436" s="210" t="str">
        <f>IFERROR(__xludf.DUMMYFUNCTION("""COMPUTED_VALUE"""),"1261149")</f>
        <v>1261149</v>
      </c>
      <c r="B3436" s="210" t="str">
        <f>IFERROR(__xludf.DUMMYFUNCTION("""COMPUTED_VALUE"""),"1261149")</f>
        <v>1261149</v>
      </c>
      <c r="C3436" s="213">
        <f>IFERROR(__xludf.DUMMYFUNCTION("""COMPUTED_VALUE"""),46050.65626157408)</f>
        <v>46050.65626</v>
      </c>
      <c r="D3436" s="211" t="str">
        <f>IFERROR(__xludf.DUMMYFUNCTION("""COMPUTED_VALUE"""),"98c84274")</f>
        <v>98c84274</v>
      </c>
      <c r="E3436" s="211" t="str">
        <f>IFERROR(__xludf.DUMMYFUNCTION("""COMPUTED_VALUE"""),"Bengkel SBM (Pak Hari)")</f>
        <v>Bengkel SBM (Pak Hari)</v>
      </c>
      <c r="F3436" s="211" t="str">
        <f>IFERROR(__xludf.DUMMYFUNCTION("""COMPUTED_VALUE"""),"be525f3b")</f>
        <v>be525f3b</v>
      </c>
      <c r="G3436" s="211" t="str">
        <f>IFERROR(__xludf.DUMMYFUNCTION("""COMPUTED_VALUE"""),"LPG 12kg")</f>
        <v>LPG 12kg</v>
      </c>
      <c r="H3436" s="211" t="str">
        <f>IFERROR(__xludf.DUMMYFUNCTION("""COMPUTED_VALUE"""),"IN")</f>
        <v>IN</v>
      </c>
      <c r="I3436" s="211" t="str">
        <f>IFERROR(__xludf.DUMMYFUNCTION("""COMPUTED_VALUE"""),"EMPTY")</f>
        <v>EMPTY</v>
      </c>
      <c r="J3436" s="211">
        <f>IFERROR(__xludf.DUMMYFUNCTION("""COMPUTED_VALUE"""),1.0)</f>
        <v>1</v>
      </c>
      <c r="K3436" s="210" t="str">
        <f>IFERROR(__xludf.DUMMYFUNCTION("""COMPUTED_VALUE"""),"L0011")</f>
        <v>L0011</v>
      </c>
      <c r="L3436" s="211">
        <f>IFERROR(__xludf.DUMMYFUNCTION("""COMPUTED_VALUE"""),0.0)</f>
        <v>0</v>
      </c>
      <c r="M3436" s="211"/>
      <c r="N3436" s="211"/>
      <c r="O3436" s="211" t="b">
        <f>IFERROR(__xludf.DUMMYFUNCTION("""COMPUTED_VALUE"""),FALSE)</f>
        <v>0</v>
      </c>
    </row>
    <row r="3437">
      <c r="A3437" s="210" t="str">
        <f>IFERROR(__xludf.DUMMYFUNCTION("""COMPUTED_VALUE"""),"1261149")</f>
        <v>1261149</v>
      </c>
      <c r="B3437" s="210" t="str">
        <f>IFERROR(__xludf.DUMMYFUNCTION("""COMPUTED_VALUE"""),"1261149")</f>
        <v>1261149</v>
      </c>
      <c r="C3437" s="213">
        <f>IFERROR(__xludf.DUMMYFUNCTION("""COMPUTED_VALUE"""),46050.65626157408)</f>
        <v>46050.65626</v>
      </c>
      <c r="D3437" s="211" t="str">
        <f>IFERROR(__xludf.DUMMYFUNCTION("""COMPUTED_VALUE"""),"98c84274")</f>
        <v>98c84274</v>
      </c>
      <c r="E3437" s="211" t="str">
        <f>IFERROR(__xludf.DUMMYFUNCTION("""COMPUTED_VALUE"""),"Bengkel SBM (Pak Hari)")</f>
        <v>Bengkel SBM (Pak Hari)</v>
      </c>
      <c r="F3437" s="211" t="str">
        <f>IFERROR(__xludf.DUMMYFUNCTION("""COMPUTED_VALUE"""),"be525f3b")</f>
        <v>be525f3b</v>
      </c>
      <c r="G3437" s="211" t="str">
        <f>IFERROR(__xludf.DUMMYFUNCTION("""COMPUTED_VALUE"""),"LPG 12kg")</f>
        <v>LPG 12kg</v>
      </c>
      <c r="H3437" s="211" t="str">
        <f>IFERROR(__xludf.DUMMYFUNCTION("""COMPUTED_VALUE"""),"IN")</f>
        <v>IN</v>
      </c>
      <c r="I3437" s="211" t="str">
        <f>IFERROR(__xludf.DUMMYFUNCTION("""COMPUTED_VALUE"""),"EMPTY")</f>
        <v>EMPTY</v>
      </c>
      <c r="J3437" s="211">
        <f>IFERROR(__xludf.DUMMYFUNCTION("""COMPUTED_VALUE"""),1.0)</f>
        <v>1</v>
      </c>
      <c r="K3437" s="211"/>
      <c r="L3437" s="211">
        <f>IFERROR(__xludf.DUMMYFUNCTION("""COMPUTED_VALUE"""),0.0)</f>
        <v>0</v>
      </c>
      <c r="M3437" s="211"/>
      <c r="N3437" s="211"/>
      <c r="O3437" s="211" t="b">
        <f>IFERROR(__xludf.DUMMYFUNCTION("""COMPUTED_VALUE"""),TRUE)</f>
        <v>1</v>
      </c>
    </row>
    <row r="3438">
      <c r="A3438" s="210" t="str">
        <f>IFERROR(__xludf.DUMMYFUNCTION("""COMPUTED_VALUE"""),"0126182382")</f>
        <v>0126182382</v>
      </c>
      <c r="B3438" s="210" t="str">
        <f>IFERROR(__xludf.DUMMYFUNCTION("""COMPUTED_VALUE"""),"0126182382")</f>
        <v>0126182382</v>
      </c>
      <c r="C3438" s="213">
        <f>IFERROR(__xludf.DUMMYFUNCTION("""COMPUTED_VALUE"""),46050.659097222226)</f>
        <v>46050.6591</v>
      </c>
      <c r="D3438" s="211" t="str">
        <f>IFERROR(__xludf.DUMMYFUNCTION("""COMPUTED_VALUE"""),"8ea74d81")</f>
        <v>8ea74d81</v>
      </c>
      <c r="E3438" s="211" t="str">
        <f>IFERROR(__xludf.DUMMYFUNCTION("""COMPUTED_VALUE"""),"Bengkel Adi Putra")</f>
        <v>Bengkel Adi Putra</v>
      </c>
      <c r="F3438" s="211" t="str">
        <f>IFERROR(__xludf.DUMMYFUNCTION("""COMPUTED_VALUE"""),"ef306e54")</f>
        <v>ef306e54</v>
      </c>
      <c r="G3438" s="211" t="str">
        <f>IFERROR(__xludf.DUMMYFUNCTION("""COMPUTED_VALUE"""),"Karbondioksida")</f>
        <v>Karbondioksida</v>
      </c>
      <c r="H3438" s="211" t="str">
        <f>IFERROR(__xludf.DUMMYFUNCTION("""COMPUTED_VALUE"""),"OUT")</f>
        <v>OUT</v>
      </c>
      <c r="I3438" s="211" t="str">
        <f>IFERROR(__xludf.DUMMYFUNCTION("""COMPUTED_VALUE"""),"NORMAL")</f>
        <v>NORMAL</v>
      </c>
      <c r="J3438" s="211">
        <f>IFERROR(__xludf.DUMMYFUNCTION("""COMPUTED_VALUE"""),1.0)</f>
        <v>1</v>
      </c>
      <c r="K3438" s="210" t="str">
        <f>IFERROR(__xludf.DUMMYFUNCTION("""COMPUTED_VALUE"""),"13018")</f>
        <v>13018</v>
      </c>
      <c r="L3438" s="211">
        <f>IFERROR(__xludf.DUMMYFUNCTION("""COMPUTED_VALUE"""),190000.0)</f>
        <v>190000</v>
      </c>
      <c r="M3438" s="211"/>
      <c r="N3438" s="211"/>
      <c r="O3438" s="211" t="b">
        <f>IFERROR(__xludf.DUMMYFUNCTION("""COMPUTED_VALUE"""),FALSE)</f>
        <v>0</v>
      </c>
    </row>
    <row r="3439">
      <c r="A3439" s="210" t="str">
        <f>IFERROR(__xludf.DUMMYFUNCTION("""COMPUTED_VALUE"""),"012672390")</f>
        <v>012672390</v>
      </c>
      <c r="B3439" s="210" t="str">
        <f>IFERROR(__xludf.DUMMYFUNCTION("""COMPUTED_VALUE"""),"012672390")</f>
        <v>012672390</v>
      </c>
      <c r="C3439" s="213">
        <f>IFERROR(__xludf.DUMMYFUNCTION("""COMPUTED_VALUE"""),46050.66721064815)</f>
        <v>46050.66721</v>
      </c>
      <c r="D3439" s="211" t="str">
        <f>IFERROR(__xludf.DUMMYFUNCTION("""COMPUTED_VALUE"""),"1d018c98")</f>
        <v>1d018c98</v>
      </c>
      <c r="E3439" s="211" t="str">
        <f>IFERROR(__xludf.DUMMYFUNCTION("""COMPUTED_VALUE"""),"Mbak Angel")</f>
        <v>Mbak Angel</v>
      </c>
      <c r="F3439" s="211" t="str">
        <f>IFERROR(__xludf.DUMMYFUNCTION("""COMPUTED_VALUE"""),"8bdbe149")</f>
        <v>8bdbe149</v>
      </c>
      <c r="G3439" s="211" t="str">
        <f>IFERROR(__xludf.DUMMYFUNCTION("""COMPUTED_VALUE"""),"Oksigen 6m3")</f>
        <v>Oksigen 6m3</v>
      </c>
      <c r="H3439" s="211" t="str">
        <f>IFERROR(__xludf.DUMMYFUNCTION("""COMPUTED_VALUE"""),"OUT")</f>
        <v>OUT</v>
      </c>
      <c r="I3439" s="211" t="str">
        <f>IFERROR(__xludf.DUMMYFUNCTION("""COMPUTED_VALUE"""),"NORMAL")</f>
        <v>NORMAL</v>
      </c>
      <c r="J3439" s="211">
        <f>IFERROR(__xludf.DUMMYFUNCTION("""COMPUTED_VALUE"""),1.0)</f>
        <v>1</v>
      </c>
      <c r="K3439" s="210" t="str">
        <f>IFERROR(__xludf.DUMMYFUNCTION("""COMPUTED_VALUE"""),"11202")</f>
        <v>11202</v>
      </c>
      <c r="L3439" s="211">
        <f>IFERROR(__xludf.DUMMYFUNCTION("""COMPUTED_VALUE"""),80000.0)</f>
        <v>80000</v>
      </c>
      <c r="M3439" s="211"/>
      <c r="N3439" s="211"/>
      <c r="O3439" s="211" t="b">
        <f>IFERROR(__xludf.DUMMYFUNCTION("""COMPUTED_VALUE"""),FALSE)</f>
        <v>0</v>
      </c>
    </row>
    <row r="3440">
      <c r="A3440" s="210" t="str">
        <f>IFERROR(__xludf.DUMMYFUNCTION("""COMPUTED_VALUE"""),"1261158")</f>
        <v>1261158</v>
      </c>
      <c r="B3440" s="210" t="str">
        <f>IFERROR(__xludf.DUMMYFUNCTION("""COMPUTED_VALUE"""),"1261158")</f>
        <v>1261158</v>
      </c>
      <c r="C3440" s="213">
        <f>IFERROR(__xludf.DUMMYFUNCTION("""COMPUTED_VALUE"""),46050.69231481481)</f>
        <v>46050.69231</v>
      </c>
      <c r="D3440" s="211" t="str">
        <f>IFERROR(__xludf.DUMMYFUNCTION("""COMPUTED_VALUE"""),"e86baf3b")</f>
        <v>e86baf3b</v>
      </c>
      <c r="E3440" s="211" t="str">
        <f>IFERROR(__xludf.DUMMYFUNCTION("""COMPUTED_VALUE"""),"PT GEMILANG CIPTA WAWASAN")</f>
        <v>PT GEMILANG CIPTA WAWASAN</v>
      </c>
      <c r="F3440" s="211" t="str">
        <f>IFERROR(__xludf.DUMMYFUNCTION("""COMPUTED_VALUE"""),"8bdbe149")</f>
        <v>8bdbe149</v>
      </c>
      <c r="G3440" s="211" t="str">
        <f>IFERROR(__xludf.DUMMYFUNCTION("""COMPUTED_VALUE"""),"Oksigen 6m3")</f>
        <v>Oksigen 6m3</v>
      </c>
      <c r="H3440" s="211" t="str">
        <f>IFERROR(__xludf.DUMMYFUNCTION("""COMPUTED_VALUE"""),"IN")</f>
        <v>IN</v>
      </c>
      <c r="I3440" s="211" t="str">
        <f>IFERROR(__xludf.DUMMYFUNCTION("""COMPUTED_VALUE"""),"EMPTY")</f>
        <v>EMPTY</v>
      </c>
      <c r="J3440" s="211">
        <f>IFERROR(__xludf.DUMMYFUNCTION("""COMPUTED_VALUE"""),7.0)</f>
        <v>7</v>
      </c>
      <c r="K3440" s="210" t="str">
        <f>IFERROR(__xludf.DUMMYFUNCTION("""COMPUTED_VALUE"""),"1173 11201 1140 11119 1102 11272 1192")</f>
        <v>1173 11201 1140 11119 1102 11272 1192</v>
      </c>
      <c r="L3440" s="211">
        <f>IFERROR(__xludf.DUMMYFUNCTION("""COMPUTED_VALUE"""),0.0)</f>
        <v>0</v>
      </c>
      <c r="M3440" s="211"/>
      <c r="N3440" s="211"/>
      <c r="O3440" s="211" t="b">
        <f>IFERROR(__xludf.DUMMYFUNCTION("""COMPUTED_VALUE"""),FALSE)</f>
        <v>0</v>
      </c>
    </row>
    <row r="3441">
      <c r="A3441" s="210" t="str">
        <f>IFERROR(__xludf.DUMMYFUNCTION("""COMPUTED_VALUE"""),"1261158")</f>
        <v>1261158</v>
      </c>
      <c r="B3441" s="210" t="str">
        <f>IFERROR(__xludf.DUMMYFUNCTION("""COMPUTED_VALUE"""),"1261158")</f>
        <v>1261158</v>
      </c>
      <c r="C3441" s="213">
        <f>IFERROR(__xludf.DUMMYFUNCTION("""COMPUTED_VALUE"""),46050.69231481481)</f>
        <v>46050.69231</v>
      </c>
      <c r="D3441" s="211" t="str">
        <f>IFERROR(__xludf.DUMMYFUNCTION("""COMPUTED_VALUE"""),"e86baf3b")</f>
        <v>e86baf3b</v>
      </c>
      <c r="E3441" s="211" t="str">
        <f>IFERROR(__xludf.DUMMYFUNCTION("""COMPUTED_VALUE"""),"PT GEMILANG CIPTA WAWASAN")</f>
        <v>PT GEMILANG CIPTA WAWASAN</v>
      </c>
      <c r="F3441" s="211" t="str">
        <f>IFERROR(__xludf.DUMMYFUNCTION("""COMPUTED_VALUE"""),"7d2764f1")</f>
        <v>7d2764f1</v>
      </c>
      <c r="G3441" s="211" t="str">
        <f>IFERROR(__xludf.DUMMYFUNCTION("""COMPUTED_VALUE"""),"Oksigen 7m3")</f>
        <v>Oksigen 7m3</v>
      </c>
      <c r="H3441" s="211" t="str">
        <f>IFERROR(__xludf.DUMMYFUNCTION("""COMPUTED_VALUE"""),"IN")</f>
        <v>IN</v>
      </c>
      <c r="I3441" s="211" t="str">
        <f>IFERROR(__xludf.DUMMYFUNCTION("""COMPUTED_VALUE"""),"EMPTY")</f>
        <v>EMPTY</v>
      </c>
      <c r="J3441" s="211">
        <f>IFERROR(__xludf.DUMMYFUNCTION("""COMPUTED_VALUE"""),1.0)</f>
        <v>1</v>
      </c>
      <c r="K3441" s="210" t="str">
        <f>IFERROR(__xludf.DUMMYFUNCTION("""COMPUTED_VALUE"""),"11158")</f>
        <v>11158</v>
      </c>
      <c r="L3441" s="211">
        <f>IFERROR(__xludf.DUMMYFUNCTION("""COMPUTED_VALUE"""),0.0)</f>
        <v>0</v>
      </c>
      <c r="M3441" s="211"/>
      <c r="N3441" s="211"/>
      <c r="O3441" s="211" t="b">
        <f>IFERROR(__xludf.DUMMYFUNCTION("""COMPUTED_VALUE"""),FALSE)</f>
        <v>0</v>
      </c>
    </row>
    <row r="3442">
      <c r="A3442" s="210" t="str">
        <f>IFERROR(__xludf.DUMMYFUNCTION("""COMPUTED_VALUE"""),"1261158")</f>
        <v>1261158</v>
      </c>
      <c r="B3442" s="210" t="str">
        <f>IFERROR(__xludf.DUMMYFUNCTION("""COMPUTED_VALUE"""),"1261158")</f>
        <v>1261158</v>
      </c>
      <c r="C3442" s="213">
        <f>IFERROR(__xludf.DUMMYFUNCTION("""COMPUTED_VALUE"""),46050.69231481481)</f>
        <v>46050.69231</v>
      </c>
      <c r="D3442" s="211" t="str">
        <f>IFERROR(__xludf.DUMMYFUNCTION("""COMPUTED_VALUE"""),"e86baf3b")</f>
        <v>e86baf3b</v>
      </c>
      <c r="E3442" s="211" t="str">
        <f>IFERROR(__xludf.DUMMYFUNCTION("""COMPUTED_VALUE"""),"PT GEMILANG CIPTA WAWASAN")</f>
        <v>PT GEMILANG CIPTA WAWASAN</v>
      </c>
      <c r="F3442" s="211" t="str">
        <f>IFERROR(__xludf.DUMMYFUNCTION("""COMPUTED_VALUE"""),"8bdbe149")</f>
        <v>8bdbe149</v>
      </c>
      <c r="G3442" s="211" t="str">
        <f>IFERROR(__xludf.DUMMYFUNCTION("""COMPUTED_VALUE"""),"Oksigen 6m3")</f>
        <v>Oksigen 6m3</v>
      </c>
      <c r="H3442" s="211" t="str">
        <f>IFERROR(__xludf.DUMMYFUNCTION("""COMPUTED_VALUE"""),"IN")</f>
        <v>IN</v>
      </c>
      <c r="I3442" s="211" t="str">
        <f>IFERROR(__xludf.DUMMYFUNCTION("""COMPUTED_VALUE"""),"EMPTY")</f>
        <v>EMPTY</v>
      </c>
      <c r="J3442" s="211">
        <f>IFERROR(__xludf.DUMMYFUNCTION("""COMPUTED_VALUE"""),1.0)</f>
        <v>1</v>
      </c>
      <c r="K3442" s="210" t="str">
        <f>IFERROR(__xludf.DUMMYFUNCTION("""COMPUTED_VALUE"""),"1189")</f>
        <v>1189</v>
      </c>
      <c r="L3442" s="211">
        <f>IFERROR(__xludf.DUMMYFUNCTION("""COMPUTED_VALUE"""),0.0)</f>
        <v>0</v>
      </c>
      <c r="M3442" s="211"/>
      <c r="N3442" s="211"/>
      <c r="O3442" s="211" t="b">
        <f>IFERROR(__xludf.DUMMYFUNCTION("""COMPUTED_VALUE"""),TRUE)</f>
        <v>1</v>
      </c>
    </row>
    <row r="3443">
      <c r="A3443" s="210" t="str">
        <f>IFERROR(__xludf.DUMMYFUNCTION("""COMPUTED_VALUE"""),"1261158")</f>
        <v>1261158</v>
      </c>
      <c r="B3443" s="210" t="str">
        <f>IFERROR(__xludf.DUMMYFUNCTION("""COMPUTED_VALUE"""),"1261158")</f>
        <v>1261158</v>
      </c>
      <c r="C3443" s="213">
        <f>IFERROR(__xludf.DUMMYFUNCTION("""COMPUTED_VALUE"""),46050.69231481481)</f>
        <v>46050.69231</v>
      </c>
      <c r="D3443" s="211" t="str">
        <f>IFERROR(__xludf.DUMMYFUNCTION("""COMPUTED_VALUE"""),"e86baf3b")</f>
        <v>e86baf3b</v>
      </c>
      <c r="E3443" s="211" t="str">
        <f>IFERROR(__xludf.DUMMYFUNCTION("""COMPUTED_VALUE"""),"PT GEMILANG CIPTA WAWASAN")</f>
        <v>PT GEMILANG CIPTA WAWASAN</v>
      </c>
      <c r="F3443" s="211" t="str">
        <f>IFERROR(__xludf.DUMMYFUNCTION("""COMPUTED_VALUE"""),"66af7c72")</f>
        <v>66af7c72</v>
      </c>
      <c r="G3443" s="211" t="str">
        <f>IFERROR(__xludf.DUMMYFUNCTION("""COMPUTED_VALUE"""),"Argon 6m3")</f>
        <v>Argon 6m3</v>
      </c>
      <c r="H3443" s="211" t="str">
        <f>IFERROR(__xludf.DUMMYFUNCTION("""COMPUTED_VALUE"""),"IN")</f>
        <v>IN</v>
      </c>
      <c r="I3443" s="211" t="str">
        <f>IFERROR(__xludf.DUMMYFUNCTION("""COMPUTED_VALUE"""),"EMPTY")</f>
        <v>EMPTY</v>
      </c>
      <c r="J3443" s="211">
        <f>IFERROR(__xludf.DUMMYFUNCTION("""COMPUTED_VALUE"""),11.0)</f>
        <v>11</v>
      </c>
      <c r="K3443" s="210" t="str">
        <f>IFERROR(__xludf.DUMMYFUNCTION("""COMPUTED_VALUE"""),"12011 12013 12014 12020 12034 12035 12058 12079 12081 12082 12084")</f>
        <v>12011 12013 12014 12020 12034 12035 12058 12079 12081 12082 12084</v>
      </c>
      <c r="L3443" s="211">
        <f>IFERROR(__xludf.DUMMYFUNCTION("""COMPUTED_VALUE"""),0.0)</f>
        <v>0</v>
      </c>
      <c r="M3443" s="211"/>
      <c r="N3443" s="211"/>
      <c r="O3443" s="211" t="b">
        <f>IFERROR(__xludf.DUMMYFUNCTION("""COMPUTED_VALUE"""),FALSE)</f>
        <v>0</v>
      </c>
    </row>
    <row r="3444">
      <c r="A3444" s="210" t="str">
        <f>IFERROR(__xludf.DUMMYFUNCTION("""COMPUTED_VALUE"""),"1261158")</f>
        <v>1261158</v>
      </c>
      <c r="B3444" s="210" t="str">
        <f>IFERROR(__xludf.DUMMYFUNCTION("""COMPUTED_VALUE"""),"1261158")</f>
        <v>1261158</v>
      </c>
      <c r="C3444" s="213">
        <f>IFERROR(__xludf.DUMMYFUNCTION("""COMPUTED_VALUE"""),46050.69231481481)</f>
        <v>46050.69231</v>
      </c>
      <c r="D3444" s="211" t="str">
        <f>IFERROR(__xludf.DUMMYFUNCTION("""COMPUTED_VALUE"""),"e86baf3b")</f>
        <v>e86baf3b</v>
      </c>
      <c r="E3444" s="211" t="str">
        <f>IFERROR(__xludf.DUMMYFUNCTION("""COMPUTED_VALUE"""),"PT GEMILANG CIPTA WAWASAN")</f>
        <v>PT GEMILANG CIPTA WAWASAN</v>
      </c>
      <c r="F3444" s="211" t="str">
        <f>IFERROR(__xludf.DUMMYFUNCTION("""COMPUTED_VALUE"""),"66af7c72")</f>
        <v>66af7c72</v>
      </c>
      <c r="G3444" s="211" t="str">
        <f>IFERROR(__xludf.DUMMYFUNCTION("""COMPUTED_VALUE"""),"Argon 6m3")</f>
        <v>Argon 6m3</v>
      </c>
      <c r="H3444" s="211" t="str">
        <f>IFERROR(__xludf.DUMMYFUNCTION("""COMPUTED_VALUE"""),"IN")</f>
        <v>IN</v>
      </c>
      <c r="I3444" s="211" t="str">
        <f>IFERROR(__xludf.DUMMYFUNCTION("""COMPUTED_VALUE"""),"EMPTY")</f>
        <v>EMPTY</v>
      </c>
      <c r="J3444" s="211">
        <f>IFERROR(__xludf.DUMMYFUNCTION("""COMPUTED_VALUE"""),1.0)</f>
        <v>1</v>
      </c>
      <c r="K3444" s="210" t="str">
        <f>IFERROR(__xludf.DUMMYFUNCTION("""COMPUTED_VALUE"""),"12040")</f>
        <v>12040</v>
      </c>
      <c r="L3444" s="211">
        <f>IFERROR(__xludf.DUMMYFUNCTION("""COMPUTED_VALUE"""),0.0)</f>
        <v>0</v>
      </c>
      <c r="M3444" s="211"/>
      <c r="N3444" s="211"/>
      <c r="O3444" s="211" t="b">
        <f>IFERROR(__xludf.DUMMYFUNCTION("""COMPUTED_VALUE"""),TRUE)</f>
        <v>1</v>
      </c>
    </row>
    <row r="3445">
      <c r="A3445" s="210" t="str">
        <f>IFERROR(__xludf.DUMMYFUNCTION("""COMPUTED_VALUE"""),"1261158")</f>
        <v>1261158</v>
      </c>
      <c r="B3445" s="210" t="str">
        <f>IFERROR(__xludf.DUMMYFUNCTION("""COMPUTED_VALUE"""),"1261158")</f>
        <v>1261158</v>
      </c>
      <c r="C3445" s="213">
        <f>IFERROR(__xludf.DUMMYFUNCTION("""COMPUTED_VALUE"""),46050.69231481481)</f>
        <v>46050.69231</v>
      </c>
      <c r="D3445" s="211" t="str">
        <f>IFERROR(__xludf.DUMMYFUNCTION("""COMPUTED_VALUE"""),"e86baf3b")</f>
        <v>e86baf3b</v>
      </c>
      <c r="E3445" s="211" t="str">
        <f>IFERROR(__xludf.DUMMYFUNCTION("""COMPUTED_VALUE"""),"PT GEMILANG CIPTA WAWASAN")</f>
        <v>PT GEMILANG CIPTA WAWASAN</v>
      </c>
      <c r="F3445" s="211" t="str">
        <f>IFERROR(__xludf.DUMMYFUNCTION("""COMPUTED_VALUE"""),"be525f3b")</f>
        <v>be525f3b</v>
      </c>
      <c r="G3445" s="211" t="str">
        <f>IFERROR(__xludf.DUMMYFUNCTION("""COMPUTED_VALUE"""),"LPG 12kg")</f>
        <v>LPG 12kg</v>
      </c>
      <c r="H3445" s="211" t="str">
        <f>IFERROR(__xludf.DUMMYFUNCTION("""COMPUTED_VALUE"""),"IN")</f>
        <v>IN</v>
      </c>
      <c r="I3445" s="211" t="str">
        <f>IFERROR(__xludf.DUMMYFUNCTION("""COMPUTED_VALUE"""),"EMPTY")</f>
        <v>EMPTY</v>
      </c>
      <c r="J3445" s="211">
        <f>IFERROR(__xludf.DUMMYFUNCTION("""COMPUTED_VALUE"""),5.0)</f>
        <v>5</v>
      </c>
      <c r="K3445" s="210" t="str">
        <f>IFERROR(__xludf.DUMMYFUNCTION("""COMPUTED_VALUE"""),"L001 L002 L003 L004 L007")</f>
        <v>L001 L002 L003 L004 L007</v>
      </c>
      <c r="L3445" s="211">
        <f>IFERROR(__xludf.DUMMYFUNCTION("""COMPUTED_VALUE"""),0.0)</f>
        <v>0</v>
      </c>
      <c r="M3445" s="211"/>
      <c r="N3445" s="211"/>
      <c r="O3445" s="211" t="b">
        <f>IFERROR(__xludf.DUMMYFUNCTION("""COMPUTED_VALUE"""),FALSE)</f>
        <v>0</v>
      </c>
    </row>
    <row r="3446">
      <c r="A3446" s="210" t="str">
        <f>IFERROR(__xludf.DUMMYFUNCTION("""COMPUTED_VALUE"""),"012632391")</f>
        <v>012632391</v>
      </c>
      <c r="B3446" s="210" t="str">
        <f>IFERROR(__xludf.DUMMYFUNCTION("""COMPUTED_VALUE"""),"012632391")</f>
        <v>012632391</v>
      </c>
      <c r="C3446" s="213">
        <f>IFERROR(__xludf.DUMMYFUNCTION("""COMPUTED_VALUE"""),46051.357407407406)</f>
        <v>46051.35741</v>
      </c>
      <c r="D3446" s="211" t="str">
        <f>IFERROR(__xludf.DUMMYFUNCTION("""COMPUTED_VALUE"""),"1c4d5e93")</f>
        <v>1c4d5e93</v>
      </c>
      <c r="E3446" s="211" t="str">
        <f>IFERROR(__xludf.DUMMYFUNCTION("""COMPUTED_VALUE"""),"Karoseri Cipta Mitra Sukses")</f>
        <v>Karoseri Cipta Mitra Sukses</v>
      </c>
      <c r="F3446" s="211" t="str">
        <f>IFERROR(__xludf.DUMMYFUNCTION("""COMPUTED_VALUE"""),"ef306e54")</f>
        <v>ef306e54</v>
      </c>
      <c r="G3446" s="211" t="str">
        <f>IFERROR(__xludf.DUMMYFUNCTION("""COMPUTED_VALUE"""),"Karbondioksida")</f>
        <v>Karbondioksida</v>
      </c>
      <c r="H3446" s="211" t="str">
        <f>IFERROR(__xludf.DUMMYFUNCTION("""COMPUTED_VALUE"""),"OUT")</f>
        <v>OUT</v>
      </c>
      <c r="I3446" s="211" t="str">
        <f>IFERROR(__xludf.DUMMYFUNCTION("""COMPUTED_VALUE"""),"NORMAL")</f>
        <v>NORMAL</v>
      </c>
      <c r="J3446" s="211">
        <f>IFERROR(__xludf.DUMMYFUNCTION("""COMPUTED_VALUE"""),3.0)</f>
        <v>3</v>
      </c>
      <c r="K3446" s="210" t="str">
        <f>IFERROR(__xludf.DUMMYFUNCTION("""COMPUTED_VALUE"""),"13065 13037 13013")</f>
        <v>13065 13037 13013</v>
      </c>
      <c r="L3446" s="211">
        <f>IFERROR(__xludf.DUMMYFUNCTION("""COMPUTED_VALUE"""),190000.0)</f>
        <v>190000</v>
      </c>
      <c r="M3446" s="211"/>
      <c r="N3446" s="211"/>
      <c r="O3446" s="211" t="b">
        <f>IFERROR(__xludf.DUMMYFUNCTION("""COMPUTED_VALUE"""),FALSE)</f>
        <v>0</v>
      </c>
    </row>
    <row r="3447">
      <c r="A3447" s="210" t="str">
        <f>IFERROR(__xludf.DUMMYFUNCTION("""COMPUTED_VALUE"""),"012632391")</f>
        <v>012632391</v>
      </c>
      <c r="B3447" s="210" t="str">
        <f>IFERROR(__xludf.DUMMYFUNCTION("""COMPUTED_VALUE"""),"012632391")</f>
        <v>012632391</v>
      </c>
      <c r="C3447" s="213">
        <f>IFERROR(__xludf.DUMMYFUNCTION("""COMPUTED_VALUE"""),46051.357407407406)</f>
        <v>46051.35741</v>
      </c>
      <c r="D3447" s="211" t="str">
        <f>IFERROR(__xludf.DUMMYFUNCTION("""COMPUTED_VALUE"""),"1c4d5e93")</f>
        <v>1c4d5e93</v>
      </c>
      <c r="E3447" s="211" t="str">
        <f>IFERROR(__xludf.DUMMYFUNCTION("""COMPUTED_VALUE"""),"Karoseri Cipta Mitra Sukses")</f>
        <v>Karoseri Cipta Mitra Sukses</v>
      </c>
      <c r="F3447" s="211" t="str">
        <f>IFERROR(__xludf.DUMMYFUNCTION("""COMPUTED_VALUE"""),"8bdbe149")</f>
        <v>8bdbe149</v>
      </c>
      <c r="G3447" s="211" t="str">
        <f>IFERROR(__xludf.DUMMYFUNCTION("""COMPUTED_VALUE"""),"Oksigen 6m3")</f>
        <v>Oksigen 6m3</v>
      </c>
      <c r="H3447" s="211" t="str">
        <f>IFERROR(__xludf.DUMMYFUNCTION("""COMPUTED_VALUE"""),"OUT")</f>
        <v>OUT</v>
      </c>
      <c r="I3447" s="211" t="str">
        <f>IFERROR(__xludf.DUMMYFUNCTION("""COMPUTED_VALUE"""),"NORMAL")</f>
        <v>NORMAL</v>
      </c>
      <c r="J3447" s="211">
        <f>IFERROR(__xludf.DUMMYFUNCTION("""COMPUTED_VALUE"""),2.0)</f>
        <v>2</v>
      </c>
      <c r="K3447" s="210" t="str">
        <f>IFERROR(__xludf.DUMMYFUNCTION("""COMPUTED_VALUE"""),"1192 11119")</f>
        <v>1192 11119</v>
      </c>
      <c r="L3447" s="211">
        <f>IFERROR(__xludf.DUMMYFUNCTION("""COMPUTED_VALUE"""),60000.0)</f>
        <v>60000</v>
      </c>
      <c r="M3447" s="211"/>
      <c r="N3447" s="211"/>
      <c r="O3447" s="211" t="b">
        <f>IFERROR(__xludf.DUMMYFUNCTION("""COMPUTED_VALUE"""),FALSE)</f>
        <v>0</v>
      </c>
    </row>
    <row r="3448">
      <c r="A3448" s="210" t="str">
        <f>IFERROR(__xludf.DUMMYFUNCTION("""COMPUTED_VALUE"""),"1261150")</f>
        <v>1261150</v>
      </c>
      <c r="B3448" s="210" t="str">
        <f>IFERROR(__xludf.DUMMYFUNCTION("""COMPUTED_VALUE"""),"1261150")</f>
        <v>1261150</v>
      </c>
      <c r="C3448" s="213">
        <f>IFERROR(__xludf.DUMMYFUNCTION("""COMPUTED_VALUE"""),46051.361354166664)</f>
        <v>46051.36135</v>
      </c>
      <c r="D3448" s="211" t="str">
        <f>IFERROR(__xludf.DUMMYFUNCTION("""COMPUTED_VALUE"""),"1d018c98")</f>
        <v>1d018c98</v>
      </c>
      <c r="E3448" s="211" t="str">
        <f>IFERROR(__xludf.DUMMYFUNCTION("""COMPUTED_VALUE"""),"Mbak Angel")</f>
        <v>Mbak Angel</v>
      </c>
      <c r="F3448" s="211" t="str">
        <f>IFERROR(__xludf.DUMMYFUNCTION("""COMPUTED_VALUE"""),"8bdbe149")</f>
        <v>8bdbe149</v>
      </c>
      <c r="G3448" s="211" t="str">
        <f>IFERROR(__xludf.DUMMYFUNCTION("""COMPUTED_VALUE"""),"Oksigen 6m3")</f>
        <v>Oksigen 6m3</v>
      </c>
      <c r="H3448" s="211" t="str">
        <f>IFERROR(__xludf.DUMMYFUNCTION("""COMPUTED_VALUE"""),"IN")</f>
        <v>IN</v>
      </c>
      <c r="I3448" s="211" t="str">
        <f>IFERROR(__xludf.DUMMYFUNCTION("""COMPUTED_VALUE"""),"EMPTY")</f>
        <v>EMPTY</v>
      </c>
      <c r="J3448" s="211">
        <f>IFERROR(__xludf.DUMMYFUNCTION("""COMPUTED_VALUE"""),1.0)</f>
        <v>1</v>
      </c>
      <c r="K3448" s="210" t="str">
        <f>IFERROR(__xludf.DUMMYFUNCTION("""COMPUTED_VALUE"""),"11286")</f>
        <v>11286</v>
      </c>
      <c r="L3448" s="211">
        <f>IFERROR(__xludf.DUMMYFUNCTION("""COMPUTED_VALUE"""),0.0)</f>
        <v>0</v>
      </c>
      <c r="M3448" s="211"/>
      <c r="N3448" s="211"/>
      <c r="O3448" s="211" t="b">
        <f>IFERROR(__xludf.DUMMYFUNCTION("""COMPUTED_VALUE"""),FALSE)</f>
        <v>0</v>
      </c>
    </row>
    <row r="3449">
      <c r="A3449" s="210" t="str">
        <f>IFERROR(__xludf.DUMMYFUNCTION("""COMPUTED_VALUE"""),"012642393")</f>
        <v>012642393</v>
      </c>
      <c r="B3449" s="210" t="str">
        <f>IFERROR(__xludf.DUMMYFUNCTION("""COMPUTED_VALUE"""),"012642393")</f>
        <v>012642393</v>
      </c>
      <c r="C3449" s="213">
        <f>IFERROR(__xludf.DUMMYFUNCTION("""COMPUTED_VALUE"""),46051.36586805555)</f>
        <v>46051.36587</v>
      </c>
      <c r="D3449" s="211" t="str">
        <f>IFERROR(__xludf.DUMMYFUNCTION("""COMPUTED_VALUE"""),"a1508027")</f>
        <v>a1508027</v>
      </c>
      <c r="E3449" s="211" t="str">
        <f>IFERROR(__xludf.DUMMYFUNCTION("""COMPUTED_VALUE"""),"Agus Budiono")</f>
        <v>Agus Budiono</v>
      </c>
      <c r="F3449" s="211" t="str">
        <f>IFERROR(__xludf.DUMMYFUNCTION("""COMPUTED_VALUE"""),"c636ad1a")</f>
        <v>c636ad1a</v>
      </c>
      <c r="G3449" s="211" t="str">
        <f>IFERROR(__xludf.DUMMYFUNCTION("""COMPUTED_VALUE"""),"Tabung Oksigen 1m3 + Isi")</f>
        <v>Tabung Oksigen 1m3 + Isi</v>
      </c>
      <c r="H3449" s="211" t="str">
        <f>IFERROR(__xludf.DUMMYFUNCTION("""COMPUTED_VALUE"""),"OUT")</f>
        <v>OUT</v>
      </c>
      <c r="I3449" s="211" t="str">
        <f>IFERROR(__xludf.DUMMYFUNCTION("""COMPUTED_VALUE"""),"NORMAL")</f>
        <v>NORMAL</v>
      </c>
      <c r="J3449" s="211">
        <f>IFERROR(__xludf.DUMMYFUNCTION("""COMPUTED_VALUE"""),1.0)</f>
        <v>1</v>
      </c>
      <c r="K3449" s="211"/>
      <c r="L3449" s="211">
        <f>IFERROR(__xludf.DUMMYFUNCTION("""COMPUTED_VALUE"""),800000.0)</f>
        <v>800000</v>
      </c>
      <c r="M3449" s="211"/>
      <c r="N3449" s="211"/>
      <c r="O3449" s="211" t="b">
        <f>IFERROR(__xludf.DUMMYFUNCTION("""COMPUTED_VALUE"""),FALSE)</f>
        <v>0</v>
      </c>
    </row>
    <row r="3450">
      <c r="A3450" s="211"/>
      <c r="B3450" s="211"/>
      <c r="C3450" s="211"/>
      <c r="D3450" s="211"/>
      <c r="E3450" s="211"/>
      <c r="F3450" s="211"/>
      <c r="G3450" s="211"/>
      <c r="H3450" s="211"/>
      <c r="I3450" s="211"/>
      <c r="J3450" s="211"/>
      <c r="K3450" s="211"/>
      <c r="L3450" s="211"/>
      <c r="M3450" s="211"/>
      <c r="N3450" s="211"/>
      <c r="O3450" s="211"/>
    </row>
    <row r="3451">
      <c r="A3451" s="210" t="str">
        <f>IFERROR(__xludf.DUMMYFUNCTION("""COMPUTED_VALUE"""),"0126122396")</f>
        <v>0126122396</v>
      </c>
      <c r="B3451" s="210" t="str">
        <f>IFERROR(__xludf.DUMMYFUNCTION("""COMPUTED_VALUE"""),"0126122396")</f>
        <v>0126122396</v>
      </c>
      <c r="C3451" s="213">
        <f>IFERROR(__xludf.DUMMYFUNCTION("""COMPUTED_VALUE"""),46051.45300925926)</f>
        <v>46051.45301</v>
      </c>
      <c r="D3451" s="211" t="str">
        <f>IFERROR(__xludf.DUMMYFUNCTION("""COMPUTED_VALUE"""),"9b941888")</f>
        <v>9b941888</v>
      </c>
      <c r="E3451" s="211" t="str">
        <f>IFERROR(__xludf.DUMMYFUNCTION("""COMPUTED_VALUE"""),"Mas Devi ( Parengan )")</f>
        <v>Mas Devi ( Parengan )</v>
      </c>
      <c r="F3451" s="211" t="str">
        <f>IFERROR(__xludf.DUMMYFUNCTION("""COMPUTED_VALUE"""),"7d2764f1")</f>
        <v>7d2764f1</v>
      </c>
      <c r="G3451" s="211" t="str">
        <f>IFERROR(__xludf.DUMMYFUNCTION("""COMPUTED_VALUE"""),"Oksigen 7m3")</f>
        <v>Oksigen 7m3</v>
      </c>
      <c r="H3451" s="211" t="str">
        <f>IFERROR(__xludf.DUMMYFUNCTION("""COMPUTED_VALUE"""),"OUT")</f>
        <v>OUT</v>
      </c>
      <c r="I3451" s="211" t="str">
        <f>IFERROR(__xludf.DUMMYFUNCTION("""COMPUTED_VALUE"""),"NORMAL")</f>
        <v>NORMAL</v>
      </c>
      <c r="J3451" s="211">
        <f>IFERROR(__xludf.DUMMYFUNCTION("""COMPUTED_VALUE"""),2.0)</f>
        <v>2</v>
      </c>
      <c r="K3451" s="210" t="str">
        <f>IFERROR(__xludf.DUMMYFUNCTION("""COMPUTED_VALUE"""),"11138 11158")</f>
        <v>11138 11158</v>
      </c>
      <c r="L3451" s="211">
        <f>IFERROR(__xludf.DUMMYFUNCTION("""COMPUTED_VALUE"""),80000.0)</f>
        <v>80000</v>
      </c>
      <c r="M3451" s="211"/>
      <c r="N3451" s="211"/>
      <c r="O3451" s="211" t="b">
        <f>IFERROR(__xludf.DUMMYFUNCTION("""COMPUTED_VALUE"""),FALSE)</f>
        <v>0</v>
      </c>
    </row>
    <row r="3452">
      <c r="A3452" s="210" t="str">
        <f>IFERROR(__xludf.DUMMYFUNCTION("""COMPUTED_VALUE"""),"1261171")</f>
        <v>1261171</v>
      </c>
      <c r="B3452" s="210" t="str">
        <f>IFERROR(__xludf.DUMMYFUNCTION("""COMPUTED_VALUE"""),"1261171")</f>
        <v>1261171</v>
      </c>
      <c r="C3452" s="213">
        <f>IFERROR(__xludf.DUMMYFUNCTION("""COMPUTED_VALUE"""),46051.49167824074)</f>
        <v>46051.49168</v>
      </c>
      <c r="D3452" s="211" t="str">
        <f>IFERROR(__xludf.DUMMYFUNCTION("""COMPUTED_VALUE"""),"1c4d5e93")</f>
        <v>1c4d5e93</v>
      </c>
      <c r="E3452" s="211" t="str">
        <f>IFERROR(__xludf.DUMMYFUNCTION("""COMPUTED_VALUE"""),"Karoseri Cipta Mitra Sukses")</f>
        <v>Karoseri Cipta Mitra Sukses</v>
      </c>
      <c r="F3452" s="211" t="str">
        <f>IFERROR(__xludf.DUMMYFUNCTION("""COMPUTED_VALUE"""),"ef306e54")</f>
        <v>ef306e54</v>
      </c>
      <c r="G3452" s="211" t="str">
        <f>IFERROR(__xludf.DUMMYFUNCTION("""COMPUTED_VALUE"""),"Karbondioksida")</f>
        <v>Karbondioksida</v>
      </c>
      <c r="H3452" s="211" t="str">
        <f>IFERROR(__xludf.DUMMYFUNCTION("""COMPUTED_VALUE"""),"IN")</f>
        <v>IN</v>
      </c>
      <c r="I3452" s="211" t="str">
        <f>IFERROR(__xludf.DUMMYFUNCTION("""COMPUTED_VALUE"""),"EMPTY")</f>
        <v>EMPTY</v>
      </c>
      <c r="J3452" s="211">
        <f>IFERROR(__xludf.DUMMYFUNCTION("""COMPUTED_VALUE"""),2.0)</f>
        <v>2</v>
      </c>
      <c r="K3452" s="210" t="str">
        <f>IFERROR(__xludf.DUMMYFUNCTION("""COMPUTED_VALUE"""),"13046 13062")</f>
        <v>13046 13062</v>
      </c>
      <c r="L3452" s="211">
        <f>IFERROR(__xludf.DUMMYFUNCTION("""COMPUTED_VALUE"""),0.0)</f>
        <v>0</v>
      </c>
      <c r="M3452" s="211"/>
      <c r="N3452" s="211"/>
      <c r="O3452" s="211" t="b">
        <f>IFERROR(__xludf.DUMMYFUNCTION("""COMPUTED_VALUE"""),FALSE)</f>
        <v>0</v>
      </c>
    </row>
    <row r="3453">
      <c r="A3453" s="210" t="str">
        <f>IFERROR(__xludf.DUMMYFUNCTION("""COMPUTED_VALUE"""),"1261173")</f>
        <v>1261173</v>
      </c>
      <c r="B3453" s="210" t="str">
        <f>IFERROR(__xludf.DUMMYFUNCTION("""COMPUTED_VALUE"""),"1261173")</f>
        <v>1261173</v>
      </c>
      <c r="C3453" s="213">
        <f>IFERROR(__xludf.DUMMYFUNCTION("""COMPUTED_VALUE"""),46051.492210648146)</f>
        <v>46051.49221</v>
      </c>
      <c r="D3453" s="211" t="str">
        <f>IFERROR(__xludf.DUMMYFUNCTION("""COMPUTED_VALUE"""),"eec2e801")</f>
        <v>eec2e801</v>
      </c>
      <c r="E3453" s="211" t="str">
        <f>IFERROR(__xludf.DUMMYFUNCTION("""COMPUTED_VALUE"""),"Mitra Wood Sejahtera")</f>
        <v>Mitra Wood Sejahtera</v>
      </c>
      <c r="F3453" s="211" t="str">
        <f>IFERROR(__xludf.DUMMYFUNCTION("""COMPUTED_VALUE"""),"8bdbe149")</f>
        <v>8bdbe149</v>
      </c>
      <c r="G3453" s="211" t="str">
        <f>IFERROR(__xludf.DUMMYFUNCTION("""COMPUTED_VALUE"""),"Oksigen 6m3")</f>
        <v>Oksigen 6m3</v>
      </c>
      <c r="H3453" s="211" t="str">
        <f>IFERROR(__xludf.DUMMYFUNCTION("""COMPUTED_VALUE"""),"IN")</f>
        <v>IN</v>
      </c>
      <c r="I3453" s="211" t="str">
        <f>IFERROR(__xludf.DUMMYFUNCTION("""COMPUTED_VALUE"""),"EMPTY")</f>
        <v>EMPTY</v>
      </c>
      <c r="J3453" s="211">
        <f>IFERROR(__xludf.DUMMYFUNCTION("""COMPUTED_VALUE"""),4.0)</f>
        <v>4</v>
      </c>
      <c r="K3453" s="210" t="str">
        <f>IFERROR(__xludf.DUMMYFUNCTION("""COMPUTED_VALUE"""),"1108 11246 11285 11205")</f>
        <v>1108 11246 11285 11205</v>
      </c>
      <c r="L3453" s="211">
        <f>IFERROR(__xludf.DUMMYFUNCTION("""COMPUTED_VALUE"""),0.0)</f>
        <v>0</v>
      </c>
      <c r="M3453" s="211"/>
      <c r="N3453" s="211"/>
      <c r="O3453" s="211" t="b">
        <f>IFERROR(__xludf.DUMMYFUNCTION("""COMPUTED_VALUE"""),FALSE)</f>
        <v>0</v>
      </c>
    </row>
    <row r="3454">
      <c r="A3454" s="210" t="str">
        <f>IFERROR(__xludf.DUMMYFUNCTION("""COMPUTED_VALUE"""),"1261173")</f>
        <v>1261173</v>
      </c>
      <c r="B3454" s="210" t="str">
        <f>IFERROR(__xludf.DUMMYFUNCTION("""COMPUTED_VALUE"""),"1261173")</f>
        <v>1261173</v>
      </c>
      <c r="C3454" s="213">
        <f>IFERROR(__xludf.DUMMYFUNCTION("""COMPUTED_VALUE"""),46051.492210648146)</f>
        <v>46051.49221</v>
      </c>
      <c r="D3454" s="211" t="str">
        <f>IFERROR(__xludf.DUMMYFUNCTION("""COMPUTED_VALUE"""),"eec2e801")</f>
        <v>eec2e801</v>
      </c>
      <c r="E3454" s="211" t="str">
        <f>IFERROR(__xludf.DUMMYFUNCTION("""COMPUTED_VALUE"""),"Mitra Wood Sejahtera")</f>
        <v>Mitra Wood Sejahtera</v>
      </c>
      <c r="F3454" s="211" t="str">
        <f>IFERROR(__xludf.DUMMYFUNCTION("""COMPUTED_VALUE"""),"be525f3b")</f>
        <v>be525f3b</v>
      </c>
      <c r="G3454" s="211" t="str">
        <f>IFERROR(__xludf.DUMMYFUNCTION("""COMPUTED_VALUE"""),"LPG 12kg")</f>
        <v>LPG 12kg</v>
      </c>
      <c r="H3454" s="211" t="str">
        <f>IFERROR(__xludf.DUMMYFUNCTION("""COMPUTED_VALUE"""),"IN")</f>
        <v>IN</v>
      </c>
      <c r="I3454" s="211" t="str">
        <f>IFERROR(__xludf.DUMMYFUNCTION("""COMPUTED_VALUE"""),"EMPTY")</f>
        <v>EMPTY</v>
      </c>
      <c r="J3454" s="211">
        <f>IFERROR(__xludf.DUMMYFUNCTION("""COMPUTED_VALUE"""),1.0)</f>
        <v>1</v>
      </c>
      <c r="K3454" s="211"/>
      <c r="L3454" s="211">
        <f>IFERROR(__xludf.DUMMYFUNCTION("""COMPUTED_VALUE"""),0.0)</f>
        <v>0</v>
      </c>
      <c r="M3454" s="211"/>
      <c r="N3454" s="211"/>
      <c r="O3454" s="211" t="b">
        <f>IFERROR(__xludf.DUMMYFUNCTION("""COMPUTED_VALUE"""),FALSE)</f>
        <v>0</v>
      </c>
    </row>
    <row r="3455">
      <c r="A3455" s="210" t="str">
        <f>IFERROR(__xludf.DUMMYFUNCTION("""COMPUTED_VALUE"""),"1261173")</f>
        <v>1261173</v>
      </c>
      <c r="B3455" s="210" t="str">
        <f>IFERROR(__xludf.DUMMYFUNCTION("""COMPUTED_VALUE"""),"1261173")</f>
        <v>1261173</v>
      </c>
      <c r="C3455" s="213">
        <f>IFERROR(__xludf.DUMMYFUNCTION("""COMPUTED_VALUE"""),46051.492210648146)</f>
        <v>46051.49221</v>
      </c>
      <c r="D3455" s="211" t="str">
        <f>IFERROR(__xludf.DUMMYFUNCTION("""COMPUTED_VALUE"""),"eec2e801")</f>
        <v>eec2e801</v>
      </c>
      <c r="E3455" s="211" t="str">
        <f>IFERROR(__xludf.DUMMYFUNCTION("""COMPUTED_VALUE"""),"Mitra Wood Sejahtera")</f>
        <v>Mitra Wood Sejahtera</v>
      </c>
      <c r="F3455" s="211" t="str">
        <f>IFERROR(__xludf.DUMMYFUNCTION("""COMPUTED_VALUE"""),"8bdbe149")</f>
        <v>8bdbe149</v>
      </c>
      <c r="G3455" s="211" t="str">
        <f>IFERROR(__xludf.DUMMYFUNCTION("""COMPUTED_VALUE"""),"Oksigen 6m3")</f>
        <v>Oksigen 6m3</v>
      </c>
      <c r="H3455" s="211" t="str">
        <f>IFERROR(__xludf.DUMMYFUNCTION("""COMPUTED_VALUE"""),"IN")</f>
        <v>IN</v>
      </c>
      <c r="I3455" s="211" t="str">
        <f>IFERROR(__xludf.DUMMYFUNCTION("""COMPUTED_VALUE"""),"EMPTY")</f>
        <v>EMPTY</v>
      </c>
      <c r="J3455" s="211">
        <f>IFERROR(__xludf.DUMMYFUNCTION("""COMPUTED_VALUE"""),1.0)</f>
        <v>1</v>
      </c>
      <c r="K3455" s="210" t="str">
        <f>IFERROR(__xludf.DUMMYFUNCTION("""COMPUTED_VALUE"""),"11229")</f>
        <v>11229</v>
      </c>
      <c r="L3455" s="211">
        <f>IFERROR(__xludf.DUMMYFUNCTION("""COMPUTED_VALUE"""),0.0)</f>
        <v>0</v>
      </c>
      <c r="M3455" s="211"/>
      <c r="N3455" s="211" t="str">
        <f>IFERROR(__xludf.DUMMYFUNCTION("""COMPUTED_VALUE"""),"Botol 6m3, Tapi di stok name masuk Botol 7m3")</f>
        <v>Botol 6m3, Tapi di stok name masuk Botol 7m3</v>
      </c>
      <c r="O3455" s="211" t="b">
        <f>IFERROR(__xludf.DUMMYFUNCTION("""COMPUTED_VALUE"""),TRUE)</f>
        <v>1</v>
      </c>
    </row>
    <row r="3456">
      <c r="A3456" s="210" t="str">
        <f>IFERROR(__xludf.DUMMYFUNCTION("""COMPUTED_VALUE"""),"1261172")</f>
        <v>1261172</v>
      </c>
      <c r="B3456" s="210" t="str">
        <f>IFERROR(__xludf.DUMMYFUNCTION("""COMPUTED_VALUE"""),"1261172")</f>
        <v>1261172</v>
      </c>
      <c r="C3456" s="213">
        <f>IFERROR(__xludf.DUMMYFUNCTION("""COMPUTED_VALUE"""),46051.49783564815)</f>
        <v>46051.49784</v>
      </c>
      <c r="D3456" s="211" t="str">
        <f>IFERROR(__xludf.DUMMYFUNCTION("""COMPUTED_VALUE"""),"3b04351a")</f>
        <v>3b04351a</v>
      </c>
      <c r="E3456" s="211" t="str">
        <f>IFERROR(__xludf.DUMMYFUNCTION("""COMPUTED_VALUE"""),"CV Usaha Logam Jaya ( Bpk Putra )")</f>
        <v>CV Usaha Logam Jaya ( Bpk Putra )</v>
      </c>
      <c r="F3456" s="211" t="str">
        <f>IFERROR(__xludf.DUMMYFUNCTION("""COMPUTED_VALUE"""),"8bdbe149")</f>
        <v>8bdbe149</v>
      </c>
      <c r="G3456" s="211" t="str">
        <f>IFERROR(__xludf.DUMMYFUNCTION("""COMPUTED_VALUE"""),"Oksigen 6m3")</f>
        <v>Oksigen 6m3</v>
      </c>
      <c r="H3456" s="211" t="str">
        <f>IFERROR(__xludf.DUMMYFUNCTION("""COMPUTED_VALUE"""),"IN")</f>
        <v>IN</v>
      </c>
      <c r="I3456" s="211" t="str">
        <f>IFERROR(__xludf.DUMMYFUNCTION("""COMPUTED_VALUE"""),"EMPTY")</f>
        <v>EMPTY</v>
      </c>
      <c r="J3456" s="211">
        <f>IFERROR(__xludf.DUMMYFUNCTION("""COMPUTED_VALUE"""),6.0)</f>
        <v>6</v>
      </c>
      <c r="K3456" s="210" t="str">
        <f>IFERROR(__xludf.DUMMYFUNCTION("""COMPUTED_VALUE"""),"1183 11258 11323 1138 11317 11324")</f>
        <v>1183 11258 11323 1138 11317 11324</v>
      </c>
      <c r="L3456" s="211">
        <f>IFERROR(__xludf.DUMMYFUNCTION("""COMPUTED_VALUE"""),0.0)</f>
        <v>0</v>
      </c>
      <c r="M3456" s="211"/>
      <c r="N3456" s="211"/>
      <c r="O3456" s="211" t="b">
        <f>IFERROR(__xludf.DUMMYFUNCTION("""COMPUTED_VALUE"""),FALSE)</f>
        <v>0</v>
      </c>
    </row>
    <row r="3457">
      <c r="A3457" s="210" t="str">
        <f>IFERROR(__xludf.DUMMYFUNCTION("""COMPUTED_VALUE"""),"1261174")</f>
        <v>1261174</v>
      </c>
      <c r="B3457" s="210" t="str">
        <f>IFERROR(__xludf.DUMMYFUNCTION("""COMPUTED_VALUE"""),"1261174")</f>
        <v>1261174</v>
      </c>
      <c r="C3457" s="213">
        <f>IFERROR(__xludf.DUMMYFUNCTION("""COMPUTED_VALUE"""),46051.52417824074)</f>
        <v>46051.52418</v>
      </c>
      <c r="D3457" s="211" t="str">
        <f>IFERROR(__xludf.DUMMYFUNCTION("""COMPUTED_VALUE"""),"9b941888")</f>
        <v>9b941888</v>
      </c>
      <c r="E3457" s="211" t="str">
        <f>IFERROR(__xludf.DUMMYFUNCTION("""COMPUTED_VALUE"""),"Mas Devi ( Parengan )")</f>
        <v>Mas Devi ( Parengan )</v>
      </c>
      <c r="F3457" s="211" t="str">
        <f>IFERROR(__xludf.DUMMYFUNCTION("""COMPUTED_VALUE"""),"7d2764f1")</f>
        <v>7d2764f1</v>
      </c>
      <c r="G3457" s="211" t="str">
        <f>IFERROR(__xludf.DUMMYFUNCTION("""COMPUTED_VALUE"""),"Oksigen 7m3")</f>
        <v>Oksigen 7m3</v>
      </c>
      <c r="H3457" s="211" t="str">
        <f>IFERROR(__xludf.DUMMYFUNCTION("""COMPUTED_VALUE"""),"IN")</f>
        <v>IN</v>
      </c>
      <c r="I3457" s="211" t="str">
        <f>IFERROR(__xludf.DUMMYFUNCTION("""COMPUTED_VALUE"""),"EMPTY")</f>
        <v>EMPTY</v>
      </c>
      <c r="J3457" s="211">
        <f>IFERROR(__xludf.DUMMYFUNCTION("""COMPUTED_VALUE"""),5.0)</f>
        <v>5</v>
      </c>
      <c r="K3457" s="210" t="str">
        <f>IFERROR(__xludf.DUMMYFUNCTION("""COMPUTED_VALUE"""),"11141 11172 11173 11140 11150")</f>
        <v>11141 11172 11173 11140 11150</v>
      </c>
      <c r="L3457" s="211">
        <f>IFERROR(__xludf.DUMMYFUNCTION("""COMPUTED_VALUE"""),0.0)</f>
        <v>0</v>
      </c>
      <c r="M3457" s="211"/>
      <c r="N3457" s="211"/>
      <c r="O3457" s="211" t="b">
        <f>IFERROR(__xludf.DUMMYFUNCTION("""COMPUTED_VALUE"""),FALSE)</f>
        <v>0</v>
      </c>
    </row>
    <row r="3458">
      <c r="A3458" s="210" t="str">
        <f>IFERROR(__xludf.DUMMYFUNCTION("""COMPUTED_VALUE"""),"1261159")</f>
        <v>1261159</v>
      </c>
      <c r="B3458" s="210" t="str">
        <f>IFERROR(__xludf.DUMMYFUNCTION("""COMPUTED_VALUE"""),"1261159")</f>
        <v>1261159</v>
      </c>
      <c r="C3458" s="213">
        <f>IFERROR(__xludf.DUMMYFUNCTION("""COMPUTED_VALUE"""),46051.535949074074)</f>
        <v>46051.53595</v>
      </c>
      <c r="D3458" s="211" t="str">
        <f>IFERROR(__xludf.DUMMYFUNCTION("""COMPUTED_VALUE"""),"b2b5f2c5")</f>
        <v>b2b5f2c5</v>
      </c>
      <c r="E3458" s="211" t="str">
        <f>IFERROR(__xludf.DUMMYFUNCTION("""COMPUTED_VALUE"""),"Bengkel Las Bpk. Ari")</f>
        <v>Bengkel Las Bpk. Ari</v>
      </c>
      <c r="F3458" s="211" t="str">
        <f>IFERROR(__xludf.DUMMYFUNCTION("""COMPUTED_VALUE"""),"8bdbe149")</f>
        <v>8bdbe149</v>
      </c>
      <c r="G3458" s="211" t="str">
        <f>IFERROR(__xludf.DUMMYFUNCTION("""COMPUTED_VALUE"""),"Oksigen 6m3")</f>
        <v>Oksigen 6m3</v>
      </c>
      <c r="H3458" s="211" t="str">
        <f>IFERROR(__xludf.DUMMYFUNCTION("""COMPUTED_VALUE"""),"IN")</f>
        <v>IN</v>
      </c>
      <c r="I3458" s="211" t="str">
        <f>IFERROR(__xludf.DUMMYFUNCTION("""COMPUTED_VALUE"""),"EMPTY")</f>
        <v>EMPTY</v>
      </c>
      <c r="J3458" s="211">
        <f>IFERROR(__xludf.DUMMYFUNCTION("""COMPUTED_VALUE"""),1.0)</f>
        <v>1</v>
      </c>
      <c r="K3458" s="210" t="str">
        <f>IFERROR(__xludf.DUMMYFUNCTION("""COMPUTED_VALUE"""),"11231")</f>
        <v>11231</v>
      </c>
      <c r="L3458" s="211">
        <f>IFERROR(__xludf.DUMMYFUNCTION("""COMPUTED_VALUE"""),0.0)</f>
        <v>0</v>
      </c>
      <c r="M3458" s="211"/>
      <c r="N3458" s="211"/>
      <c r="O3458" s="211" t="b">
        <f>IFERROR(__xludf.DUMMYFUNCTION("""COMPUTED_VALUE"""),FALSE)</f>
        <v>0</v>
      </c>
    </row>
    <row r="3459">
      <c r="A3459" s="210" t="str">
        <f>IFERROR(__xludf.DUMMYFUNCTION("""COMPUTED_VALUE"""),"1261159")</f>
        <v>1261159</v>
      </c>
      <c r="B3459" s="210" t="str">
        <f>IFERROR(__xludf.DUMMYFUNCTION("""COMPUTED_VALUE"""),"1261159")</f>
        <v>1261159</v>
      </c>
      <c r="C3459" s="213">
        <f>IFERROR(__xludf.DUMMYFUNCTION("""COMPUTED_VALUE"""),46051.535949074074)</f>
        <v>46051.53595</v>
      </c>
      <c r="D3459" s="211" t="str">
        <f>IFERROR(__xludf.DUMMYFUNCTION("""COMPUTED_VALUE"""),"b2b5f2c5")</f>
        <v>b2b5f2c5</v>
      </c>
      <c r="E3459" s="211" t="str">
        <f>IFERROR(__xludf.DUMMYFUNCTION("""COMPUTED_VALUE"""),"Bengkel Las Bpk. Ari")</f>
        <v>Bengkel Las Bpk. Ari</v>
      </c>
      <c r="F3459" s="211" t="str">
        <f>IFERROR(__xludf.DUMMYFUNCTION("""COMPUTED_VALUE"""),"ef306e54")</f>
        <v>ef306e54</v>
      </c>
      <c r="G3459" s="211" t="str">
        <f>IFERROR(__xludf.DUMMYFUNCTION("""COMPUTED_VALUE"""),"Karbondioksida")</f>
        <v>Karbondioksida</v>
      </c>
      <c r="H3459" s="211" t="str">
        <f>IFERROR(__xludf.DUMMYFUNCTION("""COMPUTED_VALUE"""),"IN")</f>
        <v>IN</v>
      </c>
      <c r="I3459" s="211" t="str">
        <f>IFERROR(__xludf.DUMMYFUNCTION("""COMPUTED_VALUE"""),"EMPTY")</f>
        <v>EMPTY</v>
      </c>
      <c r="J3459" s="211">
        <f>IFERROR(__xludf.DUMMYFUNCTION("""COMPUTED_VALUE"""),2.0)</f>
        <v>2</v>
      </c>
      <c r="K3459" s="210" t="str">
        <f>IFERROR(__xludf.DUMMYFUNCTION("""COMPUTED_VALUE"""),"13066 13067")</f>
        <v>13066 13067</v>
      </c>
      <c r="L3459" s="211">
        <f>IFERROR(__xludf.DUMMYFUNCTION("""COMPUTED_VALUE"""),0.0)</f>
        <v>0</v>
      </c>
      <c r="M3459" s="211"/>
      <c r="N3459" s="211"/>
      <c r="O3459" s="211" t="b">
        <f>IFERROR(__xludf.DUMMYFUNCTION("""COMPUTED_VALUE"""),FALSE)</f>
        <v>0</v>
      </c>
    </row>
    <row r="3460">
      <c r="A3460" s="210" t="str">
        <f>IFERROR(__xludf.DUMMYFUNCTION("""COMPUTED_VALUE"""),"1261159")</f>
        <v>1261159</v>
      </c>
      <c r="B3460" s="210" t="str">
        <f>IFERROR(__xludf.DUMMYFUNCTION("""COMPUTED_VALUE"""),"1261159")</f>
        <v>1261159</v>
      </c>
      <c r="C3460" s="213">
        <f>IFERROR(__xludf.DUMMYFUNCTION("""COMPUTED_VALUE"""),46051.535949074074)</f>
        <v>46051.53595</v>
      </c>
      <c r="D3460" s="211" t="str">
        <f>IFERROR(__xludf.DUMMYFUNCTION("""COMPUTED_VALUE"""),"b2b5f2c5")</f>
        <v>b2b5f2c5</v>
      </c>
      <c r="E3460" s="211" t="str">
        <f>IFERROR(__xludf.DUMMYFUNCTION("""COMPUTED_VALUE"""),"Bengkel Las Bpk. Ari")</f>
        <v>Bengkel Las Bpk. Ari</v>
      </c>
      <c r="F3460" s="211" t="str">
        <f>IFERROR(__xludf.DUMMYFUNCTION("""COMPUTED_VALUE"""),"7d2764f1")</f>
        <v>7d2764f1</v>
      </c>
      <c r="G3460" s="211" t="str">
        <f>IFERROR(__xludf.DUMMYFUNCTION("""COMPUTED_VALUE"""),"Oksigen 7m3")</f>
        <v>Oksigen 7m3</v>
      </c>
      <c r="H3460" s="211" t="str">
        <f>IFERROR(__xludf.DUMMYFUNCTION("""COMPUTED_VALUE"""),"IN")</f>
        <v>IN</v>
      </c>
      <c r="I3460" s="211" t="str">
        <f>IFERROR(__xludf.DUMMYFUNCTION("""COMPUTED_VALUE"""),"EMPTY")</f>
        <v>EMPTY</v>
      </c>
      <c r="J3460" s="211">
        <f>IFERROR(__xludf.DUMMYFUNCTION("""COMPUTED_VALUE"""),1.0)</f>
        <v>1</v>
      </c>
      <c r="K3460" s="210" t="str">
        <f>IFERROR(__xludf.DUMMYFUNCTION("""COMPUTED_VALUE"""),"11226")</f>
        <v>11226</v>
      </c>
      <c r="L3460" s="211">
        <f>IFERROR(__xludf.DUMMYFUNCTION("""COMPUTED_VALUE"""),0.0)</f>
        <v>0</v>
      </c>
      <c r="M3460" s="211"/>
      <c r="N3460" s="211"/>
      <c r="O3460" s="211" t="b">
        <f>IFERROR(__xludf.DUMMYFUNCTION("""COMPUTED_VALUE"""),TRUE)</f>
        <v>1</v>
      </c>
    </row>
    <row r="3461">
      <c r="A3461" s="210" t="str">
        <f>IFERROR(__xludf.DUMMYFUNCTION("""COMPUTED_VALUE"""),"0126182397")</f>
        <v>0126182397</v>
      </c>
      <c r="B3461" s="210" t="str">
        <f>IFERROR(__xludf.DUMMYFUNCTION("""COMPUTED_VALUE"""),"0126182397")</f>
        <v>0126182397</v>
      </c>
      <c r="C3461" s="213">
        <f>IFERROR(__xludf.DUMMYFUNCTION("""COMPUTED_VALUE"""),46051.54100694445)</f>
        <v>46051.54101</v>
      </c>
      <c r="D3461" s="211" t="str">
        <f>IFERROR(__xludf.DUMMYFUNCTION("""COMPUTED_VALUE"""),"63fc688a")</f>
        <v>63fc688a</v>
      </c>
      <c r="E3461" s="211" t="str">
        <f>IFERROR(__xludf.DUMMYFUNCTION("""COMPUTED_VALUE"""),"CV Malik Nusantara")</f>
        <v>CV Malik Nusantara</v>
      </c>
      <c r="F3461" s="211" t="str">
        <f>IFERROR(__xludf.DUMMYFUNCTION("""COMPUTED_VALUE"""),"8bdbe149")</f>
        <v>8bdbe149</v>
      </c>
      <c r="G3461" s="211" t="str">
        <f>IFERROR(__xludf.DUMMYFUNCTION("""COMPUTED_VALUE"""),"Oksigen 6m3")</f>
        <v>Oksigen 6m3</v>
      </c>
      <c r="H3461" s="211" t="str">
        <f>IFERROR(__xludf.DUMMYFUNCTION("""COMPUTED_VALUE"""),"OUT")</f>
        <v>OUT</v>
      </c>
      <c r="I3461" s="211" t="str">
        <f>IFERROR(__xludf.DUMMYFUNCTION("""COMPUTED_VALUE"""),"NORMAL")</f>
        <v>NORMAL</v>
      </c>
      <c r="J3461" s="211">
        <f>IFERROR(__xludf.DUMMYFUNCTION("""COMPUTED_VALUE"""),5.0)</f>
        <v>5</v>
      </c>
      <c r="K3461" s="210" t="str">
        <f>IFERROR(__xludf.DUMMYFUNCTION("""COMPUTED_VALUE"""),"11272 11109 11201 11286 11231")</f>
        <v>11272 11109 11201 11286 11231</v>
      </c>
      <c r="L3461" s="211">
        <f>IFERROR(__xludf.DUMMYFUNCTION("""COMPUTED_VALUE"""),65000.0)</f>
        <v>65000</v>
      </c>
      <c r="M3461" s="211"/>
      <c r="N3461" s="211"/>
      <c r="O3461" s="211" t="b">
        <f>IFERROR(__xludf.DUMMYFUNCTION("""COMPUTED_VALUE"""),FALSE)</f>
        <v>0</v>
      </c>
    </row>
    <row r="3462">
      <c r="A3462" s="210" t="str">
        <f>IFERROR(__xludf.DUMMYFUNCTION("""COMPUTED_VALUE"""),"0126182397")</f>
        <v>0126182397</v>
      </c>
      <c r="B3462" s="210" t="str">
        <f>IFERROR(__xludf.DUMMYFUNCTION("""COMPUTED_VALUE"""),"0126182397")</f>
        <v>0126182397</v>
      </c>
      <c r="C3462" s="213">
        <f>IFERROR(__xludf.DUMMYFUNCTION("""COMPUTED_VALUE"""),46051.54100694445)</f>
        <v>46051.54101</v>
      </c>
      <c r="D3462" s="211" t="str">
        <f>IFERROR(__xludf.DUMMYFUNCTION("""COMPUTED_VALUE"""),"63fc688a")</f>
        <v>63fc688a</v>
      </c>
      <c r="E3462" s="211" t="str">
        <f>IFERROR(__xludf.DUMMYFUNCTION("""COMPUTED_VALUE"""),"CV Malik Nusantara")</f>
        <v>CV Malik Nusantara</v>
      </c>
      <c r="F3462" s="211" t="str">
        <f>IFERROR(__xludf.DUMMYFUNCTION("""COMPUTED_VALUE"""),"ef306e54")</f>
        <v>ef306e54</v>
      </c>
      <c r="G3462" s="211" t="str">
        <f>IFERROR(__xludf.DUMMYFUNCTION("""COMPUTED_VALUE"""),"Karbondioksida")</f>
        <v>Karbondioksida</v>
      </c>
      <c r="H3462" s="211" t="str">
        <f>IFERROR(__xludf.DUMMYFUNCTION("""COMPUTED_VALUE"""),"OUT")</f>
        <v>OUT</v>
      </c>
      <c r="I3462" s="211" t="str">
        <f>IFERROR(__xludf.DUMMYFUNCTION("""COMPUTED_VALUE"""),"NORMAL")</f>
        <v>NORMAL</v>
      </c>
      <c r="J3462" s="211">
        <f>IFERROR(__xludf.DUMMYFUNCTION("""COMPUTED_VALUE"""),2.0)</f>
        <v>2</v>
      </c>
      <c r="K3462" s="210" t="str">
        <f>IFERROR(__xludf.DUMMYFUNCTION("""COMPUTED_VALUE"""),"13034 13066")</f>
        <v>13034 13066</v>
      </c>
      <c r="L3462" s="211">
        <f>IFERROR(__xludf.DUMMYFUNCTION("""COMPUTED_VALUE"""),190000.0)</f>
        <v>190000</v>
      </c>
      <c r="M3462" s="211"/>
      <c r="N3462" s="211"/>
      <c r="O3462" s="211" t="b">
        <f>IFERROR(__xludf.DUMMYFUNCTION("""COMPUTED_VALUE"""),FALSE)</f>
        <v>0</v>
      </c>
    </row>
    <row r="3463">
      <c r="A3463" s="210" t="str">
        <f>IFERROR(__xludf.DUMMYFUNCTION("""COMPUTED_VALUE"""),"0126182397")</f>
        <v>0126182397</v>
      </c>
      <c r="B3463" s="210" t="str">
        <f>IFERROR(__xludf.DUMMYFUNCTION("""COMPUTED_VALUE"""),"0126182397")</f>
        <v>0126182397</v>
      </c>
      <c r="C3463" s="213">
        <f>IFERROR(__xludf.DUMMYFUNCTION("""COMPUTED_VALUE"""),46051.54100694445)</f>
        <v>46051.54101</v>
      </c>
      <c r="D3463" s="211" t="str">
        <f>IFERROR(__xludf.DUMMYFUNCTION("""COMPUTED_VALUE"""),"63fc688a")</f>
        <v>63fc688a</v>
      </c>
      <c r="E3463" s="211" t="str">
        <f>IFERROR(__xludf.DUMMYFUNCTION("""COMPUTED_VALUE"""),"CV Malik Nusantara")</f>
        <v>CV Malik Nusantara</v>
      </c>
      <c r="F3463" s="211" t="str">
        <f>IFERROR(__xludf.DUMMYFUNCTION("""COMPUTED_VALUE"""),"be525f3b")</f>
        <v>be525f3b</v>
      </c>
      <c r="G3463" s="211" t="str">
        <f>IFERROR(__xludf.DUMMYFUNCTION("""COMPUTED_VALUE"""),"LPG 12kg")</f>
        <v>LPG 12kg</v>
      </c>
      <c r="H3463" s="211" t="str">
        <f>IFERROR(__xludf.DUMMYFUNCTION("""COMPUTED_VALUE"""),"OUT")</f>
        <v>OUT</v>
      </c>
      <c r="I3463" s="211" t="str">
        <f>IFERROR(__xludf.DUMMYFUNCTION("""COMPUTED_VALUE"""),"NORMAL")</f>
        <v>NORMAL</v>
      </c>
      <c r="J3463" s="211">
        <f>IFERROR(__xludf.DUMMYFUNCTION("""COMPUTED_VALUE"""),1.0)</f>
        <v>1</v>
      </c>
      <c r="K3463" s="210" t="str">
        <f>IFERROR(__xludf.DUMMYFUNCTION("""COMPUTED_VALUE"""),"L0012")</f>
        <v>L0012</v>
      </c>
      <c r="L3463" s="211">
        <f>IFERROR(__xludf.DUMMYFUNCTION("""COMPUTED_VALUE"""),200000.0)</f>
        <v>200000</v>
      </c>
      <c r="M3463" s="211"/>
      <c r="N3463" s="211"/>
      <c r="O3463" s="211" t="b">
        <f>IFERROR(__xludf.DUMMYFUNCTION("""COMPUTED_VALUE"""),FALSE)</f>
        <v>0</v>
      </c>
    </row>
    <row r="3464">
      <c r="A3464" s="210" t="str">
        <f>IFERROR(__xludf.DUMMYFUNCTION("""COMPUTED_VALUE"""),"0126352403")</f>
        <v>0126352403</v>
      </c>
      <c r="B3464" s="210" t="str">
        <f>IFERROR(__xludf.DUMMYFUNCTION("""COMPUTED_VALUE"""),"0126352403")</f>
        <v>0126352403</v>
      </c>
      <c r="C3464" s="213">
        <f>IFERROR(__xludf.DUMMYFUNCTION("""COMPUTED_VALUE"""),46051.61923611111)</f>
        <v>46051.61924</v>
      </c>
      <c r="D3464" s="211" t="str">
        <f>IFERROR(__xludf.DUMMYFUNCTION("""COMPUTED_VALUE"""),"8f5ebaea")</f>
        <v>8f5ebaea</v>
      </c>
      <c r="E3464" s="211" t="str">
        <f>IFERROR(__xludf.DUMMYFUNCTION("""COMPUTED_VALUE"""),"PT Hua Zong Mesindo")</f>
        <v>PT Hua Zong Mesindo</v>
      </c>
      <c r="F3464" s="211" t="str">
        <f>IFERROR(__xludf.DUMMYFUNCTION("""COMPUTED_VALUE"""),"8bdbe149")</f>
        <v>8bdbe149</v>
      </c>
      <c r="G3464" s="211" t="str">
        <f>IFERROR(__xludf.DUMMYFUNCTION("""COMPUTED_VALUE"""),"Oksigen 6m3")</f>
        <v>Oksigen 6m3</v>
      </c>
      <c r="H3464" s="211" t="str">
        <f>IFERROR(__xludf.DUMMYFUNCTION("""COMPUTED_VALUE"""),"OUT")</f>
        <v>OUT</v>
      </c>
      <c r="I3464" s="211" t="str">
        <f>IFERROR(__xludf.DUMMYFUNCTION("""COMPUTED_VALUE"""),"NORMAL")</f>
        <v>NORMAL</v>
      </c>
      <c r="J3464" s="211">
        <f>IFERROR(__xludf.DUMMYFUNCTION("""COMPUTED_VALUE"""),2.0)</f>
        <v>2</v>
      </c>
      <c r="K3464" s="210" t="str">
        <f>IFERROR(__xludf.DUMMYFUNCTION("""COMPUTED_VALUE"""),"11346 1193")</f>
        <v>11346 1193</v>
      </c>
      <c r="L3464" s="211">
        <f>IFERROR(__xludf.DUMMYFUNCTION("""COMPUTED_VALUE"""),60000.0)</f>
        <v>60000</v>
      </c>
      <c r="M3464" s="211"/>
      <c r="N3464" s="211"/>
      <c r="O3464" s="211" t="b">
        <f>IFERROR(__xludf.DUMMYFUNCTION("""COMPUTED_VALUE"""),FALSE)</f>
        <v>0</v>
      </c>
    </row>
    <row r="3465">
      <c r="A3465" s="210" t="str">
        <f>IFERROR(__xludf.DUMMYFUNCTION("""COMPUTED_VALUE"""),"0126352403")</f>
        <v>0126352403</v>
      </c>
      <c r="B3465" s="210" t="str">
        <f>IFERROR(__xludf.DUMMYFUNCTION("""COMPUTED_VALUE"""),"0126352403")</f>
        <v>0126352403</v>
      </c>
      <c r="C3465" s="213">
        <f>IFERROR(__xludf.DUMMYFUNCTION("""COMPUTED_VALUE"""),46051.61923611111)</f>
        <v>46051.61924</v>
      </c>
      <c r="D3465" s="211" t="str">
        <f>IFERROR(__xludf.DUMMYFUNCTION("""COMPUTED_VALUE"""),"8f5ebaea")</f>
        <v>8f5ebaea</v>
      </c>
      <c r="E3465" s="211" t="str">
        <f>IFERROR(__xludf.DUMMYFUNCTION("""COMPUTED_VALUE"""),"PT Hua Zong Mesindo")</f>
        <v>PT Hua Zong Mesindo</v>
      </c>
      <c r="F3465" s="211" t="str">
        <f>IFERROR(__xludf.DUMMYFUNCTION("""COMPUTED_VALUE"""),"66af7c72")</f>
        <v>66af7c72</v>
      </c>
      <c r="G3465" s="211" t="str">
        <f>IFERROR(__xludf.DUMMYFUNCTION("""COMPUTED_VALUE"""),"Argon 6m3")</f>
        <v>Argon 6m3</v>
      </c>
      <c r="H3465" s="211" t="str">
        <f>IFERROR(__xludf.DUMMYFUNCTION("""COMPUTED_VALUE"""),"OUT")</f>
        <v>OUT</v>
      </c>
      <c r="I3465" s="211" t="str">
        <f>IFERROR(__xludf.DUMMYFUNCTION("""COMPUTED_VALUE"""),"NORMAL")</f>
        <v>NORMAL</v>
      </c>
      <c r="J3465" s="211">
        <f>IFERROR(__xludf.DUMMYFUNCTION("""COMPUTED_VALUE"""),2.0)</f>
        <v>2</v>
      </c>
      <c r="K3465" s="210" t="str">
        <f>IFERROR(__xludf.DUMMYFUNCTION("""COMPUTED_VALUE"""),"12016 12056")</f>
        <v>12016 12056</v>
      </c>
      <c r="L3465" s="211">
        <f>IFERROR(__xludf.DUMMYFUNCTION("""COMPUTED_VALUE"""),215000.0)</f>
        <v>215000</v>
      </c>
      <c r="M3465" s="211"/>
      <c r="N3465" s="211"/>
      <c r="O3465" s="211" t="b">
        <f>IFERROR(__xludf.DUMMYFUNCTION("""COMPUTED_VALUE"""),FALSE)</f>
        <v>0</v>
      </c>
    </row>
    <row r="3466">
      <c r="A3466" s="210" t="str">
        <f>IFERROR(__xludf.DUMMYFUNCTION("""COMPUTED_VALUE"""),"1261160")</f>
        <v>1261160</v>
      </c>
      <c r="B3466" s="210" t="str">
        <f>IFERROR(__xludf.DUMMYFUNCTION("""COMPUTED_VALUE"""),"1261160")</f>
        <v>1261160</v>
      </c>
      <c r="C3466" s="213">
        <f>IFERROR(__xludf.DUMMYFUNCTION("""COMPUTED_VALUE"""),46051.649409722224)</f>
        <v>46051.64941</v>
      </c>
      <c r="D3466" s="211" t="str">
        <f>IFERROR(__xludf.DUMMYFUNCTION("""COMPUTED_VALUE"""),"63fc688a")</f>
        <v>63fc688a</v>
      </c>
      <c r="E3466" s="211" t="str">
        <f>IFERROR(__xludf.DUMMYFUNCTION("""COMPUTED_VALUE"""),"CV Malik Nusantara")</f>
        <v>CV Malik Nusantara</v>
      </c>
      <c r="F3466" s="211" t="str">
        <f>IFERROR(__xludf.DUMMYFUNCTION("""COMPUTED_VALUE"""),"be525f3b")</f>
        <v>be525f3b</v>
      </c>
      <c r="G3466" s="211" t="str">
        <f>IFERROR(__xludf.DUMMYFUNCTION("""COMPUTED_VALUE"""),"LPG 12kg")</f>
        <v>LPG 12kg</v>
      </c>
      <c r="H3466" s="211" t="str">
        <f>IFERROR(__xludf.DUMMYFUNCTION("""COMPUTED_VALUE"""),"IN")</f>
        <v>IN</v>
      </c>
      <c r="I3466" s="211" t="str">
        <f>IFERROR(__xludf.DUMMYFUNCTION("""COMPUTED_VALUE"""),"EMPTY")</f>
        <v>EMPTY</v>
      </c>
      <c r="J3466" s="211">
        <f>IFERROR(__xludf.DUMMYFUNCTION("""COMPUTED_VALUE"""),1.0)</f>
        <v>1</v>
      </c>
      <c r="K3466" s="210" t="str">
        <f>IFERROR(__xludf.DUMMYFUNCTION("""COMPUTED_VALUE"""),"L0012")</f>
        <v>L0012</v>
      </c>
      <c r="L3466" s="211">
        <f>IFERROR(__xludf.DUMMYFUNCTION("""COMPUTED_VALUE"""),0.0)</f>
        <v>0</v>
      </c>
      <c r="M3466" s="211"/>
      <c r="N3466" s="211"/>
      <c r="O3466" s="211" t="b">
        <f>IFERROR(__xludf.DUMMYFUNCTION("""COMPUTED_VALUE"""),FALSE)</f>
        <v>0</v>
      </c>
    </row>
    <row r="3467">
      <c r="A3467" s="210" t="str">
        <f>IFERROR(__xludf.DUMMYFUNCTION("""COMPUTED_VALUE"""),"1261160")</f>
        <v>1261160</v>
      </c>
      <c r="B3467" s="210" t="str">
        <f>IFERROR(__xludf.DUMMYFUNCTION("""COMPUTED_VALUE"""),"1261160")</f>
        <v>1261160</v>
      </c>
      <c r="C3467" s="213">
        <f>IFERROR(__xludf.DUMMYFUNCTION("""COMPUTED_VALUE"""),46051.649409722224)</f>
        <v>46051.64941</v>
      </c>
      <c r="D3467" s="211" t="str">
        <f>IFERROR(__xludf.DUMMYFUNCTION("""COMPUTED_VALUE"""),"63fc688a")</f>
        <v>63fc688a</v>
      </c>
      <c r="E3467" s="211" t="str">
        <f>IFERROR(__xludf.DUMMYFUNCTION("""COMPUTED_VALUE"""),"CV Malik Nusantara")</f>
        <v>CV Malik Nusantara</v>
      </c>
      <c r="F3467" s="211" t="str">
        <f>IFERROR(__xludf.DUMMYFUNCTION("""COMPUTED_VALUE"""),"8bdbe149")</f>
        <v>8bdbe149</v>
      </c>
      <c r="G3467" s="211" t="str">
        <f>IFERROR(__xludf.DUMMYFUNCTION("""COMPUTED_VALUE"""),"Oksigen 6m3")</f>
        <v>Oksigen 6m3</v>
      </c>
      <c r="H3467" s="211" t="str">
        <f>IFERROR(__xludf.DUMMYFUNCTION("""COMPUTED_VALUE"""),"IN")</f>
        <v>IN</v>
      </c>
      <c r="I3467" s="211" t="str">
        <f>IFERROR(__xludf.DUMMYFUNCTION("""COMPUTED_VALUE"""),"EMPTY")</f>
        <v>EMPTY</v>
      </c>
      <c r="J3467" s="211">
        <f>IFERROR(__xludf.DUMMYFUNCTION("""COMPUTED_VALUE"""),4.0)</f>
        <v>4</v>
      </c>
      <c r="K3467" s="210" t="str">
        <f>IFERROR(__xludf.DUMMYFUNCTION("""COMPUTED_VALUE"""),"1115 11279 1124 1176")</f>
        <v>1115 11279 1124 1176</v>
      </c>
      <c r="L3467" s="211">
        <f>IFERROR(__xludf.DUMMYFUNCTION("""COMPUTED_VALUE"""),0.0)</f>
        <v>0</v>
      </c>
      <c r="M3467" s="211"/>
      <c r="N3467" s="211"/>
      <c r="O3467" s="211" t="b">
        <f>IFERROR(__xludf.DUMMYFUNCTION("""COMPUTED_VALUE"""),FALSE)</f>
        <v>0</v>
      </c>
    </row>
    <row r="3468">
      <c r="A3468" s="210" t="str">
        <f>IFERROR(__xludf.DUMMYFUNCTION("""COMPUTED_VALUE"""),"1261160")</f>
        <v>1261160</v>
      </c>
      <c r="B3468" s="210" t="str">
        <f>IFERROR(__xludf.DUMMYFUNCTION("""COMPUTED_VALUE"""),"1261160")</f>
        <v>1261160</v>
      </c>
      <c r="C3468" s="213">
        <f>IFERROR(__xludf.DUMMYFUNCTION("""COMPUTED_VALUE"""),46051.649409722224)</f>
        <v>46051.64941</v>
      </c>
      <c r="D3468" s="211" t="str">
        <f>IFERROR(__xludf.DUMMYFUNCTION("""COMPUTED_VALUE"""),"63fc688a")</f>
        <v>63fc688a</v>
      </c>
      <c r="E3468" s="211" t="str">
        <f>IFERROR(__xludf.DUMMYFUNCTION("""COMPUTED_VALUE"""),"CV Malik Nusantara")</f>
        <v>CV Malik Nusantara</v>
      </c>
      <c r="F3468" s="211" t="str">
        <f>IFERROR(__xludf.DUMMYFUNCTION("""COMPUTED_VALUE"""),"8bdbe149")</f>
        <v>8bdbe149</v>
      </c>
      <c r="G3468" s="211" t="str">
        <f>IFERROR(__xludf.DUMMYFUNCTION("""COMPUTED_VALUE"""),"Oksigen 6m3")</f>
        <v>Oksigen 6m3</v>
      </c>
      <c r="H3468" s="211" t="str">
        <f>IFERROR(__xludf.DUMMYFUNCTION("""COMPUTED_VALUE"""),"IN")</f>
        <v>IN</v>
      </c>
      <c r="I3468" s="211" t="str">
        <f>IFERROR(__xludf.DUMMYFUNCTION("""COMPUTED_VALUE"""),"EMPTY")</f>
        <v>EMPTY</v>
      </c>
      <c r="J3468" s="211">
        <f>IFERROR(__xludf.DUMMYFUNCTION("""COMPUTED_VALUE"""),1.0)</f>
        <v>1</v>
      </c>
      <c r="K3468" s="210" t="str">
        <f>IFERROR(__xludf.DUMMYFUNCTION("""COMPUTED_VALUE"""),"1194")</f>
        <v>1194</v>
      </c>
      <c r="L3468" s="211">
        <f>IFERROR(__xludf.DUMMYFUNCTION("""COMPUTED_VALUE"""),0.0)</f>
        <v>0</v>
      </c>
      <c r="M3468" s="211"/>
      <c r="N3468" s="211" t="str">
        <f>IFERROR(__xludf.DUMMYFUNCTION("""COMPUTED_VALUE"""),"ini yang nomornya doubel sama di CV Sidomukti karya")</f>
        <v>ini yang nomornya doubel sama di CV Sidomukti karya</v>
      </c>
      <c r="O3468" s="211" t="b">
        <f>IFERROR(__xludf.DUMMYFUNCTION("""COMPUTED_VALUE"""),TRUE)</f>
        <v>1</v>
      </c>
    </row>
    <row r="3469">
      <c r="A3469" s="210" t="str">
        <f>IFERROR(__xludf.DUMMYFUNCTION("""COMPUTED_VALUE"""),"1261175")</f>
        <v>1261175</v>
      </c>
      <c r="B3469" s="210" t="str">
        <f>IFERROR(__xludf.DUMMYFUNCTION("""COMPUTED_VALUE"""),"1261175")</f>
        <v>1261175</v>
      </c>
      <c r="C3469" s="213">
        <f>IFERROR(__xludf.DUMMYFUNCTION("""COMPUTED_VALUE"""),46051.66018518519)</f>
        <v>46051.66019</v>
      </c>
      <c r="D3469" s="211" t="str">
        <f>IFERROR(__xludf.DUMMYFUNCTION("""COMPUTED_VALUE"""),"8f5ebaea")</f>
        <v>8f5ebaea</v>
      </c>
      <c r="E3469" s="211" t="str">
        <f>IFERROR(__xludf.DUMMYFUNCTION("""COMPUTED_VALUE"""),"PT Hua Zong Mesindo")</f>
        <v>PT Hua Zong Mesindo</v>
      </c>
      <c r="F3469" s="211" t="str">
        <f>IFERROR(__xludf.DUMMYFUNCTION("""COMPUTED_VALUE"""),"66af7c72")</f>
        <v>66af7c72</v>
      </c>
      <c r="G3469" s="211" t="str">
        <f>IFERROR(__xludf.DUMMYFUNCTION("""COMPUTED_VALUE"""),"Argon 6m3")</f>
        <v>Argon 6m3</v>
      </c>
      <c r="H3469" s="211" t="str">
        <f>IFERROR(__xludf.DUMMYFUNCTION("""COMPUTED_VALUE"""),"IN")</f>
        <v>IN</v>
      </c>
      <c r="I3469" s="211" t="str">
        <f>IFERROR(__xludf.DUMMYFUNCTION("""COMPUTED_VALUE"""),"EMPTY")</f>
        <v>EMPTY</v>
      </c>
      <c r="J3469" s="211">
        <f>IFERROR(__xludf.DUMMYFUNCTION("""COMPUTED_VALUE"""),3.0)</f>
        <v>3</v>
      </c>
      <c r="K3469" s="210" t="str">
        <f>IFERROR(__xludf.DUMMYFUNCTION("""COMPUTED_VALUE"""),"12005 12012 12052")</f>
        <v>12005 12012 12052</v>
      </c>
      <c r="L3469" s="211">
        <f>IFERROR(__xludf.DUMMYFUNCTION("""COMPUTED_VALUE"""),0.0)</f>
        <v>0</v>
      </c>
      <c r="M3469" s="211"/>
      <c r="N3469" s="211"/>
      <c r="O3469" s="211" t="b">
        <f>IFERROR(__xludf.DUMMYFUNCTION("""COMPUTED_VALUE"""),FALSE)</f>
        <v>0</v>
      </c>
    </row>
    <row r="3470">
      <c r="A3470" s="210" t="str">
        <f>IFERROR(__xludf.DUMMYFUNCTION("""COMPUTED_VALUE"""),"0126152404")</f>
        <v>0126152404</v>
      </c>
      <c r="B3470" s="210" t="str">
        <f>IFERROR(__xludf.DUMMYFUNCTION("""COMPUTED_VALUE"""),"0126152404")</f>
        <v>0126152404</v>
      </c>
      <c r="C3470" s="213">
        <f>IFERROR(__xludf.DUMMYFUNCTION("""COMPUTED_VALUE"""),46052.374930555554)</f>
        <v>46052.37493</v>
      </c>
      <c r="D3470" s="211" t="str">
        <f>IFERROR(__xludf.DUMMYFUNCTION("""COMPUTED_VALUE"""),"eec2e801")</f>
        <v>eec2e801</v>
      </c>
      <c r="E3470" s="211" t="str">
        <f>IFERROR(__xludf.DUMMYFUNCTION("""COMPUTED_VALUE"""),"Mitra Wood Sejahtera")</f>
        <v>Mitra Wood Sejahtera</v>
      </c>
      <c r="F3470" s="211" t="str">
        <f>IFERROR(__xludf.DUMMYFUNCTION("""COMPUTED_VALUE"""),"8bdbe149")</f>
        <v>8bdbe149</v>
      </c>
      <c r="G3470" s="211" t="str">
        <f>IFERROR(__xludf.DUMMYFUNCTION("""COMPUTED_VALUE"""),"Oksigen 6m3")</f>
        <v>Oksigen 6m3</v>
      </c>
      <c r="H3470" s="211" t="str">
        <f>IFERROR(__xludf.DUMMYFUNCTION("""COMPUTED_VALUE"""),"OUT")</f>
        <v>OUT</v>
      </c>
      <c r="I3470" s="211" t="str">
        <f>IFERROR(__xludf.DUMMYFUNCTION("""COMPUTED_VALUE"""),"NORMAL")</f>
        <v>NORMAL</v>
      </c>
      <c r="J3470" s="211">
        <f>IFERROR(__xludf.DUMMYFUNCTION("""COMPUTED_VALUE"""),5.0)</f>
        <v>5</v>
      </c>
      <c r="K3470" s="210" t="str">
        <f>IFERROR(__xludf.DUMMYFUNCTION("""COMPUTED_VALUE"""),"11236 11205 11288 11246 11308")</f>
        <v>11236 11205 11288 11246 11308</v>
      </c>
      <c r="L3470" s="211">
        <f>IFERROR(__xludf.DUMMYFUNCTION("""COMPUTED_VALUE"""),55000.0)</f>
        <v>55000</v>
      </c>
      <c r="M3470" s="211"/>
      <c r="N3470" s="211"/>
      <c r="O3470" s="211" t="b">
        <f>IFERROR(__xludf.DUMMYFUNCTION("""COMPUTED_VALUE"""),FALSE)</f>
        <v>0</v>
      </c>
    </row>
    <row r="3471">
      <c r="A3471" s="210" t="str">
        <f>IFERROR(__xludf.DUMMYFUNCTION("""COMPUTED_VALUE"""),"0126782407")</f>
        <v>0126782407</v>
      </c>
      <c r="B3471" s="210" t="str">
        <f>IFERROR(__xludf.DUMMYFUNCTION("""COMPUTED_VALUE"""),"0126782407")</f>
        <v>0126782407</v>
      </c>
      <c r="C3471" s="213">
        <f>IFERROR(__xludf.DUMMYFUNCTION("""COMPUTED_VALUE"""),46052.4025)</f>
        <v>46052.4025</v>
      </c>
      <c r="D3471" s="211" t="str">
        <f>IFERROR(__xludf.DUMMYFUNCTION("""COMPUTED_VALUE"""),"b2b5f2c5")</f>
        <v>b2b5f2c5</v>
      </c>
      <c r="E3471" s="211" t="str">
        <f>IFERROR(__xludf.DUMMYFUNCTION("""COMPUTED_VALUE"""),"Bengkel Las Bpk. Ari")</f>
        <v>Bengkel Las Bpk. Ari</v>
      </c>
      <c r="F3471" s="211" t="str">
        <f>IFERROR(__xludf.DUMMYFUNCTION("""COMPUTED_VALUE"""),"8bdbe149")</f>
        <v>8bdbe149</v>
      </c>
      <c r="G3471" s="211" t="str">
        <f>IFERROR(__xludf.DUMMYFUNCTION("""COMPUTED_VALUE"""),"Oksigen 6m3")</f>
        <v>Oksigen 6m3</v>
      </c>
      <c r="H3471" s="211" t="str">
        <f>IFERROR(__xludf.DUMMYFUNCTION("""COMPUTED_VALUE"""),"OUT")</f>
        <v>OUT</v>
      </c>
      <c r="I3471" s="211" t="str">
        <f>IFERROR(__xludf.DUMMYFUNCTION("""COMPUTED_VALUE"""),"NORMAL")</f>
        <v>NORMAL</v>
      </c>
      <c r="J3471" s="211">
        <f>IFERROR(__xludf.DUMMYFUNCTION("""COMPUTED_VALUE"""),5.0)</f>
        <v>5</v>
      </c>
      <c r="K3471" s="210" t="str">
        <f>IFERROR(__xludf.DUMMYFUNCTION("""COMPUTED_VALUE"""),"11344 11186 11324 11280 11229")</f>
        <v>11344 11186 11324 11280 11229</v>
      </c>
      <c r="L3471" s="211">
        <f>IFERROR(__xludf.DUMMYFUNCTION("""COMPUTED_VALUE"""),60000.0)</f>
        <v>60000</v>
      </c>
      <c r="M3471" s="211"/>
      <c r="N3471" s="211"/>
      <c r="O3471" s="211" t="b">
        <f>IFERROR(__xludf.DUMMYFUNCTION("""COMPUTED_VALUE"""),FALSE)</f>
        <v>0</v>
      </c>
    </row>
    <row r="3472">
      <c r="A3472" s="210" t="str">
        <f>IFERROR(__xludf.DUMMYFUNCTION("""COMPUTED_VALUE"""),"0126782407")</f>
        <v>0126782407</v>
      </c>
      <c r="B3472" s="210" t="str">
        <f>IFERROR(__xludf.DUMMYFUNCTION("""COMPUTED_VALUE"""),"0126782407")</f>
        <v>0126782407</v>
      </c>
      <c r="C3472" s="213">
        <f>IFERROR(__xludf.DUMMYFUNCTION("""COMPUTED_VALUE"""),46052.4025)</f>
        <v>46052.4025</v>
      </c>
      <c r="D3472" s="211" t="str">
        <f>IFERROR(__xludf.DUMMYFUNCTION("""COMPUTED_VALUE"""),"b2b5f2c5")</f>
        <v>b2b5f2c5</v>
      </c>
      <c r="E3472" s="211" t="str">
        <f>IFERROR(__xludf.DUMMYFUNCTION("""COMPUTED_VALUE"""),"Bengkel Las Bpk. Ari")</f>
        <v>Bengkel Las Bpk. Ari</v>
      </c>
      <c r="F3472" s="211" t="str">
        <f>IFERROR(__xludf.DUMMYFUNCTION("""COMPUTED_VALUE"""),"ef306e54")</f>
        <v>ef306e54</v>
      </c>
      <c r="G3472" s="211" t="str">
        <f>IFERROR(__xludf.DUMMYFUNCTION("""COMPUTED_VALUE"""),"Karbondioksida")</f>
        <v>Karbondioksida</v>
      </c>
      <c r="H3472" s="211" t="str">
        <f>IFERROR(__xludf.DUMMYFUNCTION("""COMPUTED_VALUE"""),"OUT")</f>
        <v>OUT</v>
      </c>
      <c r="I3472" s="211" t="str">
        <f>IFERROR(__xludf.DUMMYFUNCTION("""COMPUTED_VALUE"""),"NORMAL")</f>
        <v>NORMAL</v>
      </c>
      <c r="J3472" s="211">
        <f>IFERROR(__xludf.DUMMYFUNCTION("""COMPUTED_VALUE"""),2.0)</f>
        <v>2</v>
      </c>
      <c r="K3472" s="210" t="str">
        <f>IFERROR(__xludf.DUMMYFUNCTION("""COMPUTED_VALUE"""),"13029 13067")</f>
        <v>13029 13067</v>
      </c>
      <c r="L3472" s="211">
        <f>IFERROR(__xludf.DUMMYFUNCTION("""COMPUTED_VALUE"""),180000.0)</f>
        <v>180000</v>
      </c>
      <c r="M3472" s="211"/>
      <c r="N3472" s="211"/>
      <c r="O3472" s="211" t="b">
        <f>IFERROR(__xludf.DUMMYFUNCTION("""COMPUTED_VALUE"""),FALSE)</f>
        <v>0</v>
      </c>
    </row>
    <row r="3473">
      <c r="A3473" s="210" t="str">
        <f>IFERROR(__xludf.DUMMYFUNCTION("""COMPUTED_VALUE"""),"0126102408")</f>
        <v>0126102408</v>
      </c>
      <c r="B3473" s="210" t="str">
        <f>IFERROR(__xludf.DUMMYFUNCTION("""COMPUTED_VALUE"""),"0126102408")</f>
        <v>0126102408</v>
      </c>
      <c r="C3473" s="213">
        <f>IFERROR(__xludf.DUMMYFUNCTION("""COMPUTED_VALUE"""),46052.40484953704)</f>
        <v>46052.40485</v>
      </c>
      <c r="D3473" s="211" t="str">
        <f>IFERROR(__xludf.DUMMYFUNCTION("""COMPUTED_VALUE"""),"ba97d58d")</f>
        <v>ba97d58d</v>
      </c>
      <c r="E3473" s="211" t="str">
        <f>IFERROR(__xludf.DUMMYFUNCTION("""COMPUTED_VALUE"""),"Bengkel Citra Mojosari")</f>
        <v>Bengkel Citra Mojosari</v>
      </c>
      <c r="F3473" s="211" t="str">
        <f>IFERROR(__xludf.DUMMYFUNCTION("""COMPUTED_VALUE"""),"8bdbe149")</f>
        <v>8bdbe149</v>
      </c>
      <c r="G3473" s="211" t="str">
        <f>IFERROR(__xludf.DUMMYFUNCTION("""COMPUTED_VALUE"""),"Oksigen 6m3")</f>
        <v>Oksigen 6m3</v>
      </c>
      <c r="H3473" s="211" t="str">
        <f>IFERROR(__xludf.DUMMYFUNCTION("""COMPUTED_VALUE"""),"OUT")</f>
        <v>OUT</v>
      </c>
      <c r="I3473" s="211" t="str">
        <f>IFERROR(__xludf.DUMMYFUNCTION("""COMPUTED_VALUE"""),"NORMAL")</f>
        <v>NORMAL</v>
      </c>
      <c r="J3473" s="211">
        <f>IFERROR(__xludf.DUMMYFUNCTION("""COMPUTED_VALUE"""),4.0)</f>
        <v>4</v>
      </c>
      <c r="K3473" s="210" t="str">
        <f>IFERROR(__xludf.DUMMYFUNCTION("""COMPUTED_VALUE"""),"11260 1102 1115 11258")</f>
        <v>11260 1102 1115 11258</v>
      </c>
      <c r="L3473" s="211">
        <f>IFERROR(__xludf.DUMMYFUNCTION("""COMPUTED_VALUE"""),65000.0)</f>
        <v>65000</v>
      </c>
      <c r="M3473" s="211"/>
      <c r="N3473" s="211"/>
      <c r="O3473" s="211" t="b">
        <f>IFERROR(__xludf.DUMMYFUNCTION("""COMPUTED_VALUE"""),FALSE)</f>
        <v>0</v>
      </c>
    </row>
    <row r="3474">
      <c r="A3474" s="210" t="str">
        <f>IFERROR(__xludf.DUMMYFUNCTION("""COMPUTED_VALUE"""),"1261177")</f>
        <v>1261177</v>
      </c>
      <c r="B3474" s="210" t="str">
        <f>IFERROR(__xludf.DUMMYFUNCTION("""COMPUTED_VALUE"""),"1261177")</f>
        <v>1261177</v>
      </c>
      <c r="C3474" s="213">
        <f>IFERROR(__xludf.DUMMYFUNCTION("""COMPUTED_VALUE"""),46052.44626157408)</f>
        <v>46052.44626</v>
      </c>
      <c r="D3474" s="211" t="str">
        <f>IFERROR(__xludf.DUMMYFUNCTION("""COMPUTED_VALUE"""),"057b6b99")</f>
        <v>057b6b99</v>
      </c>
      <c r="E3474" s="211" t="str">
        <f>IFERROR(__xludf.DUMMYFUNCTION("""COMPUTED_VALUE"""),"PT Anuta Utama Transport")</f>
        <v>PT Anuta Utama Transport</v>
      </c>
      <c r="F3474" s="211" t="str">
        <f>IFERROR(__xludf.DUMMYFUNCTION("""COMPUTED_VALUE"""),"7d2764f1")</f>
        <v>7d2764f1</v>
      </c>
      <c r="G3474" s="211" t="str">
        <f>IFERROR(__xludf.DUMMYFUNCTION("""COMPUTED_VALUE"""),"Oksigen 7m3")</f>
        <v>Oksigen 7m3</v>
      </c>
      <c r="H3474" s="211" t="str">
        <f>IFERROR(__xludf.DUMMYFUNCTION("""COMPUTED_VALUE"""),"IN")</f>
        <v>IN</v>
      </c>
      <c r="I3474" s="211" t="str">
        <f>IFERROR(__xludf.DUMMYFUNCTION("""COMPUTED_VALUE"""),"EMPTY")</f>
        <v>EMPTY</v>
      </c>
      <c r="J3474" s="211">
        <f>IFERROR(__xludf.DUMMYFUNCTION("""COMPUTED_VALUE"""),7.0)</f>
        <v>7</v>
      </c>
      <c r="K3474" s="210" t="str">
        <f>IFERROR(__xludf.DUMMYFUNCTION("""COMPUTED_VALUE"""),"11337 11331 11135 11155 11136 11301 11145")</f>
        <v>11337 11331 11135 11155 11136 11301 11145</v>
      </c>
      <c r="L3474" s="211">
        <f>IFERROR(__xludf.DUMMYFUNCTION("""COMPUTED_VALUE"""),0.0)</f>
        <v>0</v>
      </c>
      <c r="M3474" s="211"/>
      <c r="N3474" s="211"/>
      <c r="O3474" s="211" t="b">
        <f>IFERROR(__xludf.DUMMYFUNCTION("""COMPUTED_VALUE"""),FALSE)</f>
        <v>0</v>
      </c>
    </row>
    <row r="3475">
      <c r="A3475" s="210" t="str">
        <f>IFERROR(__xludf.DUMMYFUNCTION("""COMPUTED_VALUE"""),"1261176")</f>
        <v>1261176</v>
      </c>
      <c r="B3475" s="210" t="str">
        <f>IFERROR(__xludf.DUMMYFUNCTION("""COMPUTED_VALUE"""),"1261176")</f>
        <v>1261176</v>
      </c>
      <c r="C3475" s="213">
        <f>IFERROR(__xludf.DUMMYFUNCTION("""COMPUTED_VALUE"""),46052.44724537037)</f>
        <v>46052.44725</v>
      </c>
      <c r="D3475" s="211" t="str">
        <f>IFERROR(__xludf.DUMMYFUNCTION("""COMPUTED_VALUE"""),"440df1db")</f>
        <v>440df1db</v>
      </c>
      <c r="E3475" s="211" t="str">
        <f>IFERROR(__xludf.DUMMYFUNCTION("""COMPUTED_VALUE"""),"PT. Mecca Abadi Sejahtera")</f>
        <v>PT. Mecca Abadi Sejahtera</v>
      </c>
      <c r="F3475" s="211" t="str">
        <f>IFERROR(__xludf.DUMMYFUNCTION("""COMPUTED_VALUE"""),"ef306e54")</f>
        <v>ef306e54</v>
      </c>
      <c r="G3475" s="211" t="str">
        <f>IFERROR(__xludf.DUMMYFUNCTION("""COMPUTED_VALUE"""),"Karbondioksida")</f>
        <v>Karbondioksida</v>
      </c>
      <c r="H3475" s="211" t="str">
        <f>IFERROR(__xludf.DUMMYFUNCTION("""COMPUTED_VALUE"""),"IN")</f>
        <v>IN</v>
      </c>
      <c r="I3475" s="211" t="str">
        <f>IFERROR(__xludf.DUMMYFUNCTION("""COMPUTED_VALUE"""),"EMPTY")</f>
        <v>EMPTY</v>
      </c>
      <c r="J3475" s="211">
        <f>IFERROR(__xludf.DUMMYFUNCTION("""COMPUTED_VALUE"""),3.0)</f>
        <v>3</v>
      </c>
      <c r="K3475" s="210" t="str">
        <f>IFERROR(__xludf.DUMMYFUNCTION("""COMPUTED_VALUE"""),"13025 13015 13043")</f>
        <v>13025 13015 13043</v>
      </c>
      <c r="L3475" s="211">
        <f>IFERROR(__xludf.DUMMYFUNCTION("""COMPUTED_VALUE"""),0.0)</f>
        <v>0</v>
      </c>
      <c r="M3475" s="211"/>
      <c r="N3475" s="211"/>
      <c r="O3475" s="211" t="b">
        <f>IFERROR(__xludf.DUMMYFUNCTION("""COMPUTED_VALUE"""),FALSE)</f>
        <v>0</v>
      </c>
    </row>
    <row r="3476">
      <c r="A3476" s="210" t="str">
        <f>IFERROR(__xludf.DUMMYFUNCTION("""COMPUTED_VALUE"""),"0126412409")</f>
        <v>0126412409</v>
      </c>
      <c r="B3476" s="210" t="str">
        <f>IFERROR(__xludf.DUMMYFUNCTION("""COMPUTED_VALUE"""),"0126412409")</f>
        <v>0126412409</v>
      </c>
      <c r="C3476" s="213">
        <f>IFERROR(__xludf.DUMMYFUNCTION("""COMPUTED_VALUE"""),46052.5399537037)</f>
        <v>46052.53995</v>
      </c>
      <c r="D3476" s="211" t="str">
        <f>IFERROR(__xludf.DUMMYFUNCTION("""COMPUTED_VALUE"""),"ec231cc9")</f>
        <v>ec231cc9</v>
      </c>
      <c r="E3476" s="211" t="str">
        <f>IFERROR(__xludf.DUMMYFUNCTION("""COMPUTED_VALUE"""),"Bpk. Kohir (Maintenance Velg)")</f>
        <v>Bpk. Kohir (Maintenance Velg)</v>
      </c>
      <c r="F3476" s="211" t="str">
        <f>IFERROR(__xludf.DUMMYFUNCTION("""COMPUTED_VALUE"""),"8bdbe149")</f>
        <v>8bdbe149</v>
      </c>
      <c r="G3476" s="211" t="str">
        <f>IFERROR(__xludf.DUMMYFUNCTION("""COMPUTED_VALUE"""),"Oksigen 6m3")</f>
        <v>Oksigen 6m3</v>
      </c>
      <c r="H3476" s="211" t="str">
        <f>IFERROR(__xludf.DUMMYFUNCTION("""COMPUTED_VALUE"""),"OUT")</f>
        <v>OUT</v>
      </c>
      <c r="I3476" s="211" t="str">
        <f>IFERROR(__xludf.DUMMYFUNCTION("""COMPUTED_VALUE"""),"NORMAL")</f>
        <v>NORMAL</v>
      </c>
      <c r="J3476" s="211">
        <f>IFERROR(__xludf.DUMMYFUNCTION("""COMPUTED_VALUE"""),5.0)</f>
        <v>5</v>
      </c>
      <c r="K3476" s="210" t="str">
        <f>IFERROR(__xludf.DUMMYFUNCTION("""COMPUTED_VALUE"""),"1108 1124 11279 1138 1176")</f>
        <v>1108 1124 11279 1138 1176</v>
      </c>
      <c r="L3476" s="211">
        <f>IFERROR(__xludf.DUMMYFUNCTION("""COMPUTED_VALUE"""),55000.0)</f>
        <v>55000</v>
      </c>
      <c r="M3476" s="211"/>
      <c r="N3476" s="211"/>
      <c r="O3476" s="211" t="b">
        <f>IFERROR(__xludf.DUMMYFUNCTION("""COMPUTED_VALUE"""),FALSE)</f>
        <v>0</v>
      </c>
    </row>
    <row r="3477">
      <c r="A3477" s="210" t="str">
        <f>IFERROR(__xludf.DUMMYFUNCTION("""COMPUTED_VALUE"""),"012612412")</f>
        <v>012612412</v>
      </c>
      <c r="B3477" s="210" t="str">
        <f>IFERROR(__xludf.DUMMYFUNCTION("""COMPUTED_VALUE"""),"012612412")</f>
        <v>012612412</v>
      </c>
      <c r="C3477" s="213">
        <f>IFERROR(__xludf.DUMMYFUNCTION("""COMPUTED_VALUE"""),46052.589479166665)</f>
        <v>46052.58948</v>
      </c>
      <c r="D3477" s="211" t="str">
        <f>IFERROR(__xludf.DUMMYFUNCTION("""COMPUTED_VALUE"""),"cac4449f")</f>
        <v>cac4449f</v>
      </c>
      <c r="E3477" s="211" t="str">
        <f>IFERROR(__xludf.DUMMYFUNCTION("""COMPUTED_VALUE"""),"Bpk. Agus Yahya")</f>
        <v>Bpk. Agus Yahya</v>
      </c>
      <c r="F3477" s="211" t="str">
        <f>IFERROR(__xludf.DUMMYFUNCTION("""COMPUTED_VALUE"""),"66af7c72")</f>
        <v>66af7c72</v>
      </c>
      <c r="G3477" s="211" t="str">
        <f>IFERROR(__xludf.DUMMYFUNCTION("""COMPUTED_VALUE"""),"Argon 6m3")</f>
        <v>Argon 6m3</v>
      </c>
      <c r="H3477" s="211" t="str">
        <f>IFERROR(__xludf.DUMMYFUNCTION("""COMPUTED_VALUE"""),"OUT")</f>
        <v>OUT</v>
      </c>
      <c r="I3477" s="211" t="str">
        <f>IFERROR(__xludf.DUMMYFUNCTION("""COMPUTED_VALUE"""),"NORMAL")</f>
        <v>NORMAL</v>
      </c>
      <c r="J3477" s="211">
        <f>IFERROR(__xludf.DUMMYFUNCTION("""COMPUTED_VALUE"""),1.0)</f>
        <v>1</v>
      </c>
      <c r="K3477" s="210" t="str">
        <f>IFERROR(__xludf.DUMMYFUNCTION("""COMPUTED_VALUE"""),"12036")</f>
        <v>12036</v>
      </c>
      <c r="L3477" s="211">
        <f>IFERROR(__xludf.DUMMYFUNCTION("""COMPUTED_VALUE"""),225000.0)</f>
        <v>225000</v>
      </c>
      <c r="M3477" s="211"/>
      <c r="N3477" s="211"/>
      <c r="O3477" s="211" t="b">
        <f>IFERROR(__xludf.DUMMYFUNCTION("""COMPUTED_VALUE"""),FALSE)</f>
        <v>0</v>
      </c>
    </row>
    <row r="3478">
      <c r="A3478" s="210" t="str">
        <f>IFERROR(__xludf.DUMMYFUNCTION("""COMPUTED_VALUE"""),"1261179")</f>
        <v>1261179</v>
      </c>
      <c r="B3478" s="210" t="str">
        <f>IFERROR(__xludf.DUMMYFUNCTION("""COMPUTED_VALUE"""),"1261179")</f>
        <v>1261179</v>
      </c>
      <c r="C3478" s="213">
        <f>IFERROR(__xludf.DUMMYFUNCTION("""COMPUTED_VALUE"""),46052.66863425926)</f>
        <v>46052.66863</v>
      </c>
      <c r="D3478" s="211" t="str">
        <f>IFERROR(__xludf.DUMMYFUNCTION("""COMPUTED_VALUE"""),"b2b5f2c5")</f>
        <v>b2b5f2c5</v>
      </c>
      <c r="E3478" s="211" t="str">
        <f>IFERROR(__xludf.DUMMYFUNCTION("""COMPUTED_VALUE"""),"Bengkel Las Bpk. Ari")</f>
        <v>Bengkel Las Bpk. Ari</v>
      </c>
      <c r="F3478" s="211" t="str">
        <f>IFERROR(__xludf.DUMMYFUNCTION("""COMPUTED_VALUE"""),"8bdbe149")</f>
        <v>8bdbe149</v>
      </c>
      <c r="G3478" s="211" t="str">
        <f>IFERROR(__xludf.DUMMYFUNCTION("""COMPUTED_VALUE"""),"Oksigen 6m3")</f>
        <v>Oksigen 6m3</v>
      </c>
      <c r="H3478" s="211" t="str">
        <f>IFERROR(__xludf.DUMMYFUNCTION("""COMPUTED_VALUE"""),"IN")</f>
        <v>IN</v>
      </c>
      <c r="I3478" s="211" t="str">
        <f>IFERROR(__xludf.DUMMYFUNCTION("""COMPUTED_VALUE"""),"EMPTY")</f>
        <v>EMPTY</v>
      </c>
      <c r="J3478" s="211">
        <f>IFERROR(__xludf.DUMMYFUNCTION("""COMPUTED_VALUE"""),1.0)</f>
        <v>1</v>
      </c>
      <c r="K3478" s="210" t="str">
        <f>IFERROR(__xludf.DUMMYFUNCTION("""COMPUTED_VALUE"""),"11128")</f>
        <v>11128</v>
      </c>
      <c r="L3478" s="211">
        <f>IFERROR(__xludf.DUMMYFUNCTION("""COMPUTED_VALUE"""),0.0)</f>
        <v>0</v>
      </c>
      <c r="M3478" s="211"/>
      <c r="N3478" s="211"/>
      <c r="O3478" s="211" t="b">
        <f>IFERROR(__xludf.DUMMYFUNCTION("""COMPUTED_VALUE"""),FALSE)</f>
        <v>0</v>
      </c>
    </row>
    <row r="3479">
      <c r="A3479" s="210" t="str">
        <f>IFERROR(__xludf.DUMMYFUNCTION("""COMPUTED_VALUE"""),"1261179")</f>
        <v>1261179</v>
      </c>
      <c r="B3479" s="210" t="str">
        <f>IFERROR(__xludf.DUMMYFUNCTION("""COMPUTED_VALUE"""),"1261179")</f>
        <v>1261179</v>
      </c>
      <c r="C3479" s="213">
        <f>IFERROR(__xludf.DUMMYFUNCTION("""COMPUTED_VALUE"""),46052.66863425926)</f>
        <v>46052.66863</v>
      </c>
      <c r="D3479" s="211" t="str">
        <f>IFERROR(__xludf.DUMMYFUNCTION("""COMPUTED_VALUE"""),"b2b5f2c5")</f>
        <v>b2b5f2c5</v>
      </c>
      <c r="E3479" s="211" t="str">
        <f>IFERROR(__xludf.DUMMYFUNCTION("""COMPUTED_VALUE"""),"Bengkel Las Bpk. Ari")</f>
        <v>Bengkel Las Bpk. Ari</v>
      </c>
      <c r="F3479" s="211" t="str">
        <f>IFERROR(__xludf.DUMMYFUNCTION("""COMPUTED_VALUE"""),"7d2764f1")</f>
        <v>7d2764f1</v>
      </c>
      <c r="G3479" s="211" t="str">
        <f>IFERROR(__xludf.DUMMYFUNCTION("""COMPUTED_VALUE"""),"Oksigen 7m3")</f>
        <v>Oksigen 7m3</v>
      </c>
      <c r="H3479" s="211" t="str">
        <f>IFERROR(__xludf.DUMMYFUNCTION("""COMPUTED_VALUE"""),"IN")</f>
        <v>IN</v>
      </c>
      <c r="I3479" s="211" t="str">
        <f>IFERROR(__xludf.DUMMYFUNCTION("""COMPUTED_VALUE"""),"EMPTY")</f>
        <v>EMPTY</v>
      </c>
      <c r="J3479" s="211">
        <f>IFERROR(__xludf.DUMMYFUNCTION("""COMPUTED_VALUE"""),1.0)</f>
        <v>1</v>
      </c>
      <c r="K3479" s="210" t="str">
        <f>IFERROR(__xludf.DUMMYFUNCTION("""COMPUTED_VALUE"""),"11302")</f>
        <v>11302</v>
      </c>
      <c r="L3479" s="211">
        <f>IFERROR(__xludf.DUMMYFUNCTION("""COMPUTED_VALUE"""),0.0)</f>
        <v>0</v>
      </c>
      <c r="M3479" s="211"/>
      <c r="N3479" s="211"/>
      <c r="O3479" s="211" t="b">
        <f>IFERROR(__xludf.DUMMYFUNCTION("""COMPUTED_VALUE"""),FALSE)</f>
        <v>0</v>
      </c>
    </row>
    <row r="3480">
      <c r="A3480" s="210" t="str">
        <f>IFERROR(__xludf.DUMMYFUNCTION("""COMPUTED_VALUE"""),"1261179")</f>
        <v>1261179</v>
      </c>
      <c r="B3480" s="210" t="str">
        <f>IFERROR(__xludf.DUMMYFUNCTION("""COMPUTED_VALUE"""),"1261179")</f>
        <v>1261179</v>
      </c>
      <c r="C3480" s="213">
        <f>IFERROR(__xludf.DUMMYFUNCTION("""COMPUTED_VALUE"""),46052.66863425926)</f>
        <v>46052.66863</v>
      </c>
      <c r="D3480" s="211" t="str">
        <f>IFERROR(__xludf.DUMMYFUNCTION("""COMPUTED_VALUE"""),"b2b5f2c5")</f>
        <v>b2b5f2c5</v>
      </c>
      <c r="E3480" s="211" t="str">
        <f>IFERROR(__xludf.DUMMYFUNCTION("""COMPUTED_VALUE"""),"Bengkel Las Bpk. Ari")</f>
        <v>Bengkel Las Bpk. Ari</v>
      </c>
      <c r="F3480" s="211" t="str">
        <f>IFERROR(__xludf.DUMMYFUNCTION("""COMPUTED_VALUE"""),"ef306e54")</f>
        <v>ef306e54</v>
      </c>
      <c r="G3480" s="211" t="str">
        <f>IFERROR(__xludf.DUMMYFUNCTION("""COMPUTED_VALUE"""),"Karbondioksida")</f>
        <v>Karbondioksida</v>
      </c>
      <c r="H3480" s="211" t="str">
        <f>IFERROR(__xludf.DUMMYFUNCTION("""COMPUTED_VALUE"""),"IN")</f>
        <v>IN</v>
      </c>
      <c r="I3480" s="211" t="str">
        <f>IFERROR(__xludf.DUMMYFUNCTION("""COMPUTED_VALUE"""),"EMPTY")</f>
        <v>EMPTY</v>
      </c>
      <c r="J3480" s="211">
        <f>IFERROR(__xludf.DUMMYFUNCTION("""COMPUTED_VALUE"""),2.0)</f>
        <v>2</v>
      </c>
      <c r="K3480" s="210" t="str">
        <f>IFERROR(__xludf.DUMMYFUNCTION("""COMPUTED_VALUE"""),"13004 13030")</f>
        <v>13004 13030</v>
      </c>
      <c r="L3480" s="211">
        <f>IFERROR(__xludf.DUMMYFUNCTION("""COMPUTED_VALUE"""),0.0)</f>
        <v>0</v>
      </c>
      <c r="M3480" s="211"/>
      <c r="N3480" s="211"/>
      <c r="O3480" s="211" t="b">
        <f>IFERROR(__xludf.DUMMYFUNCTION("""COMPUTED_VALUE"""),FALSE)</f>
        <v>0</v>
      </c>
    </row>
    <row r="3481">
      <c r="A3481" s="210" t="str">
        <f>IFERROR(__xludf.DUMMYFUNCTION("""COMPUTED_VALUE"""),"1261178")</f>
        <v>1261178</v>
      </c>
      <c r="B3481" s="210" t="str">
        <f>IFERROR(__xludf.DUMMYFUNCTION("""COMPUTED_VALUE"""),"1261178")</f>
        <v>1261178</v>
      </c>
      <c r="C3481" s="213">
        <f>IFERROR(__xludf.DUMMYFUNCTION("""COMPUTED_VALUE"""),46052.66952546296)</f>
        <v>46052.66953</v>
      </c>
      <c r="D3481" s="211" t="str">
        <f>IFERROR(__xludf.DUMMYFUNCTION("""COMPUTED_VALUE"""),"ba97d58d")</f>
        <v>ba97d58d</v>
      </c>
      <c r="E3481" s="211" t="str">
        <f>IFERROR(__xludf.DUMMYFUNCTION("""COMPUTED_VALUE"""),"Bengkel Citra Mojosari")</f>
        <v>Bengkel Citra Mojosari</v>
      </c>
      <c r="F3481" s="211" t="str">
        <f>IFERROR(__xludf.DUMMYFUNCTION("""COMPUTED_VALUE"""),"7d2764f1")</f>
        <v>7d2764f1</v>
      </c>
      <c r="G3481" s="211" t="str">
        <f>IFERROR(__xludf.DUMMYFUNCTION("""COMPUTED_VALUE"""),"Oksigen 7m3")</f>
        <v>Oksigen 7m3</v>
      </c>
      <c r="H3481" s="211" t="str">
        <f>IFERROR(__xludf.DUMMYFUNCTION("""COMPUTED_VALUE"""),"IN")</f>
        <v>IN</v>
      </c>
      <c r="I3481" s="211" t="str">
        <f>IFERROR(__xludf.DUMMYFUNCTION("""COMPUTED_VALUE"""),"EMPTY")</f>
        <v>EMPTY</v>
      </c>
      <c r="J3481" s="211">
        <f>IFERROR(__xludf.DUMMYFUNCTION("""COMPUTED_VALUE"""),1.0)</f>
        <v>1</v>
      </c>
      <c r="K3481" s="210" t="str">
        <f>IFERROR(__xludf.DUMMYFUNCTION("""COMPUTED_VALUE"""),"11292")</f>
        <v>11292</v>
      </c>
      <c r="L3481" s="211">
        <f>IFERROR(__xludf.DUMMYFUNCTION("""COMPUTED_VALUE"""),0.0)</f>
        <v>0</v>
      </c>
      <c r="M3481" s="211"/>
      <c r="N3481" s="211"/>
      <c r="O3481" s="211" t="b">
        <f>IFERROR(__xludf.DUMMYFUNCTION("""COMPUTED_VALUE"""),FALSE)</f>
        <v>0</v>
      </c>
    </row>
    <row r="3482">
      <c r="A3482" s="210" t="str">
        <f>IFERROR(__xludf.DUMMYFUNCTION("""COMPUTED_VALUE"""),"1261178")</f>
        <v>1261178</v>
      </c>
      <c r="B3482" s="210" t="str">
        <f>IFERROR(__xludf.DUMMYFUNCTION("""COMPUTED_VALUE"""),"1261178")</f>
        <v>1261178</v>
      </c>
      <c r="C3482" s="213">
        <f>IFERROR(__xludf.DUMMYFUNCTION("""COMPUTED_VALUE"""),46052.66952546296)</f>
        <v>46052.66953</v>
      </c>
      <c r="D3482" s="211" t="str">
        <f>IFERROR(__xludf.DUMMYFUNCTION("""COMPUTED_VALUE"""),"ba97d58d")</f>
        <v>ba97d58d</v>
      </c>
      <c r="E3482" s="211" t="str">
        <f>IFERROR(__xludf.DUMMYFUNCTION("""COMPUTED_VALUE"""),"Bengkel Citra Mojosari")</f>
        <v>Bengkel Citra Mojosari</v>
      </c>
      <c r="F3482" s="211" t="str">
        <f>IFERROR(__xludf.DUMMYFUNCTION("""COMPUTED_VALUE"""),"8bdbe149")</f>
        <v>8bdbe149</v>
      </c>
      <c r="G3482" s="211" t="str">
        <f>IFERROR(__xludf.DUMMYFUNCTION("""COMPUTED_VALUE"""),"Oksigen 6m3")</f>
        <v>Oksigen 6m3</v>
      </c>
      <c r="H3482" s="211" t="str">
        <f>IFERROR(__xludf.DUMMYFUNCTION("""COMPUTED_VALUE"""),"IN")</f>
        <v>IN</v>
      </c>
      <c r="I3482" s="211" t="str">
        <f>IFERROR(__xludf.DUMMYFUNCTION("""COMPUTED_VALUE"""),"EMPTY")</f>
        <v>EMPTY</v>
      </c>
      <c r="J3482" s="211">
        <f>IFERROR(__xludf.DUMMYFUNCTION("""COMPUTED_VALUE"""),2.0)</f>
        <v>2</v>
      </c>
      <c r="K3482" s="210" t="str">
        <f>IFERROR(__xludf.DUMMYFUNCTION("""COMPUTED_VALUE"""),"1104 1187")</f>
        <v>1104 1187</v>
      </c>
      <c r="L3482" s="211">
        <f>IFERROR(__xludf.DUMMYFUNCTION("""COMPUTED_VALUE"""),0.0)</f>
        <v>0</v>
      </c>
      <c r="M3482" s="211"/>
      <c r="N3482" s="211"/>
      <c r="O3482" s="211" t="b">
        <f>IFERROR(__xludf.DUMMYFUNCTION("""COMPUTED_VALUE"""),FALSE)</f>
        <v>0</v>
      </c>
    </row>
    <row r="3483">
      <c r="A3483" s="210" t="str">
        <f>IFERROR(__xludf.DUMMYFUNCTION("""COMPUTED_VALUE"""),"0126392413")</f>
        <v>0126392413</v>
      </c>
      <c r="B3483" s="210" t="str">
        <f>IFERROR(__xludf.DUMMYFUNCTION("""COMPUTED_VALUE"""),"0126392413")</f>
        <v>0126392413</v>
      </c>
      <c r="C3483" s="213">
        <f>IFERROR(__xludf.DUMMYFUNCTION("""COMPUTED_VALUE"""),46053.33771990741)</f>
        <v>46053.33772</v>
      </c>
      <c r="D3483" s="211" t="str">
        <f>IFERROR(__xludf.DUMMYFUNCTION("""COMPUTED_VALUE"""),"ce83e171")</f>
        <v>ce83e171</v>
      </c>
      <c r="E3483" s="211" t="str">
        <f>IFERROR(__xludf.DUMMYFUNCTION("""COMPUTED_VALUE"""),"Bpk. Sulaiman")</f>
        <v>Bpk. Sulaiman</v>
      </c>
      <c r="F3483" s="211" t="str">
        <f>IFERROR(__xludf.DUMMYFUNCTION("""COMPUTED_VALUE"""),"f6aab7a9")</f>
        <v>f6aab7a9</v>
      </c>
      <c r="G3483" s="211" t="str">
        <f>IFERROR(__xludf.DUMMYFUNCTION("""COMPUTED_VALUE"""),"Oksigen 6m3 MR")</f>
        <v>Oksigen 6m3 MR</v>
      </c>
      <c r="H3483" s="211" t="str">
        <f>IFERROR(__xludf.DUMMYFUNCTION("""COMPUTED_VALUE"""),"OUT")</f>
        <v>OUT</v>
      </c>
      <c r="I3483" s="211" t="str">
        <f>IFERROR(__xludf.DUMMYFUNCTION("""COMPUTED_VALUE"""),"NORMAL")</f>
        <v>NORMAL</v>
      </c>
      <c r="J3483" s="211">
        <f>IFERROR(__xludf.DUMMYFUNCTION("""COMPUTED_VALUE"""),5.0)</f>
        <v>5</v>
      </c>
      <c r="K3483" s="211"/>
      <c r="L3483" s="211">
        <f>IFERROR(__xludf.DUMMYFUNCTION("""COMPUTED_VALUE"""),55000.0)</f>
        <v>55000</v>
      </c>
      <c r="M3483" s="211"/>
      <c r="N3483" s="211"/>
      <c r="O3483" s="211" t="b">
        <f>IFERROR(__xludf.DUMMYFUNCTION("""COMPUTED_VALUE"""),FALSE)</f>
        <v>0</v>
      </c>
    </row>
    <row r="3484">
      <c r="A3484" s="210" t="str">
        <f>IFERROR(__xludf.DUMMYFUNCTION("""COMPUTED_VALUE"""),"0126422416")</f>
        <v>0126422416</v>
      </c>
      <c r="B3484" s="210" t="str">
        <f>IFERROR(__xludf.DUMMYFUNCTION("""COMPUTED_VALUE"""),"0126422416")</f>
        <v>0126422416</v>
      </c>
      <c r="C3484" s="213">
        <f>IFERROR(__xludf.DUMMYFUNCTION("""COMPUTED_VALUE"""),46053.338113425925)</f>
        <v>46053.33811</v>
      </c>
      <c r="D3484" s="211" t="str">
        <f>IFERROR(__xludf.DUMMYFUNCTION("""COMPUTED_VALUE"""),"ec231cc9")</f>
        <v>ec231cc9</v>
      </c>
      <c r="E3484" s="211" t="str">
        <f>IFERROR(__xludf.DUMMYFUNCTION("""COMPUTED_VALUE"""),"Bpk. Kohir (Maintenance Velg)")</f>
        <v>Bpk. Kohir (Maintenance Velg)</v>
      </c>
      <c r="F3484" s="211" t="str">
        <f>IFERROR(__xludf.DUMMYFUNCTION("""COMPUTED_VALUE"""),"ef306e54")</f>
        <v>ef306e54</v>
      </c>
      <c r="G3484" s="211" t="str">
        <f>IFERROR(__xludf.DUMMYFUNCTION("""COMPUTED_VALUE"""),"Karbondioksida")</f>
        <v>Karbondioksida</v>
      </c>
      <c r="H3484" s="211" t="str">
        <f>IFERROR(__xludf.DUMMYFUNCTION("""COMPUTED_VALUE"""),"OUT")</f>
        <v>OUT</v>
      </c>
      <c r="I3484" s="211" t="str">
        <f>IFERROR(__xludf.DUMMYFUNCTION("""COMPUTED_VALUE"""),"NORMAL")</f>
        <v>NORMAL</v>
      </c>
      <c r="J3484" s="211">
        <f>IFERROR(__xludf.DUMMYFUNCTION("""COMPUTED_VALUE"""),2.0)</f>
        <v>2</v>
      </c>
      <c r="K3484" s="210" t="str">
        <f>IFERROR(__xludf.DUMMYFUNCTION("""COMPUTED_VALUE"""),"13025 13015")</f>
        <v>13025 13015</v>
      </c>
      <c r="L3484" s="211">
        <f>IFERROR(__xludf.DUMMYFUNCTION("""COMPUTED_VALUE"""),175000.0)</f>
        <v>175000</v>
      </c>
      <c r="M3484" s="211"/>
      <c r="N3484" s="211"/>
      <c r="O3484" s="211" t="b">
        <f>IFERROR(__xludf.DUMMYFUNCTION("""COMPUTED_VALUE"""),FALSE)</f>
        <v>0</v>
      </c>
    </row>
    <row r="3485">
      <c r="A3485" s="210" t="str">
        <f>IFERROR(__xludf.DUMMYFUNCTION("""COMPUTED_VALUE"""),"012672417")</f>
        <v>012672417</v>
      </c>
      <c r="B3485" s="210" t="str">
        <f>IFERROR(__xludf.DUMMYFUNCTION("""COMPUTED_VALUE"""),"012672417")</f>
        <v>012672417</v>
      </c>
      <c r="C3485" s="213">
        <f>IFERROR(__xludf.DUMMYFUNCTION("""COMPUTED_VALUE"""),46053.33898148148)</f>
        <v>46053.33898</v>
      </c>
      <c r="D3485" s="211" t="str">
        <f>IFERROR(__xludf.DUMMYFUNCTION("""COMPUTED_VALUE"""),"45d814b4")</f>
        <v>45d814b4</v>
      </c>
      <c r="E3485" s="211" t="str">
        <f>IFERROR(__xludf.DUMMYFUNCTION("""COMPUTED_VALUE"""),"Bpk. Joko (Ponokawan)")</f>
        <v>Bpk. Joko (Ponokawan)</v>
      </c>
      <c r="F3485" s="211" t="str">
        <f>IFERROR(__xludf.DUMMYFUNCTION("""COMPUTED_VALUE"""),"8bdbe149")</f>
        <v>8bdbe149</v>
      </c>
      <c r="G3485" s="211" t="str">
        <f>IFERROR(__xludf.DUMMYFUNCTION("""COMPUTED_VALUE"""),"Oksigen 6m3")</f>
        <v>Oksigen 6m3</v>
      </c>
      <c r="H3485" s="211" t="str">
        <f>IFERROR(__xludf.DUMMYFUNCTION("""COMPUTED_VALUE"""),"OUT")</f>
        <v>OUT</v>
      </c>
      <c r="I3485" s="211" t="str">
        <f>IFERROR(__xludf.DUMMYFUNCTION("""COMPUTED_VALUE"""),"NORMAL")</f>
        <v>NORMAL</v>
      </c>
      <c r="J3485" s="211">
        <f>IFERROR(__xludf.DUMMYFUNCTION("""COMPUTED_VALUE"""),1.0)</f>
        <v>1</v>
      </c>
      <c r="K3485" s="210" t="str">
        <f>IFERROR(__xludf.DUMMYFUNCTION("""COMPUTED_VALUE"""),"1104")</f>
        <v>1104</v>
      </c>
      <c r="L3485" s="211">
        <f>IFERROR(__xludf.DUMMYFUNCTION("""COMPUTED_VALUE"""),60000.0)</f>
        <v>60000</v>
      </c>
      <c r="M3485" s="211"/>
      <c r="N3485" s="211"/>
      <c r="O3485" s="211" t="b">
        <f>IFERROR(__xludf.DUMMYFUNCTION("""COMPUTED_VALUE"""),FALSE)</f>
        <v>0</v>
      </c>
    </row>
    <row r="3486">
      <c r="A3486" s="210" t="str">
        <f>IFERROR(__xludf.DUMMYFUNCTION("""COMPUTED_VALUE"""),"0126792418")</f>
        <v>0126792418</v>
      </c>
      <c r="B3486" s="210" t="str">
        <f>IFERROR(__xludf.DUMMYFUNCTION("""COMPUTED_VALUE"""),"0126792418")</f>
        <v>0126792418</v>
      </c>
      <c r="C3486" s="213">
        <f>IFERROR(__xludf.DUMMYFUNCTION("""COMPUTED_VALUE"""),46053.40253472222)</f>
        <v>46053.40253</v>
      </c>
      <c r="D3486" s="211" t="str">
        <f>IFERROR(__xludf.DUMMYFUNCTION("""COMPUTED_VALUE"""),"b2b5f2c5")</f>
        <v>b2b5f2c5</v>
      </c>
      <c r="E3486" s="211" t="str">
        <f>IFERROR(__xludf.DUMMYFUNCTION("""COMPUTED_VALUE"""),"Bengkel Las Bpk. Ari")</f>
        <v>Bengkel Las Bpk. Ari</v>
      </c>
      <c r="F3486" s="211" t="str">
        <f>IFERROR(__xludf.DUMMYFUNCTION("""COMPUTED_VALUE"""),"ef306e54")</f>
        <v>ef306e54</v>
      </c>
      <c r="G3486" s="211" t="str">
        <f>IFERROR(__xludf.DUMMYFUNCTION("""COMPUTED_VALUE"""),"Karbondioksida")</f>
        <v>Karbondioksida</v>
      </c>
      <c r="H3486" s="211" t="str">
        <f>IFERROR(__xludf.DUMMYFUNCTION("""COMPUTED_VALUE"""),"OUT")</f>
        <v>OUT</v>
      </c>
      <c r="I3486" s="211" t="str">
        <f>IFERROR(__xludf.DUMMYFUNCTION("""COMPUTED_VALUE"""),"NORMAL")</f>
        <v>NORMAL</v>
      </c>
      <c r="J3486" s="211">
        <f>IFERROR(__xludf.DUMMYFUNCTION("""COMPUTED_VALUE"""),3.0)</f>
        <v>3</v>
      </c>
      <c r="K3486" s="210" t="str">
        <f>IFERROR(__xludf.DUMMYFUNCTION("""COMPUTED_VALUE"""),"13004 13030 13043")</f>
        <v>13004 13030 13043</v>
      </c>
      <c r="L3486" s="211">
        <f>IFERROR(__xludf.DUMMYFUNCTION("""COMPUTED_VALUE"""),180000.0)</f>
        <v>180000</v>
      </c>
      <c r="M3486" s="211"/>
      <c r="N3486" s="211"/>
      <c r="O3486" s="211" t="b">
        <f>IFERROR(__xludf.DUMMYFUNCTION("""COMPUTED_VALUE"""),FALSE)</f>
        <v>0</v>
      </c>
    </row>
    <row r="3487">
      <c r="A3487" s="210" t="str">
        <f>IFERROR(__xludf.DUMMYFUNCTION("""COMPUTED_VALUE"""),"0126792418")</f>
        <v>0126792418</v>
      </c>
      <c r="B3487" s="210" t="str">
        <f>IFERROR(__xludf.DUMMYFUNCTION("""COMPUTED_VALUE"""),"0126792418")</f>
        <v>0126792418</v>
      </c>
      <c r="C3487" s="213">
        <f>IFERROR(__xludf.DUMMYFUNCTION("""COMPUTED_VALUE"""),46053.40253472222)</f>
        <v>46053.40253</v>
      </c>
      <c r="D3487" s="211" t="str">
        <f>IFERROR(__xludf.DUMMYFUNCTION("""COMPUTED_VALUE"""),"b2b5f2c5")</f>
        <v>b2b5f2c5</v>
      </c>
      <c r="E3487" s="211" t="str">
        <f>IFERROR(__xludf.DUMMYFUNCTION("""COMPUTED_VALUE"""),"Bengkel Las Bpk. Ari")</f>
        <v>Bengkel Las Bpk. Ari</v>
      </c>
      <c r="F3487" s="211" t="str">
        <f>IFERROR(__xludf.DUMMYFUNCTION("""COMPUTED_VALUE"""),"8bdbe149")</f>
        <v>8bdbe149</v>
      </c>
      <c r="G3487" s="211" t="str">
        <f>IFERROR(__xludf.DUMMYFUNCTION("""COMPUTED_VALUE"""),"Oksigen 6m3")</f>
        <v>Oksigen 6m3</v>
      </c>
      <c r="H3487" s="211" t="str">
        <f>IFERROR(__xludf.DUMMYFUNCTION("""COMPUTED_VALUE"""),"OUT")</f>
        <v>OUT</v>
      </c>
      <c r="I3487" s="211" t="str">
        <f>IFERROR(__xludf.DUMMYFUNCTION("""COMPUTED_VALUE"""),"NORMAL")</f>
        <v>NORMAL</v>
      </c>
      <c r="J3487" s="211">
        <f>IFERROR(__xludf.DUMMYFUNCTION("""COMPUTED_VALUE"""),3.0)</f>
        <v>3</v>
      </c>
      <c r="K3487" s="210" t="str">
        <f>IFERROR(__xludf.DUMMYFUNCTION("""COMPUTED_VALUE"""),"1127 1183 1148")</f>
        <v>1127 1183 1148</v>
      </c>
      <c r="L3487" s="211">
        <f>IFERROR(__xludf.DUMMYFUNCTION("""COMPUTED_VALUE"""),60000.0)</f>
        <v>60000</v>
      </c>
      <c r="M3487" s="211"/>
      <c r="N3487" s="211"/>
      <c r="O3487" s="211" t="b">
        <f>IFERROR(__xludf.DUMMYFUNCTION("""COMPUTED_VALUE"""),FALSE)</f>
        <v>0</v>
      </c>
    </row>
    <row r="3488">
      <c r="A3488" s="210" t="str">
        <f>IFERROR(__xludf.DUMMYFUNCTION("""COMPUTED_VALUE"""),"1261162")</f>
        <v>1261162</v>
      </c>
      <c r="B3488" s="210" t="str">
        <f>IFERROR(__xludf.DUMMYFUNCTION("""COMPUTED_VALUE"""),"1261162")</f>
        <v>1261162</v>
      </c>
      <c r="C3488" s="213">
        <f>IFERROR(__xludf.DUMMYFUNCTION("""COMPUTED_VALUE"""),46053.41415509259)</f>
        <v>46053.41416</v>
      </c>
      <c r="D3488" s="211" t="str">
        <f>IFERROR(__xludf.DUMMYFUNCTION("""COMPUTED_VALUE"""),"ce83e171")</f>
        <v>ce83e171</v>
      </c>
      <c r="E3488" s="211" t="str">
        <f>IFERROR(__xludf.DUMMYFUNCTION("""COMPUTED_VALUE"""),"Bpk. Sulaiman")</f>
        <v>Bpk. Sulaiman</v>
      </c>
      <c r="F3488" s="211" t="str">
        <f>IFERROR(__xludf.DUMMYFUNCTION("""COMPUTED_VALUE"""),"7d2764f1")</f>
        <v>7d2764f1</v>
      </c>
      <c r="G3488" s="211" t="str">
        <f>IFERROR(__xludf.DUMMYFUNCTION("""COMPUTED_VALUE"""),"Oksigen 7m3")</f>
        <v>Oksigen 7m3</v>
      </c>
      <c r="H3488" s="211" t="str">
        <f>IFERROR(__xludf.DUMMYFUNCTION("""COMPUTED_VALUE"""),"IN")</f>
        <v>IN</v>
      </c>
      <c r="I3488" s="211" t="str">
        <f>IFERROR(__xludf.DUMMYFUNCTION("""COMPUTED_VALUE"""),"EMPTY")</f>
        <v>EMPTY</v>
      </c>
      <c r="J3488" s="211">
        <f>IFERROR(__xludf.DUMMYFUNCTION("""COMPUTED_VALUE"""),2.0)</f>
        <v>2</v>
      </c>
      <c r="K3488" s="210" t="str">
        <f>IFERROR(__xludf.DUMMYFUNCTION("""COMPUTED_VALUE"""),"11314 11195")</f>
        <v>11314 11195</v>
      </c>
      <c r="L3488" s="211">
        <f>IFERROR(__xludf.DUMMYFUNCTION("""COMPUTED_VALUE"""),0.0)</f>
        <v>0</v>
      </c>
      <c r="M3488" s="211"/>
      <c r="N3488" s="211"/>
      <c r="O3488" s="211" t="b">
        <f>IFERROR(__xludf.DUMMYFUNCTION("""COMPUTED_VALUE"""),FALSE)</f>
        <v>0</v>
      </c>
    </row>
    <row r="3489">
      <c r="A3489" s="210" t="str">
        <f>IFERROR(__xludf.DUMMYFUNCTION("""COMPUTED_VALUE"""),"1261161")</f>
        <v>1261161</v>
      </c>
      <c r="B3489" s="210" t="str">
        <f>IFERROR(__xludf.DUMMYFUNCTION("""COMPUTED_VALUE"""),"1261161")</f>
        <v>1261161</v>
      </c>
      <c r="C3489" s="213">
        <f>IFERROR(__xludf.DUMMYFUNCTION("""COMPUTED_VALUE"""),46053.414675925924)</f>
        <v>46053.41468</v>
      </c>
      <c r="D3489" s="211" t="str">
        <f>IFERROR(__xludf.DUMMYFUNCTION("""COMPUTED_VALUE"""),"45d814b4")</f>
        <v>45d814b4</v>
      </c>
      <c r="E3489" s="211" t="str">
        <f>IFERROR(__xludf.DUMMYFUNCTION("""COMPUTED_VALUE"""),"Bpk. Joko (Ponokawan)")</f>
        <v>Bpk. Joko (Ponokawan)</v>
      </c>
      <c r="F3489" s="211" t="str">
        <f>IFERROR(__xludf.DUMMYFUNCTION("""COMPUTED_VALUE"""),"8bdbe149")</f>
        <v>8bdbe149</v>
      </c>
      <c r="G3489" s="211" t="str">
        <f>IFERROR(__xludf.DUMMYFUNCTION("""COMPUTED_VALUE"""),"Oksigen 6m3")</f>
        <v>Oksigen 6m3</v>
      </c>
      <c r="H3489" s="211" t="str">
        <f>IFERROR(__xludf.DUMMYFUNCTION("""COMPUTED_VALUE"""),"IN")</f>
        <v>IN</v>
      </c>
      <c r="I3489" s="211" t="str">
        <f>IFERROR(__xludf.DUMMYFUNCTION("""COMPUTED_VALUE"""),"EMPTY")</f>
        <v>EMPTY</v>
      </c>
      <c r="J3489" s="211">
        <f>IFERROR(__xludf.DUMMYFUNCTION("""COMPUTED_VALUE"""),1.0)</f>
        <v>1</v>
      </c>
      <c r="K3489" s="210" t="str">
        <f>IFERROR(__xludf.DUMMYFUNCTION("""COMPUTED_VALUE"""),"1197")</f>
        <v>1197</v>
      </c>
      <c r="L3489" s="211">
        <f>IFERROR(__xludf.DUMMYFUNCTION("""COMPUTED_VALUE"""),0.0)</f>
        <v>0</v>
      </c>
      <c r="M3489" s="211"/>
      <c r="N3489" s="211"/>
      <c r="O3489" s="211" t="b">
        <f>IFERROR(__xludf.DUMMYFUNCTION("""COMPUTED_VALUE"""),FALSE)</f>
        <v>0</v>
      </c>
    </row>
    <row r="3490">
      <c r="A3490" s="210" t="str">
        <f>IFERROR(__xludf.DUMMYFUNCTION("""COMPUTED_VALUE"""),"0126132419")</f>
        <v>0126132419</v>
      </c>
      <c r="B3490" s="210" t="str">
        <f>IFERROR(__xludf.DUMMYFUNCTION("""COMPUTED_VALUE"""),"0126132419")</f>
        <v>0126132419</v>
      </c>
      <c r="C3490" s="213">
        <f>IFERROR(__xludf.DUMMYFUNCTION("""COMPUTED_VALUE"""),46053.42626157407)</f>
        <v>46053.42626</v>
      </c>
      <c r="D3490" s="211" t="str">
        <f>IFERROR(__xludf.DUMMYFUNCTION("""COMPUTED_VALUE"""),"9b941888")</f>
        <v>9b941888</v>
      </c>
      <c r="E3490" s="211" t="str">
        <f>IFERROR(__xludf.DUMMYFUNCTION("""COMPUTED_VALUE"""),"Mas Devi ( Parengan )")</f>
        <v>Mas Devi ( Parengan )</v>
      </c>
      <c r="F3490" s="211" t="str">
        <f>IFERROR(__xludf.DUMMYFUNCTION("""COMPUTED_VALUE"""),"7d2764f1")</f>
        <v>7d2764f1</v>
      </c>
      <c r="G3490" s="211" t="str">
        <f>IFERROR(__xludf.DUMMYFUNCTION("""COMPUTED_VALUE"""),"Oksigen 7m3")</f>
        <v>Oksigen 7m3</v>
      </c>
      <c r="H3490" s="211" t="str">
        <f>IFERROR(__xludf.DUMMYFUNCTION("""COMPUTED_VALUE"""),"OUT")</f>
        <v>OUT</v>
      </c>
      <c r="I3490" s="211" t="str">
        <f>IFERROR(__xludf.DUMMYFUNCTION("""COMPUTED_VALUE"""),"NORMAL")</f>
        <v>NORMAL</v>
      </c>
      <c r="J3490" s="211">
        <f>IFERROR(__xludf.DUMMYFUNCTION("""COMPUTED_VALUE"""),3.0)</f>
        <v>3</v>
      </c>
      <c r="K3490" s="210" t="str">
        <f>IFERROR(__xludf.DUMMYFUNCTION("""COMPUTED_VALUE"""),"11301 11292 11331")</f>
        <v>11301 11292 11331</v>
      </c>
      <c r="L3490" s="211">
        <f>IFERROR(__xludf.DUMMYFUNCTION("""COMPUTED_VALUE"""),80000.0)</f>
        <v>80000</v>
      </c>
      <c r="M3490" s="211"/>
      <c r="N3490" s="211"/>
      <c r="O3490" s="211" t="b">
        <f>IFERROR(__xludf.DUMMYFUNCTION("""COMPUTED_VALUE"""),FALSE)</f>
        <v>0</v>
      </c>
    </row>
    <row r="3491">
      <c r="A3491" s="210" t="str">
        <f>IFERROR(__xludf.DUMMYFUNCTION("""COMPUTED_VALUE"""),"1261163")</f>
        <v>1261163</v>
      </c>
      <c r="B3491" s="210" t="str">
        <f>IFERROR(__xludf.DUMMYFUNCTION("""COMPUTED_VALUE"""),"1261163")</f>
        <v>1261163</v>
      </c>
      <c r="C3491" s="213">
        <f>IFERROR(__xludf.DUMMYFUNCTION("""COMPUTED_VALUE"""),46053.480474537035)</f>
        <v>46053.48047</v>
      </c>
      <c r="D3491" s="211" t="str">
        <f>IFERROR(__xludf.DUMMYFUNCTION("""COMPUTED_VALUE"""),"9b941888")</f>
        <v>9b941888</v>
      </c>
      <c r="E3491" s="211" t="str">
        <f>IFERROR(__xludf.DUMMYFUNCTION("""COMPUTED_VALUE"""),"Mas Devi ( Parengan )")</f>
        <v>Mas Devi ( Parengan )</v>
      </c>
      <c r="F3491" s="211" t="str">
        <f>IFERROR(__xludf.DUMMYFUNCTION("""COMPUTED_VALUE"""),"7d2764f1")</f>
        <v>7d2764f1</v>
      </c>
      <c r="G3491" s="211" t="str">
        <f>IFERROR(__xludf.DUMMYFUNCTION("""COMPUTED_VALUE"""),"Oksigen 7m3")</f>
        <v>Oksigen 7m3</v>
      </c>
      <c r="H3491" s="211" t="str">
        <f>IFERROR(__xludf.DUMMYFUNCTION("""COMPUTED_VALUE"""),"IN")</f>
        <v>IN</v>
      </c>
      <c r="I3491" s="211" t="str">
        <f>IFERROR(__xludf.DUMMYFUNCTION("""COMPUTED_VALUE"""),"EMPTY")</f>
        <v>EMPTY</v>
      </c>
      <c r="J3491" s="211">
        <f>IFERROR(__xludf.DUMMYFUNCTION("""COMPUTED_VALUE"""),2.0)</f>
        <v>2</v>
      </c>
      <c r="K3491" s="210" t="str">
        <f>IFERROR(__xludf.DUMMYFUNCTION("""COMPUTED_VALUE"""),"11138 11158")</f>
        <v>11138 11158</v>
      </c>
      <c r="L3491" s="211">
        <f>IFERROR(__xludf.DUMMYFUNCTION("""COMPUTED_VALUE"""),0.0)</f>
        <v>0</v>
      </c>
      <c r="M3491" s="211"/>
      <c r="N3491" s="211"/>
      <c r="O3491" s="211" t="b">
        <f>IFERROR(__xludf.DUMMYFUNCTION("""COMPUTED_VALUE"""),FALSE)</f>
        <v>0</v>
      </c>
    </row>
    <row r="3492">
      <c r="A3492" s="210" t="str">
        <f>IFERROR(__xludf.DUMMYFUNCTION("""COMPUTED_VALUE"""),"012642422")</f>
        <v>012642422</v>
      </c>
      <c r="B3492" s="210" t="str">
        <f>IFERROR(__xludf.DUMMYFUNCTION("""COMPUTED_VALUE"""),"012642422")</f>
        <v>012642422</v>
      </c>
      <c r="C3492" s="213">
        <f>IFERROR(__xludf.DUMMYFUNCTION("""COMPUTED_VALUE"""),46053.54571759259)</f>
        <v>46053.54572</v>
      </c>
      <c r="D3492" s="211" t="str">
        <f>IFERROR(__xludf.DUMMYFUNCTION("""COMPUTED_VALUE"""),"98c84274")</f>
        <v>98c84274</v>
      </c>
      <c r="E3492" s="211" t="str">
        <f>IFERROR(__xludf.DUMMYFUNCTION("""COMPUTED_VALUE"""),"Bengkel SBM (Pak Hari)")</f>
        <v>Bengkel SBM (Pak Hari)</v>
      </c>
      <c r="F3492" s="211" t="str">
        <f>IFERROR(__xludf.DUMMYFUNCTION("""COMPUTED_VALUE"""),"be525f3b")</f>
        <v>be525f3b</v>
      </c>
      <c r="G3492" s="211" t="str">
        <f>IFERROR(__xludf.DUMMYFUNCTION("""COMPUTED_VALUE"""),"LPG 12kg")</f>
        <v>LPG 12kg</v>
      </c>
      <c r="H3492" s="211" t="str">
        <f>IFERROR(__xludf.DUMMYFUNCTION("""COMPUTED_VALUE"""),"OUT")</f>
        <v>OUT</v>
      </c>
      <c r="I3492" s="211" t="str">
        <f>IFERROR(__xludf.DUMMYFUNCTION("""COMPUTED_VALUE"""),"NORMAL")</f>
        <v>NORMAL</v>
      </c>
      <c r="J3492" s="211">
        <f>IFERROR(__xludf.DUMMYFUNCTION("""COMPUTED_VALUE"""),1.0)</f>
        <v>1</v>
      </c>
      <c r="K3492" s="210" t="str">
        <f>IFERROR(__xludf.DUMMYFUNCTION("""COMPUTED_VALUE"""),"L001")</f>
        <v>L001</v>
      </c>
      <c r="L3492" s="211">
        <f>IFERROR(__xludf.DUMMYFUNCTION("""COMPUTED_VALUE"""),205000.0)</f>
        <v>205000</v>
      </c>
      <c r="M3492" s="211"/>
      <c r="N3492" s="211"/>
      <c r="O3492" s="211" t="b">
        <f>IFERROR(__xludf.DUMMYFUNCTION("""COMPUTED_VALUE"""),FALSE)</f>
        <v>0</v>
      </c>
    </row>
    <row r="3493">
      <c r="A3493" s="210" t="str">
        <f>IFERROR(__xludf.DUMMYFUNCTION("""COMPUTED_VALUE"""),"0126192424")</f>
        <v>0126192424</v>
      </c>
      <c r="B3493" s="210" t="str">
        <f>IFERROR(__xludf.DUMMYFUNCTION("""COMPUTED_VALUE"""),"0126192424")</f>
        <v>0126192424</v>
      </c>
      <c r="C3493" s="213">
        <f>IFERROR(__xludf.DUMMYFUNCTION("""COMPUTED_VALUE"""),46053.57362268519)</f>
        <v>46053.57362</v>
      </c>
      <c r="D3493" s="211" t="str">
        <f>IFERROR(__xludf.DUMMYFUNCTION("""COMPUTED_VALUE"""),"8ea74d81")</f>
        <v>8ea74d81</v>
      </c>
      <c r="E3493" s="211" t="str">
        <f>IFERROR(__xludf.DUMMYFUNCTION("""COMPUTED_VALUE"""),"Bengkel Adi Putra")</f>
        <v>Bengkel Adi Putra</v>
      </c>
      <c r="F3493" s="211" t="str">
        <f>IFERROR(__xludf.DUMMYFUNCTION("""COMPUTED_VALUE"""),"ef306e54")</f>
        <v>ef306e54</v>
      </c>
      <c r="G3493" s="211" t="str">
        <f>IFERROR(__xludf.DUMMYFUNCTION("""COMPUTED_VALUE"""),"Karbondioksida")</f>
        <v>Karbondioksida</v>
      </c>
      <c r="H3493" s="211" t="str">
        <f>IFERROR(__xludf.DUMMYFUNCTION("""COMPUTED_VALUE"""),"OUT")</f>
        <v>OUT</v>
      </c>
      <c r="I3493" s="211" t="str">
        <f>IFERROR(__xludf.DUMMYFUNCTION("""COMPUTED_VALUE"""),"NORMAL")</f>
        <v>NORMAL</v>
      </c>
      <c r="J3493" s="211">
        <f>IFERROR(__xludf.DUMMYFUNCTION("""COMPUTED_VALUE"""),1.0)</f>
        <v>1</v>
      </c>
      <c r="K3493" s="210" t="str">
        <f>IFERROR(__xludf.DUMMYFUNCTION("""COMPUTED_VALUE"""),"13046")</f>
        <v>13046</v>
      </c>
      <c r="L3493" s="211">
        <f>IFERROR(__xludf.DUMMYFUNCTION("""COMPUTED_VALUE"""),190000.0)</f>
        <v>190000</v>
      </c>
      <c r="M3493" s="211"/>
      <c r="N3493" s="211"/>
      <c r="O3493" s="211" t="b">
        <f>IFERROR(__xludf.DUMMYFUNCTION("""COMPUTED_VALUE"""),FALSE)</f>
        <v>0</v>
      </c>
    </row>
    <row r="3494">
      <c r="A3494" s="210" t="str">
        <f>IFERROR(__xludf.DUMMYFUNCTION("""COMPUTED_VALUE"""),"1261180")</f>
        <v>1261180</v>
      </c>
      <c r="B3494" s="210" t="str">
        <f>IFERROR(__xludf.DUMMYFUNCTION("""COMPUTED_VALUE"""),"1261180")</f>
        <v>1261180</v>
      </c>
      <c r="C3494" s="213">
        <f>IFERROR(__xludf.DUMMYFUNCTION("""COMPUTED_VALUE"""),46053.57460648148)</f>
        <v>46053.57461</v>
      </c>
      <c r="D3494" s="211" t="str">
        <f>IFERROR(__xludf.DUMMYFUNCTION("""COMPUTED_VALUE"""),"b2b5f2c5")</f>
        <v>b2b5f2c5</v>
      </c>
      <c r="E3494" s="211" t="str">
        <f>IFERROR(__xludf.DUMMYFUNCTION("""COMPUTED_VALUE"""),"Bengkel Las Bpk. Ari")</f>
        <v>Bengkel Las Bpk. Ari</v>
      </c>
      <c r="F3494" s="211" t="str">
        <f>IFERROR(__xludf.DUMMYFUNCTION("""COMPUTED_VALUE"""),"8bdbe149")</f>
        <v>8bdbe149</v>
      </c>
      <c r="G3494" s="211" t="str">
        <f>IFERROR(__xludf.DUMMYFUNCTION("""COMPUTED_VALUE"""),"Oksigen 6m3")</f>
        <v>Oksigen 6m3</v>
      </c>
      <c r="H3494" s="211" t="str">
        <f>IFERROR(__xludf.DUMMYFUNCTION("""COMPUTED_VALUE"""),"IN")</f>
        <v>IN</v>
      </c>
      <c r="I3494" s="211" t="str">
        <f>IFERROR(__xludf.DUMMYFUNCTION("""COMPUTED_VALUE"""),"EMPTY")</f>
        <v>EMPTY</v>
      </c>
      <c r="J3494" s="211">
        <f>IFERROR(__xludf.DUMMYFUNCTION("""COMPUTED_VALUE"""),4.0)</f>
        <v>4</v>
      </c>
      <c r="K3494" s="210" t="str">
        <f>IFERROR(__xludf.DUMMYFUNCTION("""COMPUTED_VALUE"""),"11199 11287 11315 11240")</f>
        <v>11199 11287 11315 11240</v>
      </c>
      <c r="L3494" s="211">
        <f>IFERROR(__xludf.DUMMYFUNCTION("""COMPUTED_VALUE"""),0.0)</f>
        <v>0</v>
      </c>
      <c r="M3494" s="211"/>
      <c r="N3494" s="211"/>
      <c r="O3494" s="211" t="b">
        <f>IFERROR(__xludf.DUMMYFUNCTION("""COMPUTED_VALUE"""),FALSE)</f>
        <v>0</v>
      </c>
    </row>
    <row r="3495">
      <c r="A3495" s="210" t="str">
        <f>IFERROR(__xludf.DUMMYFUNCTION("""COMPUTED_VALUE"""),"1261180")</f>
        <v>1261180</v>
      </c>
      <c r="B3495" s="210" t="str">
        <f>IFERROR(__xludf.DUMMYFUNCTION("""COMPUTED_VALUE"""),"1261180")</f>
        <v>1261180</v>
      </c>
      <c r="C3495" s="213">
        <f>IFERROR(__xludf.DUMMYFUNCTION("""COMPUTED_VALUE"""),46053.57460648148)</f>
        <v>46053.57461</v>
      </c>
      <c r="D3495" s="211" t="str">
        <f>IFERROR(__xludf.DUMMYFUNCTION("""COMPUTED_VALUE"""),"b2b5f2c5")</f>
        <v>b2b5f2c5</v>
      </c>
      <c r="E3495" s="211" t="str">
        <f>IFERROR(__xludf.DUMMYFUNCTION("""COMPUTED_VALUE"""),"Bengkel Las Bpk. Ari")</f>
        <v>Bengkel Las Bpk. Ari</v>
      </c>
      <c r="F3495" s="211" t="str">
        <f>IFERROR(__xludf.DUMMYFUNCTION("""COMPUTED_VALUE"""),"7d2764f1")</f>
        <v>7d2764f1</v>
      </c>
      <c r="G3495" s="211" t="str">
        <f>IFERROR(__xludf.DUMMYFUNCTION("""COMPUTED_VALUE"""),"Oksigen 7m3")</f>
        <v>Oksigen 7m3</v>
      </c>
      <c r="H3495" s="211" t="str">
        <f>IFERROR(__xludf.DUMMYFUNCTION("""COMPUTED_VALUE"""),"IN")</f>
        <v>IN</v>
      </c>
      <c r="I3495" s="211" t="str">
        <f>IFERROR(__xludf.DUMMYFUNCTION("""COMPUTED_VALUE"""),"EMPTY")</f>
        <v>EMPTY</v>
      </c>
      <c r="J3495" s="211">
        <f>IFERROR(__xludf.DUMMYFUNCTION("""COMPUTED_VALUE"""),2.0)</f>
        <v>2</v>
      </c>
      <c r="K3495" s="210" t="str">
        <f>IFERROR(__xludf.DUMMYFUNCTION("""COMPUTED_VALUE"""),"11137 11218")</f>
        <v>11137 11218</v>
      </c>
      <c r="L3495" s="211">
        <f>IFERROR(__xludf.DUMMYFUNCTION("""COMPUTED_VALUE"""),0.0)</f>
        <v>0</v>
      </c>
      <c r="M3495" s="211"/>
      <c r="N3495" s="211"/>
      <c r="O3495" s="211" t="b">
        <f>IFERROR(__xludf.DUMMYFUNCTION("""COMPUTED_VALUE"""),FALSE)</f>
        <v>0</v>
      </c>
    </row>
    <row r="3496">
      <c r="A3496" s="210" t="str">
        <f>IFERROR(__xludf.DUMMYFUNCTION("""COMPUTED_VALUE"""),"1261180")</f>
        <v>1261180</v>
      </c>
      <c r="B3496" s="210" t="str">
        <f>IFERROR(__xludf.DUMMYFUNCTION("""COMPUTED_VALUE"""),"1261180")</f>
        <v>1261180</v>
      </c>
      <c r="C3496" s="213">
        <f>IFERROR(__xludf.DUMMYFUNCTION("""COMPUTED_VALUE"""),46053.57460648148)</f>
        <v>46053.57461</v>
      </c>
      <c r="D3496" s="211" t="str">
        <f>IFERROR(__xludf.DUMMYFUNCTION("""COMPUTED_VALUE"""),"b2b5f2c5")</f>
        <v>b2b5f2c5</v>
      </c>
      <c r="E3496" s="211" t="str">
        <f>IFERROR(__xludf.DUMMYFUNCTION("""COMPUTED_VALUE"""),"Bengkel Las Bpk. Ari")</f>
        <v>Bengkel Las Bpk. Ari</v>
      </c>
      <c r="F3496" s="211" t="str">
        <f>IFERROR(__xludf.DUMMYFUNCTION("""COMPUTED_VALUE"""),"ef306e54")</f>
        <v>ef306e54</v>
      </c>
      <c r="G3496" s="211" t="str">
        <f>IFERROR(__xludf.DUMMYFUNCTION("""COMPUTED_VALUE"""),"Karbondioksida")</f>
        <v>Karbondioksida</v>
      </c>
      <c r="H3496" s="211" t="str">
        <f>IFERROR(__xludf.DUMMYFUNCTION("""COMPUTED_VALUE"""),"IN")</f>
        <v>IN</v>
      </c>
      <c r="I3496" s="211" t="str">
        <f>IFERROR(__xludf.DUMMYFUNCTION("""COMPUTED_VALUE"""),"EMPTY")</f>
        <v>EMPTY</v>
      </c>
      <c r="J3496" s="211">
        <f>IFERROR(__xludf.DUMMYFUNCTION("""COMPUTED_VALUE"""),2.0)</f>
        <v>2</v>
      </c>
      <c r="K3496" s="210" t="str">
        <f>IFERROR(__xludf.DUMMYFUNCTION("""COMPUTED_VALUE"""),"13028 13058")</f>
        <v>13028 13058</v>
      </c>
      <c r="L3496" s="211">
        <f>IFERROR(__xludf.DUMMYFUNCTION("""COMPUTED_VALUE"""),0.0)</f>
        <v>0</v>
      </c>
      <c r="M3496" s="211"/>
      <c r="N3496" s="211"/>
      <c r="O3496" s="211" t="b">
        <f>IFERROR(__xludf.DUMMYFUNCTION("""COMPUTED_VALUE"""),FALSE)</f>
        <v>0</v>
      </c>
    </row>
    <row r="3497">
      <c r="A3497" s="210" t="str">
        <f>IFERROR(__xludf.DUMMYFUNCTION("""COMPUTED_VALUE"""),"1261164")</f>
        <v>1261164</v>
      </c>
      <c r="B3497" s="210" t="str">
        <f>IFERROR(__xludf.DUMMYFUNCTION("""COMPUTED_VALUE"""),"1261164")</f>
        <v>1261164</v>
      </c>
      <c r="C3497" s="213">
        <f>IFERROR(__xludf.DUMMYFUNCTION("""COMPUTED_VALUE"""),46053.605787037035)</f>
        <v>46053.60579</v>
      </c>
      <c r="D3497" s="211" t="str">
        <f>IFERROR(__xludf.DUMMYFUNCTION("""COMPUTED_VALUE"""),"01158be1")</f>
        <v>01158be1</v>
      </c>
      <c r="E3497" s="211" t="str">
        <f>IFERROR(__xludf.DUMMYFUNCTION("""COMPUTED_VALUE"""),"GYF")</f>
        <v>GYF</v>
      </c>
      <c r="F3497" s="211" t="str">
        <f>IFERROR(__xludf.DUMMYFUNCTION("""COMPUTED_VALUE"""),"8bdbe149")</f>
        <v>8bdbe149</v>
      </c>
      <c r="G3497" s="211" t="str">
        <f>IFERROR(__xludf.DUMMYFUNCTION("""COMPUTED_VALUE"""),"Oksigen 6m3")</f>
        <v>Oksigen 6m3</v>
      </c>
      <c r="H3497" s="211" t="str">
        <f>IFERROR(__xludf.DUMMYFUNCTION("""COMPUTED_VALUE"""),"IN")</f>
        <v>IN</v>
      </c>
      <c r="I3497" s="211" t="str">
        <f>IFERROR(__xludf.DUMMYFUNCTION("""COMPUTED_VALUE"""),"EMPTY")</f>
        <v>EMPTY</v>
      </c>
      <c r="J3497" s="211">
        <f>IFERROR(__xludf.DUMMYFUNCTION("""COMPUTED_VALUE"""),2.0)</f>
        <v>2</v>
      </c>
      <c r="K3497" s="210" t="str">
        <f>IFERROR(__xludf.DUMMYFUNCTION("""COMPUTED_VALUE"""),"1155 1169")</f>
        <v>1155 1169</v>
      </c>
      <c r="L3497" s="211">
        <f>IFERROR(__xludf.DUMMYFUNCTION("""COMPUTED_VALUE"""),0.0)</f>
        <v>0</v>
      </c>
      <c r="M3497" s="211"/>
      <c r="N3497" s="211"/>
      <c r="O3497" s="211" t="b">
        <f>IFERROR(__xludf.DUMMYFUNCTION("""COMPUTED_VALUE"""),FALSE)</f>
        <v>0</v>
      </c>
    </row>
    <row r="3498">
      <c r="A3498" s="210" t="str">
        <f>IFERROR(__xludf.DUMMYFUNCTION("""COMPUTED_VALUE"""),"0226132425")</f>
        <v>0226132425</v>
      </c>
      <c r="B3498" s="210" t="str">
        <f>IFERROR(__xludf.DUMMYFUNCTION("""COMPUTED_VALUE"""),"0226132425")</f>
        <v>0226132425</v>
      </c>
      <c r="C3498" s="213">
        <f>IFERROR(__xludf.DUMMYFUNCTION("""COMPUTED_VALUE"""),46055.37028935185)</f>
        <v>46055.37029</v>
      </c>
      <c r="D3498" s="211" t="str">
        <f>IFERROR(__xludf.DUMMYFUNCTION("""COMPUTED_VALUE"""),"734c6d17")</f>
        <v>734c6d17</v>
      </c>
      <c r="E3498" s="211" t="str">
        <f>IFERROR(__xludf.DUMMYFUNCTION("""COMPUTED_VALUE"""),"Bapak Ainol Yaqin ( Bpk. Ibnu )")</f>
        <v>Bapak Ainol Yaqin ( Bpk. Ibnu )</v>
      </c>
      <c r="F3498" s="211" t="str">
        <f>IFERROR(__xludf.DUMMYFUNCTION("""COMPUTED_VALUE"""),"8bdbe149")</f>
        <v>8bdbe149</v>
      </c>
      <c r="G3498" s="211" t="str">
        <f>IFERROR(__xludf.DUMMYFUNCTION("""COMPUTED_VALUE"""),"Oksigen 6m3")</f>
        <v>Oksigen 6m3</v>
      </c>
      <c r="H3498" s="211" t="str">
        <f>IFERROR(__xludf.DUMMYFUNCTION("""COMPUTED_VALUE"""),"OUT")</f>
        <v>OUT</v>
      </c>
      <c r="I3498" s="211" t="str">
        <f>IFERROR(__xludf.DUMMYFUNCTION("""COMPUTED_VALUE"""),"NORMAL")</f>
        <v>NORMAL</v>
      </c>
      <c r="J3498" s="211">
        <f>IFERROR(__xludf.DUMMYFUNCTION("""COMPUTED_VALUE"""),2.0)</f>
        <v>2</v>
      </c>
      <c r="K3498" s="210" t="str">
        <f>IFERROR(__xludf.DUMMYFUNCTION("""COMPUTED_VALUE"""),"11323 11317")</f>
        <v>11323 11317</v>
      </c>
      <c r="L3498" s="211">
        <f>IFERROR(__xludf.DUMMYFUNCTION("""COMPUTED_VALUE"""),60000.0)</f>
        <v>60000</v>
      </c>
      <c r="M3498" s="211"/>
      <c r="N3498" s="211"/>
      <c r="O3498" s="211" t="b">
        <f>IFERROR(__xludf.DUMMYFUNCTION("""COMPUTED_VALUE"""),FALSE)</f>
        <v>0</v>
      </c>
    </row>
    <row r="3499">
      <c r="A3499" s="210" t="str">
        <f>IFERROR(__xludf.DUMMYFUNCTION("""COMPUTED_VALUE"""),"0226192428")</f>
        <v>0226192428</v>
      </c>
      <c r="B3499" s="210" t="str">
        <f>IFERROR(__xludf.DUMMYFUNCTION("""COMPUTED_VALUE"""),"0226192428")</f>
        <v>0226192428</v>
      </c>
      <c r="C3499" s="213">
        <f>IFERROR(__xludf.DUMMYFUNCTION("""COMPUTED_VALUE"""),46055.39603009259)</f>
        <v>46055.39603</v>
      </c>
      <c r="D3499" s="211" t="str">
        <f>IFERROR(__xludf.DUMMYFUNCTION("""COMPUTED_VALUE"""),"63fc688a")</f>
        <v>63fc688a</v>
      </c>
      <c r="E3499" s="211" t="str">
        <f>IFERROR(__xludf.DUMMYFUNCTION("""COMPUTED_VALUE"""),"CV Malik Nusantara")</f>
        <v>CV Malik Nusantara</v>
      </c>
      <c r="F3499" s="211" t="str">
        <f>IFERROR(__xludf.DUMMYFUNCTION("""COMPUTED_VALUE"""),"8bdbe149")</f>
        <v>8bdbe149</v>
      </c>
      <c r="G3499" s="211" t="str">
        <f>IFERROR(__xludf.DUMMYFUNCTION("""COMPUTED_VALUE"""),"Oksigen 6m3")</f>
        <v>Oksigen 6m3</v>
      </c>
      <c r="H3499" s="211" t="str">
        <f>IFERROR(__xludf.DUMMYFUNCTION("""COMPUTED_VALUE"""),"OUT")</f>
        <v>OUT</v>
      </c>
      <c r="I3499" s="211" t="str">
        <f>IFERROR(__xludf.DUMMYFUNCTION("""COMPUTED_VALUE"""),"NORMAL")</f>
        <v>NORMAL</v>
      </c>
      <c r="J3499" s="211">
        <f>IFERROR(__xludf.DUMMYFUNCTION("""COMPUTED_VALUE"""),5.0)</f>
        <v>5</v>
      </c>
      <c r="K3499" s="210" t="str">
        <f>IFERROR(__xludf.DUMMYFUNCTION("""COMPUTED_VALUE"""),"1140 11128 1173 11240 11287")</f>
        <v>1140 11128 1173 11240 11287</v>
      </c>
      <c r="L3499" s="211">
        <f>IFERROR(__xludf.DUMMYFUNCTION("""COMPUTED_VALUE"""),65000.0)</f>
        <v>65000</v>
      </c>
      <c r="M3499" s="211"/>
      <c r="N3499" s="211"/>
      <c r="O3499" s="211" t="b">
        <f>IFERROR(__xludf.DUMMYFUNCTION("""COMPUTED_VALUE"""),FALSE)</f>
        <v>0</v>
      </c>
    </row>
    <row r="3500">
      <c r="A3500" s="210" t="str">
        <f>IFERROR(__xludf.DUMMYFUNCTION("""COMPUTED_VALUE"""),"0226192428")</f>
        <v>0226192428</v>
      </c>
      <c r="B3500" s="210" t="str">
        <f>IFERROR(__xludf.DUMMYFUNCTION("""COMPUTED_VALUE"""),"0226192428")</f>
        <v>0226192428</v>
      </c>
      <c r="C3500" s="213">
        <f>IFERROR(__xludf.DUMMYFUNCTION("""COMPUTED_VALUE"""),46055.39603009259)</f>
        <v>46055.39603</v>
      </c>
      <c r="D3500" s="211" t="str">
        <f>IFERROR(__xludf.DUMMYFUNCTION("""COMPUTED_VALUE"""),"63fc688a")</f>
        <v>63fc688a</v>
      </c>
      <c r="E3500" s="211" t="str">
        <f>IFERROR(__xludf.DUMMYFUNCTION("""COMPUTED_VALUE"""),"CV Malik Nusantara")</f>
        <v>CV Malik Nusantara</v>
      </c>
      <c r="F3500" s="211" t="str">
        <f>IFERROR(__xludf.DUMMYFUNCTION("""COMPUTED_VALUE"""),"ef306e54")</f>
        <v>ef306e54</v>
      </c>
      <c r="G3500" s="211" t="str">
        <f>IFERROR(__xludf.DUMMYFUNCTION("""COMPUTED_VALUE"""),"Karbondioksida")</f>
        <v>Karbondioksida</v>
      </c>
      <c r="H3500" s="211" t="str">
        <f>IFERROR(__xludf.DUMMYFUNCTION("""COMPUTED_VALUE"""),"OUT")</f>
        <v>OUT</v>
      </c>
      <c r="I3500" s="211" t="str">
        <f>IFERROR(__xludf.DUMMYFUNCTION("""COMPUTED_VALUE"""),"NORMAL")</f>
        <v>NORMAL</v>
      </c>
      <c r="J3500" s="211">
        <f>IFERROR(__xludf.DUMMYFUNCTION("""COMPUTED_VALUE"""),2.0)</f>
        <v>2</v>
      </c>
      <c r="K3500" s="210" t="str">
        <f>IFERROR(__xludf.DUMMYFUNCTION("""COMPUTED_VALUE"""),"13058 13062")</f>
        <v>13058 13062</v>
      </c>
      <c r="L3500" s="211">
        <f>IFERROR(__xludf.DUMMYFUNCTION("""COMPUTED_VALUE"""),190000.0)</f>
        <v>190000</v>
      </c>
      <c r="M3500" s="211"/>
      <c r="N3500" s="211"/>
      <c r="O3500" s="211" t="b">
        <f>IFERROR(__xludf.DUMMYFUNCTION("""COMPUTED_VALUE"""),FALSE)</f>
        <v>0</v>
      </c>
    </row>
    <row r="3501">
      <c r="A3501" s="210" t="str">
        <f>IFERROR(__xludf.DUMMYFUNCTION("""COMPUTED_VALUE"""),"0226802429")</f>
        <v>0226802429</v>
      </c>
      <c r="B3501" s="210" t="str">
        <f>IFERROR(__xludf.DUMMYFUNCTION("""COMPUTED_VALUE"""),"0226802429")</f>
        <v>0226802429</v>
      </c>
      <c r="C3501" s="213">
        <f>IFERROR(__xludf.DUMMYFUNCTION("""COMPUTED_VALUE"""),46055.430868055555)</f>
        <v>46055.43087</v>
      </c>
      <c r="D3501" s="211" t="str">
        <f>IFERROR(__xludf.DUMMYFUNCTION("""COMPUTED_VALUE"""),"b2b5f2c5")</f>
        <v>b2b5f2c5</v>
      </c>
      <c r="E3501" s="211" t="str">
        <f>IFERROR(__xludf.DUMMYFUNCTION("""COMPUTED_VALUE"""),"Bengkel Las Bpk. Ari")</f>
        <v>Bengkel Las Bpk. Ari</v>
      </c>
      <c r="F3501" s="211" t="str">
        <f>IFERROR(__xludf.DUMMYFUNCTION("""COMPUTED_VALUE"""),"8bdbe149")</f>
        <v>8bdbe149</v>
      </c>
      <c r="G3501" s="211" t="str">
        <f>IFERROR(__xludf.DUMMYFUNCTION("""COMPUTED_VALUE"""),"Oksigen 6m3")</f>
        <v>Oksigen 6m3</v>
      </c>
      <c r="H3501" s="211" t="str">
        <f>IFERROR(__xludf.DUMMYFUNCTION("""COMPUTED_VALUE"""),"OUT")</f>
        <v>OUT</v>
      </c>
      <c r="I3501" s="211" t="str">
        <f>IFERROR(__xludf.DUMMYFUNCTION("""COMPUTED_VALUE"""),"NORMAL")</f>
        <v>NORMAL</v>
      </c>
      <c r="J3501" s="211">
        <f>IFERROR(__xludf.DUMMYFUNCTION("""COMPUTED_VALUE"""),3.0)</f>
        <v>3</v>
      </c>
      <c r="K3501" s="210" t="str">
        <f>IFERROR(__xludf.DUMMYFUNCTION("""COMPUTED_VALUE"""),"11315 1134 1187")</f>
        <v>11315 1134 1187</v>
      </c>
      <c r="L3501" s="211">
        <f>IFERROR(__xludf.DUMMYFUNCTION("""COMPUTED_VALUE"""),60000.0)</f>
        <v>60000</v>
      </c>
      <c r="M3501" s="211"/>
      <c r="N3501" s="211"/>
      <c r="O3501" s="211" t="b">
        <f>IFERROR(__xludf.DUMMYFUNCTION("""COMPUTED_VALUE"""),FALSE)</f>
        <v>0</v>
      </c>
    </row>
    <row r="3502">
      <c r="A3502" s="210" t="str">
        <f>IFERROR(__xludf.DUMMYFUNCTION("""COMPUTED_VALUE"""),"0226802429")</f>
        <v>0226802429</v>
      </c>
      <c r="B3502" s="210" t="str">
        <f>IFERROR(__xludf.DUMMYFUNCTION("""COMPUTED_VALUE"""),"0226802429")</f>
        <v>0226802429</v>
      </c>
      <c r="C3502" s="213">
        <f>IFERROR(__xludf.DUMMYFUNCTION("""COMPUTED_VALUE"""),46055.430868055555)</f>
        <v>46055.43087</v>
      </c>
      <c r="D3502" s="211" t="str">
        <f>IFERROR(__xludf.DUMMYFUNCTION("""COMPUTED_VALUE"""),"b2b5f2c5")</f>
        <v>b2b5f2c5</v>
      </c>
      <c r="E3502" s="211" t="str">
        <f>IFERROR(__xludf.DUMMYFUNCTION("""COMPUTED_VALUE"""),"Bengkel Las Bpk. Ari")</f>
        <v>Bengkel Las Bpk. Ari</v>
      </c>
      <c r="F3502" s="211" t="str">
        <f>IFERROR(__xludf.DUMMYFUNCTION("""COMPUTED_VALUE"""),"ef306e54")</f>
        <v>ef306e54</v>
      </c>
      <c r="G3502" s="211" t="str">
        <f>IFERROR(__xludf.DUMMYFUNCTION("""COMPUTED_VALUE"""),"Karbondioksida")</f>
        <v>Karbondioksida</v>
      </c>
      <c r="H3502" s="211" t="str">
        <f>IFERROR(__xludf.DUMMYFUNCTION("""COMPUTED_VALUE"""),"OUT")</f>
        <v>OUT</v>
      </c>
      <c r="I3502" s="211" t="str">
        <f>IFERROR(__xludf.DUMMYFUNCTION("""COMPUTED_VALUE"""),"NORMAL")</f>
        <v>NORMAL</v>
      </c>
      <c r="J3502" s="211">
        <f>IFERROR(__xludf.DUMMYFUNCTION("""COMPUTED_VALUE"""),3.0)</f>
        <v>3</v>
      </c>
      <c r="K3502" s="210" t="str">
        <f>IFERROR(__xludf.DUMMYFUNCTION("""COMPUTED_VALUE"""),"13068 13070 13069")</f>
        <v>13068 13070 13069</v>
      </c>
      <c r="L3502" s="211">
        <f>IFERROR(__xludf.DUMMYFUNCTION("""COMPUTED_VALUE"""),180000.0)</f>
        <v>180000</v>
      </c>
      <c r="M3502" s="211"/>
      <c r="N3502" s="211"/>
      <c r="O3502" s="211" t="b">
        <f>IFERROR(__xludf.DUMMYFUNCTION("""COMPUTED_VALUE"""),FALSE)</f>
        <v>0</v>
      </c>
    </row>
    <row r="3503">
      <c r="A3503" s="210" t="str">
        <f>IFERROR(__xludf.DUMMYFUNCTION("""COMPUTED_VALUE"""),"1261181")</f>
        <v>1261181</v>
      </c>
      <c r="B3503" s="210" t="str">
        <f>IFERROR(__xludf.DUMMYFUNCTION("""COMPUTED_VALUE"""),"1261181")</f>
        <v>1261181</v>
      </c>
      <c r="C3503" s="213">
        <f>IFERROR(__xludf.DUMMYFUNCTION("""COMPUTED_VALUE"""),46055.440613425926)</f>
        <v>46055.44061</v>
      </c>
      <c r="D3503" s="211" t="str">
        <f>IFERROR(__xludf.DUMMYFUNCTION("""COMPUTED_VALUE"""),"734c6d17")</f>
        <v>734c6d17</v>
      </c>
      <c r="E3503" s="211" t="str">
        <f>IFERROR(__xludf.DUMMYFUNCTION("""COMPUTED_VALUE"""),"Bapak Ainol Yaqin ( Bpk. Ibnu )")</f>
        <v>Bapak Ainol Yaqin ( Bpk. Ibnu )</v>
      </c>
      <c r="F3503" s="211" t="str">
        <f>IFERROR(__xludf.DUMMYFUNCTION("""COMPUTED_VALUE"""),"7d2764f1")</f>
        <v>7d2764f1</v>
      </c>
      <c r="G3503" s="211" t="str">
        <f>IFERROR(__xludf.DUMMYFUNCTION("""COMPUTED_VALUE"""),"Oksigen 7m3")</f>
        <v>Oksigen 7m3</v>
      </c>
      <c r="H3503" s="211" t="str">
        <f>IFERROR(__xludf.DUMMYFUNCTION("""COMPUTED_VALUE"""),"IN")</f>
        <v>IN</v>
      </c>
      <c r="I3503" s="211" t="str">
        <f>IFERROR(__xludf.DUMMYFUNCTION("""COMPUTED_VALUE"""),"EMPTY")</f>
        <v>EMPTY</v>
      </c>
      <c r="J3503" s="211">
        <f>IFERROR(__xludf.DUMMYFUNCTION("""COMPUTED_VALUE"""),1.0)</f>
        <v>1</v>
      </c>
      <c r="K3503" s="210" t="str">
        <f>IFERROR(__xludf.DUMMYFUNCTION("""COMPUTED_VALUE"""),"11298")</f>
        <v>11298</v>
      </c>
      <c r="L3503" s="211">
        <f>IFERROR(__xludf.DUMMYFUNCTION("""COMPUTED_VALUE"""),0.0)</f>
        <v>0</v>
      </c>
      <c r="M3503" s="211"/>
      <c r="N3503" s="211"/>
      <c r="O3503" s="211" t="b">
        <f>IFERROR(__xludf.DUMMYFUNCTION("""COMPUTED_VALUE"""),FALSE)</f>
        <v>0</v>
      </c>
    </row>
    <row r="3504">
      <c r="A3504" s="210" t="str">
        <f>IFERROR(__xludf.DUMMYFUNCTION("""COMPUTED_VALUE"""),"1261181")</f>
        <v>1261181</v>
      </c>
      <c r="B3504" s="210" t="str">
        <f>IFERROR(__xludf.DUMMYFUNCTION("""COMPUTED_VALUE"""),"1261181")</f>
        <v>1261181</v>
      </c>
      <c r="C3504" s="213">
        <f>IFERROR(__xludf.DUMMYFUNCTION("""COMPUTED_VALUE"""),46055.440613425926)</f>
        <v>46055.44061</v>
      </c>
      <c r="D3504" s="211" t="str">
        <f>IFERROR(__xludf.DUMMYFUNCTION("""COMPUTED_VALUE"""),"734c6d17")</f>
        <v>734c6d17</v>
      </c>
      <c r="E3504" s="211" t="str">
        <f>IFERROR(__xludf.DUMMYFUNCTION("""COMPUTED_VALUE"""),"Bapak Ainol Yaqin ( Bpk. Ibnu )")</f>
        <v>Bapak Ainol Yaqin ( Bpk. Ibnu )</v>
      </c>
      <c r="F3504" s="211" t="str">
        <f>IFERROR(__xludf.DUMMYFUNCTION("""COMPUTED_VALUE"""),"8bdbe149")</f>
        <v>8bdbe149</v>
      </c>
      <c r="G3504" s="211" t="str">
        <f>IFERROR(__xludf.DUMMYFUNCTION("""COMPUTED_VALUE"""),"Oksigen 6m3")</f>
        <v>Oksigen 6m3</v>
      </c>
      <c r="H3504" s="211" t="str">
        <f>IFERROR(__xludf.DUMMYFUNCTION("""COMPUTED_VALUE"""),"IN")</f>
        <v>IN</v>
      </c>
      <c r="I3504" s="211" t="str">
        <f>IFERROR(__xludf.DUMMYFUNCTION("""COMPUTED_VALUE"""),"EMPTY")</f>
        <v>EMPTY</v>
      </c>
      <c r="J3504" s="211">
        <f>IFERROR(__xludf.DUMMYFUNCTION("""COMPUTED_VALUE"""),2.0)</f>
        <v>2</v>
      </c>
      <c r="K3504" s="210" t="str">
        <f>IFERROR(__xludf.DUMMYFUNCTION("""COMPUTED_VALUE"""),"11241 11327")</f>
        <v>11241 11327</v>
      </c>
      <c r="L3504" s="211">
        <f>IFERROR(__xludf.DUMMYFUNCTION("""COMPUTED_VALUE"""),0.0)</f>
        <v>0</v>
      </c>
      <c r="M3504" s="211"/>
      <c r="N3504" s="211"/>
      <c r="O3504" s="211" t="b">
        <f>IFERROR(__xludf.DUMMYFUNCTION("""COMPUTED_VALUE"""),FALSE)</f>
        <v>0</v>
      </c>
    </row>
    <row r="3505">
      <c r="A3505" s="210" t="str">
        <f>IFERROR(__xludf.DUMMYFUNCTION("""COMPUTED_VALUE"""),"1261166")</f>
        <v>1261166</v>
      </c>
      <c r="B3505" s="210" t="str">
        <f>IFERROR(__xludf.DUMMYFUNCTION("""COMPUTED_VALUE"""),"1261166")</f>
        <v>1261166</v>
      </c>
      <c r="C3505" s="213">
        <f>IFERROR(__xludf.DUMMYFUNCTION("""COMPUTED_VALUE"""),46055.520324074074)</f>
        <v>46055.52032</v>
      </c>
      <c r="D3505" s="211" t="str">
        <f>IFERROR(__xludf.DUMMYFUNCTION("""COMPUTED_VALUE"""),"8f5ebaea")</f>
        <v>8f5ebaea</v>
      </c>
      <c r="E3505" s="211" t="str">
        <f>IFERROR(__xludf.DUMMYFUNCTION("""COMPUTED_VALUE"""),"PT Hua Zong Mesindo")</f>
        <v>PT Hua Zong Mesindo</v>
      </c>
      <c r="F3505" s="211" t="str">
        <f>IFERROR(__xludf.DUMMYFUNCTION("""COMPUTED_VALUE"""),"8bdbe149")</f>
        <v>8bdbe149</v>
      </c>
      <c r="G3505" s="211" t="str">
        <f>IFERROR(__xludf.DUMMYFUNCTION("""COMPUTED_VALUE"""),"Oksigen 6m3")</f>
        <v>Oksigen 6m3</v>
      </c>
      <c r="H3505" s="211" t="str">
        <f>IFERROR(__xludf.DUMMYFUNCTION("""COMPUTED_VALUE"""),"IN")</f>
        <v>IN</v>
      </c>
      <c r="I3505" s="211" t="str">
        <f>IFERROR(__xludf.DUMMYFUNCTION("""COMPUTED_VALUE"""),"EMPTY")</f>
        <v>EMPTY</v>
      </c>
      <c r="J3505" s="211">
        <f>IFERROR(__xludf.DUMMYFUNCTION("""COMPUTED_VALUE"""),1.0)</f>
        <v>1</v>
      </c>
      <c r="K3505" s="210" t="str">
        <f>IFERROR(__xludf.DUMMYFUNCTION("""COMPUTED_VALUE"""),"11107")</f>
        <v>11107</v>
      </c>
      <c r="L3505" s="211">
        <f>IFERROR(__xludf.DUMMYFUNCTION("""COMPUTED_VALUE"""),0.0)</f>
        <v>0</v>
      </c>
      <c r="M3505" s="211"/>
      <c r="N3505" s="211"/>
      <c r="O3505" s="211" t="b">
        <f>IFERROR(__xludf.DUMMYFUNCTION("""COMPUTED_VALUE"""),FALSE)</f>
        <v>0</v>
      </c>
    </row>
    <row r="3506">
      <c r="A3506" s="210" t="str">
        <f>IFERROR(__xludf.DUMMYFUNCTION("""COMPUTED_VALUE"""),"1261166")</f>
        <v>1261166</v>
      </c>
      <c r="B3506" s="210" t="str">
        <f>IFERROR(__xludf.DUMMYFUNCTION("""COMPUTED_VALUE"""),"1261166")</f>
        <v>1261166</v>
      </c>
      <c r="C3506" s="213">
        <f>IFERROR(__xludf.DUMMYFUNCTION("""COMPUTED_VALUE"""),46055.520324074074)</f>
        <v>46055.52032</v>
      </c>
      <c r="D3506" s="211" t="str">
        <f>IFERROR(__xludf.DUMMYFUNCTION("""COMPUTED_VALUE"""),"8f5ebaea")</f>
        <v>8f5ebaea</v>
      </c>
      <c r="E3506" s="211" t="str">
        <f>IFERROR(__xludf.DUMMYFUNCTION("""COMPUTED_VALUE"""),"PT Hua Zong Mesindo")</f>
        <v>PT Hua Zong Mesindo</v>
      </c>
      <c r="F3506" s="211" t="str">
        <f>IFERROR(__xludf.DUMMYFUNCTION("""COMPUTED_VALUE"""),"66af7c72")</f>
        <v>66af7c72</v>
      </c>
      <c r="G3506" s="211" t="str">
        <f>IFERROR(__xludf.DUMMYFUNCTION("""COMPUTED_VALUE"""),"Argon 6m3")</f>
        <v>Argon 6m3</v>
      </c>
      <c r="H3506" s="211" t="str">
        <f>IFERROR(__xludf.DUMMYFUNCTION("""COMPUTED_VALUE"""),"IN")</f>
        <v>IN</v>
      </c>
      <c r="I3506" s="211" t="str">
        <f>IFERROR(__xludf.DUMMYFUNCTION("""COMPUTED_VALUE"""),"EMPTY")</f>
        <v>EMPTY</v>
      </c>
      <c r="J3506" s="211">
        <f>IFERROR(__xludf.DUMMYFUNCTION("""COMPUTED_VALUE"""),1.0)</f>
        <v>1</v>
      </c>
      <c r="K3506" s="210" t="str">
        <f>IFERROR(__xludf.DUMMYFUNCTION("""COMPUTED_VALUE"""),"12019")</f>
        <v>12019</v>
      </c>
      <c r="L3506" s="211">
        <f>IFERROR(__xludf.DUMMYFUNCTION("""COMPUTED_VALUE"""),0.0)</f>
        <v>0</v>
      </c>
      <c r="M3506" s="211"/>
      <c r="N3506" s="211"/>
      <c r="O3506" s="211" t="b">
        <f>IFERROR(__xludf.DUMMYFUNCTION("""COMPUTED_VALUE"""),FALSE)</f>
        <v>0</v>
      </c>
    </row>
    <row r="3507">
      <c r="A3507" s="210" t="str">
        <f>IFERROR(__xludf.DUMMYFUNCTION("""COMPUTED_VALUE"""),"1261165")</f>
        <v>1261165</v>
      </c>
      <c r="B3507" s="210" t="str">
        <f>IFERROR(__xludf.DUMMYFUNCTION("""COMPUTED_VALUE"""),"1261165")</f>
        <v>1261165</v>
      </c>
      <c r="C3507" s="213">
        <f>IFERROR(__xludf.DUMMYFUNCTION("""COMPUTED_VALUE"""),46055.52092592593)</f>
        <v>46055.52093</v>
      </c>
      <c r="D3507" s="211" t="str">
        <f>IFERROR(__xludf.DUMMYFUNCTION("""COMPUTED_VALUE"""),"63fc688a")</f>
        <v>63fc688a</v>
      </c>
      <c r="E3507" s="211" t="str">
        <f>IFERROR(__xludf.DUMMYFUNCTION("""COMPUTED_VALUE"""),"CV Malik Nusantara")</f>
        <v>CV Malik Nusantara</v>
      </c>
      <c r="F3507" s="211" t="str">
        <f>IFERROR(__xludf.DUMMYFUNCTION("""COMPUTED_VALUE"""),"8bdbe149")</f>
        <v>8bdbe149</v>
      </c>
      <c r="G3507" s="211" t="str">
        <f>IFERROR(__xludf.DUMMYFUNCTION("""COMPUTED_VALUE"""),"Oksigen 6m3")</f>
        <v>Oksigen 6m3</v>
      </c>
      <c r="H3507" s="211" t="str">
        <f>IFERROR(__xludf.DUMMYFUNCTION("""COMPUTED_VALUE"""),"IN")</f>
        <v>IN</v>
      </c>
      <c r="I3507" s="211" t="str">
        <f>IFERROR(__xludf.DUMMYFUNCTION("""COMPUTED_VALUE"""),"EMPTY")</f>
        <v>EMPTY</v>
      </c>
      <c r="J3507" s="211">
        <f>IFERROR(__xludf.DUMMYFUNCTION("""COMPUTED_VALUE"""),3.0)</f>
        <v>3</v>
      </c>
      <c r="K3507" s="210" t="str">
        <f>IFERROR(__xludf.DUMMYFUNCTION("""COMPUTED_VALUE"""),"1152 11286 11185")</f>
        <v>1152 11286 11185</v>
      </c>
      <c r="L3507" s="211">
        <f>IFERROR(__xludf.DUMMYFUNCTION("""COMPUTED_VALUE"""),0.0)</f>
        <v>0</v>
      </c>
      <c r="M3507" s="211"/>
      <c r="N3507" s="211"/>
      <c r="O3507" s="211" t="b">
        <f>IFERROR(__xludf.DUMMYFUNCTION("""COMPUTED_VALUE"""),FALSE)</f>
        <v>0</v>
      </c>
    </row>
    <row r="3508">
      <c r="A3508" s="210" t="str">
        <f>IFERROR(__xludf.DUMMYFUNCTION("""COMPUTED_VALUE"""),"1261165")</f>
        <v>1261165</v>
      </c>
      <c r="B3508" s="210" t="str">
        <f>IFERROR(__xludf.DUMMYFUNCTION("""COMPUTED_VALUE"""),"1261165")</f>
        <v>1261165</v>
      </c>
      <c r="C3508" s="213">
        <f>IFERROR(__xludf.DUMMYFUNCTION("""COMPUTED_VALUE"""),46055.52092592593)</f>
        <v>46055.52093</v>
      </c>
      <c r="D3508" s="211" t="str">
        <f>IFERROR(__xludf.DUMMYFUNCTION("""COMPUTED_VALUE"""),"63fc688a")</f>
        <v>63fc688a</v>
      </c>
      <c r="E3508" s="211" t="str">
        <f>IFERROR(__xludf.DUMMYFUNCTION("""COMPUTED_VALUE"""),"CV Malik Nusantara")</f>
        <v>CV Malik Nusantara</v>
      </c>
      <c r="F3508" s="211" t="str">
        <f>IFERROR(__xludf.DUMMYFUNCTION("""COMPUTED_VALUE"""),"ef306e54")</f>
        <v>ef306e54</v>
      </c>
      <c r="G3508" s="211" t="str">
        <f>IFERROR(__xludf.DUMMYFUNCTION("""COMPUTED_VALUE"""),"Karbondioksida")</f>
        <v>Karbondioksida</v>
      </c>
      <c r="H3508" s="211" t="str">
        <f>IFERROR(__xludf.DUMMYFUNCTION("""COMPUTED_VALUE"""),"IN")</f>
        <v>IN</v>
      </c>
      <c r="I3508" s="211" t="str">
        <f>IFERROR(__xludf.DUMMYFUNCTION("""COMPUTED_VALUE"""),"EMPTY")</f>
        <v>EMPTY</v>
      </c>
      <c r="J3508" s="211">
        <f>IFERROR(__xludf.DUMMYFUNCTION("""COMPUTED_VALUE"""),1.0)</f>
        <v>1</v>
      </c>
      <c r="K3508" s="210" t="str">
        <f>IFERROR(__xludf.DUMMYFUNCTION("""COMPUTED_VALUE"""),"13027")</f>
        <v>13027</v>
      </c>
      <c r="L3508" s="211">
        <f>IFERROR(__xludf.DUMMYFUNCTION("""COMPUTED_VALUE"""),0.0)</f>
        <v>0</v>
      </c>
      <c r="M3508" s="211"/>
      <c r="N3508" s="211"/>
      <c r="O3508" s="211" t="b">
        <f>IFERROR(__xludf.DUMMYFUNCTION("""COMPUTED_VALUE"""),FALSE)</f>
        <v>0</v>
      </c>
    </row>
    <row r="3509">
      <c r="A3509" s="210" t="str">
        <f>IFERROR(__xludf.DUMMYFUNCTION("""COMPUTED_VALUE"""),"1261167")</f>
        <v>1261167</v>
      </c>
      <c r="B3509" s="210" t="str">
        <f>IFERROR(__xludf.DUMMYFUNCTION("""COMPUTED_VALUE"""),"1261167")</f>
        <v>1261167</v>
      </c>
      <c r="C3509" s="213">
        <f>IFERROR(__xludf.DUMMYFUNCTION("""COMPUTED_VALUE"""),46055.52150462963)</f>
        <v>46055.5215</v>
      </c>
      <c r="D3509" s="211" t="str">
        <f>IFERROR(__xludf.DUMMYFUNCTION("""COMPUTED_VALUE"""),"b218b89b")</f>
        <v>b218b89b</v>
      </c>
      <c r="E3509" s="211" t="str">
        <f>IFERROR(__xludf.DUMMYFUNCTION("""COMPUTED_VALUE"""),"PT Harapan Sentosa")</f>
        <v>PT Harapan Sentosa</v>
      </c>
      <c r="F3509" s="211" t="str">
        <f>IFERROR(__xludf.DUMMYFUNCTION("""COMPUTED_VALUE"""),"8bdbe149")</f>
        <v>8bdbe149</v>
      </c>
      <c r="G3509" s="211" t="str">
        <f>IFERROR(__xludf.DUMMYFUNCTION("""COMPUTED_VALUE"""),"Oksigen 6m3")</f>
        <v>Oksigen 6m3</v>
      </c>
      <c r="H3509" s="211" t="str">
        <f>IFERROR(__xludf.DUMMYFUNCTION("""COMPUTED_VALUE"""),"IN")</f>
        <v>IN</v>
      </c>
      <c r="I3509" s="211" t="str">
        <f>IFERROR(__xludf.DUMMYFUNCTION("""COMPUTED_VALUE"""),"EMPTY")</f>
        <v>EMPTY</v>
      </c>
      <c r="J3509" s="211">
        <f>IFERROR(__xludf.DUMMYFUNCTION("""COMPUTED_VALUE"""),3.0)</f>
        <v>3</v>
      </c>
      <c r="K3509" s="210" t="str">
        <f>IFERROR(__xludf.DUMMYFUNCTION("""COMPUTED_VALUE"""),"11207 1150 11126")</f>
        <v>11207 1150 11126</v>
      </c>
      <c r="L3509" s="211">
        <f>IFERROR(__xludf.DUMMYFUNCTION("""COMPUTED_VALUE"""),0.0)</f>
        <v>0</v>
      </c>
      <c r="M3509" s="211"/>
      <c r="N3509" s="211"/>
      <c r="O3509" s="211" t="b">
        <f>IFERROR(__xludf.DUMMYFUNCTION("""COMPUTED_VALUE"""),FALSE)</f>
        <v>0</v>
      </c>
    </row>
    <row r="3510">
      <c r="A3510" s="210" t="str">
        <f>IFERROR(__xludf.DUMMYFUNCTION("""COMPUTED_VALUE"""),"4022632301")</f>
        <v>4022632301</v>
      </c>
      <c r="B3510" s="210" t="str">
        <f>IFERROR(__xludf.DUMMYFUNCTION("""COMPUTED_VALUE"""),"4022632301")</f>
        <v>4022632301</v>
      </c>
      <c r="C3510" s="213">
        <f>IFERROR(__xludf.DUMMYFUNCTION("""COMPUTED_VALUE"""),46055.53538194444)</f>
        <v>46055.53538</v>
      </c>
      <c r="D3510" s="211" t="str">
        <f>IFERROR(__xludf.DUMMYFUNCTION("""COMPUTED_VALUE"""),"be2c16c7")</f>
        <v>be2c16c7</v>
      </c>
      <c r="E3510" s="211" t="str">
        <f>IFERROR(__xludf.DUMMYFUNCTION("""COMPUTED_VALUE"""),"Toko Setya ( Mas Farid )")</f>
        <v>Toko Setya ( Mas Farid )</v>
      </c>
      <c r="F3510" s="211" t="str">
        <f>IFERROR(__xludf.DUMMYFUNCTION("""COMPUTED_VALUE"""),"be525f3b")</f>
        <v>be525f3b</v>
      </c>
      <c r="G3510" s="211" t="str">
        <f>IFERROR(__xludf.DUMMYFUNCTION("""COMPUTED_VALUE"""),"LPG 12kg")</f>
        <v>LPG 12kg</v>
      </c>
      <c r="H3510" s="211" t="str">
        <f>IFERROR(__xludf.DUMMYFUNCTION("""COMPUTED_VALUE"""),"OTHER")</f>
        <v>OTHER</v>
      </c>
      <c r="I3510" s="211" t="str">
        <f>IFERROR(__xludf.DUMMYFUNCTION("""COMPUTED_VALUE"""),"RETUR EQUIPMENT")</f>
        <v>RETUR EQUIPMENT</v>
      </c>
      <c r="J3510" s="211">
        <f>IFERROR(__xludf.DUMMYFUNCTION("""COMPUTED_VALUE"""),3.0)</f>
        <v>3</v>
      </c>
      <c r="K3510" s="211"/>
      <c r="L3510" s="211">
        <f>IFERROR(__xludf.DUMMYFUNCTION("""COMPUTED_VALUE"""),0.0)</f>
        <v>0</v>
      </c>
      <c r="M3510" s="211"/>
      <c r="N3510" s="211"/>
      <c r="O3510" s="211" t="b">
        <f>IFERROR(__xludf.DUMMYFUNCTION("""COMPUTED_VALUE"""),FALSE)</f>
        <v>0</v>
      </c>
    </row>
    <row r="3511">
      <c r="A3511" s="210" t="str">
        <f>IFERROR(__xludf.DUMMYFUNCTION("""COMPUTED_VALUE"""),"1261182")</f>
        <v>1261182</v>
      </c>
      <c r="B3511" s="210" t="str">
        <f>IFERROR(__xludf.DUMMYFUNCTION("""COMPUTED_VALUE"""),"1261182")</f>
        <v>1261182</v>
      </c>
      <c r="C3511" s="213">
        <f>IFERROR(__xludf.DUMMYFUNCTION("""COMPUTED_VALUE"""),46055.62872685185)</f>
        <v>46055.62873</v>
      </c>
      <c r="D3511" s="211" t="str">
        <f>IFERROR(__xludf.DUMMYFUNCTION("""COMPUTED_VALUE"""),"b2b5f2c5")</f>
        <v>b2b5f2c5</v>
      </c>
      <c r="E3511" s="211" t="str">
        <f>IFERROR(__xludf.DUMMYFUNCTION("""COMPUTED_VALUE"""),"Bengkel Las Bpk. Ari")</f>
        <v>Bengkel Las Bpk. Ari</v>
      </c>
      <c r="F3511" s="211" t="str">
        <f>IFERROR(__xludf.DUMMYFUNCTION("""COMPUTED_VALUE"""),"ef306e54")</f>
        <v>ef306e54</v>
      </c>
      <c r="G3511" s="211" t="str">
        <f>IFERROR(__xludf.DUMMYFUNCTION("""COMPUTED_VALUE"""),"Karbondioksida")</f>
        <v>Karbondioksida</v>
      </c>
      <c r="H3511" s="211" t="str">
        <f>IFERROR(__xludf.DUMMYFUNCTION("""COMPUTED_VALUE"""),"IN")</f>
        <v>IN</v>
      </c>
      <c r="I3511" s="211" t="str">
        <f>IFERROR(__xludf.DUMMYFUNCTION("""COMPUTED_VALUE"""),"EMPTY")</f>
        <v>EMPTY</v>
      </c>
      <c r="J3511" s="211">
        <f>IFERROR(__xludf.DUMMYFUNCTION("""COMPUTED_VALUE"""),2.0)</f>
        <v>2</v>
      </c>
      <c r="K3511" s="210" t="str">
        <f>IFERROR(__xludf.DUMMYFUNCTION("""COMPUTED_VALUE"""),"13029 13064")</f>
        <v>13029 13064</v>
      </c>
      <c r="L3511" s="211">
        <f>IFERROR(__xludf.DUMMYFUNCTION("""COMPUTED_VALUE"""),0.0)</f>
        <v>0</v>
      </c>
      <c r="M3511" s="211"/>
      <c r="N3511" s="211"/>
      <c r="O3511" s="211" t="b">
        <f>IFERROR(__xludf.DUMMYFUNCTION("""COMPUTED_VALUE"""),FALSE)</f>
        <v>0</v>
      </c>
    </row>
    <row r="3512">
      <c r="A3512" s="210" t="str">
        <f>IFERROR(__xludf.DUMMYFUNCTION("""COMPUTED_VALUE"""),"1261184")</f>
        <v>1261184</v>
      </c>
      <c r="B3512" s="210" t="str">
        <f>IFERROR(__xludf.DUMMYFUNCTION("""COMPUTED_VALUE"""),"1261184")</f>
        <v>1261184</v>
      </c>
      <c r="C3512" s="213">
        <f>IFERROR(__xludf.DUMMYFUNCTION("""COMPUTED_VALUE"""),46055.63930555555)</f>
        <v>46055.63931</v>
      </c>
      <c r="D3512" s="211" t="str">
        <f>IFERROR(__xludf.DUMMYFUNCTION("""COMPUTED_VALUE"""),"9828dfc5")</f>
        <v>9828dfc5</v>
      </c>
      <c r="E3512" s="211" t="str">
        <f>IFERROR(__xludf.DUMMYFUNCTION("""COMPUTED_VALUE"""),"Bpk. David")</f>
        <v>Bpk. David</v>
      </c>
      <c r="F3512" s="211" t="str">
        <f>IFERROR(__xludf.DUMMYFUNCTION("""COMPUTED_VALUE"""),"8bdbe149")</f>
        <v>8bdbe149</v>
      </c>
      <c r="G3512" s="211" t="str">
        <f>IFERROR(__xludf.DUMMYFUNCTION("""COMPUTED_VALUE"""),"Oksigen 6m3")</f>
        <v>Oksigen 6m3</v>
      </c>
      <c r="H3512" s="211" t="str">
        <f>IFERROR(__xludf.DUMMYFUNCTION("""COMPUTED_VALUE"""),"IN")</f>
        <v>IN</v>
      </c>
      <c r="I3512" s="211" t="str">
        <f>IFERROR(__xludf.DUMMYFUNCTION("""COMPUTED_VALUE"""),"EMPTY")</f>
        <v>EMPTY</v>
      </c>
      <c r="J3512" s="211">
        <f>IFERROR(__xludf.DUMMYFUNCTION("""COMPUTED_VALUE"""),5.0)</f>
        <v>5</v>
      </c>
      <c r="K3512" s="210" t="str">
        <f>IFERROR(__xludf.DUMMYFUNCTION("""COMPUTED_VALUE"""),"11271 11252 11103 11121 11239")</f>
        <v>11271 11252 11103 11121 11239</v>
      </c>
      <c r="L3512" s="211">
        <f>IFERROR(__xludf.DUMMYFUNCTION("""COMPUTED_VALUE"""),0.0)</f>
        <v>0</v>
      </c>
      <c r="M3512" s="211"/>
      <c r="N3512" s="211"/>
      <c r="O3512" s="211" t="b">
        <f>IFERROR(__xludf.DUMMYFUNCTION("""COMPUTED_VALUE"""),FALSE)</f>
        <v>0</v>
      </c>
    </row>
    <row r="3513">
      <c r="A3513" s="210" t="str">
        <f>IFERROR(__xludf.DUMMYFUNCTION("""COMPUTED_VALUE"""),"022622430")</f>
        <v>022622430</v>
      </c>
      <c r="B3513" s="210" t="str">
        <f>IFERROR(__xludf.DUMMYFUNCTION("""COMPUTED_VALUE"""),"022622430")</f>
        <v>022622430</v>
      </c>
      <c r="C3513" s="213">
        <f>IFERROR(__xludf.DUMMYFUNCTION("""COMPUTED_VALUE"""),46056.34649305556)</f>
        <v>46056.34649</v>
      </c>
      <c r="D3513" s="211" t="str">
        <f>IFERROR(__xludf.DUMMYFUNCTION("""COMPUTED_VALUE"""),"2814d559")</f>
        <v>2814d559</v>
      </c>
      <c r="E3513" s="211" t="str">
        <f>IFERROR(__xludf.DUMMYFUNCTION("""COMPUTED_VALUE"""),"Bpk. Gunarso")</f>
        <v>Bpk. Gunarso</v>
      </c>
      <c r="F3513" s="211" t="str">
        <f>IFERROR(__xludf.DUMMYFUNCTION("""COMPUTED_VALUE"""),"8bdbe149")</f>
        <v>8bdbe149</v>
      </c>
      <c r="G3513" s="211" t="str">
        <f>IFERROR(__xludf.DUMMYFUNCTION("""COMPUTED_VALUE"""),"Oksigen 6m3")</f>
        <v>Oksigen 6m3</v>
      </c>
      <c r="H3513" s="211" t="str">
        <f>IFERROR(__xludf.DUMMYFUNCTION("""COMPUTED_VALUE"""),"OUT")</f>
        <v>OUT</v>
      </c>
      <c r="I3513" s="211" t="str">
        <f>IFERROR(__xludf.DUMMYFUNCTION("""COMPUTED_VALUE"""),"NORMAL")</f>
        <v>NORMAL</v>
      </c>
      <c r="J3513" s="211">
        <f>IFERROR(__xludf.DUMMYFUNCTION("""COMPUTED_VALUE"""),4.0)</f>
        <v>4</v>
      </c>
      <c r="K3513" s="210" t="str">
        <f>IFERROR(__xludf.DUMMYFUNCTION("""COMPUTED_VALUE"""),"11252 11199 11103 11239")</f>
        <v>11252 11199 11103 11239</v>
      </c>
      <c r="L3513" s="211">
        <f>IFERROR(__xludf.DUMMYFUNCTION("""COMPUTED_VALUE"""),65000.0)</f>
        <v>65000</v>
      </c>
      <c r="M3513" s="211"/>
      <c r="N3513" s="211"/>
      <c r="O3513" s="211" t="b">
        <f>IFERROR(__xludf.DUMMYFUNCTION("""COMPUTED_VALUE"""),FALSE)</f>
        <v>0</v>
      </c>
    </row>
    <row r="3514">
      <c r="A3514" s="210" t="str">
        <f>IFERROR(__xludf.DUMMYFUNCTION("""COMPUTED_VALUE"""),"022672438")</f>
        <v>022672438</v>
      </c>
      <c r="B3514" s="210" t="str">
        <f>IFERROR(__xludf.DUMMYFUNCTION("""COMPUTED_VALUE"""),"022672438")</f>
        <v>022672438</v>
      </c>
      <c r="C3514" s="213">
        <f>IFERROR(__xludf.DUMMYFUNCTION("""COMPUTED_VALUE"""),46056.37829861111)</f>
        <v>46056.3783</v>
      </c>
      <c r="D3514" s="211" t="str">
        <f>IFERROR(__xludf.DUMMYFUNCTION("""COMPUTED_VALUE"""),"9828dfc5")</f>
        <v>9828dfc5</v>
      </c>
      <c r="E3514" s="211" t="str">
        <f>IFERROR(__xludf.DUMMYFUNCTION("""COMPUTED_VALUE"""),"Bpk. David")</f>
        <v>Bpk. David</v>
      </c>
      <c r="F3514" s="211" t="str">
        <f>IFERROR(__xludf.DUMMYFUNCTION("""COMPUTED_VALUE"""),"7d2764f1")</f>
        <v>7d2764f1</v>
      </c>
      <c r="G3514" s="211" t="str">
        <f>IFERROR(__xludf.DUMMYFUNCTION("""COMPUTED_VALUE"""),"Oksigen 7m3")</f>
        <v>Oksigen 7m3</v>
      </c>
      <c r="H3514" s="211" t="str">
        <f>IFERROR(__xludf.DUMMYFUNCTION("""COMPUTED_VALUE"""),"OUT")</f>
        <v>OUT</v>
      </c>
      <c r="I3514" s="211" t="str">
        <f>IFERROR(__xludf.DUMMYFUNCTION("""COMPUTED_VALUE"""),"NORMAL")</f>
        <v>NORMAL</v>
      </c>
      <c r="J3514" s="211">
        <f>IFERROR(__xludf.DUMMYFUNCTION("""COMPUTED_VALUE"""),10.0)</f>
        <v>10</v>
      </c>
      <c r="K3514" s="210" t="str">
        <f>IFERROR(__xludf.DUMMYFUNCTION("""COMPUTED_VALUE"""),"11302 11337 11145 11141 11135 11150 11155 11172 11137 11298")</f>
        <v>11302 11337 11145 11141 11135 11150 11155 11172 11137 11298</v>
      </c>
      <c r="L3514" s="211">
        <f>IFERROR(__xludf.DUMMYFUNCTION("""COMPUTED_VALUE"""),60000.0)</f>
        <v>60000</v>
      </c>
      <c r="M3514" s="211"/>
      <c r="N3514" s="211"/>
      <c r="O3514" s="211" t="b">
        <f>IFERROR(__xludf.DUMMYFUNCTION("""COMPUTED_VALUE"""),FALSE)</f>
        <v>0</v>
      </c>
    </row>
    <row r="3515">
      <c r="A3515" s="210" t="str">
        <f>IFERROR(__xludf.DUMMYFUNCTION("""COMPUTED_VALUE"""),"0226432439")</f>
        <v>0226432439</v>
      </c>
      <c r="B3515" s="210" t="str">
        <f>IFERROR(__xludf.DUMMYFUNCTION("""COMPUTED_VALUE"""),"0226432439")</f>
        <v>0226432439</v>
      </c>
      <c r="C3515" s="213">
        <f>IFERROR(__xludf.DUMMYFUNCTION("""COMPUTED_VALUE"""),46056.5471412037)</f>
        <v>46056.54714</v>
      </c>
      <c r="D3515" s="211" t="str">
        <f>IFERROR(__xludf.DUMMYFUNCTION("""COMPUTED_VALUE"""),"ec231cc9")</f>
        <v>ec231cc9</v>
      </c>
      <c r="E3515" s="211" t="str">
        <f>IFERROR(__xludf.DUMMYFUNCTION("""COMPUTED_VALUE"""),"Bpk. Kohir (Maintenance Velg)")</f>
        <v>Bpk. Kohir (Maintenance Velg)</v>
      </c>
      <c r="F3515" s="211" t="str">
        <f>IFERROR(__xludf.DUMMYFUNCTION("""COMPUTED_VALUE"""),"8bdbe149")</f>
        <v>8bdbe149</v>
      </c>
      <c r="G3515" s="211" t="str">
        <f>IFERROR(__xludf.DUMMYFUNCTION("""COMPUTED_VALUE"""),"Oksigen 6m3")</f>
        <v>Oksigen 6m3</v>
      </c>
      <c r="H3515" s="211" t="str">
        <f>IFERROR(__xludf.DUMMYFUNCTION("""COMPUTED_VALUE"""),"OUT")</f>
        <v>OUT</v>
      </c>
      <c r="I3515" s="211" t="str">
        <f>IFERROR(__xludf.DUMMYFUNCTION("""COMPUTED_VALUE"""),"NORMAL")</f>
        <v>NORMAL</v>
      </c>
      <c r="J3515" s="211">
        <f>IFERROR(__xludf.DUMMYFUNCTION("""COMPUTED_VALUE"""),5.0)</f>
        <v>5</v>
      </c>
      <c r="K3515" s="210" t="str">
        <f>IFERROR(__xludf.DUMMYFUNCTION("""COMPUTED_VALUE"""),"11241 11285 1101 11271 11327")</f>
        <v>11241 11285 1101 11271 11327</v>
      </c>
      <c r="L3515" s="211">
        <f>IFERROR(__xludf.DUMMYFUNCTION("""COMPUTED_VALUE"""),55000.0)</f>
        <v>55000</v>
      </c>
      <c r="M3515" s="211"/>
      <c r="N3515" s="211"/>
      <c r="O3515" s="211" t="b">
        <f>IFERROR(__xludf.DUMMYFUNCTION("""COMPUTED_VALUE"""),FALSE)</f>
        <v>0</v>
      </c>
    </row>
    <row r="3516">
      <c r="A3516" s="210" t="str">
        <f>IFERROR(__xludf.DUMMYFUNCTION("""COMPUTED_VALUE"""),"1261170")</f>
        <v>1261170</v>
      </c>
      <c r="B3516" s="210" t="str">
        <f>IFERROR(__xludf.DUMMYFUNCTION("""COMPUTED_VALUE"""),"1261170")</f>
        <v>1261170</v>
      </c>
      <c r="C3516" s="213">
        <f>IFERROR(__xludf.DUMMYFUNCTION("""COMPUTED_VALUE"""),46056.548726851855)</f>
        <v>46056.54873</v>
      </c>
      <c r="D3516" s="211" t="str">
        <f>IFERROR(__xludf.DUMMYFUNCTION("""COMPUTED_VALUE"""),"b2b5f2c5")</f>
        <v>b2b5f2c5</v>
      </c>
      <c r="E3516" s="211" t="str">
        <f>IFERROR(__xludf.DUMMYFUNCTION("""COMPUTED_VALUE"""),"Bengkel Las Bpk. Ari")</f>
        <v>Bengkel Las Bpk. Ari</v>
      </c>
      <c r="F3516" s="211" t="str">
        <f>IFERROR(__xludf.DUMMYFUNCTION("""COMPUTED_VALUE"""),"8bdbe149")</f>
        <v>8bdbe149</v>
      </c>
      <c r="G3516" s="211" t="str">
        <f>IFERROR(__xludf.DUMMYFUNCTION("""COMPUTED_VALUE"""),"Oksigen 6m3")</f>
        <v>Oksigen 6m3</v>
      </c>
      <c r="H3516" s="211" t="str">
        <f>IFERROR(__xludf.DUMMYFUNCTION("""COMPUTED_VALUE"""),"IN")</f>
        <v>IN</v>
      </c>
      <c r="I3516" s="211" t="str">
        <f>IFERROR(__xludf.DUMMYFUNCTION("""COMPUTED_VALUE"""),"EMPTY")</f>
        <v>EMPTY</v>
      </c>
      <c r="J3516" s="211">
        <f>IFERROR(__xludf.DUMMYFUNCTION("""COMPUTED_VALUE"""),1.0)</f>
        <v>1</v>
      </c>
      <c r="K3516" s="210" t="str">
        <f>IFERROR(__xludf.DUMMYFUNCTION("""COMPUTED_VALUE"""),"1158")</f>
        <v>1158</v>
      </c>
      <c r="L3516" s="211">
        <f>IFERROR(__xludf.DUMMYFUNCTION("""COMPUTED_VALUE"""),0.0)</f>
        <v>0</v>
      </c>
      <c r="M3516" s="211"/>
      <c r="N3516" s="211"/>
      <c r="O3516" s="211" t="b">
        <f>IFERROR(__xludf.DUMMYFUNCTION("""COMPUTED_VALUE"""),FALSE)</f>
        <v>0</v>
      </c>
    </row>
    <row r="3517">
      <c r="A3517" s="210" t="str">
        <f>IFERROR(__xludf.DUMMYFUNCTION("""COMPUTED_VALUE"""),"1261170")</f>
        <v>1261170</v>
      </c>
      <c r="B3517" s="210" t="str">
        <f>IFERROR(__xludf.DUMMYFUNCTION("""COMPUTED_VALUE"""),"1261170")</f>
        <v>1261170</v>
      </c>
      <c r="C3517" s="213">
        <f>IFERROR(__xludf.DUMMYFUNCTION("""COMPUTED_VALUE"""),46056.548726851855)</f>
        <v>46056.54873</v>
      </c>
      <c r="D3517" s="211" t="str">
        <f>IFERROR(__xludf.DUMMYFUNCTION("""COMPUTED_VALUE"""),"b2b5f2c5")</f>
        <v>b2b5f2c5</v>
      </c>
      <c r="E3517" s="211" t="str">
        <f>IFERROR(__xludf.DUMMYFUNCTION("""COMPUTED_VALUE"""),"Bengkel Las Bpk. Ari")</f>
        <v>Bengkel Las Bpk. Ari</v>
      </c>
      <c r="F3517" s="211" t="str">
        <f>IFERROR(__xludf.DUMMYFUNCTION("""COMPUTED_VALUE"""),"ef306e54")</f>
        <v>ef306e54</v>
      </c>
      <c r="G3517" s="211" t="str">
        <f>IFERROR(__xludf.DUMMYFUNCTION("""COMPUTED_VALUE"""),"Karbondioksida")</f>
        <v>Karbondioksida</v>
      </c>
      <c r="H3517" s="211" t="str">
        <f>IFERROR(__xludf.DUMMYFUNCTION("""COMPUTED_VALUE"""),"IN")</f>
        <v>IN</v>
      </c>
      <c r="I3517" s="211" t="str">
        <f>IFERROR(__xludf.DUMMYFUNCTION("""COMPUTED_VALUE"""),"EMPTY")</f>
        <v>EMPTY</v>
      </c>
      <c r="J3517" s="211">
        <f>IFERROR(__xludf.DUMMYFUNCTION("""COMPUTED_VALUE"""),1.0)</f>
        <v>1</v>
      </c>
      <c r="K3517" s="210" t="str">
        <f>IFERROR(__xludf.DUMMYFUNCTION("""COMPUTED_VALUE"""),"13030")</f>
        <v>13030</v>
      </c>
      <c r="L3517" s="211">
        <f>IFERROR(__xludf.DUMMYFUNCTION("""COMPUTED_VALUE"""),0.0)</f>
        <v>0</v>
      </c>
      <c r="M3517" s="211"/>
      <c r="N3517" s="211"/>
      <c r="O3517" s="211" t="b">
        <f>IFERROR(__xludf.DUMMYFUNCTION("""COMPUTED_VALUE"""),FALSE)</f>
        <v>0</v>
      </c>
    </row>
    <row r="3518">
      <c r="A3518" s="210" t="str">
        <f>IFERROR(__xludf.DUMMYFUNCTION("""COMPUTED_VALUE"""),"1261168")</f>
        <v>1261168</v>
      </c>
      <c r="B3518" s="210" t="str">
        <f>IFERROR(__xludf.DUMMYFUNCTION("""COMPUTED_VALUE"""),"1261168")</f>
        <v>1261168</v>
      </c>
      <c r="C3518" s="213">
        <f>IFERROR(__xludf.DUMMYFUNCTION("""COMPUTED_VALUE"""),46056.54922453704)</f>
        <v>46056.54922</v>
      </c>
      <c r="D3518" s="211" t="str">
        <f>IFERROR(__xludf.DUMMYFUNCTION("""COMPUTED_VALUE"""),"4ec68cf6")</f>
        <v>4ec68cf6</v>
      </c>
      <c r="E3518" s="211" t="str">
        <f>IFERROR(__xludf.DUMMYFUNCTION("""COMPUTED_VALUE"""),"CV Sido Mukti Karya")</f>
        <v>CV Sido Mukti Karya</v>
      </c>
      <c r="F3518" s="211" t="str">
        <f>IFERROR(__xludf.DUMMYFUNCTION("""COMPUTED_VALUE"""),"7d2764f1")</f>
        <v>7d2764f1</v>
      </c>
      <c r="G3518" s="211" t="str">
        <f>IFERROR(__xludf.DUMMYFUNCTION("""COMPUTED_VALUE"""),"Oksigen 7m3")</f>
        <v>Oksigen 7m3</v>
      </c>
      <c r="H3518" s="211" t="str">
        <f>IFERROR(__xludf.DUMMYFUNCTION("""COMPUTED_VALUE"""),"IN")</f>
        <v>IN</v>
      </c>
      <c r="I3518" s="211" t="str">
        <f>IFERROR(__xludf.DUMMYFUNCTION("""COMPUTED_VALUE"""),"EMPTY")</f>
        <v>EMPTY</v>
      </c>
      <c r="J3518" s="211">
        <f>IFERROR(__xludf.DUMMYFUNCTION("""COMPUTED_VALUE"""),1.0)</f>
        <v>1</v>
      </c>
      <c r="K3518" s="210" t="str">
        <f>IFERROR(__xludf.DUMMYFUNCTION("""COMPUTED_VALUE"""),"11162")</f>
        <v>11162</v>
      </c>
      <c r="L3518" s="211">
        <f>IFERROR(__xludf.DUMMYFUNCTION("""COMPUTED_VALUE"""),0.0)</f>
        <v>0</v>
      </c>
      <c r="M3518" s="211"/>
      <c r="N3518" s="211"/>
      <c r="O3518" s="211" t="b">
        <f>IFERROR(__xludf.DUMMYFUNCTION("""COMPUTED_VALUE"""),FALSE)</f>
        <v>0</v>
      </c>
    </row>
    <row r="3519">
      <c r="A3519" s="210" t="str">
        <f>IFERROR(__xludf.DUMMYFUNCTION("""COMPUTED_VALUE"""),"1261168")</f>
        <v>1261168</v>
      </c>
      <c r="B3519" s="210" t="str">
        <f>IFERROR(__xludf.DUMMYFUNCTION("""COMPUTED_VALUE"""),"1261168")</f>
        <v>1261168</v>
      </c>
      <c r="C3519" s="213">
        <f>IFERROR(__xludf.DUMMYFUNCTION("""COMPUTED_VALUE"""),46056.54922453704)</f>
        <v>46056.54922</v>
      </c>
      <c r="D3519" s="211" t="str">
        <f>IFERROR(__xludf.DUMMYFUNCTION("""COMPUTED_VALUE"""),"4ec68cf6")</f>
        <v>4ec68cf6</v>
      </c>
      <c r="E3519" s="211" t="str">
        <f>IFERROR(__xludf.DUMMYFUNCTION("""COMPUTED_VALUE"""),"CV Sido Mukti Karya")</f>
        <v>CV Sido Mukti Karya</v>
      </c>
      <c r="F3519" s="211" t="str">
        <f>IFERROR(__xludf.DUMMYFUNCTION("""COMPUTED_VALUE"""),"8bdbe149")</f>
        <v>8bdbe149</v>
      </c>
      <c r="G3519" s="211" t="str">
        <f>IFERROR(__xludf.DUMMYFUNCTION("""COMPUTED_VALUE"""),"Oksigen 6m3")</f>
        <v>Oksigen 6m3</v>
      </c>
      <c r="H3519" s="211" t="str">
        <f>IFERROR(__xludf.DUMMYFUNCTION("""COMPUTED_VALUE"""),"IN")</f>
        <v>IN</v>
      </c>
      <c r="I3519" s="211" t="str">
        <f>IFERROR(__xludf.DUMMYFUNCTION("""COMPUTED_VALUE"""),"EMPTY")</f>
        <v>EMPTY</v>
      </c>
      <c r="J3519" s="211">
        <f>IFERROR(__xludf.DUMMYFUNCTION("""COMPUTED_VALUE"""),1.0)</f>
        <v>1</v>
      </c>
      <c r="K3519" s="210" t="str">
        <f>IFERROR(__xludf.DUMMYFUNCTION("""COMPUTED_VALUE"""),"11123")</f>
        <v>11123</v>
      </c>
      <c r="L3519" s="211">
        <f>IFERROR(__xludf.DUMMYFUNCTION("""COMPUTED_VALUE"""),0.0)</f>
        <v>0</v>
      </c>
      <c r="M3519" s="211"/>
      <c r="N3519" s="211"/>
      <c r="O3519" s="211" t="b">
        <f>IFERROR(__xludf.DUMMYFUNCTION("""COMPUTED_VALUE"""),FALSE)</f>
        <v>0</v>
      </c>
    </row>
    <row r="3520">
      <c r="A3520" s="210" t="str">
        <f>IFERROR(__xludf.DUMMYFUNCTION("""COMPUTED_VALUE"""),"1261168")</f>
        <v>1261168</v>
      </c>
      <c r="B3520" s="210" t="str">
        <f>IFERROR(__xludf.DUMMYFUNCTION("""COMPUTED_VALUE"""),"1261168")</f>
        <v>1261168</v>
      </c>
      <c r="C3520" s="213">
        <f>IFERROR(__xludf.DUMMYFUNCTION("""COMPUTED_VALUE"""),46056.54922453704)</f>
        <v>46056.54922</v>
      </c>
      <c r="D3520" s="211" t="str">
        <f>IFERROR(__xludf.DUMMYFUNCTION("""COMPUTED_VALUE"""),"4ec68cf6")</f>
        <v>4ec68cf6</v>
      </c>
      <c r="E3520" s="211" t="str">
        <f>IFERROR(__xludf.DUMMYFUNCTION("""COMPUTED_VALUE"""),"CV Sido Mukti Karya")</f>
        <v>CV Sido Mukti Karya</v>
      </c>
      <c r="F3520" s="211" t="str">
        <f>IFERROR(__xludf.DUMMYFUNCTION("""COMPUTED_VALUE"""),"ef306e54")</f>
        <v>ef306e54</v>
      </c>
      <c r="G3520" s="211" t="str">
        <f>IFERROR(__xludf.DUMMYFUNCTION("""COMPUTED_VALUE"""),"Karbondioksida")</f>
        <v>Karbondioksida</v>
      </c>
      <c r="H3520" s="211" t="str">
        <f>IFERROR(__xludf.DUMMYFUNCTION("""COMPUTED_VALUE"""),"IN")</f>
        <v>IN</v>
      </c>
      <c r="I3520" s="211" t="str">
        <f>IFERROR(__xludf.DUMMYFUNCTION("""COMPUTED_VALUE"""),"EMPTY")</f>
        <v>EMPTY</v>
      </c>
      <c r="J3520" s="211">
        <f>IFERROR(__xludf.DUMMYFUNCTION("""COMPUTED_VALUE"""),2.0)</f>
        <v>2</v>
      </c>
      <c r="K3520" s="210" t="str">
        <f>IFERROR(__xludf.DUMMYFUNCTION("""COMPUTED_VALUE"""),"13050 13048")</f>
        <v>13050 13048</v>
      </c>
      <c r="L3520" s="211">
        <f>IFERROR(__xludf.DUMMYFUNCTION("""COMPUTED_VALUE"""),0.0)</f>
        <v>0</v>
      </c>
      <c r="M3520" s="211"/>
      <c r="N3520" s="211"/>
      <c r="O3520" s="211" t="b">
        <f>IFERROR(__xludf.DUMMYFUNCTION("""COMPUTED_VALUE"""),FALSE)</f>
        <v>0</v>
      </c>
    </row>
    <row r="3521">
      <c r="A3521" s="210" t="str">
        <f>IFERROR(__xludf.DUMMYFUNCTION("""COMPUTED_VALUE"""),"1261169")</f>
        <v>1261169</v>
      </c>
      <c r="B3521" s="210" t="str">
        <f>IFERROR(__xludf.DUMMYFUNCTION("""COMPUTED_VALUE"""),"1261169")</f>
        <v>1261169</v>
      </c>
      <c r="C3521" s="213">
        <f>IFERROR(__xludf.DUMMYFUNCTION("""COMPUTED_VALUE"""),46056.55064814815)</f>
        <v>46056.55065</v>
      </c>
      <c r="D3521" s="211" t="str">
        <f>IFERROR(__xludf.DUMMYFUNCTION("""COMPUTED_VALUE"""),"9828dfc5")</f>
        <v>9828dfc5</v>
      </c>
      <c r="E3521" s="211" t="str">
        <f>IFERROR(__xludf.DUMMYFUNCTION("""COMPUTED_VALUE"""),"Bpk. David")</f>
        <v>Bpk. David</v>
      </c>
      <c r="F3521" s="211" t="str">
        <f>IFERROR(__xludf.DUMMYFUNCTION("""COMPUTED_VALUE"""),"8bdbe149")</f>
        <v>8bdbe149</v>
      </c>
      <c r="G3521" s="211" t="str">
        <f>IFERROR(__xludf.DUMMYFUNCTION("""COMPUTED_VALUE"""),"Oksigen 6m3")</f>
        <v>Oksigen 6m3</v>
      </c>
      <c r="H3521" s="211" t="str">
        <f>IFERROR(__xludf.DUMMYFUNCTION("""COMPUTED_VALUE"""),"IN")</f>
        <v>IN</v>
      </c>
      <c r="I3521" s="211" t="str">
        <f>IFERROR(__xludf.DUMMYFUNCTION("""COMPUTED_VALUE"""),"EMPTY")</f>
        <v>EMPTY</v>
      </c>
      <c r="J3521" s="211">
        <f>IFERROR(__xludf.DUMMYFUNCTION("""COMPUTED_VALUE"""),5.0)</f>
        <v>5</v>
      </c>
      <c r="K3521" s="210" t="str">
        <f>IFERROR(__xludf.DUMMYFUNCTION("""COMPUTED_VALUE"""),"11311 11267 11248 1133 1111")</f>
        <v>11311 11267 11248 1133 1111</v>
      </c>
      <c r="L3521" s="211">
        <f>IFERROR(__xludf.DUMMYFUNCTION("""COMPUTED_VALUE"""),0.0)</f>
        <v>0</v>
      </c>
      <c r="M3521" s="211"/>
      <c r="N3521" s="211"/>
      <c r="O3521" s="211" t="b">
        <f>IFERROR(__xludf.DUMMYFUNCTION("""COMPUTED_VALUE"""),FALSE)</f>
        <v>0</v>
      </c>
    </row>
    <row r="3522">
      <c r="A3522" s="210" t="str">
        <f>IFERROR(__xludf.DUMMYFUNCTION("""COMPUTED_VALUE"""),"1261168")</f>
        <v>1261168</v>
      </c>
      <c r="B3522" s="210" t="str">
        <f>IFERROR(__xludf.DUMMYFUNCTION("""COMPUTED_VALUE"""),"1261168")</f>
        <v>1261168</v>
      </c>
      <c r="C3522" s="213">
        <f>IFERROR(__xludf.DUMMYFUNCTION("""COMPUTED_VALUE"""),46056.54922453704)</f>
        <v>46056.54922</v>
      </c>
      <c r="D3522" s="211" t="str">
        <f>IFERROR(__xludf.DUMMYFUNCTION("""COMPUTED_VALUE"""),"4ec68cf6")</f>
        <v>4ec68cf6</v>
      </c>
      <c r="E3522" s="211" t="str">
        <f>IFERROR(__xludf.DUMMYFUNCTION("""COMPUTED_VALUE"""),"CV Sido Mukti Karya")</f>
        <v>CV Sido Mukti Karya</v>
      </c>
      <c r="F3522" s="211" t="str">
        <f>IFERROR(__xludf.DUMMYFUNCTION("""COMPUTED_VALUE"""),"ef306e54")</f>
        <v>ef306e54</v>
      </c>
      <c r="G3522" s="211" t="str">
        <f>IFERROR(__xludf.DUMMYFUNCTION("""COMPUTED_VALUE"""),"Karbondioksida")</f>
        <v>Karbondioksida</v>
      </c>
      <c r="H3522" s="211" t="str">
        <f>IFERROR(__xludf.DUMMYFUNCTION("""COMPUTED_VALUE"""),"IN")</f>
        <v>IN</v>
      </c>
      <c r="I3522" s="211" t="str">
        <f>IFERROR(__xludf.DUMMYFUNCTION("""COMPUTED_VALUE"""),"EMPTY")</f>
        <v>EMPTY</v>
      </c>
      <c r="J3522" s="211">
        <f>IFERROR(__xludf.DUMMYFUNCTION("""COMPUTED_VALUE"""),1.0)</f>
        <v>1</v>
      </c>
      <c r="K3522" s="210" t="str">
        <f>IFERROR(__xludf.DUMMYFUNCTION("""COMPUTED_VALUE"""),"13057")</f>
        <v>13057</v>
      </c>
      <c r="L3522" s="211">
        <f>IFERROR(__xludf.DUMMYFUNCTION("""COMPUTED_VALUE"""),0.0)</f>
        <v>0</v>
      </c>
      <c r="M3522" s="211"/>
      <c r="N3522" s="211"/>
      <c r="O3522" s="211" t="b">
        <f>IFERROR(__xludf.DUMMYFUNCTION("""COMPUTED_VALUE"""),FALSE)</f>
        <v>0</v>
      </c>
    </row>
    <row r="3523">
      <c r="A3523" s="210" t="str">
        <f>IFERROR(__xludf.DUMMYFUNCTION("""COMPUTED_VALUE"""),"1261191")</f>
        <v>1261191</v>
      </c>
      <c r="B3523" s="210" t="str">
        <f>IFERROR(__xludf.DUMMYFUNCTION("""COMPUTED_VALUE"""),"1261191")</f>
        <v>1261191</v>
      </c>
      <c r="C3523" s="213">
        <f>IFERROR(__xludf.DUMMYFUNCTION("""COMPUTED_VALUE"""),46056.58399305555)</f>
        <v>46056.58399</v>
      </c>
      <c r="D3523" s="211" t="str">
        <f>IFERROR(__xludf.DUMMYFUNCTION("""COMPUTED_VALUE"""),"ec231cc9")</f>
        <v>ec231cc9</v>
      </c>
      <c r="E3523" s="211" t="str">
        <f>IFERROR(__xludf.DUMMYFUNCTION("""COMPUTED_VALUE"""),"Bpk. Kohir (Maintenance Velg)")</f>
        <v>Bpk. Kohir (Maintenance Velg)</v>
      </c>
      <c r="F3523" s="211" t="str">
        <f>IFERROR(__xludf.DUMMYFUNCTION("""COMPUTED_VALUE"""),"8bdbe149")</f>
        <v>8bdbe149</v>
      </c>
      <c r="G3523" s="211" t="str">
        <f>IFERROR(__xludf.DUMMYFUNCTION("""COMPUTED_VALUE"""),"Oksigen 6m3")</f>
        <v>Oksigen 6m3</v>
      </c>
      <c r="H3523" s="211" t="str">
        <f>IFERROR(__xludf.DUMMYFUNCTION("""COMPUTED_VALUE"""),"IN")</f>
        <v>IN</v>
      </c>
      <c r="I3523" s="211" t="str">
        <f>IFERROR(__xludf.DUMMYFUNCTION("""COMPUTED_VALUE"""),"EMPTY")</f>
        <v>EMPTY</v>
      </c>
      <c r="J3523" s="211">
        <f>IFERROR(__xludf.DUMMYFUNCTION("""COMPUTED_VALUE"""),7.0)</f>
        <v>7</v>
      </c>
      <c r="K3523" s="210" t="str">
        <f>IFERROR(__xludf.DUMMYFUNCTION("""COMPUTED_VALUE"""),"1186 11310 1124 11316 11279 1176 1108")</f>
        <v>1186 11310 1124 11316 11279 1176 1108</v>
      </c>
      <c r="L3523" s="211">
        <f>IFERROR(__xludf.DUMMYFUNCTION("""COMPUTED_VALUE"""),0.0)</f>
        <v>0</v>
      </c>
      <c r="M3523" s="211"/>
      <c r="N3523" s="211"/>
      <c r="O3523" s="211" t="b">
        <f>IFERROR(__xludf.DUMMYFUNCTION("""COMPUTED_VALUE"""),FALSE)</f>
        <v>0</v>
      </c>
    </row>
    <row r="3524">
      <c r="A3524" s="210" t="str">
        <f>IFERROR(__xludf.DUMMYFUNCTION("""COMPUTED_VALUE"""),"1261191")</f>
        <v>1261191</v>
      </c>
      <c r="B3524" s="210" t="str">
        <f>IFERROR(__xludf.DUMMYFUNCTION("""COMPUTED_VALUE"""),"1261191")</f>
        <v>1261191</v>
      </c>
      <c r="C3524" s="213">
        <f>IFERROR(__xludf.DUMMYFUNCTION("""COMPUTED_VALUE"""),46056.58399305555)</f>
        <v>46056.58399</v>
      </c>
      <c r="D3524" s="211" t="str">
        <f>IFERROR(__xludf.DUMMYFUNCTION("""COMPUTED_VALUE"""),"ec231cc9")</f>
        <v>ec231cc9</v>
      </c>
      <c r="E3524" s="211" t="str">
        <f>IFERROR(__xludf.DUMMYFUNCTION("""COMPUTED_VALUE"""),"Bpk. Kohir (Maintenance Velg)")</f>
        <v>Bpk. Kohir (Maintenance Velg)</v>
      </c>
      <c r="F3524" s="211" t="str">
        <f>IFERROR(__xludf.DUMMYFUNCTION("""COMPUTED_VALUE"""),"ef306e54")</f>
        <v>ef306e54</v>
      </c>
      <c r="G3524" s="211" t="str">
        <f>IFERROR(__xludf.DUMMYFUNCTION("""COMPUTED_VALUE"""),"Karbondioksida")</f>
        <v>Karbondioksida</v>
      </c>
      <c r="H3524" s="211" t="str">
        <f>IFERROR(__xludf.DUMMYFUNCTION("""COMPUTED_VALUE"""),"IN")</f>
        <v>IN</v>
      </c>
      <c r="I3524" s="211" t="str">
        <f>IFERROR(__xludf.DUMMYFUNCTION("""COMPUTED_VALUE"""),"EMPTY")</f>
        <v>EMPTY</v>
      </c>
      <c r="J3524" s="211">
        <f>IFERROR(__xludf.DUMMYFUNCTION("""COMPUTED_VALUE"""),1.0)</f>
        <v>1</v>
      </c>
      <c r="K3524" s="210" t="str">
        <f>IFERROR(__xludf.DUMMYFUNCTION("""COMPUTED_VALUE"""),"13006")</f>
        <v>13006</v>
      </c>
      <c r="L3524" s="211">
        <f>IFERROR(__xludf.DUMMYFUNCTION("""COMPUTED_VALUE"""),0.0)</f>
        <v>0</v>
      </c>
      <c r="M3524" s="211"/>
      <c r="N3524" s="211"/>
      <c r="O3524" s="211" t="b">
        <f>IFERROR(__xludf.DUMMYFUNCTION("""COMPUTED_VALUE"""),FALSE)</f>
        <v>0</v>
      </c>
    </row>
    <row r="3525">
      <c r="A3525" s="210" t="str">
        <f>IFERROR(__xludf.DUMMYFUNCTION("""COMPUTED_VALUE"""),"1261183")</f>
        <v>1261183</v>
      </c>
      <c r="B3525" s="210" t="str">
        <f>IFERROR(__xludf.DUMMYFUNCTION("""COMPUTED_VALUE"""),"1261183")</f>
        <v>1261183</v>
      </c>
      <c r="C3525" s="213">
        <f>IFERROR(__xludf.DUMMYFUNCTION("""COMPUTED_VALUE"""),46056.59986111111)</f>
        <v>46056.59986</v>
      </c>
      <c r="D3525" s="211" t="str">
        <f>IFERROR(__xludf.DUMMYFUNCTION("""COMPUTED_VALUE"""),"03ff52db")</f>
        <v>03ff52db</v>
      </c>
      <c r="E3525" s="211" t="str">
        <f>IFERROR(__xludf.DUMMYFUNCTION("""COMPUTED_VALUE"""),"Aneka Teknik Logam")</f>
        <v>Aneka Teknik Logam</v>
      </c>
      <c r="F3525" s="211" t="str">
        <f>IFERROR(__xludf.DUMMYFUNCTION("""COMPUTED_VALUE"""),"8bdbe149")</f>
        <v>8bdbe149</v>
      </c>
      <c r="G3525" s="211" t="str">
        <f>IFERROR(__xludf.DUMMYFUNCTION("""COMPUTED_VALUE"""),"Oksigen 6m3")</f>
        <v>Oksigen 6m3</v>
      </c>
      <c r="H3525" s="211" t="str">
        <f>IFERROR(__xludf.DUMMYFUNCTION("""COMPUTED_VALUE"""),"IN")</f>
        <v>IN</v>
      </c>
      <c r="I3525" s="211" t="str">
        <f>IFERROR(__xludf.DUMMYFUNCTION("""COMPUTED_VALUE"""),"EMPTY")</f>
        <v>EMPTY</v>
      </c>
      <c r="J3525" s="211">
        <f>IFERROR(__xludf.DUMMYFUNCTION("""COMPUTED_VALUE"""),1.0)</f>
        <v>1</v>
      </c>
      <c r="K3525" s="210" t="str">
        <f>IFERROR(__xludf.DUMMYFUNCTION("""COMPUTED_VALUE"""),"1116")</f>
        <v>1116</v>
      </c>
      <c r="L3525" s="211">
        <f>IFERROR(__xludf.DUMMYFUNCTION("""COMPUTED_VALUE"""),0.0)</f>
        <v>0</v>
      </c>
      <c r="M3525" s="211"/>
      <c r="N3525" s="211"/>
      <c r="O3525" s="211" t="b">
        <f>IFERROR(__xludf.DUMMYFUNCTION("""COMPUTED_VALUE"""),FALSE)</f>
        <v>0</v>
      </c>
    </row>
    <row r="3526">
      <c r="A3526" s="210" t="str">
        <f>IFERROR(__xludf.DUMMYFUNCTION("""COMPUTED_VALUE"""),"1261183")</f>
        <v>1261183</v>
      </c>
      <c r="B3526" s="210" t="str">
        <f>IFERROR(__xludf.DUMMYFUNCTION("""COMPUTED_VALUE"""),"1261183")</f>
        <v>1261183</v>
      </c>
      <c r="C3526" s="213">
        <f>IFERROR(__xludf.DUMMYFUNCTION("""COMPUTED_VALUE"""),46056.59986111111)</f>
        <v>46056.59986</v>
      </c>
      <c r="D3526" s="211" t="str">
        <f>IFERROR(__xludf.DUMMYFUNCTION("""COMPUTED_VALUE"""),"03ff52db")</f>
        <v>03ff52db</v>
      </c>
      <c r="E3526" s="211" t="str">
        <f>IFERROR(__xludf.DUMMYFUNCTION("""COMPUTED_VALUE"""),"Aneka Teknik Logam")</f>
        <v>Aneka Teknik Logam</v>
      </c>
      <c r="F3526" s="211" t="str">
        <f>IFERROR(__xludf.DUMMYFUNCTION("""COMPUTED_VALUE"""),"f6aab7a9")</f>
        <v>f6aab7a9</v>
      </c>
      <c r="G3526" s="211" t="str">
        <f>IFERROR(__xludf.DUMMYFUNCTION("""COMPUTED_VALUE"""),"Oksigen 6m3 MR")</f>
        <v>Oksigen 6m3 MR</v>
      </c>
      <c r="H3526" s="211" t="str">
        <f>IFERROR(__xludf.DUMMYFUNCTION("""COMPUTED_VALUE"""),"IN")</f>
        <v>IN</v>
      </c>
      <c r="I3526" s="211" t="str">
        <f>IFERROR(__xludf.DUMMYFUNCTION("""COMPUTED_VALUE"""),"EMPTY")</f>
        <v>EMPTY</v>
      </c>
      <c r="J3526" s="211">
        <f>IFERROR(__xludf.DUMMYFUNCTION("""COMPUTED_VALUE"""),1.0)</f>
        <v>1</v>
      </c>
      <c r="K3526" s="211"/>
      <c r="L3526" s="211">
        <f>IFERROR(__xludf.DUMMYFUNCTION("""COMPUTED_VALUE"""),0.0)</f>
        <v>0</v>
      </c>
      <c r="M3526" s="211"/>
      <c r="N3526" s="211"/>
      <c r="O3526" s="211" t="b">
        <f>IFERROR(__xludf.DUMMYFUNCTION("""COMPUTED_VALUE"""),FALSE)</f>
        <v>0</v>
      </c>
    </row>
    <row r="3527">
      <c r="A3527" s="210" t="str">
        <f>IFERROR(__xludf.DUMMYFUNCTION("""COMPUTED_VALUE"""),"1261185")</f>
        <v>1261185</v>
      </c>
      <c r="B3527" s="210" t="str">
        <f>IFERROR(__xludf.DUMMYFUNCTION("""COMPUTED_VALUE"""),"1261185")</f>
        <v>1261185</v>
      </c>
      <c r="C3527" s="213">
        <f>IFERROR(__xludf.DUMMYFUNCTION("""COMPUTED_VALUE"""),46056.60028935185)</f>
        <v>46056.60029</v>
      </c>
      <c r="D3527" s="211" t="str">
        <f>IFERROR(__xludf.DUMMYFUNCTION("""COMPUTED_VALUE"""),"98c84274")</f>
        <v>98c84274</v>
      </c>
      <c r="E3527" s="211" t="str">
        <f>IFERROR(__xludf.DUMMYFUNCTION("""COMPUTED_VALUE"""),"Bengkel SBM (Pak Hari)")</f>
        <v>Bengkel SBM (Pak Hari)</v>
      </c>
      <c r="F3527" s="211" t="str">
        <f>IFERROR(__xludf.DUMMYFUNCTION("""COMPUTED_VALUE"""),"8bdbe149")</f>
        <v>8bdbe149</v>
      </c>
      <c r="G3527" s="211" t="str">
        <f>IFERROR(__xludf.DUMMYFUNCTION("""COMPUTED_VALUE"""),"Oksigen 6m3")</f>
        <v>Oksigen 6m3</v>
      </c>
      <c r="H3527" s="211" t="str">
        <f>IFERROR(__xludf.DUMMYFUNCTION("""COMPUTED_VALUE"""),"IN")</f>
        <v>IN</v>
      </c>
      <c r="I3527" s="211" t="str">
        <f>IFERROR(__xludf.DUMMYFUNCTION("""COMPUTED_VALUE"""),"EMPTY")</f>
        <v>EMPTY</v>
      </c>
      <c r="J3527" s="211">
        <f>IFERROR(__xludf.DUMMYFUNCTION("""COMPUTED_VALUE"""),5.0)</f>
        <v>5</v>
      </c>
      <c r="K3527" s="210" t="str">
        <f>IFERROR(__xludf.DUMMYFUNCTION("""COMPUTED_VALUE"""),"11183 11326 11296 11281 1147")</f>
        <v>11183 11326 11296 11281 1147</v>
      </c>
      <c r="L3527" s="211">
        <f>IFERROR(__xludf.DUMMYFUNCTION("""COMPUTED_VALUE"""),0.0)</f>
        <v>0</v>
      </c>
      <c r="M3527" s="211"/>
      <c r="N3527" s="211"/>
      <c r="O3527" s="211" t="b">
        <f>IFERROR(__xludf.DUMMYFUNCTION("""COMPUTED_VALUE"""),FALSE)</f>
        <v>0</v>
      </c>
    </row>
    <row r="3528">
      <c r="A3528" s="210" t="str">
        <f>IFERROR(__xludf.DUMMYFUNCTION("""COMPUTED_VALUE"""),"1261185")</f>
        <v>1261185</v>
      </c>
      <c r="B3528" s="210" t="str">
        <f>IFERROR(__xludf.DUMMYFUNCTION("""COMPUTED_VALUE"""),"1261185")</f>
        <v>1261185</v>
      </c>
      <c r="C3528" s="213">
        <f>IFERROR(__xludf.DUMMYFUNCTION("""COMPUTED_VALUE"""),46056.60028935185)</f>
        <v>46056.60029</v>
      </c>
      <c r="D3528" s="211" t="str">
        <f>IFERROR(__xludf.DUMMYFUNCTION("""COMPUTED_VALUE"""),"98c84274")</f>
        <v>98c84274</v>
      </c>
      <c r="E3528" s="211" t="str">
        <f>IFERROR(__xludf.DUMMYFUNCTION("""COMPUTED_VALUE"""),"Bengkel SBM (Pak Hari)")</f>
        <v>Bengkel SBM (Pak Hari)</v>
      </c>
      <c r="F3528" s="211" t="str">
        <f>IFERROR(__xludf.DUMMYFUNCTION("""COMPUTED_VALUE"""),"ef306e54")</f>
        <v>ef306e54</v>
      </c>
      <c r="G3528" s="211" t="str">
        <f>IFERROR(__xludf.DUMMYFUNCTION("""COMPUTED_VALUE"""),"Karbondioksida")</f>
        <v>Karbondioksida</v>
      </c>
      <c r="H3528" s="211" t="str">
        <f>IFERROR(__xludf.DUMMYFUNCTION("""COMPUTED_VALUE"""),"IN")</f>
        <v>IN</v>
      </c>
      <c r="I3528" s="211" t="str">
        <f>IFERROR(__xludf.DUMMYFUNCTION("""COMPUTED_VALUE"""),"EMPTY")</f>
        <v>EMPTY</v>
      </c>
      <c r="J3528" s="211">
        <f>IFERROR(__xludf.DUMMYFUNCTION("""COMPUTED_VALUE"""),3.0)</f>
        <v>3</v>
      </c>
      <c r="K3528" s="210" t="str">
        <f>IFERROR(__xludf.DUMMYFUNCTION("""COMPUTED_VALUE"""),"13010 13042 13049")</f>
        <v>13010 13042 13049</v>
      </c>
      <c r="L3528" s="211">
        <f>IFERROR(__xludf.DUMMYFUNCTION("""COMPUTED_VALUE"""),0.0)</f>
        <v>0</v>
      </c>
      <c r="M3528" s="211"/>
      <c r="N3528" s="211"/>
      <c r="O3528" s="211" t="b">
        <f>IFERROR(__xludf.DUMMYFUNCTION("""COMPUTED_VALUE"""),FALSE)</f>
        <v>0</v>
      </c>
    </row>
    <row r="3529">
      <c r="A3529" s="210" t="str">
        <f>IFERROR(__xludf.DUMMYFUNCTION("""COMPUTED_VALUE"""),"1261185")</f>
        <v>1261185</v>
      </c>
      <c r="B3529" s="210" t="str">
        <f>IFERROR(__xludf.DUMMYFUNCTION("""COMPUTED_VALUE"""),"1261185")</f>
        <v>1261185</v>
      </c>
      <c r="C3529" s="213">
        <f>IFERROR(__xludf.DUMMYFUNCTION("""COMPUTED_VALUE"""),46056.60028935185)</f>
        <v>46056.60029</v>
      </c>
      <c r="D3529" s="211" t="str">
        <f>IFERROR(__xludf.DUMMYFUNCTION("""COMPUTED_VALUE"""),"98c84274")</f>
        <v>98c84274</v>
      </c>
      <c r="E3529" s="211" t="str">
        <f>IFERROR(__xludf.DUMMYFUNCTION("""COMPUTED_VALUE"""),"Bengkel SBM (Pak Hari)")</f>
        <v>Bengkel SBM (Pak Hari)</v>
      </c>
      <c r="F3529" s="211" t="str">
        <f>IFERROR(__xludf.DUMMYFUNCTION("""COMPUTED_VALUE"""),"be525f3b")</f>
        <v>be525f3b</v>
      </c>
      <c r="G3529" s="211" t="str">
        <f>IFERROR(__xludf.DUMMYFUNCTION("""COMPUTED_VALUE"""),"LPG 12kg")</f>
        <v>LPG 12kg</v>
      </c>
      <c r="H3529" s="211" t="str">
        <f>IFERROR(__xludf.DUMMYFUNCTION("""COMPUTED_VALUE"""),"IN")</f>
        <v>IN</v>
      </c>
      <c r="I3529" s="211" t="str">
        <f>IFERROR(__xludf.DUMMYFUNCTION("""COMPUTED_VALUE"""),"EMPTY")</f>
        <v>EMPTY</v>
      </c>
      <c r="J3529" s="211">
        <f>IFERROR(__xludf.DUMMYFUNCTION("""COMPUTED_VALUE"""),1.0)</f>
        <v>1</v>
      </c>
      <c r="K3529" s="210" t="str">
        <f>IFERROR(__xludf.DUMMYFUNCTION("""COMPUTED_VALUE"""),"L001")</f>
        <v>L001</v>
      </c>
      <c r="L3529" s="211">
        <f>IFERROR(__xludf.DUMMYFUNCTION("""COMPUTED_VALUE"""),0.0)</f>
        <v>0</v>
      </c>
      <c r="M3529" s="211"/>
      <c r="N3529" s="211"/>
      <c r="O3529" s="211" t="b">
        <f>IFERROR(__xludf.DUMMYFUNCTION("""COMPUTED_VALUE"""),FALSE)</f>
        <v>0</v>
      </c>
    </row>
    <row r="3530">
      <c r="A3530" s="210" t="str">
        <f>IFERROR(__xludf.DUMMYFUNCTION("""COMPUTED_VALUE"""),"022652440")</f>
        <v>022652440</v>
      </c>
      <c r="B3530" s="210" t="str">
        <f>IFERROR(__xludf.DUMMYFUNCTION("""COMPUTED_VALUE"""),"022652440")</f>
        <v>022652440</v>
      </c>
      <c r="C3530" s="213">
        <f>IFERROR(__xludf.DUMMYFUNCTION("""COMPUTED_VALUE"""),46056.60501157407)</f>
        <v>46056.60501</v>
      </c>
      <c r="D3530" s="211" t="str">
        <f>IFERROR(__xludf.DUMMYFUNCTION("""COMPUTED_VALUE"""),"98c84274")</f>
        <v>98c84274</v>
      </c>
      <c r="E3530" s="211" t="str">
        <f>IFERROR(__xludf.DUMMYFUNCTION("""COMPUTED_VALUE"""),"Bengkel SBM (Pak Hari)")</f>
        <v>Bengkel SBM (Pak Hari)</v>
      </c>
      <c r="F3530" s="211" t="str">
        <f>IFERROR(__xludf.DUMMYFUNCTION("""COMPUTED_VALUE"""),"8bdbe149")</f>
        <v>8bdbe149</v>
      </c>
      <c r="G3530" s="211" t="str">
        <f>IFERROR(__xludf.DUMMYFUNCTION("""COMPUTED_VALUE"""),"Oksigen 6m3")</f>
        <v>Oksigen 6m3</v>
      </c>
      <c r="H3530" s="211" t="str">
        <f>IFERROR(__xludf.DUMMYFUNCTION("""COMPUTED_VALUE"""),"OUT")</f>
        <v>OUT</v>
      </c>
      <c r="I3530" s="211" t="str">
        <f>IFERROR(__xludf.DUMMYFUNCTION("""COMPUTED_VALUE"""),"NORMAL")</f>
        <v>NORMAL</v>
      </c>
      <c r="J3530" s="211">
        <f>IFERROR(__xludf.DUMMYFUNCTION("""COMPUTED_VALUE"""),8.0)</f>
        <v>8</v>
      </c>
      <c r="K3530" s="210" t="str">
        <f>IFERROR(__xludf.DUMMYFUNCTION("""COMPUTED_VALUE"""),"11296 1155 11107 11183 11326 11126 1150 1197")</f>
        <v>11296 1155 11107 11183 11326 11126 1150 1197</v>
      </c>
      <c r="L3530" s="211">
        <f>IFERROR(__xludf.DUMMYFUNCTION("""COMPUTED_VALUE"""),60000.0)</f>
        <v>60000</v>
      </c>
      <c r="M3530" s="211"/>
      <c r="N3530" s="211"/>
      <c r="O3530" s="211" t="b">
        <f>IFERROR(__xludf.DUMMYFUNCTION("""COMPUTED_VALUE"""),FALSE)</f>
        <v>0</v>
      </c>
    </row>
    <row r="3531">
      <c r="A3531" s="210" t="str">
        <f>IFERROR(__xludf.DUMMYFUNCTION("""COMPUTED_VALUE"""),"022652440")</f>
        <v>022652440</v>
      </c>
      <c r="B3531" s="210" t="str">
        <f>IFERROR(__xludf.DUMMYFUNCTION("""COMPUTED_VALUE"""),"022652440")</f>
        <v>022652440</v>
      </c>
      <c r="C3531" s="213">
        <f>IFERROR(__xludf.DUMMYFUNCTION("""COMPUTED_VALUE"""),46056.60501157407)</f>
        <v>46056.60501</v>
      </c>
      <c r="D3531" s="211" t="str">
        <f>IFERROR(__xludf.DUMMYFUNCTION("""COMPUTED_VALUE"""),"98c84274")</f>
        <v>98c84274</v>
      </c>
      <c r="E3531" s="211" t="str">
        <f>IFERROR(__xludf.DUMMYFUNCTION("""COMPUTED_VALUE"""),"Bengkel SBM (Pak Hari)")</f>
        <v>Bengkel SBM (Pak Hari)</v>
      </c>
      <c r="F3531" s="211" t="str">
        <f>IFERROR(__xludf.DUMMYFUNCTION("""COMPUTED_VALUE"""),"ef306e54")</f>
        <v>ef306e54</v>
      </c>
      <c r="G3531" s="211" t="str">
        <f>IFERROR(__xludf.DUMMYFUNCTION("""COMPUTED_VALUE"""),"Karbondioksida")</f>
        <v>Karbondioksida</v>
      </c>
      <c r="H3531" s="211" t="str">
        <f>IFERROR(__xludf.DUMMYFUNCTION("""COMPUTED_VALUE"""),"OUT")</f>
        <v>OUT</v>
      </c>
      <c r="I3531" s="211" t="str">
        <f>IFERROR(__xludf.DUMMYFUNCTION("""COMPUTED_VALUE"""),"NORMAL")</f>
        <v>NORMAL</v>
      </c>
      <c r="J3531" s="211">
        <f>IFERROR(__xludf.DUMMYFUNCTION("""COMPUTED_VALUE"""),3.0)</f>
        <v>3</v>
      </c>
      <c r="K3531" s="210" t="str">
        <f>IFERROR(__xludf.DUMMYFUNCTION("""COMPUTED_VALUE"""),"13027 13028 13064")</f>
        <v>13027 13028 13064</v>
      </c>
      <c r="L3531" s="211">
        <f>IFERROR(__xludf.DUMMYFUNCTION("""COMPUTED_VALUE"""),190000.0)</f>
        <v>190000</v>
      </c>
      <c r="M3531" s="211"/>
      <c r="N3531" s="211"/>
      <c r="O3531" s="211" t="b">
        <f>IFERROR(__xludf.DUMMYFUNCTION("""COMPUTED_VALUE"""),FALSE)</f>
        <v>0</v>
      </c>
    </row>
    <row r="3532">
      <c r="A3532" s="210" t="str">
        <f>IFERROR(__xludf.DUMMYFUNCTION("""COMPUTED_VALUE"""),"022652440")</f>
        <v>022652440</v>
      </c>
      <c r="B3532" s="210" t="str">
        <f>IFERROR(__xludf.DUMMYFUNCTION("""COMPUTED_VALUE"""),"022652440")</f>
        <v>022652440</v>
      </c>
      <c r="C3532" s="213">
        <f>IFERROR(__xludf.DUMMYFUNCTION("""COMPUTED_VALUE"""),46056.60501157407)</f>
        <v>46056.60501</v>
      </c>
      <c r="D3532" s="211" t="str">
        <f>IFERROR(__xludf.DUMMYFUNCTION("""COMPUTED_VALUE"""),"98c84274")</f>
        <v>98c84274</v>
      </c>
      <c r="E3532" s="211" t="str">
        <f>IFERROR(__xludf.DUMMYFUNCTION("""COMPUTED_VALUE"""),"Bengkel SBM (Pak Hari)")</f>
        <v>Bengkel SBM (Pak Hari)</v>
      </c>
      <c r="F3532" s="211" t="str">
        <f>IFERROR(__xludf.DUMMYFUNCTION("""COMPUTED_VALUE"""),"be525f3b")</f>
        <v>be525f3b</v>
      </c>
      <c r="G3532" s="211" t="str">
        <f>IFERROR(__xludf.DUMMYFUNCTION("""COMPUTED_VALUE"""),"LPG 12kg")</f>
        <v>LPG 12kg</v>
      </c>
      <c r="H3532" s="211" t="str">
        <f>IFERROR(__xludf.DUMMYFUNCTION("""COMPUTED_VALUE"""),"OUT")</f>
        <v>OUT</v>
      </c>
      <c r="I3532" s="211" t="str">
        <f>IFERROR(__xludf.DUMMYFUNCTION("""COMPUTED_VALUE"""),"NORMAL")</f>
        <v>NORMAL</v>
      </c>
      <c r="J3532" s="211">
        <f>IFERROR(__xludf.DUMMYFUNCTION("""COMPUTED_VALUE"""),1.0)</f>
        <v>1</v>
      </c>
      <c r="K3532" s="210" t="str">
        <f>IFERROR(__xludf.DUMMYFUNCTION("""COMPUTED_VALUE"""),"L001")</f>
        <v>L001</v>
      </c>
      <c r="L3532" s="211">
        <f>IFERROR(__xludf.DUMMYFUNCTION("""COMPUTED_VALUE"""),205000.0)</f>
        <v>205000</v>
      </c>
      <c r="M3532" s="211"/>
      <c r="N3532" s="211"/>
      <c r="O3532" s="211" t="b">
        <f>IFERROR(__xludf.DUMMYFUNCTION("""COMPUTED_VALUE"""),FALSE)</f>
        <v>0</v>
      </c>
    </row>
    <row r="3533">
      <c r="A3533" s="210" t="str">
        <f>IFERROR(__xludf.DUMMYFUNCTION("""COMPUTED_VALUE"""),"022682447")</f>
        <v>022682447</v>
      </c>
      <c r="B3533" s="210" t="str">
        <f>IFERROR(__xludf.DUMMYFUNCTION("""COMPUTED_VALUE"""),"022682447")</f>
        <v>022682447</v>
      </c>
      <c r="C3533" s="213">
        <f>IFERROR(__xludf.DUMMYFUNCTION("""COMPUTED_VALUE"""),46056.60789351852)</f>
        <v>46056.60789</v>
      </c>
      <c r="D3533" s="211" t="str">
        <f>IFERROR(__xludf.DUMMYFUNCTION("""COMPUTED_VALUE"""),"03ff52db")</f>
        <v>03ff52db</v>
      </c>
      <c r="E3533" s="211" t="str">
        <f>IFERROR(__xludf.DUMMYFUNCTION("""COMPUTED_VALUE"""),"Aneka Teknik Logam")</f>
        <v>Aneka Teknik Logam</v>
      </c>
      <c r="F3533" s="211" t="str">
        <f>IFERROR(__xludf.DUMMYFUNCTION("""COMPUTED_VALUE"""),"f6aab7a9")</f>
        <v>f6aab7a9</v>
      </c>
      <c r="G3533" s="211" t="str">
        <f>IFERROR(__xludf.DUMMYFUNCTION("""COMPUTED_VALUE"""),"Oksigen 6m3 MR")</f>
        <v>Oksigen 6m3 MR</v>
      </c>
      <c r="H3533" s="211" t="str">
        <f>IFERROR(__xludf.DUMMYFUNCTION("""COMPUTED_VALUE"""),"OUT")</f>
        <v>OUT</v>
      </c>
      <c r="I3533" s="211" t="str">
        <f>IFERROR(__xludf.DUMMYFUNCTION("""COMPUTED_VALUE"""),"NORMAL")</f>
        <v>NORMAL</v>
      </c>
      <c r="J3533" s="211">
        <f>IFERROR(__xludf.DUMMYFUNCTION("""COMPUTED_VALUE"""),1.0)</f>
        <v>1</v>
      </c>
      <c r="K3533" s="211"/>
      <c r="L3533" s="211">
        <f>IFERROR(__xludf.DUMMYFUNCTION("""COMPUTED_VALUE"""),55000.0)</f>
        <v>55000</v>
      </c>
      <c r="M3533" s="211"/>
      <c r="N3533" s="211"/>
      <c r="O3533" s="211" t="b">
        <f>IFERROR(__xludf.DUMMYFUNCTION("""COMPUTED_VALUE"""),FALSE)</f>
        <v>0</v>
      </c>
    </row>
    <row r="3534">
      <c r="A3534" s="210" t="str">
        <f>IFERROR(__xludf.DUMMYFUNCTION("""COMPUTED_VALUE"""),"022622448")</f>
        <v>022622448</v>
      </c>
      <c r="B3534" s="210" t="str">
        <f>IFERROR(__xludf.DUMMYFUNCTION("""COMPUTED_VALUE"""),"022622448")</f>
        <v>022622448</v>
      </c>
      <c r="C3534" s="213">
        <f>IFERROR(__xludf.DUMMYFUNCTION("""COMPUTED_VALUE"""),46056.77858796297)</f>
        <v>46056.77859</v>
      </c>
      <c r="D3534" s="211" t="str">
        <f>IFERROR(__xludf.DUMMYFUNCTION("""COMPUTED_VALUE"""),"cac4449f")</f>
        <v>cac4449f</v>
      </c>
      <c r="E3534" s="211" t="str">
        <f>IFERROR(__xludf.DUMMYFUNCTION("""COMPUTED_VALUE"""),"Bpk. Agus Yahya")</f>
        <v>Bpk. Agus Yahya</v>
      </c>
      <c r="F3534" s="211" t="str">
        <f>IFERROR(__xludf.DUMMYFUNCTION("""COMPUTED_VALUE"""),"f3208f5d")</f>
        <v>f3208f5d</v>
      </c>
      <c r="G3534" s="211" t="str">
        <f>IFERROR(__xludf.DUMMYFUNCTION("""COMPUTED_VALUE"""),"Tabung 6m3 + O2")</f>
        <v>Tabung 6m3 + O2</v>
      </c>
      <c r="H3534" s="211" t="str">
        <f>IFERROR(__xludf.DUMMYFUNCTION("""COMPUTED_VALUE"""),"OUT")</f>
        <v>OUT</v>
      </c>
      <c r="I3534" s="211" t="str">
        <f>IFERROR(__xludf.DUMMYFUNCTION("""COMPUTED_VALUE"""),"NORMAL")</f>
        <v>NORMAL</v>
      </c>
      <c r="J3534" s="211">
        <f>IFERROR(__xludf.DUMMYFUNCTION("""COMPUTED_VALUE"""),1.0)</f>
        <v>1</v>
      </c>
      <c r="K3534" s="211"/>
      <c r="L3534" s="211">
        <f>IFERROR(__xludf.DUMMYFUNCTION("""COMPUTED_VALUE"""),1100000.0)</f>
        <v>1100000</v>
      </c>
      <c r="M3534" s="211"/>
      <c r="N3534" s="211"/>
      <c r="O3534" s="211" t="b">
        <f>IFERROR(__xludf.DUMMYFUNCTION("""COMPUTED_VALUE"""),FALSE)</f>
        <v>0</v>
      </c>
    </row>
    <row r="3535">
      <c r="A3535" s="210" t="str">
        <f>IFERROR(__xludf.DUMMYFUNCTION("""COMPUTED_VALUE"""),"022632449")</f>
        <v>022632449</v>
      </c>
      <c r="B3535" s="210" t="str">
        <f>IFERROR(__xludf.DUMMYFUNCTION("""COMPUTED_VALUE"""),"022632449")</f>
        <v>022632449</v>
      </c>
      <c r="C3535" s="213">
        <f>IFERROR(__xludf.DUMMYFUNCTION("""COMPUTED_VALUE"""),46056.781643518516)</f>
        <v>46056.78164</v>
      </c>
      <c r="D3535" s="211" t="str">
        <f>IFERROR(__xludf.DUMMYFUNCTION("""COMPUTED_VALUE"""),"cac4449f")</f>
        <v>cac4449f</v>
      </c>
      <c r="E3535" s="211" t="str">
        <f>IFERROR(__xludf.DUMMYFUNCTION("""COMPUTED_VALUE"""),"Bpk. Agus Yahya")</f>
        <v>Bpk. Agus Yahya</v>
      </c>
      <c r="F3535" s="211" t="str">
        <f>IFERROR(__xludf.DUMMYFUNCTION("""COMPUTED_VALUE"""),"8bdbe149")</f>
        <v>8bdbe149</v>
      </c>
      <c r="G3535" s="211" t="str">
        <f>IFERROR(__xludf.DUMMYFUNCTION("""COMPUTED_VALUE"""),"Oksigen 6m3")</f>
        <v>Oksigen 6m3</v>
      </c>
      <c r="H3535" s="211" t="str">
        <f>IFERROR(__xludf.DUMMYFUNCTION("""COMPUTED_VALUE"""),"OUT")</f>
        <v>OUT</v>
      </c>
      <c r="I3535" s="211" t="str">
        <f>IFERROR(__xludf.DUMMYFUNCTION("""COMPUTED_VALUE"""),"NORMAL")</f>
        <v>NORMAL</v>
      </c>
      <c r="J3535" s="211">
        <f>IFERROR(__xludf.DUMMYFUNCTION("""COMPUTED_VALUE"""),1.0)</f>
        <v>1</v>
      </c>
      <c r="K3535" s="210" t="str">
        <f>IFERROR(__xludf.DUMMYFUNCTION("""COMPUTED_VALUE"""),"1116")</f>
        <v>1116</v>
      </c>
      <c r="L3535" s="211">
        <f>IFERROR(__xludf.DUMMYFUNCTION("""COMPUTED_VALUE"""),100000.0)</f>
        <v>100000</v>
      </c>
      <c r="M3535" s="211"/>
      <c r="N3535" s="211"/>
      <c r="O3535" s="211" t="b">
        <f>IFERROR(__xludf.DUMMYFUNCTION("""COMPUTED_VALUE"""),FALSE)</f>
        <v>0</v>
      </c>
    </row>
    <row r="3536">
      <c r="A3536" s="210" t="str">
        <f>IFERROR(__xludf.DUMMYFUNCTION("""COMPUTED_VALUE"""),"022652450")</f>
        <v>022652450</v>
      </c>
      <c r="B3536" s="210" t="str">
        <f>IFERROR(__xludf.DUMMYFUNCTION("""COMPUTED_VALUE"""),"022652450")</f>
        <v>022652450</v>
      </c>
      <c r="C3536" s="213">
        <f>IFERROR(__xludf.DUMMYFUNCTION("""COMPUTED_VALUE"""),46057.29106481482)</f>
        <v>46057.29106</v>
      </c>
      <c r="D3536" s="211" t="str">
        <f>IFERROR(__xludf.DUMMYFUNCTION("""COMPUTED_VALUE"""),"9e5d8274")</f>
        <v>9e5d8274</v>
      </c>
      <c r="E3536" s="211" t="str">
        <f>IFERROR(__xludf.DUMMYFUNCTION("""COMPUTED_VALUE"""),"Bpk. Erry ( Lik Trosobo )")</f>
        <v>Bpk. Erry ( Lik Trosobo )</v>
      </c>
      <c r="F3536" s="211" t="str">
        <f>IFERROR(__xludf.DUMMYFUNCTION("""COMPUTED_VALUE"""),"f3208f5d")</f>
        <v>f3208f5d</v>
      </c>
      <c r="G3536" s="211" t="str">
        <f>IFERROR(__xludf.DUMMYFUNCTION("""COMPUTED_VALUE"""),"Tabung 6m3 + O2")</f>
        <v>Tabung 6m3 + O2</v>
      </c>
      <c r="H3536" s="211" t="str">
        <f>IFERROR(__xludf.DUMMYFUNCTION("""COMPUTED_VALUE"""),"OUT")</f>
        <v>OUT</v>
      </c>
      <c r="I3536" s="211" t="str">
        <f>IFERROR(__xludf.DUMMYFUNCTION("""COMPUTED_VALUE"""),"NORMAL")</f>
        <v>NORMAL</v>
      </c>
      <c r="J3536" s="211">
        <f>IFERROR(__xludf.DUMMYFUNCTION("""COMPUTED_VALUE"""),1.0)</f>
        <v>1</v>
      </c>
      <c r="K3536" s="211"/>
      <c r="L3536" s="211">
        <f>IFERROR(__xludf.DUMMYFUNCTION("""COMPUTED_VALUE"""),1100000.0)</f>
        <v>1100000</v>
      </c>
      <c r="M3536" s="211"/>
      <c r="N3536" s="211"/>
      <c r="O3536" s="211" t="b">
        <f>IFERROR(__xludf.DUMMYFUNCTION("""COMPUTED_VALUE"""),FALSE)</f>
        <v>0</v>
      </c>
    </row>
    <row r="3537">
      <c r="A3537" s="210" t="str">
        <f>IFERROR(__xludf.DUMMYFUNCTION("""COMPUTED_VALUE"""),"022682450")</f>
        <v>022682450</v>
      </c>
      <c r="B3537" s="210" t="str">
        <f>IFERROR(__xludf.DUMMYFUNCTION("""COMPUTED_VALUE"""),"022682450")</f>
        <v>022682450</v>
      </c>
      <c r="C3537" s="213">
        <f>IFERROR(__xludf.DUMMYFUNCTION("""COMPUTED_VALUE"""),46057.35350694445)</f>
        <v>46057.35351</v>
      </c>
      <c r="D3537" s="211" t="str">
        <f>IFERROR(__xludf.DUMMYFUNCTION("""COMPUTED_VALUE"""),"b0735da4")</f>
        <v>b0735da4</v>
      </c>
      <c r="E3537" s="211" t="str">
        <f>IFERROR(__xludf.DUMMYFUNCTION("""COMPUTED_VALUE"""),"Bpk. Amer Ciro")</f>
        <v>Bpk. Amer Ciro</v>
      </c>
      <c r="F3537" s="211" t="str">
        <f>IFERROR(__xludf.DUMMYFUNCTION("""COMPUTED_VALUE"""),"7d2764f1")</f>
        <v>7d2764f1</v>
      </c>
      <c r="G3537" s="211" t="str">
        <f>IFERROR(__xludf.DUMMYFUNCTION("""COMPUTED_VALUE"""),"Oksigen 7m3")</f>
        <v>Oksigen 7m3</v>
      </c>
      <c r="H3537" s="211" t="str">
        <f>IFERROR(__xludf.DUMMYFUNCTION("""COMPUTED_VALUE"""),"OUT")</f>
        <v>OUT</v>
      </c>
      <c r="I3537" s="211" t="str">
        <f>IFERROR(__xludf.DUMMYFUNCTION("""COMPUTED_VALUE"""),"NORMAL")</f>
        <v>NORMAL</v>
      </c>
      <c r="J3537" s="211">
        <f>IFERROR(__xludf.DUMMYFUNCTION("""COMPUTED_VALUE"""),2.0)</f>
        <v>2</v>
      </c>
      <c r="K3537" s="210" t="str">
        <f>IFERROR(__xludf.DUMMYFUNCTION("""COMPUTED_VALUE"""),"11158 11138")</f>
        <v>11158 11138</v>
      </c>
      <c r="L3537" s="211">
        <f>IFERROR(__xludf.DUMMYFUNCTION("""COMPUTED_VALUE"""),65000.0)</f>
        <v>65000</v>
      </c>
      <c r="M3537" s="211"/>
      <c r="N3537" s="211"/>
      <c r="O3537" s="211" t="b">
        <f>IFERROR(__xludf.DUMMYFUNCTION("""COMPUTED_VALUE"""),FALSE)</f>
        <v>0</v>
      </c>
    </row>
    <row r="3538">
      <c r="A3538" s="210" t="str">
        <f>IFERROR(__xludf.DUMMYFUNCTION("""COMPUTED_VALUE"""),"0226212451")</f>
        <v>0226212451</v>
      </c>
      <c r="B3538" s="210" t="str">
        <f>IFERROR(__xludf.DUMMYFUNCTION("""COMPUTED_VALUE"""),"0226212451")</f>
        <v>0226212451</v>
      </c>
      <c r="C3538" s="213">
        <f>IFERROR(__xludf.DUMMYFUNCTION("""COMPUTED_VALUE"""),46057.354166666664)</f>
        <v>46057.35417</v>
      </c>
      <c r="D3538" s="211" t="str">
        <f>IFERROR(__xludf.DUMMYFUNCTION("""COMPUTED_VALUE"""),"182fb0fe")</f>
        <v>182fb0fe</v>
      </c>
      <c r="E3538" s="211" t="str">
        <f>IFERROR(__xludf.DUMMYFUNCTION("""COMPUTED_VALUE"""),"PT Amtech")</f>
        <v>PT Amtech</v>
      </c>
      <c r="F3538" s="211" t="str">
        <f>IFERROR(__xludf.DUMMYFUNCTION("""COMPUTED_VALUE"""),"8bdbe149")</f>
        <v>8bdbe149</v>
      </c>
      <c r="G3538" s="211" t="str">
        <f>IFERROR(__xludf.DUMMYFUNCTION("""COMPUTED_VALUE"""),"Oksigen 6m3")</f>
        <v>Oksigen 6m3</v>
      </c>
      <c r="H3538" s="211" t="str">
        <f>IFERROR(__xludf.DUMMYFUNCTION("""COMPUTED_VALUE"""),"OUT")</f>
        <v>OUT</v>
      </c>
      <c r="I3538" s="211" t="str">
        <f>IFERROR(__xludf.DUMMYFUNCTION("""COMPUTED_VALUE"""),"NORMAL")</f>
        <v>NORMAL</v>
      </c>
      <c r="J3538" s="211">
        <f>IFERROR(__xludf.DUMMYFUNCTION("""COMPUTED_VALUE"""),2.0)</f>
        <v>2</v>
      </c>
      <c r="K3538" s="210" t="str">
        <f>IFERROR(__xludf.DUMMYFUNCTION("""COMPUTED_VALUE"""),"1152 11185")</f>
        <v>1152 11185</v>
      </c>
      <c r="L3538" s="211">
        <f>IFERROR(__xludf.DUMMYFUNCTION("""COMPUTED_VALUE"""),60000.0)</f>
        <v>60000</v>
      </c>
      <c r="M3538" s="211"/>
      <c r="N3538" s="211"/>
      <c r="O3538" s="211" t="b">
        <f>IFERROR(__xludf.DUMMYFUNCTION("""COMPUTED_VALUE"""),FALSE)</f>
        <v>0</v>
      </c>
    </row>
    <row r="3539">
      <c r="A3539" s="210" t="str">
        <f>IFERROR(__xludf.DUMMYFUNCTION("""COMPUTED_VALUE"""),"1261193")</f>
        <v>1261193</v>
      </c>
      <c r="B3539" s="210" t="str">
        <f>IFERROR(__xludf.DUMMYFUNCTION("""COMPUTED_VALUE"""),"1261193")</f>
        <v>1261193</v>
      </c>
      <c r="C3539" s="213">
        <f>IFERROR(__xludf.DUMMYFUNCTION("""COMPUTED_VALUE"""),46057.435011574074)</f>
        <v>46057.43501</v>
      </c>
      <c r="D3539" s="211" t="str">
        <f>IFERROR(__xludf.DUMMYFUNCTION("""COMPUTED_VALUE"""),"9e5d8274")</f>
        <v>9e5d8274</v>
      </c>
      <c r="E3539" s="211" t="str">
        <f>IFERROR(__xludf.DUMMYFUNCTION("""COMPUTED_VALUE"""),"Bpk. Erry ( Lik Trosobo )")</f>
        <v>Bpk. Erry ( Lik Trosobo )</v>
      </c>
      <c r="F3539" s="211" t="str">
        <f>IFERROR(__xludf.DUMMYFUNCTION("""COMPUTED_VALUE"""),"8bdbe149")</f>
        <v>8bdbe149</v>
      </c>
      <c r="G3539" s="211" t="str">
        <f>IFERROR(__xludf.DUMMYFUNCTION("""COMPUTED_VALUE"""),"Oksigen 6m3")</f>
        <v>Oksigen 6m3</v>
      </c>
      <c r="H3539" s="211" t="str">
        <f>IFERROR(__xludf.DUMMYFUNCTION("""COMPUTED_VALUE"""),"IN")</f>
        <v>IN</v>
      </c>
      <c r="I3539" s="211" t="str">
        <f>IFERROR(__xludf.DUMMYFUNCTION("""COMPUTED_VALUE"""),"EMPTY")</f>
        <v>EMPTY</v>
      </c>
      <c r="J3539" s="211">
        <f>IFERROR(__xludf.DUMMYFUNCTION("""COMPUTED_VALUE"""),4.0)</f>
        <v>4</v>
      </c>
      <c r="K3539" s="210" t="str">
        <f>IFERROR(__xludf.DUMMYFUNCTION("""COMPUTED_VALUE"""),"1119 11250 11312 1154")</f>
        <v>1119 11250 11312 1154</v>
      </c>
      <c r="L3539" s="211">
        <f>IFERROR(__xludf.DUMMYFUNCTION("""COMPUTED_VALUE"""),0.0)</f>
        <v>0</v>
      </c>
      <c r="M3539" s="211"/>
      <c r="N3539" s="211"/>
      <c r="O3539" s="211" t="b">
        <f>IFERROR(__xludf.DUMMYFUNCTION("""COMPUTED_VALUE"""),FALSE)</f>
        <v>0</v>
      </c>
    </row>
    <row r="3540">
      <c r="A3540" s="210" t="str">
        <f>IFERROR(__xludf.DUMMYFUNCTION("""COMPUTED_VALUE"""),"1261192")</f>
        <v>1261192</v>
      </c>
      <c r="B3540" s="210" t="str">
        <f>IFERROR(__xludf.DUMMYFUNCTION("""COMPUTED_VALUE"""),"1261192")</f>
        <v>1261192</v>
      </c>
      <c r="C3540" s="213">
        <f>IFERROR(__xludf.DUMMYFUNCTION("""COMPUTED_VALUE"""),46057.4356712963)</f>
        <v>46057.43567</v>
      </c>
      <c r="D3540" s="211" t="str">
        <f>IFERROR(__xludf.DUMMYFUNCTION("""COMPUTED_VALUE"""),"182fb0fe")</f>
        <v>182fb0fe</v>
      </c>
      <c r="E3540" s="211" t="str">
        <f>IFERROR(__xludf.DUMMYFUNCTION("""COMPUTED_VALUE"""),"PT Amtech")</f>
        <v>PT Amtech</v>
      </c>
      <c r="F3540" s="211" t="str">
        <f>IFERROR(__xludf.DUMMYFUNCTION("""COMPUTED_VALUE"""),"8bdbe149")</f>
        <v>8bdbe149</v>
      </c>
      <c r="G3540" s="211" t="str">
        <f>IFERROR(__xludf.DUMMYFUNCTION("""COMPUTED_VALUE"""),"Oksigen 6m3")</f>
        <v>Oksigen 6m3</v>
      </c>
      <c r="H3540" s="211" t="str">
        <f>IFERROR(__xludf.DUMMYFUNCTION("""COMPUTED_VALUE"""),"IN")</f>
        <v>IN</v>
      </c>
      <c r="I3540" s="211" t="str">
        <f>IFERROR(__xludf.DUMMYFUNCTION("""COMPUTED_VALUE"""),"EMPTY")</f>
        <v>EMPTY</v>
      </c>
      <c r="J3540" s="211">
        <f>IFERROR(__xludf.DUMMYFUNCTION("""COMPUTED_VALUE"""),2.0)</f>
        <v>2</v>
      </c>
      <c r="K3540" s="210" t="str">
        <f>IFERROR(__xludf.DUMMYFUNCTION("""COMPUTED_VALUE"""),"11177 1135")</f>
        <v>11177 1135</v>
      </c>
      <c r="L3540" s="211">
        <f>IFERROR(__xludf.DUMMYFUNCTION("""COMPUTED_VALUE"""),0.0)</f>
        <v>0</v>
      </c>
      <c r="M3540" s="211"/>
      <c r="N3540" s="211"/>
      <c r="O3540" s="211" t="b">
        <f>IFERROR(__xludf.DUMMYFUNCTION("""COMPUTED_VALUE"""),FALSE)</f>
        <v>0</v>
      </c>
    </row>
    <row r="3541">
      <c r="A3541" s="210" t="str">
        <f>IFERROR(__xludf.DUMMYFUNCTION("""COMPUTED_VALUE"""),"022612453")</f>
        <v>022612453</v>
      </c>
      <c r="B3541" s="210" t="str">
        <f>IFERROR(__xludf.DUMMYFUNCTION("""COMPUTED_VALUE"""),"022612453")</f>
        <v>022612453</v>
      </c>
      <c r="C3541" s="213">
        <f>IFERROR(__xludf.DUMMYFUNCTION("""COMPUTED_VALUE"""),46057.43686342592)</f>
        <v>46057.43686</v>
      </c>
      <c r="D3541" s="211" t="str">
        <f>IFERROR(__xludf.DUMMYFUNCTION("""COMPUTED_VALUE"""),"02c693f1")</f>
        <v>02c693f1</v>
      </c>
      <c r="E3541" s="211" t="str">
        <f>IFERROR(__xludf.DUMMYFUNCTION("""COMPUTED_VALUE"""),"Bpk. Rudi Jaya")</f>
        <v>Bpk. Rudi Jaya</v>
      </c>
      <c r="F3541" s="211" t="str">
        <f>IFERROR(__xludf.DUMMYFUNCTION("""COMPUTED_VALUE"""),"8bdbe149")</f>
        <v>8bdbe149</v>
      </c>
      <c r="G3541" s="211" t="str">
        <f>IFERROR(__xludf.DUMMYFUNCTION("""COMPUTED_VALUE"""),"Oksigen 6m3")</f>
        <v>Oksigen 6m3</v>
      </c>
      <c r="H3541" s="211" t="str">
        <f>IFERROR(__xludf.DUMMYFUNCTION("""COMPUTED_VALUE"""),"OUT")</f>
        <v>OUT</v>
      </c>
      <c r="I3541" s="211" t="str">
        <f>IFERROR(__xludf.DUMMYFUNCTION("""COMPUTED_VALUE"""),"NORMAL")</f>
        <v>NORMAL</v>
      </c>
      <c r="J3541" s="211">
        <f>IFERROR(__xludf.DUMMYFUNCTION("""COMPUTED_VALUE"""),4.0)</f>
        <v>4</v>
      </c>
      <c r="K3541" s="210" t="str">
        <f>IFERROR(__xludf.DUMMYFUNCTION("""COMPUTED_VALUE"""),"11310 1108 1124 1176")</f>
        <v>11310 1108 1124 1176</v>
      </c>
      <c r="L3541" s="211">
        <f>IFERROR(__xludf.DUMMYFUNCTION("""COMPUTED_VALUE"""),70000.0)</f>
        <v>70000</v>
      </c>
      <c r="M3541" s="211"/>
      <c r="N3541" s="211"/>
      <c r="O3541" s="211" t="b">
        <f>IFERROR(__xludf.DUMMYFUNCTION("""COMPUTED_VALUE"""),FALSE)</f>
        <v>0</v>
      </c>
    </row>
    <row r="3542">
      <c r="A3542" s="210" t="str">
        <f>IFERROR(__xludf.DUMMYFUNCTION("""COMPUTED_VALUE"""),"022622456")</f>
        <v>022622456</v>
      </c>
      <c r="B3542" s="210" t="str">
        <f>IFERROR(__xludf.DUMMYFUNCTION("""COMPUTED_VALUE"""),"022622456")</f>
        <v>022622456</v>
      </c>
      <c r="C3542" s="213">
        <f>IFERROR(__xludf.DUMMYFUNCTION("""COMPUTED_VALUE"""),46057.437372685185)</f>
        <v>46057.43737</v>
      </c>
      <c r="D3542" s="211" t="str">
        <f>IFERROR(__xludf.DUMMYFUNCTION("""COMPUTED_VALUE"""),"057b6b99")</f>
        <v>057b6b99</v>
      </c>
      <c r="E3542" s="211" t="str">
        <f>IFERROR(__xludf.DUMMYFUNCTION("""COMPUTED_VALUE"""),"PT Anuta Utama Transport")</f>
        <v>PT Anuta Utama Transport</v>
      </c>
      <c r="F3542" s="211" t="str">
        <f>IFERROR(__xludf.DUMMYFUNCTION("""COMPUTED_VALUE"""),"7d2764f1")</f>
        <v>7d2764f1</v>
      </c>
      <c r="G3542" s="211" t="str">
        <f>IFERROR(__xludf.DUMMYFUNCTION("""COMPUTED_VALUE"""),"Oksigen 7m3")</f>
        <v>Oksigen 7m3</v>
      </c>
      <c r="H3542" s="211" t="str">
        <f>IFERROR(__xludf.DUMMYFUNCTION("""COMPUTED_VALUE"""),"OUT")</f>
        <v>OUT</v>
      </c>
      <c r="I3542" s="211" t="str">
        <f>IFERROR(__xludf.DUMMYFUNCTION("""COMPUTED_VALUE"""),"NORMAL")</f>
        <v>NORMAL</v>
      </c>
      <c r="J3542" s="211">
        <f>IFERROR(__xludf.DUMMYFUNCTION("""COMPUTED_VALUE"""),8.0)</f>
        <v>8</v>
      </c>
      <c r="K3542" s="210" t="str">
        <f>IFERROR(__xludf.DUMMYFUNCTION("""COMPUTED_VALUE"""),"11166 11140 11226 11136 11173 11218 11314 11195")</f>
        <v>11166 11140 11226 11136 11173 11218 11314 11195</v>
      </c>
      <c r="L3542" s="211">
        <f>IFERROR(__xludf.DUMMYFUNCTION("""COMPUTED_VALUE"""),58558.56)</f>
        <v>58558.56</v>
      </c>
      <c r="M3542" s="211"/>
      <c r="N3542" s="211"/>
      <c r="O3542" s="211" t="b">
        <f>IFERROR(__xludf.DUMMYFUNCTION("""COMPUTED_VALUE"""),FALSE)</f>
        <v>0</v>
      </c>
    </row>
    <row r="3543">
      <c r="A3543" s="210" t="str">
        <f>IFERROR(__xludf.DUMMYFUNCTION("""COMPUTED_VALUE"""),"022622456")</f>
        <v>022622456</v>
      </c>
      <c r="B3543" s="210" t="str">
        <f>IFERROR(__xludf.DUMMYFUNCTION("""COMPUTED_VALUE"""),"022622456")</f>
        <v>022622456</v>
      </c>
      <c r="C3543" s="213">
        <f>IFERROR(__xludf.DUMMYFUNCTION("""COMPUTED_VALUE"""),46057.437372685185)</f>
        <v>46057.43737</v>
      </c>
      <c r="D3543" s="211" t="str">
        <f>IFERROR(__xludf.DUMMYFUNCTION("""COMPUTED_VALUE"""),"057b6b99")</f>
        <v>057b6b99</v>
      </c>
      <c r="E3543" s="211" t="str">
        <f>IFERROR(__xludf.DUMMYFUNCTION("""COMPUTED_VALUE"""),"PT Anuta Utama Transport")</f>
        <v>PT Anuta Utama Transport</v>
      </c>
      <c r="F3543" s="211" t="str">
        <f>IFERROR(__xludf.DUMMYFUNCTION("""COMPUTED_VALUE"""),"8bdbe149")</f>
        <v>8bdbe149</v>
      </c>
      <c r="G3543" s="211" t="str">
        <f>IFERROR(__xludf.DUMMYFUNCTION("""COMPUTED_VALUE"""),"Oksigen 6m3")</f>
        <v>Oksigen 6m3</v>
      </c>
      <c r="H3543" s="211" t="str">
        <f>IFERROR(__xludf.DUMMYFUNCTION("""COMPUTED_VALUE"""),"OUT")</f>
        <v>OUT</v>
      </c>
      <c r="I3543" s="211" t="str">
        <f>IFERROR(__xludf.DUMMYFUNCTION("""COMPUTED_VALUE"""),"NORMAL")</f>
        <v>NORMAL</v>
      </c>
      <c r="J3543" s="211">
        <f>IFERROR(__xludf.DUMMYFUNCTION("""COMPUTED_VALUE"""),2.0)</f>
        <v>2</v>
      </c>
      <c r="K3543" s="210" t="str">
        <f>IFERROR(__xludf.DUMMYFUNCTION("""COMPUTED_VALUE"""),"11191 11316")</f>
        <v>11191 11316</v>
      </c>
      <c r="L3543" s="211">
        <f>IFERROR(__xludf.DUMMYFUNCTION("""COMPUTED_VALUE"""),58558.56)</f>
        <v>58558.56</v>
      </c>
      <c r="M3543" s="211"/>
      <c r="N3543" s="211"/>
      <c r="O3543" s="211" t="b">
        <f>IFERROR(__xludf.DUMMYFUNCTION("""COMPUTED_VALUE"""),FALSE)</f>
        <v>0</v>
      </c>
    </row>
    <row r="3544">
      <c r="A3544" s="210" t="str">
        <f>IFERROR(__xludf.DUMMYFUNCTION("""COMPUTED_VALUE"""),"0226232457")</f>
        <v>0226232457</v>
      </c>
      <c r="B3544" s="210" t="str">
        <f>IFERROR(__xludf.DUMMYFUNCTION("""COMPUTED_VALUE"""),"0226232457")</f>
        <v>0226232457</v>
      </c>
      <c r="C3544" s="213">
        <f>IFERROR(__xludf.DUMMYFUNCTION("""COMPUTED_VALUE"""),46057.52428240741)</f>
        <v>46057.52428</v>
      </c>
      <c r="D3544" s="211" t="str">
        <f>IFERROR(__xludf.DUMMYFUNCTION("""COMPUTED_VALUE"""),"4ec68cf6")</f>
        <v>4ec68cf6</v>
      </c>
      <c r="E3544" s="211" t="str">
        <f>IFERROR(__xludf.DUMMYFUNCTION("""COMPUTED_VALUE"""),"CV Sido Mukti Karya")</f>
        <v>CV Sido Mukti Karya</v>
      </c>
      <c r="F3544" s="211" t="str">
        <f>IFERROR(__xludf.DUMMYFUNCTION("""COMPUTED_VALUE"""),"8bdbe149")</f>
        <v>8bdbe149</v>
      </c>
      <c r="G3544" s="211" t="str">
        <f>IFERROR(__xludf.DUMMYFUNCTION("""COMPUTED_VALUE"""),"Oksigen 6m3")</f>
        <v>Oksigen 6m3</v>
      </c>
      <c r="H3544" s="211" t="str">
        <f>IFERROR(__xludf.DUMMYFUNCTION("""COMPUTED_VALUE"""),"OUT")</f>
        <v>OUT</v>
      </c>
      <c r="I3544" s="211" t="str">
        <f>IFERROR(__xludf.DUMMYFUNCTION("""COMPUTED_VALUE"""),"NORMAL")</f>
        <v>NORMAL</v>
      </c>
      <c r="J3544" s="211">
        <f>IFERROR(__xludf.DUMMYFUNCTION("""COMPUTED_VALUE"""),4.0)</f>
        <v>4</v>
      </c>
      <c r="K3544" s="210" t="str">
        <f>IFERROR(__xludf.DUMMYFUNCTION("""COMPUTED_VALUE"""),"11279 1186 11286 1169")</f>
        <v>11279 1186 11286 1169</v>
      </c>
      <c r="L3544" s="211">
        <f>IFERROR(__xludf.DUMMYFUNCTION("""COMPUTED_VALUE"""),60000.0)</f>
        <v>60000</v>
      </c>
      <c r="M3544" s="211"/>
      <c r="N3544" s="211"/>
      <c r="O3544" s="211" t="b">
        <f>IFERROR(__xludf.DUMMYFUNCTION("""COMPUTED_VALUE"""),FALSE)</f>
        <v>0</v>
      </c>
    </row>
    <row r="3545">
      <c r="A3545" s="210" t="str">
        <f>IFERROR(__xludf.DUMMYFUNCTION("""COMPUTED_VALUE"""),"0226232457")</f>
        <v>0226232457</v>
      </c>
      <c r="B3545" s="210" t="str">
        <f>IFERROR(__xludf.DUMMYFUNCTION("""COMPUTED_VALUE"""),"0226232457")</f>
        <v>0226232457</v>
      </c>
      <c r="C3545" s="213">
        <f>IFERROR(__xludf.DUMMYFUNCTION("""COMPUTED_VALUE"""),46057.52428240741)</f>
        <v>46057.52428</v>
      </c>
      <c r="D3545" s="211" t="str">
        <f>IFERROR(__xludf.DUMMYFUNCTION("""COMPUTED_VALUE"""),"4ec68cf6")</f>
        <v>4ec68cf6</v>
      </c>
      <c r="E3545" s="211" t="str">
        <f>IFERROR(__xludf.DUMMYFUNCTION("""COMPUTED_VALUE"""),"CV Sido Mukti Karya")</f>
        <v>CV Sido Mukti Karya</v>
      </c>
      <c r="F3545" s="211" t="str">
        <f>IFERROR(__xludf.DUMMYFUNCTION("""COMPUTED_VALUE"""),"ef306e54")</f>
        <v>ef306e54</v>
      </c>
      <c r="G3545" s="211" t="str">
        <f>IFERROR(__xludf.DUMMYFUNCTION("""COMPUTED_VALUE"""),"Karbondioksida")</f>
        <v>Karbondioksida</v>
      </c>
      <c r="H3545" s="211" t="str">
        <f>IFERROR(__xludf.DUMMYFUNCTION("""COMPUTED_VALUE"""),"OUT")</f>
        <v>OUT</v>
      </c>
      <c r="I3545" s="211" t="str">
        <f>IFERROR(__xludf.DUMMYFUNCTION("""COMPUTED_VALUE"""),"NORMAL")</f>
        <v>NORMAL</v>
      </c>
      <c r="J3545" s="211">
        <f>IFERROR(__xludf.DUMMYFUNCTION("""COMPUTED_VALUE"""),3.0)</f>
        <v>3</v>
      </c>
      <c r="K3545" s="210" t="str">
        <f>IFERROR(__xludf.DUMMYFUNCTION("""COMPUTED_VALUE"""),"13029 13057 13030")</f>
        <v>13029 13057 13030</v>
      </c>
      <c r="L3545" s="211">
        <f>IFERROR(__xludf.DUMMYFUNCTION("""COMPUTED_VALUE"""),180000.0)</f>
        <v>180000</v>
      </c>
      <c r="M3545" s="211"/>
      <c r="N3545" s="211"/>
      <c r="O3545" s="211" t="b">
        <f>IFERROR(__xludf.DUMMYFUNCTION("""COMPUTED_VALUE"""),FALSE)</f>
        <v>0</v>
      </c>
    </row>
    <row r="3546">
      <c r="A3546" s="210" t="str">
        <f>IFERROR(__xludf.DUMMYFUNCTION("""COMPUTED_VALUE"""),"1261194")</f>
        <v>1261194</v>
      </c>
      <c r="B3546" s="210" t="str">
        <f>IFERROR(__xludf.DUMMYFUNCTION("""COMPUTED_VALUE"""),"1261194")</f>
        <v>1261194</v>
      </c>
      <c r="C3546" s="213">
        <f>IFERROR(__xludf.DUMMYFUNCTION("""COMPUTED_VALUE"""),46057.52648148148)</f>
        <v>46057.52648</v>
      </c>
      <c r="D3546" s="211" t="str">
        <f>IFERROR(__xludf.DUMMYFUNCTION("""COMPUTED_VALUE"""),"057b6b99")</f>
        <v>057b6b99</v>
      </c>
      <c r="E3546" s="211" t="str">
        <f>IFERROR(__xludf.DUMMYFUNCTION("""COMPUTED_VALUE"""),"PT Anuta Utama Transport")</f>
        <v>PT Anuta Utama Transport</v>
      </c>
      <c r="F3546" s="211" t="str">
        <f>IFERROR(__xludf.DUMMYFUNCTION("""COMPUTED_VALUE"""),"7d2764f1")</f>
        <v>7d2764f1</v>
      </c>
      <c r="G3546" s="211" t="str">
        <f>IFERROR(__xludf.DUMMYFUNCTION("""COMPUTED_VALUE"""),"Oksigen 7m3")</f>
        <v>Oksigen 7m3</v>
      </c>
      <c r="H3546" s="211" t="str">
        <f>IFERROR(__xludf.DUMMYFUNCTION("""COMPUTED_VALUE"""),"IN")</f>
        <v>IN</v>
      </c>
      <c r="I3546" s="211" t="str">
        <f>IFERROR(__xludf.DUMMYFUNCTION("""COMPUTED_VALUE"""),"EMPTY")</f>
        <v>EMPTY</v>
      </c>
      <c r="J3546" s="211">
        <f>IFERROR(__xludf.DUMMYFUNCTION("""COMPUTED_VALUE"""),1.0)</f>
        <v>1</v>
      </c>
      <c r="K3546" s="210" t="str">
        <f>IFERROR(__xludf.DUMMYFUNCTION("""COMPUTED_VALUE"""),"11167")</f>
        <v>11167</v>
      </c>
      <c r="L3546" s="211">
        <f>IFERROR(__xludf.DUMMYFUNCTION("""COMPUTED_VALUE"""),0.0)</f>
        <v>0</v>
      </c>
      <c r="M3546" s="211"/>
      <c r="N3546" s="211"/>
      <c r="O3546" s="211" t="b">
        <f>IFERROR(__xludf.DUMMYFUNCTION("""COMPUTED_VALUE"""),FALSE)</f>
        <v>0</v>
      </c>
    </row>
    <row r="3547">
      <c r="A3547" s="210" t="str">
        <f>IFERROR(__xludf.DUMMYFUNCTION("""COMPUTED_VALUE"""),"1261195")</f>
        <v>1261195</v>
      </c>
      <c r="B3547" s="210" t="str">
        <f>IFERROR(__xludf.DUMMYFUNCTION("""COMPUTED_VALUE"""),"1261195")</f>
        <v>1261195</v>
      </c>
      <c r="C3547" s="213">
        <f>IFERROR(__xludf.DUMMYFUNCTION("""COMPUTED_VALUE"""),46057.57465277778)</f>
        <v>46057.57465</v>
      </c>
      <c r="D3547" s="211" t="str">
        <f>IFERROR(__xludf.DUMMYFUNCTION("""COMPUTED_VALUE"""),"4ec68cf6")</f>
        <v>4ec68cf6</v>
      </c>
      <c r="E3547" s="211" t="str">
        <f>IFERROR(__xludf.DUMMYFUNCTION("""COMPUTED_VALUE"""),"CV Sido Mukti Karya")</f>
        <v>CV Sido Mukti Karya</v>
      </c>
      <c r="F3547" s="211" t="str">
        <f>IFERROR(__xludf.DUMMYFUNCTION("""COMPUTED_VALUE"""),"7d2764f1")</f>
        <v>7d2764f1</v>
      </c>
      <c r="G3547" s="211" t="str">
        <f>IFERROR(__xludf.DUMMYFUNCTION("""COMPUTED_VALUE"""),"Oksigen 7m3")</f>
        <v>Oksigen 7m3</v>
      </c>
      <c r="H3547" s="211" t="str">
        <f>IFERROR(__xludf.DUMMYFUNCTION("""COMPUTED_VALUE"""),"IN")</f>
        <v>IN</v>
      </c>
      <c r="I3547" s="211" t="str">
        <f>IFERROR(__xludf.DUMMYFUNCTION("""COMPUTED_VALUE"""),"EMPTY")</f>
        <v>EMPTY</v>
      </c>
      <c r="J3547" s="211">
        <f>IFERROR(__xludf.DUMMYFUNCTION("""COMPUTED_VALUE"""),1.0)</f>
        <v>1</v>
      </c>
      <c r="K3547" s="210" t="str">
        <f>IFERROR(__xludf.DUMMYFUNCTION("""COMPUTED_VALUE"""),"76")</f>
        <v>76</v>
      </c>
      <c r="L3547" s="211">
        <f>IFERROR(__xludf.DUMMYFUNCTION("""COMPUTED_VALUE"""),0.0)</f>
        <v>0</v>
      </c>
      <c r="M3547" s="211"/>
      <c r="N3547" s="211"/>
      <c r="O3547" s="211" t="b">
        <f>IFERROR(__xludf.DUMMYFUNCTION("""COMPUTED_VALUE"""),FALSE)</f>
        <v>0</v>
      </c>
    </row>
    <row r="3548">
      <c r="A3548" s="210" t="str">
        <f>IFERROR(__xludf.DUMMYFUNCTION("""COMPUTED_VALUE"""),"1261195")</f>
        <v>1261195</v>
      </c>
      <c r="B3548" s="210" t="str">
        <f>IFERROR(__xludf.DUMMYFUNCTION("""COMPUTED_VALUE"""),"1261195")</f>
        <v>1261195</v>
      </c>
      <c r="C3548" s="213">
        <f>IFERROR(__xludf.DUMMYFUNCTION("""COMPUTED_VALUE"""),46057.57465277778)</f>
        <v>46057.57465</v>
      </c>
      <c r="D3548" s="211" t="str">
        <f>IFERROR(__xludf.DUMMYFUNCTION("""COMPUTED_VALUE"""),"4ec68cf6")</f>
        <v>4ec68cf6</v>
      </c>
      <c r="E3548" s="211" t="str">
        <f>IFERROR(__xludf.DUMMYFUNCTION("""COMPUTED_VALUE"""),"CV Sido Mukti Karya")</f>
        <v>CV Sido Mukti Karya</v>
      </c>
      <c r="F3548" s="211" t="str">
        <f>IFERROR(__xludf.DUMMYFUNCTION("""COMPUTED_VALUE"""),"8bdbe149")</f>
        <v>8bdbe149</v>
      </c>
      <c r="G3548" s="211" t="str">
        <f>IFERROR(__xludf.DUMMYFUNCTION("""COMPUTED_VALUE"""),"Oksigen 6m3")</f>
        <v>Oksigen 6m3</v>
      </c>
      <c r="H3548" s="211" t="str">
        <f>IFERROR(__xludf.DUMMYFUNCTION("""COMPUTED_VALUE"""),"IN")</f>
        <v>IN</v>
      </c>
      <c r="I3548" s="211" t="str">
        <f>IFERROR(__xludf.DUMMYFUNCTION("""COMPUTED_VALUE"""),"EMPTY")</f>
        <v>EMPTY</v>
      </c>
      <c r="J3548" s="211">
        <f>IFERROR(__xludf.DUMMYFUNCTION("""COMPUTED_VALUE"""),1.0)</f>
        <v>1</v>
      </c>
      <c r="K3548" s="210" t="str">
        <f>IFERROR(__xludf.DUMMYFUNCTION("""COMPUTED_VALUE"""),"1194")</f>
        <v>1194</v>
      </c>
      <c r="L3548" s="211">
        <f>IFERROR(__xludf.DUMMYFUNCTION("""COMPUTED_VALUE"""),0.0)</f>
        <v>0</v>
      </c>
      <c r="M3548" s="211"/>
      <c r="N3548" s="211"/>
      <c r="O3548" s="211" t="b">
        <f>IFERROR(__xludf.DUMMYFUNCTION("""COMPUTED_VALUE"""),TRUE)</f>
        <v>1</v>
      </c>
    </row>
    <row r="3549">
      <c r="A3549" s="210" t="str">
        <f>IFERROR(__xludf.DUMMYFUNCTION("""COMPUTED_VALUE"""),"1261186")</f>
        <v>1261186</v>
      </c>
      <c r="B3549" s="210" t="str">
        <f>IFERROR(__xludf.DUMMYFUNCTION("""COMPUTED_VALUE"""),"1261186")</f>
        <v>1261186</v>
      </c>
      <c r="C3549" s="213">
        <f>IFERROR(__xludf.DUMMYFUNCTION("""COMPUTED_VALUE"""),46057.61032407408)</f>
        <v>46057.61032</v>
      </c>
      <c r="D3549" s="211" t="str">
        <f>IFERROR(__xludf.DUMMYFUNCTION("""COMPUTED_VALUE"""),"b0735da4")</f>
        <v>b0735da4</v>
      </c>
      <c r="E3549" s="211" t="str">
        <f>IFERROR(__xludf.DUMMYFUNCTION("""COMPUTED_VALUE"""),"Bpk. Amer Ciro")</f>
        <v>Bpk. Amer Ciro</v>
      </c>
      <c r="F3549" s="211" t="str">
        <f>IFERROR(__xludf.DUMMYFUNCTION("""COMPUTED_VALUE"""),"7d2764f1")</f>
        <v>7d2764f1</v>
      </c>
      <c r="G3549" s="211" t="str">
        <f>IFERROR(__xludf.DUMMYFUNCTION("""COMPUTED_VALUE"""),"Oksigen 7m3")</f>
        <v>Oksigen 7m3</v>
      </c>
      <c r="H3549" s="211" t="str">
        <f>IFERROR(__xludf.DUMMYFUNCTION("""COMPUTED_VALUE"""),"IN")</f>
        <v>IN</v>
      </c>
      <c r="I3549" s="211" t="str">
        <f>IFERROR(__xludf.DUMMYFUNCTION("""COMPUTED_VALUE"""),"EMPTY")</f>
        <v>EMPTY</v>
      </c>
      <c r="J3549" s="211">
        <f>IFERROR(__xludf.DUMMYFUNCTION("""COMPUTED_VALUE"""),2.0)</f>
        <v>2</v>
      </c>
      <c r="K3549" s="210" t="str">
        <f>IFERROR(__xludf.DUMMYFUNCTION("""COMPUTED_VALUE"""),"1161 11306")</f>
        <v>1161 11306</v>
      </c>
      <c r="L3549" s="211">
        <f>IFERROR(__xludf.DUMMYFUNCTION("""COMPUTED_VALUE"""),0.0)</f>
        <v>0</v>
      </c>
      <c r="M3549" s="211"/>
      <c r="N3549" s="211"/>
      <c r="O3549" s="211" t="b">
        <f>IFERROR(__xludf.DUMMYFUNCTION("""COMPUTED_VALUE"""),FALSE)</f>
        <v>0</v>
      </c>
    </row>
    <row r="3550">
      <c r="A3550" s="210" t="str">
        <f>IFERROR(__xludf.DUMMYFUNCTION("""COMPUTED_VALUE"""),"1261187")</f>
        <v>1261187</v>
      </c>
      <c r="B3550" s="210" t="str">
        <f>IFERROR(__xludf.DUMMYFUNCTION("""COMPUTED_VALUE"""),"1261187")</f>
        <v>1261187</v>
      </c>
      <c r="C3550" s="213">
        <f>IFERROR(__xludf.DUMMYFUNCTION("""COMPUTED_VALUE"""),46057.61230324074)</f>
        <v>46057.6123</v>
      </c>
      <c r="D3550" s="211" t="str">
        <f>IFERROR(__xludf.DUMMYFUNCTION("""COMPUTED_VALUE"""),"01158be1")</f>
        <v>01158be1</v>
      </c>
      <c r="E3550" s="211" t="str">
        <f>IFERROR(__xludf.DUMMYFUNCTION("""COMPUTED_VALUE"""),"GYF")</f>
        <v>GYF</v>
      </c>
      <c r="F3550" s="211" t="str">
        <f>IFERROR(__xludf.DUMMYFUNCTION("""COMPUTED_VALUE"""),"8bdbe149")</f>
        <v>8bdbe149</v>
      </c>
      <c r="G3550" s="211" t="str">
        <f>IFERROR(__xludf.DUMMYFUNCTION("""COMPUTED_VALUE"""),"Oksigen 6m3")</f>
        <v>Oksigen 6m3</v>
      </c>
      <c r="H3550" s="211" t="str">
        <f>IFERROR(__xludf.DUMMYFUNCTION("""COMPUTED_VALUE"""),"IN")</f>
        <v>IN</v>
      </c>
      <c r="I3550" s="211" t="str">
        <f>IFERROR(__xludf.DUMMYFUNCTION("""COMPUTED_VALUE"""),"EMPTY")</f>
        <v>EMPTY</v>
      </c>
      <c r="J3550" s="211">
        <f>IFERROR(__xludf.DUMMYFUNCTION("""COMPUTED_VALUE"""),4.0)</f>
        <v>4</v>
      </c>
      <c r="K3550" s="210" t="str">
        <f>IFERROR(__xludf.DUMMYFUNCTION("""COMPUTED_VALUE"""),"11134 11354 11124 11129")</f>
        <v>11134 11354 11124 11129</v>
      </c>
      <c r="L3550" s="211">
        <f>IFERROR(__xludf.DUMMYFUNCTION("""COMPUTED_VALUE"""),0.0)</f>
        <v>0</v>
      </c>
      <c r="M3550" s="211"/>
      <c r="N3550" s="211"/>
      <c r="O3550" s="211" t="b">
        <f>IFERROR(__xludf.DUMMYFUNCTION("""COMPUTED_VALUE"""),FALSE)</f>
        <v>0</v>
      </c>
    </row>
    <row r="3551">
      <c r="A3551" s="210" t="str">
        <f>IFERROR(__xludf.DUMMYFUNCTION("""COMPUTED_VALUE"""),"0226112458")</f>
        <v>0226112458</v>
      </c>
      <c r="B3551" s="210" t="str">
        <f>IFERROR(__xludf.DUMMYFUNCTION("""COMPUTED_VALUE"""),"0226112458")</f>
        <v>0226112458</v>
      </c>
      <c r="C3551" s="213">
        <f>IFERROR(__xludf.DUMMYFUNCTION("""COMPUTED_VALUE"""),46057.61293981481)</f>
        <v>46057.61294</v>
      </c>
      <c r="D3551" s="211" t="str">
        <f>IFERROR(__xludf.DUMMYFUNCTION("""COMPUTED_VALUE"""),"440df1db")</f>
        <v>440df1db</v>
      </c>
      <c r="E3551" s="211" t="str">
        <f>IFERROR(__xludf.DUMMYFUNCTION("""COMPUTED_VALUE"""),"PT. Mecca Abadi Sejahtera")</f>
        <v>PT. Mecca Abadi Sejahtera</v>
      </c>
      <c r="F3551" s="211" t="str">
        <f>IFERROR(__xludf.DUMMYFUNCTION("""COMPUTED_VALUE"""),"ef306e54")</f>
        <v>ef306e54</v>
      </c>
      <c r="G3551" s="211" t="str">
        <f>IFERROR(__xludf.DUMMYFUNCTION("""COMPUTED_VALUE"""),"Karbondioksida")</f>
        <v>Karbondioksida</v>
      </c>
      <c r="H3551" s="211" t="str">
        <f>IFERROR(__xludf.DUMMYFUNCTION("""COMPUTED_VALUE"""),"OUT")</f>
        <v>OUT</v>
      </c>
      <c r="I3551" s="211" t="str">
        <f>IFERROR(__xludf.DUMMYFUNCTION("""COMPUTED_VALUE"""),"NORMAL")</f>
        <v>NORMAL</v>
      </c>
      <c r="J3551" s="211">
        <f>IFERROR(__xludf.DUMMYFUNCTION("""COMPUTED_VALUE"""),6.0)</f>
        <v>6</v>
      </c>
      <c r="K3551" s="210" t="str">
        <f>IFERROR(__xludf.DUMMYFUNCTION("""COMPUTED_VALUE"""),"13010 13006 13049 13042 13048 13050")</f>
        <v>13010 13006 13049 13042 13048 13050</v>
      </c>
      <c r="L3551" s="211">
        <f>IFERROR(__xludf.DUMMYFUNCTION("""COMPUTED_VALUE"""),190000.0)</f>
        <v>190000</v>
      </c>
      <c r="M3551" s="211"/>
      <c r="N3551" s="211"/>
      <c r="O3551" s="211" t="b">
        <f>IFERROR(__xludf.DUMMYFUNCTION("""COMPUTED_VALUE"""),FALSE)</f>
        <v>0</v>
      </c>
    </row>
    <row r="3552">
      <c r="A3552" s="210" t="str">
        <f>IFERROR(__xludf.DUMMYFUNCTION("""COMPUTED_VALUE"""),"1261188")</f>
        <v>1261188</v>
      </c>
      <c r="B3552" s="210" t="str">
        <f>IFERROR(__xludf.DUMMYFUNCTION("""COMPUTED_VALUE"""),"1261188")</f>
        <v>1261188</v>
      </c>
      <c r="C3552" s="213">
        <f>IFERROR(__xludf.DUMMYFUNCTION("""COMPUTED_VALUE"""),46057.668854166666)</f>
        <v>46057.66885</v>
      </c>
      <c r="D3552" s="211" t="str">
        <f>IFERROR(__xludf.DUMMYFUNCTION("""COMPUTED_VALUE"""),"440df1db")</f>
        <v>440df1db</v>
      </c>
      <c r="E3552" s="211" t="str">
        <f>IFERROR(__xludf.DUMMYFUNCTION("""COMPUTED_VALUE"""),"PT. Mecca Abadi Sejahtera")</f>
        <v>PT. Mecca Abadi Sejahtera</v>
      </c>
      <c r="F3552" s="211" t="str">
        <f>IFERROR(__xludf.DUMMYFUNCTION("""COMPUTED_VALUE"""),"ef306e54")</f>
        <v>ef306e54</v>
      </c>
      <c r="G3552" s="211" t="str">
        <f>IFERROR(__xludf.DUMMYFUNCTION("""COMPUTED_VALUE"""),"Karbondioksida")</f>
        <v>Karbondioksida</v>
      </c>
      <c r="H3552" s="211" t="str">
        <f>IFERROR(__xludf.DUMMYFUNCTION("""COMPUTED_VALUE"""),"IN")</f>
        <v>IN</v>
      </c>
      <c r="I3552" s="211" t="str">
        <f>IFERROR(__xludf.DUMMYFUNCTION("""COMPUTED_VALUE"""),"EMPTY")</f>
        <v>EMPTY</v>
      </c>
      <c r="J3552" s="211">
        <f>IFERROR(__xludf.DUMMYFUNCTION("""COMPUTED_VALUE"""),1.0)</f>
        <v>1</v>
      </c>
      <c r="K3552" s="210" t="str">
        <f>IFERROR(__xludf.DUMMYFUNCTION("""COMPUTED_VALUE"""),"13023")</f>
        <v>13023</v>
      </c>
      <c r="L3552" s="211">
        <f>IFERROR(__xludf.DUMMYFUNCTION("""COMPUTED_VALUE"""),0.0)</f>
        <v>0</v>
      </c>
      <c r="M3552" s="211"/>
      <c r="N3552" s="211"/>
      <c r="O3552" s="211" t="b">
        <f>IFERROR(__xludf.DUMMYFUNCTION("""COMPUTED_VALUE"""),FALSE)</f>
        <v>0</v>
      </c>
    </row>
    <row r="3553">
      <c r="A3553" s="210" t="str">
        <f>IFERROR(__xludf.DUMMYFUNCTION("""COMPUTED_VALUE"""),"0226122463")</f>
        <v>0226122463</v>
      </c>
      <c r="B3553" s="210" t="str">
        <f>IFERROR(__xludf.DUMMYFUNCTION("""COMPUTED_VALUE"""),"0226122463")</f>
        <v>0226122463</v>
      </c>
      <c r="C3553" s="213">
        <f>IFERROR(__xludf.DUMMYFUNCTION("""COMPUTED_VALUE"""),46058.37604166667)</f>
        <v>46058.37604</v>
      </c>
      <c r="D3553" s="211" t="str">
        <f>IFERROR(__xludf.DUMMYFUNCTION("""COMPUTED_VALUE"""),"f8a982a4")</f>
        <v>f8a982a4</v>
      </c>
      <c r="E3553" s="211" t="str">
        <f>IFERROR(__xludf.DUMMYFUNCTION("""COMPUTED_VALUE"""),"Bpk. Nasir")</f>
        <v>Bpk. Nasir</v>
      </c>
      <c r="F3553" s="211" t="str">
        <f>IFERROR(__xludf.DUMMYFUNCTION("""COMPUTED_VALUE"""),"7d2764f1")</f>
        <v>7d2764f1</v>
      </c>
      <c r="G3553" s="211" t="str">
        <f>IFERROR(__xludf.DUMMYFUNCTION("""COMPUTED_VALUE"""),"Oksigen 7m3")</f>
        <v>Oksigen 7m3</v>
      </c>
      <c r="H3553" s="211" t="str">
        <f>IFERROR(__xludf.DUMMYFUNCTION("""COMPUTED_VALUE"""),"OUT")</f>
        <v>OUT</v>
      </c>
      <c r="I3553" s="211" t="str">
        <f>IFERROR(__xludf.DUMMYFUNCTION("""COMPUTED_VALUE"""),"NORMAL")</f>
        <v>NORMAL</v>
      </c>
      <c r="J3553" s="211">
        <f>IFERROR(__xludf.DUMMYFUNCTION("""COMPUTED_VALUE"""),2.0)</f>
        <v>2</v>
      </c>
      <c r="K3553" s="210" t="str">
        <f>IFERROR(__xludf.DUMMYFUNCTION("""COMPUTED_VALUE"""),"11306 11162")</f>
        <v>11306 11162</v>
      </c>
      <c r="L3553" s="211">
        <f>IFERROR(__xludf.DUMMYFUNCTION("""COMPUTED_VALUE"""),70000.0)</f>
        <v>70000</v>
      </c>
      <c r="M3553" s="211"/>
      <c r="N3553" s="211"/>
      <c r="O3553" s="211" t="b">
        <f>IFERROR(__xludf.DUMMYFUNCTION("""COMPUTED_VALUE"""),FALSE)</f>
        <v>0</v>
      </c>
    </row>
    <row r="3554">
      <c r="A3554" s="210" t="str">
        <f>IFERROR(__xludf.DUMMYFUNCTION("""COMPUTED_VALUE"""),"1261195")</f>
        <v>1261195</v>
      </c>
      <c r="B3554" s="210" t="str">
        <f>IFERROR(__xludf.DUMMYFUNCTION("""COMPUTED_VALUE"""),"1261195")</f>
        <v>1261195</v>
      </c>
      <c r="C3554" s="213">
        <f>IFERROR(__xludf.DUMMYFUNCTION("""COMPUTED_VALUE"""),46057.57465277778)</f>
        <v>46057.57465</v>
      </c>
      <c r="D3554" s="211" t="str">
        <f>IFERROR(__xludf.DUMMYFUNCTION("""COMPUTED_VALUE"""),"4ec68cf6")</f>
        <v>4ec68cf6</v>
      </c>
      <c r="E3554" s="211" t="str">
        <f>IFERROR(__xludf.DUMMYFUNCTION("""COMPUTED_VALUE"""),"CV Sido Mukti Karya")</f>
        <v>CV Sido Mukti Karya</v>
      </c>
      <c r="F3554" s="211" t="str">
        <f>IFERROR(__xludf.DUMMYFUNCTION("""COMPUTED_VALUE"""),"ef306e54")</f>
        <v>ef306e54</v>
      </c>
      <c r="G3554" s="211" t="str">
        <f>IFERROR(__xludf.DUMMYFUNCTION("""COMPUTED_VALUE"""),"Karbondioksida")</f>
        <v>Karbondioksida</v>
      </c>
      <c r="H3554" s="211" t="str">
        <f>IFERROR(__xludf.DUMMYFUNCTION("""COMPUTED_VALUE"""),"IN")</f>
        <v>IN</v>
      </c>
      <c r="I3554" s="211" t="str">
        <f>IFERROR(__xludf.DUMMYFUNCTION("""COMPUTED_VALUE"""),"EMPTY")</f>
        <v>EMPTY</v>
      </c>
      <c r="J3554" s="211">
        <f>IFERROR(__xludf.DUMMYFUNCTION("""COMPUTED_VALUE"""),1.0)</f>
        <v>1</v>
      </c>
      <c r="K3554" s="210" t="str">
        <f>IFERROR(__xludf.DUMMYFUNCTION("""COMPUTED_VALUE"""),"13053")</f>
        <v>13053</v>
      </c>
      <c r="L3554" s="211">
        <f>IFERROR(__xludf.DUMMYFUNCTION("""COMPUTED_VALUE"""),0.0)</f>
        <v>0</v>
      </c>
      <c r="M3554" s="211"/>
      <c r="N3554" s="211"/>
      <c r="O3554" s="211" t="b">
        <f>IFERROR(__xludf.DUMMYFUNCTION("""COMPUTED_VALUE"""),FALSE)</f>
        <v>0</v>
      </c>
    </row>
    <row r="3555">
      <c r="A3555" s="210" t="str">
        <f>IFERROR(__xludf.DUMMYFUNCTION("""COMPUTED_VALUE"""),"0226812465")</f>
        <v>0226812465</v>
      </c>
      <c r="B3555" s="210" t="str">
        <f>IFERROR(__xludf.DUMMYFUNCTION("""COMPUTED_VALUE"""),"0226812465")</f>
        <v>0226812465</v>
      </c>
      <c r="C3555" s="213">
        <f>IFERROR(__xludf.DUMMYFUNCTION("""COMPUTED_VALUE"""),46058.40056712963)</f>
        <v>46058.40057</v>
      </c>
      <c r="D3555" s="211" t="str">
        <f>IFERROR(__xludf.DUMMYFUNCTION("""COMPUTED_VALUE"""),"b2b5f2c5")</f>
        <v>b2b5f2c5</v>
      </c>
      <c r="E3555" s="211" t="str">
        <f>IFERROR(__xludf.DUMMYFUNCTION("""COMPUTED_VALUE"""),"Bengkel Las Bpk. Ari")</f>
        <v>Bengkel Las Bpk. Ari</v>
      </c>
      <c r="F3555" s="211" t="str">
        <f>IFERROR(__xludf.DUMMYFUNCTION("""COMPUTED_VALUE"""),"8bdbe149")</f>
        <v>8bdbe149</v>
      </c>
      <c r="G3555" s="211" t="str">
        <f>IFERROR(__xludf.DUMMYFUNCTION("""COMPUTED_VALUE"""),"Oksigen 6m3")</f>
        <v>Oksigen 6m3</v>
      </c>
      <c r="H3555" s="211" t="str">
        <f>IFERROR(__xludf.DUMMYFUNCTION("""COMPUTED_VALUE"""),"OUT")</f>
        <v>OUT</v>
      </c>
      <c r="I3555" s="211" t="str">
        <f>IFERROR(__xludf.DUMMYFUNCTION("""COMPUTED_VALUE"""),"NORMAL")</f>
        <v>NORMAL</v>
      </c>
      <c r="J3555" s="211">
        <f>IFERROR(__xludf.DUMMYFUNCTION("""COMPUTED_VALUE"""),3.0)</f>
        <v>3</v>
      </c>
      <c r="K3555" s="210" t="str">
        <f>IFERROR(__xludf.DUMMYFUNCTION("""COMPUTED_VALUE"""),"11311 11354 1158")</f>
        <v>11311 11354 1158</v>
      </c>
      <c r="L3555" s="211">
        <f>IFERROR(__xludf.DUMMYFUNCTION("""COMPUTED_VALUE"""),60000.0)</f>
        <v>60000</v>
      </c>
      <c r="M3555" s="211"/>
      <c r="N3555" s="211"/>
      <c r="O3555" s="211" t="b">
        <f>IFERROR(__xludf.DUMMYFUNCTION("""COMPUTED_VALUE"""),FALSE)</f>
        <v>0</v>
      </c>
    </row>
    <row r="3556">
      <c r="A3556" s="210" t="str">
        <f>IFERROR(__xludf.DUMMYFUNCTION("""COMPUTED_VALUE"""),"0226812465")</f>
        <v>0226812465</v>
      </c>
      <c r="B3556" s="210" t="str">
        <f>IFERROR(__xludf.DUMMYFUNCTION("""COMPUTED_VALUE"""),"0226812465")</f>
        <v>0226812465</v>
      </c>
      <c r="C3556" s="213">
        <f>IFERROR(__xludf.DUMMYFUNCTION("""COMPUTED_VALUE"""),46058.40056712963)</f>
        <v>46058.40057</v>
      </c>
      <c r="D3556" s="211" t="str">
        <f>IFERROR(__xludf.DUMMYFUNCTION("""COMPUTED_VALUE"""),"b2b5f2c5")</f>
        <v>b2b5f2c5</v>
      </c>
      <c r="E3556" s="211" t="str">
        <f>IFERROR(__xludf.DUMMYFUNCTION("""COMPUTED_VALUE"""),"Bengkel Las Bpk. Ari")</f>
        <v>Bengkel Las Bpk. Ari</v>
      </c>
      <c r="F3556" s="211" t="str">
        <f>IFERROR(__xludf.DUMMYFUNCTION("""COMPUTED_VALUE"""),"ef306e54")</f>
        <v>ef306e54</v>
      </c>
      <c r="G3556" s="211" t="str">
        <f>IFERROR(__xludf.DUMMYFUNCTION("""COMPUTED_VALUE"""),"Karbondioksida")</f>
        <v>Karbondioksida</v>
      </c>
      <c r="H3556" s="211" t="str">
        <f>IFERROR(__xludf.DUMMYFUNCTION("""COMPUTED_VALUE"""),"OUT")</f>
        <v>OUT</v>
      </c>
      <c r="I3556" s="211" t="str">
        <f>IFERROR(__xludf.DUMMYFUNCTION("""COMPUTED_VALUE"""),"NORMAL")</f>
        <v>NORMAL</v>
      </c>
      <c r="J3556" s="211">
        <f>IFERROR(__xludf.DUMMYFUNCTION("""COMPUTED_VALUE"""),3.0)</f>
        <v>3</v>
      </c>
      <c r="K3556" s="210" t="str">
        <f>IFERROR(__xludf.DUMMYFUNCTION("""COMPUTED_VALUE"""),"13072 13073 13071")</f>
        <v>13072 13073 13071</v>
      </c>
      <c r="L3556" s="211">
        <f>IFERROR(__xludf.DUMMYFUNCTION("""COMPUTED_VALUE"""),180000.0)</f>
        <v>180000</v>
      </c>
      <c r="M3556" s="211"/>
      <c r="N3556" s="211"/>
      <c r="O3556" s="211" t="b">
        <f>IFERROR(__xludf.DUMMYFUNCTION("""COMPUTED_VALUE"""),FALSE)</f>
        <v>0</v>
      </c>
    </row>
    <row r="3557">
      <c r="A3557" s="210" t="str">
        <f>IFERROR(__xludf.DUMMYFUNCTION("""COMPUTED_VALUE"""),"1261197")</f>
        <v>1261197</v>
      </c>
      <c r="B3557" s="210" t="str">
        <f>IFERROR(__xludf.DUMMYFUNCTION("""COMPUTED_VALUE"""),"1261197")</f>
        <v>1261197</v>
      </c>
      <c r="C3557" s="213">
        <f>IFERROR(__xludf.DUMMYFUNCTION("""COMPUTED_VALUE"""),46058.526921296296)</f>
        <v>46058.52692</v>
      </c>
      <c r="D3557" s="211" t="str">
        <f>IFERROR(__xludf.DUMMYFUNCTION("""COMPUTED_VALUE"""),"dcdf8b31")</f>
        <v>dcdf8b31</v>
      </c>
      <c r="E3557" s="211" t="str">
        <f>IFERROR(__xludf.DUMMYFUNCTION("""COMPUTED_VALUE"""),"Bpk. Samsul (Jetis)")</f>
        <v>Bpk. Samsul (Jetis)</v>
      </c>
      <c r="F3557" s="211" t="str">
        <f>IFERROR(__xludf.DUMMYFUNCTION("""COMPUTED_VALUE"""),"7d2764f1")</f>
        <v>7d2764f1</v>
      </c>
      <c r="G3557" s="211" t="str">
        <f>IFERROR(__xludf.DUMMYFUNCTION("""COMPUTED_VALUE"""),"Oksigen 7m3")</f>
        <v>Oksigen 7m3</v>
      </c>
      <c r="H3557" s="211" t="str">
        <f>IFERROR(__xludf.DUMMYFUNCTION("""COMPUTED_VALUE"""),"IN")</f>
        <v>IN</v>
      </c>
      <c r="I3557" s="211" t="str">
        <f>IFERROR(__xludf.DUMMYFUNCTION("""COMPUTED_VALUE"""),"EMPTY")</f>
        <v>EMPTY</v>
      </c>
      <c r="J3557" s="211">
        <f>IFERROR(__xludf.DUMMYFUNCTION("""COMPUTED_VALUE"""),1.0)</f>
        <v>1</v>
      </c>
      <c r="K3557" s="210" t="str">
        <f>IFERROR(__xludf.DUMMYFUNCTION("""COMPUTED_VALUE"""),"11305")</f>
        <v>11305</v>
      </c>
      <c r="L3557" s="211">
        <f>IFERROR(__xludf.DUMMYFUNCTION("""COMPUTED_VALUE"""),0.0)</f>
        <v>0</v>
      </c>
      <c r="M3557" s="211"/>
      <c r="N3557" s="211"/>
      <c r="O3557" s="211" t="b">
        <f>IFERROR(__xludf.DUMMYFUNCTION("""COMPUTED_VALUE"""),FALSE)</f>
        <v>0</v>
      </c>
    </row>
    <row r="3558">
      <c r="A3558" s="211"/>
      <c r="B3558" s="211"/>
      <c r="C3558" s="211"/>
      <c r="D3558" s="211"/>
      <c r="E3558" s="211"/>
      <c r="F3558" s="211"/>
      <c r="G3558" s="211"/>
      <c r="H3558" s="211"/>
      <c r="I3558" s="211"/>
      <c r="J3558" s="211"/>
      <c r="K3558" s="211"/>
      <c r="L3558" s="211"/>
      <c r="M3558" s="211"/>
      <c r="N3558" s="211"/>
      <c r="O3558" s="211"/>
    </row>
    <row r="3559">
      <c r="A3559" s="210" t="str">
        <f>IFERROR(__xludf.DUMMYFUNCTION("""COMPUTED_VALUE"""),"1261196")</f>
        <v>1261196</v>
      </c>
      <c r="B3559" s="210" t="str">
        <f>IFERROR(__xludf.DUMMYFUNCTION("""COMPUTED_VALUE"""),"1261196")</f>
        <v>1261196</v>
      </c>
      <c r="C3559" s="213">
        <f>IFERROR(__xludf.DUMMYFUNCTION("""COMPUTED_VALUE"""),46058.527233796296)</f>
        <v>46058.52723</v>
      </c>
      <c r="D3559" s="211" t="str">
        <f>IFERROR(__xludf.DUMMYFUNCTION("""COMPUTED_VALUE"""),"3bcd7fe6")</f>
        <v>3bcd7fe6</v>
      </c>
      <c r="E3559" s="211" t="str">
        <f>IFERROR(__xludf.DUMMYFUNCTION("""COMPUTED_VALUE"""),"Bpk. Alvin (LB Group)")</f>
        <v>Bpk. Alvin (LB Group)</v>
      </c>
      <c r="F3559" s="211" t="str">
        <f>IFERROR(__xludf.DUMMYFUNCTION("""COMPUTED_VALUE"""),"7d2764f1")</f>
        <v>7d2764f1</v>
      </c>
      <c r="G3559" s="211" t="str">
        <f>IFERROR(__xludf.DUMMYFUNCTION("""COMPUTED_VALUE"""),"Oksigen 7m3")</f>
        <v>Oksigen 7m3</v>
      </c>
      <c r="H3559" s="211" t="str">
        <f>IFERROR(__xludf.DUMMYFUNCTION("""COMPUTED_VALUE"""),"IN")</f>
        <v>IN</v>
      </c>
      <c r="I3559" s="211" t="str">
        <f>IFERROR(__xludf.DUMMYFUNCTION("""COMPUTED_VALUE"""),"EMPTY")</f>
        <v>EMPTY</v>
      </c>
      <c r="J3559" s="211">
        <f>IFERROR(__xludf.DUMMYFUNCTION("""COMPUTED_VALUE"""),1.0)</f>
        <v>1</v>
      </c>
      <c r="K3559" s="210" t="str">
        <f>IFERROR(__xludf.DUMMYFUNCTION("""COMPUTED_VALUE"""),"11216")</f>
        <v>11216</v>
      </c>
      <c r="L3559" s="211">
        <f>IFERROR(__xludf.DUMMYFUNCTION("""COMPUTED_VALUE"""),0.0)</f>
        <v>0</v>
      </c>
      <c r="M3559" s="211"/>
      <c r="N3559" s="211"/>
      <c r="O3559" s="211" t="b">
        <f>IFERROR(__xludf.DUMMYFUNCTION("""COMPUTED_VALUE"""),FALSE)</f>
        <v>0</v>
      </c>
    </row>
    <row r="3560">
      <c r="A3560" s="210" t="str">
        <f>IFERROR(__xludf.DUMMYFUNCTION("""COMPUTED_VALUE"""),"1261196")</f>
        <v>1261196</v>
      </c>
      <c r="B3560" s="210" t="str">
        <f>IFERROR(__xludf.DUMMYFUNCTION("""COMPUTED_VALUE"""),"1261196")</f>
        <v>1261196</v>
      </c>
      <c r="C3560" s="213">
        <f>IFERROR(__xludf.DUMMYFUNCTION("""COMPUTED_VALUE"""),46058.527233796296)</f>
        <v>46058.52723</v>
      </c>
      <c r="D3560" s="211" t="str">
        <f>IFERROR(__xludf.DUMMYFUNCTION("""COMPUTED_VALUE"""),"3bcd7fe6")</f>
        <v>3bcd7fe6</v>
      </c>
      <c r="E3560" s="211" t="str">
        <f>IFERROR(__xludf.DUMMYFUNCTION("""COMPUTED_VALUE"""),"Bpk. Alvin (LB Group)")</f>
        <v>Bpk. Alvin (LB Group)</v>
      </c>
      <c r="F3560" s="211" t="str">
        <f>IFERROR(__xludf.DUMMYFUNCTION("""COMPUTED_VALUE"""),"f6aab7a9")</f>
        <v>f6aab7a9</v>
      </c>
      <c r="G3560" s="211" t="str">
        <f>IFERROR(__xludf.DUMMYFUNCTION("""COMPUTED_VALUE"""),"Oksigen 6m3 MR")</f>
        <v>Oksigen 6m3 MR</v>
      </c>
      <c r="H3560" s="211" t="str">
        <f>IFERROR(__xludf.DUMMYFUNCTION("""COMPUTED_VALUE"""),"IN")</f>
        <v>IN</v>
      </c>
      <c r="I3560" s="211" t="str">
        <f>IFERROR(__xludf.DUMMYFUNCTION("""COMPUTED_VALUE"""),"EMPTY")</f>
        <v>EMPTY</v>
      </c>
      <c r="J3560" s="211">
        <f>IFERROR(__xludf.DUMMYFUNCTION("""COMPUTED_VALUE"""),2.0)</f>
        <v>2</v>
      </c>
      <c r="K3560" s="211"/>
      <c r="L3560" s="211">
        <f>IFERROR(__xludf.DUMMYFUNCTION("""COMPUTED_VALUE"""),0.0)</f>
        <v>0</v>
      </c>
      <c r="M3560" s="211"/>
      <c r="N3560" s="211"/>
      <c r="O3560" s="211" t="b">
        <f>IFERROR(__xludf.DUMMYFUNCTION("""COMPUTED_VALUE"""),FALSE)</f>
        <v>0</v>
      </c>
    </row>
    <row r="3561">
      <c r="A3561" s="210" t="str">
        <f>IFERROR(__xludf.DUMMYFUNCTION("""COMPUTED_VALUE"""),"1261190")</f>
        <v>1261190</v>
      </c>
      <c r="B3561" s="210" t="str">
        <f>IFERROR(__xludf.DUMMYFUNCTION("""COMPUTED_VALUE"""),"1261190")</f>
        <v>1261190</v>
      </c>
      <c r="C3561" s="213">
        <f>IFERROR(__xludf.DUMMYFUNCTION("""COMPUTED_VALUE"""),46058.59780092593)</f>
        <v>46058.5978</v>
      </c>
      <c r="D3561" s="211" t="str">
        <f>IFERROR(__xludf.DUMMYFUNCTION("""COMPUTED_VALUE"""),"b2b5f2c5")</f>
        <v>b2b5f2c5</v>
      </c>
      <c r="E3561" s="211" t="str">
        <f>IFERROR(__xludf.DUMMYFUNCTION("""COMPUTED_VALUE"""),"Bengkel Las Bpk. Ari")</f>
        <v>Bengkel Las Bpk. Ari</v>
      </c>
      <c r="F3561" s="211" t="str">
        <f>IFERROR(__xludf.DUMMYFUNCTION("""COMPUTED_VALUE"""),"8bdbe149")</f>
        <v>8bdbe149</v>
      </c>
      <c r="G3561" s="211" t="str">
        <f>IFERROR(__xludf.DUMMYFUNCTION("""COMPUTED_VALUE"""),"Oksigen 6m3")</f>
        <v>Oksigen 6m3</v>
      </c>
      <c r="H3561" s="211" t="str">
        <f>IFERROR(__xludf.DUMMYFUNCTION("""COMPUTED_VALUE"""),"IN")</f>
        <v>IN</v>
      </c>
      <c r="I3561" s="211" t="str">
        <f>IFERROR(__xludf.DUMMYFUNCTION("""COMPUTED_VALUE"""),"EMPTY")</f>
        <v>EMPTY</v>
      </c>
      <c r="J3561" s="211">
        <f>IFERROR(__xludf.DUMMYFUNCTION("""COMPUTED_VALUE"""),2.0)</f>
        <v>2</v>
      </c>
      <c r="K3561" s="210" t="str">
        <f>IFERROR(__xludf.DUMMYFUNCTION("""COMPUTED_VALUE"""),"1127 11324")</f>
        <v>1127 11324</v>
      </c>
      <c r="L3561" s="211">
        <f>IFERROR(__xludf.DUMMYFUNCTION("""COMPUTED_VALUE"""),0.0)</f>
        <v>0</v>
      </c>
      <c r="M3561" s="211"/>
      <c r="N3561" s="211"/>
      <c r="O3561" s="211" t="b">
        <f>IFERROR(__xludf.DUMMYFUNCTION("""COMPUTED_VALUE"""),FALSE)</f>
        <v>0</v>
      </c>
    </row>
    <row r="3562">
      <c r="A3562" s="210" t="str">
        <f>IFERROR(__xludf.DUMMYFUNCTION("""COMPUTED_VALUE"""),"1261190")</f>
        <v>1261190</v>
      </c>
      <c r="B3562" s="210" t="str">
        <f>IFERROR(__xludf.DUMMYFUNCTION("""COMPUTED_VALUE"""),"1261190")</f>
        <v>1261190</v>
      </c>
      <c r="C3562" s="213">
        <f>IFERROR(__xludf.DUMMYFUNCTION("""COMPUTED_VALUE"""),46058.59780092593)</f>
        <v>46058.5978</v>
      </c>
      <c r="D3562" s="211" t="str">
        <f>IFERROR(__xludf.DUMMYFUNCTION("""COMPUTED_VALUE"""),"b2b5f2c5")</f>
        <v>b2b5f2c5</v>
      </c>
      <c r="E3562" s="211" t="str">
        <f>IFERROR(__xludf.DUMMYFUNCTION("""COMPUTED_VALUE"""),"Bengkel Las Bpk. Ari")</f>
        <v>Bengkel Las Bpk. Ari</v>
      </c>
      <c r="F3562" s="211" t="str">
        <f>IFERROR(__xludf.DUMMYFUNCTION("""COMPUTED_VALUE"""),"ef306e54")</f>
        <v>ef306e54</v>
      </c>
      <c r="G3562" s="211" t="str">
        <f>IFERROR(__xludf.DUMMYFUNCTION("""COMPUTED_VALUE"""),"Karbondioksida")</f>
        <v>Karbondioksida</v>
      </c>
      <c r="H3562" s="211" t="str">
        <f>IFERROR(__xludf.DUMMYFUNCTION("""COMPUTED_VALUE"""),"IN")</f>
        <v>IN</v>
      </c>
      <c r="I3562" s="211" t="str">
        <f>IFERROR(__xludf.DUMMYFUNCTION("""COMPUTED_VALUE"""),"EMPTY")</f>
        <v>EMPTY</v>
      </c>
      <c r="J3562" s="211">
        <f>IFERROR(__xludf.DUMMYFUNCTION("""COMPUTED_VALUE"""),4.0)</f>
        <v>4</v>
      </c>
      <c r="K3562" s="210" t="str">
        <f>IFERROR(__xludf.DUMMYFUNCTION("""COMPUTED_VALUE"""),"13004 13070 13069 13043")</f>
        <v>13004 13070 13069 13043</v>
      </c>
      <c r="L3562" s="211">
        <f>IFERROR(__xludf.DUMMYFUNCTION("""COMPUTED_VALUE"""),0.0)</f>
        <v>0</v>
      </c>
      <c r="M3562" s="211"/>
      <c r="N3562" s="211"/>
      <c r="O3562" s="211" t="b">
        <f>IFERROR(__xludf.DUMMYFUNCTION("""COMPUTED_VALUE"""),FALSE)</f>
        <v>0</v>
      </c>
    </row>
    <row r="3563">
      <c r="A3563" s="210" t="str">
        <f>IFERROR(__xludf.DUMMYFUNCTION("""COMPUTED_VALUE"""),"1261189")</f>
        <v>1261189</v>
      </c>
      <c r="B3563" s="210" t="str">
        <f>IFERROR(__xludf.DUMMYFUNCTION("""COMPUTED_VALUE"""),"1261189")</f>
        <v>1261189</v>
      </c>
      <c r="C3563" s="213">
        <f>IFERROR(__xludf.DUMMYFUNCTION("""COMPUTED_VALUE"""),46058.59832175926)</f>
        <v>46058.59832</v>
      </c>
      <c r="D3563" s="211" t="str">
        <f>IFERROR(__xludf.DUMMYFUNCTION("""COMPUTED_VALUE"""),"f8a982a4")</f>
        <v>f8a982a4</v>
      </c>
      <c r="E3563" s="211" t="str">
        <f>IFERROR(__xludf.DUMMYFUNCTION("""COMPUTED_VALUE"""),"Bpk. Nasir")</f>
        <v>Bpk. Nasir</v>
      </c>
      <c r="F3563" s="211" t="str">
        <f>IFERROR(__xludf.DUMMYFUNCTION("""COMPUTED_VALUE"""),"7d2764f1")</f>
        <v>7d2764f1</v>
      </c>
      <c r="G3563" s="211" t="str">
        <f>IFERROR(__xludf.DUMMYFUNCTION("""COMPUTED_VALUE"""),"Oksigen 7m3")</f>
        <v>Oksigen 7m3</v>
      </c>
      <c r="H3563" s="211" t="str">
        <f>IFERROR(__xludf.DUMMYFUNCTION("""COMPUTED_VALUE"""),"IN")</f>
        <v>IN</v>
      </c>
      <c r="I3563" s="211" t="str">
        <f>IFERROR(__xludf.DUMMYFUNCTION("""COMPUTED_VALUE"""),"EMPTY")</f>
        <v>EMPTY</v>
      </c>
      <c r="J3563" s="211">
        <f>IFERROR(__xludf.DUMMYFUNCTION("""COMPUTED_VALUE"""),2.0)</f>
        <v>2</v>
      </c>
      <c r="K3563" s="210" t="str">
        <f>IFERROR(__xludf.DUMMYFUNCTION("""COMPUTED_VALUE"""),"11142 11300")</f>
        <v>11142 11300</v>
      </c>
      <c r="L3563" s="211">
        <f>IFERROR(__xludf.DUMMYFUNCTION("""COMPUTED_VALUE"""),0.0)</f>
        <v>0</v>
      </c>
      <c r="M3563" s="211"/>
      <c r="N3563" s="211"/>
      <c r="O3563" s="211" t="b">
        <f>IFERROR(__xludf.DUMMYFUNCTION("""COMPUTED_VALUE"""),FALSE)</f>
        <v>0</v>
      </c>
    </row>
    <row r="3564">
      <c r="A3564" s="210" t="str">
        <f>IFERROR(__xludf.DUMMYFUNCTION("""COMPUTED_VALUE"""),"022642468")</f>
        <v>022642468</v>
      </c>
      <c r="B3564" s="210" t="str">
        <f>IFERROR(__xludf.DUMMYFUNCTION("""COMPUTED_VALUE"""),"022642468")</f>
        <v>022642468</v>
      </c>
      <c r="C3564" s="213">
        <f>IFERROR(__xludf.DUMMYFUNCTION("""COMPUTED_VALUE"""),46058.623506944445)</f>
        <v>46058.62351</v>
      </c>
      <c r="D3564" s="211" t="str">
        <f>IFERROR(__xludf.DUMMYFUNCTION("""COMPUTED_VALUE"""),"1c4d5e93")</f>
        <v>1c4d5e93</v>
      </c>
      <c r="E3564" s="211" t="str">
        <f>IFERROR(__xludf.DUMMYFUNCTION("""COMPUTED_VALUE"""),"Karoseri Cipta Mitra Sukses")</f>
        <v>Karoseri Cipta Mitra Sukses</v>
      </c>
      <c r="F3564" s="211" t="str">
        <f>IFERROR(__xludf.DUMMYFUNCTION("""COMPUTED_VALUE"""),"ef306e54")</f>
        <v>ef306e54</v>
      </c>
      <c r="G3564" s="211" t="str">
        <f>IFERROR(__xludf.DUMMYFUNCTION("""COMPUTED_VALUE"""),"Karbondioksida")</f>
        <v>Karbondioksida</v>
      </c>
      <c r="H3564" s="211" t="str">
        <f>IFERROR(__xludf.DUMMYFUNCTION("""COMPUTED_VALUE"""),"OUT")</f>
        <v>OUT</v>
      </c>
      <c r="I3564" s="211" t="str">
        <f>IFERROR(__xludf.DUMMYFUNCTION("""COMPUTED_VALUE"""),"NORMAL")</f>
        <v>NORMAL</v>
      </c>
      <c r="J3564" s="211">
        <f>IFERROR(__xludf.DUMMYFUNCTION("""COMPUTED_VALUE"""),3.0)</f>
        <v>3</v>
      </c>
      <c r="K3564" s="210" t="str">
        <f>IFERROR(__xludf.DUMMYFUNCTION("""COMPUTED_VALUE"""),"13053 13074 13075")</f>
        <v>13053 13074 13075</v>
      </c>
      <c r="L3564" s="211">
        <f>IFERROR(__xludf.DUMMYFUNCTION("""COMPUTED_VALUE"""),190000.0)</f>
        <v>190000</v>
      </c>
      <c r="M3564" s="211"/>
      <c r="N3564" s="211"/>
      <c r="O3564" s="211" t="b">
        <f>IFERROR(__xludf.DUMMYFUNCTION("""COMPUTED_VALUE"""),FALSE)</f>
        <v>0</v>
      </c>
    </row>
    <row r="3565">
      <c r="A3565" s="210" t="str">
        <f>IFERROR(__xludf.DUMMYFUNCTION("""COMPUTED_VALUE"""),"022642468")</f>
        <v>022642468</v>
      </c>
      <c r="B3565" s="210" t="str">
        <f>IFERROR(__xludf.DUMMYFUNCTION("""COMPUTED_VALUE"""),"022642468")</f>
        <v>022642468</v>
      </c>
      <c r="C3565" s="213">
        <f>IFERROR(__xludf.DUMMYFUNCTION("""COMPUTED_VALUE"""),46058.623506944445)</f>
        <v>46058.62351</v>
      </c>
      <c r="D3565" s="211" t="str">
        <f>IFERROR(__xludf.DUMMYFUNCTION("""COMPUTED_VALUE"""),"1c4d5e93")</f>
        <v>1c4d5e93</v>
      </c>
      <c r="E3565" s="211" t="str">
        <f>IFERROR(__xludf.DUMMYFUNCTION("""COMPUTED_VALUE"""),"Karoseri Cipta Mitra Sukses")</f>
        <v>Karoseri Cipta Mitra Sukses</v>
      </c>
      <c r="F3565" s="211" t="str">
        <f>IFERROR(__xludf.DUMMYFUNCTION("""COMPUTED_VALUE"""),"8bdbe149")</f>
        <v>8bdbe149</v>
      </c>
      <c r="G3565" s="211" t="str">
        <f>IFERROR(__xludf.DUMMYFUNCTION("""COMPUTED_VALUE"""),"Oksigen 6m3")</f>
        <v>Oksigen 6m3</v>
      </c>
      <c r="H3565" s="211" t="str">
        <f>IFERROR(__xludf.DUMMYFUNCTION("""COMPUTED_VALUE"""),"OUT")</f>
        <v>OUT</v>
      </c>
      <c r="I3565" s="211" t="str">
        <f>IFERROR(__xludf.DUMMYFUNCTION("""COMPUTED_VALUE"""),"NORMAL")</f>
        <v>NORMAL</v>
      </c>
      <c r="J3565" s="211">
        <f>IFERROR(__xludf.DUMMYFUNCTION("""COMPUTED_VALUE"""),2.0)</f>
        <v>2</v>
      </c>
      <c r="K3565" s="210" t="str">
        <f>IFERROR(__xludf.DUMMYFUNCTION("""COMPUTED_VALUE"""),"1111 1194")</f>
        <v>1111 1194</v>
      </c>
      <c r="L3565" s="211">
        <f>IFERROR(__xludf.DUMMYFUNCTION("""COMPUTED_VALUE"""),60000.0)</f>
        <v>60000</v>
      </c>
      <c r="M3565" s="211"/>
      <c r="N3565" s="211"/>
      <c r="O3565" s="211" t="b">
        <f>IFERROR(__xludf.DUMMYFUNCTION("""COMPUTED_VALUE"""),FALSE)</f>
        <v>0</v>
      </c>
    </row>
    <row r="3566">
      <c r="A3566" s="210" t="str">
        <f>IFERROR(__xludf.DUMMYFUNCTION("""COMPUTED_VALUE"""),"1261199")</f>
        <v>1261199</v>
      </c>
      <c r="B3566" s="210" t="str">
        <f>IFERROR(__xludf.DUMMYFUNCTION("""COMPUTED_VALUE"""),"1261199")</f>
        <v>1261199</v>
      </c>
      <c r="C3566" s="213">
        <f>IFERROR(__xludf.DUMMYFUNCTION("""COMPUTED_VALUE"""),46058.68583333334)</f>
        <v>46058.68583</v>
      </c>
      <c r="D3566" s="211" t="str">
        <f>IFERROR(__xludf.DUMMYFUNCTION("""COMPUTED_VALUE"""),"7b9d8eba")</f>
        <v>7b9d8eba</v>
      </c>
      <c r="E3566" s="211" t="str">
        <f>IFERROR(__xludf.DUMMYFUNCTION("""COMPUTED_VALUE"""),"PT PELANGI INDOKARYA")</f>
        <v>PT PELANGI INDOKARYA</v>
      </c>
      <c r="F3566" s="211" t="str">
        <f>IFERROR(__xludf.DUMMYFUNCTION("""COMPUTED_VALUE"""),"ef306e54")</f>
        <v>ef306e54</v>
      </c>
      <c r="G3566" s="211" t="str">
        <f>IFERROR(__xludf.DUMMYFUNCTION("""COMPUTED_VALUE"""),"Karbondioksida")</f>
        <v>Karbondioksida</v>
      </c>
      <c r="H3566" s="211" t="str">
        <f>IFERROR(__xludf.DUMMYFUNCTION("""COMPUTED_VALUE"""),"IN")</f>
        <v>IN</v>
      </c>
      <c r="I3566" s="211" t="str">
        <f>IFERROR(__xludf.DUMMYFUNCTION("""COMPUTED_VALUE"""),"EMPTY")</f>
        <v>EMPTY</v>
      </c>
      <c r="J3566" s="211">
        <f>IFERROR(__xludf.DUMMYFUNCTION("""COMPUTED_VALUE"""),1.0)</f>
        <v>1</v>
      </c>
      <c r="K3566" s="210" t="str">
        <f>IFERROR(__xludf.DUMMYFUNCTION("""COMPUTED_VALUE"""),"13039")</f>
        <v>13039</v>
      </c>
      <c r="L3566" s="211">
        <f>IFERROR(__xludf.DUMMYFUNCTION("""COMPUTED_VALUE"""),0.0)</f>
        <v>0</v>
      </c>
      <c r="M3566" s="211"/>
      <c r="N3566" s="211"/>
      <c r="O3566" s="211" t="b">
        <f>IFERROR(__xludf.DUMMYFUNCTION("""COMPUTED_VALUE"""),FALSE)</f>
        <v>0</v>
      </c>
    </row>
    <row r="3567">
      <c r="A3567" s="210" t="str">
        <f>IFERROR(__xludf.DUMMYFUNCTION("""COMPUTED_VALUE"""),"1261198")</f>
        <v>1261198</v>
      </c>
      <c r="B3567" s="210" t="str">
        <f>IFERROR(__xludf.DUMMYFUNCTION("""COMPUTED_VALUE"""),"1261198")</f>
        <v>1261198</v>
      </c>
      <c r="C3567" s="213">
        <f>IFERROR(__xludf.DUMMYFUNCTION("""COMPUTED_VALUE"""),46058.68732638889)</f>
        <v>46058.68733</v>
      </c>
      <c r="D3567" s="211" t="str">
        <f>IFERROR(__xludf.DUMMYFUNCTION("""COMPUTED_VALUE"""),"1c4d5e93")</f>
        <v>1c4d5e93</v>
      </c>
      <c r="E3567" s="211" t="str">
        <f>IFERROR(__xludf.DUMMYFUNCTION("""COMPUTED_VALUE"""),"Karoseri Cipta Mitra Sukses")</f>
        <v>Karoseri Cipta Mitra Sukses</v>
      </c>
      <c r="F3567" s="211" t="str">
        <f>IFERROR(__xludf.DUMMYFUNCTION("""COMPUTED_VALUE"""),"8bdbe149")</f>
        <v>8bdbe149</v>
      </c>
      <c r="G3567" s="211" t="str">
        <f>IFERROR(__xludf.DUMMYFUNCTION("""COMPUTED_VALUE"""),"Oksigen 6m3")</f>
        <v>Oksigen 6m3</v>
      </c>
      <c r="H3567" s="211" t="str">
        <f>IFERROR(__xludf.DUMMYFUNCTION("""COMPUTED_VALUE"""),"IN")</f>
        <v>IN</v>
      </c>
      <c r="I3567" s="211" t="str">
        <f>IFERROR(__xludf.DUMMYFUNCTION("""COMPUTED_VALUE"""),"EMPTY")</f>
        <v>EMPTY</v>
      </c>
      <c r="J3567" s="211">
        <f>IFERROR(__xludf.DUMMYFUNCTION("""COMPUTED_VALUE"""),1.0)</f>
        <v>1</v>
      </c>
      <c r="K3567" s="210" t="str">
        <f>IFERROR(__xludf.DUMMYFUNCTION("""COMPUTED_VALUE"""),"1182")</f>
        <v>1182</v>
      </c>
      <c r="L3567" s="211">
        <f>IFERROR(__xludf.DUMMYFUNCTION("""COMPUTED_VALUE"""),0.0)</f>
        <v>0</v>
      </c>
      <c r="M3567" s="211"/>
      <c r="N3567" s="211"/>
      <c r="O3567" s="211" t="b">
        <f>IFERROR(__xludf.DUMMYFUNCTION("""COMPUTED_VALUE"""),FALSE)</f>
        <v>0</v>
      </c>
    </row>
    <row r="3568">
      <c r="A3568" s="210" t="str">
        <f>IFERROR(__xludf.DUMMYFUNCTION("""COMPUTED_VALUE"""),"1261198")</f>
        <v>1261198</v>
      </c>
      <c r="B3568" s="210" t="str">
        <f>IFERROR(__xludf.DUMMYFUNCTION("""COMPUTED_VALUE"""),"1261198")</f>
        <v>1261198</v>
      </c>
      <c r="C3568" s="213">
        <f>IFERROR(__xludf.DUMMYFUNCTION("""COMPUTED_VALUE"""),46058.68732638889)</f>
        <v>46058.68733</v>
      </c>
      <c r="D3568" s="211" t="str">
        <f>IFERROR(__xludf.DUMMYFUNCTION("""COMPUTED_VALUE"""),"1c4d5e93")</f>
        <v>1c4d5e93</v>
      </c>
      <c r="E3568" s="211" t="str">
        <f>IFERROR(__xludf.DUMMYFUNCTION("""COMPUTED_VALUE"""),"Karoseri Cipta Mitra Sukses")</f>
        <v>Karoseri Cipta Mitra Sukses</v>
      </c>
      <c r="F3568" s="211" t="str">
        <f>IFERROR(__xludf.DUMMYFUNCTION("""COMPUTED_VALUE"""),"ef306e54")</f>
        <v>ef306e54</v>
      </c>
      <c r="G3568" s="211" t="str">
        <f>IFERROR(__xludf.DUMMYFUNCTION("""COMPUTED_VALUE"""),"Karbondioksida")</f>
        <v>Karbondioksida</v>
      </c>
      <c r="H3568" s="211" t="str">
        <f>IFERROR(__xludf.DUMMYFUNCTION("""COMPUTED_VALUE"""),"IN")</f>
        <v>IN</v>
      </c>
      <c r="I3568" s="211" t="str">
        <f>IFERROR(__xludf.DUMMYFUNCTION("""COMPUTED_VALUE"""),"EMPTY")</f>
        <v>EMPTY</v>
      </c>
      <c r="J3568" s="211">
        <f>IFERROR(__xludf.DUMMYFUNCTION("""COMPUTED_VALUE"""),1.0)</f>
        <v>1</v>
      </c>
      <c r="K3568" s="210" t="str">
        <f>IFERROR(__xludf.DUMMYFUNCTION("""COMPUTED_VALUE"""),"13037")</f>
        <v>13037</v>
      </c>
      <c r="L3568" s="211">
        <f>IFERROR(__xludf.DUMMYFUNCTION("""COMPUTED_VALUE"""),0.0)</f>
        <v>0</v>
      </c>
      <c r="M3568" s="211"/>
      <c r="N3568" s="211"/>
      <c r="O3568" s="211" t="b">
        <f>IFERROR(__xludf.DUMMYFUNCTION("""COMPUTED_VALUE"""),FALSE)</f>
        <v>0</v>
      </c>
    </row>
    <row r="3569">
      <c r="A3569" s="210" t="str">
        <f>IFERROR(__xludf.DUMMYFUNCTION("""COMPUTED_VALUE"""),"022682472")</f>
        <v>022682472</v>
      </c>
      <c r="B3569" s="210" t="str">
        <f>IFERROR(__xludf.DUMMYFUNCTION("""COMPUTED_VALUE"""),"022682472")</f>
        <v>022682472</v>
      </c>
      <c r="C3569" s="213">
        <f>IFERROR(__xludf.DUMMYFUNCTION("""COMPUTED_VALUE"""),46058.71561342593)</f>
        <v>46058.71561</v>
      </c>
      <c r="D3569" s="211" t="str">
        <f>IFERROR(__xludf.DUMMYFUNCTION("""COMPUTED_VALUE"""),"1d018c98")</f>
        <v>1d018c98</v>
      </c>
      <c r="E3569" s="211" t="str">
        <f>IFERROR(__xludf.DUMMYFUNCTION("""COMPUTED_VALUE"""),"Mbak Angel")</f>
        <v>Mbak Angel</v>
      </c>
      <c r="F3569" s="211" t="str">
        <f>IFERROR(__xludf.DUMMYFUNCTION("""COMPUTED_VALUE"""),"e8544a46")</f>
        <v>e8544a46</v>
      </c>
      <c r="G3569" s="211" t="str">
        <f>IFERROR(__xludf.DUMMYFUNCTION("""COMPUTED_VALUE"""),"Oksigen 1m3")</f>
        <v>Oksigen 1m3</v>
      </c>
      <c r="H3569" s="211" t="str">
        <f>IFERROR(__xludf.DUMMYFUNCTION("""COMPUTED_VALUE"""),"OUT")</f>
        <v>OUT</v>
      </c>
      <c r="I3569" s="211" t="str">
        <f>IFERROR(__xludf.DUMMYFUNCTION("""COMPUTED_VALUE"""),"NORMAL")</f>
        <v>NORMAL</v>
      </c>
      <c r="J3569" s="211">
        <f>IFERROR(__xludf.DUMMYFUNCTION("""COMPUTED_VALUE"""),1.0)</f>
        <v>1</v>
      </c>
      <c r="K3569" s="210" t="str">
        <f>IFERROR(__xludf.DUMMYFUNCTION("""COMPUTED_VALUE"""),"0003")</f>
        <v>0003</v>
      </c>
      <c r="L3569" s="211">
        <f>IFERROR(__xludf.DUMMYFUNCTION("""COMPUTED_VALUE"""),50000.0)</f>
        <v>50000</v>
      </c>
      <c r="M3569" s="211"/>
      <c r="N3569" s="211"/>
      <c r="O3569" s="211" t="b">
        <f>IFERROR(__xludf.DUMMYFUNCTION("""COMPUTED_VALUE"""),FALSE)</f>
        <v>0</v>
      </c>
    </row>
    <row r="3570">
      <c r="A3570" s="210" t="str">
        <f>IFERROR(__xludf.DUMMYFUNCTION("""COMPUTED_VALUE"""),"022682472")</f>
        <v>022682472</v>
      </c>
      <c r="B3570" s="210" t="str">
        <f>IFERROR(__xludf.DUMMYFUNCTION("""COMPUTED_VALUE"""),"022682472")</f>
        <v>022682472</v>
      </c>
      <c r="C3570" s="213">
        <f>IFERROR(__xludf.DUMMYFUNCTION("""COMPUTED_VALUE"""),46058.71561342593)</f>
        <v>46058.71561</v>
      </c>
      <c r="D3570" s="211" t="str">
        <f>IFERROR(__xludf.DUMMYFUNCTION("""COMPUTED_VALUE"""),"1d018c98")</f>
        <v>1d018c98</v>
      </c>
      <c r="E3570" s="211" t="str">
        <f>IFERROR(__xludf.DUMMYFUNCTION("""COMPUTED_VALUE"""),"Mbak Angel")</f>
        <v>Mbak Angel</v>
      </c>
      <c r="F3570" s="211" t="str">
        <f>IFERROR(__xludf.DUMMYFUNCTION("""COMPUTED_VALUE"""),"8bdbe149")</f>
        <v>8bdbe149</v>
      </c>
      <c r="G3570" s="211" t="str">
        <f>IFERROR(__xludf.DUMMYFUNCTION("""COMPUTED_VALUE"""),"Oksigen 6m3")</f>
        <v>Oksigen 6m3</v>
      </c>
      <c r="H3570" s="211" t="str">
        <f>IFERROR(__xludf.DUMMYFUNCTION("""COMPUTED_VALUE"""),"OUT")</f>
        <v>OUT</v>
      </c>
      <c r="I3570" s="211" t="str">
        <f>IFERROR(__xludf.DUMMYFUNCTION("""COMPUTED_VALUE"""),"NORMAL")</f>
        <v>NORMAL</v>
      </c>
      <c r="J3570" s="211">
        <f>IFERROR(__xludf.DUMMYFUNCTION("""COMPUTED_VALUE"""),1.0)</f>
        <v>1</v>
      </c>
      <c r="K3570" s="210" t="str">
        <f>IFERROR(__xludf.DUMMYFUNCTION("""COMPUTED_VALUE"""),"11129")</f>
        <v>11129</v>
      </c>
      <c r="L3570" s="211">
        <f>IFERROR(__xludf.DUMMYFUNCTION("""COMPUTED_VALUE"""),80000.0)</f>
        <v>80000</v>
      </c>
      <c r="M3570" s="211"/>
      <c r="N3570" s="211"/>
      <c r="O3570" s="211" t="b">
        <f>IFERROR(__xludf.DUMMYFUNCTION("""COMPUTED_VALUE"""),FALSE)</f>
        <v>0</v>
      </c>
    </row>
    <row r="3571">
      <c r="A3571" s="211"/>
      <c r="B3571" s="211"/>
      <c r="C3571" s="211"/>
      <c r="D3571" s="211"/>
      <c r="E3571" s="211"/>
      <c r="F3571" s="211"/>
      <c r="G3571" s="211"/>
      <c r="H3571" s="211"/>
      <c r="I3571" s="211"/>
      <c r="J3571" s="211"/>
      <c r="K3571" s="211"/>
      <c r="L3571" s="211"/>
      <c r="M3571" s="211"/>
      <c r="N3571" s="211"/>
      <c r="O3571" s="211"/>
    </row>
    <row r="3572">
      <c r="A3572" s="210" t="str">
        <f>IFERROR(__xludf.DUMMYFUNCTION("""COMPUTED_VALUE"""),"1261221")</f>
        <v>1261221</v>
      </c>
      <c r="B3572" s="210" t="str">
        <f>IFERROR(__xludf.DUMMYFUNCTION("""COMPUTED_VALUE"""),"1261221")</f>
        <v>1261221</v>
      </c>
      <c r="C3572" s="213">
        <f>IFERROR(__xludf.DUMMYFUNCTION("""COMPUTED_VALUE"""),46058.75152777778)</f>
        <v>46058.75153</v>
      </c>
      <c r="D3572" s="211" t="str">
        <f>IFERROR(__xludf.DUMMYFUNCTION("""COMPUTED_VALUE"""),"1d018c98")</f>
        <v>1d018c98</v>
      </c>
      <c r="E3572" s="211" t="str">
        <f>IFERROR(__xludf.DUMMYFUNCTION("""COMPUTED_VALUE"""),"Mbak Angel")</f>
        <v>Mbak Angel</v>
      </c>
      <c r="F3572" s="211" t="str">
        <f>IFERROR(__xludf.DUMMYFUNCTION("""COMPUTED_VALUE"""),"2690846b")</f>
        <v>2690846b</v>
      </c>
      <c r="G3572" s="211" t="str">
        <f>IFERROR(__xludf.DUMMYFUNCTION("""COMPUTED_VALUE"""),"Oksigen 1m3 MR")</f>
        <v>Oksigen 1m3 MR</v>
      </c>
      <c r="H3572" s="211" t="str">
        <f>IFERROR(__xludf.DUMMYFUNCTION("""COMPUTED_VALUE"""),"IN")</f>
        <v>IN</v>
      </c>
      <c r="I3572" s="211" t="str">
        <f>IFERROR(__xludf.DUMMYFUNCTION("""COMPUTED_VALUE"""),"EMPTY")</f>
        <v>EMPTY</v>
      </c>
      <c r="J3572" s="211">
        <f>IFERROR(__xludf.DUMMYFUNCTION("""COMPUTED_VALUE"""),1.0)</f>
        <v>1</v>
      </c>
      <c r="K3572" s="211"/>
      <c r="L3572" s="211">
        <f>IFERROR(__xludf.DUMMYFUNCTION("""COMPUTED_VALUE"""),0.0)</f>
        <v>0</v>
      </c>
      <c r="M3572" s="211"/>
      <c r="N3572" s="211"/>
      <c r="O3572" s="211" t="b">
        <f>IFERROR(__xludf.DUMMYFUNCTION("""COMPUTED_VALUE"""),FALSE)</f>
        <v>0</v>
      </c>
    </row>
    <row r="3573">
      <c r="A3573" s="210" t="str">
        <f>IFERROR(__xludf.DUMMYFUNCTION("""COMPUTED_VALUE"""),"1261221")</f>
        <v>1261221</v>
      </c>
      <c r="B3573" s="210" t="str">
        <f>IFERROR(__xludf.DUMMYFUNCTION("""COMPUTED_VALUE"""),"1261221")</f>
        <v>1261221</v>
      </c>
      <c r="C3573" s="213">
        <f>IFERROR(__xludf.DUMMYFUNCTION("""COMPUTED_VALUE"""),46058.75152777778)</f>
        <v>46058.75153</v>
      </c>
      <c r="D3573" s="211" t="str">
        <f>IFERROR(__xludf.DUMMYFUNCTION("""COMPUTED_VALUE"""),"1d018c98")</f>
        <v>1d018c98</v>
      </c>
      <c r="E3573" s="211" t="str">
        <f>IFERROR(__xludf.DUMMYFUNCTION("""COMPUTED_VALUE"""),"Mbak Angel")</f>
        <v>Mbak Angel</v>
      </c>
      <c r="F3573" s="211" t="str">
        <f>IFERROR(__xludf.DUMMYFUNCTION("""COMPUTED_VALUE"""),"8bdbe149")</f>
        <v>8bdbe149</v>
      </c>
      <c r="G3573" s="211" t="str">
        <f>IFERROR(__xludf.DUMMYFUNCTION("""COMPUTED_VALUE"""),"Oksigen 6m3")</f>
        <v>Oksigen 6m3</v>
      </c>
      <c r="H3573" s="211" t="str">
        <f>IFERROR(__xludf.DUMMYFUNCTION("""COMPUTED_VALUE"""),"IN")</f>
        <v>IN</v>
      </c>
      <c r="I3573" s="211" t="str">
        <f>IFERROR(__xludf.DUMMYFUNCTION("""COMPUTED_VALUE"""),"EMPTY")</f>
        <v>EMPTY</v>
      </c>
      <c r="J3573" s="211">
        <f>IFERROR(__xludf.DUMMYFUNCTION("""COMPUTED_VALUE"""),1.0)</f>
        <v>1</v>
      </c>
      <c r="K3573" s="210" t="str">
        <f>IFERROR(__xludf.DUMMYFUNCTION("""COMPUTED_VALUE"""),"11202")</f>
        <v>11202</v>
      </c>
      <c r="L3573" s="211">
        <f>IFERROR(__xludf.DUMMYFUNCTION("""COMPUTED_VALUE"""),0.0)</f>
        <v>0</v>
      </c>
      <c r="M3573" s="211"/>
      <c r="N3573" s="211"/>
      <c r="O3573" s="211" t="b">
        <f>IFERROR(__xludf.DUMMYFUNCTION("""COMPUTED_VALUE"""),FALSE)</f>
        <v>0</v>
      </c>
    </row>
    <row r="3574">
      <c r="A3574" s="210" t="str">
        <f>IFERROR(__xludf.DUMMYFUNCTION("""COMPUTED_VALUE"""),"0226362475")</f>
        <v>0226362475</v>
      </c>
      <c r="B3574" s="210" t="str">
        <f>IFERROR(__xludf.DUMMYFUNCTION("""COMPUTED_VALUE"""),"0226362475")</f>
        <v>0226362475</v>
      </c>
      <c r="C3574" s="213">
        <f>IFERROR(__xludf.DUMMYFUNCTION("""COMPUTED_VALUE"""),46059.4131712963)</f>
        <v>46059.41317</v>
      </c>
      <c r="D3574" s="211" t="str">
        <f>IFERROR(__xludf.DUMMYFUNCTION("""COMPUTED_VALUE"""),"8f5ebaea")</f>
        <v>8f5ebaea</v>
      </c>
      <c r="E3574" s="211" t="str">
        <f>IFERROR(__xludf.DUMMYFUNCTION("""COMPUTED_VALUE"""),"PT Hua Zong Mesindo")</f>
        <v>PT Hua Zong Mesindo</v>
      </c>
      <c r="F3574" s="211" t="str">
        <f>IFERROR(__xludf.DUMMYFUNCTION("""COMPUTED_VALUE"""),"66af7c72")</f>
        <v>66af7c72</v>
      </c>
      <c r="G3574" s="211" t="str">
        <f>IFERROR(__xludf.DUMMYFUNCTION("""COMPUTED_VALUE"""),"Argon 6m3")</f>
        <v>Argon 6m3</v>
      </c>
      <c r="H3574" s="211" t="str">
        <f>IFERROR(__xludf.DUMMYFUNCTION("""COMPUTED_VALUE"""),"OUT")</f>
        <v>OUT</v>
      </c>
      <c r="I3574" s="211" t="str">
        <f>IFERROR(__xludf.DUMMYFUNCTION("""COMPUTED_VALUE"""),"NORMAL")</f>
        <v>NORMAL</v>
      </c>
      <c r="J3574" s="211">
        <f>IFERROR(__xludf.DUMMYFUNCTION("""COMPUTED_VALUE"""),4.0)</f>
        <v>4</v>
      </c>
      <c r="K3574" s="210" t="str">
        <f>IFERROR(__xludf.DUMMYFUNCTION("""COMPUTED_VALUE"""),"12028 12063 12047 12033")</f>
        <v>12028 12063 12047 12033</v>
      </c>
      <c r="L3574" s="211">
        <f>IFERROR(__xludf.DUMMYFUNCTION("""COMPUTED_VALUE"""),215000.0)</f>
        <v>215000</v>
      </c>
      <c r="M3574" s="211"/>
      <c r="N3574" s="211"/>
      <c r="O3574" s="211" t="b">
        <f>IFERROR(__xludf.DUMMYFUNCTION("""COMPUTED_VALUE"""),FALSE)</f>
        <v>0</v>
      </c>
    </row>
    <row r="3575">
      <c r="A3575" s="210" t="str">
        <f>IFERROR(__xludf.DUMMYFUNCTION("""COMPUTED_VALUE"""),"1261224")</f>
        <v>1261224</v>
      </c>
      <c r="B3575" s="210" t="str">
        <f>IFERROR(__xludf.DUMMYFUNCTION("""COMPUTED_VALUE"""),"1261224")</f>
        <v>1261224</v>
      </c>
      <c r="C3575" s="213">
        <f>IFERROR(__xludf.DUMMYFUNCTION("""COMPUTED_VALUE"""),46059.60120370371)</f>
        <v>46059.6012</v>
      </c>
      <c r="D3575" s="211" t="str">
        <f>IFERROR(__xludf.DUMMYFUNCTION("""COMPUTED_VALUE"""),"b2b5f2c5")</f>
        <v>b2b5f2c5</v>
      </c>
      <c r="E3575" s="211" t="str">
        <f>IFERROR(__xludf.DUMMYFUNCTION("""COMPUTED_VALUE"""),"Bengkel Las Bpk. Ari")</f>
        <v>Bengkel Las Bpk. Ari</v>
      </c>
      <c r="F3575" s="211" t="str">
        <f>IFERROR(__xludf.DUMMYFUNCTION("""COMPUTED_VALUE"""),"8bdbe149")</f>
        <v>8bdbe149</v>
      </c>
      <c r="G3575" s="211" t="str">
        <f>IFERROR(__xludf.DUMMYFUNCTION("""COMPUTED_VALUE"""),"Oksigen 6m3")</f>
        <v>Oksigen 6m3</v>
      </c>
      <c r="H3575" s="211" t="str">
        <f>IFERROR(__xludf.DUMMYFUNCTION("""COMPUTED_VALUE"""),"IN")</f>
        <v>IN</v>
      </c>
      <c r="I3575" s="211" t="str">
        <f>IFERROR(__xludf.DUMMYFUNCTION("""COMPUTED_VALUE"""),"EMPTY")</f>
        <v>EMPTY</v>
      </c>
      <c r="J3575" s="211">
        <f>IFERROR(__xludf.DUMMYFUNCTION("""COMPUTED_VALUE"""),2.0)</f>
        <v>2</v>
      </c>
      <c r="K3575" s="210" t="str">
        <f>IFERROR(__xludf.DUMMYFUNCTION("""COMPUTED_VALUE"""),"1183 11315")</f>
        <v>1183 11315</v>
      </c>
      <c r="L3575" s="211">
        <f>IFERROR(__xludf.DUMMYFUNCTION("""COMPUTED_VALUE"""),0.0)</f>
        <v>0</v>
      </c>
      <c r="M3575" s="211"/>
      <c r="N3575" s="211"/>
      <c r="O3575" s="211" t="b">
        <f>IFERROR(__xludf.DUMMYFUNCTION("""COMPUTED_VALUE"""),FALSE)</f>
        <v>0</v>
      </c>
    </row>
    <row r="3576">
      <c r="A3576" s="210" t="str">
        <f>IFERROR(__xludf.DUMMYFUNCTION("""COMPUTED_VALUE"""),"1261224")</f>
        <v>1261224</v>
      </c>
      <c r="B3576" s="210" t="str">
        <f>IFERROR(__xludf.DUMMYFUNCTION("""COMPUTED_VALUE"""),"1261224")</f>
        <v>1261224</v>
      </c>
      <c r="C3576" s="213">
        <f>IFERROR(__xludf.DUMMYFUNCTION("""COMPUTED_VALUE"""),46059.60120370371)</f>
        <v>46059.6012</v>
      </c>
      <c r="D3576" s="211" t="str">
        <f>IFERROR(__xludf.DUMMYFUNCTION("""COMPUTED_VALUE"""),"b2b5f2c5")</f>
        <v>b2b5f2c5</v>
      </c>
      <c r="E3576" s="211" t="str">
        <f>IFERROR(__xludf.DUMMYFUNCTION("""COMPUTED_VALUE"""),"Bengkel Las Bpk. Ari")</f>
        <v>Bengkel Las Bpk. Ari</v>
      </c>
      <c r="F3576" s="211" t="str">
        <f>IFERROR(__xludf.DUMMYFUNCTION("""COMPUTED_VALUE"""),"ef306e54")</f>
        <v>ef306e54</v>
      </c>
      <c r="G3576" s="211" t="str">
        <f>IFERROR(__xludf.DUMMYFUNCTION("""COMPUTED_VALUE"""),"Karbondioksida")</f>
        <v>Karbondioksida</v>
      </c>
      <c r="H3576" s="211" t="str">
        <f>IFERROR(__xludf.DUMMYFUNCTION("""COMPUTED_VALUE"""),"IN")</f>
        <v>IN</v>
      </c>
      <c r="I3576" s="211" t="str">
        <f>IFERROR(__xludf.DUMMYFUNCTION("""COMPUTED_VALUE"""),"EMPTY")</f>
        <v>EMPTY</v>
      </c>
      <c r="J3576" s="211">
        <f>IFERROR(__xludf.DUMMYFUNCTION("""COMPUTED_VALUE"""),1.0)</f>
        <v>1</v>
      </c>
      <c r="K3576" s="210" t="str">
        <f>IFERROR(__xludf.DUMMYFUNCTION("""COMPUTED_VALUE"""),"13067")</f>
        <v>13067</v>
      </c>
      <c r="L3576" s="211">
        <f>IFERROR(__xludf.DUMMYFUNCTION("""COMPUTED_VALUE"""),0.0)</f>
        <v>0</v>
      </c>
      <c r="M3576" s="211"/>
      <c r="N3576" s="211"/>
      <c r="O3576" s="211" t="b">
        <f>IFERROR(__xludf.DUMMYFUNCTION("""COMPUTED_VALUE"""),FALSE)</f>
        <v>0</v>
      </c>
    </row>
    <row r="3577">
      <c r="A3577" s="210" t="str">
        <f>IFERROR(__xludf.DUMMYFUNCTION("""COMPUTED_VALUE"""),"022662478")</f>
        <v>022662478</v>
      </c>
      <c r="B3577" s="210" t="str">
        <f>IFERROR(__xludf.DUMMYFUNCTION("""COMPUTED_VALUE"""),"022662478")</f>
        <v>022662478</v>
      </c>
      <c r="C3577" s="213">
        <f>IFERROR(__xludf.DUMMYFUNCTION("""COMPUTED_VALUE"""),46059.60450231482)</f>
        <v>46059.6045</v>
      </c>
      <c r="D3577" s="211" t="str">
        <f>IFERROR(__xludf.DUMMYFUNCTION("""COMPUTED_VALUE"""),"98c84274")</f>
        <v>98c84274</v>
      </c>
      <c r="E3577" s="211" t="str">
        <f>IFERROR(__xludf.DUMMYFUNCTION("""COMPUTED_VALUE"""),"Bengkel SBM (Pak Hari)")</f>
        <v>Bengkel SBM (Pak Hari)</v>
      </c>
      <c r="F3577" s="211" t="str">
        <f>IFERROR(__xludf.DUMMYFUNCTION("""COMPUTED_VALUE"""),"ef306e54")</f>
        <v>ef306e54</v>
      </c>
      <c r="G3577" s="211" t="str">
        <f>IFERROR(__xludf.DUMMYFUNCTION("""COMPUTED_VALUE"""),"Karbondioksida")</f>
        <v>Karbondioksida</v>
      </c>
      <c r="H3577" s="211" t="str">
        <f>IFERROR(__xludf.DUMMYFUNCTION("""COMPUTED_VALUE"""),"OUT")</f>
        <v>OUT</v>
      </c>
      <c r="I3577" s="211" t="str">
        <f>IFERROR(__xludf.DUMMYFUNCTION("""COMPUTED_VALUE"""),"NORMAL")</f>
        <v>NORMAL</v>
      </c>
      <c r="J3577" s="211">
        <f>IFERROR(__xludf.DUMMYFUNCTION("""COMPUTED_VALUE"""),6.0)</f>
        <v>6</v>
      </c>
      <c r="K3577" s="210" t="str">
        <f>IFERROR(__xludf.DUMMYFUNCTION("""COMPUTED_VALUE"""),"13004 13023 13037 13039 13070 13067")</f>
        <v>13004 13023 13037 13039 13070 13067</v>
      </c>
      <c r="L3577" s="211">
        <f>IFERROR(__xludf.DUMMYFUNCTION("""COMPUTED_VALUE"""),190000.0)</f>
        <v>190000</v>
      </c>
      <c r="M3577" s="211"/>
      <c r="N3577" s="211"/>
      <c r="O3577" s="211" t="b">
        <f>IFERROR(__xludf.DUMMYFUNCTION("""COMPUTED_VALUE"""),FALSE)</f>
        <v>0</v>
      </c>
    </row>
    <row r="3578">
      <c r="A3578" s="210" t="str">
        <f>IFERROR(__xludf.DUMMYFUNCTION("""COMPUTED_VALUE"""),"1261223")</f>
        <v>1261223</v>
      </c>
      <c r="B3578" s="210" t="str">
        <f>IFERROR(__xludf.DUMMYFUNCTION("""COMPUTED_VALUE"""),"1261223")</f>
        <v>1261223</v>
      </c>
      <c r="C3578" s="213">
        <f>IFERROR(__xludf.DUMMYFUNCTION("""COMPUTED_VALUE"""),46059.606782407405)</f>
        <v>46059.60678</v>
      </c>
      <c r="D3578" s="211" t="str">
        <f>IFERROR(__xludf.DUMMYFUNCTION("""COMPUTED_VALUE"""),"f8a982a4")</f>
        <v>f8a982a4</v>
      </c>
      <c r="E3578" s="211" t="str">
        <f>IFERROR(__xludf.DUMMYFUNCTION("""COMPUTED_VALUE"""),"Bpk. Nasir")</f>
        <v>Bpk. Nasir</v>
      </c>
      <c r="F3578" s="211" t="str">
        <f>IFERROR(__xludf.DUMMYFUNCTION("""COMPUTED_VALUE"""),"7d2764f1")</f>
        <v>7d2764f1</v>
      </c>
      <c r="G3578" s="211" t="str">
        <f>IFERROR(__xludf.DUMMYFUNCTION("""COMPUTED_VALUE"""),"Oksigen 7m3")</f>
        <v>Oksigen 7m3</v>
      </c>
      <c r="H3578" s="211" t="str">
        <f>IFERROR(__xludf.DUMMYFUNCTION("""COMPUTED_VALUE"""),"IN")</f>
        <v>IN</v>
      </c>
      <c r="I3578" s="211" t="str">
        <f>IFERROR(__xludf.DUMMYFUNCTION("""COMPUTED_VALUE"""),"EMPTY")</f>
        <v>EMPTY</v>
      </c>
      <c r="J3578" s="211">
        <f>IFERROR(__xludf.DUMMYFUNCTION("""COMPUTED_VALUE"""),1.0)</f>
        <v>1</v>
      </c>
      <c r="K3578" s="210" t="str">
        <f>IFERROR(__xludf.DUMMYFUNCTION("""COMPUTED_VALUE"""),"11139")</f>
        <v>11139</v>
      </c>
      <c r="L3578" s="211">
        <f>IFERROR(__xludf.DUMMYFUNCTION("""COMPUTED_VALUE"""),0.0)</f>
        <v>0</v>
      </c>
      <c r="M3578" s="211"/>
      <c r="N3578" s="211"/>
      <c r="O3578" s="211" t="b">
        <f>IFERROR(__xludf.DUMMYFUNCTION("""COMPUTED_VALUE"""),FALSE)</f>
        <v>0</v>
      </c>
    </row>
    <row r="3579">
      <c r="A3579" s="210" t="str">
        <f>IFERROR(__xludf.DUMMYFUNCTION("""COMPUTED_VALUE"""),"1261222")</f>
        <v>1261222</v>
      </c>
      <c r="B3579" s="210" t="str">
        <f>IFERROR(__xludf.DUMMYFUNCTION("""COMPUTED_VALUE"""),"1261222")</f>
        <v>1261222</v>
      </c>
      <c r="C3579" s="213">
        <f>IFERROR(__xludf.DUMMYFUNCTION("""COMPUTED_VALUE"""),46059.60732638889)</f>
        <v>46059.60733</v>
      </c>
      <c r="D3579" s="211" t="str">
        <f>IFERROR(__xludf.DUMMYFUNCTION("""COMPUTED_VALUE"""),"9828dfc5")</f>
        <v>9828dfc5</v>
      </c>
      <c r="E3579" s="211" t="str">
        <f>IFERROR(__xludf.DUMMYFUNCTION("""COMPUTED_VALUE"""),"Bpk. David")</f>
        <v>Bpk. David</v>
      </c>
      <c r="F3579" s="211" t="str">
        <f>IFERROR(__xludf.DUMMYFUNCTION("""COMPUTED_VALUE"""),"7d2764f1")</f>
        <v>7d2764f1</v>
      </c>
      <c r="G3579" s="211" t="str">
        <f>IFERROR(__xludf.DUMMYFUNCTION("""COMPUTED_VALUE"""),"Oksigen 7m3")</f>
        <v>Oksigen 7m3</v>
      </c>
      <c r="H3579" s="211" t="str">
        <f>IFERROR(__xludf.DUMMYFUNCTION("""COMPUTED_VALUE"""),"IN")</f>
        <v>IN</v>
      </c>
      <c r="I3579" s="211" t="str">
        <f>IFERROR(__xludf.DUMMYFUNCTION("""COMPUTED_VALUE"""),"EMPTY")</f>
        <v>EMPTY</v>
      </c>
      <c r="J3579" s="211">
        <f>IFERROR(__xludf.DUMMYFUNCTION("""COMPUTED_VALUE"""),2.0)</f>
        <v>2</v>
      </c>
      <c r="K3579" s="210" t="str">
        <f>IFERROR(__xludf.DUMMYFUNCTION("""COMPUTED_VALUE"""),"11298 11155")</f>
        <v>11298 11155</v>
      </c>
      <c r="L3579" s="211">
        <f>IFERROR(__xludf.DUMMYFUNCTION("""COMPUTED_VALUE"""),0.0)</f>
        <v>0</v>
      </c>
      <c r="M3579" s="211"/>
      <c r="N3579" s="211"/>
      <c r="O3579" s="211" t="b">
        <f>IFERROR(__xludf.DUMMYFUNCTION("""COMPUTED_VALUE"""),FALSE)</f>
        <v>0</v>
      </c>
    </row>
    <row r="3580">
      <c r="A3580" s="210" t="str">
        <f>IFERROR(__xludf.DUMMYFUNCTION("""COMPUTED_VALUE"""),"1261222")</f>
        <v>1261222</v>
      </c>
      <c r="B3580" s="210" t="str">
        <f>IFERROR(__xludf.DUMMYFUNCTION("""COMPUTED_VALUE"""),"1261222")</f>
        <v>1261222</v>
      </c>
      <c r="C3580" s="213">
        <f>IFERROR(__xludf.DUMMYFUNCTION("""COMPUTED_VALUE"""),46059.60732638889)</f>
        <v>46059.60733</v>
      </c>
      <c r="D3580" s="211" t="str">
        <f>IFERROR(__xludf.DUMMYFUNCTION("""COMPUTED_VALUE"""),"9828dfc5")</f>
        <v>9828dfc5</v>
      </c>
      <c r="E3580" s="211" t="str">
        <f>IFERROR(__xludf.DUMMYFUNCTION("""COMPUTED_VALUE"""),"Bpk. David")</f>
        <v>Bpk. David</v>
      </c>
      <c r="F3580" s="211" t="str">
        <f>IFERROR(__xludf.DUMMYFUNCTION("""COMPUTED_VALUE"""),"8bdbe149")</f>
        <v>8bdbe149</v>
      </c>
      <c r="G3580" s="211" t="str">
        <f>IFERROR(__xludf.DUMMYFUNCTION("""COMPUTED_VALUE"""),"Oksigen 6m3")</f>
        <v>Oksigen 6m3</v>
      </c>
      <c r="H3580" s="211" t="str">
        <f>IFERROR(__xludf.DUMMYFUNCTION("""COMPUTED_VALUE"""),"IN")</f>
        <v>IN</v>
      </c>
      <c r="I3580" s="211" t="str">
        <f>IFERROR(__xludf.DUMMYFUNCTION("""COMPUTED_VALUE"""),"EMPTY")</f>
        <v>EMPTY</v>
      </c>
      <c r="J3580" s="211">
        <f>IFERROR(__xludf.DUMMYFUNCTION("""COMPUTED_VALUE"""),1.0)</f>
        <v>1</v>
      </c>
      <c r="K3580" s="210" t="str">
        <f>IFERROR(__xludf.DUMMYFUNCTION("""COMPUTED_VALUE"""),"11200")</f>
        <v>11200</v>
      </c>
      <c r="L3580" s="211">
        <f>IFERROR(__xludf.DUMMYFUNCTION("""COMPUTED_VALUE"""),0.0)</f>
        <v>0</v>
      </c>
      <c r="M3580" s="211"/>
      <c r="N3580" s="211"/>
      <c r="O3580" s="211" t="b">
        <f>IFERROR(__xludf.DUMMYFUNCTION("""COMPUTED_VALUE"""),FALSE)</f>
        <v>0</v>
      </c>
    </row>
    <row r="3581">
      <c r="A3581" s="210" t="str">
        <f>IFERROR(__xludf.DUMMYFUNCTION("""COMPUTED_VALUE"""),"0226202480")</f>
        <v>0226202480</v>
      </c>
      <c r="B3581" s="210" t="str">
        <f>IFERROR(__xludf.DUMMYFUNCTION("""COMPUTED_VALUE"""),"0226202480")</f>
        <v>0226202480</v>
      </c>
      <c r="C3581" s="213">
        <f>IFERROR(__xludf.DUMMYFUNCTION("""COMPUTED_VALUE"""),46059.62162037037)</f>
        <v>46059.62162</v>
      </c>
      <c r="D3581" s="211" t="str">
        <f>IFERROR(__xludf.DUMMYFUNCTION("""COMPUTED_VALUE"""),"63fc688a")</f>
        <v>63fc688a</v>
      </c>
      <c r="E3581" s="211" t="str">
        <f>IFERROR(__xludf.DUMMYFUNCTION("""COMPUTED_VALUE"""),"CV Malik Nusantara")</f>
        <v>CV Malik Nusantara</v>
      </c>
      <c r="F3581" s="211" t="str">
        <f>IFERROR(__xludf.DUMMYFUNCTION("""COMPUTED_VALUE"""),"8bdbe149")</f>
        <v>8bdbe149</v>
      </c>
      <c r="G3581" s="211" t="str">
        <f>IFERROR(__xludf.DUMMYFUNCTION("""COMPUTED_VALUE"""),"Oksigen 6m3")</f>
        <v>Oksigen 6m3</v>
      </c>
      <c r="H3581" s="211" t="str">
        <f>IFERROR(__xludf.DUMMYFUNCTION("""COMPUTED_VALUE"""),"OUT")</f>
        <v>OUT</v>
      </c>
      <c r="I3581" s="211" t="str">
        <f>IFERROR(__xludf.DUMMYFUNCTION("""COMPUTED_VALUE"""),"NORMAL")</f>
        <v>NORMAL</v>
      </c>
      <c r="J3581" s="211">
        <f>IFERROR(__xludf.DUMMYFUNCTION("""COMPUTED_VALUE"""),5.0)</f>
        <v>5</v>
      </c>
      <c r="K3581" s="210" t="str">
        <f>IFERROR(__xludf.DUMMYFUNCTION("""COMPUTED_VALUE"""),"11315 11267 11248 11124 56")</f>
        <v>11315 11267 11248 11124 56</v>
      </c>
      <c r="L3581" s="211">
        <f>IFERROR(__xludf.DUMMYFUNCTION("""COMPUTED_VALUE"""),65000.0)</f>
        <v>65000</v>
      </c>
      <c r="M3581" s="211"/>
      <c r="N3581" s="211"/>
      <c r="O3581" s="211" t="b">
        <f>IFERROR(__xludf.DUMMYFUNCTION("""COMPUTED_VALUE"""),FALSE)</f>
        <v>0</v>
      </c>
    </row>
    <row r="3582">
      <c r="A3582" s="211"/>
      <c r="B3582" s="211"/>
      <c r="C3582" s="211"/>
      <c r="D3582" s="211"/>
      <c r="E3582" s="211"/>
      <c r="F3582" s="211"/>
      <c r="G3582" s="211"/>
      <c r="H3582" s="211"/>
      <c r="I3582" s="211"/>
      <c r="J3582" s="211"/>
      <c r="K3582" s="211"/>
      <c r="L3582" s="211"/>
      <c r="M3582" s="211"/>
      <c r="N3582" s="211"/>
      <c r="O3582" s="211"/>
    </row>
    <row r="3583">
      <c r="A3583" s="210" t="str">
        <f>IFERROR(__xludf.DUMMYFUNCTION("""COMPUTED_VALUE"""),"022622484")</f>
        <v>022622484</v>
      </c>
      <c r="B3583" s="210" t="str">
        <f>IFERROR(__xludf.DUMMYFUNCTION("""COMPUTED_VALUE"""),"022622484")</f>
        <v>022622484</v>
      </c>
      <c r="C3583" s="213">
        <f>IFERROR(__xludf.DUMMYFUNCTION("""COMPUTED_VALUE"""),46059.65482638889)</f>
        <v>46059.65483</v>
      </c>
      <c r="D3583" s="211" t="str">
        <f>IFERROR(__xludf.DUMMYFUNCTION("""COMPUTED_VALUE"""),"8b765561")</f>
        <v>8b765561</v>
      </c>
      <c r="E3583" s="211" t="str">
        <f>IFERROR(__xludf.DUMMYFUNCTION("""COMPUTED_VALUE"""),"Bpk. Idris")</f>
        <v>Bpk. Idris</v>
      </c>
      <c r="F3583" s="211" t="str">
        <f>IFERROR(__xludf.DUMMYFUNCTION("""COMPUTED_VALUE"""),"8bdbe149")</f>
        <v>8bdbe149</v>
      </c>
      <c r="G3583" s="211" t="str">
        <f>IFERROR(__xludf.DUMMYFUNCTION("""COMPUTED_VALUE"""),"Oksigen 6m3")</f>
        <v>Oksigen 6m3</v>
      </c>
      <c r="H3583" s="211" t="str">
        <f>IFERROR(__xludf.DUMMYFUNCTION("""COMPUTED_VALUE"""),"OUT")</f>
        <v>OUT</v>
      </c>
      <c r="I3583" s="211" t="str">
        <f>IFERROR(__xludf.DUMMYFUNCTION("""COMPUTED_VALUE"""),"NORMAL")</f>
        <v>NORMAL</v>
      </c>
      <c r="J3583" s="211">
        <f>IFERROR(__xludf.DUMMYFUNCTION("""COMPUTED_VALUE"""),1.0)</f>
        <v>1</v>
      </c>
      <c r="K3583" s="210" t="str">
        <f>IFERROR(__xludf.DUMMYFUNCTION("""COMPUTED_VALUE"""),"11324")</f>
        <v>11324</v>
      </c>
      <c r="L3583" s="211">
        <f>IFERROR(__xludf.DUMMYFUNCTION("""COMPUTED_VALUE"""),60000.0)</f>
        <v>60000</v>
      </c>
      <c r="M3583" s="211"/>
      <c r="N3583" s="211"/>
      <c r="O3583" s="211" t="b">
        <f>IFERROR(__xludf.DUMMYFUNCTION("""COMPUTED_VALUE"""),FALSE)</f>
        <v>0</v>
      </c>
    </row>
    <row r="3584">
      <c r="A3584" s="210" t="str">
        <f>IFERROR(__xludf.DUMMYFUNCTION("""COMPUTED_VALUE"""),"1261225")</f>
        <v>1261225</v>
      </c>
      <c r="B3584" s="210" t="str">
        <f>IFERROR(__xludf.DUMMYFUNCTION("""COMPUTED_VALUE"""),"1261225")</f>
        <v>1261225</v>
      </c>
      <c r="C3584" s="213">
        <f>IFERROR(__xludf.DUMMYFUNCTION("""COMPUTED_VALUE"""),46059.69862268519)</f>
        <v>46059.69862</v>
      </c>
      <c r="D3584" s="211" t="str">
        <f>IFERROR(__xludf.DUMMYFUNCTION("""COMPUTED_VALUE"""),"63fc688a")</f>
        <v>63fc688a</v>
      </c>
      <c r="E3584" s="211" t="str">
        <f>IFERROR(__xludf.DUMMYFUNCTION("""COMPUTED_VALUE"""),"CV Malik Nusantara")</f>
        <v>CV Malik Nusantara</v>
      </c>
      <c r="F3584" s="211" t="str">
        <f>IFERROR(__xludf.DUMMYFUNCTION("""COMPUTED_VALUE"""),"8bdbe149")</f>
        <v>8bdbe149</v>
      </c>
      <c r="G3584" s="211" t="str">
        <f>IFERROR(__xludf.DUMMYFUNCTION("""COMPUTED_VALUE"""),"Oksigen 6m3")</f>
        <v>Oksigen 6m3</v>
      </c>
      <c r="H3584" s="211" t="str">
        <f>IFERROR(__xludf.DUMMYFUNCTION("""COMPUTED_VALUE"""),"IN")</f>
        <v>IN</v>
      </c>
      <c r="I3584" s="211" t="str">
        <f>IFERROR(__xludf.DUMMYFUNCTION("""COMPUTED_VALUE"""),"EMPTY")</f>
        <v>EMPTY</v>
      </c>
      <c r="J3584" s="211">
        <f>IFERROR(__xludf.DUMMYFUNCTION("""COMPUTED_VALUE"""),6.0)</f>
        <v>6</v>
      </c>
      <c r="K3584" s="210" t="str">
        <f>IFERROR(__xludf.DUMMYFUNCTION("""COMPUTED_VALUE"""),"11209 1106 11272 11201 11109 1173")</f>
        <v>11209 1106 11272 11201 11109 1173</v>
      </c>
      <c r="L3584" s="211">
        <f>IFERROR(__xludf.DUMMYFUNCTION("""COMPUTED_VALUE"""),0.0)</f>
        <v>0</v>
      </c>
      <c r="M3584" s="211"/>
      <c r="N3584" s="211"/>
      <c r="O3584" s="211" t="b">
        <f>IFERROR(__xludf.DUMMYFUNCTION("""COMPUTED_VALUE"""),FALSE)</f>
        <v>0</v>
      </c>
    </row>
    <row r="3585">
      <c r="A3585" s="210" t="str">
        <f>IFERROR(__xludf.DUMMYFUNCTION("""COMPUTED_VALUE"""),"1261227")</f>
        <v>1261227</v>
      </c>
      <c r="B3585" s="210" t="str">
        <f>IFERROR(__xludf.DUMMYFUNCTION("""COMPUTED_VALUE"""),"1261227")</f>
        <v>1261227</v>
      </c>
      <c r="C3585" s="213">
        <f>IFERROR(__xludf.DUMMYFUNCTION("""COMPUTED_VALUE"""),46059.6997337963)</f>
        <v>46059.69973</v>
      </c>
      <c r="D3585" s="211" t="str">
        <f>IFERROR(__xludf.DUMMYFUNCTION("""COMPUTED_VALUE"""),"734c6d17")</f>
        <v>734c6d17</v>
      </c>
      <c r="E3585" s="211" t="str">
        <f>IFERROR(__xludf.DUMMYFUNCTION("""COMPUTED_VALUE"""),"Bapak Ainol Yaqin ( Bpk. Ibnu )")</f>
        <v>Bapak Ainol Yaqin ( Bpk. Ibnu )</v>
      </c>
      <c r="F3585" s="211" t="str">
        <f>IFERROR(__xludf.DUMMYFUNCTION("""COMPUTED_VALUE"""),"8bdbe149")</f>
        <v>8bdbe149</v>
      </c>
      <c r="G3585" s="211" t="str">
        <f>IFERROR(__xludf.DUMMYFUNCTION("""COMPUTED_VALUE"""),"Oksigen 6m3")</f>
        <v>Oksigen 6m3</v>
      </c>
      <c r="H3585" s="211" t="str">
        <f>IFERROR(__xludf.DUMMYFUNCTION("""COMPUTED_VALUE"""),"IN")</f>
        <v>IN</v>
      </c>
      <c r="I3585" s="211" t="str">
        <f>IFERROR(__xludf.DUMMYFUNCTION("""COMPUTED_VALUE"""),"EMPTY")</f>
        <v>EMPTY</v>
      </c>
      <c r="J3585" s="211">
        <f>IFERROR(__xludf.DUMMYFUNCTION("""COMPUTED_VALUE"""),2.0)</f>
        <v>2</v>
      </c>
      <c r="K3585" s="210" t="str">
        <f>IFERROR(__xludf.DUMMYFUNCTION("""COMPUTED_VALUE"""),"11245 11117")</f>
        <v>11245 11117</v>
      </c>
      <c r="L3585" s="211">
        <f>IFERROR(__xludf.DUMMYFUNCTION("""COMPUTED_VALUE"""),0.0)</f>
        <v>0</v>
      </c>
      <c r="M3585" s="211"/>
      <c r="N3585" s="211"/>
      <c r="O3585" s="211" t="b">
        <f>IFERROR(__xludf.DUMMYFUNCTION("""COMPUTED_VALUE"""),FALSE)</f>
        <v>0</v>
      </c>
    </row>
    <row r="3586">
      <c r="A3586" s="210" t="str">
        <f>IFERROR(__xludf.DUMMYFUNCTION("""COMPUTED_VALUE"""),"1261227")</f>
        <v>1261227</v>
      </c>
      <c r="B3586" s="210" t="str">
        <f>IFERROR(__xludf.DUMMYFUNCTION("""COMPUTED_VALUE"""),"1261227")</f>
        <v>1261227</v>
      </c>
      <c r="C3586" s="213">
        <f>IFERROR(__xludf.DUMMYFUNCTION("""COMPUTED_VALUE"""),46059.6997337963)</f>
        <v>46059.69973</v>
      </c>
      <c r="D3586" s="211" t="str">
        <f>IFERROR(__xludf.DUMMYFUNCTION("""COMPUTED_VALUE"""),"734c6d17")</f>
        <v>734c6d17</v>
      </c>
      <c r="E3586" s="211" t="str">
        <f>IFERROR(__xludf.DUMMYFUNCTION("""COMPUTED_VALUE"""),"Bapak Ainol Yaqin ( Bpk. Ibnu )")</f>
        <v>Bapak Ainol Yaqin ( Bpk. Ibnu )</v>
      </c>
      <c r="F3586" s="211" t="str">
        <f>IFERROR(__xludf.DUMMYFUNCTION("""COMPUTED_VALUE"""),"7d2764f1")</f>
        <v>7d2764f1</v>
      </c>
      <c r="G3586" s="211" t="str">
        <f>IFERROR(__xludf.DUMMYFUNCTION("""COMPUTED_VALUE"""),"Oksigen 7m3")</f>
        <v>Oksigen 7m3</v>
      </c>
      <c r="H3586" s="211" t="str">
        <f>IFERROR(__xludf.DUMMYFUNCTION("""COMPUTED_VALUE"""),"IN")</f>
        <v>IN</v>
      </c>
      <c r="I3586" s="211" t="str">
        <f>IFERROR(__xludf.DUMMYFUNCTION("""COMPUTED_VALUE"""),"EMPTY")</f>
        <v>EMPTY</v>
      </c>
      <c r="J3586" s="211">
        <f>IFERROR(__xludf.DUMMYFUNCTION("""COMPUTED_VALUE"""),1.0)</f>
        <v>1</v>
      </c>
      <c r="K3586" s="210" t="str">
        <f>IFERROR(__xludf.DUMMYFUNCTION("""COMPUTED_VALUE"""),"11168")</f>
        <v>11168</v>
      </c>
      <c r="L3586" s="211">
        <f>IFERROR(__xludf.DUMMYFUNCTION("""COMPUTED_VALUE"""),0.0)</f>
        <v>0</v>
      </c>
      <c r="M3586" s="211"/>
      <c r="N3586" s="211"/>
      <c r="O3586" s="211" t="b">
        <f>IFERROR(__xludf.DUMMYFUNCTION("""COMPUTED_VALUE"""),FALSE)</f>
        <v>0</v>
      </c>
    </row>
    <row r="3587">
      <c r="A3587" s="210" t="str">
        <f>IFERROR(__xludf.DUMMYFUNCTION("""COMPUTED_VALUE"""),"1261226")</f>
        <v>1261226</v>
      </c>
      <c r="B3587" s="210" t="str">
        <f>IFERROR(__xludf.DUMMYFUNCTION("""COMPUTED_VALUE"""),"1261226")</f>
        <v>1261226</v>
      </c>
      <c r="C3587" s="213">
        <f>IFERROR(__xludf.DUMMYFUNCTION("""COMPUTED_VALUE"""),46059.70042824074)</f>
        <v>46059.70043</v>
      </c>
      <c r="D3587" s="211" t="str">
        <f>IFERROR(__xludf.DUMMYFUNCTION("""COMPUTED_VALUE"""),"98c84274")</f>
        <v>98c84274</v>
      </c>
      <c r="E3587" s="211" t="str">
        <f>IFERROR(__xludf.DUMMYFUNCTION("""COMPUTED_VALUE"""),"Bengkel SBM (Pak Hari)")</f>
        <v>Bengkel SBM (Pak Hari)</v>
      </c>
      <c r="F3587" s="211" t="str">
        <f>IFERROR(__xludf.DUMMYFUNCTION("""COMPUTED_VALUE"""),"8bdbe149")</f>
        <v>8bdbe149</v>
      </c>
      <c r="G3587" s="211" t="str">
        <f>IFERROR(__xludf.DUMMYFUNCTION("""COMPUTED_VALUE"""),"Oksigen 6m3")</f>
        <v>Oksigen 6m3</v>
      </c>
      <c r="H3587" s="211" t="str">
        <f>IFERROR(__xludf.DUMMYFUNCTION("""COMPUTED_VALUE"""),"IN")</f>
        <v>IN</v>
      </c>
      <c r="I3587" s="211" t="str">
        <f>IFERROR(__xludf.DUMMYFUNCTION("""COMPUTED_VALUE"""),"EMPTY")</f>
        <v>EMPTY</v>
      </c>
      <c r="J3587" s="211">
        <f>IFERROR(__xludf.DUMMYFUNCTION("""COMPUTED_VALUE"""),2.0)</f>
        <v>2</v>
      </c>
      <c r="K3587" s="210" t="str">
        <f>IFERROR(__xludf.DUMMYFUNCTION("""COMPUTED_VALUE"""),"11126 11182")</f>
        <v>11126 11182</v>
      </c>
      <c r="L3587" s="211">
        <f>IFERROR(__xludf.DUMMYFUNCTION("""COMPUTED_VALUE"""),0.0)</f>
        <v>0</v>
      </c>
      <c r="M3587" s="211"/>
      <c r="N3587" s="211"/>
      <c r="O3587" s="211" t="b">
        <f>IFERROR(__xludf.DUMMYFUNCTION("""COMPUTED_VALUE"""),FALSE)</f>
        <v>0</v>
      </c>
    </row>
    <row r="3588">
      <c r="A3588" s="210" t="str">
        <f>IFERROR(__xludf.DUMMYFUNCTION("""COMPUTED_VALUE"""),"1261226")</f>
        <v>1261226</v>
      </c>
      <c r="B3588" s="210" t="str">
        <f>IFERROR(__xludf.DUMMYFUNCTION("""COMPUTED_VALUE"""),"1261226")</f>
        <v>1261226</v>
      </c>
      <c r="C3588" s="213">
        <f>IFERROR(__xludf.DUMMYFUNCTION("""COMPUTED_VALUE"""),46059.70042824074)</f>
        <v>46059.70043</v>
      </c>
      <c r="D3588" s="211" t="str">
        <f>IFERROR(__xludf.DUMMYFUNCTION("""COMPUTED_VALUE"""),"98c84274")</f>
        <v>98c84274</v>
      </c>
      <c r="E3588" s="211" t="str">
        <f>IFERROR(__xludf.DUMMYFUNCTION("""COMPUTED_VALUE"""),"Bengkel SBM (Pak Hari)")</f>
        <v>Bengkel SBM (Pak Hari)</v>
      </c>
      <c r="F3588" s="211" t="str">
        <f>IFERROR(__xludf.DUMMYFUNCTION("""COMPUTED_VALUE"""),"ef306e54")</f>
        <v>ef306e54</v>
      </c>
      <c r="G3588" s="211" t="str">
        <f>IFERROR(__xludf.DUMMYFUNCTION("""COMPUTED_VALUE"""),"Karbondioksida")</f>
        <v>Karbondioksida</v>
      </c>
      <c r="H3588" s="211" t="str">
        <f>IFERROR(__xludf.DUMMYFUNCTION("""COMPUTED_VALUE"""),"IN")</f>
        <v>IN</v>
      </c>
      <c r="I3588" s="211" t="str">
        <f>IFERROR(__xludf.DUMMYFUNCTION("""COMPUTED_VALUE"""),"EMPTY")</f>
        <v>EMPTY</v>
      </c>
      <c r="J3588" s="211">
        <f>IFERROR(__xludf.DUMMYFUNCTION("""COMPUTED_VALUE"""),4.0)</f>
        <v>4</v>
      </c>
      <c r="K3588" s="210" t="str">
        <f>IFERROR(__xludf.DUMMYFUNCTION("""COMPUTED_VALUE"""),"13064 13028 13008 13003")</f>
        <v>13064 13028 13008 13003</v>
      </c>
      <c r="L3588" s="211">
        <f>IFERROR(__xludf.DUMMYFUNCTION("""COMPUTED_VALUE"""),0.0)</f>
        <v>0</v>
      </c>
      <c r="M3588" s="211"/>
      <c r="N3588" s="211"/>
      <c r="O3588" s="211" t="b">
        <f>IFERROR(__xludf.DUMMYFUNCTION("""COMPUTED_VALUE"""),FALSE)</f>
        <v>0</v>
      </c>
    </row>
    <row r="3589">
      <c r="A3589" s="210" t="str">
        <f>IFERROR(__xludf.DUMMYFUNCTION("""COMPUTED_VALUE"""),"1261228")</f>
        <v>1261228</v>
      </c>
      <c r="B3589" s="210" t="str">
        <f>IFERROR(__xludf.DUMMYFUNCTION("""COMPUTED_VALUE"""),"1261228")</f>
        <v>1261228</v>
      </c>
      <c r="C3589" s="213">
        <f>IFERROR(__xludf.DUMMYFUNCTION("""COMPUTED_VALUE"""),46060.59762731481)</f>
        <v>46060.59763</v>
      </c>
      <c r="D3589" s="211" t="str">
        <f>IFERROR(__xludf.DUMMYFUNCTION("""COMPUTED_VALUE"""),"a0f0ad2d")</f>
        <v>a0f0ad2d</v>
      </c>
      <c r="E3589" s="211" t="str">
        <f>IFERROR(__xludf.DUMMYFUNCTION("""COMPUTED_VALUE"""),"CV. Yulie Jaya")</f>
        <v>CV. Yulie Jaya</v>
      </c>
      <c r="F3589" s="211" t="str">
        <f>IFERROR(__xludf.DUMMYFUNCTION("""COMPUTED_VALUE"""),"7d2764f1")</f>
        <v>7d2764f1</v>
      </c>
      <c r="G3589" s="211" t="str">
        <f>IFERROR(__xludf.DUMMYFUNCTION("""COMPUTED_VALUE"""),"Oksigen 7m3")</f>
        <v>Oksigen 7m3</v>
      </c>
      <c r="H3589" s="211" t="str">
        <f>IFERROR(__xludf.DUMMYFUNCTION("""COMPUTED_VALUE"""),"IN")</f>
        <v>IN</v>
      </c>
      <c r="I3589" s="211" t="str">
        <f>IFERROR(__xludf.DUMMYFUNCTION("""COMPUTED_VALUE"""),"EMPTY")</f>
        <v>EMPTY</v>
      </c>
      <c r="J3589" s="211">
        <f>IFERROR(__xludf.DUMMYFUNCTION("""COMPUTED_VALUE"""),6.0)</f>
        <v>6</v>
      </c>
      <c r="K3589" s="210" t="str">
        <f>IFERROR(__xludf.DUMMYFUNCTION("""COMPUTED_VALUE"""),"11151 11143 11329 11174 11171 11163")</f>
        <v>11151 11143 11329 11174 11171 11163</v>
      </c>
      <c r="L3589" s="211">
        <f>IFERROR(__xludf.DUMMYFUNCTION("""COMPUTED_VALUE"""),0.0)</f>
        <v>0</v>
      </c>
      <c r="M3589" s="211"/>
      <c r="N3589" s="211"/>
      <c r="O3589" s="211" t="b">
        <f>IFERROR(__xludf.DUMMYFUNCTION("""COMPUTED_VALUE"""),FALSE)</f>
        <v>0</v>
      </c>
    </row>
    <row r="3590">
      <c r="A3590" s="210" t="str">
        <f>IFERROR(__xludf.DUMMYFUNCTION("""COMPUTED_VALUE"""),"022692485")</f>
        <v>022692485</v>
      </c>
      <c r="B3590" s="210" t="str">
        <f>IFERROR(__xludf.DUMMYFUNCTION("""COMPUTED_VALUE"""),"022692485")</f>
        <v>022692485</v>
      </c>
      <c r="C3590" s="213">
        <f>IFERROR(__xludf.DUMMYFUNCTION("""COMPUTED_VALUE"""),46060.605844907404)</f>
        <v>46060.60584</v>
      </c>
      <c r="D3590" s="211" t="str">
        <f>IFERROR(__xludf.DUMMYFUNCTION("""COMPUTED_VALUE"""),"03ff52db")</f>
        <v>03ff52db</v>
      </c>
      <c r="E3590" s="211" t="str">
        <f>IFERROR(__xludf.DUMMYFUNCTION("""COMPUTED_VALUE"""),"Aneka Teknik Logam")</f>
        <v>Aneka Teknik Logam</v>
      </c>
      <c r="F3590" s="211" t="str">
        <f>IFERROR(__xludf.DUMMYFUNCTION("""COMPUTED_VALUE"""),"8bdbe149")</f>
        <v>8bdbe149</v>
      </c>
      <c r="G3590" s="211" t="str">
        <f>IFERROR(__xludf.DUMMYFUNCTION("""COMPUTED_VALUE"""),"Oksigen 6m3")</f>
        <v>Oksigen 6m3</v>
      </c>
      <c r="H3590" s="211" t="str">
        <f>IFERROR(__xludf.DUMMYFUNCTION("""COMPUTED_VALUE"""),"OUT")</f>
        <v>OUT</v>
      </c>
      <c r="I3590" s="211" t="str">
        <f>IFERROR(__xludf.DUMMYFUNCTION("""COMPUTED_VALUE"""),"NORMAL")</f>
        <v>NORMAL</v>
      </c>
      <c r="J3590" s="211">
        <f>IFERROR(__xludf.DUMMYFUNCTION("""COMPUTED_VALUE"""),5.0)</f>
        <v>5</v>
      </c>
      <c r="K3590" s="210" t="str">
        <f>IFERROR(__xludf.DUMMYFUNCTION("""COMPUTED_VALUE"""),"11209 11201 11272 11126 1173")</f>
        <v>11209 11201 11272 11126 1173</v>
      </c>
      <c r="L3590" s="211">
        <f>IFERROR(__xludf.DUMMYFUNCTION("""COMPUTED_VALUE"""),60000.0)</f>
        <v>60000</v>
      </c>
      <c r="M3590" s="211"/>
      <c r="N3590" s="211"/>
      <c r="O3590" s="211" t="b">
        <f>IFERROR(__xludf.DUMMYFUNCTION("""COMPUTED_VALUE"""),FALSE)</f>
        <v>0</v>
      </c>
    </row>
    <row r="3591">
      <c r="A3591" s="210" t="str">
        <f>IFERROR(__xludf.DUMMYFUNCTION("""COMPUTED_VALUE"""),"1261200")</f>
        <v>1261200</v>
      </c>
      <c r="B3591" s="210" t="str">
        <f>IFERROR(__xludf.DUMMYFUNCTION("""COMPUTED_VALUE"""),"1261200")</f>
        <v>1261200</v>
      </c>
      <c r="C3591" s="213">
        <f>IFERROR(__xludf.DUMMYFUNCTION("""COMPUTED_VALUE"""),46062.34626157407)</f>
        <v>46062.34626</v>
      </c>
      <c r="D3591" s="211" t="str">
        <f>IFERROR(__xludf.DUMMYFUNCTION("""COMPUTED_VALUE"""),"03ff52db")</f>
        <v>03ff52db</v>
      </c>
      <c r="E3591" s="211" t="str">
        <f>IFERROR(__xludf.DUMMYFUNCTION("""COMPUTED_VALUE"""),"Aneka Teknik Logam")</f>
        <v>Aneka Teknik Logam</v>
      </c>
      <c r="F3591" s="211" t="str">
        <f>IFERROR(__xludf.DUMMYFUNCTION("""COMPUTED_VALUE"""),"8bdbe149")</f>
        <v>8bdbe149</v>
      </c>
      <c r="G3591" s="211" t="str">
        <f>IFERROR(__xludf.DUMMYFUNCTION("""COMPUTED_VALUE"""),"Oksigen 6m3")</f>
        <v>Oksigen 6m3</v>
      </c>
      <c r="H3591" s="211" t="str">
        <f>IFERROR(__xludf.DUMMYFUNCTION("""COMPUTED_VALUE"""),"IN")</f>
        <v>IN</v>
      </c>
      <c r="I3591" s="211" t="str">
        <f>IFERROR(__xludf.DUMMYFUNCTION("""COMPUTED_VALUE"""),"EMPTY")</f>
        <v>EMPTY</v>
      </c>
      <c r="J3591" s="211">
        <f>IFERROR(__xludf.DUMMYFUNCTION("""COMPUTED_VALUE"""),1.0)</f>
        <v>1</v>
      </c>
      <c r="K3591" s="210" t="str">
        <f>IFERROR(__xludf.DUMMYFUNCTION("""COMPUTED_VALUE"""),"1130")</f>
        <v>1130</v>
      </c>
      <c r="L3591" s="211">
        <f>IFERROR(__xludf.DUMMYFUNCTION("""COMPUTED_VALUE"""),0.0)</f>
        <v>0</v>
      </c>
      <c r="M3591" s="211"/>
      <c r="N3591" s="211"/>
      <c r="O3591" s="211" t="b">
        <f>IFERROR(__xludf.DUMMYFUNCTION("""COMPUTED_VALUE"""),FALSE)</f>
        <v>0</v>
      </c>
    </row>
    <row r="3592">
      <c r="A3592" s="210" t="str">
        <f>IFERROR(__xludf.DUMMYFUNCTION("""COMPUTED_VALUE"""),"1261200")</f>
        <v>1261200</v>
      </c>
      <c r="B3592" s="210" t="str">
        <f>IFERROR(__xludf.DUMMYFUNCTION("""COMPUTED_VALUE"""),"1261200")</f>
        <v>1261200</v>
      </c>
      <c r="C3592" s="213">
        <f>IFERROR(__xludf.DUMMYFUNCTION("""COMPUTED_VALUE"""),46062.34626157407)</f>
        <v>46062.34626</v>
      </c>
      <c r="D3592" s="211" t="str">
        <f>IFERROR(__xludf.DUMMYFUNCTION("""COMPUTED_VALUE"""),"03ff52db")</f>
        <v>03ff52db</v>
      </c>
      <c r="E3592" s="211" t="str">
        <f>IFERROR(__xludf.DUMMYFUNCTION("""COMPUTED_VALUE"""),"Aneka Teknik Logam")</f>
        <v>Aneka Teknik Logam</v>
      </c>
      <c r="F3592" s="211" t="str">
        <f>IFERROR(__xludf.DUMMYFUNCTION("""COMPUTED_VALUE"""),"f6aab7a9")</f>
        <v>f6aab7a9</v>
      </c>
      <c r="G3592" s="211" t="str">
        <f>IFERROR(__xludf.DUMMYFUNCTION("""COMPUTED_VALUE"""),"Oksigen 6m3 MR")</f>
        <v>Oksigen 6m3 MR</v>
      </c>
      <c r="H3592" s="211" t="str">
        <f>IFERROR(__xludf.DUMMYFUNCTION("""COMPUTED_VALUE"""),"IN")</f>
        <v>IN</v>
      </c>
      <c r="I3592" s="211" t="str">
        <f>IFERROR(__xludf.DUMMYFUNCTION("""COMPUTED_VALUE"""),"EMPTY")</f>
        <v>EMPTY</v>
      </c>
      <c r="J3592" s="211">
        <f>IFERROR(__xludf.DUMMYFUNCTION("""COMPUTED_VALUE"""),2.0)</f>
        <v>2</v>
      </c>
      <c r="K3592" s="211"/>
      <c r="L3592" s="211">
        <f>IFERROR(__xludf.DUMMYFUNCTION("""COMPUTED_VALUE"""),0.0)</f>
        <v>0</v>
      </c>
      <c r="M3592" s="211"/>
      <c r="N3592" s="211"/>
      <c r="O3592" s="211" t="b">
        <f>IFERROR(__xludf.DUMMYFUNCTION("""COMPUTED_VALUE"""),FALSE)</f>
        <v>0</v>
      </c>
    </row>
    <row r="3593">
      <c r="A3593" s="210" t="str">
        <f>IFERROR(__xludf.DUMMYFUNCTION("""COMPUTED_VALUE"""),"0226822490")</f>
        <v>0226822490</v>
      </c>
      <c r="B3593" s="210" t="str">
        <f>IFERROR(__xludf.DUMMYFUNCTION("""COMPUTED_VALUE"""),"0226822490")</f>
        <v>0226822490</v>
      </c>
      <c r="C3593" s="213">
        <f>IFERROR(__xludf.DUMMYFUNCTION("""COMPUTED_VALUE"""),46062.35506944444)</f>
        <v>46062.35507</v>
      </c>
      <c r="D3593" s="211" t="str">
        <f>IFERROR(__xludf.DUMMYFUNCTION("""COMPUTED_VALUE"""),"b2b5f2c5")</f>
        <v>b2b5f2c5</v>
      </c>
      <c r="E3593" s="211" t="str">
        <f>IFERROR(__xludf.DUMMYFUNCTION("""COMPUTED_VALUE"""),"Bengkel Las Bpk. Ari")</f>
        <v>Bengkel Las Bpk. Ari</v>
      </c>
      <c r="F3593" s="211" t="str">
        <f>IFERROR(__xludf.DUMMYFUNCTION("""COMPUTED_VALUE"""),"8bdbe149")</f>
        <v>8bdbe149</v>
      </c>
      <c r="G3593" s="211" t="str">
        <f>IFERROR(__xludf.DUMMYFUNCTION("""COMPUTED_VALUE"""),"Oksigen 6m3")</f>
        <v>Oksigen 6m3</v>
      </c>
      <c r="H3593" s="211" t="str">
        <f>IFERROR(__xludf.DUMMYFUNCTION("""COMPUTED_VALUE"""),"OUT")</f>
        <v>OUT</v>
      </c>
      <c r="I3593" s="211" t="str">
        <f>IFERROR(__xludf.DUMMYFUNCTION("""COMPUTED_VALUE"""),"NORMAL")</f>
        <v>NORMAL</v>
      </c>
      <c r="J3593" s="211">
        <f>IFERROR(__xludf.DUMMYFUNCTION("""COMPUTED_VALUE"""),3.0)</f>
        <v>3</v>
      </c>
      <c r="K3593" s="210" t="str">
        <f>IFERROR(__xludf.DUMMYFUNCTION("""COMPUTED_VALUE"""),"11250 1127 11121")</f>
        <v>11250 1127 11121</v>
      </c>
      <c r="L3593" s="211">
        <f>IFERROR(__xludf.DUMMYFUNCTION("""COMPUTED_VALUE"""),60000.0)</f>
        <v>60000</v>
      </c>
      <c r="M3593" s="211"/>
      <c r="N3593" s="211"/>
      <c r="O3593" s="211" t="b">
        <f>IFERROR(__xludf.DUMMYFUNCTION("""COMPUTED_VALUE"""),FALSE)</f>
        <v>0</v>
      </c>
    </row>
    <row r="3594">
      <c r="A3594" s="210" t="str">
        <f>IFERROR(__xludf.DUMMYFUNCTION("""COMPUTED_VALUE"""),"0226822490")</f>
        <v>0226822490</v>
      </c>
      <c r="B3594" s="210" t="str">
        <f>IFERROR(__xludf.DUMMYFUNCTION("""COMPUTED_VALUE"""),"0226822490")</f>
        <v>0226822490</v>
      </c>
      <c r="C3594" s="213">
        <f>IFERROR(__xludf.DUMMYFUNCTION("""COMPUTED_VALUE"""),46062.35506944444)</f>
        <v>46062.35507</v>
      </c>
      <c r="D3594" s="211" t="str">
        <f>IFERROR(__xludf.DUMMYFUNCTION("""COMPUTED_VALUE"""),"b2b5f2c5")</f>
        <v>b2b5f2c5</v>
      </c>
      <c r="E3594" s="211" t="str">
        <f>IFERROR(__xludf.DUMMYFUNCTION("""COMPUTED_VALUE"""),"Bengkel Las Bpk. Ari")</f>
        <v>Bengkel Las Bpk. Ari</v>
      </c>
      <c r="F3594" s="211" t="str">
        <f>IFERROR(__xludf.DUMMYFUNCTION("""COMPUTED_VALUE"""),"ef306e54")</f>
        <v>ef306e54</v>
      </c>
      <c r="G3594" s="211" t="str">
        <f>IFERROR(__xludf.DUMMYFUNCTION("""COMPUTED_VALUE"""),"Karbondioksida")</f>
        <v>Karbondioksida</v>
      </c>
      <c r="H3594" s="211" t="str">
        <f>IFERROR(__xludf.DUMMYFUNCTION("""COMPUTED_VALUE"""),"OUT")</f>
        <v>OUT</v>
      </c>
      <c r="I3594" s="211" t="str">
        <f>IFERROR(__xludf.DUMMYFUNCTION("""COMPUTED_VALUE"""),"NORMAL")</f>
        <v>NORMAL</v>
      </c>
      <c r="J3594" s="211">
        <f>IFERROR(__xludf.DUMMYFUNCTION("""COMPUTED_VALUE"""),2.0)</f>
        <v>2</v>
      </c>
      <c r="K3594" s="210" t="str">
        <f>IFERROR(__xludf.DUMMYFUNCTION("""COMPUTED_VALUE"""),"13069 13043")</f>
        <v>13069 13043</v>
      </c>
      <c r="L3594" s="211">
        <f>IFERROR(__xludf.DUMMYFUNCTION("""COMPUTED_VALUE"""),180000.0)</f>
        <v>180000</v>
      </c>
      <c r="M3594" s="211"/>
      <c r="N3594" s="211"/>
      <c r="O3594" s="211" t="b">
        <f>IFERROR(__xludf.DUMMYFUNCTION("""COMPUTED_VALUE"""),FALSE)</f>
        <v>0</v>
      </c>
    </row>
    <row r="3595">
      <c r="A3595" s="210" t="str">
        <f>IFERROR(__xludf.DUMMYFUNCTION("""COMPUTED_VALUE"""),"022662492")</f>
        <v>022662492</v>
      </c>
      <c r="B3595" s="210" t="str">
        <f>IFERROR(__xludf.DUMMYFUNCTION("""COMPUTED_VALUE"""),"022662492")</f>
        <v>022662492</v>
      </c>
      <c r="C3595" s="213">
        <f>IFERROR(__xludf.DUMMYFUNCTION("""COMPUTED_VALUE"""),46062.35724537037)</f>
        <v>46062.35725</v>
      </c>
      <c r="D3595" s="211" t="str">
        <f>IFERROR(__xludf.DUMMYFUNCTION("""COMPUTED_VALUE"""),"ca4876e2")</f>
        <v>ca4876e2</v>
      </c>
      <c r="E3595" s="211" t="str">
        <f>IFERROR(__xludf.DUMMYFUNCTION("""COMPUTED_VALUE"""),"Bengkel Mustika Mojosari")</f>
        <v>Bengkel Mustika Mojosari</v>
      </c>
      <c r="F3595" s="211" t="str">
        <f>IFERROR(__xludf.DUMMYFUNCTION("""COMPUTED_VALUE"""),"7d2764f1")</f>
        <v>7d2764f1</v>
      </c>
      <c r="G3595" s="211" t="str">
        <f>IFERROR(__xludf.DUMMYFUNCTION("""COMPUTED_VALUE"""),"Oksigen 7m3")</f>
        <v>Oksigen 7m3</v>
      </c>
      <c r="H3595" s="211" t="str">
        <f>IFERROR(__xludf.DUMMYFUNCTION("""COMPUTED_VALUE"""),"OUT")</f>
        <v>OUT</v>
      </c>
      <c r="I3595" s="211" t="str">
        <f>IFERROR(__xludf.DUMMYFUNCTION("""COMPUTED_VALUE"""),"NORMAL")</f>
        <v>NORMAL</v>
      </c>
      <c r="J3595" s="211">
        <f>IFERROR(__xludf.DUMMYFUNCTION("""COMPUTED_VALUE"""),2.0)</f>
        <v>2</v>
      </c>
      <c r="K3595" s="210" t="str">
        <f>IFERROR(__xludf.DUMMYFUNCTION("""COMPUTED_VALUE"""),"11151 11143")</f>
        <v>11151 11143</v>
      </c>
      <c r="L3595" s="211">
        <f>IFERROR(__xludf.DUMMYFUNCTION("""COMPUTED_VALUE"""),65000.0)</f>
        <v>65000</v>
      </c>
      <c r="M3595" s="211"/>
      <c r="N3595" s="211"/>
      <c r="O3595" s="211" t="b">
        <f>IFERROR(__xludf.DUMMYFUNCTION("""COMPUTED_VALUE"""),FALSE)</f>
        <v>0</v>
      </c>
    </row>
    <row r="3596">
      <c r="A3596" s="211"/>
      <c r="B3596" s="211"/>
      <c r="C3596" s="211"/>
      <c r="D3596" s="211"/>
      <c r="E3596" s="211"/>
      <c r="F3596" s="211"/>
      <c r="G3596" s="211"/>
      <c r="H3596" s="211"/>
      <c r="I3596" s="211"/>
      <c r="J3596" s="211"/>
      <c r="K3596" s="211"/>
      <c r="L3596" s="211"/>
      <c r="M3596" s="211"/>
      <c r="N3596" s="211"/>
      <c r="O3596" s="211"/>
    </row>
    <row r="3597">
      <c r="A3597" s="210" t="str">
        <f>IFERROR(__xludf.DUMMYFUNCTION("""COMPUTED_VALUE"""),"0226172494")</f>
        <v>0226172494</v>
      </c>
      <c r="B3597" s="210" t="str">
        <f>IFERROR(__xludf.DUMMYFUNCTION("""COMPUTED_VALUE"""),"0226172494")</f>
        <v>0226172494</v>
      </c>
      <c r="C3597" s="213">
        <f>IFERROR(__xludf.DUMMYFUNCTION("""COMPUTED_VALUE"""),46062.368472222224)</f>
        <v>46062.36847</v>
      </c>
      <c r="D3597" s="211" t="str">
        <f>IFERROR(__xludf.DUMMYFUNCTION("""COMPUTED_VALUE"""),"a0f0ad2d")</f>
        <v>a0f0ad2d</v>
      </c>
      <c r="E3597" s="211" t="str">
        <f>IFERROR(__xludf.DUMMYFUNCTION("""COMPUTED_VALUE"""),"CV. Yulie Jaya")</f>
        <v>CV. Yulie Jaya</v>
      </c>
      <c r="F3597" s="211" t="str">
        <f>IFERROR(__xludf.DUMMYFUNCTION("""COMPUTED_VALUE"""),"8bdbe149")</f>
        <v>8bdbe149</v>
      </c>
      <c r="G3597" s="211" t="str">
        <f>IFERROR(__xludf.DUMMYFUNCTION("""COMPUTED_VALUE"""),"Oksigen 6m3")</f>
        <v>Oksigen 6m3</v>
      </c>
      <c r="H3597" s="211" t="str">
        <f>IFERROR(__xludf.DUMMYFUNCTION("""COMPUTED_VALUE"""),"OUT")</f>
        <v>OUT</v>
      </c>
      <c r="I3597" s="211" t="str">
        <f>IFERROR(__xludf.DUMMYFUNCTION("""COMPUTED_VALUE"""),"NORMAL")</f>
        <v>NORMAL</v>
      </c>
      <c r="J3597" s="211">
        <f>IFERROR(__xludf.DUMMYFUNCTION("""COMPUTED_VALUE"""),10.0)</f>
        <v>10</v>
      </c>
      <c r="K3597" s="210" t="str">
        <f>IFERROR(__xludf.DUMMYFUNCTION("""COMPUTED_VALUE"""),"11202 1183 1106 1135 11312 11207 1182 11109 11200 11177")</f>
        <v>11202 1183 1106 1135 11312 11207 1182 11109 11200 11177</v>
      </c>
      <c r="L3597" s="211">
        <f>IFERROR(__xludf.DUMMYFUNCTION("""COMPUTED_VALUE"""),60000.0)</f>
        <v>60000</v>
      </c>
      <c r="M3597" s="211"/>
      <c r="N3597" s="211"/>
      <c r="O3597" s="211" t="b">
        <f>IFERROR(__xludf.DUMMYFUNCTION("""COMPUTED_VALUE"""),FALSE)</f>
        <v>0</v>
      </c>
    </row>
    <row r="3598">
      <c r="A3598" s="210" t="str">
        <f>IFERROR(__xludf.DUMMYFUNCTION("""COMPUTED_VALUE"""),"0226172494")</f>
        <v>0226172494</v>
      </c>
      <c r="B3598" s="210" t="str">
        <f>IFERROR(__xludf.DUMMYFUNCTION("""COMPUTED_VALUE"""),"0226172494")</f>
        <v>0226172494</v>
      </c>
      <c r="C3598" s="213">
        <f>IFERROR(__xludf.DUMMYFUNCTION("""COMPUTED_VALUE"""),46062.368472222224)</f>
        <v>46062.36847</v>
      </c>
      <c r="D3598" s="211" t="str">
        <f>IFERROR(__xludf.DUMMYFUNCTION("""COMPUTED_VALUE"""),"a0f0ad2d")</f>
        <v>a0f0ad2d</v>
      </c>
      <c r="E3598" s="211" t="str">
        <f>IFERROR(__xludf.DUMMYFUNCTION("""COMPUTED_VALUE"""),"CV. Yulie Jaya")</f>
        <v>CV. Yulie Jaya</v>
      </c>
      <c r="F3598" s="211" t="str">
        <f>IFERROR(__xludf.DUMMYFUNCTION("""COMPUTED_VALUE"""),"be525f3b")</f>
        <v>be525f3b</v>
      </c>
      <c r="G3598" s="211" t="str">
        <f>IFERROR(__xludf.DUMMYFUNCTION("""COMPUTED_VALUE"""),"LPG 12kg")</f>
        <v>LPG 12kg</v>
      </c>
      <c r="H3598" s="211" t="str">
        <f>IFERROR(__xludf.DUMMYFUNCTION("""COMPUTED_VALUE"""),"OUT")</f>
        <v>OUT</v>
      </c>
      <c r="I3598" s="211" t="str">
        <f>IFERROR(__xludf.DUMMYFUNCTION("""COMPUTED_VALUE"""),"NORMAL")</f>
        <v>NORMAL</v>
      </c>
      <c r="J3598" s="211">
        <f>IFERROR(__xludf.DUMMYFUNCTION("""COMPUTED_VALUE"""),2.0)</f>
        <v>2</v>
      </c>
      <c r="K3598" s="210" t="str">
        <f>IFERROR(__xludf.DUMMYFUNCTION("""COMPUTED_VALUE"""),"L002 L003")</f>
        <v>L002 L003</v>
      </c>
      <c r="L3598" s="211">
        <f>IFERROR(__xludf.DUMMYFUNCTION("""COMPUTED_VALUE"""),215000.0)</f>
        <v>215000</v>
      </c>
      <c r="M3598" s="211"/>
      <c r="N3598" s="211"/>
      <c r="O3598" s="211" t="b">
        <f>IFERROR(__xludf.DUMMYFUNCTION("""COMPUTED_VALUE"""),FALSE)</f>
        <v>0</v>
      </c>
    </row>
    <row r="3599">
      <c r="A3599" s="210" t="str">
        <f>IFERROR(__xludf.DUMMYFUNCTION("""COMPUTED_VALUE"""),"0226132495")</f>
        <v>0226132495</v>
      </c>
      <c r="B3599" s="210" t="str">
        <f>IFERROR(__xludf.DUMMYFUNCTION("""COMPUTED_VALUE"""),"0226132495")</f>
        <v>0226132495</v>
      </c>
      <c r="C3599" s="213">
        <f>IFERROR(__xludf.DUMMYFUNCTION("""COMPUTED_VALUE"""),46062.37032407407)</f>
        <v>46062.37032</v>
      </c>
      <c r="D3599" s="211" t="str">
        <f>IFERROR(__xludf.DUMMYFUNCTION("""COMPUTED_VALUE"""),"f8a982a4")</f>
        <v>f8a982a4</v>
      </c>
      <c r="E3599" s="211" t="str">
        <f>IFERROR(__xludf.DUMMYFUNCTION("""COMPUTED_VALUE"""),"Bpk. Nasir")</f>
        <v>Bpk. Nasir</v>
      </c>
      <c r="F3599" s="211" t="str">
        <f>IFERROR(__xludf.DUMMYFUNCTION("""COMPUTED_VALUE"""),"7d2764f1")</f>
        <v>7d2764f1</v>
      </c>
      <c r="G3599" s="211" t="str">
        <f>IFERROR(__xludf.DUMMYFUNCTION("""COMPUTED_VALUE"""),"Oksigen 7m3")</f>
        <v>Oksigen 7m3</v>
      </c>
      <c r="H3599" s="211" t="str">
        <f>IFERROR(__xludf.DUMMYFUNCTION("""COMPUTED_VALUE"""),"OUT")</f>
        <v>OUT</v>
      </c>
      <c r="I3599" s="211" t="str">
        <f>IFERROR(__xludf.DUMMYFUNCTION("""COMPUTED_VALUE"""),"NORMAL")</f>
        <v>NORMAL</v>
      </c>
      <c r="J3599" s="211">
        <f>IFERROR(__xludf.DUMMYFUNCTION("""COMPUTED_VALUE"""),2.0)</f>
        <v>2</v>
      </c>
      <c r="K3599" s="210" t="str">
        <f>IFERROR(__xludf.DUMMYFUNCTION("""COMPUTED_VALUE"""),"11305 11171")</f>
        <v>11305 11171</v>
      </c>
      <c r="L3599" s="211">
        <f>IFERROR(__xludf.DUMMYFUNCTION("""COMPUTED_VALUE"""),70000.0)</f>
        <v>70000</v>
      </c>
      <c r="M3599" s="211"/>
      <c r="N3599" s="211"/>
      <c r="O3599" s="211" t="b">
        <f>IFERROR(__xludf.DUMMYFUNCTION("""COMPUTED_VALUE"""),FALSE)</f>
        <v>0</v>
      </c>
    </row>
    <row r="3600">
      <c r="A3600" s="210" t="str">
        <f>IFERROR(__xludf.DUMMYFUNCTION("""COMPUTED_VALUE"""),"1261211")</f>
        <v>1261211</v>
      </c>
      <c r="B3600" s="210" t="str">
        <f>IFERROR(__xludf.DUMMYFUNCTION("""COMPUTED_VALUE"""),"1261211")</f>
        <v>1261211</v>
      </c>
      <c r="C3600" s="213">
        <f>IFERROR(__xludf.DUMMYFUNCTION("""COMPUTED_VALUE"""),46062.507199074076)</f>
        <v>46062.5072</v>
      </c>
      <c r="D3600" s="211" t="str">
        <f>IFERROR(__xludf.DUMMYFUNCTION("""COMPUTED_VALUE"""),"b2b5f2c5")</f>
        <v>b2b5f2c5</v>
      </c>
      <c r="E3600" s="211" t="str">
        <f>IFERROR(__xludf.DUMMYFUNCTION("""COMPUTED_VALUE"""),"Bengkel Las Bpk. Ari")</f>
        <v>Bengkel Las Bpk. Ari</v>
      </c>
      <c r="F3600" s="211" t="str">
        <f>IFERROR(__xludf.DUMMYFUNCTION("""COMPUTED_VALUE"""),"ef306e54")</f>
        <v>ef306e54</v>
      </c>
      <c r="G3600" s="211" t="str">
        <f>IFERROR(__xludf.DUMMYFUNCTION("""COMPUTED_VALUE"""),"Karbondioksida")</f>
        <v>Karbondioksida</v>
      </c>
      <c r="H3600" s="211" t="str">
        <f>IFERROR(__xludf.DUMMYFUNCTION("""COMPUTED_VALUE"""),"IN")</f>
        <v>IN</v>
      </c>
      <c r="I3600" s="211" t="str">
        <f>IFERROR(__xludf.DUMMYFUNCTION("""COMPUTED_VALUE"""),"EMPTY")</f>
        <v>EMPTY</v>
      </c>
      <c r="J3600" s="211">
        <f>IFERROR(__xludf.DUMMYFUNCTION("""COMPUTED_VALUE"""),1.0)</f>
        <v>1</v>
      </c>
      <c r="K3600" s="210" t="str">
        <f>IFERROR(__xludf.DUMMYFUNCTION("""COMPUTED_VALUE"""),"13068")</f>
        <v>13068</v>
      </c>
      <c r="L3600" s="211">
        <f>IFERROR(__xludf.DUMMYFUNCTION("""COMPUTED_VALUE"""),0.0)</f>
        <v>0</v>
      </c>
      <c r="M3600" s="211"/>
      <c r="N3600" s="211"/>
      <c r="O3600" s="211" t="b">
        <f>IFERROR(__xludf.DUMMYFUNCTION("""COMPUTED_VALUE"""),FALSE)</f>
        <v>0</v>
      </c>
    </row>
    <row r="3601">
      <c r="A3601" s="210" t="str">
        <f>IFERROR(__xludf.DUMMYFUNCTION("""COMPUTED_VALUE"""),"1261211")</f>
        <v>1261211</v>
      </c>
      <c r="B3601" s="210" t="str">
        <f>IFERROR(__xludf.DUMMYFUNCTION("""COMPUTED_VALUE"""),"1261211")</f>
        <v>1261211</v>
      </c>
      <c r="C3601" s="213">
        <f>IFERROR(__xludf.DUMMYFUNCTION("""COMPUTED_VALUE"""),46062.507199074076)</f>
        <v>46062.5072</v>
      </c>
      <c r="D3601" s="211" t="str">
        <f>IFERROR(__xludf.DUMMYFUNCTION("""COMPUTED_VALUE"""),"b2b5f2c5")</f>
        <v>b2b5f2c5</v>
      </c>
      <c r="E3601" s="211" t="str">
        <f>IFERROR(__xludf.DUMMYFUNCTION("""COMPUTED_VALUE"""),"Bengkel Las Bpk. Ari")</f>
        <v>Bengkel Las Bpk. Ari</v>
      </c>
      <c r="F3601" s="211" t="str">
        <f>IFERROR(__xludf.DUMMYFUNCTION("""COMPUTED_VALUE"""),"8bdbe149")</f>
        <v>8bdbe149</v>
      </c>
      <c r="G3601" s="211" t="str">
        <f>IFERROR(__xludf.DUMMYFUNCTION("""COMPUTED_VALUE"""),"Oksigen 6m3")</f>
        <v>Oksigen 6m3</v>
      </c>
      <c r="H3601" s="211" t="str">
        <f>IFERROR(__xludf.DUMMYFUNCTION("""COMPUTED_VALUE"""),"IN")</f>
        <v>IN</v>
      </c>
      <c r="I3601" s="211" t="str">
        <f>IFERROR(__xludf.DUMMYFUNCTION("""COMPUTED_VALUE"""),"EMPTY")</f>
        <v>EMPTY</v>
      </c>
      <c r="J3601" s="211">
        <f>IFERROR(__xludf.DUMMYFUNCTION("""COMPUTED_VALUE"""),7.0)</f>
        <v>7</v>
      </c>
      <c r="K3601" s="210" t="str">
        <f>IFERROR(__xludf.DUMMYFUNCTION("""COMPUTED_VALUE"""),"1137 11229 1148 11266 11186 11354 11280")</f>
        <v>1137 11229 1148 11266 11186 11354 11280</v>
      </c>
      <c r="L3601" s="211">
        <f>IFERROR(__xludf.DUMMYFUNCTION("""COMPUTED_VALUE"""),0.0)</f>
        <v>0</v>
      </c>
      <c r="M3601" s="211"/>
      <c r="N3601" s="211"/>
      <c r="O3601" s="211" t="b">
        <f>IFERROR(__xludf.DUMMYFUNCTION("""COMPUTED_VALUE"""),FALSE)</f>
        <v>0</v>
      </c>
    </row>
    <row r="3602">
      <c r="A3602" s="210" t="str">
        <f>IFERROR(__xludf.DUMMYFUNCTION("""COMPUTED_VALUE"""),"1261211")</f>
        <v>1261211</v>
      </c>
      <c r="B3602" s="210" t="str">
        <f>IFERROR(__xludf.DUMMYFUNCTION("""COMPUTED_VALUE"""),"1261211")</f>
        <v>1261211</v>
      </c>
      <c r="C3602" s="213">
        <f>IFERROR(__xludf.DUMMYFUNCTION("""COMPUTED_VALUE"""),46062.507199074076)</f>
        <v>46062.5072</v>
      </c>
      <c r="D3602" s="211" t="str">
        <f>IFERROR(__xludf.DUMMYFUNCTION("""COMPUTED_VALUE"""),"b2b5f2c5")</f>
        <v>b2b5f2c5</v>
      </c>
      <c r="E3602" s="211" t="str">
        <f>IFERROR(__xludf.DUMMYFUNCTION("""COMPUTED_VALUE"""),"Bengkel Las Bpk. Ari")</f>
        <v>Bengkel Las Bpk. Ari</v>
      </c>
      <c r="F3602" s="211" t="str">
        <f>IFERROR(__xludf.DUMMYFUNCTION("""COMPUTED_VALUE"""),"7d2764f1")</f>
        <v>7d2764f1</v>
      </c>
      <c r="G3602" s="211" t="str">
        <f>IFERROR(__xludf.DUMMYFUNCTION("""COMPUTED_VALUE"""),"Oksigen 7m3")</f>
        <v>Oksigen 7m3</v>
      </c>
      <c r="H3602" s="211" t="str">
        <f>IFERROR(__xludf.DUMMYFUNCTION("""COMPUTED_VALUE"""),"IN")</f>
        <v>IN</v>
      </c>
      <c r="I3602" s="211" t="str">
        <f>IFERROR(__xludf.DUMMYFUNCTION("""COMPUTED_VALUE"""),"EMPTY")</f>
        <v>EMPTY</v>
      </c>
      <c r="J3602" s="211">
        <f>IFERROR(__xludf.DUMMYFUNCTION("""COMPUTED_VALUE"""),3.0)</f>
        <v>3</v>
      </c>
      <c r="K3602" s="210" t="str">
        <f>IFERROR(__xludf.DUMMYFUNCTION("""COMPUTED_VALUE"""),"11160 11161 11222")</f>
        <v>11160 11161 11222</v>
      </c>
      <c r="L3602" s="211">
        <f>IFERROR(__xludf.DUMMYFUNCTION("""COMPUTED_VALUE"""),0.0)</f>
        <v>0</v>
      </c>
      <c r="M3602" s="211"/>
      <c r="N3602" s="211"/>
      <c r="O3602" s="211" t="b">
        <f>IFERROR(__xludf.DUMMYFUNCTION("""COMPUTED_VALUE"""),FALSE)</f>
        <v>0</v>
      </c>
    </row>
    <row r="3603">
      <c r="A3603" s="210" t="str">
        <f>IFERROR(__xludf.DUMMYFUNCTION("""COMPUTED_VALUE"""),"1261212")</f>
        <v>1261212</v>
      </c>
      <c r="B3603" s="210" t="str">
        <f>IFERROR(__xludf.DUMMYFUNCTION("""COMPUTED_VALUE"""),"1261212")</f>
        <v>1261212</v>
      </c>
      <c r="C3603" s="213">
        <f>IFERROR(__xludf.DUMMYFUNCTION("""COMPUTED_VALUE"""),46062.510416666664)</f>
        <v>46062.51042</v>
      </c>
      <c r="D3603" s="211" t="str">
        <f>IFERROR(__xludf.DUMMYFUNCTION("""COMPUTED_VALUE"""),"a1508027")</f>
        <v>a1508027</v>
      </c>
      <c r="E3603" s="211" t="str">
        <f>IFERROR(__xludf.DUMMYFUNCTION("""COMPUTED_VALUE"""),"Agus Budiono")</f>
        <v>Agus Budiono</v>
      </c>
      <c r="F3603" s="211" t="str">
        <f>IFERROR(__xludf.DUMMYFUNCTION("""COMPUTED_VALUE"""),"7d2764f1")</f>
        <v>7d2764f1</v>
      </c>
      <c r="G3603" s="211" t="str">
        <f>IFERROR(__xludf.DUMMYFUNCTION("""COMPUTED_VALUE"""),"Oksigen 7m3")</f>
        <v>Oksigen 7m3</v>
      </c>
      <c r="H3603" s="211" t="str">
        <f>IFERROR(__xludf.DUMMYFUNCTION("""COMPUTED_VALUE"""),"IN")</f>
        <v>IN</v>
      </c>
      <c r="I3603" s="211" t="str">
        <f>IFERROR(__xludf.DUMMYFUNCTION("""COMPUTED_VALUE"""),"EMPTY")</f>
        <v>EMPTY</v>
      </c>
      <c r="J3603" s="211">
        <f>IFERROR(__xludf.DUMMYFUNCTION("""COMPUTED_VALUE"""),1.0)</f>
        <v>1</v>
      </c>
      <c r="K3603" s="210" t="str">
        <f>IFERROR(__xludf.DUMMYFUNCTION("""COMPUTED_VALUE"""),"11153")</f>
        <v>11153</v>
      </c>
      <c r="L3603" s="211">
        <f>IFERROR(__xludf.DUMMYFUNCTION("""COMPUTED_VALUE"""),0.0)</f>
        <v>0</v>
      </c>
      <c r="M3603" s="211"/>
      <c r="N3603" s="211"/>
      <c r="O3603" s="211" t="b">
        <f>IFERROR(__xludf.DUMMYFUNCTION("""COMPUTED_VALUE"""),FALSE)</f>
        <v>0</v>
      </c>
    </row>
    <row r="3604">
      <c r="A3604" s="210" t="str">
        <f>IFERROR(__xludf.DUMMYFUNCTION("""COMPUTED_VALUE"""),"1261230")</f>
        <v>1261230</v>
      </c>
      <c r="B3604" s="210" t="str">
        <f>IFERROR(__xludf.DUMMYFUNCTION("""COMPUTED_VALUE"""),"1261230")</f>
        <v>1261230</v>
      </c>
      <c r="C3604" s="213">
        <f>IFERROR(__xludf.DUMMYFUNCTION("""COMPUTED_VALUE"""),46062.51085648148)</f>
        <v>46062.51086</v>
      </c>
      <c r="D3604" s="211" t="str">
        <f>IFERROR(__xludf.DUMMYFUNCTION("""COMPUTED_VALUE"""),"ca4876e2")</f>
        <v>ca4876e2</v>
      </c>
      <c r="E3604" s="211" t="str">
        <f>IFERROR(__xludf.DUMMYFUNCTION("""COMPUTED_VALUE"""),"Bengkel Mustika Mojosari")</f>
        <v>Bengkel Mustika Mojosari</v>
      </c>
      <c r="F3604" s="211" t="str">
        <f>IFERROR(__xludf.DUMMYFUNCTION("""COMPUTED_VALUE"""),"7d2764f1")</f>
        <v>7d2764f1</v>
      </c>
      <c r="G3604" s="211" t="str">
        <f>IFERROR(__xludf.DUMMYFUNCTION("""COMPUTED_VALUE"""),"Oksigen 7m3")</f>
        <v>Oksigen 7m3</v>
      </c>
      <c r="H3604" s="211" t="str">
        <f>IFERROR(__xludf.DUMMYFUNCTION("""COMPUTED_VALUE"""),"IN")</f>
        <v>IN</v>
      </c>
      <c r="I3604" s="211" t="str">
        <f>IFERROR(__xludf.DUMMYFUNCTION("""COMPUTED_VALUE"""),"EMPTY")</f>
        <v>EMPTY</v>
      </c>
      <c r="J3604" s="211">
        <f>IFERROR(__xludf.DUMMYFUNCTION("""COMPUTED_VALUE"""),1.0)</f>
        <v>1</v>
      </c>
      <c r="K3604" s="210" t="str">
        <f>IFERROR(__xludf.DUMMYFUNCTION("""COMPUTED_VALUE"""),"11225")</f>
        <v>11225</v>
      </c>
      <c r="L3604" s="211">
        <f>IFERROR(__xludf.DUMMYFUNCTION("""COMPUTED_VALUE"""),0.0)</f>
        <v>0</v>
      </c>
      <c r="M3604" s="211"/>
      <c r="N3604" s="211"/>
      <c r="O3604" s="211" t="b">
        <f>IFERROR(__xludf.DUMMYFUNCTION("""COMPUTED_VALUE"""),FALSE)</f>
        <v>0</v>
      </c>
    </row>
    <row r="3605">
      <c r="A3605" s="210" t="str">
        <f>IFERROR(__xludf.DUMMYFUNCTION("""COMPUTED_VALUE"""),"1261229")</f>
        <v>1261229</v>
      </c>
      <c r="B3605" s="210" t="str">
        <f>IFERROR(__xludf.DUMMYFUNCTION("""COMPUTED_VALUE"""),"1261229")</f>
        <v>1261229</v>
      </c>
      <c r="C3605" s="213">
        <f>IFERROR(__xludf.DUMMYFUNCTION("""COMPUTED_VALUE"""),46062.511458333334)</f>
        <v>46062.51146</v>
      </c>
      <c r="D3605" s="211" t="str">
        <f>IFERROR(__xludf.DUMMYFUNCTION("""COMPUTED_VALUE"""),"f8a982a4")</f>
        <v>f8a982a4</v>
      </c>
      <c r="E3605" s="211" t="str">
        <f>IFERROR(__xludf.DUMMYFUNCTION("""COMPUTED_VALUE"""),"Bpk. Nasir")</f>
        <v>Bpk. Nasir</v>
      </c>
      <c r="F3605" s="211" t="str">
        <f>IFERROR(__xludf.DUMMYFUNCTION("""COMPUTED_VALUE"""),"7d2764f1")</f>
        <v>7d2764f1</v>
      </c>
      <c r="G3605" s="211" t="str">
        <f>IFERROR(__xludf.DUMMYFUNCTION("""COMPUTED_VALUE"""),"Oksigen 7m3")</f>
        <v>Oksigen 7m3</v>
      </c>
      <c r="H3605" s="211" t="str">
        <f>IFERROR(__xludf.DUMMYFUNCTION("""COMPUTED_VALUE"""),"IN")</f>
        <v>IN</v>
      </c>
      <c r="I3605" s="211" t="str">
        <f>IFERROR(__xludf.DUMMYFUNCTION("""COMPUTED_VALUE"""),"EMPTY")</f>
        <v>EMPTY</v>
      </c>
      <c r="J3605" s="211">
        <f>IFERROR(__xludf.DUMMYFUNCTION("""COMPUTED_VALUE"""),2.0)</f>
        <v>2</v>
      </c>
      <c r="K3605" s="210" t="str">
        <f>IFERROR(__xludf.DUMMYFUNCTION("""COMPUTED_VALUE"""),"11306 11162")</f>
        <v>11306 11162</v>
      </c>
      <c r="L3605" s="211">
        <f>IFERROR(__xludf.DUMMYFUNCTION("""COMPUTED_VALUE"""),0.0)</f>
        <v>0</v>
      </c>
      <c r="M3605" s="211"/>
      <c r="N3605" s="211"/>
      <c r="O3605" s="211" t="b">
        <f>IFERROR(__xludf.DUMMYFUNCTION("""COMPUTED_VALUE"""),FALSE)</f>
        <v>0</v>
      </c>
    </row>
    <row r="3606">
      <c r="A3606" s="210" t="str">
        <f>IFERROR(__xludf.DUMMYFUNCTION("""COMPUTED_VALUE"""),"022682496")</f>
        <v>022682496</v>
      </c>
      <c r="B3606" s="210" t="str">
        <f>IFERROR(__xludf.DUMMYFUNCTION("""COMPUTED_VALUE"""),"022682496")</f>
        <v>022682496</v>
      </c>
      <c r="C3606" s="213">
        <f>IFERROR(__xludf.DUMMYFUNCTION("""COMPUTED_VALUE"""),46062.58164351852)</f>
        <v>46062.58164</v>
      </c>
      <c r="D3606" s="211" t="str">
        <f>IFERROR(__xludf.DUMMYFUNCTION("""COMPUTED_VALUE"""),"9828dfc5")</f>
        <v>9828dfc5</v>
      </c>
      <c r="E3606" s="211" t="str">
        <f>IFERROR(__xludf.DUMMYFUNCTION("""COMPUTED_VALUE"""),"Bpk. David")</f>
        <v>Bpk. David</v>
      </c>
      <c r="F3606" s="211" t="str">
        <f>IFERROR(__xludf.DUMMYFUNCTION("""COMPUTED_VALUE"""),"8bdbe149")</f>
        <v>8bdbe149</v>
      </c>
      <c r="G3606" s="211" t="str">
        <f>IFERROR(__xludf.DUMMYFUNCTION("""COMPUTED_VALUE"""),"Oksigen 6m3")</f>
        <v>Oksigen 6m3</v>
      </c>
      <c r="H3606" s="211" t="str">
        <f>IFERROR(__xludf.DUMMYFUNCTION("""COMPUTED_VALUE"""),"OUT")</f>
        <v>OUT</v>
      </c>
      <c r="I3606" s="211" t="str">
        <f>IFERROR(__xludf.DUMMYFUNCTION("""COMPUTED_VALUE"""),"NORMAL")</f>
        <v>NORMAL</v>
      </c>
      <c r="J3606" s="211">
        <f>IFERROR(__xludf.DUMMYFUNCTION("""COMPUTED_VALUE"""),10.0)</f>
        <v>10</v>
      </c>
      <c r="K3606" s="210" t="str">
        <f>IFERROR(__xludf.DUMMYFUNCTION("""COMPUTED_VALUE"""),"11117 1119 11134 1154 1133 11123 11340 11245 11343 11182")</f>
        <v>11117 1119 11134 1154 1133 11123 11340 11245 11343 11182</v>
      </c>
      <c r="L3606" s="211">
        <f>IFERROR(__xludf.DUMMYFUNCTION("""COMPUTED_VALUE"""),60000.0)</f>
        <v>60000</v>
      </c>
      <c r="M3606" s="211"/>
      <c r="N3606" s="211"/>
      <c r="O3606" s="211" t="b">
        <f>IFERROR(__xludf.DUMMYFUNCTION("""COMPUTED_VALUE"""),FALSE)</f>
        <v>0</v>
      </c>
    </row>
    <row r="3607">
      <c r="A3607" s="210" t="str">
        <f>IFERROR(__xludf.DUMMYFUNCTION("""COMPUTED_VALUE"""),"022642501")</f>
        <v>022642501</v>
      </c>
      <c r="B3607" s="210" t="str">
        <f>IFERROR(__xludf.DUMMYFUNCTION("""COMPUTED_VALUE"""),"022642501")</f>
        <v>022642501</v>
      </c>
      <c r="C3607" s="213">
        <f>IFERROR(__xludf.DUMMYFUNCTION("""COMPUTED_VALUE"""),46062.659467592595)</f>
        <v>46062.65947</v>
      </c>
      <c r="D3607" s="211" t="str">
        <f>IFERROR(__xludf.DUMMYFUNCTION("""COMPUTED_VALUE"""),"cac4449f")</f>
        <v>cac4449f</v>
      </c>
      <c r="E3607" s="211" t="str">
        <f>IFERROR(__xludf.DUMMYFUNCTION("""COMPUTED_VALUE"""),"Bpk. Agus Yahya")</f>
        <v>Bpk. Agus Yahya</v>
      </c>
      <c r="F3607" s="211" t="str">
        <f>IFERROR(__xludf.DUMMYFUNCTION("""COMPUTED_VALUE"""),"8bdbe149")</f>
        <v>8bdbe149</v>
      </c>
      <c r="G3607" s="211" t="str">
        <f>IFERROR(__xludf.DUMMYFUNCTION("""COMPUTED_VALUE"""),"Oksigen 6m3")</f>
        <v>Oksigen 6m3</v>
      </c>
      <c r="H3607" s="211" t="str">
        <f>IFERROR(__xludf.DUMMYFUNCTION("""COMPUTED_VALUE"""),"OUT")</f>
        <v>OUT</v>
      </c>
      <c r="I3607" s="211" t="str">
        <f>IFERROR(__xludf.DUMMYFUNCTION("""COMPUTED_VALUE"""),"NORMAL")</f>
        <v>NORMAL</v>
      </c>
      <c r="J3607" s="211">
        <f>IFERROR(__xludf.DUMMYFUNCTION("""COMPUTED_VALUE"""),2.0)</f>
        <v>2</v>
      </c>
      <c r="K3607" s="210" t="str">
        <f>IFERROR(__xludf.DUMMYFUNCTION("""COMPUTED_VALUE"""),"1147 11281")</f>
        <v>1147 11281</v>
      </c>
      <c r="L3607" s="211">
        <f>IFERROR(__xludf.DUMMYFUNCTION("""COMPUTED_VALUE"""),100000.0)</f>
        <v>100000</v>
      </c>
      <c r="M3607" s="211"/>
      <c r="N3607" s="211"/>
      <c r="O3607" s="211" t="b">
        <f>IFERROR(__xludf.DUMMYFUNCTION("""COMPUTED_VALUE"""),FALSE)</f>
        <v>0</v>
      </c>
    </row>
    <row r="3608">
      <c r="A3608" s="210" t="str">
        <f>IFERROR(__xludf.DUMMYFUNCTION("""COMPUTED_VALUE"""),"0226112502")</f>
        <v>0226112502</v>
      </c>
      <c r="B3608" s="210" t="str">
        <f>IFERROR(__xludf.DUMMYFUNCTION("""COMPUTED_VALUE"""),"0226112502")</f>
        <v>0226112502</v>
      </c>
      <c r="C3608" s="213">
        <f>IFERROR(__xludf.DUMMYFUNCTION("""COMPUTED_VALUE"""),46063.34027777778)</f>
        <v>46063.34028</v>
      </c>
      <c r="D3608" s="211" t="str">
        <f>IFERROR(__xludf.DUMMYFUNCTION("""COMPUTED_VALUE"""),"dcdf8b31")</f>
        <v>dcdf8b31</v>
      </c>
      <c r="E3608" s="211" t="str">
        <f>IFERROR(__xludf.DUMMYFUNCTION("""COMPUTED_VALUE"""),"Bpk. Samsul (Jetis)")</f>
        <v>Bpk. Samsul (Jetis)</v>
      </c>
      <c r="F3608" s="211" t="str">
        <f>IFERROR(__xludf.DUMMYFUNCTION("""COMPUTED_VALUE"""),"7d2764f1")</f>
        <v>7d2764f1</v>
      </c>
      <c r="G3608" s="211" t="str">
        <f>IFERROR(__xludf.DUMMYFUNCTION("""COMPUTED_VALUE"""),"Oksigen 7m3")</f>
        <v>Oksigen 7m3</v>
      </c>
      <c r="H3608" s="211" t="str">
        <f>IFERROR(__xludf.DUMMYFUNCTION("""COMPUTED_VALUE"""),"OUT")</f>
        <v>OUT</v>
      </c>
      <c r="I3608" s="211" t="str">
        <f>IFERROR(__xludf.DUMMYFUNCTION("""COMPUTED_VALUE"""),"NORMAL")</f>
        <v>NORMAL</v>
      </c>
      <c r="J3608" s="211">
        <f>IFERROR(__xludf.DUMMYFUNCTION("""COMPUTED_VALUE"""),2.0)</f>
        <v>2</v>
      </c>
      <c r="K3608" s="210" t="str">
        <f>IFERROR(__xludf.DUMMYFUNCTION("""COMPUTED_VALUE"""),"11174 11168")</f>
        <v>11174 11168</v>
      </c>
      <c r="L3608" s="211">
        <f>IFERROR(__xludf.DUMMYFUNCTION("""COMPUTED_VALUE"""),70000.0)</f>
        <v>70000</v>
      </c>
      <c r="M3608" s="211"/>
      <c r="N3608" s="211"/>
      <c r="O3608" s="211" t="b">
        <f>IFERROR(__xludf.DUMMYFUNCTION("""COMPUTED_VALUE"""),FALSE)</f>
        <v>0</v>
      </c>
    </row>
    <row r="3609">
      <c r="A3609" s="210" t="str">
        <f>IFERROR(__xludf.DUMMYFUNCTION("""COMPUTED_VALUE"""),"0226112502")</f>
        <v>0226112502</v>
      </c>
      <c r="B3609" s="210" t="str">
        <f>IFERROR(__xludf.DUMMYFUNCTION("""COMPUTED_VALUE"""),"0226112502")</f>
        <v>0226112502</v>
      </c>
      <c r="C3609" s="213">
        <f>IFERROR(__xludf.DUMMYFUNCTION("""COMPUTED_VALUE"""),46063.34027777778)</f>
        <v>46063.34028</v>
      </c>
      <c r="D3609" s="211" t="str">
        <f>IFERROR(__xludf.DUMMYFUNCTION("""COMPUTED_VALUE"""),"dcdf8b31")</f>
        <v>dcdf8b31</v>
      </c>
      <c r="E3609" s="211" t="str">
        <f>IFERROR(__xludf.DUMMYFUNCTION("""COMPUTED_VALUE"""),"Bpk. Samsul (Jetis)")</f>
        <v>Bpk. Samsul (Jetis)</v>
      </c>
      <c r="F3609" s="211" t="str">
        <f>IFERROR(__xludf.DUMMYFUNCTION("""COMPUTED_VALUE"""),"be525f3b")</f>
        <v>be525f3b</v>
      </c>
      <c r="G3609" s="211" t="str">
        <f>IFERROR(__xludf.DUMMYFUNCTION("""COMPUTED_VALUE"""),"LPG 12kg")</f>
        <v>LPG 12kg</v>
      </c>
      <c r="H3609" s="211" t="str">
        <f>IFERROR(__xludf.DUMMYFUNCTION("""COMPUTED_VALUE"""),"OUT")</f>
        <v>OUT</v>
      </c>
      <c r="I3609" s="211" t="str">
        <f>IFERROR(__xludf.DUMMYFUNCTION("""COMPUTED_VALUE"""),"NORMAL")</f>
        <v>NORMAL</v>
      </c>
      <c r="J3609" s="211">
        <f>IFERROR(__xludf.DUMMYFUNCTION("""COMPUTED_VALUE"""),1.0)</f>
        <v>1</v>
      </c>
      <c r="K3609" s="210" t="str">
        <f>IFERROR(__xludf.DUMMYFUNCTION("""COMPUTED_VALUE"""),"L006")</f>
        <v>L006</v>
      </c>
      <c r="L3609" s="211">
        <f>IFERROR(__xludf.DUMMYFUNCTION("""COMPUTED_VALUE"""),200000.0)</f>
        <v>200000</v>
      </c>
      <c r="M3609" s="211"/>
      <c r="N3609" s="211"/>
      <c r="O3609" s="211" t="b">
        <f>IFERROR(__xludf.DUMMYFUNCTION("""COMPUTED_VALUE"""),FALSE)</f>
        <v>0</v>
      </c>
    </row>
    <row r="3610">
      <c r="A3610" s="210" t="str">
        <f>IFERROR(__xludf.DUMMYFUNCTION("""COMPUTED_VALUE"""),"1261241")</f>
        <v>1261241</v>
      </c>
      <c r="B3610" s="210" t="str">
        <f>IFERROR(__xludf.DUMMYFUNCTION("""COMPUTED_VALUE"""),"1261241")</f>
        <v>1261241</v>
      </c>
      <c r="C3610" s="213">
        <f>IFERROR(__xludf.DUMMYFUNCTION("""COMPUTED_VALUE"""),46062.688993055555)</f>
        <v>46062.68899</v>
      </c>
      <c r="D3610" s="211" t="str">
        <f>IFERROR(__xludf.DUMMYFUNCTION("""COMPUTED_VALUE"""),"cac4449f")</f>
        <v>cac4449f</v>
      </c>
      <c r="E3610" s="211" t="str">
        <f>IFERROR(__xludf.DUMMYFUNCTION("""COMPUTED_VALUE"""),"Bpk. Agus Yahya")</f>
        <v>Bpk. Agus Yahya</v>
      </c>
      <c r="F3610" s="211" t="str">
        <f>IFERROR(__xludf.DUMMYFUNCTION("""COMPUTED_VALUE"""),"8bdbe149")</f>
        <v>8bdbe149</v>
      </c>
      <c r="G3610" s="211" t="str">
        <f>IFERROR(__xludf.DUMMYFUNCTION("""COMPUTED_VALUE"""),"Oksigen 6m3")</f>
        <v>Oksigen 6m3</v>
      </c>
      <c r="H3610" s="211" t="str">
        <f>IFERROR(__xludf.DUMMYFUNCTION("""COMPUTED_VALUE"""),"IN")</f>
        <v>IN</v>
      </c>
      <c r="I3610" s="211" t="str">
        <f>IFERROR(__xludf.DUMMYFUNCTION("""COMPUTED_VALUE"""),"EMPTY")</f>
        <v>EMPTY</v>
      </c>
      <c r="J3610" s="211">
        <f>IFERROR(__xludf.DUMMYFUNCTION("""COMPUTED_VALUE"""),1.0)</f>
        <v>1</v>
      </c>
      <c r="K3610" s="210" t="str">
        <f>IFERROR(__xludf.DUMMYFUNCTION("""COMPUTED_VALUE"""),"1116")</f>
        <v>1116</v>
      </c>
      <c r="L3610" s="211">
        <f>IFERROR(__xludf.DUMMYFUNCTION("""COMPUTED_VALUE"""),0.0)</f>
        <v>0</v>
      </c>
      <c r="M3610" s="211"/>
      <c r="N3610" s="211"/>
      <c r="O3610" s="211" t="b">
        <f>IFERROR(__xludf.DUMMYFUNCTION("""COMPUTED_VALUE"""),FALSE)</f>
        <v>0</v>
      </c>
    </row>
    <row r="3611">
      <c r="A3611" s="210" t="str">
        <f>IFERROR(__xludf.DUMMYFUNCTION("""COMPUTED_VALUE"""),"0226202503")</f>
        <v>0226202503</v>
      </c>
      <c r="B3611" s="210" t="str">
        <f>IFERROR(__xludf.DUMMYFUNCTION("""COMPUTED_VALUE"""),"0226202503")</f>
        <v>0226202503</v>
      </c>
      <c r="C3611" s="213">
        <f>IFERROR(__xludf.DUMMYFUNCTION("""COMPUTED_VALUE"""),46063.36376157407)</f>
        <v>46063.36376</v>
      </c>
      <c r="D3611" s="211" t="str">
        <f>IFERROR(__xludf.DUMMYFUNCTION("""COMPUTED_VALUE"""),"8ea74d81")</f>
        <v>8ea74d81</v>
      </c>
      <c r="E3611" s="211" t="str">
        <f>IFERROR(__xludf.DUMMYFUNCTION("""COMPUTED_VALUE"""),"Bengkel Adi Putra")</f>
        <v>Bengkel Adi Putra</v>
      </c>
      <c r="F3611" s="211" t="str">
        <f>IFERROR(__xludf.DUMMYFUNCTION("""COMPUTED_VALUE"""),"8bdbe149")</f>
        <v>8bdbe149</v>
      </c>
      <c r="G3611" s="211" t="str">
        <f>IFERROR(__xludf.DUMMYFUNCTION("""COMPUTED_VALUE"""),"Oksigen 6m3")</f>
        <v>Oksigen 6m3</v>
      </c>
      <c r="H3611" s="211" t="str">
        <f>IFERROR(__xludf.DUMMYFUNCTION("""COMPUTED_VALUE"""),"OUT")</f>
        <v>OUT</v>
      </c>
      <c r="I3611" s="211" t="str">
        <f>IFERROR(__xludf.DUMMYFUNCTION("""COMPUTED_VALUE"""),"NORMAL")</f>
        <v>NORMAL</v>
      </c>
      <c r="J3611" s="211">
        <f>IFERROR(__xludf.DUMMYFUNCTION("""COMPUTED_VALUE"""),1.0)</f>
        <v>1</v>
      </c>
      <c r="K3611" s="210" t="str">
        <f>IFERROR(__xludf.DUMMYFUNCTION("""COMPUTED_VALUE"""),"11280")</f>
        <v>11280</v>
      </c>
      <c r="L3611" s="211">
        <f>IFERROR(__xludf.DUMMYFUNCTION("""COMPUTED_VALUE"""),70000.0)</f>
        <v>70000</v>
      </c>
      <c r="M3611" s="211"/>
      <c r="N3611" s="211"/>
      <c r="O3611" s="211" t="b">
        <f>IFERROR(__xludf.DUMMYFUNCTION("""COMPUTED_VALUE"""),FALSE)</f>
        <v>0</v>
      </c>
    </row>
    <row r="3612">
      <c r="A3612" s="210" t="str">
        <f>IFERROR(__xludf.DUMMYFUNCTION("""COMPUTED_VALUE"""),"0226202503")</f>
        <v>0226202503</v>
      </c>
      <c r="B3612" s="210" t="str">
        <f>IFERROR(__xludf.DUMMYFUNCTION("""COMPUTED_VALUE"""),"0226202503")</f>
        <v>0226202503</v>
      </c>
      <c r="C3612" s="213">
        <f>IFERROR(__xludf.DUMMYFUNCTION("""COMPUTED_VALUE"""),46063.36376157407)</f>
        <v>46063.36376</v>
      </c>
      <c r="D3612" s="211" t="str">
        <f>IFERROR(__xludf.DUMMYFUNCTION("""COMPUTED_VALUE"""),"8ea74d81")</f>
        <v>8ea74d81</v>
      </c>
      <c r="E3612" s="211" t="str">
        <f>IFERROR(__xludf.DUMMYFUNCTION("""COMPUTED_VALUE"""),"Bengkel Adi Putra")</f>
        <v>Bengkel Adi Putra</v>
      </c>
      <c r="F3612" s="211" t="str">
        <f>IFERROR(__xludf.DUMMYFUNCTION("""COMPUTED_VALUE"""),"7d2764f1")</f>
        <v>7d2764f1</v>
      </c>
      <c r="G3612" s="211" t="str">
        <f>IFERROR(__xludf.DUMMYFUNCTION("""COMPUTED_VALUE"""),"Oksigen 7m3")</f>
        <v>Oksigen 7m3</v>
      </c>
      <c r="H3612" s="211" t="str">
        <f>IFERROR(__xludf.DUMMYFUNCTION("""COMPUTED_VALUE"""),"OUT")</f>
        <v>OUT</v>
      </c>
      <c r="I3612" s="211" t="str">
        <f>IFERROR(__xludf.DUMMYFUNCTION("""COMPUTED_VALUE"""),"NORMAL")</f>
        <v>NORMAL</v>
      </c>
      <c r="J3612" s="211">
        <f>IFERROR(__xludf.DUMMYFUNCTION("""COMPUTED_VALUE"""),1.0)</f>
        <v>1</v>
      </c>
      <c r="K3612" s="210" t="str">
        <f>IFERROR(__xludf.DUMMYFUNCTION("""COMPUTED_VALUE"""),"11329")</f>
        <v>11329</v>
      </c>
      <c r="L3612" s="211">
        <f>IFERROR(__xludf.DUMMYFUNCTION("""COMPUTED_VALUE"""),70000.0)</f>
        <v>70000</v>
      </c>
      <c r="M3612" s="211"/>
      <c r="N3612" s="211"/>
      <c r="O3612" s="211" t="b">
        <f>IFERROR(__xludf.DUMMYFUNCTION("""COMPUTED_VALUE"""),FALSE)</f>
        <v>0</v>
      </c>
    </row>
    <row r="3613">
      <c r="A3613" s="210" t="str">
        <f>IFERROR(__xludf.DUMMYFUNCTION("""COMPUTED_VALUE"""),"022692505")</f>
        <v>022692505</v>
      </c>
      <c r="B3613" s="210" t="str">
        <f>IFERROR(__xludf.DUMMYFUNCTION("""COMPUTED_VALUE"""),"022692505")</f>
        <v>022692505</v>
      </c>
      <c r="C3613" s="213">
        <f>IFERROR(__xludf.DUMMYFUNCTION("""COMPUTED_VALUE"""),46063.390023148146)</f>
        <v>46063.39002</v>
      </c>
      <c r="D3613" s="211" t="str">
        <f>IFERROR(__xludf.DUMMYFUNCTION("""COMPUTED_VALUE"""),"196b24da")</f>
        <v>196b24da</v>
      </c>
      <c r="E3613" s="211" t="str">
        <f>IFERROR(__xludf.DUMMYFUNCTION("""COMPUTED_VALUE"""),"PT Samudra Cipta Enjineering")</f>
        <v>PT Samudra Cipta Enjineering</v>
      </c>
      <c r="F3613" s="211" t="str">
        <f>IFERROR(__xludf.DUMMYFUNCTION("""COMPUTED_VALUE"""),"b7a8fff1")</f>
        <v>b7a8fff1</v>
      </c>
      <c r="G3613" s="211" t="str">
        <f>IFERROR(__xludf.DUMMYFUNCTION("""COMPUTED_VALUE"""),"LPG 50kg")</f>
        <v>LPG 50kg</v>
      </c>
      <c r="H3613" s="211" t="str">
        <f>IFERROR(__xludf.DUMMYFUNCTION("""COMPUTED_VALUE"""),"OUT")</f>
        <v>OUT</v>
      </c>
      <c r="I3613" s="211" t="str">
        <f>IFERROR(__xludf.DUMMYFUNCTION("""COMPUTED_VALUE"""),"NORMAL")</f>
        <v>NORMAL</v>
      </c>
      <c r="J3613" s="211">
        <f>IFERROR(__xludf.DUMMYFUNCTION("""COMPUTED_VALUE"""),3.0)</f>
        <v>3</v>
      </c>
      <c r="K3613" s="210" t="str">
        <f>IFERROR(__xludf.DUMMYFUNCTION("""COMPUTED_VALUE"""),"LL001 LL003 LL002")</f>
        <v>LL001 LL003 LL002</v>
      </c>
      <c r="L3613" s="211">
        <f>IFERROR(__xludf.DUMMYFUNCTION("""COMPUTED_VALUE"""),900000.0)</f>
        <v>900000</v>
      </c>
      <c r="M3613" s="211"/>
      <c r="N3613" s="211"/>
      <c r="O3613" s="211" t="b">
        <f>IFERROR(__xludf.DUMMYFUNCTION("""COMPUTED_VALUE"""),FALSE)</f>
        <v>0</v>
      </c>
    </row>
    <row r="3614">
      <c r="A3614" s="210" t="str">
        <f>IFERROR(__xludf.DUMMYFUNCTION("""COMPUTED_VALUE"""),"0226262507")</f>
        <v>0226262507</v>
      </c>
      <c r="B3614" s="210" t="str">
        <f>IFERROR(__xludf.DUMMYFUNCTION("""COMPUTED_VALUE"""),"0226262507")</f>
        <v>0226262507</v>
      </c>
      <c r="C3614" s="213">
        <f>IFERROR(__xludf.DUMMYFUNCTION("""COMPUTED_VALUE"""),46063.419641203705)</f>
        <v>46063.41964</v>
      </c>
      <c r="D3614" s="211" t="str">
        <f>IFERROR(__xludf.DUMMYFUNCTION("""COMPUTED_VALUE"""),"3bcd7fe6")</f>
        <v>3bcd7fe6</v>
      </c>
      <c r="E3614" s="211" t="str">
        <f>IFERROR(__xludf.DUMMYFUNCTION("""COMPUTED_VALUE"""),"Bpk. Alvin (LB Group)")</f>
        <v>Bpk. Alvin (LB Group)</v>
      </c>
      <c r="F3614" s="211" t="str">
        <f>IFERROR(__xludf.DUMMYFUNCTION("""COMPUTED_VALUE"""),"f6aab7a9")</f>
        <v>f6aab7a9</v>
      </c>
      <c r="G3614" s="211" t="str">
        <f>IFERROR(__xludf.DUMMYFUNCTION("""COMPUTED_VALUE"""),"Oksigen 6m3 MR")</f>
        <v>Oksigen 6m3 MR</v>
      </c>
      <c r="H3614" s="211" t="str">
        <f>IFERROR(__xludf.DUMMYFUNCTION("""COMPUTED_VALUE"""),"OUT")</f>
        <v>OUT</v>
      </c>
      <c r="I3614" s="211" t="str">
        <f>IFERROR(__xludf.DUMMYFUNCTION("""COMPUTED_VALUE"""),"NORMAL")</f>
        <v>NORMAL</v>
      </c>
      <c r="J3614" s="211">
        <f>IFERROR(__xludf.DUMMYFUNCTION("""COMPUTED_VALUE"""),2.0)</f>
        <v>2</v>
      </c>
      <c r="K3614" s="211"/>
      <c r="L3614" s="211">
        <f>IFERROR(__xludf.DUMMYFUNCTION("""COMPUTED_VALUE"""),50000.0)</f>
        <v>50000</v>
      </c>
      <c r="M3614" s="211"/>
      <c r="N3614" s="211"/>
      <c r="O3614" s="211" t="b">
        <f>IFERROR(__xludf.DUMMYFUNCTION("""COMPUTED_VALUE"""),FALSE)</f>
        <v>0</v>
      </c>
    </row>
    <row r="3615">
      <c r="A3615" s="211"/>
      <c r="B3615" s="211"/>
      <c r="C3615" s="211"/>
      <c r="D3615" s="211"/>
      <c r="E3615" s="211"/>
      <c r="F3615" s="211"/>
      <c r="G3615" s="211"/>
      <c r="H3615" s="211"/>
      <c r="I3615" s="211"/>
      <c r="J3615" s="211"/>
      <c r="K3615" s="211"/>
      <c r="L3615" s="211"/>
      <c r="M3615" s="211"/>
      <c r="N3615" s="211"/>
      <c r="O3615" s="211"/>
    </row>
    <row r="3616">
      <c r="A3616" s="211"/>
      <c r="B3616" s="211"/>
      <c r="C3616" s="211"/>
      <c r="D3616" s="211"/>
      <c r="E3616" s="211"/>
      <c r="F3616" s="211"/>
      <c r="G3616" s="211"/>
      <c r="H3616" s="211"/>
      <c r="I3616" s="211"/>
      <c r="J3616" s="211"/>
      <c r="K3616" s="211"/>
      <c r="L3616" s="211"/>
      <c r="M3616" s="211"/>
      <c r="N3616" s="211"/>
      <c r="O3616" s="211"/>
    </row>
    <row r="3617">
      <c r="A3617" s="210" t="str">
        <f>IFERROR(__xludf.DUMMYFUNCTION("""COMPUTED_VALUE"""),"022622508")</f>
        <v>022622508</v>
      </c>
      <c r="B3617" s="210" t="str">
        <f>IFERROR(__xludf.DUMMYFUNCTION("""COMPUTED_VALUE"""),"022622508")</f>
        <v>022622508</v>
      </c>
      <c r="C3617" s="213">
        <f>IFERROR(__xludf.DUMMYFUNCTION("""COMPUTED_VALUE"""),46063.42853009259)</f>
        <v>46063.42853</v>
      </c>
      <c r="D3617" s="211" t="str">
        <f>IFERROR(__xludf.DUMMYFUNCTION("""COMPUTED_VALUE"""),"de41c3e8")</f>
        <v>de41c3e8</v>
      </c>
      <c r="E3617" s="211" t="str">
        <f>IFERROR(__xludf.DUMMYFUNCTION("""COMPUTED_VALUE"""),"Bpk. Eko Mianto")</f>
        <v>Bpk. Eko Mianto</v>
      </c>
      <c r="F3617" s="211" t="str">
        <f>IFERROR(__xludf.DUMMYFUNCTION("""COMPUTED_VALUE"""),"66af7c72")</f>
        <v>66af7c72</v>
      </c>
      <c r="G3617" s="211" t="str">
        <f>IFERROR(__xludf.DUMMYFUNCTION("""COMPUTED_VALUE"""),"Argon 6m3")</f>
        <v>Argon 6m3</v>
      </c>
      <c r="H3617" s="211" t="str">
        <f>IFERROR(__xludf.DUMMYFUNCTION("""COMPUTED_VALUE"""),"OUT")</f>
        <v>OUT</v>
      </c>
      <c r="I3617" s="211" t="str">
        <f>IFERROR(__xludf.DUMMYFUNCTION("""COMPUTED_VALUE"""),"NORMAL")</f>
        <v>NORMAL</v>
      </c>
      <c r="J3617" s="211">
        <f>IFERROR(__xludf.DUMMYFUNCTION("""COMPUTED_VALUE"""),2.0)</f>
        <v>2</v>
      </c>
      <c r="K3617" s="210" t="str">
        <f>IFERROR(__xludf.DUMMYFUNCTION("""COMPUTED_VALUE"""),"12027 12074")</f>
        <v>12027 12074</v>
      </c>
      <c r="L3617" s="211">
        <f>IFERROR(__xludf.DUMMYFUNCTION("""COMPUTED_VALUE"""),225000.0)</f>
        <v>225000</v>
      </c>
      <c r="M3617" s="211"/>
      <c r="N3617" s="211"/>
      <c r="O3617" s="211" t="b">
        <f>IFERROR(__xludf.DUMMYFUNCTION("""COMPUTED_VALUE"""),FALSE)</f>
        <v>0</v>
      </c>
    </row>
    <row r="3618">
      <c r="A3618" s="210" t="str">
        <f>IFERROR(__xludf.DUMMYFUNCTION("""COMPUTED_VALUE"""),"1261213")</f>
        <v>1261213</v>
      </c>
      <c r="B3618" s="210" t="str">
        <f>IFERROR(__xludf.DUMMYFUNCTION("""COMPUTED_VALUE"""),"1261213")</f>
        <v>1261213</v>
      </c>
      <c r="C3618" s="213">
        <f>IFERROR(__xludf.DUMMYFUNCTION("""COMPUTED_VALUE"""),46063.43548611111)</f>
        <v>46063.43549</v>
      </c>
      <c r="D3618" s="211" t="str">
        <f>IFERROR(__xludf.DUMMYFUNCTION("""COMPUTED_VALUE"""),"196b24da")</f>
        <v>196b24da</v>
      </c>
      <c r="E3618" s="211" t="str">
        <f>IFERROR(__xludf.DUMMYFUNCTION("""COMPUTED_VALUE"""),"PT Samudra Cipta Enjineering")</f>
        <v>PT Samudra Cipta Enjineering</v>
      </c>
      <c r="F3618" s="211" t="str">
        <f>IFERROR(__xludf.DUMMYFUNCTION("""COMPUTED_VALUE"""),"b7a8fff1")</f>
        <v>b7a8fff1</v>
      </c>
      <c r="G3618" s="211" t="str">
        <f>IFERROR(__xludf.DUMMYFUNCTION("""COMPUTED_VALUE"""),"LPG 50kg")</f>
        <v>LPG 50kg</v>
      </c>
      <c r="H3618" s="211" t="str">
        <f>IFERROR(__xludf.DUMMYFUNCTION("""COMPUTED_VALUE"""),"IN")</f>
        <v>IN</v>
      </c>
      <c r="I3618" s="211" t="str">
        <f>IFERROR(__xludf.DUMMYFUNCTION("""COMPUTED_VALUE"""),"EMPTY")</f>
        <v>EMPTY</v>
      </c>
      <c r="J3618" s="211">
        <f>IFERROR(__xludf.DUMMYFUNCTION("""COMPUTED_VALUE"""),2.0)</f>
        <v>2</v>
      </c>
      <c r="K3618" s="210" t="str">
        <f>IFERROR(__xludf.DUMMYFUNCTION("""COMPUTED_VALUE"""),"LL001 LL002")</f>
        <v>LL001 LL002</v>
      </c>
      <c r="L3618" s="211">
        <f>IFERROR(__xludf.DUMMYFUNCTION("""COMPUTED_VALUE"""),0.0)</f>
        <v>0</v>
      </c>
      <c r="M3618" s="211"/>
      <c r="N3618" s="211"/>
      <c r="O3618" s="211" t="b">
        <f>IFERROR(__xludf.DUMMYFUNCTION("""COMPUTED_VALUE"""),FALSE)</f>
        <v>0</v>
      </c>
    </row>
    <row r="3619">
      <c r="A3619" s="210" t="str">
        <f>IFERROR(__xludf.DUMMYFUNCTION("""COMPUTED_VALUE"""),"1261242")</f>
        <v>1261242</v>
      </c>
      <c r="B3619" s="210" t="str">
        <f>IFERROR(__xludf.DUMMYFUNCTION("""COMPUTED_VALUE"""),"1261242")</f>
        <v>1261242</v>
      </c>
      <c r="C3619" s="213">
        <f>IFERROR(__xludf.DUMMYFUNCTION("""COMPUTED_VALUE"""),46063.512604166666)</f>
        <v>46063.5126</v>
      </c>
      <c r="D3619" s="211" t="str">
        <f>IFERROR(__xludf.DUMMYFUNCTION("""COMPUTED_VALUE"""),"0411d86e")</f>
        <v>0411d86e</v>
      </c>
      <c r="E3619" s="211" t="str">
        <f>IFERROR(__xludf.DUMMYFUNCTION("""COMPUTED_VALUE"""),"Bpk. Subiantoro (Parengan)")</f>
        <v>Bpk. Subiantoro (Parengan)</v>
      </c>
      <c r="F3619" s="211" t="str">
        <f>IFERROR(__xludf.DUMMYFUNCTION("""COMPUTED_VALUE"""),"8bdbe149")</f>
        <v>8bdbe149</v>
      </c>
      <c r="G3619" s="211" t="str">
        <f>IFERROR(__xludf.DUMMYFUNCTION("""COMPUTED_VALUE"""),"Oksigen 6m3")</f>
        <v>Oksigen 6m3</v>
      </c>
      <c r="H3619" s="211" t="str">
        <f>IFERROR(__xludf.DUMMYFUNCTION("""COMPUTED_VALUE"""),"IN")</f>
        <v>IN</v>
      </c>
      <c r="I3619" s="211" t="str">
        <f>IFERROR(__xludf.DUMMYFUNCTION("""COMPUTED_VALUE"""),"EMPTY")</f>
        <v>EMPTY</v>
      </c>
      <c r="J3619" s="211">
        <f>IFERROR(__xludf.DUMMYFUNCTION("""COMPUTED_VALUE"""),2.0)</f>
        <v>2</v>
      </c>
      <c r="K3619" s="210" t="str">
        <f>IFERROR(__xludf.DUMMYFUNCTION("""COMPUTED_VALUE"""),"1160 11264")</f>
        <v>1160 11264</v>
      </c>
      <c r="L3619" s="211">
        <f>IFERROR(__xludf.DUMMYFUNCTION("""COMPUTED_VALUE"""),0.0)</f>
        <v>0</v>
      </c>
      <c r="M3619" s="211"/>
      <c r="N3619" s="211"/>
      <c r="O3619" s="211" t="b">
        <f>IFERROR(__xludf.DUMMYFUNCTION("""COMPUTED_VALUE"""),FALSE)</f>
        <v>0</v>
      </c>
    </row>
    <row r="3620">
      <c r="A3620" s="210" t="str">
        <f>IFERROR(__xludf.DUMMYFUNCTION("""COMPUTED_VALUE"""),"1261203")</f>
        <v>1261203</v>
      </c>
      <c r="B3620" s="210" t="str">
        <f>IFERROR(__xludf.DUMMYFUNCTION("""COMPUTED_VALUE"""),"1261203")</f>
        <v>1261203</v>
      </c>
      <c r="C3620" s="213">
        <f>IFERROR(__xludf.DUMMYFUNCTION("""COMPUTED_VALUE"""),46063.51770833333)</f>
        <v>46063.51771</v>
      </c>
      <c r="D3620" s="211" t="str">
        <f>IFERROR(__xludf.DUMMYFUNCTION("""COMPUTED_VALUE"""),"b2b5f2c5")</f>
        <v>b2b5f2c5</v>
      </c>
      <c r="E3620" s="211" t="str">
        <f>IFERROR(__xludf.DUMMYFUNCTION("""COMPUTED_VALUE"""),"Bengkel Las Bpk. Ari")</f>
        <v>Bengkel Las Bpk. Ari</v>
      </c>
      <c r="F3620" s="211" t="str">
        <f>IFERROR(__xludf.DUMMYFUNCTION("""COMPUTED_VALUE"""),"8bdbe149")</f>
        <v>8bdbe149</v>
      </c>
      <c r="G3620" s="211" t="str">
        <f>IFERROR(__xludf.DUMMYFUNCTION("""COMPUTED_VALUE"""),"Oksigen 6m3")</f>
        <v>Oksigen 6m3</v>
      </c>
      <c r="H3620" s="211" t="str">
        <f>IFERROR(__xludf.DUMMYFUNCTION("""COMPUTED_VALUE"""),"IN")</f>
        <v>IN</v>
      </c>
      <c r="I3620" s="211" t="str">
        <f>IFERROR(__xludf.DUMMYFUNCTION("""COMPUTED_VALUE"""),"EMPTY")</f>
        <v>EMPTY</v>
      </c>
      <c r="J3620" s="211">
        <f>IFERROR(__xludf.DUMMYFUNCTION("""COMPUTED_VALUE"""),2.0)</f>
        <v>2</v>
      </c>
      <c r="K3620" s="210" t="str">
        <f>IFERROR(__xludf.DUMMYFUNCTION("""COMPUTED_VALUE"""),"1198 1134")</f>
        <v>1198 1134</v>
      </c>
      <c r="L3620" s="211">
        <f>IFERROR(__xludf.DUMMYFUNCTION("""COMPUTED_VALUE"""),0.0)</f>
        <v>0</v>
      </c>
      <c r="M3620" s="211"/>
      <c r="N3620" s="211"/>
      <c r="O3620" s="211" t="b">
        <f>IFERROR(__xludf.DUMMYFUNCTION("""COMPUTED_VALUE"""),FALSE)</f>
        <v>0</v>
      </c>
    </row>
    <row r="3621">
      <c r="A3621" s="210" t="str">
        <f>IFERROR(__xludf.DUMMYFUNCTION("""COMPUTED_VALUE"""),"1261203")</f>
        <v>1261203</v>
      </c>
      <c r="B3621" s="210" t="str">
        <f>IFERROR(__xludf.DUMMYFUNCTION("""COMPUTED_VALUE"""),"1261203")</f>
        <v>1261203</v>
      </c>
      <c r="C3621" s="213">
        <f>IFERROR(__xludf.DUMMYFUNCTION("""COMPUTED_VALUE"""),46063.51770833333)</f>
        <v>46063.51771</v>
      </c>
      <c r="D3621" s="211" t="str">
        <f>IFERROR(__xludf.DUMMYFUNCTION("""COMPUTED_VALUE"""),"b2b5f2c5")</f>
        <v>b2b5f2c5</v>
      </c>
      <c r="E3621" s="211" t="str">
        <f>IFERROR(__xludf.DUMMYFUNCTION("""COMPUTED_VALUE"""),"Bengkel Las Bpk. Ari")</f>
        <v>Bengkel Las Bpk. Ari</v>
      </c>
      <c r="F3621" s="211" t="str">
        <f>IFERROR(__xludf.DUMMYFUNCTION("""COMPUTED_VALUE"""),"ef306e54")</f>
        <v>ef306e54</v>
      </c>
      <c r="G3621" s="211" t="str">
        <f>IFERROR(__xludf.DUMMYFUNCTION("""COMPUTED_VALUE"""),"Karbondioksida")</f>
        <v>Karbondioksida</v>
      </c>
      <c r="H3621" s="211" t="str">
        <f>IFERROR(__xludf.DUMMYFUNCTION("""COMPUTED_VALUE"""),"IN")</f>
        <v>IN</v>
      </c>
      <c r="I3621" s="211" t="str">
        <f>IFERROR(__xludf.DUMMYFUNCTION("""COMPUTED_VALUE"""),"EMPTY")</f>
        <v>EMPTY</v>
      </c>
      <c r="J3621" s="211">
        <f>IFERROR(__xludf.DUMMYFUNCTION("""COMPUTED_VALUE"""),2.0)</f>
        <v>2</v>
      </c>
      <c r="K3621" s="210" t="str">
        <f>IFERROR(__xludf.DUMMYFUNCTION("""COMPUTED_VALUE"""),"13072 13073")</f>
        <v>13072 13073</v>
      </c>
      <c r="L3621" s="211">
        <f>IFERROR(__xludf.DUMMYFUNCTION("""COMPUTED_VALUE"""),0.0)</f>
        <v>0</v>
      </c>
      <c r="M3621" s="211"/>
      <c r="N3621" s="211"/>
      <c r="O3621" s="211" t="b">
        <f>IFERROR(__xludf.DUMMYFUNCTION("""COMPUTED_VALUE"""),FALSE)</f>
        <v>0</v>
      </c>
    </row>
    <row r="3622">
      <c r="A3622" s="210" t="str">
        <f>IFERROR(__xludf.DUMMYFUNCTION("""COMPUTED_VALUE"""),"1261202")</f>
        <v>1261202</v>
      </c>
      <c r="B3622" s="210" t="str">
        <f>IFERROR(__xludf.DUMMYFUNCTION("""COMPUTED_VALUE"""),"1261202")</f>
        <v>1261202</v>
      </c>
      <c r="C3622" s="213">
        <f>IFERROR(__xludf.DUMMYFUNCTION("""COMPUTED_VALUE"""),46063.51825231482)</f>
        <v>46063.51825</v>
      </c>
      <c r="D3622" s="211" t="str">
        <f>IFERROR(__xludf.DUMMYFUNCTION("""COMPUTED_VALUE"""),"9828dfc5")</f>
        <v>9828dfc5</v>
      </c>
      <c r="E3622" s="211" t="str">
        <f>IFERROR(__xludf.DUMMYFUNCTION("""COMPUTED_VALUE"""),"Bpk. David")</f>
        <v>Bpk. David</v>
      </c>
      <c r="F3622" s="211" t="str">
        <f>IFERROR(__xludf.DUMMYFUNCTION("""COMPUTED_VALUE"""),"8bdbe149")</f>
        <v>8bdbe149</v>
      </c>
      <c r="G3622" s="211" t="str">
        <f>IFERROR(__xludf.DUMMYFUNCTION("""COMPUTED_VALUE"""),"Oksigen 6m3")</f>
        <v>Oksigen 6m3</v>
      </c>
      <c r="H3622" s="211" t="str">
        <f>IFERROR(__xludf.DUMMYFUNCTION("""COMPUTED_VALUE"""),"IN")</f>
        <v>IN</v>
      </c>
      <c r="I3622" s="211" t="str">
        <f>IFERROR(__xludf.DUMMYFUNCTION("""COMPUTED_VALUE"""),"EMPTY")</f>
        <v>EMPTY</v>
      </c>
      <c r="J3622" s="211">
        <f>IFERROR(__xludf.DUMMYFUNCTION("""COMPUTED_VALUE"""),3.0)</f>
        <v>3</v>
      </c>
      <c r="K3622" s="210" t="str">
        <f>IFERROR(__xludf.DUMMYFUNCTION("""COMPUTED_VALUE"""),"1131 11115 11282")</f>
        <v>1131 11115 11282</v>
      </c>
      <c r="L3622" s="211">
        <f>IFERROR(__xludf.DUMMYFUNCTION("""COMPUTED_VALUE"""),0.0)</f>
        <v>0</v>
      </c>
      <c r="M3622" s="211"/>
      <c r="N3622" s="211"/>
      <c r="O3622" s="211" t="b">
        <f>IFERROR(__xludf.DUMMYFUNCTION("""COMPUTED_VALUE"""),FALSE)</f>
        <v>0</v>
      </c>
    </row>
    <row r="3623">
      <c r="A3623" s="210" t="str">
        <f>IFERROR(__xludf.DUMMYFUNCTION("""COMPUTED_VALUE"""),"1261202")</f>
        <v>1261202</v>
      </c>
      <c r="B3623" s="210" t="str">
        <f>IFERROR(__xludf.DUMMYFUNCTION("""COMPUTED_VALUE"""),"1261202")</f>
        <v>1261202</v>
      </c>
      <c r="C3623" s="213">
        <f>IFERROR(__xludf.DUMMYFUNCTION("""COMPUTED_VALUE"""),46063.51825231482)</f>
        <v>46063.51825</v>
      </c>
      <c r="D3623" s="211" t="str">
        <f>IFERROR(__xludf.DUMMYFUNCTION("""COMPUTED_VALUE"""),"9828dfc5")</f>
        <v>9828dfc5</v>
      </c>
      <c r="E3623" s="211" t="str">
        <f>IFERROR(__xludf.DUMMYFUNCTION("""COMPUTED_VALUE"""),"Bpk. David")</f>
        <v>Bpk. David</v>
      </c>
      <c r="F3623" s="211" t="str">
        <f>IFERROR(__xludf.DUMMYFUNCTION("""COMPUTED_VALUE"""),"7d2764f1")</f>
        <v>7d2764f1</v>
      </c>
      <c r="G3623" s="211" t="str">
        <f>IFERROR(__xludf.DUMMYFUNCTION("""COMPUTED_VALUE"""),"Oksigen 7m3")</f>
        <v>Oksigen 7m3</v>
      </c>
      <c r="H3623" s="211" t="str">
        <f>IFERROR(__xludf.DUMMYFUNCTION("""COMPUTED_VALUE"""),"IN")</f>
        <v>IN</v>
      </c>
      <c r="I3623" s="211" t="str">
        <f>IFERROR(__xludf.DUMMYFUNCTION("""COMPUTED_VALUE"""),"EMPTY")</f>
        <v>EMPTY</v>
      </c>
      <c r="J3623" s="211">
        <f>IFERROR(__xludf.DUMMYFUNCTION("""COMPUTED_VALUE"""),4.0)</f>
        <v>4</v>
      </c>
      <c r="K3623" s="210" t="str">
        <f>IFERROR(__xludf.DUMMYFUNCTION("""COMPUTED_VALUE"""),"11137 11302 11337 11145")</f>
        <v>11137 11302 11337 11145</v>
      </c>
      <c r="L3623" s="211">
        <f>IFERROR(__xludf.DUMMYFUNCTION("""COMPUTED_VALUE"""),0.0)</f>
        <v>0</v>
      </c>
      <c r="M3623" s="211"/>
      <c r="N3623" s="211"/>
      <c r="O3623" s="211" t="b">
        <f>IFERROR(__xludf.DUMMYFUNCTION("""COMPUTED_VALUE"""),FALSE)</f>
        <v>0</v>
      </c>
    </row>
    <row r="3624">
      <c r="A3624" s="210" t="str">
        <f>IFERROR(__xludf.DUMMYFUNCTION("""COMPUTED_VALUE"""),"022672509")</f>
        <v>022672509</v>
      </c>
      <c r="B3624" s="210" t="str">
        <f>IFERROR(__xludf.DUMMYFUNCTION("""COMPUTED_VALUE"""),"022672509")</f>
        <v>022672509</v>
      </c>
      <c r="C3624" s="213">
        <f>IFERROR(__xludf.DUMMYFUNCTION("""COMPUTED_VALUE"""),46063.520370370374)</f>
        <v>46063.52037</v>
      </c>
      <c r="D3624" s="211" t="str">
        <f>IFERROR(__xludf.DUMMYFUNCTION("""COMPUTED_VALUE"""),"98c84274")</f>
        <v>98c84274</v>
      </c>
      <c r="E3624" s="211" t="str">
        <f>IFERROR(__xludf.DUMMYFUNCTION("""COMPUTED_VALUE"""),"Bengkel SBM (Pak Hari)")</f>
        <v>Bengkel SBM (Pak Hari)</v>
      </c>
      <c r="F3624" s="211" t="str">
        <f>IFERROR(__xludf.DUMMYFUNCTION("""COMPUTED_VALUE"""),"8bdbe149")</f>
        <v>8bdbe149</v>
      </c>
      <c r="G3624" s="211" t="str">
        <f>IFERROR(__xludf.DUMMYFUNCTION("""COMPUTED_VALUE"""),"Oksigen 6m3")</f>
        <v>Oksigen 6m3</v>
      </c>
      <c r="H3624" s="211" t="str">
        <f>IFERROR(__xludf.DUMMYFUNCTION("""COMPUTED_VALUE"""),"OUT")</f>
        <v>OUT</v>
      </c>
      <c r="I3624" s="211" t="str">
        <f>IFERROR(__xludf.DUMMYFUNCTION("""COMPUTED_VALUE"""),"NORMAL")</f>
        <v>NORMAL</v>
      </c>
      <c r="J3624" s="211">
        <f>IFERROR(__xludf.DUMMYFUNCTION("""COMPUTED_VALUE"""),5.0)</f>
        <v>5</v>
      </c>
      <c r="K3624" s="210" t="str">
        <f>IFERROR(__xludf.DUMMYFUNCTION("""COMPUTED_VALUE"""),"11266 11186 1137 11229 11354")</f>
        <v>11266 11186 1137 11229 11354</v>
      </c>
      <c r="L3624" s="211">
        <f>IFERROR(__xludf.DUMMYFUNCTION("""COMPUTED_VALUE"""),60000.0)</f>
        <v>60000</v>
      </c>
      <c r="M3624" s="211"/>
      <c r="N3624" s="211"/>
      <c r="O3624" s="211" t="b">
        <f>IFERROR(__xludf.DUMMYFUNCTION("""COMPUTED_VALUE"""),FALSE)</f>
        <v>0</v>
      </c>
    </row>
    <row r="3625">
      <c r="A3625" s="210" t="str">
        <f>IFERROR(__xludf.DUMMYFUNCTION("""COMPUTED_VALUE"""),"022672509")</f>
        <v>022672509</v>
      </c>
      <c r="B3625" s="210" t="str">
        <f>IFERROR(__xludf.DUMMYFUNCTION("""COMPUTED_VALUE"""),"022672509")</f>
        <v>022672509</v>
      </c>
      <c r="C3625" s="213">
        <f>IFERROR(__xludf.DUMMYFUNCTION("""COMPUTED_VALUE"""),46063.520370370374)</f>
        <v>46063.52037</v>
      </c>
      <c r="D3625" s="211" t="str">
        <f>IFERROR(__xludf.DUMMYFUNCTION("""COMPUTED_VALUE"""),"98c84274")</f>
        <v>98c84274</v>
      </c>
      <c r="E3625" s="211" t="str">
        <f>IFERROR(__xludf.DUMMYFUNCTION("""COMPUTED_VALUE"""),"Bengkel SBM (Pak Hari)")</f>
        <v>Bengkel SBM (Pak Hari)</v>
      </c>
      <c r="F3625" s="211" t="str">
        <f>IFERROR(__xludf.DUMMYFUNCTION("""COMPUTED_VALUE"""),"ef306e54")</f>
        <v>ef306e54</v>
      </c>
      <c r="G3625" s="211" t="str">
        <f>IFERROR(__xludf.DUMMYFUNCTION("""COMPUTED_VALUE"""),"Karbondioksida")</f>
        <v>Karbondioksida</v>
      </c>
      <c r="H3625" s="211" t="str">
        <f>IFERROR(__xludf.DUMMYFUNCTION("""COMPUTED_VALUE"""),"OUT")</f>
        <v>OUT</v>
      </c>
      <c r="I3625" s="211" t="str">
        <f>IFERROR(__xludf.DUMMYFUNCTION("""COMPUTED_VALUE"""),"NORMAL")</f>
        <v>NORMAL</v>
      </c>
      <c r="J3625" s="211">
        <f>IFERROR(__xludf.DUMMYFUNCTION("""COMPUTED_VALUE"""),3.0)</f>
        <v>3</v>
      </c>
      <c r="K3625" s="210" t="str">
        <f>IFERROR(__xludf.DUMMYFUNCTION("""COMPUTED_VALUE"""),"13068 13056 13026")</f>
        <v>13068 13056 13026</v>
      </c>
      <c r="L3625" s="211">
        <f>IFERROR(__xludf.DUMMYFUNCTION("""COMPUTED_VALUE"""),190000.0)</f>
        <v>190000</v>
      </c>
      <c r="M3625" s="211"/>
      <c r="N3625" s="211"/>
      <c r="O3625" s="211" t="b">
        <f>IFERROR(__xludf.DUMMYFUNCTION("""COMPUTED_VALUE"""),FALSE)</f>
        <v>0</v>
      </c>
    </row>
    <row r="3626">
      <c r="A3626" s="210" t="str">
        <f>IFERROR(__xludf.DUMMYFUNCTION("""COMPUTED_VALUE"""),"022672509")</f>
        <v>022672509</v>
      </c>
      <c r="B3626" s="210" t="str">
        <f>IFERROR(__xludf.DUMMYFUNCTION("""COMPUTED_VALUE"""),"022672509")</f>
        <v>022672509</v>
      </c>
      <c r="C3626" s="213">
        <f>IFERROR(__xludf.DUMMYFUNCTION("""COMPUTED_VALUE"""),46063.520370370374)</f>
        <v>46063.52037</v>
      </c>
      <c r="D3626" s="211" t="str">
        <f>IFERROR(__xludf.DUMMYFUNCTION("""COMPUTED_VALUE"""),"98c84274")</f>
        <v>98c84274</v>
      </c>
      <c r="E3626" s="211" t="str">
        <f>IFERROR(__xludf.DUMMYFUNCTION("""COMPUTED_VALUE"""),"Bengkel SBM (Pak Hari)")</f>
        <v>Bengkel SBM (Pak Hari)</v>
      </c>
      <c r="F3626" s="211" t="str">
        <f>IFERROR(__xludf.DUMMYFUNCTION("""COMPUTED_VALUE"""),"be525f3b")</f>
        <v>be525f3b</v>
      </c>
      <c r="G3626" s="211" t="str">
        <f>IFERROR(__xludf.DUMMYFUNCTION("""COMPUTED_VALUE"""),"LPG 12kg")</f>
        <v>LPG 12kg</v>
      </c>
      <c r="H3626" s="211" t="str">
        <f>IFERROR(__xludf.DUMMYFUNCTION("""COMPUTED_VALUE"""),"OUT")</f>
        <v>OUT</v>
      </c>
      <c r="I3626" s="211" t="str">
        <f>IFERROR(__xludf.DUMMYFUNCTION("""COMPUTED_VALUE"""),"NORMAL")</f>
        <v>NORMAL</v>
      </c>
      <c r="J3626" s="211">
        <f>IFERROR(__xludf.DUMMYFUNCTION("""COMPUTED_VALUE"""),1.0)</f>
        <v>1</v>
      </c>
      <c r="K3626" s="210" t="str">
        <f>IFERROR(__xludf.DUMMYFUNCTION("""COMPUTED_VALUE"""),"L004")</f>
        <v>L004</v>
      </c>
      <c r="L3626" s="211">
        <f>IFERROR(__xludf.DUMMYFUNCTION("""COMPUTED_VALUE"""),205000.0)</f>
        <v>205000</v>
      </c>
      <c r="M3626" s="211"/>
      <c r="N3626" s="211"/>
      <c r="O3626" s="211" t="b">
        <f>IFERROR(__xludf.DUMMYFUNCTION("""COMPUTED_VALUE"""),FALSE)</f>
        <v>0</v>
      </c>
    </row>
    <row r="3627">
      <c r="A3627" s="210" t="str">
        <f>IFERROR(__xludf.DUMMYFUNCTION("""COMPUTED_VALUE"""),"0226832514")</f>
        <v>0226832514</v>
      </c>
      <c r="B3627" s="210" t="str">
        <f>IFERROR(__xludf.DUMMYFUNCTION("""COMPUTED_VALUE"""),"0226832514")</f>
        <v>0226832514</v>
      </c>
      <c r="C3627" s="213">
        <f>IFERROR(__xludf.DUMMYFUNCTION("""COMPUTED_VALUE"""),46063.52175925926)</f>
        <v>46063.52176</v>
      </c>
      <c r="D3627" s="211" t="str">
        <f>IFERROR(__xludf.DUMMYFUNCTION("""COMPUTED_VALUE"""),"b2b5f2c5")</f>
        <v>b2b5f2c5</v>
      </c>
      <c r="E3627" s="211" t="str">
        <f>IFERROR(__xludf.DUMMYFUNCTION("""COMPUTED_VALUE"""),"Bengkel Las Bpk. Ari")</f>
        <v>Bengkel Las Bpk. Ari</v>
      </c>
      <c r="F3627" s="211" t="str">
        <f>IFERROR(__xludf.DUMMYFUNCTION("""COMPUTED_VALUE"""),"7d2764f1")</f>
        <v>7d2764f1</v>
      </c>
      <c r="G3627" s="211" t="str">
        <f>IFERROR(__xludf.DUMMYFUNCTION("""COMPUTED_VALUE"""),"Oksigen 7m3")</f>
        <v>Oksigen 7m3</v>
      </c>
      <c r="H3627" s="211" t="str">
        <f>IFERROR(__xludf.DUMMYFUNCTION("""COMPUTED_VALUE"""),"OUT")</f>
        <v>OUT</v>
      </c>
      <c r="I3627" s="211" t="str">
        <f>IFERROR(__xludf.DUMMYFUNCTION("""COMPUTED_VALUE"""),"NORMAL")</f>
        <v>NORMAL</v>
      </c>
      <c r="J3627" s="211">
        <f>IFERROR(__xludf.DUMMYFUNCTION("""COMPUTED_VALUE"""),7.0)</f>
        <v>7</v>
      </c>
      <c r="K3627" s="210" t="str">
        <f>IFERROR(__xludf.DUMMYFUNCTION("""COMPUTED_VALUE"""),"11162 11306 11167 11161 11160 11163 11155")</f>
        <v>11162 11306 11167 11161 11160 11163 11155</v>
      </c>
      <c r="L3627" s="211">
        <f>IFERROR(__xludf.DUMMYFUNCTION("""COMPUTED_VALUE"""),60000.0)</f>
        <v>60000</v>
      </c>
      <c r="M3627" s="211"/>
      <c r="N3627" s="211"/>
      <c r="O3627" s="211" t="b">
        <f>IFERROR(__xludf.DUMMYFUNCTION("""COMPUTED_VALUE"""),FALSE)</f>
        <v>0</v>
      </c>
    </row>
    <row r="3628">
      <c r="A3628" s="210" t="str">
        <f>IFERROR(__xludf.DUMMYFUNCTION("""COMPUTED_VALUE"""),"022612515")</f>
        <v>022612515</v>
      </c>
      <c r="B3628" s="210" t="str">
        <f>IFERROR(__xludf.DUMMYFUNCTION("""COMPUTED_VALUE"""),"022612515")</f>
        <v>022612515</v>
      </c>
      <c r="C3628" s="213">
        <f>IFERROR(__xludf.DUMMYFUNCTION("""COMPUTED_VALUE"""),46063.56616898148)</f>
        <v>46063.56617</v>
      </c>
      <c r="D3628" s="211" t="str">
        <f>IFERROR(__xludf.DUMMYFUNCTION("""COMPUTED_VALUE"""),"58ae16eb")</f>
        <v>58ae16eb</v>
      </c>
      <c r="E3628" s="211" t="str">
        <f>IFERROR(__xludf.DUMMYFUNCTION("""COMPUTED_VALUE"""),"Bpk. Sahri")</f>
        <v>Bpk. Sahri</v>
      </c>
      <c r="F3628" s="211" t="str">
        <f>IFERROR(__xludf.DUMMYFUNCTION("""COMPUTED_VALUE"""),"8bdbe149")</f>
        <v>8bdbe149</v>
      </c>
      <c r="G3628" s="211" t="str">
        <f>IFERROR(__xludf.DUMMYFUNCTION("""COMPUTED_VALUE"""),"Oksigen 6m3")</f>
        <v>Oksigen 6m3</v>
      </c>
      <c r="H3628" s="211" t="str">
        <f>IFERROR(__xludf.DUMMYFUNCTION("""COMPUTED_VALUE"""),"OUT")</f>
        <v>OUT</v>
      </c>
      <c r="I3628" s="211" t="str">
        <f>IFERROR(__xludf.DUMMYFUNCTION("""COMPUTED_VALUE"""),"NORMAL")</f>
        <v>NORMAL</v>
      </c>
      <c r="J3628" s="211">
        <f>IFERROR(__xludf.DUMMYFUNCTION("""COMPUTED_VALUE"""),1.0)</f>
        <v>1</v>
      </c>
      <c r="K3628" s="210" t="str">
        <f>IFERROR(__xludf.DUMMYFUNCTION("""COMPUTED_VALUE"""),"1148")</f>
        <v>1148</v>
      </c>
      <c r="L3628" s="211">
        <f>IFERROR(__xludf.DUMMYFUNCTION("""COMPUTED_VALUE"""),60000.0)</f>
        <v>60000</v>
      </c>
      <c r="M3628" s="211"/>
      <c r="N3628" s="211"/>
      <c r="O3628" s="211" t="b">
        <f>IFERROR(__xludf.DUMMYFUNCTION("""COMPUTED_VALUE"""),FALSE)</f>
        <v>0</v>
      </c>
    </row>
    <row r="3629">
      <c r="A3629" s="210" t="str">
        <f>IFERROR(__xludf.DUMMYFUNCTION("""COMPUTED_VALUE"""),"022612515")</f>
        <v>022612515</v>
      </c>
      <c r="B3629" s="210" t="str">
        <f>IFERROR(__xludf.DUMMYFUNCTION("""COMPUTED_VALUE"""),"022612515")</f>
        <v>022612515</v>
      </c>
      <c r="C3629" s="213">
        <f>IFERROR(__xludf.DUMMYFUNCTION("""COMPUTED_VALUE"""),46063.56616898148)</f>
        <v>46063.56617</v>
      </c>
      <c r="D3629" s="211" t="str">
        <f>IFERROR(__xludf.DUMMYFUNCTION("""COMPUTED_VALUE"""),"58ae16eb")</f>
        <v>58ae16eb</v>
      </c>
      <c r="E3629" s="211" t="str">
        <f>IFERROR(__xludf.DUMMYFUNCTION("""COMPUTED_VALUE"""),"Bpk. Sahri")</f>
        <v>Bpk. Sahri</v>
      </c>
      <c r="F3629" s="211" t="str">
        <f>IFERROR(__xludf.DUMMYFUNCTION("""COMPUTED_VALUE"""),"7d2764f1")</f>
        <v>7d2764f1</v>
      </c>
      <c r="G3629" s="211" t="str">
        <f>IFERROR(__xludf.DUMMYFUNCTION("""COMPUTED_VALUE"""),"Oksigen 7m3")</f>
        <v>Oksigen 7m3</v>
      </c>
      <c r="H3629" s="211" t="str">
        <f>IFERROR(__xludf.DUMMYFUNCTION("""COMPUTED_VALUE"""),"OUT")</f>
        <v>OUT</v>
      </c>
      <c r="I3629" s="211" t="str">
        <f>IFERROR(__xludf.DUMMYFUNCTION("""COMPUTED_VALUE"""),"NORMAL")</f>
        <v>NORMAL</v>
      </c>
      <c r="J3629" s="211">
        <f>IFERROR(__xludf.DUMMYFUNCTION("""COMPUTED_VALUE"""),1.0)</f>
        <v>1</v>
      </c>
      <c r="K3629" s="210" t="str">
        <f>IFERROR(__xludf.DUMMYFUNCTION("""COMPUTED_VALUE"""),"11300")</f>
        <v>11300</v>
      </c>
      <c r="L3629" s="211">
        <f>IFERROR(__xludf.DUMMYFUNCTION("""COMPUTED_VALUE"""),60000.0)</f>
        <v>60000</v>
      </c>
      <c r="M3629" s="211"/>
      <c r="N3629" s="211"/>
      <c r="O3629" s="211" t="b">
        <f>IFERROR(__xludf.DUMMYFUNCTION("""COMPUTED_VALUE"""),FALSE)</f>
        <v>0</v>
      </c>
    </row>
    <row r="3630">
      <c r="A3630" s="210" t="str">
        <f>IFERROR(__xludf.DUMMYFUNCTION("""COMPUTED_VALUE"""),"1261204")</f>
        <v>1261204</v>
      </c>
      <c r="B3630" s="210" t="str">
        <f>IFERROR(__xludf.DUMMYFUNCTION("""COMPUTED_VALUE"""),"1261204")</f>
        <v>1261204</v>
      </c>
      <c r="C3630" s="213">
        <f>IFERROR(__xludf.DUMMYFUNCTION("""COMPUTED_VALUE"""),46063.62480324074)</f>
        <v>46063.6248</v>
      </c>
      <c r="D3630" s="211" t="str">
        <f>IFERROR(__xludf.DUMMYFUNCTION("""COMPUTED_VALUE"""),"9e66ced9")</f>
        <v>9e66ced9</v>
      </c>
      <c r="E3630" s="211" t="str">
        <f>IFERROR(__xludf.DUMMYFUNCTION("""COMPUTED_VALUE"""),"Bapak Angga")</f>
        <v>Bapak Angga</v>
      </c>
      <c r="F3630" s="211" t="str">
        <f>IFERROR(__xludf.DUMMYFUNCTION("""COMPUTED_VALUE"""),"8bdbe149")</f>
        <v>8bdbe149</v>
      </c>
      <c r="G3630" s="211" t="str">
        <f>IFERROR(__xludf.DUMMYFUNCTION("""COMPUTED_VALUE"""),"Oksigen 6m3")</f>
        <v>Oksigen 6m3</v>
      </c>
      <c r="H3630" s="211" t="str">
        <f>IFERROR(__xludf.DUMMYFUNCTION("""COMPUTED_VALUE"""),"IN")</f>
        <v>IN</v>
      </c>
      <c r="I3630" s="211" t="str">
        <f>IFERROR(__xludf.DUMMYFUNCTION("""COMPUTED_VALUE"""),"EMPTY")</f>
        <v>EMPTY</v>
      </c>
      <c r="J3630" s="211">
        <f>IFERROR(__xludf.DUMMYFUNCTION("""COMPUTED_VALUE"""),1.0)</f>
        <v>1</v>
      </c>
      <c r="K3630" s="210" t="str">
        <f>IFERROR(__xludf.DUMMYFUNCTION("""COMPUTED_VALUE"""),"11122")</f>
        <v>11122</v>
      </c>
      <c r="L3630" s="211">
        <f>IFERROR(__xludf.DUMMYFUNCTION("""COMPUTED_VALUE"""),0.0)</f>
        <v>0</v>
      </c>
      <c r="M3630" s="211"/>
      <c r="N3630" s="211"/>
      <c r="O3630" s="211" t="b">
        <f>IFERROR(__xludf.DUMMYFUNCTION("""COMPUTED_VALUE"""),FALSE)</f>
        <v>0</v>
      </c>
    </row>
    <row r="3631">
      <c r="A3631" s="210" t="str">
        <f>IFERROR(__xludf.DUMMYFUNCTION("""COMPUTED_VALUE"""),"1261204")</f>
        <v>1261204</v>
      </c>
      <c r="B3631" s="210" t="str">
        <f>IFERROR(__xludf.DUMMYFUNCTION("""COMPUTED_VALUE"""),"1261204")</f>
        <v>1261204</v>
      </c>
      <c r="C3631" s="213">
        <f>IFERROR(__xludf.DUMMYFUNCTION("""COMPUTED_VALUE"""),46063.62480324074)</f>
        <v>46063.6248</v>
      </c>
      <c r="D3631" s="211" t="str">
        <f>IFERROR(__xludf.DUMMYFUNCTION("""COMPUTED_VALUE"""),"9e66ced9")</f>
        <v>9e66ced9</v>
      </c>
      <c r="E3631" s="211" t="str">
        <f>IFERROR(__xludf.DUMMYFUNCTION("""COMPUTED_VALUE"""),"Bapak Angga")</f>
        <v>Bapak Angga</v>
      </c>
      <c r="F3631" s="211" t="str">
        <f>IFERROR(__xludf.DUMMYFUNCTION("""COMPUTED_VALUE"""),"7d2764f1")</f>
        <v>7d2764f1</v>
      </c>
      <c r="G3631" s="211" t="str">
        <f>IFERROR(__xludf.DUMMYFUNCTION("""COMPUTED_VALUE"""),"Oksigen 7m3")</f>
        <v>Oksigen 7m3</v>
      </c>
      <c r="H3631" s="211" t="str">
        <f>IFERROR(__xludf.DUMMYFUNCTION("""COMPUTED_VALUE"""),"IN")</f>
        <v>IN</v>
      </c>
      <c r="I3631" s="211" t="str">
        <f>IFERROR(__xludf.DUMMYFUNCTION("""COMPUTED_VALUE"""),"EMPTY")</f>
        <v>EMPTY</v>
      </c>
      <c r="J3631" s="211">
        <f>IFERROR(__xludf.DUMMYFUNCTION("""COMPUTED_VALUE"""),1.0)</f>
        <v>1</v>
      </c>
      <c r="K3631" s="210" t="str">
        <f>IFERROR(__xludf.DUMMYFUNCTION("""COMPUTED_VALUE"""),"11304")</f>
        <v>11304</v>
      </c>
      <c r="L3631" s="211">
        <f>IFERROR(__xludf.DUMMYFUNCTION("""COMPUTED_VALUE"""),0.0)</f>
        <v>0</v>
      </c>
      <c r="M3631" s="211"/>
      <c r="N3631" s="211"/>
      <c r="O3631" s="211" t="b">
        <f>IFERROR(__xludf.DUMMYFUNCTION("""COMPUTED_VALUE"""),FALSE)</f>
        <v>0</v>
      </c>
    </row>
    <row r="3632">
      <c r="A3632" s="210" t="str">
        <f>IFERROR(__xludf.DUMMYFUNCTION("""COMPUTED_VALUE"""),"1261204")</f>
        <v>1261204</v>
      </c>
      <c r="B3632" s="210" t="str">
        <f>IFERROR(__xludf.DUMMYFUNCTION("""COMPUTED_VALUE"""),"1261204")</f>
        <v>1261204</v>
      </c>
      <c r="C3632" s="213">
        <f>IFERROR(__xludf.DUMMYFUNCTION("""COMPUTED_VALUE"""),46063.62480324074)</f>
        <v>46063.6248</v>
      </c>
      <c r="D3632" s="211" t="str">
        <f>IFERROR(__xludf.DUMMYFUNCTION("""COMPUTED_VALUE"""),"9e66ced9")</f>
        <v>9e66ced9</v>
      </c>
      <c r="E3632" s="211" t="str">
        <f>IFERROR(__xludf.DUMMYFUNCTION("""COMPUTED_VALUE"""),"Bapak Angga")</f>
        <v>Bapak Angga</v>
      </c>
      <c r="F3632" s="211" t="str">
        <f>IFERROR(__xludf.DUMMYFUNCTION("""COMPUTED_VALUE"""),"ef306e54")</f>
        <v>ef306e54</v>
      </c>
      <c r="G3632" s="211" t="str">
        <f>IFERROR(__xludf.DUMMYFUNCTION("""COMPUTED_VALUE"""),"Karbondioksida")</f>
        <v>Karbondioksida</v>
      </c>
      <c r="H3632" s="211" t="str">
        <f>IFERROR(__xludf.DUMMYFUNCTION("""COMPUTED_VALUE"""),"IN")</f>
        <v>IN</v>
      </c>
      <c r="I3632" s="211" t="str">
        <f>IFERROR(__xludf.DUMMYFUNCTION("""COMPUTED_VALUE"""),"EMPTY")</f>
        <v>EMPTY</v>
      </c>
      <c r="J3632" s="211">
        <f>IFERROR(__xludf.DUMMYFUNCTION("""COMPUTED_VALUE"""),1.0)</f>
        <v>1</v>
      </c>
      <c r="K3632" s="210" t="str">
        <f>IFERROR(__xludf.DUMMYFUNCTION("""COMPUTED_VALUE"""),"13041")</f>
        <v>13041</v>
      </c>
      <c r="L3632" s="211">
        <f>IFERROR(__xludf.DUMMYFUNCTION("""COMPUTED_VALUE"""),0.0)</f>
        <v>0</v>
      </c>
      <c r="M3632" s="211"/>
      <c r="N3632" s="211"/>
      <c r="O3632" s="211" t="b">
        <f>IFERROR(__xludf.DUMMYFUNCTION("""COMPUTED_VALUE"""),FALSE)</f>
        <v>0</v>
      </c>
    </row>
    <row r="3633">
      <c r="A3633" s="210" t="str">
        <f>IFERROR(__xludf.DUMMYFUNCTION("""COMPUTED_VALUE"""),"1261205")</f>
        <v>1261205</v>
      </c>
      <c r="B3633" s="210" t="str">
        <f>IFERROR(__xludf.DUMMYFUNCTION("""COMPUTED_VALUE"""),"1261205")</f>
        <v>1261205</v>
      </c>
      <c r="C3633" s="213">
        <f>IFERROR(__xludf.DUMMYFUNCTION("""COMPUTED_VALUE"""),46063.62613425926)</f>
        <v>46063.62613</v>
      </c>
      <c r="D3633" s="211" t="str">
        <f>IFERROR(__xludf.DUMMYFUNCTION("""COMPUTED_VALUE"""),"98c84274")</f>
        <v>98c84274</v>
      </c>
      <c r="E3633" s="211" t="str">
        <f>IFERROR(__xludf.DUMMYFUNCTION("""COMPUTED_VALUE"""),"Bengkel SBM (Pak Hari)")</f>
        <v>Bengkel SBM (Pak Hari)</v>
      </c>
      <c r="F3633" s="211" t="str">
        <f>IFERROR(__xludf.DUMMYFUNCTION("""COMPUTED_VALUE"""),"8bdbe149")</f>
        <v>8bdbe149</v>
      </c>
      <c r="G3633" s="211" t="str">
        <f>IFERROR(__xludf.DUMMYFUNCTION("""COMPUTED_VALUE"""),"Oksigen 6m3")</f>
        <v>Oksigen 6m3</v>
      </c>
      <c r="H3633" s="211" t="str">
        <f>IFERROR(__xludf.DUMMYFUNCTION("""COMPUTED_VALUE"""),"IN")</f>
        <v>IN</v>
      </c>
      <c r="I3633" s="211" t="str">
        <f>IFERROR(__xludf.DUMMYFUNCTION("""COMPUTED_VALUE"""),"EMPTY")</f>
        <v>EMPTY</v>
      </c>
      <c r="J3633" s="211">
        <f>IFERROR(__xludf.DUMMYFUNCTION("""COMPUTED_VALUE"""),3.0)</f>
        <v>3</v>
      </c>
      <c r="K3633" s="210" t="str">
        <f>IFERROR(__xludf.DUMMYFUNCTION("""COMPUTED_VALUE"""),"1197 11188 11326")</f>
        <v>1197 11188 11326</v>
      </c>
      <c r="L3633" s="211">
        <f>IFERROR(__xludf.DUMMYFUNCTION("""COMPUTED_VALUE"""),0.0)</f>
        <v>0</v>
      </c>
      <c r="M3633" s="211"/>
      <c r="N3633" s="211"/>
      <c r="O3633" s="211" t="b">
        <f>IFERROR(__xludf.DUMMYFUNCTION("""COMPUTED_VALUE"""),FALSE)</f>
        <v>0</v>
      </c>
    </row>
    <row r="3634">
      <c r="A3634" s="210" t="str">
        <f>IFERROR(__xludf.DUMMYFUNCTION("""COMPUTED_VALUE"""),"1261205")</f>
        <v>1261205</v>
      </c>
      <c r="B3634" s="210" t="str">
        <f>IFERROR(__xludf.DUMMYFUNCTION("""COMPUTED_VALUE"""),"1261205")</f>
        <v>1261205</v>
      </c>
      <c r="C3634" s="213">
        <f>IFERROR(__xludf.DUMMYFUNCTION("""COMPUTED_VALUE"""),46063.62613425926)</f>
        <v>46063.62613</v>
      </c>
      <c r="D3634" s="211" t="str">
        <f>IFERROR(__xludf.DUMMYFUNCTION("""COMPUTED_VALUE"""),"98c84274")</f>
        <v>98c84274</v>
      </c>
      <c r="E3634" s="211" t="str">
        <f>IFERROR(__xludf.DUMMYFUNCTION("""COMPUTED_VALUE"""),"Bengkel SBM (Pak Hari)")</f>
        <v>Bengkel SBM (Pak Hari)</v>
      </c>
      <c r="F3634" s="211" t="str">
        <f>IFERROR(__xludf.DUMMYFUNCTION("""COMPUTED_VALUE"""),"ef306e54")</f>
        <v>ef306e54</v>
      </c>
      <c r="G3634" s="211" t="str">
        <f>IFERROR(__xludf.DUMMYFUNCTION("""COMPUTED_VALUE"""),"Karbondioksida")</f>
        <v>Karbondioksida</v>
      </c>
      <c r="H3634" s="211" t="str">
        <f>IFERROR(__xludf.DUMMYFUNCTION("""COMPUTED_VALUE"""),"IN")</f>
        <v>IN</v>
      </c>
      <c r="I3634" s="211" t="str">
        <f>IFERROR(__xludf.DUMMYFUNCTION("""COMPUTED_VALUE"""),"EMPTY")</f>
        <v>EMPTY</v>
      </c>
      <c r="J3634" s="211">
        <f>IFERROR(__xludf.DUMMYFUNCTION("""COMPUTED_VALUE"""),2.0)</f>
        <v>2</v>
      </c>
      <c r="K3634" s="210" t="str">
        <f>IFERROR(__xludf.DUMMYFUNCTION("""COMPUTED_VALUE"""),"13023 13027")</f>
        <v>13023 13027</v>
      </c>
      <c r="L3634" s="211">
        <f>IFERROR(__xludf.DUMMYFUNCTION("""COMPUTED_VALUE"""),0.0)</f>
        <v>0</v>
      </c>
      <c r="M3634" s="211"/>
      <c r="N3634" s="211"/>
      <c r="O3634" s="211" t="b">
        <f>IFERROR(__xludf.DUMMYFUNCTION("""COMPUTED_VALUE"""),FALSE)</f>
        <v>0</v>
      </c>
    </row>
    <row r="3635">
      <c r="A3635" s="210" t="str">
        <f>IFERROR(__xludf.DUMMYFUNCTION("""COMPUTED_VALUE"""),"1261205")</f>
        <v>1261205</v>
      </c>
      <c r="B3635" s="210" t="str">
        <f>IFERROR(__xludf.DUMMYFUNCTION("""COMPUTED_VALUE"""),"1261205")</f>
        <v>1261205</v>
      </c>
      <c r="C3635" s="213">
        <f>IFERROR(__xludf.DUMMYFUNCTION("""COMPUTED_VALUE"""),46063.62613425926)</f>
        <v>46063.62613</v>
      </c>
      <c r="D3635" s="211" t="str">
        <f>IFERROR(__xludf.DUMMYFUNCTION("""COMPUTED_VALUE"""),"98c84274")</f>
        <v>98c84274</v>
      </c>
      <c r="E3635" s="211" t="str">
        <f>IFERROR(__xludf.DUMMYFUNCTION("""COMPUTED_VALUE"""),"Bengkel SBM (Pak Hari)")</f>
        <v>Bengkel SBM (Pak Hari)</v>
      </c>
      <c r="F3635" s="211" t="str">
        <f>IFERROR(__xludf.DUMMYFUNCTION("""COMPUTED_VALUE"""),"be525f3b")</f>
        <v>be525f3b</v>
      </c>
      <c r="G3635" s="211" t="str">
        <f>IFERROR(__xludf.DUMMYFUNCTION("""COMPUTED_VALUE"""),"LPG 12kg")</f>
        <v>LPG 12kg</v>
      </c>
      <c r="H3635" s="211" t="str">
        <f>IFERROR(__xludf.DUMMYFUNCTION("""COMPUTED_VALUE"""),"IN")</f>
        <v>IN</v>
      </c>
      <c r="I3635" s="211" t="str">
        <f>IFERROR(__xludf.DUMMYFUNCTION("""COMPUTED_VALUE"""),"EMPTY")</f>
        <v>EMPTY</v>
      </c>
      <c r="J3635" s="211">
        <f>IFERROR(__xludf.DUMMYFUNCTION("""COMPUTED_VALUE"""),1.0)</f>
        <v>1</v>
      </c>
      <c r="K3635" s="210" t="str">
        <f>IFERROR(__xludf.DUMMYFUNCTION("""COMPUTED_VALUE"""),"L001")</f>
        <v>L001</v>
      </c>
      <c r="L3635" s="211">
        <f>IFERROR(__xludf.DUMMYFUNCTION("""COMPUTED_VALUE"""),0.0)</f>
        <v>0</v>
      </c>
      <c r="M3635" s="211"/>
      <c r="N3635" s="211"/>
      <c r="O3635" s="211" t="b">
        <f>IFERROR(__xludf.DUMMYFUNCTION("""COMPUTED_VALUE"""),FALSE)</f>
        <v>0</v>
      </c>
    </row>
    <row r="3636">
      <c r="A3636" s="210" t="str">
        <f>IFERROR(__xludf.DUMMYFUNCTION("""COMPUTED_VALUE"""),"1261214")</f>
        <v>1261214</v>
      </c>
      <c r="B3636" s="210" t="str">
        <f>IFERROR(__xludf.DUMMYFUNCTION("""COMPUTED_VALUE"""),"1261214")</f>
        <v>1261214</v>
      </c>
      <c r="C3636" s="213">
        <f>IFERROR(__xludf.DUMMYFUNCTION("""COMPUTED_VALUE"""),46063.726273148146)</f>
        <v>46063.72627</v>
      </c>
      <c r="D3636" s="211" t="str">
        <f>IFERROR(__xludf.DUMMYFUNCTION("""COMPUTED_VALUE"""),"8ea74d81")</f>
        <v>8ea74d81</v>
      </c>
      <c r="E3636" s="211" t="str">
        <f>IFERROR(__xludf.DUMMYFUNCTION("""COMPUTED_VALUE"""),"Bengkel Adi Putra")</f>
        <v>Bengkel Adi Putra</v>
      </c>
      <c r="F3636" s="211" t="str">
        <f>IFERROR(__xludf.DUMMYFUNCTION("""COMPUTED_VALUE"""),"8bdbe149")</f>
        <v>8bdbe149</v>
      </c>
      <c r="G3636" s="211" t="str">
        <f>IFERROR(__xludf.DUMMYFUNCTION("""COMPUTED_VALUE"""),"Oksigen 6m3")</f>
        <v>Oksigen 6m3</v>
      </c>
      <c r="H3636" s="211" t="str">
        <f>IFERROR(__xludf.DUMMYFUNCTION("""COMPUTED_VALUE"""),"IN")</f>
        <v>IN</v>
      </c>
      <c r="I3636" s="211" t="str">
        <f>IFERROR(__xludf.DUMMYFUNCTION("""COMPUTED_VALUE"""),"EMPTY")</f>
        <v>EMPTY</v>
      </c>
      <c r="J3636" s="211">
        <f>IFERROR(__xludf.DUMMYFUNCTION("""COMPUTED_VALUE"""),1.0)</f>
        <v>1</v>
      </c>
      <c r="K3636" s="210" t="str">
        <f>IFERROR(__xludf.DUMMYFUNCTION("""COMPUTED_VALUE"""),"11242")</f>
        <v>11242</v>
      </c>
      <c r="L3636" s="211">
        <f>IFERROR(__xludf.DUMMYFUNCTION("""COMPUTED_VALUE"""),0.0)</f>
        <v>0</v>
      </c>
      <c r="M3636" s="211"/>
      <c r="N3636" s="211"/>
      <c r="O3636" s="211" t="b">
        <f>IFERROR(__xludf.DUMMYFUNCTION("""COMPUTED_VALUE"""),FALSE)</f>
        <v>0</v>
      </c>
    </row>
    <row r="3637">
      <c r="A3637" s="210" t="str">
        <f>IFERROR(__xludf.DUMMYFUNCTION("""COMPUTED_VALUE"""),"1261214")</f>
        <v>1261214</v>
      </c>
      <c r="B3637" s="210" t="str">
        <f>IFERROR(__xludf.DUMMYFUNCTION("""COMPUTED_VALUE"""),"1261214")</f>
        <v>1261214</v>
      </c>
      <c r="C3637" s="213">
        <f>IFERROR(__xludf.DUMMYFUNCTION("""COMPUTED_VALUE"""),46063.726273148146)</f>
        <v>46063.72627</v>
      </c>
      <c r="D3637" s="211" t="str">
        <f>IFERROR(__xludf.DUMMYFUNCTION("""COMPUTED_VALUE"""),"8ea74d81")</f>
        <v>8ea74d81</v>
      </c>
      <c r="E3637" s="211" t="str">
        <f>IFERROR(__xludf.DUMMYFUNCTION("""COMPUTED_VALUE"""),"Bengkel Adi Putra")</f>
        <v>Bengkel Adi Putra</v>
      </c>
      <c r="F3637" s="211" t="str">
        <f>IFERROR(__xludf.DUMMYFUNCTION("""COMPUTED_VALUE"""),"ef306e54")</f>
        <v>ef306e54</v>
      </c>
      <c r="G3637" s="211" t="str">
        <f>IFERROR(__xludf.DUMMYFUNCTION("""COMPUTED_VALUE"""),"Karbondioksida")</f>
        <v>Karbondioksida</v>
      </c>
      <c r="H3637" s="211" t="str">
        <f>IFERROR(__xludf.DUMMYFUNCTION("""COMPUTED_VALUE"""),"IN")</f>
        <v>IN</v>
      </c>
      <c r="I3637" s="211" t="str">
        <f>IFERROR(__xludf.DUMMYFUNCTION("""COMPUTED_VALUE"""),"EMPTY")</f>
        <v>EMPTY</v>
      </c>
      <c r="J3637" s="211">
        <f>IFERROR(__xludf.DUMMYFUNCTION("""COMPUTED_VALUE"""),2.0)</f>
        <v>2</v>
      </c>
      <c r="K3637" s="210" t="str">
        <f>IFERROR(__xludf.DUMMYFUNCTION("""COMPUTED_VALUE"""),"13005 13038")</f>
        <v>13005 13038</v>
      </c>
      <c r="L3637" s="211">
        <f>IFERROR(__xludf.DUMMYFUNCTION("""COMPUTED_VALUE"""),0.0)</f>
        <v>0</v>
      </c>
      <c r="M3637" s="211"/>
      <c r="N3637" s="211"/>
      <c r="O3637" s="211" t="b">
        <f>IFERROR(__xludf.DUMMYFUNCTION("""COMPUTED_VALUE"""),FALSE)</f>
        <v>0</v>
      </c>
    </row>
    <row r="3638">
      <c r="A3638" s="210" t="str">
        <f>IFERROR(__xludf.DUMMYFUNCTION("""COMPUTED_VALUE"""),"1261215")</f>
        <v>1261215</v>
      </c>
      <c r="B3638" s="210" t="str">
        <f>IFERROR(__xludf.DUMMYFUNCTION("""COMPUTED_VALUE"""),"1261215")</f>
        <v>1261215</v>
      </c>
      <c r="C3638" s="213">
        <f>IFERROR(__xludf.DUMMYFUNCTION("""COMPUTED_VALUE"""),46063.726805555554)</f>
        <v>46063.72681</v>
      </c>
      <c r="D3638" s="211" t="str">
        <f>IFERROR(__xludf.DUMMYFUNCTION("""COMPUTED_VALUE"""),"dcdf8b31")</f>
        <v>dcdf8b31</v>
      </c>
      <c r="E3638" s="211" t="str">
        <f>IFERROR(__xludf.DUMMYFUNCTION("""COMPUTED_VALUE"""),"Bpk. Samsul (Jetis)")</f>
        <v>Bpk. Samsul (Jetis)</v>
      </c>
      <c r="F3638" s="211" t="str">
        <f>IFERROR(__xludf.DUMMYFUNCTION("""COMPUTED_VALUE"""),"be525f3b")</f>
        <v>be525f3b</v>
      </c>
      <c r="G3638" s="211" t="str">
        <f>IFERROR(__xludf.DUMMYFUNCTION("""COMPUTED_VALUE"""),"LPG 12kg")</f>
        <v>LPG 12kg</v>
      </c>
      <c r="H3638" s="211" t="str">
        <f>IFERROR(__xludf.DUMMYFUNCTION("""COMPUTED_VALUE"""),"IN")</f>
        <v>IN</v>
      </c>
      <c r="I3638" s="211" t="str">
        <f>IFERROR(__xludf.DUMMYFUNCTION("""COMPUTED_VALUE"""),"EMPTY")</f>
        <v>EMPTY</v>
      </c>
      <c r="J3638" s="211">
        <f>IFERROR(__xludf.DUMMYFUNCTION("""COMPUTED_VALUE"""),1.0)</f>
        <v>1</v>
      </c>
      <c r="K3638" s="210" t="str">
        <f>IFERROR(__xludf.DUMMYFUNCTION("""COMPUTED_VALUE"""),"L006")</f>
        <v>L006</v>
      </c>
      <c r="L3638" s="211">
        <f>IFERROR(__xludf.DUMMYFUNCTION("""COMPUTED_VALUE"""),0.0)</f>
        <v>0</v>
      </c>
      <c r="M3638" s="211"/>
      <c r="N3638" s="211"/>
      <c r="O3638" s="211" t="b">
        <f>IFERROR(__xludf.DUMMYFUNCTION("""COMPUTED_VALUE"""),FALSE)</f>
        <v>0</v>
      </c>
    </row>
    <row r="3639">
      <c r="A3639" s="210" t="str">
        <f>IFERROR(__xludf.DUMMYFUNCTION("""COMPUTED_VALUE"""),"1251216")</f>
        <v>1251216</v>
      </c>
      <c r="B3639" s="210" t="str">
        <f>IFERROR(__xludf.DUMMYFUNCTION("""COMPUTED_VALUE"""),"1251216")</f>
        <v>1251216</v>
      </c>
      <c r="C3639" s="213">
        <f>IFERROR(__xludf.DUMMYFUNCTION("""COMPUTED_VALUE"""),46063.727106481485)</f>
        <v>46063.72711</v>
      </c>
      <c r="D3639" s="211" t="str">
        <f>IFERROR(__xludf.DUMMYFUNCTION("""COMPUTED_VALUE"""),"01158be1")</f>
        <v>01158be1</v>
      </c>
      <c r="E3639" s="211" t="str">
        <f>IFERROR(__xludf.DUMMYFUNCTION("""COMPUTED_VALUE"""),"GYF")</f>
        <v>GYF</v>
      </c>
      <c r="F3639" s="211" t="str">
        <f>IFERROR(__xludf.DUMMYFUNCTION("""COMPUTED_VALUE"""),"8bdbe149")</f>
        <v>8bdbe149</v>
      </c>
      <c r="G3639" s="211" t="str">
        <f>IFERROR(__xludf.DUMMYFUNCTION("""COMPUTED_VALUE"""),"Oksigen 6m3")</f>
        <v>Oksigen 6m3</v>
      </c>
      <c r="H3639" s="211" t="str">
        <f>IFERROR(__xludf.DUMMYFUNCTION("""COMPUTED_VALUE"""),"IN")</f>
        <v>IN</v>
      </c>
      <c r="I3639" s="211" t="str">
        <f>IFERROR(__xludf.DUMMYFUNCTION("""COMPUTED_VALUE"""),"EMPTY")</f>
        <v>EMPTY</v>
      </c>
      <c r="J3639" s="211">
        <f>IFERROR(__xludf.DUMMYFUNCTION("""COMPUTED_VALUE"""),3.0)</f>
        <v>3</v>
      </c>
      <c r="K3639" s="210" t="str">
        <f>IFERROR(__xludf.DUMMYFUNCTION("""COMPUTED_VALUE"""),"11358 11348 11357")</f>
        <v>11358 11348 11357</v>
      </c>
      <c r="L3639" s="211">
        <f>IFERROR(__xludf.DUMMYFUNCTION("""COMPUTED_VALUE"""),0.0)</f>
        <v>0</v>
      </c>
      <c r="M3639" s="211"/>
      <c r="N3639" s="211"/>
      <c r="O3639" s="211" t="b">
        <f>IFERROR(__xludf.DUMMYFUNCTION("""COMPUTED_VALUE"""),FALSE)</f>
        <v>0</v>
      </c>
    </row>
    <row r="3640">
      <c r="A3640" s="210" t="str">
        <f>IFERROR(__xludf.DUMMYFUNCTION("""COMPUTED_VALUE"""),"0226212516")</f>
        <v>0226212516</v>
      </c>
      <c r="B3640" s="210" t="str">
        <f>IFERROR(__xludf.DUMMYFUNCTION("""COMPUTED_VALUE"""),"0226212516")</f>
        <v>0226212516</v>
      </c>
      <c r="C3640" s="213">
        <f>IFERROR(__xludf.DUMMYFUNCTION("""COMPUTED_VALUE"""),46064.359664351854)</f>
        <v>46064.35966</v>
      </c>
      <c r="D3640" s="211" t="str">
        <f>IFERROR(__xludf.DUMMYFUNCTION("""COMPUTED_VALUE"""),"8ea74d81")</f>
        <v>8ea74d81</v>
      </c>
      <c r="E3640" s="211" t="str">
        <f>IFERROR(__xludf.DUMMYFUNCTION("""COMPUTED_VALUE"""),"Bengkel Adi Putra")</f>
        <v>Bengkel Adi Putra</v>
      </c>
      <c r="F3640" s="211" t="str">
        <f>IFERROR(__xludf.DUMMYFUNCTION("""COMPUTED_VALUE"""),"ef306e54")</f>
        <v>ef306e54</v>
      </c>
      <c r="G3640" s="211" t="str">
        <f>IFERROR(__xludf.DUMMYFUNCTION("""COMPUTED_VALUE"""),"Karbondioksida")</f>
        <v>Karbondioksida</v>
      </c>
      <c r="H3640" s="211" t="str">
        <f>IFERROR(__xludf.DUMMYFUNCTION("""COMPUTED_VALUE"""),"OUT")</f>
        <v>OUT</v>
      </c>
      <c r="I3640" s="211" t="str">
        <f>IFERROR(__xludf.DUMMYFUNCTION("""COMPUTED_VALUE"""),"NORMAL")</f>
        <v>NORMAL</v>
      </c>
      <c r="J3640" s="211">
        <f>IFERROR(__xludf.DUMMYFUNCTION("""COMPUTED_VALUE"""),2.0)</f>
        <v>2</v>
      </c>
      <c r="K3640" s="210" t="str">
        <f>IFERROR(__xludf.DUMMYFUNCTION("""COMPUTED_VALUE"""),"13008 13072")</f>
        <v>13008 13072</v>
      </c>
      <c r="L3640" s="211">
        <f>IFERROR(__xludf.DUMMYFUNCTION("""COMPUTED_VALUE"""),190000.0)</f>
        <v>190000</v>
      </c>
      <c r="M3640" s="211"/>
      <c r="N3640" s="211"/>
      <c r="O3640" s="211" t="b">
        <f>IFERROR(__xludf.DUMMYFUNCTION("""COMPUTED_VALUE"""),FALSE)</f>
        <v>0</v>
      </c>
    </row>
    <row r="3641">
      <c r="A3641" s="210" t="str">
        <f>IFERROR(__xludf.DUMMYFUNCTION("""COMPUTED_VALUE"""),"1261217")</f>
        <v>1261217</v>
      </c>
      <c r="B3641" s="210" t="str">
        <f>IFERROR(__xludf.DUMMYFUNCTION("""COMPUTED_VALUE"""),"1261217")</f>
        <v>1261217</v>
      </c>
      <c r="C3641" s="213">
        <f>IFERROR(__xludf.DUMMYFUNCTION("""COMPUTED_VALUE"""),46064.41303240741)</f>
        <v>46064.41303</v>
      </c>
      <c r="D3641" s="211" t="str">
        <f>IFERROR(__xludf.DUMMYFUNCTION("""COMPUTED_VALUE"""),"8ea74d81")</f>
        <v>8ea74d81</v>
      </c>
      <c r="E3641" s="211" t="str">
        <f>IFERROR(__xludf.DUMMYFUNCTION("""COMPUTED_VALUE"""),"Bengkel Adi Putra")</f>
        <v>Bengkel Adi Putra</v>
      </c>
      <c r="F3641" s="211" t="str">
        <f>IFERROR(__xludf.DUMMYFUNCTION("""COMPUTED_VALUE"""),"8bdbe149")</f>
        <v>8bdbe149</v>
      </c>
      <c r="G3641" s="211" t="str">
        <f>IFERROR(__xludf.DUMMYFUNCTION("""COMPUTED_VALUE"""),"Oksigen 6m3")</f>
        <v>Oksigen 6m3</v>
      </c>
      <c r="H3641" s="211" t="str">
        <f>IFERROR(__xludf.DUMMYFUNCTION("""COMPUTED_VALUE"""),"IN")</f>
        <v>IN</v>
      </c>
      <c r="I3641" s="211" t="str">
        <f>IFERROR(__xludf.DUMMYFUNCTION("""COMPUTED_VALUE"""),"EMPTY")</f>
        <v>EMPTY</v>
      </c>
      <c r="J3641" s="211">
        <f>IFERROR(__xludf.DUMMYFUNCTION("""COMPUTED_VALUE"""),2.0)</f>
        <v>2</v>
      </c>
      <c r="K3641" s="210" t="str">
        <f>IFERROR(__xludf.DUMMYFUNCTION("""COMPUTED_VALUE"""),"1126 1181")</f>
        <v>1126 1181</v>
      </c>
      <c r="L3641" s="211">
        <f>IFERROR(__xludf.DUMMYFUNCTION("""COMPUTED_VALUE"""),0.0)</f>
        <v>0</v>
      </c>
      <c r="M3641" s="211"/>
      <c r="N3641" s="211"/>
      <c r="O3641" s="211" t="b">
        <f>IFERROR(__xludf.DUMMYFUNCTION("""COMPUTED_VALUE"""),FALSE)</f>
        <v>0</v>
      </c>
    </row>
    <row r="3642">
      <c r="A3642" s="210" t="str">
        <f>IFERROR(__xludf.DUMMYFUNCTION("""COMPUTED_VALUE"""),"1261217")</f>
        <v>1261217</v>
      </c>
      <c r="B3642" s="210" t="str">
        <f>IFERROR(__xludf.DUMMYFUNCTION("""COMPUTED_VALUE"""),"1261217")</f>
        <v>1261217</v>
      </c>
      <c r="C3642" s="213">
        <f>IFERROR(__xludf.DUMMYFUNCTION("""COMPUTED_VALUE"""),46064.41303240741)</f>
        <v>46064.41303</v>
      </c>
      <c r="D3642" s="211" t="str">
        <f>IFERROR(__xludf.DUMMYFUNCTION("""COMPUTED_VALUE"""),"8ea74d81")</f>
        <v>8ea74d81</v>
      </c>
      <c r="E3642" s="211" t="str">
        <f>IFERROR(__xludf.DUMMYFUNCTION("""COMPUTED_VALUE"""),"Bengkel Adi Putra")</f>
        <v>Bengkel Adi Putra</v>
      </c>
      <c r="F3642" s="211" t="str">
        <f>IFERROR(__xludf.DUMMYFUNCTION("""COMPUTED_VALUE"""),"ef306e54")</f>
        <v>ef306e54</v>
      </c>
      <c r="G3642" s="211" t="str">
        <f>IFERROR(__xludf.DUMMYFUNCTION("""COMPUTED_VALUE"""),"Karbondioksida")</f>
        <v>Karbondioksida</v>
      </c>
      <c r="H3642" s="211" t="str">
        <f>IFERROR(__xludf.DUMMYFUNCTION("""COMPUTED_VALUE"""),"IN")</f>
        <v>IN</v>
      </c>
      <c r="I3642" s="211" t="str">
        <f>IFERROR(__xludf.DUMMYFUNCTION("""COMPUTED_VALUE"""),"EMPTY")</f>
        <v>EMPTY</v>
      </c>
      <c r="J3642" s="211">
        <f>IFERROR(__xludf.DUMMYFUNCTION("""COMPUTED_VALUE"""),1.0)</f>
        <v>1</v>
      </c>
      <c r="K3642" s="210" t="str">
        <f>IFERROR(__xludf.DUMMYFUNCTION("""COMPUTED_VALUE"""),"13046")</f>
        <v>13046</v>
      </c>
      <c r="L3642" s="211">
        <f>IFERROR(__xludf.DUMMYFUNCTION("""COMPUTED_VALUE"""),0.0)</f>
        <v>0</v>
      </c>
      <c r="M3642" s="211"/>
      <c r="N3642" s="211"/>
      <c r="O3642" s="211" t="b">
        <f>IFERROR(__xludf.DUMMYFUNCTION("""COMPUTED_VALUE"""),FALSE)</f>
        <v>0</v>
      </c>
    </row>
    <row r="3643">
      <c r="A3643" s="210" t="str">
        <f>IFERROR(__xludf.DUMMYFUNCTION("""COMPUTED_VALUE"""),"0226122522")</f>
        <v>0226122522</v>
      </c>
      <c r="B3643" s="210" t="str">
        <f>IFERROR(__xludf.DUMMYFUNCTION("""COMPUTED_VALUE"""),"0226122522")</f>
        <v>0226122522</v>
      </c>
      <c r="C3643" s="213">
        <f>IFERROR(__xludf.DUMMYFUNCTION("""COMPUTED_VALUE"""),46064.4174537037)</f>
        <v>46064.41745</v>
      </c>
      <c r="D3643" s="211" t="str">
        <f>IFERROR(__xludf.DUMMYFUNCTION("""COMPUTED_VALUE"""),"3b04351a")</f>
        <v>3b04351a</v>
      </c>
      <c r="E3643" s="211" t="str">
        <f>IFERROR(__xludf.DUMMYFUNCTION("""COMPUTED_VALUE"""),"CV Usaha Logam Jaya")</f>
        <v>CV Usaha Logam Jaya</v>
      </c>
      <c r="F3643" s="211" t="str">
        <f>IFERROR(__xludf.DUMMYFUNCTION("""COMPUTED_VALUE"""),"7d2764f1")</f>
        <v>7d2764f1</v>
      </c>
      <c r="G3643" s="211" t="str">
        <f>IFERROR(__xludf.DUMMYFUNCTION("""COMPUTED_VALUE"""),"Oksigen 7m3")</f>
        <v>Oksigen 7m3</v>
      </c>
      <c r="H3643" s="211" t="str">
        <f>IFERROR(__xludf.DUMMYFUNCTION("""COMPUTED_VALUE"""),"OUT")</f>
        <v>OUT</v>
      </c>
      <c r="I3643" s="211" t="str">
        <f>IFERROR(__xludf.DUMMYFUNCTION("""COMPUTED_VALUE"""),"NORMAL")</f>
        <v>NORMAL</v>
      </c>
      <c r="J3643" s="211">
        <f>IFERROR(__xludf.DUMMYFUNCTION("""COMPUTED_VALUE"""),13.0)</f>
        <v>13</v>
      </c>
      <c r="K3643" s="210" t="str">
        <f>IFERROR(__xludf.DUMMYFUNCTION("""COMPUTED_VALUE"""),"11216 11142 11337 11304 11302 11145 11153 11169 11137 11222 11225 11298 11139")</f>
        <v>11216 11142 11337 11304 11302 11145 11153 11169 11137 11222 11225 11298 11139</v>
      </c>
      <c r="L3643" s="211">
        <f>IFERROR(__xludf.DUMMYFUNCTION("""COMPUTED_VALUE"""),60000.0)</f>
        <v>60000</v>
      </c>
      <c r="M3643" s="211"/>
      <c r="N3643" s="211"/>
      <c r="O3643" s="211" t="b">
        <f>IFERROR(__xludf.DUMMYFUNCTION("""COMPUTED_VALUE"""),FALSE)</f>
        <v>0</v>
      </c>
    </row>
    <row r="3644">
      <c r="A3644" s="210" t="str">
        <f>IFERROR(__xludf.DUMMYFUNCTION("""COMPUTED_VALUE"""),"0226122522")</f>
        <v>0226122522</v>
      </c>
      <c r="B3644" s="210" t="str">
        <f>IFERROR(__xludf.DUMMYFUNCTION("""COMPUTED_VALUE"""),"0226122522")</f>
        <v>0226122522</v>
      </c>
      <c r="C3644" s="213">
        <f>IFERROR(__xludf.DUMMYFUNCTION("""COMPUTED_VALUE"""),46064.4174537037)</f>
        <v>46064.41745</v>
      </c>
      <c r="D3644" s="211" t="str">
        <f>IFERROR(__xludf.DUMMYFUNCTION("""COMPUTED_VALUE"""),"3b04351a")</f>
        <v>3b04351a</v>
      </c>
      <c r="E3644" s="211" t="str">
        <f>IFERROR(__xludf.DUMMYFUNCTION("""COMPUTED_VALUE"""),"CV Usaha Logam Jaya")</f>
        <v>CV Usaha Logam Jaya</v>
      </c>
      <c r="F3644" s="211" t="str">
        <f>IFERROR(__xludf.DUMMYFUNCTION("""COMPUTED_VALUE"""),"8bdbe149")</f>
        <v>8bdbe149</v>
      </c>
      <c r="G3644" s="211" t="str">
        <f>IFERROR(__xludf.DUMMYFUNCTION("""COMPUTED_VALUE"""),"Oksigen 6m3")</f>
        <v>Oksigen 6m3</v>
      </c>
      <c r="H3644" s="211" t="str">
        <f>IFERROR(__xludf.DUMMYFUNCTION("""COMPUTED_VALUE"""),"OUT")</f>
        <v>OUT</v>
      </c>
      <c r="I3644" s="211" t="str">
        <f>IFERROR(__xludf.DUMMYFUNCTION("""COMPUTED_VALUE"""),"NORMAL")</f>
        <v>NORMAL</v>
      </c>
      <c r="J3644" s="211">
        <f>IFERROR(__xludf.DUMMYFUNCTION("""COMPUTED_VALUE"""),12.0)</f>
        <v>12</v>
      </c>
      <c r="K3644" s="210" t="str">
        <f>IFERROR(__xludf.DUMMYFUNCTION("""COMPUTED_VALUE"""),"11115 11242 1116 11358 1134 11348 1130 11188 11326 1197 11122 11357")</f>
        <v>11115 11242 1116 11358 1134 11348 1130 11188 11326 1197 11122 11357</v>
      </c>
      <c r="L3644" s="211">
        <f>IFERROR(__xludf.DUMMYFUNCTION("""COMPUTED_VALUE"""),60000.0)</f>
        <v>60000</v>
      </c>
      <c r="M3644" s="211"/>
      <c r="N3644" s="211"/>
      <c r="O3644" s="211" t="b">
        <f>IFERROR(__xludf.DUMMYFUNCTION("""COMPUTED_VALUE"""),FALSE)</f>
        <v>0</v>
      </c>
    </row>
    <row r="3645">
      <c r="A3645" s="210" t="str">
        <f>IFERROR(__xludf.DUMMYFUNCTION("""COMPUTED_VALUE"""),"0226142524")</f>
        <v>0226142524</v>
      </c>
      <c r="B3645" s="210" t="str">
        <f>IFERROR(__xludf.DUMMYFUNCTION("""COMPUTED_VALUE"""),"0226142524")</f>
        <v>0226142524</v>
      </c>
      <c r="C3645" s="213">
        <f>IFERROR(__xludf.DUMMYFUNCTION("""COMPUTED_VALUE"""),46064.533101851855)</f>
        <v>46064.5331</v>
      </c>
      <c r="D3645" s="211" t="str">
        <f>IFERROR(__xludf.DUMMYFUNCTION("""COMPUTED_VALUE"""),"f8a982a4")</f>
        <v>f8a982a4</v>
      </c>
      <c r="E3645" s="211" t="str">
        <f>IFERROR(__xludf.DUMMYFUNCTION("""COMPUTED_VALUE"""),"Bpk. Nasir")</f>
        <v>Bpk. Nasir</v>
      </c>
      <c r="F3645" s="211" t="str">
        <f>IFERROR(__xludf.DUMMYFUNCTION("""COMPUTED_VALUE"""),"8bdbe149")</f>
        <v>8bdbe149</v>
      </c>
      <c r="G3645" s="211" t="str">
        <f>IFERROR(__xludf.DUMMYFUNCTION("""COMPUTED_VALUE"""),"Oksigen 6m3")</f>
        <v>Oksigen 6m3</v>
      </c>
      <c r="H3645" s="211" t="str">
        <f>IFERROR(__xludf.DUMMYFUNCTION("""COMPUTED_VALUE"""),"OUT")</f>
        <v>OUT</v>
      </c>
      <c r="I3645" s="211" t="str">
        <f>IFERROR(__xludf.DUMMYFUNCTION("""COMPUTED_VALUE"""),"NORMAL")</f>
        <v>NORMAL</v>
      </c>
      <c r="J3645" s="211">
        <f>IFERROR(__xludf.DUMMYFUNCTION("""COMPUTED_VALUE"""),2.0)</f>
        <v>2</v>
      </c>
      <c r="K3645" s="210" t="str">
        <f>IFERROR(__xludf.DUMMYFUNCTION("""COMPUTED_VALUE"""),"11282 11264")</f>
        <v>11282 11264</v>
      </c>
      <c r="L3645" s="211">
        <f>IFERROR(__xludf.DUMMYFUNCTION("""COMPUTED_VALUE"""),70000.0)</f>
        <v>70000</v>
      </c>
      <c r="M3645" s="211"/>
      <c r="N3645" s="211"/>
      <c r="O3645" s="211" t="b">
        <f>IFERROR(__xludf.DUMMYFUNCTION("""COMPUTED_VALUE"""),FALSE)</f>
        <v>0</v>
      </c>
    </row>
    <row r="3646">
      <c r="A3646" s="210" t="str">
        <f>IFERROR(__xludf.DUMMYFUNCTION("""COMPUTED_VALUE"""),"022642525")</f>
        <v>022642525</v>
      </c>
      <c r="B3646" s="210" t="str">
        <f>IFERROR(__xludf.DUMMYFUNCTION("""COMPUTED_VALUE"""),"022642525")</f>
        <v>022642525</v>
      </c>
      <c r="C3646" s="213">
        <f>IFERROR(__xludf.DUMMYFUNCTION("""COMPUTED_VALUE"""),46064.53320601852)</f>
        <v>46064.53321</v>
      </c>
      <c r="D3646" s="211" t="str">
        <f>IFERROR(__xludf.DUMMYFUNCTION("""COMPUTED_VALUE"""),"1a1efff9")</f>
        <v>1a1efff9</v>
      </c>
      <c r="E3646" s="211" t="str">
        <f>IFERROR(__xludf.DUMMYFUNCTION("""COMPUTED_VALUE"""),"Bpk. Gito Mjs")</f>
        <v>Bpk. Gito Mjs</v>
      </c>
      <c r="F3646" s="211" t="str">
        <f>IFERROR(__xludf.DUMMYFUNCTION("""COMPUTED_VALUE"""),"7d2764f1")</f>
        <v>7d2764f1</v>
      </c>
      <c r="G3646" s="211" t="str">
        <f>IFERROR(__xludf.DUMMYFUNCTION("""COMPUTED_VALUE"""),"Oksigen 7m3")</f>
        <v>Oksigen 7m3</v>
      </c>
      <c r="H3646" s="211" t="str">
        <f>IFERROR(__xludf.DUMMYFUNCTION("""COMPUTED_VALUE"""),"OUT")</f>
        <v>OUT</v>
      </c>
      <c r="I3646" s="211" t="str">
        <f>IFERROR(__xludf.DUMMYFUNCTION("""COMPUTED_VALUE"""),"NORMAL")</f>
        <v>NORMAL</v>
      </c>
      <c r="J3646" s="211">
        <f>IFERROR(__xludf.DUMMYFUNCTION("""COMPUTED_VALUE"""),1.0)</f>
        <v>1</v>
      </c>
      <c r="K3646" s="210" t="str">
        <f>IFERROR(__xludf.DUMMYFUNCTION("""COMPUTED_VALUE"""),"1161")</f>
        <v>1161</v>
      </c>
      <c r="L3646" s="211">
        <f>IFERROR(__xludf.DUMMYFUNCTION("""COMPUTED_VALUE"""),75000.0)</f>
        <v>75000</v>
      </c>
      <c r="M3646" s="211"/>
      <c r="N3646" s="211"/>
      <c r="O3646" s="211" t="b">
        <f>IFERROR(__xludf.DUMMYFUNCTION("""COMPUTED_VALUE"""),FALSE)</f>
        <v>0</v>
      </c>
    </row>
    <row r="3647">
      <c r="A3647" s="210" t="str">
        <f>IFERROR(__xludf.DUMMYFUNCTION("""COMPUTED_VALUE"""),"022642526")</f>
        <v>022642526</v>
      </c>
      <c r="B3647" s="210" t="str">
        <f>IFERROR(__xludf.DUMMYFUNCTION("""COMPUTED_VALUE"""),"022642526")</f>
        <v>022642526</v>
      </c>
      <c r="C3647" s="213">
        <f>IFERROR(__xludf.DUMMYFUNCTION("""COMPUTED_VALUE"""),46064.57944444445)</f>
        <v>46064.57944</v>
      </c>
      <c r="D3647" s="211" t="str">
        <f>IFERROR(__xludf.DUMMYFUNCTION("""COMPUTED_VALUE"""),"d46989c9")</f>
        <v>d46989c9</v>
      </c>
      <c r="E3647" s="211" t="str">
        <f>IFERROR(__xludf.DUMMYFUNCTION("""COMPUTED_VALUE"""),"UD. Alin Jaya")</f>
        <v>UD. Alin Jaya</v>
      </c>
      <c r="F3647" s="211" t="str">
        <f>IFERROR(__xludf.DUMMYFUNCTION("""COMPUTED_VALUE"""),"8bdbe149")</f>
        <v>8bdbe149</v>
      </c>
      <c r="G3647" s="211" t="str">
        <f>IFERROR(__xludf.DUMMYFUNCTION("""COMPUTED_VALUE"""),"Oksigen 6m3")</f>
        <v>Oksigen 6m3</v>
      </c>
      <c r="H3647" s="211" t="str">
        <f>IFERROR(__xludf.DUMMYFUNCTION("""COMPUTED_VALUE"""),"OUT")</f>
        <v>OUT</v>
      </c>
      <c r="I3647" s="211" t="str">
        <f>IFERROR(__xludf.DUMMYFUNCTION("""COMPUTED_VALUE"""),"NORMAL")</f>
        <v>NORMAL</v>
      </c>
      <c r="J3647" s="211">
        <f>IFERROR(__xludf.DUMMYFUNCTION("""COMPUTED_VALUE"""),2.0)</f>
        <v>2</v>
      </c>
      <c r="K3647" s="210" t="str">
        <f>IFERROR(__xludf.DUMMYFUNCTION("""COMPUTED_VALUE"""),"1160 1198")</f>
        <v>1160 1198</v>
      </c>
      <c r="L3647" s="211">
        <f>IFERROR(__xludf.DUMMYFUNCTION("""COMPUTED_VALUE"""),65000.0)</f>
        <v>65000</v>
      </c>
      <c r="M3647" s="211"/>
      <c r="N3647" s="211"/>
      <c r="O3647" s="211" t="b">
        <f>IFERROR(__xludf.DUMMYFUNCTION("""COMPUTED_VALUE"""),FALSE)</f>
        <v>0</v>
      </c>
    </row>
    <row r="3648">
      <c r="A3648" s="210" t="str">
        <f>IFERROR(__xludf.DUMMYFUNCTION("""COMPUTED_VALUE"""),"0226102527")</f>
        <v>0226102527</v>
      </c>
      <c r="B3648" s="210" t="str">
        <f>IFERROR(__xludf.DUMMYFUNCTION("""COMPUTED_VALUE"""),"0226102527")</f>
        <v>0226102527</v>
      </c>
      <c r="C3648" s="213">
        <f>IFERROR(__xludf.DUMMYFUNCTION("""COMPUTED_VALUE"""),46064.581458333334)</f>
        <v>46064.58146</v>
      </c>
      <c r="D3648" s="211" t="str">
        <f>IFERROR(__xludf.DUMMYFUNCTION("""COMPUTED_VALUE"""),"03ff52db")</f>
        <v>03ff52db</v>
      </c>
      <c r="E3648" s="211" t="str">
        <f>IFERROR(__xludf.DUMMYFUNCTION("""COMPUTED_VALUE"""),"Aneka Teknik Logam")</f>
        <v>Aneka Teknik Logam</v>
      </c>
      <c r="F3648" s="211" t="str">
        <f>IFERROR(__xludf.DUMMYFUNCTION("""COMPUTED_VALUE"""),"f6aab7a9")</f>
        <v>f6aab7a9</v>
      </c>
      <c r="G3648" s="211" t="str">
        <f>IFERROR(__xludf.DUMMYFUNCTION("""COMPUTED_VALUE"""),"Oksigen 6m3 MR")</f>
        <v>Oksigen 6m3 MR</v>
      </c>
      <c r="H3648" s="211" t="str">
        <f>IFERROR(__xludf.DUMMYFUNCTION("""COMPUTED_VALUE"""),"OUT")</f>
        <v>OUT</v>
      </c>
      <c r="I3648" s="211" t="str">
        <f>IFERROR(__xludf.DUMMYFUNCTION("""COMPUTED_VALUE"""),"NORMAL")</f>
        <v>NORMAL</v>
      </c>
      <c r="J3648" s="211">
        <f>IFERROR(__xludf.DUMMYFUNCTION("""COMPUTED_VALUE"""),2.0)</f>
        <v>2</v>
      </c>
      <c r="K3648" s="211"/>
      <c r="L3648" s="211">
        <f>IFERROR(__xludf.DUMMYFUNCTION("""COMPUTED_VALUE"""),55000.0)</f>
        <v>55000</v>
      </c>
      <c r="M3648" s="211"/>
      <c r="N3648" s="211"/>
      <c r="O3648" s="211" t="b">
        <f>IFERROR(__xludf.DUMMYFUNCTION("""COMPUTED_VALUE"""),FALSE)</f>
        <v>0</v>
      </c>
    </row>
    <row r="3649">
      <c r="A3649" s="210" t="str">
        <f>IFERROR(__xludf.DUMMYFUNCTION("""COMPUTED_VALUE"""),"1261245")</f>
        <v>1261245</v>
      </c>
      <c r="B3649" s="210" t="str">
        <f>IFERROR(__xludf.DUMMYFUNCTION("""COMPUTED_VALUE"""),"1261245")</f>
        <v>1261245</v>
      </c>
      <c r="C3649" s="213">
        <f>IFERROR(__xludf.DUMMYFUNCTION("""COMPUTED_VALUE"""),46065.35418981482)</f>
        <v>46065.35419</v>
      </c>
      <c r="D3649" s="211" t="str">
        <f>IFERROR(__xludf.DUMMYFUNCTION("""COMPUTED_VALUE"""),"d46989c9")</f>
        <v>d46989c9</v>
      </c>
      <c r="E3649" s="211" t="str">
        <f>IFERROR(__xludf.DUMMYFUNCTION("""COMPUTED_VALUE"""),"UD. Alin Jaya")</f>
        <v>UD. Alin Jaya</v>
      </c>
      <c r="F3649" s="211" t="str">
        <f>IFERROR(__xludf.DUMMYFUNCTION("""COMPUTED_VALUE"""),"8bdbe149")</f>
        <v>8bdbe149</v>
      </c>
      <c r="G3649" s="211" t="str">
        <f>IFERROR(__xludf.DUMMYFUNCTION("""COMPUTED_VALUE"""),"Oksigen 6m3")</f>
        <v>Oksigen 6m3</v>
      </c>
      <c r="H3649" s="211" t="str">
        <f>IFERROR(__xludf.DUMMYFUNCTION("""COMPUTED_VALUE"""),"IN")</f>
        <v>IN</v>
      </c>
      <c r="I3649" s="211" t="str">
        <f>IFERROR(__xludf.DUMMYFUNCTION("""COMPUTED_VALUE"""),"EMPTY")</f>
        <v>EMPTY</v>
      </c>
      <c r="J3649" s="211">
        <f>IFERROR(__xludf.DUMMYFUNCTION("""COMPUTED_VALUE"""),1.0)</f>
        <v>1</v>
      </c>
      <c r="K3649" s="210" t="str">
        <f>IFERROR(__xludf.DUMMYFUNCTION("""COMPUTED_VALUE"""),"1117")</f>
        <v>1117</v>
      </c>
      <c r="L3649" s="211">
        <f>IFERROR(__xludf.DUMMYFUNCTION("""COMPUTED_VALUE"""),0.0)</f>
        <v>0</v>
      </c>
      <c r="M3649" s="211"/>
      <c r="N3649" s="211"/>
      <c r="O3649" s="211" t="b">
        <f>IFERROR(__xludf.DUMMYFUNCTION("""COMPUTED_VALUE"""),FALSE)</f>
        <v>0</v>
      </c>
    </row>
    <row r="3650">
      <c r="A3650" s="210" t="str">
        <f>IFERROR(__xludf.DUMMYFUNCTION("""COMPUTED_VALUE"""),"1261245")</f>
        <v>1261245</v>
      </c>
      <c r="B3650" s="210" t="str">
        <f>IFERROR(__xludf.DUMMYFUNCTION("""COMPUTED_VALUE"""),"1261245")</f>
        <v>1261245</v>
      </c>
      <c r="C3650" s="213">
        <f>IFERROR(__xludf.DUMMYFUNCTION("""COMPUTED_VALUE"""),46065.35418981482)</f>
        <v>46065.35419</v>
      </c>
      <c r="D3650" s="211" t="str">
        <f>IFERROR(__xludf.DUMMYFUNCTION("""COMPUTED_VALUE"""),"d46989c9")</f>
        <v>d46989c9</v>
      </c>
      <c r="E3650" s="211" t="str">
        <f>IFERROR(__xludf.DUMMYFUNCTION("""COMPUTED_VALUE"""),"UD. Alin Jaya")</f>
        <v>UD. Alin Jaya</v>
      </c>
      <c r="F3650" s="211" t="str">
        <f>IFERROR(__xludf.DUMMYFUNCTION("""COMPUTED_VALUE"""),"7d2764f1")</f>
        <v>7d2764f1</v>
      </c>
      <c r="G3650" s="211" t="str">
        <f>IFERROR(__xludf.DUMMYFUNCTION("""COMPUTED_VALUE"""),"Oksigen 7m3")</f>
        <v>Oksigen 7m3</v>
      </c>
      <c r="H3650" s="211" t="str">
        <f>IFERROR(__xludf.DUMMYFUNCTION("""COMPUTED_VALUE"""),"IN")</f>
        <v>IN</v>
      </c>
      <c r="I3650" s="211" t="str">
        <f>IFERROR(__xludf.DUMMYFUNCTION("""COMPUTED_VALUE"""),"EMPTY")</f>
        <v>EMPTY</v>
      </c>
      <c r="J3650" s="211">
        <f>IFERROR(__xludf.DUMMYFUNCTION("""COMPUTED_VALUE"""),1.0)</f>
        <v>1</v>
      </c>
      <c r="K3650" s="210" t="str">
        <f>IFERROR(__xludf.DUMMYFUNCTION("""COMPUTED_VALUE"""),"11330")</f>
        <v>11330</v>
      </c>
      <c r="L3650" s="211">
        <f>IFERROR(__xludf.DUMMYFUNCTION("""COMPUTED_VALUE"""),0.0)</f>
        <v>0</v>
      </c>
      <c r="M3650" s="211"/>
      <c r="N3650" s="211"/>
      <c r="O3650" s="211" t="b">
        <f>IFERROR(__xludf.DUMMYFUNCTION("""COMPUTED_VALUE"""),FALSE)</f>
        <v>0</v>
      </c>
    </row>
    <row r="3651">
      <c r="A3651" s="210" t="str">
        <f>IFERROR(__xludf.DUMMYFUNCTION("""COMPUTED_VALUE"""),"1261231")</f>
        <v>1261231</v>
      </c>
      <c r="B3651" s="210" t="str">
        <f>IFERROR(__xludf.DUMMYFUNCTION("""COMPUTED_VALUE"""),"1261231")</f>
        <v>1261231</v>
      </c>
      <c r="C3651" s="213">
        <f>IFERROR(__xludf.DUMMYFUNCTION("""COMPUTED_VALUE"""),46065.357465277775)</f>
        <v>46065.35747</v>
      </c>
      <c r="D3651" s="211" t="str">
        <f>IFERROR(__xludf.DUMMYFUNCTION("""COMPUTED_VALUE"""),"e76bc39c")</f>
        <v>e76bc39c</v>
      </c>
      <c r="E3651" s="211" t="str">
        <f>IFERROR(__xludf.DUMMYFUNCTION("""COMPUTED_VALUE"""),"Bpk. Irul")</f>
        <v>Bpk. Irul</v>
      </c>
      <c r="F3651" s="211" t="str">
        <f>IFERROR(__xludf.DUMMYFUNCTION("""COMPUTED_VALUE"""),"7d2764f1")</f>
        <v>7d2764f1</v>
      </c>
      <c r="G3651" s="211" t="str">
        <f>IFERROR(__xludf.DUMMYFUNCTION("""COMPUTED_VALUE"""),"Oksigen 7m3")</f>
        <v>Oksigen 7m3</v>
      </c>
      <c r="H3651" s="211" t="str">
        <f>IFERROR(__xludf.DUMMYFUNCTION("""COMPUTED_VALUE"""),"IN")</f>
        <v>IN</v>
      </c>
      <c r="I3651" s="211" t="str">
        <f>IFERROR(__xludf.DUMMYFUNCTION("""COMPUTED_VALUE"""),"EMPTY")</f>
        <v>EMPTY</v>
      </c>
      <c r="J3651" s="211">
        <f>IFERROR(__xludf.DUMMYFUNCTION("""COMPUTED_VALUE"""),1.0)</f>
        <v>1</v>
      </c>
      <c r="K3651" s="210" t="str">
        <f>IFERROR(__xludf.DUMMYFUNCTION("""COMPUTED_VALUE"""),"11170")</f>
        <v>11170</v>
      </c>
      <c r="L3651" s="211">
        <f>IFERROR(__xludf.DUMMYFUNCTION("""COMPUTED_VALUE"""),0.0)</f>
        <v>0</v>
      </c>
      <c r="M3651" s="211"/>
      <c r="N3651" s="211"/>
      <c r="O3651" s="211" t="b">
        <f>IFERROR(__xludf.DUMMYFUNCTION("""COMPUTED_VALUE"""),FALSE)</f>
        <v>0</v>
      </c>
    </row>
    <row r="3652">
      <c r="A3652" s="210" t="str">
        <f>IFERROR(__xludf.DUMMYFUNCTION("""COMPUTED_VALUE"""),"1261220")</f>
        <v>1261220</v>
      </c>
      <c r="B3652" s="210" t="str">
        <f>IFERROR(__xludf.DUMMYFUNCTION("""COMPUTED_VALUE"""),"1261220")</f>
        <v>1261220</v>
      </c>
      <c r="C3652" s="213">
        <f>IFERROR(__xludf.DUMMYFUNCTION("""COMPUTED_VALUE"""),46065.357986111114)</f>
        <v>46065.35799</v>
      </c>
      <c r="D3652" s="211" t="str">
        <f>IFERROR(__xludf.DUMMYFUNCTION("""COMPUTED_VALUE"""),"f8a982a4")</f>
        <v>f8a982a4</v>
      </c>
      <c r="E3652" s="211" t="str">
        <f>IFERROR(__xludf.DUMMYFUNCTION("""COMPUTED_VALUE"""),"Bpk. Nasir")</f>
        <v>Bpk. Nasir</v>
      </c>
      <c r="F3652" s="211" t="str">
        <f>IFERROR(__xludf.DUMMYFUNCTION("""COMPUTED_VALUE"""),"8bdbe149")</f>
        <v>8bdbe149</v>
      </c>
      <c r="G3652" s="211" t="str">
        <f>IFERROR(__xludf.DUMMYFUNCTION("""COMPUTED_VALUE"""),"Oksigen 6m3")</f>
        <v>Oksigen 6m3</v>
      </c>
      <c r="H3652" s="211" t="str">
        <f>IFERROR(__xludf.DUMMYFUNCTION("""COMPUTED_VALUE"""),"IN")</f>
        <v>IN</v>
      </c>
      <c r="I3652" s="211" t="str">
        <f>IFERROR(__xludf.DUMMYFUNCTION("""COMPUTED_VALUE"""),"EMPTY")</f>
        <v>EMPTY</v>
      </c>
      <c r="J3652" s="211">
        <f>IFERROR(__xludf.DUMMYFUNCTION("""COMPUTED_VALUE"""),1.0)</f>
        <v>1</v>
      </c>
      <c r="K3652" s="210" t="str">
        <f>IFERROR(__xludf.DUMMYFUNCTION("""COMPUTED_VALUE"""),"1146")</f>
        <v>1146</v>
      </c>
      <c r="L3652" s="211">
        <f>IFERROR(__xludf.DUMMYFUNCTION("""COMPUTED_VALUE"""),0.0)</f>
        <v>0</v>
      </c>
      <c r="M3652" s="211"/>
      <c r="N3652" s="211"/>
      <c r="O3652" s="211" t="b">
        <f>IFERROR(__xludf.DUMMYFUNCTION("""COMPUTED_VALUE"""),FALSE)</f>
        <v>0</v>
      </c>
    </row>
    <row r="3653">
      <c r="A3653" s="210" t="str">
        <f>IFERROR(__xludf.DUMMYFUNCTION("""COMPUTED_VALUE"""),"1261220")</f>
        <v>1261220</v>
      </c>
      <c r="B3653" s="210" t="str">
        <f>IFERROR(__xludf.DUMMYFUNCTION("""COMPUTED_VALUE"""),"1261220")</f>
        <v>1261220</v>
      </c>
      <c r="C3653" s="213">
        <f>IFERROR(__xludf.DUMMYFUNCTION("""COMPUTED_VALUE"""),46065.357986111114)</f>
        <v>46065.35799</v>
      </c>
      <c r="D3653" s="211" t="str">
        <f>IFERROR(__xludf.DUMMYFUNCTION("""COMPUTED_VALUE"""),"f8a982a4")</f>
        <v>f8a982a4</v>
      </c>
      <c r="E3653" s="211" t="str">
        <f>IFERROR(__xludf.DUMMYFUNCTION("""COMPUTED_VALUE"""),"Bpk. Nasir")</f>
        <v>Bpk. Nasir</v>
      </c>
      <c r="F3653" s="211" t="str">
        <f>IFERROR(__xludf.DUMMYFUNCTION("""COMPUTED_VALUE"""),"8bdbe149")</f>
        <v>8bdbe149</v>
      </c>
      <c r="G3653" s="211" t="str">
        <f>IFERROR(__xludf.DUMMYFUNCTION("""COMPUTED_VALUE"""),"Oksigen 6m3")</f>
        <v>Oksigen 6m3</v>
      </c>
      <c r="H3653" s="211" t="str">
        <f>IFERROR(__xludf.DUMMYFUNCTION("""COMPUTED_VALUE"""),"IN")</f>
        <v>IN</v>
      </c>
      <c r="I3653" s="211" t="str">
        <f>IFERROR(__xludf.DUMMYFUNCTION("""COMPUTED_VALUE"""),"EMPTY")</f>
        <v>EMPTY</v>
      </c>
      <c r="J3653" s="211">
        <f>IFERROR(__xludf.DUMMYFUNCTION("""COMPUTED_VALUE"""),1.0)</f>
        <v>1</v>
      </c>
      <c r="K3653" s="210" t="str">
        <f>IFERROR(__xludf.DUMMYFUNCTION("""COMPUTED_VALUE"""),"12")</f>
        <v>12</v>
      </c>
      <c r="L3653" s="211">
        <f>IFERROR(__xludf.DUMMYFUNCTION("""COMPUTED_VALUE"""),0.0)</f>
        <v>0</v>
      </c>
      <c r="M3653" s="211"/>
      <c r="N3653" s="211"/>
      <c r="O3653" s="211" t="b">
        <f>IFERROR(__xludf.DUMMYFUNCTION("""COMPUTED_VALUE"""),TRUE)</f>
        <v>1</v>
      </c>
    </row>
    <row r="3654">
      <c r="A3654" s="210" t="str">
        <f>IFERROR(__xludf.DUMMYFUNCTION("""COMPUTED_VALUE"""),"1261244")</f>
        <v>1261244</v>
      </c>
      <c r="B3654" s="210" t="str">
        <f>IFERROR(__xludf.DUMMYFUNCTION("""COMPUTED_VALUE"""),"1261244")</f>
        <v>1261244</v>
      </c>
      <c r="C3654" s="213">
        <f>IFERROR(__xludf.DUMMYFUNCTION("""COMPUTED_VALUE"""),46065.35990740741)</f>
        <v>46065.35991</v>
      </c>
      <c r="D3654" s="211" t="str">
        <f>IFERROR(__xludf.DUMMYFUNCTION("""COMPUTED_VALUE"""),"1a1efff9")</f>
        <v>1a1efff9</v>
      </c>
      <c r="E3654" s="211" t="str">
        <f>IFERROR(__xludf.DUMMYFUNCTION("""COMPUTED_VALUE"""),"Bpk. Gito Mjs")</f>
        <v>Bpk. Gito Mjs</v>
      </c>
      <c r="F3654" s="211" t="str">
        <f>IFERROR(__xludf.DUMMYFUNCTION("""COMPUTED_VALUE"""),"7d2764f1")</f>
        <v>7d2764f1</v>
      </c>
      <c r="G3654" s="211" t="str">
        <f>IFERROR(__xludf.DUMMYFUNCTION("""COMPUTED_VALUE"""),"Oksigen 7m3")</f>
        <v>Oksigen 7m3</v>
      </c>
      <c r="H3654" s="211" t="str">
        <f>IFERROR(__xludf.DUMMYFUNCTION("""COMPUTED_VALUE"""),"IN")</f>
        <v>IN</v>
      </c>
      <c r="I3654" s="211" t="str">
        <f>IFERROR(__xludf.DUMMYFUNCTION("""COMPUTED_VALUE"""),"EMPTY")</f>
        <v>EMPTY</v>
      </c>
      <c r="J3654" s="211">
        <f>IFERROR(__xludf.DUMMYFUNCTION("""COMPUTED_VALUE"""),1.0)</f>
        <v>1</v>
      </c>
      <c r="K3654" s="210" t="str">
        <f>IFERROR(__xludf.DUMMYFUNCTION("""COMPUTED_VALUE"""),"11303")</f>
        <v>11303</v>
      </c>
      <c r="L3654" s="211">
        <f>IFERROR(__xludf.DUMMYFUNCTION("""COMPUTED_VALUE"""),0.0)</f>
        <v>0</v>
      </c>
      <c r="M3654" s="211"/>
      <c r="N3654" s="211"/>
      <c r="O3654" s="211" t="b">
        <f>IFERROR(__xludf.DUMMYFUNCTION("""COMPUTED_VALUE"""),FALSE)</f>
        <v>0</v>
      </c>
    </row>
    <row r="3655">
      <c r="A3655" s="210" t="str">
        <f>IFERROR(__xludf.DUMMYFUNCTION("""COMPUTED_VALUE"""),"1261243")</f>
        <v>1261243</v>
      </c>
      <c r="B3655" s="210" t="str">
        <f>IFERROR(__xludf.DUMMYFUNCTION("""COMPUTED_VALUE"""),"1261243")</f>
        <v>1261243</v>
      </c>
      <c r="C3655" s="213">
        <f>IFERROR(__xludf.DUMMYFUNCTION("""COMPUTED_VALUE"""),46065.36027777778)</f>
        <v>46065.36028</v>
      </c>
      <c r="D3655" s="211" t="str">
        <f>IFERROR(__xludf.DUMMYFUNCTION("""COMPUTED_VALUE"""),"03ff52db")</f>
        <v>03ff52db</v>
      </c>
      <c r="E3655" s="211" t="str">
        <f>IFERROR(__xludf.DUMMYFUNCTION("""COMPUTED_VALUE"""),"Aneka Teknik Logam")</f>
        <v>Aneka Teknik Logam</v>
      </c>
      <c r="F3655" s="211" t="str">
        <f>IFERROR(__xludf.DUMMYFUNCTION("""COMPUTED_VALUE"""),"8bdbe149")</f>
        <v>8bdbe149</v>
      </c>
      <c r="G3655" s="211" t="str">
        <f>IFERROR(__xludf.DUMMYFUNCTION("""COMPUTED_VALUE"""),"Oksigen 6m3")</f>
        <v>Oksigen 6m3</v>
      </c>
      <c r="H3655" s="211" t="str">
        <f>IFERROR(__xludf.DUMMYFUNCTION("""COMPUTED_VALUE"""),"IN")</f>
        <v>IN</v>
      </c>
      <c r="I3655" s="211" t="str">
        <f>IFERROR(__xludf.DUMMYFUNCTION("""COMPUTED_VALUE"""),"EMPTY")</f>
        <v>EMPTY</v>
      </c>
      <c r="J3655" s="211">
        <f>IFERROR(__xludf.DUMMYFUNCTION("""COMPUTED_VALUE"""),1.0)</f>
        <v>1</v>
      </c>
      <c r="K3655" s="210" t="str">
        <f>IFERROR(__xludf.DUMMYFUNCTION("""COMPUTED_VALUE"""),"11209")</f>
        <v>11209</v>
      </c>
      <c r="L3655" s="211">
        <f>IFERROR(__xludf.DUMMYFUNCTION("""COMPUTED_VALUE"""),0.0)</f>
        <v>0</v>
      </c>
      <c r="M3655" s="211"/>
      <c r="N3655" s="211"/>
      <c r="O3655" s="211" t="b">
        <f>IFERROR(__xludf.DUMMYFUNCTION("""COMPUTED_VALUE"""),FALSE)</f>
        <v>0</v>
      </c>
    </row>
    <row r="3656">
      <c r="A3656" s="210" t="str">
        <f>IFERROR(__xludf.DUMMYFUNCTION("""COMPUTED_VALUE"""),"022682528")</f>
        <v>022682528</v>
      </c>
      <c r="B3656" s="210" t="str">
        <f>IFERROR(__xludf.DUMMYFUNCTION("""COMPUTED_VALUE"""),"022682528")</f>
        <v>022682528</v>
      </c>
      <c r="C3656" s="213">
        <f>IFERROR(__xludf.DUMMYFUNCTION("""COMPUTED_VALUE"""),46065.38045138889)</f>
        <v>46065.38045</v>
      </c>
      <c r="D3656" s="211" t="str">
        <f>IFERROR(__xludf.DUMMYFUNCTION("""COMPUTED_VALUE"""),"98c84274")</f>
        <v>98c84274</v>
      </c>
      <c r="E3656" s="211" t="str">
        <f>IFERROR(__xludf.DUMMYFUNCTION("""COMPUTED_VALUE"""),"Bengkel SBM (Pak Hari)")</f>
        <v>Bengkel SBM (Pak Hari)</v>
      </c>
      <c r="F3656" s="211" t="str">
        <f>IFERROR(__xludf.DUMMYFUNCTION("""COMPUTED_VALUE"""),"8bdbe149")</f>
        <v>8bdbe149</v>
      </c>
      <c r="G3656" s="211" t="str">
        <f>IFERROR(__xludf.DUMMYFUNCTION("""COMPUTED_VALUE"""),"Oksigen 6m3")</f>
        <v>Oksigen 6m3</v>
      </c>
      <c r="H3656" s="211" t="str">
        <f>IFERROR(__xludf.DUMMYFUNCTION("""COMPUTED_VALUE"""),"OUT")</f>
        <v>OUT</v>
      </c>
      <c r="I3656" s="211" t="str">
        <f>IFERROR(__xludf.DUMMYFUNCTION("""COMPUTED_VALUE"""),"NORMAL")</f>
        <v>NORMAL</v>
      </c>
      <c r="J3656" s="211">
        <f>IFERROR(__xludf.DUMMYFUNCTION("""COMPUTED_VALUE"""),5.0)</f>
        <v>5</v>
      </c>
      <c r="K3656" s="210" t="str">
        <f>IFERROR(__xludf.DUMMYFUNCTION("""COMPUTED_VALUE"""),"11364 11368 11367 11366 11365")</f>
        <v>11364 11368 11367 11366 11365</v>
      </c>
      <c r="L3656" s="211">
        <f>IFERROR(__xludf.DUMMYFUNCTION("""COMPUTED_VALUE"""),60000.0)</f>
        <v>60000</v>
      </c>
      <c r="M3656" s="211"/>
      <c r="N3656" s="211"/>
      <c r="O3656" s="211" t="b">
        <f>IFERROR(__xludf.DUMMYFUNCTION("""COMPUTED_VALUE"""),FALSE)</f>
        <v>0</v>
      </c>
    </row>
    <row r="3657">
      <c r="A3657" s="210" t="str">
        <f>IFERROR(__xludf.DUMMYFUNCTION("""COMPUTED_VALUE"""),"022682528")</f>
        <v>022682528</v>
      </c>
      <c r="B3657" s="210" t="str">
        <f>IFERROR(__xludf.DUMMYFUNCTION("""COMPUTED_VALUE"""),"022682528")</f>
        <v>022682528</v>
      </c>
      <c r="C3657" s="213">
        <f>IFERROR(__xludf.DUMMYFUNCTION("""COMPUTED_VALUE"""),46065.38045138889)</f>
        <v>46065.38045</v>
      </c>
      <c r="D3657" s="211" t="str">
        <f>IFERROR(__xludf.DUMMYFUNCTION("""COMPUTED_VALUE"""),"98c84274")</f>
        <v>98c84274</v>
      </c>
      <c r="E3657" s="211" t="str">
        <f>IFERROR(__xludf.DUMMYFUNCTION("""COMPUTED_VALUE"""),"Bengkel SBM (Pak Hari)")</f>
        <v>Bengkel SBM (Pak Hari)</v>
      </c>
      <c r="F3657" s="211" t="str">
        <f>IFERROR(__xludf.DUMMYFUNCTION("""COMPUTED_VALUE"""),"ef306e54")</f>
        <v>ef306e54</v>
      </c>
      <c r="G3657" s="211" t="str">
        <f>IFERROR(__xludf.DUMMYFUNCTION("""COMPUTED_VALUE"""),"Karbondioksida")</f>
        <v>Karbondioksida</v>
      </c>
      <c r="H3657" s="211" t="str">
        <f>IFERROR(__xludf.DUMMYFUNCTION("""COMPUTED_VALUE"""),"OUT")</f>
        <v>OUT</v>
      </c>
      <c r="I3657" s="211" t="str">
        <f>IFERROR(__xludf.DUMMYFUNCTION("""COMPUTED_VALUE"""),"NORMAL")</f>
        <v>NORMAL</v>
      </c>
      <c r="J3657" s="211">
        <f>IFERROR(__xludf.DUMMYFUNCTION("""COMPUTED_VALUE"""),4.0)</f>
        <v>4</v>
      </c>
      <c r="K3657" s="210" t="str">
        <f>IFERROR(__xludf.DUMMYFUNCTION("""COMPUTED_VALUE"""),"13028 13073 13064 13003")</f>
        <v>13028 13073 13064 13003</v>
      </c>
      <c r="L3657" s="211">
        <f>IFERROR(__xludf.DUMMYFUNCTION("""COMPUTED_VALUE"""),190000.0)</f>
        <v>190000</v>
      </c>
      <c r="M3657" s="211"/>
      <c r="N3657" s="211"/>
      <c r="O3657" s="211" t="b">
        <f>IFERROR(__xludf.DUMMYFUNCTION("""COMPUTED_VALUE"""),FALSE)</f>
        <v>0</v>
      </c>
    </row>
    <row r="3658">
      <c r="A3658" s="210" t="str">
        <f>IFERROR(__xludf.DUMMYFUNCTION("""COMPUTED_VALUE"""),"0226852535")</f>
        <v>0226852535</v>
      </c>
      <c r="B3658" s="210" t="str">
        <f>IFERROR(__xludf.DUMMYFUNCTION("""COMPUTED_VALUE"""),"0226852535")</f>
        <v>0226852535</v>
      </c>
      <c r="C3658" s="213">
        <f>IFERROR(__xludf.DUMMYFUNCTION("""COMPUTED_VALUE"""),46065.434525462966)</f>
        <v>46065.43453</v>
      </c>
      <c r="D3658" s="211" t="str">
        <f>IFERROR(__xludf.DUMMYFUNCTION("""COMPUTED_VALUE"""),"b2b5f2c5")</f>
        <v>b2b5f2c5</v>
      </c>
      <c r="E3658" s="211" t="str">
        <f>IFERROR(__xludf.DUMMYFUNCTION("""COMPUTED_VALUE"""),"Bengkel Las Bpk. Ari")</f>
        <v>Bengkel Las Bpk. Ari</v>
      </c>
      <c r="F3658" s="211" t="str">
        <f>IFERROR(__xludf.DUMMYFUNCTION("""COMPUTED_VALUE"""),"8bdbe149")</f>
        <v>8bdbe149</v>
      </c>
      <c r="G3658" s="211" t="str">
        <f>IFERROR(__xludf.DUMMYFUNCTION("""COMPUTED_VALUE"""),"Oksigen 6m3")</f>
        <v>Oksigen 6m3</v>
      </c>
      <c r="H3658" s="211" t="str">
        <f>IFERROR(__xludf.DUMMYFUNCTION("""COMPUTED_VALUE"""),"OUT")</f>
        <v>OUT</v>
      </c>
      <c r="I3658" s="211" t="str">
        <f>IFERROR(__xludf.DUMMYFUNCTION("""COMPUTED_VALUE"""),"NORMAL")</f>
        <v>NORMAL</v>
      </c>
      <c r="J3658" s="211">
        <f>IFERROR(__xludf.DUMMYFUNCTION("""COMPUTED_VALUE"""),3.0)</f>
        <v>3</v>
      </c>
      <c r="K3658" s="210" t="str">
        <f>IFERROR(__xludf.DUMMYFUNCTION("""COMPUTED_VALUE"""),"11360 11362 11359")</f>
        <v>11360 11362 11359</v>
      </c>
      <c r="L3658" s="211">
        <f>IFERROR(__xludf.DUMMYFUNCTION("""COMPUTED_VALUE"""),60000.0)</f>
        <v>60000</v>
      </c>
      <c r="M3658" s="211"/>
      <c r="N3658" s="211"/>
      <c r="O3658" s="211" t="b">
        <f>IFERROR(__xludf.DUMMYFUNCTION("""COMPUTED_VALUE"""),FALSE)</f>
        <v>0</v>
      </c>
    </row>
    <row r="3659">
      <c r="A3659" s="210" t="str">
        <f>IFERROR(__xludf.DUMMYFUNCTION("""COMPUTED_VALUE"""),"022692536")</f>
        <v>022692536</v>
      </c>
      <c r="B3659" s="210" t="str">
        <f>IFERROR(__xludf.DUMMYFUNCTION("""COMPUTED_VALUE"""),"022692536")</f>
        <v>022692536</v>
      </c>
      <c r="C3659" s="213">
        <f>IFERROR(__xludf.DUMMYFUNCTION("""COMPUTED_VALUE"""),46065.47414351852)</f>
        <v>46065.47414</v>
      </c>
      <c r="D3659" s="211" t="str">
        <f>IFERROR(__xludf.DUMMYFUNCTION("""COMPUTED_VALUE"""),"b0735da4")</f>
        <v>b0735da4</v>
      </c>
      <c r="E3659" s="211" t="str">
        <f>IFERROR(__xludf.DUMMYFUNCTION("""COMPUTED_VALUE"""),"Bpk. Amer Ciro")</f>
        <v>Bpk. Amer Ciro</v>
      </c>
      <c r="F3659" s="211" t="str">
        <f>IFERROR(__xludf.DUMMYFUNCTION("""COMPUTED_VALUE"""),"8bdbe149")</f>
        <v>8bdbe149</v>
      </c>
      <c r="G3659" s="211" t="str">
        <f>IFERROR(__xludf.DUMMYFUNCTION("""COMPUTED_VALUE"""),"Oksigen 6m3")</f>
        <v>Oksigen 6m3</v>
      </c>
      <c r="H3659" s="211" t="str">
        <f>IFERROR(__xludf.DUMMYFUNCTION("""COMPUTED_VALUE"""),"OUT")</f>
        <v>OUT</v>
      </c>
      <c r="I3659" s="211" t="str">
        <f>IFERROR(__xludf.DUMMYFUNCTION("""COMPUTED_VALUE"""),"NORMAL")</f>
        <v>NORMAL</v>
      </c>
      <c r="J3659" s="211">
        <f>IFERROR(__xludf.DUMMYFUNCTION("""COMPUTED_VALUE"""),2.0)</f>
        <v>2</v>
      </c>
      <c r="K3659" s="210" t="str">
        <f>IFERROR(__xludf.DUMMYFUNCTION("""COMPUTED_VALUE"""),"11361 11363")</f>
        <v>11361 11363</v>
      </c>
      <c r="L3659" s="211">
        <f>IFERROR(__xludf.DUMMYFUNCTION("""COMPUTED_VALUE"""),65000.0)</f>
        <v>65000</v>
      </c>
      <c r="M3659" s="211"/>
      <c r="N3659" s="211"/>
      <c r="O3659" s="211" t="b">
        <f>IFERROR(__xludf.DUMMYFUNCTION("""COMPUTED_VALUE"""),FALSE)</f>
        <v>0</v>
      </c>
    </row>
    <row r="3660">
      <c r="A3660" s="210" t="str">
        <f>IFERROR(__xludf.DUMMYFUNCTION("""COMPUTED_VALUE"""),"0226852535")</f>
        <v>0226852535</v>
      </c>
      <c r="B3660" s="210" t="str">
        <f>IFERROR(__xludf.DUMMYFUNCTION("""COMPUTED_VALUE"""),"0226852535")</f>
        <v>0226852535</v>
      </c>
      <c r="C3660" s="213">
        <f>IFERROR(__xludf.DUMMYFUNCTION("""COMPUTED_VALUE"""),46065.434525462966)</f>
        <v>46065.43453</v>
      </c>
      <c r="D3660" s="211" t="str">
        <f>IFERROR(__xludf.DUMMYFUNCTION("""COMPUTED_VALUE"""),"b2b5f2c5")</f>
        <v>b2b5f2c5</v>
      </c>
      <c r="E3660" s="211" t="str">
        <f>IFERROR(__xludf.DUMMYFUNCTION("""COMPUTED_VALUE"""),"Bengkel Las Bpk. Ari")</f>
        <v>Bengkel Las Bpk. Ari</v>
      </c>
      <c r="F3660" s="211" t="str">
        <f>IFERROR(__xludf.DUMMYFUNCTION("""COMPUTED_VALUE"""),"ef306e54")</f>
        <v>ef306e54</v>
      </c>
      <c r="G3660" s="211" t="str">
        <f>IFERROR(__xludf.DUMMYFUNCTION("""COMPUTED_VALUE"""),"Karbondioksida")</f>
        <v>Karbondioksida</v>
      </c>
      <c r="H3660" s="211" t="str">
        <f>IFERROR(__xludf.DUMMYFUNCTION("""COMPUTED_VALUE"""),"OUT")</f>
        <v>OUT</v>
      </c>
      <c r="I3660" s="211" t="str">
        <f>IFERROR(__xludf.DUMMYFUNCTION("""COMPUTED_VALUE"""),"NORMAL")</f>
        <v>NORMAL</v>
      </c>
      <c r="J3660" s="211">
        <f>IFERROR(__xludf.DUMMYFUNCTION("""COMPUTED_VALUE"""),2.0)</f>
        <v>2</v>
      </c>
      <c r="K3660" s="210" t="str">
        <f>IFERROR(__xludf.DUMMYFUNCTION("""COMPUTED_VALUE"""),"13005 13023")</f>
        <v>13005 13023</v>
      </c>
      <c r="L3660" s="211">
        <f>IFERROR(__xludf.DUMMYFUNCTION("""COMPUTED_VALUE"""),180000.0)</f>
        <v>180000</v>
      </c>
      <c r="M3660" s="211"/>
      <c r="N3660" s="211"/>
      <c r="O3660" s="211" t="b">
        <f>IFERROR(__xludf.DUMMYFUNCTION("""COMPUTED_VALUE"""),FALSE)</f>
        <v>0</v>
      </c>
    </row>
    <row r="3661">
      <c r="A3661" s="210" t="str">
        <f>IFERROR(__xludf.DUMMYFUNCTION("""COMPUTED_VALUE"""),"0226442537")</f>
        <v>0226442537</v>
      </c>
      <c r="B3661" s="210" t="str">
        <f>IFERROR(__xludf.DUMMYFUNCTION("""COMPUTED_VALUE"""),"0226442537")</f>
        <v>0226442537</v>
      </c>
      <c r="C3661" s="213">
        <f>IFERROR(__xludf.DUMMYFUNCTION("""COMPUTED_VALUE"""),46065.60965277778)</f>
        <v>46065.60965</v>
      </c>
      <c r="D3661" s="211" t="str">
        <f>IFERROR(__xludf.DUMMYFUNCTION("""COMPUTED_VALUE"""),"ec231cc9")</f>
        <v>ec231cc9</v>
      </c>
      <c r="E3661" s="211" t="str">
        <f>IFERROR(__xludf.DUMMYFUNCTION("""COMPUTED_VALUE"""),"Bpk. Kohir (Maintenance Velg)")</f>
        <v>Bpk. Kohir (Maintenance Velg)</v>
      </c>
      <c r="F3661" s="211" t="str">
        <f>IFERROR(__xludf.DUMMYFUNCTION("""COMPUTED_VALUE"""),"8bdbe149")</f>
        <v>8bdbe149</v>
      </c>
      <c r="G3661" s="211" t="str">
        <f>IFERROR(__xludf.DUMMYFUNCTION("""COMPUTED_VALUE"""),"Oksigen 6m3")</f>
        <v>Oksigen 6m3</v>
      </c>
      <c r="H3661" s="211" t="str">
        <f>IFERROR(__xludf.DUMMYFUNCTION("""COMPUTED_VALUE"""),"OUT")</f>
        <v>OUT</v>
      </c>
      <c r="I3661" s="211" t="str">
        <f>IFERROR(__xludf.DUMMYFUNCTION("""COMPUTED_VALUE"""),"NORMAL")</f>
        <v>NORMAL</v>
      </c>
      <c r="J3661" s="211">
        <f>IFERROR(__xludf.DUMMYFUNCTION("""COMPUTED_VALUE"""),6.0)</f>
        <v>6</v>
      </c>
      <c r="K3661" s="210" t="str">
        <f>IFERROR(__xludf.DUMMYFUNCTION("""COMPUTED_VALUE"""),"11372 11374 11373 11371 11370 11369")</f>
        <v>11372 11374 11373 11371 11370 11369</v>
      </c>
      <c r="L3661" s="211">
        <f>IFERROR(__xludf.DUMMYFUNCTION("""COMPUTED_VALUE"""),55000.0)</f>
        <v>55000</v>
      </c>
      <c r="M3661" s="211"/>
      <c r="N3661" s="211"/>
      <c r="O3661" s="211" t="b">
        <f>IFERROR(__xludf.DUMMYFUNCTION("""COMPUTED_VALUE"""),FALSE)</f>
        <v>0</v>
      </c>
    </row>
    <row r="3662">
      <c r="A3662" s="210" t="str">
        <f>IFERROR(__xludf.DUMMYFUNCTION("""COMPUTED_VALUE"""),"1261218")</f>
        <v>1261218</v>
      </c>
      <c r="B3662" s="210" t="str">
        <f>IFERROR(__xludf.DUMMYFUNCTION("""COMPUTED_VALUE"""),"1261218")</f>
        <v>1261218</v>
      </c>
      <c r="C3662" s="213">
        <f>IFERROR(__xludf.DUMMYFUNCTION("""COMPUTED_VALUE"""),46065.70508101852)</f>
        <v>46065.70508</v>
      </c>
      <c r="D3662" s="211" t="str">
        <f>IFERROR(__xludf.DUMMYFUNCTION("""COMPUTED_VALUE"""),"b0735da4")</f>
        <v>b0735da4</v>
      </c>
      <c r="E3662" s="211" t="str">
        <f>IFERROR(__xludf.DUMMYFUNCTION("""COMPUTED_VALUE"""),"Bpk. Amer Ciro")</f>
        <v>Bpk. Amer Ciro</v>
      </c>
      <c r="F3662" s="211" t="str">
        <f>IFERROR(__xludf.DUMMYFUNCTION("""COMPUTED_VALUE"""),"7d2764f1")</f>
        <v>7d2764f1</v>
      </c>
      <c r="G3662" s="211" t="str">
        <f>IFERROR(__xludf.DUMMYFUNCTION("""COMPUTED_VALUE"""),"Oksigen 7m3")</f>
        <v>Oksigen 7m3</v>
      </c>
      <c r="H3662" s="211" t="str">
        <f>IFERROR(__xludf.DUMMYFUNCTION("""COMPUTED_VALUE"""),"IN")</f>
        <v>IN</v>
      </c>
      <c r="I3662" s="211" t="str">
        <f>IFERROR(__xludf.DUMMYFUNCTION("""COMPUTED_VALUE"""),"EMPTY")</f>
        <v>EMPTY</v>
      </c>
      <c r="J3662" s="211">
        <f>IFERROR(__xludf.DUMMYFUNCTION("""COMPUTED_VALUE"""),1.0)</f>
        <v>1</v>
      </c>
      <c r="K3662" s="210" t="str">
        <f>IFERROR(__xludf.DUMMYFUNCTION("""COMPUTED_VALUE"""),"11158")</f>
        <v>11158</v>
      </c>
      <c r="L3662" s="211">
        <f>IFERROR(__xludf.DUMMYFUNCTION("""COMPUTED_VALUE"""),0.0)</f>
        <v>0</v>
      </c>
      <c r="M3662" s="211"/>
      <c r="N3662" s="211"/>
      <c r="O3662" s="211" t="b">
        <f>IFERROR(__xludf.DUMMYFUNCTION("""COMPUTED_VALUE"""),FALSE)</f>
        <v>0</v>
      </c>
    </row>
    <row r="3663">
      <c r="A3663" s="210" t="str">
        <f>IFERROR(__xludf.DUMMYFUNCTION("""COMPUTED_VALUE"""),"1261246")</f>
        <v>1261246</v>
      </c>
      <c r="B3663" s="210" t="str">
        <f>IFERROR(__xludf.DUMMYFUNCTION("""COMPUTED_VALUE"""),"1261246")</f>
        <v>1261246</v>
      </c>
      <c r="C3663" s="213">
        <f>IFERROR(__xludf.DUMMYFUNCTION("""COMPUTED_VALUE"""),46065.70569444444)</f>
        <v>46065.70569</v>
      </c>
      <c r="D3663" s="211" t="str">
        <f>IFERROR(__xludf.DUMMYFUNCTION("""COMPUTED_VALUE"""),"ec231cc9")</f>
        <v>ec231cc9</v>
      </c>
      <c r="E3663" s="211" t="str">
        <f>IFERROR(__xludf.DUMMYFUNCTION("""COMPUTED_VALUE"""),"Bpk. Kohir (Maintenance Velg)")</f>
        <v>Bpk. Kohir (Maintenance Velg)</v>
      </c>
      <c r="F3663" s="211" t="str">
        <f>IFERROR(__xludf.DUMMYFUNCTION("""COMPUTED_VALUE"""),"8bdbe149")</f>
        <v>8bdbe149</v>
      </c>
      <c r="G3663" s="211" t="str">
        <f>IFERROR(__xludf.DUMMYFUNCTION("""COMPUTED_VALUE"""),"Oksigen 6m3")</f>
        <v>Oksigen 6m3</v>
      </c>
      <c r="H3663" s="211" t="str">
        <f>IFERROR(__xludf.DUMMYFUNCTION("""COMPUTED_VALUE"""),"IN")</f>
        <v>IN</v>
      </c>
      <c r="I3663" s="211" t="str">
        <f>IFERROR(__xludf.DUMMYFUNCTION("""COMPUTED_VALUE"""),"EMPTY")</f>
        <v>EMPTY</v>
      </c>
      <c r="J3663" s="211">
        <f>IFERROR(__xludf.DUMMYFUNCTION("""COMPUTED_VALUE"""),6.0)</f>
        <v>6</v>
      </c>
      <c r="K3663" s="210" t="str">
        <f>IFERROR(__xludf.DUMMYFUNCTION("""COMPUTED_VALUE"""),"1138 11327 11271 1101 11285 11241")</f>
        <v>1138 11327 11271 1101 11285 11241</v>
      </c>
      <c r="L3663" s="211">
        <f>IFERROR(__xludf.DUMMYFUNCTION("""COMPUTED_VALUE"""),0.0)</f>
        <v>0</v>
      </c>
      <c r="M3663" s="211"/>
      <c r="N3663" s="211"/>
      <c r="O3663" s="211" t="b">
        <f>IFERROR(__xludf.DUMMYFUNCTION("""COMPUTED_VALUE"""),FALSE)</f>
        <v>0</v>
      </c>
    </row>
    <row r="3664">
      <c r="A3664" s="210" t="str">
        <f>IFERROR(__xludf.DUMMYFUNCTION("""COMPUTED_VALUE"""),"1261246")</f>
        <v>1261246</v>
      </c>
      <c r="B3664" s="210" t="str">
        <f>IFERROR(__xludf.DUMMYFUNCTION("""COMPUTED_VALUE"""),"1261246")</f>
        <v>1261246</v>
      </c>
      <c r="C3664" s="213">
        <f>IFERROR(__xludf.DUMMYFUNCTION("""COMPUTED_VALUE"""),46065.70569444444)</f>
        <v>46065.70569</v>
      </c>
      <c r="D3664" s="211" t="str">
        <f>IFERROR(__xludf.DUMMYFUNCTION("""COMPUTED_VALUE"""),"ec231cc9")</f>
        <v>ec231cc9</v>
      </c>
      <c r="E3664" s="211" t="str">
        <f>IFERROR(__xludf.DUMMYFUNCTION("""COMPUTED_VALUE"""),"Bpk. Kohir (Maintenance Velg)")</f>
        <v>Bpk. Kohir (Maintenance Velg)</v>
      </c>
      <c r="F3664" s="211" t="str">
        <f>IFERROR(__xludf.DUMMYFUNCTION("""COMPUTED_VALUE"""),"ef306e54")</f>
        <v>ef306e54</v>
      </c>
      <c r="G3664" s="211" t="str">
        <f>IFERROR(__xludf.DUMMYFUNCTION("""COMPUTED_VALUE"""),"Karbondioksida")</f>
        <v>Karbondioksida</v>
      </c>
      <c r="H3664" s="211" t="str">
        <f>IFERROR(__xludf.DUMMYFUNCTION("""COMPUTED_VALUE"""),"IN")</f>
        <v>IN</v>
      </c>
      <c r="I3664" s="211" t="str">
        <f>IFERROR(__xludf.DUMMYFUNCTION("""COMPUTED_VALUE"""),"EMPTY")</f>
        <v>EMPTY</v>
      </c>
      <c r="J3664" s="211">
        <f>IFERROR(__xludf.DUMMYFUNCTION("""COMPUTED_VALUE"""),2.0)</f>
        <v>2</v>
      </c>
      <c r="K3664" s="210" t="str">
        <f>IFERROR(__xludf.DUMMYFUNCTION("""COMPUTED_VALUE"""),"13015 13025")</f>
        <v>13015 13025</v>
      </c>
      <c r="L3664" s="211">
        <f>IFERROR(__xludf.DUMMYFUNCTION("""COMPUTED_VALUE"""),0.0)</f>
        <v>0</v>
      </c>
      <c r="M3664" s="211"/>
      <c r="N3664" s="211"/>
      <c r="O3664" s="211" t="b">
        <f>IFERROR(__xludf.DUMMYFUNCTION("""COMPUTED_VALUE"""),FALSE)</f>
        <v>0</v>
      </c>
    </row>
    <row r="3665">
      <c r="A3665" s="210" t="str">
        <f>IFERROR(__xludf.DUMMYFUNCTION("""COMPUTED_VALUE"""),"1261207")</f>
        <v>1261207</v>
      </c>
      <c r="B3665" s="210" t="str">
        <f>IFERROR(__xludf.DUMMYFUNCTION("""COMPUTED_VALUE"""),"1261207")</f>
        <v>1261207</v>
      </c>
      <c r="C3665" s="213">
        <f>IFERROR(__xludf.DUMMYFUNCTION("""COMPUTED_VALUE"""),46065.71207175926)</f>
        <v>46065.71207</v>
      </c>
      <c r="D3665" s="211" t="str">
        <f>IFERROR(__xludf.DUMMYFUNCTION("""COMPUTED_VALUE"""),"63fc688a")</f>
        <v>63fc688a</v>
      </c>
      <c r="E3665" s="211" t="str">
        <f>IFERROR(__xludf.DUMMYFUNCTION("""COMPUTED_VALUE"""),"CV Malik Nusantara")</f>
        <v>CV Malik Nusantara</v>
      </c>
      <c r="F3665" s="211" t="str">
        <f>IFERROR(__xludf.DUMMYFUNCTION("""COMPUTED_VALUE"""),"ef306e54")</f>
        <v>ef306e54</v>
      </c>
      <c r="G3665" s="211" t="str">
        <f>IFERROR(__xludf.DUMMYFUNCTION("""COMPUTED_VALUE"""),"Karbondioksida")</f>
        <v>Karbondioksida</v>
      </c>
      <c r="H3665" s="211" t="str">
        <f>IFERROR(__xludf.DUMMYFUNCTION("""COMPUTED_VALUE"""),"IN")</f>
        <v>IN</v>
      </c>
      <c r="I3665" s="211" t="str">
        <f>IFERROR(__xludf.DUMMYFUNCTION("""COMPUTED_VALUE"""),"EMPTY")</f>
        <v>EMPTY</v>
      </c>
      <c r="J3665" s="211">
        <f>IFERROR(__xludf.DUMMYFUNCTION("""COMPUTED_VALUE"""),2.0)</f>
        <v>2</v>
      </c>
      <c r="K3665" s="210" t="str">
        <f>IFERROR(__xludf.DUMMYFUNCTION("""COMPUTED_VALUE"""),"13035 13007")</f>
        <v>13035 13007</v>
      </c>
      <c r="L3665" s="211">
        <f>IFERROR(__xludf.DUMMYFUNCTION("""COMPUTED_VALUE"""),0.0)</f>
        <v>0</v>
      </c>
      <c r="M3665" s="211"/>
      <c r="N3665" s="211"/>
      <c r="O3665" s="211" t="b">
        <f>IFERROR(__xludf.DUMMYFUNCTION("""COMPUTED_VALUE"""),FALSE)</f>
        <v>0</v>
      </c>
    </row>
    <row r="3666">
      <c r="A3666" s="210" t="str">
        <f>IFERROR(__xludf.DUMMYFUNCTION("""COMPUTED_VALUE"""),"1261207")</f>
        <v>1261207</v>
      </c>
      <c r="B3666" s="210" t="str">
        <f>IFERROR(__xludf.DUMMYFUNCTION("""COMPUTED_VALUE"""),"1261207")</f>
        <v>1261207</v>
      </c>
      <c r="C3666" s="213">
        <f>IFERROR(__xludf.DUMMYFUNCTION("""COMPUTED_VALUE"""),46065.71207175926)</f>
        <v>46065.71207</v>
      </c>
      <c r="D3666" s="211" t="str">
        <f>IFERROR(__xludf.DUMMYFUNCTION("""COMPUTED_VALUE"""),"63fc688a")</f>
        <v>63fc688a</v>
      </c>
      <c r="E3666" s="211" t="str">
        <f>IFERROR(__xludf.DUMMYFUNCTION("""COMPUTED_VALUE"""),"CV Malik Nusantara")</f>
        <v>CV Malik Nusantara</v>
      </c>
      <c r="F3666" s="211" t="str">
        <f>IFERROR(__xludf.DUMMYFUNCTION("""COMPUTED_VALUE"""),"8bdbe149")</f>
        <v>8bdbe149</v>
      </c>
      <c r="G3666" s="211" t="str">
        <f>IFERROR(__xludf.DUMMYFUNCTION("""COMPUTED_VALUE"""),"Oksigen 6m3")</f>
        <v>Oksigen 6m3</v>
      </c>
      <c r="H3666" s="211" t="str">
        <f>IFERROR(__xludf.DUMMYFUNCTION("""COMPUTED_VALUE"""),"IN")</f>
        <v>IN</v>
      </c>
      <c r="I3666" s="211" t="str">
        <f>IFERROR(__xludf.DUMMYFUNCTION("""COMPUTED_VALUE"""),"EMPTY")</f>
        <v>EMPTY</v>
      </c>
      <c r="J3666" s="211">
        <f>IFERROR(__xludf.DUMMYFUNCTION("""COMPUTED_VALUE"""),5.0)</f>
        <v>5</v>
      </c>
      <c r="K3666" s="210" t="str">
        <f>IFERROR(__xludf.DUMMYFUNCTION("""COMPUTED_VALUE"""),"1139 11287 1140 11240 56")</f>
        <v>1139 11287 1140 11240 56</v>
      </c>
      <c r="L3666" s="211">
        <f>IFERROR(__xludf.DUMMYFUNCTION("""COMPUTED_VALUE"""),0.0)</f>
        <v>0</v>
      </c>
      <c r="M3666" s="211"/>
      <c r="N3666" s="211"/>
      <c r="O3666" s="211" t="b">
        <f>IFERROR(__xludf.DUMMYFUNCTION("""COMPUTED_VALUE"""),FALSE)</f>
        <v>0</v>
      </c>
    </row>
    <row r="3667">
      <c r="A3667" s="210" t="str">
        <f>IFERROR(__xludf.DUMMYFUNCTION("""COMPUTED_VALUE"""),"1261206")</f>
        <v>1261206</v>
      </c>
      <c r="B3667" s="210" t="str">
        <f>IFERROR(__xludf.DUMMYFUNCTION("""COMPUTED_VALUE"""),"1261206")</f>
        <v>1261206</v>
      </c>
      <c r="C3667" s="213">
        <f>IFERROR(__xludf.DUMMYFUNCTION("""COMPUTED_VALUE"""),46065.71296296296)</f>
        <v>46065.71296</v>
      </c>
      <c r="D3667" s="211" t="str">
        <f>IFERROR(__xludf.DUMMYFUNCTION("""COMPUTED_VALUE"""),"98c84274")</f>
        <v>98c84274</v>
      </c>
      <c r="E3667" s="211" t="str">
        <f>IFERROR(__xludf.DUMMYFUNCTION("""COMPUTED_VALUE"""),"Bengkel SBM (Pak Hari)")</f>
        <v>Bengkel SBM (Pak Hari)</v>
      </c>
      <c r="F3667" s="211" t="str">
        <f>IFERROR(__xludf.DUMMYFUNCTION("""COMPUTED_VALUE"""),"8bdbe149")</f>
        <v>8bdbe149</v>
      </c>
      <c r="G3667" s="211" t="str">
        <f>IFERROR(__xludf.DUMMYFUNCTION("""COMPUTED_VALUE"""),"Oksigen 6m3")</f>
        <v>Oksigen 6m3</v>
      </c>
      <c r="H3667" s="211" t="str">
        <f>IFERROR(__xludf.DUMMYFUNCTION("""COMPUTED_VALUE"""),"IN")</f>
        <v>IN</v>
      </c>
      <c r="I3667" s="211" t="str">
        <f>IFERROR(__xludf.DUMMYFUNCTION("""COMPUTED_VALUE"""),"EMPTY")</f>
        <v>EMPTY</v>
      </c>
      <c r="J3667" s="211">
        <f>IFERROR(__xludf.DUMMYFUNCTION("""COMPUTED_VALUE"""),4.0)</f>
        <v>4</v>
      </c>
      <c r="K3667" s="210" t="str">
        <f>IFERROR(__xludf.DUMMYFUNCTION("""COMPUTED_VALUE"""),"11183 1150 1155 11229")</f>
        <v>11183 1150 1155 11229</v>
      </c>
      <c r="L3667" s="211">
        <f>IFERROR(__xludf.DUMMYFUNCTION("""COMPUTED_VALUE"""),0.0)</f>
        <v>0</v>
      </c>
      <c r="M3667" s="211"/>
      <c r="N3667" s="211"/>
      <c r="O3667" s="211" t="b">
        <f>IFERROR(__xludf.DUMMYFUNCTION("""COMPUTED_VALUE"""),FALSE)</f>
        <v>0</v>
      </c>
    </row>
    <row r="3668">
      <c r="A3668" s="210" t="str">
        <f>IFERROR(__xludf.DUMMYFUNCTION("""COMPUTED_VALUE"""),"1261206")</f>
        <v>1261206</v>
      </c>
      <c r="B3668" s="210" t="str">
        <f>IFERROR(__xludf.DUMMYFUNCTION("""COMPUTED_VALUE"""),"1261206")</f>
        <v>1261206</v>
      </c>
      <c r="C3668" s="213">
        <f>IFERROR(__xludf.DUMMYFUNCTION("""COMPUTED_VALUE"""),46065.71296296296)</f>
        <v>46065.71296</v>
      </c>
      <c r="D3668" s="211" t="str">
        <f>IFERROR(__xludf.DUMMYFUNCTION("""COMPUTED_VALUE"""),"98c84274")</f>
        <v>98c84274</v>
      </c>
      <c r="E3668" s="211" t="str">
        <f>IFERROR(__xludf.DUMMYFUNCTION("""COMPUTED_VALUE"""),"Bengkel SBM (Pak Hari)")</f>
        <v>Bengkel SBM (Pak Hari)</v>
      </c>
      <c r="F3668" s="211" t="str">
        <f>IFERROR(__xludf.DUMMYFUNCTION("""COMPUTED_VALUE"""),"ef306e54")</f>
        <v>ef306e54</v>
      </c>
      <c r="G3668" s="211" t="str">
        <f>IFERROR(__xludf.DUMMYFUNCTION("""COMPUTED_VALUE"""),"Karbondioksida")</f>
        <v>Karbondioksida</v>
      </c>
      <c r="H3668" s="211" t="str">
        <f>IFERROR(__xludf.DUMMYFUNCTION("""COMPUTED_VALUE"""),"IN")</f>
        <v>IN</v>
      </c>
      <c r="I3668" s="211" t="str">
        <f>IFERROR(__xludf.DUMMYFUNCTION("""COMPUTED_VALUE"""),"EMPTY")</f>
        <v>EMPTY</v>
      </c>
      <c r="J3668" s="211">
        <f>IFERROR(__xludf.DUMMYFUNCTION("""COMPUTED_VALUE"""),2.0)</f>
        <v>2</v>
      </c>
      <c r="K3668" s="210" t="str">
        <f>IFERROR(__xludf.DUMMYFUNCTION("""COMPUTED_VALUE"""),"13004 13070")</f>
        <v>13004 13070</v>
      </c>
      <c r="L3668" s="211">
        <f>IFERROR(__xludf.DUMMYFUNCTION("""COMPUTED_VALUE"""),0.0)</f>
        <v>0</v>
      </c>
      <c r="M3668" s="211"/>
      <c r="N3668" s="211"/>
      <c r="O3668" s="211" t="b">
        <f>IFERROR(__xludf.DUMMYFUNCTION("""COMPUTED_VALUE"""),FALSE)</f>
        <v>0</v>
      </c>
    </row>
    <row r="3669">
      <c r="A3669" s="210" t="str">
        <f>IFERROR(__xludf.DUMMYFUNCTION("""COMPUTED_VALUE"""),"1261208")</f>
        <v>1261208</v>
      </c>
      <c r="B3669" s="210" t="str">
        <f>IFERROR(__xludf.DUMMYFUNCTION("""COMPUTED_VALUE"""),"1261208")</f>
        <v>1261208</v>
      </c>
      <c r="C3669" s="213">
        <f>IFERROR(__xludf.DUMMYFUNCTION("""COMPUTED_VALUE"""),46065.713587962964)</f>
        <v>46065.71359</v>
      </c>
      <c r="D3669" s="211" t="str">
        <f>IFERROR(__xludf.DUMMYFUNCTION("""COMPUTED_VALUE"""),"b2b5f2c5")</f>
        <v>b2b5f2c5</v>
      </c>
      <c r="E3669" s="211" t="str">
        <f>IFERROR(__xludf.DUMMYFUNCTION("""COMPUTED_VALUE"""),"Bengkel Las Bpk. Ari")</f>
        <v>Bengkel Las Bpk. Ari</v>
      </c>
      <c r="F3669" s="211" t="str">
        <f>IFERROR(__xludf.DUMMYFUNCTION("""COMPUTED_VALUE"""),"8bdbe149")</f>
        <v>8bdbe149</v>
      </c>
      <c r="G3669" s="211" t="str">
        <f>IFERROR(__xludf.DUMMYFUNCTION("""COMPUTED_VALUE"""),"Oksigen 6m3")</f>
        <v>Oksigen 6m3</v>
      </c>
      <c r="H3669" s="211" t="str">
        <f>IFERROR(__xludf.DUMMYFUNCTION("""COMPUTED_VALUE"""),"IN")</f>
        <v>IN</v>
      </c>
      <c r="I3669" s="211" t="str">
        <f>IFERROR(__xludf.DUMMYFUNCTION("""COMPUTED_VALUE"""),"EMPTY")</f>
        <v>EMPTY</v>
      </c>
      <c r="J3669" s="211">
        <f>IFERROR(__xludf.DUMMYFUNCTION("""COMPUTED_VALUE"""),6.0)</f>
        <v>6</v>
      </c>
      <c r="K3669" s="210" t="str">
        <f>IFERROR(__xludf.DUMMYFUNCTION("""COMPUTED_VALUE"""),"11344 11180 11311 11193 11250 11121")</f>
        <v>11344 11180 11311 11193 11250 11121</v>
      </c>
      <c r="L3669" s="211">
        <f>IFERROR(__xludf.DUMMYFUNCTION("""COMPUTED_VALUE"""),0.0)</f>
        <v>0</v>
      </c>
      <c r="M3669" s="211"/>
      <c r="N3669" s="211"/>
      <c r="O3669" s="211" t="b">
        <f>IFERROR(__xludf.DUMMYFUNCTION("""COMPUTED_VALUE"""),FALSE)</f>
        <v>0</v>
      </c>
    </row>
    <row r="3670">
      <c r="A3670" s="210" t="str">
        <f>IFERROR(__xludf.DUMMYFUNCTION("""COMPUTED_VALUE"""),"1261208")</f>
        <v>1261208</v>
      </c>
      <c r="B3670" s="210" t="str">
        <f>IFERROR(__xludf.DUMMYFUNCTION("""COMPUTED_VALUE"""),"1261208")</f>
        <v>1261208</v>
      </c>
      <c r="C3670" s="213">
        <f>IFERROR(__xludf.DUMMYFUNCTION("""COMPUTED_VALUE"""),46065.713587962964)</f>
        <v>46065.71359</v>
      </c>
      <c r="D3670" s="211" t="str">
        <f>IFERROR(__xludf.DUMMYFUNCTION("""COMPUTED_VALUE"""),"b2b5f2c5")</f>
        <v>b2b5f2c5</v>
      </c>
      <c r="E3670" s="211" t="str">
        <f>IFERROR(__xludf.DUMMYFUNCTION("""COMPUTED_VALUE"""),"Bengkel Las Bpk. Ari")</f>
        <v>Bengkel Las Bpk. Ari</v>
      </c>
      <c r="F3670" s="211" t="str">
        <f>IFERROR(__xludf.DUMMYFUNCTION("""COMPUTED_VALUE"""),"ef306e54")</f>
        <v>ef306e54</v>
      </c>
      <c r="G3670" s="211" t="str">
        <f>IFERROR(__xludf.DUMMYFUNCTION("""COMPUTED_VALUE"""),"Karbondioksida")</f>
        <v>Karbondioksida</v>
      </c>
      <c r="H3670" s="211" t="str">
        <f>IFERROR(__xludf.DUMMYFUNCTION("""COMPUTED_VALUE"""),"IN")</f>
        <v>IN</v>
      </c>
      <c r="I3670" s="211" t="str">
        <f>IFERROR(__xludf.DUMMYFUNCTION("""COMPUTED_VALUE"""),"EMPTY")</f>
        <v>EMPTY</v>
      </c>
      <c r="J3670" s="211">
        <f>IFERROR(__xludf.DUMMYFUNCTION("""COMPUTED_VALUE"""),1.0)</f>
        <v>1</v>
      </c>
      <c r="K3670" s="210" t="str">
        <f>IFERROR(__xludf.DUMMYFUNCTION("""COMPUTED_VALUE"""),"13043")</f>
        <v>13043</v>
      </c>
      <c r="L3670" s="211">
        <f>IFERROR(__xludf.DUMMYFUNCTION("""COMPUTED_VALUE"""),0.0)</f>
        <v>0</v>
      </c>
      <c r="M3670" s="211"/>
      <c r="N3670" s="211"/>
      <c r="O3670" s="211" t="b">
        <f>IFERROR(__xludf.DUMMYFUNCTION("""COMPUTED_VALUE"""),FALSE)</f>
        <v>0</v>
      </c>
    </row>
    <row r="3671">
      <c r="A3671" s="210" t="str">
        <f>IFERROR(__xludf.DUMMYFUNCTION("""COMPUTED_VALUE"""),"0226152538")</f>
        <v>0226152538</v>
      </c>
      <c r="B3671" s="210" t="str">
        <f>IFERROR(__xludf.DUMMYFUNCTION("""COMPUTED_VALUE"""),"0226152538")</f>
        <v>0226152538</v>
      </c>
      <c r="C3671" s="213">
        <f>IFERROR(__xludf.DUMMYFUNCTION("""COMPUTED_VALUE"""),46066.35686342593)</f>
        <v>46066.35686</v>
      </c>
      <c r="D3671" s="211" t="str">
        <f>IFERROR(__xludf.DUMMYFUNCTION("""COMPUTED_VALUE"""),"f8a982a4")</f>
        <v>f8a982a4</v>
      </c>
      <c r="E3671" s="211" t="str">
        <f>IFERROR(__xludf.DUMMYFUNCTION("""COMPUTED_VALUE"""),"Bpk. Nasir")</f>
        <v>Bpk. Nasir</v>
      </c>
      <c r="F3671" s="211" t="str">
        <f>IFERROR(__xludf.DUMMYFUNCTION("""COMPUTED_VALUE"""),"8bdbe149")</f>
        <v>8bdbe149</v>
      </c>
      <c r="G3671" s="211" t="str">
        <f>IFERROR(__xludf.DUMMYFUNCTION("""COMPUTED_VALUE"""),"Oksigen 6m3")</f>
        <v>Oksigen 6m3</v>
      </c>
      <c r="H3671" s="211" t="str">
        <f>IFERROR(__xludf.DUMMYFUNCTION("""COMPUTED_VALUE"""),"OUT")</f>
        <v>OUT</v>
      </c>
      <c r="I3671" s="211" t="str">
        <f>IFERROR(__xludf.DUMMYFUNCTION("""COMPUTED_VALUE"""),"NORMAL")</f>
        <v>NORMAL</v>
      </c>
      <c r="J3671" s="211">
        <f>IFERROR(__xludf.DUMMYFUNCTION("""COMPUTED_VALUE"""),2.0)</f>
        <v>2</v>
      </c>
      <c r="K3671" s="210" t="str">
        <f>IFERROR(__xludf.DUMMYFUNCTION("""COMPUTED_VALUE"""),"1117 1126")</f>
        <v>1117 1126</v>
      </c>
      <c r="L3671" s="211">
        <f>IFERROR(__xludf.DUMMYFUNCTION("""COMPUTED_VALUE"""),70000.0)</f>
        <v>70000</v>
      </c>
      <c r="M3671" s="211"/>
      <c r="N3671" s="211"/>
      <c r="O3671" s="211" t="b">
        <f>IFERROR(__xludf.DUMMYFUNCTION("""COMPUTED_VALUE"""),FALSE)</f>
        <v>0</v>
      </c>
    </row>
    <row r="3672">
      <c r="A3672" s="210" t="str">
        <f>IFERROR(__xludf.DUMMYFUNCTION("""COMPUTED_VALUE"""),"0226452544")</f>
        <v>0226452544</v>
      </c>
      <c r="B3672" s="210" t="str">
        <f>IFERROR(__xludf.DUMMYFUNCTION("""COMPUTED_VALUE"""),"0226452544")</f>
        <v>0226452544</v>
      </c>
      <c r="C3672" s="213">
        <f>IFERROR(__xludf.DUMMYFUNCTION("""COMPUTED_VALUE"""),46066.35747685185)</f>
        <v>46066.35748</v>
      </c>
      <c r="D3672" s="211" t="str">
        <f>IFERROR(__xludf.DUMMYFUNCTION("""COMPUTED_VALUE"""),"ec231cc9")</f>
        <v>ec231cc9</v>
      </c>
      <c r="E3672" s="211" t="str">
        <f>IFERROR(__xludf.DUMMYFUNCTION("""COMPUTED_VALUE"""),"Bpk. Kohir (Maintenance Velg)")</f>
        <v>Bpk. Kohir (Maintenance Velg)</v>
      </c>
      <c r="F3672" s="211" t="str">
        <f>IFERROR(__xludf.DUMMYFUNCTION("""COMPUTED_VALUE"""),"ef306e54")</f>
        <v>ef306e54</v>
      </c>
      <c r="G3672" s="211" t="str">
        <f>IFERROR(__xludf.DUMMYFUNCTION("""COMPUTED_VALUE"""),"Karbondioksida")</f>
        <v>Karbondioksida</v>
      </c>
      <c r="H3672" s="211" t="str">
        <f>IFERROR(__xludf.DUMMYFUNCTION("""COMPUTED_VALUE"""),"OUT")</f>
        <v>OUT</v>
      </c>
      <c r="I3672" s="211" t="str">
        <f>IFERROR(__xludf.DUMMYFUNCTION("""COMPUTED_VALUE"""),"NORMAL")</f>
        <v>NORMAL</v>
      </c>
      <c r="J3672" s="211">
        <f>IFERROR(__xludf.DUMMYFUNCTION("""COMPUTED_VALUE"""),2.0)</f>
        <v>2</v>
      </c>
      <c r="K3672" s="210" t="str">
        <f>IFERROR(__xludf.DUMMYFUNCTION("""COMPUTED_VALUE"""),"13046 13070")</f>
        <v>13046 13070</v>
      </c>
      <c r="L3672" s="211">
        <f>IFERROR(__xludf.DUMMYFUNCTION("""COMPUTED_VALUE"""),175000.0)</f>
        <v>175000</v>
      </c>
      <c r="M3672" s="211"/>
      <c r="N3672" s="211"/>
      <c r="O3672" s="211" t="b">
        <f>IFERROR(__xludf.DUMMYFUNCTION("""COMPUTED_VALUE"""),FALSE)</f>
        <v>0</v>
      </c>
    </row>
    <row r="3673">
      <c r="A3673" s="210" t="str">
        <f>IFERROR(__xludf.DUMMYFUNCTION("""COMPUTED_VALUE"""),"0226442547")</f>
        <v>0226442547</v>
      </c>
      <c r="B3673" s="210" t="str">
        <f>IFERROR(__xludf.DUMMYFUNCTION("""COMPUTED_VALUE"""),"0226442547")</f>
        <v>0226442547</v>
      </c>
      <c r="C3673" s="213">
        <f>IFERROR(__xludf.DUMMYFUNCTION("""COMPUTED_VALUE"""),46066.405497685184)</f>
        <v>46066.4055</v>
      </c>
      <c r="D3673" s="211" t="str">
        <f>IFERROR(__xludf.DUMMYFUNCTION("""COMPUTED_VALUE"""),"5f23ba17")</f>
        <v>5f23ba17</v>
      </c>
      <c r="E3673" s="211" t="str">
        <f>IFERROR(__xludf.DUMMYFUNCTION("""COMPUTED_VALUE"""),"Bpk. Joko (Gresik)")</f>
        <v>Bpk. Joko (Gresik)</v>
      </c>
      <c r="F3673" s="211" t="str">
        <f>IFERROR(__xludf.DUMMYFUNCTION("""COMPUTED_VALUE"""),"be525f3b")</f>
        <v>be525f3b</v>
      </c>
      <c r="G3673" s="211" t="str">
        <f>IFERROR(__xludf.DUMMYFUNCTION("""COMPUTED_VALUE"""),"LPG 12kg")</f>
        <v>LPG 12kg</v>
      </c>
      <c r="H3673" s="211" t="str">
        <f>IFERROR(__xludf.DUMMYFUNCTION("""COMPUTED_VALUE"""),"OUT")</f>
        <v>OUT</v>
      </c>
      <c r="I3673" s="211" t="str">
        <f>IFERROR(__xludf.DUMMYFUNCTION("""COMPUTED_VALUE"""),"NORMAL")</f>
        <v>NORMAL</v>
      </c>
      <c r="J3673" s="211">
        <f>IFERROR(__xludf.DUMMYFUNCTION("""COMPUTED_VALUE"""),3.0)</f>
        <v>3</v>
      </c>
      <c r="K3673" s="210" t="str">
        <f>IFERROR(__xludf.DUMMYFUNCTION("""COMPUTED_VALUE"""),"L0011 L0010 L009")</f>
        <v>L0011 L0010 L009</v>
      </c>
      <c r="L3673" s="211">
        <f>IFERROR(__xludf.DUMMYFUNCTION("""COMPUTED_VALUE"""),200000.0)</f>
        <v>200000</v>
      </c>
      <c r="M3673" s="211"/>
      <c r="N3673" s="211"/>
      <c r="O3673" s="211" t="b">
        <f>IFERROR(__xludf.DUMMYFUNCTION("""COMPUTED_VALUE"""),FALSE)</f>
        <v>0</v>
      </c>
    </row>
    <row r="3674">
      <c r="A3674" s="210" t="str">
        <f>IFERROR(__xludf.DUMMYFUNCTION("""COMPUTED_VALUE"""),"0226162548")</f>
        <v>0226162548</v>
      </c>
      <c r="B3674" s="210" t="str">
        <f>IFERROR(__xludf.DUMMYFUNCTION("""COMPUTED_VALUE"""),"0226162548")</f>
        <v>0226162548</v>
      </c>
      <c r="C3674" s="213">
        <f>IFERROR(__xludf.DUMMYFUNCTION("""COMPUTED_VALUE"""),46066.43284722222)</f>
        <v>46066.43285</v>
      </c>
      <c r="D3674" s="211" t="str">
        <f>IFERROR(__xludf.DUMMYFUNCTION("""COMPUTED_VALUE"""),"f8a982a4")</f>
        <v>f8a982a4</v>
      </c>
      <c r="E3674" s="211" t="str">
        <f>IFERROR(__xludf.DUMMYFUNCTION("""COMPUTED_VALUE"""),"Bpk. Nasir")</f>
        <v>Bpk. Nasir</v>
      </c>
      <c r="F3674" s="211" t="str">
        <f>IFERROR(__xludf.DUMMYFUNCTION("""COMPUTED_VALUE"""),"7d2764f1")</f>
        <v>7d2764f1</v>
      </c>
      <c r="G3674" s="211" t="str">
        <f>IFERROR(__xludf.DUMMYFUNCTION("""COMPUTED_VALUE"""),"Oksigen 7m3")</f>
        <v>Oksigen 7m3</v>
      </c>
      <c r="H3674" s="211" t="str">
        <f>IFERROR(__xludf.DUMMYFUNCTION("""COMPUTED_VALUE"""),"OUT")</f>
        <v>OUT</v>
      </c>
      <c r="I3674" s="211" t="str">
        <f>IFERROR(__xludf.DUMMYFUNCTION("""COMPUTED_VALUE"""),"NORMAL")</f>
        <v>NORMAL</v>
      </c>
      <c r="J3674" s="211">
        <f>IFERROR(__xludf.DUMMYFUNCTION("""COMPUTED_VALUE"""),1.0)</f>
        <v>1</v>
      </c>
      <c r="K3674" s="210" t="str">
        <f>IFERROR(__xludf.DUMMYFUNCTION("""COMPUTED_VALUE"""),"11303")</f>
        <v>11303</v>
      </c>
      <c r="L3674" s="211">
        <f>IFERROR(__xludf.DUMMYFUNCTION("""COMPUTED_VALUE"""),70000.0)</f>
        <v>70000</v>
      </c>
      <c r="M3674" s="211"/>
      <c r="N3674" s="211"/>
      <c r="O3674" s="211" t="b">
        <f>IFERROR(__xludf.DUMMYFUNCTION("""COMPUTED_VALUE"""),FALSE)</f>
        <v>0</v>
      </c>
    </row>
    <row r="3675">
      <c r="A3675" s="211"/>
      <c r="B3675" s="211"/>
      <c r="C3675" s="211"/>
      <c r="D3675" s="211"/>
      <c r="E3675" s="211"/>
      <c r="F3675" s="211"/>
      <c r="G3675" s="211"/>
      <c r="H3675" s="211"/>
      <c r="I3675" s="211"/>
      <c r="J3675" s="211"/>
      <c r="K3675" s="211"/>
      <c r="L3675" s="211"/>
      <c r="M3675" s="211"/>
      <c r="N3675" s="211"/>
      <c r="O3675" s="211"/>
    </row>
    <row r="3676">
      <c r="A3676" s="210" t="str">
        <f>IFERROR(__xludf.DUMMYFUNCTION("""COMPUTED_VALUE"""),"1261207")</f>
        <v>1261207</v>
      </c>
      <c r="B3676" s="210" t="str">
        <f>IFERROR(__xludf.DUMMYFUNCTION("""COMPUTED_VALUE"""),"1261207")</f>
        <v>1261207</v>
      </c>
      <c r="C3676" s="213">
        <f>IFERROR(__xludf.DUMMYFUNCTION("""COMPUTED_VALUE"""),46065.71207175926)</f>
        <v>46065.71207</v>
      </c>
      <c r="D3676" s="211" t="str">
        <f>IFERROR(__xludf.DUMMYFUNCTION("""COMPUTED_VALUE"""),"63fc688a")</f>
        <v>63fc688a</v>
      </c>
      <c r="E3676" s="211" t="str">
        <f>IFERROR(__xludf.DUMMYFUNCTION("""COMPUTED_VALUE"""),"CV Malik Nusantara")</f>
        <v>CV Malik Nusantara</v>
      </c>
      <c r="F3676" s="211" t="str">
        <f>IFERROR(__xludf.DUMMYFUNCTION("""COMPUTED_VALUE"""),"be525f3b")</f>
        <v>be525f3b</v>
      </c>
      <c r="G3676" s="211" t="str">
        <f>IFERROR(__xludf.DUMMYFUNCTION("""COMPUTED_VALUE"""),"LPG 12kg")</f>
        <v>LPG 12kg</v>
      </c>
      <c r="H3676" s="211" t="str">
        <f>IFERROR(__xludf.DUMMYFUNCTION("""COMPUTED_VALUE"""),"IN")</f>
        <v>IN</v>
      </c>
      <c r="I3676" s="211" t="str">
        <f>IFERROR(__xludf.DUMMYFUNCTION("""COMPUTED_VALUE"""),"EMPTY")</f>
        <v>EMPTY</v>
      </c>
      <c r="J3676" s="211">
        <f>IFERROR(__xludf.DUMMYFUNCTION("""COMPUTED_VALUE"""),2.0)</f>
        <v>2</v>
      </c>
      <c r="K3676" s="211"/>
      <c r="L3676" s="211">
        <f>IFERROR(__xludf.DUMMYFUNCTION("""COMPUTED_VALUE"""),0.0)</f>
        <v>0</v>
      </c>
      <c r="M3676" s="211"/>
      <c r="N3676" s="211"/>
      <c r="O3676" s="211" t="b">
        <f>IFERROR(__xludf.DUMMYFUNCTION("""COMPUTED_VALUE"""),FALSE)</f>
        <v>0</v>
      </c>
    </row>
    <row r="3677">
      <c r="A3677" s="210" t="str">
        <f>IFERROR(__xludf.DUMMYFUNCTION("""COMPUTED_VALUE"""),"0226302545")</f>
        <v>0226302545</v>
      </c>
      <c r="B3677" s="210" t="str">
        <f>IFERROR(__xludf.DUMMYFUNCTION("""COMPUTED_VALUE"""),"0226302545")</f>
        <v>0226302545</v>
      </c>
      <c r="C3677" s="213">
        <f>IFERROR(__xludf.DUMMYFUNCTION("""COMPUTED_VALUE"""),46066.39770833333)</f>
        <v>46066.39771</v>
      </c>
      <c r="D3677" s="211" t="str">
        <f>IFERROR(__xludf.DUMMYFUNCTION("""COMPUTED_VALUE"""),"2d88931c")</f>
        <v>2d88931c</v>
      </c>
      <c r="E3677" s="211" t="str">
        <f>IFERROR(__xludf.DUMMYFUNCTION("""COMPUTED_VALUE"""),"PT Dunia Berkat Marga Mulya")</f>
        <v>PT Dunia Berkat Marga Mulya</v>
      </c>
      <c r="F3677" s="211" t="str">
        <f>IFERROR(__xludf.DUMMYFUNCTION("""COMPUTED_VALUE"""),"8bdbe149")</f>
        <v>8bdbe149</v>
      </c>
      <c r="G3677" s="211" t="str">
        <f>IFERROR(__xludf.DUMMYFUNCTION("""COMPUTED_VALUE"""),"Oksigen 6m3")</f>
        <v>Oksigen 6m3</v>
      </c>
      <c r="H3677" s="211" t="str">
        <f>IFERROR(__xludf.DUMMYFUNCTION("""COMPUTED_VALUE"""),"OUT")</f>
        <v>OUT</v>
      </c>
      <c r="I3677" s="211" t="str">
        <f>IFERROR(__xludf.DUMMYFUNCTION("""COMPUTED_VALUE"""),"NORMAL")</f>
        <v>NORMAL</v>
      </c>
      <c r="J3677" s="211">
        <f>IFERROR(__xludf.DUMMYFUNCTION("""COMPUTED_VALUE"""),3.0)</f>
        <v>3</v>
      </c>
      <c r="K3677" s="210" t="str">
        <f>IFERROR(__xludf.DUMMYFUNCTION("""COMPUTED_VALUE"""),"11380 11382 11381")</f>
        <v>11380 11382 11381</v>
      </c>
      <c r="L3677" s="211">
        <f>IFERROR(__xludf.DUMMYFUNCTION("""COMPUTED_VALUE"""),60000.0)</f>
        <v>60000</v>
      </c>
      <c r="M3677" s="211"/>
      <c r="N3677" s="211"/>
      <c r="O3677" s="211" t="b">
        <f>IFERROR(__xludf.DUMMYFUNCTION("""COMPUTED_VALUE"""),FALSE)</f>
        <v>0</v>
      </c>
    </row>
    <row r="3678">
      <c r="A3678" s="210" t="str">
        <f>IFERROR(__xludf.DUMMYFUNCTION("""COMPUTED_VALUE"""),"0226242549")</f>
        <v>0226242549</v>
      </c>
      <c r="B3678" s="210" t="str">
        <f>IFERROR(__xludf.DUMMYFUNCTION("""COMPUTED_VALUE"""),"0226242549")</f>
        <v>0226242549</v>
      </c>
      <c r="C3678" s="213">
        <f>IFERROR(__xludf.DUMMYFUNCTION("""COMPUTED_VALUE"""),46066.436886574076)</f>
        <v>46066.43689</v>
      </c>
      <c r="D3678" s="211" t="str">
        <f>IFERROR(__xludf.DUMMYFUNCTION("""COMPUTED_VALUE"""),"4ec68cf6")</f>
        <v>4ec68cf6</v>
      </c>
      <c r="E3678" s="211" t="str">
        <f>IFERROR(__xludf.DUMMYFUNCTION("""COMPUTED_VALUE"""),"CV Sido Mukti Karya")</f>
        <v>CV Sido Mukti Karya</v>
      </c>
      <c r="F3678" s="211" t="str">
        <f>IFERROR(__xludf.DUMMYFUNCTION("""COMPUTED_VALUE"""),"ef306e54")</f>
        <v>ef306e54</v>
      </c>
      <c r="G3678" s="211" t="str">
        <f>IFERROR(__xludf.DUMMYFUNCTION("""COMPUTED_VALUE"""),"Karbondioksida")</f>
        <v>Karbondioksida</v>
      </c>
      <c r="H3678" s="211" t="str">
        <f>IFERROR(__xludf.DUMMYFUNCTION("""COMPUTED_VALUE"""),"OUT")</f>
        <v>OUT</v>
      </c>
      <c r="I3678" s="211" t="str">
        <f>IFERROR(__xludf.DUMMYFUNCTION("""COMPUTED_VALUE"""),"NORMAL")</f>
        <v>NORMAL</v>
      </c>
      <c r="J3678" s="211">
        <f>IFERROR(__xludf.DUMMYFUNCTION("""COMPUTED_VALUE"""),5.0)</f>
        <v>5</v>
      </c>
      <c r="K3678" s="210" t="str">
        <f>IFERROR(__xludf.DUMMYFUNCTION("""COMPUTED_VALUE"""),"13004 13007 13035 13038 13043")</f>
        <v>13004 13007 13035 13038 13043</v>
      </c>
      <c r="L3678" s="211">
        <f>IFERROR(__xludf.DUMMYFUNCTION("""COMPUTED_VALUE"""),180000.0)</f>
        <v>180000</v>
      </c>
      <c r="M3678" s="211"/>
      <c r="N3678" s="211"/>
      <c r="O3678" s="211" t="b">
        <f>IFERROR(__xludf.DUMMYFUNCTION("""COMPUTED_VALUE"""),FALSE)</f>
        <v>0</v>
      </c>
    </row>
    <row r="3679">
      <c r="A3679" s="210" t="str">
        <f>IFERROR(__xludf.DUMMYFUNCTION("""COMPUTED_VALUE"""),"0226112550")</f>
        <v>0226112550</v>
      </c>
      <c r="B3679" s="210" t="str">
        <f>IFERROR(__xludf.DUMMYFUNCTION("""COMPUTED_VALUE"""),"0226112550")</f>
        <v>0226112550</v>
      </c>
      <c r="C3679" s="213">
        <f>IFERROR(__xludf.DUMMYFUNCTION("""COMPUTED_VALUE"""),46066.447800925926)</f>
        <v>46066.4478</v>
      </c>
      <c r="D3679" s="211" t="str">
        <f>IFERROR(__xludf.DUMMYFUNCTION("""COMPUTED_VALUE"""),"ba97d58d")</f>
        <v>ba97d58d</v>
      </c>
      <c r="E3679" s="211" t="str">
        <f>IFERROR(__xludf.DUMMYFUNCTION("""COMPUTED_VALUE"""),"Bengkel Citra Mojosari")</f>
        <v>Bengkel Citra Mojosari</v>
      </c>
      <c r="F3679" s="211" t="str">
        <f>IFERROR(__xludf.DUMMYFUNCTION("""COMPUTED_VALUE"""),"8bdbe149")</f>
        <v>8bdbe149</v>
      </c>
      <c r="G3679" s="211" t="str">
        <f>IFERROR(__xludf.DUMMYFUNCTION("""COMPUTED_VALUE"""),"Oksigen 6m3")</f>
        <v>Oksigen 6m3</v>
      </c>
      <c r="H3679" s="211" t="str">
        <f>IFERROR(__xludf.DUMMYFUNCTION("""COMPUTED_VALUE"""),"OUT")</f>
        <v>OUT</v>
      </c>
      <c r="I3679" s="211" t="str">
        <f>IFERROR(__xludf.DUMMYFUNCTION("""COMPUTED_VALUE"""),"NORMAL")</f>
        <v>NORMAL</v>
      </c>
      <c r="J3679" s="211">
        <f>IFERROR(__xludf.DUMMYFUNCTION("""COMPUTED_VALUE"""),2.0)</f>
        <v>2</v>
      </c>
      <c r="K3679" s="210" t="str">
        <f>IFERROR(__xludf.DUMMYFUNCTION("""COMPUTED_VALUE"""),"1146 11376")</f>
        <v>1146 11376</v>
      </c>
      <c r="L3679" s="211">
        <f>IFERROR(__xludf.DUMMYFUNCTION("""COMPUTED_VALUE"""),65000.0)</f>
        <v>65000</v>
      </c>
      <c r="M3679" s="211"/>
      <c r="N3679" s="211"/>
      <c r="O3679" s="211" t="b">
        <f>IFERROR(__xludf.DUMMYFUNCTION("""COMPUTED_VALUE"""),FALSE)</f>
        <v>0</v>
      </c>
    </row>
    <row r="3680">
      <c r="A3680" s="210" t="str">
        <f>IFERROR(__xludf.DUMMYFUNCTION("""COMPUTED_VALUE"""),"022692551")</f>
        <v>022692551</v>
      </c>
      <c r="B3680" s="210" t="str">
        <f>IFERROR(__xludf.DUMMYFUNCTION("""COMPUTED_VALUE"""),"022692551")</f>
        <v>022692551</v>
      </c>
      <c r="C3680" s="213">
        <f>IFERROR(__xludf.DUMMYFUNCTION("""COMPUTED_VALUE"""),46066.52788194444)</f>
        <v>46066.52788</v>
      </c>
      <c r="D3680" s="211" t="str">
        <f>IFERROR(__xludf.DUMMYFUNCTION("""COMPUTED_VALUE"""),"98c84274")</f>
        <v>98c84274</v>
      </c>
      <c r="E3680" s="211" t="str">
        <f>IFERROR(__xludf.DUMMYFUNCTION("""COMPUTED_VALUE"""),"Bengkel SBM (Pak Hari)")</f>
        <v>Bengkel SBM (Pak Hari)</v>
      </c>
      <c r="F3680" s="211" t="str">
        <f>IFERROR(__xludf.DUMMYFUNCTION("""COMPUTED_VALUE"""),"be525f3b")</f>
        <v>be525f3b</v>
      </c>
      <c r="G3680" s="211" t="str">
        <f>IFERROR(__xludf.DUMMYFUNCTION("""COMPUTED_VALUE"""),"LPG 12kg")</f>
        <v>LPG 12kg</v>
      </c>
      <c r="H3680" s="211" t="str">
        <f>IFERROR(__xludf.DUMMYFUNCTION("""COMPUTED_VALUE"""),"OUT")</f>
        <v>OUT</v>
      </c>
      <c r="I3680" s="211" t="str">
        <f>IFERROR(__xludf.DUMMYFUNCTION("""COMPUTED_VALUE"""),"NORMAL")</f>
        <v>NORMAL</v>
      </c>
      <c r="J3680" s="211">
        <f>IFERROR(__xludf.DUMMYFUNCTION("""COMPUTED_VALUE"""),1.0)</f>
        <v>1</v>
      </c>
      <c r="K3680" s="211"/>
      <c r="L3680" s="211">
        <f>IFERROR(__xludf.DUMMYFUNCTION("""COMPUTED_VALUE"""),205000.0)</f>
        <v>205000</v>
      </c>
      <c r="M3680" s="211"/>
      <c r="N3680" s="211"/>
      <c r="O3680" s="211" t="b">
        <f>IFERROR(__xludf.DUMMYFUNCTION("""COMPUTED_VALUE"""),FALSE)</f>
        <v>0</v>
      </c>
    </row>
    <row r="3681">
      <c r="A3681" s="210" t="str">
        <f>IFERROR(__xludf.DUMMYFUNCTION("""COMPUTED_VALUE"""),"022652552")</f>
        <v>022652552</v>
      </c>
      <c r="B3681" s="210" t="str">
        <f>IFERROR(__xludf.DUMMYFUNCTION("""COMPUTED_VALUE"""),"022652552")</f>
        <v>022652552</v>
      </c>
      <c r="C3681" s="213">
        <f>IFERROR(__xludf.DUMMYFUNCTION("""COMPUTED_VALUE"""),46066.56592592593)</f>
        <v>46066.56593</v>
      </c>
      <c r="D3681" s="211" t="str">
        <f>IFERROR(__xludf.DUMMYFUNCTION("""COMPUTED_VALUE"""),"1c4d5e93")</f>
        <v>1c4d5e93</v>
      </c>
      <c r="E3681" s="211" t="str">
        <f>IFERROR(__xludf.DUMMYFUNCTION("""COMPUTED_VALUE"""),"Karoseri Cipta Mitra Sukses")</f>
        <v>Karoseri Cipta Mitra Sukses</v>
      </c>
      <c r="F3681" s="211" t="str">
        <f>IFERROR(__xludf.DUMMYFUNCTION("""COMPUTED_VALUE"""),"ef306e54")</f>
        <v>ef306e54</v>
      </c>
      <c r="G3681" s="211" t="str">
        <f>IFERROR(__xludf.DUMMYFUNCTION("""COMPUTED_VALUE"""),"Karbondioksida")</f>
        <v>Karbondioksida</v>
      </c>
      <c r="H3681" s="211" t="str">
        <f>IFERROR(__xludf.DUMMYFUNCTION("""COMPUTED_VALUE"""),"OUT")</f>
        <v>OUT</v>
      </c>
      <c r="I3681" s="211" t="str">
        <f>IFERROR(__xludf.DUMMYFUNCTION("""COMPUTED_VALUE"""),"NORMAL")</f>
        <v>NORMAL</v>
      </c>
      <c r="J3681" s="211">
        <f>IFERROR(__xludf.DUMMYFUNCTION("""COMPUTED_VALUE"""),2.0)</f>
        <v>2</v>
      </c>
      <c r="K3681" s="210" t="str">
        <f>IFERROR(__xludf.DUMMYFUNCTION("""COMPUTED_VALUE"""),"13027 13041")</f>
        <v>13027 13041</v>
      </c>
      <c r="L3681" s="211">
        <f>IFERROR(__xludf.DUMMYFUNCTION("""COMPUTED_VALUE"""),190000.0)</f>
        <v>190000</v>
      </c>
      <c r="M3681" s="211"/>
      <c r="N3681" s="211"/>
      <c r="O3681" s="211" t="b">
        <f>IFERROR(__xludf.DUMMYFUNCTION("""COMPUTED_VALUE"""),FALSE)</f>
        <v>0</v>
      </c>
    </row>
    <row r="3682">
      <c r="A3682" s="210" t="str">
        <f>IFERROR(__xludf.DUMMYFUNCTION("""COMPUTED_VALUE"""),"1261248")</f>
        <v>1261248</v>
      </c>
      <c r="B3682" s="210" t="str">
        <f>IFERROR(__xludf.DUMMYFUNCTION("""COMPUTED_VALUE"""),"1261248")</f>
        <v>1261248</v>
      </c>
      <c r="C3682" s="213">
        <f>IFERROR(__xludf.DUMMYFUNCTION("""COMPUTED_VALUE"""),46066.586018518516)</f>
        <v>46066.58602</v>
      </c>
      <c r="D3682" s="211" t="str">
        <f>IFERROR(__xludf.DUMMYFUNCTION("""COMPUTED_VALUE"""),"eec2e801")</f>
        <v>eec2e801</v>
      </c>
      <c r="E3682" s="211" t="str">
        <f>IFERROR(__xludf.DUMMYFUNCTION("""COMPUTED_VALUE"""),"Mitra Wood Sejahtera")</f>
        <v>Mitra Wood Sejahtera</v>
      </c>
      <c r="F3682" s="211" t="str">
        <f>IFERROR(__xludf.DUMMYFUNCTION("""COMPUTED_VALUE"""),"8bdbe149")</f>
        <v>8bdbe149</v>
      </c>
      <c r="G3682" s="211" t="str">
        <f>IFERROR(__xludf.DUMMYFUNCTION("""COMPUTED_VALUE"""),"Oksigen 6m3")</f>
        <v>Oksigen 6m3</v>
      </c>
      <c r="H3682" s="211" t="str">
        <f>IFERROR(__xludf.DUMMYFUNCTION("""COMPUTED_VALUE"""),"IN")</f>
        <v>IN</v>
      </c>
      <c r="I3682" s="211" t="str">
        <f>IFERROR(__xludf.DUMMYFUNCTION("""COMPUTED_VALUE"""),"EMPTY")</f>
        <v>EMPTY</v>
      </c>
      <c r="J3682" s="211">
        <f>IFERROR(__xludf.DUMMYFUNCTION("""COMPUTED_VALUE"""),4.0)</f>
        <v>4</v>
      </c>
      <c r="K3682" s="210" t="str">
        <f>IFERROR(__xludf.DUMMYFUNCTION("""COMPUTED_VALUE"""),"1120 11274 11278 11127")</f>
        <v>1120 11274 11278 11127</v>
      </c>
      <c r="L3682" s="211">
        <f>IFERROR(__xludf.DUMMYFUNCTION("""COMPUTED_VALUE"""),0.0)</f>
        <v>0</v>
      </c>
      <c r="M3682" s="211"/>
      <c r="N3682" s="211"/>
      <c r="O3682" s="211" t="b">
        <f>IFERROR(__xludf.DUMMYFUNCTION("""COMPUTED_VALUE"""),FALSE)</f>
        <v>0</v>
      </c>
    </row>
    <row r="3683">
      <c r="A3683" s="210" t="str">
        <f>IFERROR(__xludf.DUMMYFUNCTION("""COMPUTED_VALUE"""),"1261248")</f>
        <v>1261248</v>
      </c>
      <c r="B3683" s="210" t="str">
        <f>IFERROR(__xludf.DUMMYFUNCTION("""COMPUTED_VALUE"""),"1261248")</f>
        <v>1261248</v>
      </c>
      <c r="C3683" s="213">
        <f>IFERROR(__xludf.DUMMYFUNCTION("""COMPUTED_VALUE"""),46066.586018518516)</f>
        <v>46066.58602</v>
      </c>
      <c r="D3683" s="211" t="str">
        <f>IFERROR(__xludf.DUMMYFUNCTION("""COMPUTED_VALUE"""),"eec2e801")</f>
        <v>eec2e801</v>
      </c>
      <c r="E3683" s="211" t="str">
        <f>IFERROR(__xludf.DUMMYFUNCTION("""COMPUTED_VALUE"""),"Mitra Wood Sejahtera")</f>
        <v>Mitra Wood Sejahtera</v>
      </c>
      <c r="F3683" s="211" t="str">
        <f>IFERROR(__xludf.DUMMYFUNCTION("""COMPUTED_VALUE"""),"8bdbe149")</f>
        <v>8bdbe149</v>
      </c>
      <c r="G3683" s="211" t="str">
        <f>IFERROR(__xludf.DUMMYFUNCTION("""COMPUTED_VALUE"""),"Oksigen 6m3")</f>
        <v>Oksigen 6m3</v>
      </c>
      <c r="H3683" s="211" t="str">
        <f>IFERROR(__xludf.DUMMYFUNCTION("""COMPUTED_VALUE"""),"IN")</f>
        <v>IN</v>
      </c>
      <c r="I3683" s="211" t="str">
        <f>IFERROR(__xludf.DUMMYFUNCTION("""COMPUTED_VALUE"""),"EMPTY")</f>
        <v>EMPTY</v>
      </c>
      <c r="J3683" s="211">
        <f>IFERROR(__xludf.DUMMYFUNCTION("""COMPUTED_VALUE"""),1.0)</f>
        <v>1</v>
      </c>
      <c r="K3683" s="210" t="str">
        <f>IFERROR(__xludf.DUMMYFUNCTION("""COMPUTED_VALUE"""),"11236")</f>
        <v>11236</v>
      </c>
      <c r="L3683" s="211">
        <f>IFERROR(__xludf.DUMMYFUNCTION("""COMPUTED_VALUE"""),0.0)</f>
        <v>0</v>
      </c>
      <c r="M3683" s="211"/>
      <c r="N3683" s="211"/>
      <c r="O3683" s="211" t="b">
        <f>IFERROR(__xludf.DUMMYFUNCTION("""COMPUTED_VALUE"""),TRUE)</f>
        <v>1</v>
      </c>
    </row>
    <row r="3684">
      <c r="A3684" s="210" t="str">
        <f>IFERROR(__xludf.DUMMYFUNCTION("""COMPUTED_VALUE"""),"1261247")</f>
        <v>1261247</v>
      </c>
      <c r="B3684" s="210" t="str">
        <f>IFERROR(__xludf.DUMMYFUNCTION("""COMPUTED_VALUE"""),"1261247")</f>
        <v>1261247</v>
      </c>
      <c r="C3684" s="213">
        <f>IFERROR(__xludf.DUMMYFUNCTION("""COMPUTED_VALUE"""),46066.58856481482)</f>
        <v>46066.58856</v>
      </c>
      <c r="D3684" s="211" t="str">
        <f>IFERROR(__xludf.DUMMYFUNCTION("""COMPUTED_VALUE"""),"5f23ba17")</f>
        <v>5f23ba17</v>
      </c>
      <c r="E3684" s="211" t="str">
        <f>IFERROR(__xludf.DUMMYFUNCTION("""COMPUTED_VALUE"""),"Bpk. Joko (Gresik)")</f>
        <v>Bpk. Joko (Gresik)</v>
      </c>
      <c r="F3684" s="211" t="str">
        <f>IFERROR(__xludf.DUMMYFUNCTION("""COMPUTED_VALUE"""),"ef306e54")</f>
        <v>ef306e54</v>
      </c>
      <c r="G3684" s="211" t="str">
        <f>IFERROR(__xludf.DUMMYFUNCTION("""COMPUTED_VALUE"""),"Karbondioksida")</f>
        <v>Karbondioksida</v>
      </c>
      <c r="H3684" s="211" t="str">
        <f>IFERROR(__xludf.DUMMYFUNCTION("""COMPUTED_VALUE"""),"IN")</f>
        <v>IN</v>
      </c>
      <c r="I3684" s="211" t="str">
        <f>IFERROR(__xludf.DUMMYFUNCTION("""COMPUTED_VALUE"""),"EMPTY")</f>
        <v>EMPTY</v>
      </c>
      <c r="J3684" s="211">
        <f>IFERROR(__xludf.DUMMYFUNCTION("""COMPUTED_VALUE"""),1.0)</f>
        <v>1</v>
      </c>
      <c r="K3684" s="210" t="str">
        <f>IFERROR(__xludf.DUMMYFUNCTION("""COMPUTED_VALUE"""),"13031")</f>
        <v>13031</v>
      </c>
      <c r="L3684" s="211">
        <f>IFERROR(__xludf.DUMMYFUNCTION("""COMPUTED_VALUE"""),0.0)</f>
        <v>0</v>
      </c>
      <c r="M3684" s="211"/>
      <c r="N3684" s="211"/>
      <c r="O3684" s="211" t="b">
        <f>IFERROR(__xludf.DUMMYFUNCTION("""COMPUTED_VALUE"""),FALSE)</f>
        <v>0</v>
      </c>
    </row>
    <row r="3685">
      <c r="A3685" s="210" t="str">
        <f>IFERROR(__xludf.DUMMYFUNCTION("""COMPUTED_VALUE"""),"1261247")</f>
        <v>1261247</v>
      </c>
      <c r="B3685" s="210" t="str">
        <f>IFERROR(__xludf.DUMMYFUNCTION("""COMPUTED_VALUE"""),"1261247")</f>
        <v>1261247</v>
      </c>
      <c r="C3685" s="213">
        <f>IFERROR(__xludf.DUMMYFUNCTION("""COMPUTED_VALUE"""),46066.58856481482)</f>
        <v>46066.58856</v>
      </c>
      <c r="D3685" s="211" t="str">
        <f>IFERROR(__xludf.DUMMYFUNCTION("""COMPUTED_VALUE"""),"5f23ba17")</f>
        <v>5f23ba17</v>
      </c>
      <c r="E3685" s="211" t="str">
        <f>IFERROR(__xludf.DUMMYFUNCTION("""COMPUTED_VALUE"""),"Bpk. Joko (Gresik)")</f>
        <v>Bpk. Joko (Gresik)</v>
      </c>
      <c r="F3685" s="211" t="str">
        <f>IFERROR(__xludf.DUMMYFUNCTION("""COMPUTED_VALUE"""),"439cf836")</f>
        <v>439cf836</v>
      </c>
      <c r="G3685" s="211" t="str">
        <f>IFERROR(__xludf.DUMMYFUNCTION("""COMPUTED_VALUE"""),"Karbondioksida MR")</f>
        <v>Karbondioksida MR</v>
      </c>
      <c r="H3685" s="211" t="str">
        <f>IFERROR(__xludf.DUMMYFUNCTION("""COMPUTED_VALUE"""),"IN")</f>
        <v>IN</v>
      </c>
      <c r="I3685" s="211" t="str">
        <f>IFERROR(__xludf.DUMMYFUNCTION("""COMPUTED_VALUE"""),"EMPTY")</f>
        <v>EMPTY</v>
      </c>
      <c r="J3685" s="211">
        <f>IFERROR(__xludf.DUMMYFUNCTION("""COMPUTED_VALUE"""),1.0)</f>
        <v>1</v>
      </c>
      <c r="K3685" s="211"/>
      <c r="L3685" s="211">
        <f>IFERROR(__xludf.DUMMYFUNCTION("""COMPUTED_VALUE"""),0.0)</f>
        <v>0</v>
      </c>
      <c r="M3685" s="211"/>
      <c r="N3685" s="211"/>
      <c r="O3685" s="211" t="b">
        <f>IFERROR(__xludf.DUMMYFUNCTION("""COMPUTED_VALUE"""),FALSE)</f>
        <v>0</v>
      </c>
    </row>
    <row r="3686">
      <c r="A3686" s="210" t="str">
        <f>IFERROR(__xludf.DUMMYFUNCTION("""COMPUTED_VALUE"""),"1261247")</f>
        <v>1261247</v>
      </c>
      <c r="B3686" s="210" t="str">
        <f>IFERROR(__xludf.DUMMYFUNCTION("""COMPUTED_VALUE"""),"1261247")</f>
        <v>1261247</v>
      </c>
      <c r="C3686" s="213">
        <f>IFERROR(__xludf.DUMMYFUNCTION("""COMPUTED_VALUE"""),46066.58856481482)</f>
        <v>46066.58856</v>
      </c>
      <c r="D3686" s="211" t="str">
        <f>IFERROR(__xludf.DUMMYFUNCTION("""COMPUTED_VALUE"""),"5f23ba17")</f>
        <v>5f23ba17</v>
      </c>
      <c r="E3686" s="211" t="str">
        <f>IFERROR(__xludf.DUMMYFUNCTION("""COMPUTED_VALUE"""),"Bpk. Joko (Gresik)")</f>
        <v>Bpk. Joko (Gresik)</v>
      </c>
      <c r="F3686" s="211" t="str">
        <f>IFERROR(__xludf.DUMMYFUNCTION("""COMPUTED_VALUE"""),"f6aab7a9")</f>
        <v>f6aab7a9</v>
      </c>
      <c r="G3686" s="211" t="str">
        <f>IFERROR(__xludf.DUMMYFUNCTION("""COMPUTED_VALUE"""),"Oksigen 6m3 MR")</f>
        <v>Oksigen 6m3 MR</v>
      </c>
      <c r="H3686" s="211" t="str">
        <f>IFERROR(__xludf.DUMMYFUNCTION("""COMPUTED_VALUE"""),"IN")</f>
        <v>IN</v>
      </c>
      <c r="I3686" s="211" t="str">
        <f>IFERROR(__xludf.DUMMYFUNCTION("""COMPUTED_VALUE"""),"EMPTY")</f>
        <v>EMPTY</v>
      </c>
      <c r="J3686" s="211">
        <f>IFERROR(__xludf.DUMMYFUNCTION("""COMPUTED_VALUE"""),15.0)</f>
        <v>15</v>
      </c>
      <c r="K3686" s="211"/>
      <c r="L3686" s="211">
        <f>IFERROR(__xludf.DUMMYFUNCTION("""COMPUTED_VALUE"""),0.0)</f>
        <v>0</v>
      </c>
      <c r="M3686" s="211"/>
      <c r="N3686" s="211"/>
      <c r="O3686" s="211" t="b">
        <f>IFERROR(__xludf.DUMMYFUNCTION("""COMPUTED_VALUE"""),FALSE)</f>
        <v>0</v>
      </c>
    </row>
    <row r="3687">
      <c r="A3687" s="210" t="str">
        <f>IFERROR(__xludf.DUMMYFUNCTION("""COMPUTED_VALUE"""),"1261247")</f>
        <v>1261247</v>
      </c>
      <c r="B3687" s="210" t="str">
        <f>IFERROR(__xludf.DUMMYFUNCTION("""COMPUTED_VALUE"""),"1261247")</f>
        <v>1261247</v>
      </c>
      <c r="C3687" s="213">
        <f>IFERROR(__xludf.DUMMYFUNCTION("""COMPUTED_VALUE"""),46066.58856481482)</f>
        <v>46066.58856</v>
      </c>
      <c r="D3687" s="211" t="str">
        <f>IFERROR(__xludf.DUMMYFUNCTION("""COMPUTED_VALUE"""),"5f23ba17")</f>
        <v>5f23ba17</v>
      </c>
      <c r="E3687" s="211" t="str">
        <f>IFERROR(__xludf.DUMMYFUNCTION("""COMPUTED_VALUE"""),"Bpk. Joko (Gresik)")</f>
        <v>Bpk. Joko (Gresik)</v>
      </c>
      <c r="F3687" s="211" t="str">
        <f>IFERROR(__xludf.DUMMYFUNCTION("""COMPUTED_VALUE"""),"be525f3b")</f>
        <v>be525f3b</v>
      </c>
      <c r="G3687" s="211" t="str">
        <f>IFERROR(__xludf.DUMMYFUNCTION("""COMPUTED_VALUE"""),"LPG 12kg")</f>
        <v>LPG 12kg</v>
      </c>
      <c r="H3687" s="211" t="str">
        <f>IFERROR(__xludf.DUMMYFUNCTION("""COMPUTED_VALUE"""),"IN")</f>
        <v>IN</v>
      </c>
      <c r="I3687" s="211" t="str">
        <f>IFERROR(__xludf.DUMMYFUNCTION("""COMPUTED_VALUE"""),"EMPTY")</f>
        <v>EMPTY</v>
      </c>
      <c r="J3687" s="211">
        <f>IFERROR(__xludf.DUMMYFUNCTION("""COMPUTED_VALUE"""),3.0)</f>
        <v>3</v>
      </c>
      <c r="K3687" s="210" t="str">
        <f>IFERROR(__xludf.DUMMYFUNCTION("""COMPUTED_VALUE"""),"L0010 L009 L0011")</f>
        <v>L0010 L009 L0011</v>
      </c>
      <c r="L3687" s="211">
        <f>IFERROR(__xludf.DUMMYFUNCTION("""COMPUTED_VALUE"""),0.0)</f>
        <v>0</v>
      </c>
      <c r="M3687" s="211"/>
      <c r="N3687" s="211"/>
      <c r="O3687" s="211" t="b">
        <f>IFERROR(__xludf.DUMMYFUNCTION("""COMPUTED_VALUE"""),FALSE)</f>
        <v>0</v>
      </c>
    </row>
    <row r="3688">
      <c r="A3688" s="210" t="str">
        <f>IFERROR(__xludf.DUMMYFUNCTION("""COMPUTED_VALUE"""),"1261249")</f>
        <v>1261249</v>
      </c>
      <c r="B3688" s="210" t="str">
        <f>IFERROR(__xludf.DUMMYFUNCTION("""COMPUTED_VALUE"""),"1261249")</f>
        <v>1261249</v>
      </c>
      <c r="C3688" s="213">
        <f>IFERROR(__xludf.DUMMYFUNCTION("""COMPUTED_VALUE"""),46066.59055555556)</f>
        <v>46066.59056</v>
      </c>
      <c r="D3688" s="211" t="str">
        <f>IFERROR(__xludf.DUMMYFUNCTION("""COMPUTED_VALUE"""),"785e0e07")</f>
        <v>785e0e07</v>
      </c>
      <c r="E3688" s="211" t="str">
        <f>IFERROR(__xludf.DUMMYFUNCTION("""COMPUTED_VALUE"""),"Bpk. Sukirno (Bejo)")</f>
        <v>Bpk. Sukirno (Bejo)</v>
      </c>
      <c r="F3688" s="211" t="str">
        <f>IFERROR(__xludf.DUMMYFUNCTION("""COMPUTED_VALUE"""),"8bdbe149")</f>
        <v>8bdbe149</v>
      </c>
      <c r="G3688" s="211" t="str">
        <f>IFERROR(__xludf.DUMMYFUNCTION("""COMPUTED_VALUE"""),"Oksigen 6m3")</f>
        <v>Oksigen 6m3</v>
      </c>
      <c r="H3688" s="211" t="str">
        <f>IFERROR(__xludf.DUMMYFUNCTION("""COMPUTED_VALUE"""),"IN")</f>
        <v>IN</v>
      </c>
      <c r="I3688" s="211" t="str">
        <f>IFERROR(__xludf.DUMMYFUNCTION("""COMPUTED_VALUE"""),"EMPTY")</f>
        <v>EMPTY</v>
      </c>
      <c r="J3688" s="211">
        <f>IFERROR(__xludf.DUMMYFUNCTION("""COMPUTED_VALUE"""),1.0)</f>
        <v>1</v>
      </c>
      <c r="K3688" s="210" t="str">
        <f>IFERROR(__xludf.DUMMYFUNCTION("""COMPUTED_VALUE"""),"1142")</f>
        <v>1142</v>
      </c>
      <c r="L3688" s="211">
        <f>IFERROR(__xludf.DUMMYFUNCTION("""COMPUTED_VALUE"""),0.0)</f>
        <v>0</v>
      </c>
      <c r="M3688" s="211"/>
      <c r="N3688" s="211"/>
      <c r="O3688" s="211" t="b">
        <f>IFERROR(__xludf.DUMMYFUNCTION("""COMPUTED_VALUE"""),FALSE)</f>
        <v>0</v>
      </c>
    </row>
    <row r="3689">
      <c r="A3689" s="210" t="str">
        <f>IFERROR(__xludf.DUMMYFUNCTION("""COMPUTED_VALUE"""),"1261249")</f>
        <v>1261249</v>
      </c>
      <c r="B3689" s="210" t="str">
        <f>IFERROR(__xludf.DUMMYFUNCTION("""COMPUTED_VALUE"""),"1261249")</f>
        <v>1261249</v>
      </c>
      <c r="C3689" s="213">
        <f>IFERROR(__xludf.DUMMYFUNCTION("""COMPUTED_VALUE"""),46066.59055555556)</f>
        <v>46066.59056</v>
      </c>
      <c r="D3689" s="211" t="str">
        <f>IFERROR(__xludf.DUMMYFUNCTION("""COMPUTED_VALUE"""),"785e0e07")</f>
        <v>785e0e07</v>
      </c>
      <c r="E3689" s="211" t="str">
        <f>IFERROR(__xludf.DUMMYFUNCTION("""COMPUTED_VALUE"""),"Bpk. Sukirno (Bejo)")</f>
        <v>Bpk. Sukirno (Bejo)</v>
      </c>
      <c r="F3689" s="211" t="str">
        <f>IFERROR(__xludf.DUMMYFUNCTION("""COMPUTED_VALUE"""),"7d2764f1")</f>
        <v>7d2764f1</v>
      </c>
      <c r="G3689" s="211" t="str">
        <f>IFERROR(__xludf.DUMMYFUNCTION("""COMPUTED_VALUE"""),"Oksigen 7m3")</f>
        <v>Oksigen 7m3</v>
      </c>
      <c r="H3689" s="211" t="str">
        <f>IFERROR(__xludf.DUMMYFUNCTION("""COMPUTED_VALUE"""),"IN")</f>
        <v>IN</v>
      </c>
      <c r="I3689" s="211" t="str">
        <f>IFERROR(__xludf.DUMMYFUNCTION("""COMPUTED_VALUE"""),"EMPTY")</f>
        <v>EMPTY</v>
      </c>
      <c r="J3689" s="211">
        <f>IFERROR(__xludf.DUMMYFUNCTION("""COMPUTED_VALUE"""),1.0)</f>
        <v>1</v>
      </c>
      <c r="K3689" s="210" t="str">
        <f>IFERROR(__xludf.DUMMYFUNCTION("""COMPUTED_VALUE"""),"11223")</f>
        <v>11223</v>
      </c>
      <c r="L3689" s="211">
        <f>IFERROR(__xludf.DUMMYFUNCTION("""COMPUTED_VALUE"""),0.0)</f>
        <v>0</v>
      </c>
      <c r="M3689" s="211"/>
      <c r="N3689" s="211"/>
      <c r="O3689" s="211" t="b">
        <f>IFERROR(__xludf.DUMMYFUNCTION("""COMPUTED_VALUE"""),FALSE)</f>
        <v>0</v>
      </c>
    </row>
    <row r="3690">
      <c r="A3690" s="210" t="str">
        <f>IFERROR(__xludf.DUMMYFUNCTION("""COMPUTED_VALUE"""),"1261232")</f>
        <v>1261232</v>
      </c>
      <c r="B3690" s="210" t="str">
        <f>IFERROR(__xludf.DUMMYFUNCTION("""COMPUTED_VALUE"""),"1261232")</f>
        <v>1261232</v>
      </c>
      <c r="C3690" s="213">
        <f>IFERROR(__xludf.DUMMYFUNCTION("""COMPUTED_VALUE"""),46066.592511574076)</f>
        <v>46066.59251</v>
      </c>
      <c r="D3690" s="211" t="str">
        <f>IFERROR(__xludf.DUMMYFUNCTION("""COMPUTED_VALUE"""),"f8a982a4")</f>
        <v>f8a982a4</v>
      </c>
      <c r="E3690" s="211" t="str">
        <f>IFERROR(__xludf.DUMMYFUNCTION("""COMPUTED_VALUE"""),"Bpk. Nasir")</f>
        <v>Bpk. Nasir</v>
      </c>
      <c r="F3690" s="211" t="str">
        <f>IFERROR(__xludf.DUMMYFUNCTION("""COMPUTED_VALUE"""),"7d2764f1")</f>
        <v>7d2764f1</v>
      </c>
      <c r="G3690" s="211" t="str">
        <f>IFERROR(__xludf.DUMMYFUNCTION("""COMPUTED_VALUE"""),"Oksigen 7m3")</f>
        <v>Oksigen 7m3</v>
      </c>
      <c r="H3690" s="211" t="str">
        <f>IFERROR(__xludf.DUMMYFUNCTION("""COMPUTED_VALUE"""),"IN")</f>
        <v>IN</v>
      </c>
      <c r="I3690" s="211" t="str">
        <f>IFERROR(__xludf.DUMMYFUNCTION("""COMPUTED_VALUE"""),"EMPTY")</f>
        <v>EMPTY</v>
      </c>
      <c r="J3690" s="211">
        <f>IFERROR(__xludf.DUMMYFUNCTION("""COMPUTED_VALUE"""),1.0)</f>
        <v>1</v>
      </c>
      <c r="K3690" s="210" t="str">
        <f>IFERROR(__xludf.DUMMYFUNCTION("""COMPUTED_VALUE"""),"11305")</f>
        <v>11305</v>
      </c>
      <c r="L3690" s="211">
        <f>IFERROR(__xludf.DUMMYFUNCTION("""COMPUTED_VALUE"""),0.0)</f>
        <v>0</v>
      </c>
      <c r="M3690" s="211"/>
      <c r="N3690" s="211"/>
      <c r="O3690" s="211" t="b">
        <f>IFERROR(__xludf.DUMMYFUNCTION("""COMPUTED_VALUE"""),FALSE)</f>
        <v>0</v>
      </c>
    </row>
    <row r="3691">
      <c r="A3691" s="210" t="str">
        <f>IFERROR(__xludf.DUMMYFUNCTION("""COMPUTED_VALUE"""),"1261210")</f>
        <v>1261210</v>
      </c>
      <c r="B3691" s="210" t="str">
        <f>IFERROR(__xludf.DUMMYFUNCTION("""COMPUTED_VALUE"""),"1261210")</f>
        <v>1261210</v>
      </c>
      <c r="C3691" s="213">
        <f>IFERROR(__xludf.DUMMYFUNCTION("""COMPUTED_VALUE"""),46066.593043981484)</f>
        <v>46066.59304</v>
      </c>
      <c r="D3691" s="211" t="str">
        <f>IFERROR(__xludf.DUMMYFUNCTION("""COMPUTED_VALUE"""),"2d88931c")</f>
        <v>2d88931c</v>
      </c>
      <c r="E3691" s="211" t="str">
        <f>IFERROR(__xludf.DUMMYFUNCTION("""COMPUTED_VALUE"""),"PT Dunia Berkat Marga Mulya")</f>
        <v>PT Dunia Berkat Marga Mulya</v>
      </c>
      <c r="F3691" s="211" t="str">
        <f>IFERROR(__xludf.DUMMYFUNCTION("""COMPUTED_VALUE"""),"8bdbe149")</f>
        <v>8bdbe149</v>
      </c>
      <c r="G3691" s="211" t="str">
        <f>IFERROR(__xludf.DUMMYFUNCTION("""COMPUTED_VALUE"""),"Oksigen 6m3")</f>
        <v>Oksigen 6m3</v>
      </c>
      <c r="H3691" s="211" t="str">
        <f>IFERROR(__xludf.DUMMYFUNCTION("""COMPUTED_VALUE"""),"IN")</f>
        <v>IN</v>
      </c>
      <c r="I3691" s="211" t="str">
        <f>IFERROR(__xludf.DUMMYFUNCTION("""COMPUTED_VALUE"""),"EMPTY")</f>
        <v>EMPTY</v>
      </c>
      <c r="J3691" s="211">
        <f>IFERROR(__xludf.DUMMYFUNCTION("""COMPUTED_VALUE"""),3.0)</f>
        <v>3</v>
      </c>
      <c r="K3691" s="210" t="str">
        <f>IFERROR(__xludf.DUMMYFUNCTION("""COMPUTED_VALUE"""),"1168 1136 1199")</f>
        <v>1168 1136 1199</v>
      </c>
      <c r="L3691" s="211">
        <f>IFERROR(__xludf.DUMMYFUNCTION("""COMPUTED_VALUE"""),0.0)</f>
        <v>0</v>
      </c>
      <c r="M3691" s="211"/>
      <c r="N3691" s="211"/>
      <c r="O3691" s="211" t="b">
        <f>IFERROR(__xludf.DUMMYFUNCTION("""COMPUTED_VALUE"""),FALSE)</f>
        <v>0</v>
      </c>
    </row>
    <row r="3692">
      <c r="A3692" s="210" t="str">
        <f>IFERROR(__xludf.DUMMYFUNCTION("""COMPUTED_VALUE"""),"1261209")</f>
        <v>1261209</v>
      </c>
      <c r="B3692" s="210" t="str">
        <f>IFERROR(__xludf.DUMMYFUNCTION("""COMPUTED_VALUE"""),"1261209")</f>
        <v>1261209</v>
      </c>
      <c r="C3692" s="213">
        <f>IFERROR(__xludf.DUMMYFUNCTION("""COMPUTED_VALUE"""),46066.59354166667)</f>
        <v>46066.59354</v>
      </c>
      <c r="D3692" s="211" t="str">
        <f>IFERROR(__xludf.DUMMYFUNCTION("""COMPUTED_VALUE"""),"4ec68cf6")</f>
        <v>4ec68cf6</v>
      </c>
      <c r="E3692" s="211" t="str">
        <f>IFERROR(__xludf.DUMMYFUNCTION("""COMPUTED_VALUE"""),"CV Sido Mukti Karya")</f>
        <v>CV Sido Mukti Karya</v>
      </c>
      <c r="F3692" s="211" t="str">
        <f>IFERROR(__xludf.DUMMYFUNCTION("""COMPUTED_VALUE"""),"7d2764f1")</f>
        <v>7d2764f1</v>
      </c>
      <c r="G3692" s="211" t="str">
        <f>IFERROR(__xludf.DUMMYFUNCTION("""COMPUTED_VALUE"""),"Oksigen 7m3")</f>
        <v>Oksigen 7m3</v>
      </c>
      <c r="H3692" s="211" t="str">
        <f>IFERROR(__xludf.DUMMYFUNCTION("""COMPUTED_VALUE"""),"IN")</f>
        <v>IN</v>
      </c>
      <c r="I3692" s="211" t="str">
        <f>IFERROR(__xludf.DUMMYFUNCTION("""COMPUTED_VALUE"""),"EMPTY")</f>
        <v>EMPTY</v>
      </c>
      <c r="J3692" s="211">
        <f>IFERROR(__xludf.DUMMYFUNCTION("""COMPUTED_VALUE"""),2.0)</f>
        <v>2</v>
      </c>
      <c r="K3692" s="210" t="str">
        <f>IFERROR(__xludf.DUMMYFUNCTION("""COMPUTED_VALUE"""),"11178 741")</f>
        <v>11178 741</v>
      </c>
      <c r="L3692" s="211">
        <f>IFERROR(__xludf.DUMMYFUNCTION("""COMPUTED_VALUE"""),0.0)</f>
        <v>0</v>
      </c>
      <c r="M3692" s="211"/>
      <c r="N3692" s="211"/>
      <c r="O3692" s="211" t="b">
        <f>IFERROR(__xludf.DUMMYFUNCTION("""COMPUTED_VALUE"""),FALSE)</f>
        <v>0</v>
      </c>
    </row>
    <row r="3693">
      <c r="A3693" s="210" t="str">
        <f>IFERROR(__xludf.DUMMYFUNCTION("""COMPUTED_VALUE"""),"1261209")</f>
        <v>1261209</v>
      </c>
      <c r="B3693" s="210" t="str">
        <f>IFERROR(__xludf.DUMMYFUNCTION("""COMPUTED_VALUE"""),"1261209")</f>
        <v>1261209</v>
      </c>
      <c r="C3693" s="213">
        <f>IFERROR(__xludf.DUMMYFUNCTION("""COMPUTED_VALUE"""),46066.59354166667)</f>
        <v>46066.59354</v>
      </c>
      <c r="D3693" s="211" t="str">
        <f>IFERROR(__xludf.DUMMYFUNCTION("""COMPUTED_VALUE"""),"4ec68cf6")</f>
        <v>4ec68cf6</v>
      </c>
      <c r="E3693" s="211" t="str">
        <f>IFERROR(__xludf.DUMMYFUNCTION("""COMPUTED_VALUE"""),"CV Sido Mukti Karya")</f>
        <v>CV Sido Mukti Karya</v>
      </c>
      <c r="F3693" s="211" t="str">
        <f>IFERROR(__xludf.DUMMYFUNCTION("""COMPUTED_VALUE"""),"ef306e54")</f>
        <v>ef306e54</v>
      </c>
      <c r="G3693" s="211" t="str">
        <f>IFERROR(__xludf.DUMMYFUNCTION("""COMPUTED_VALUE"""),"Karbondioksida")</f>
        <v>Karbondioksida</v>
      </c>
      <c r="H3693" s="211" t="str">
        <f>IFERROR(__xludf.DUMMYFUNCTION("""COMPUTED_VALUE"""),"IN")</f>
        <v>IN</v>
      </c>
      <c r="I3693" s="211" t="str">
        <f>IFERROR(__xludf.DUMMYFUNCTION("""COMPUTED_VALUE"""),"EMPTY")</f>
        <v>EMPTY</v>
      </c>
      <c r="J3693" s="211">
        <f>IFERROR(__xludf.DUMMYFUNCTION("""COMPUTED_VALUE"""),3.0)</f>
        <v>3</v>
      </c>
      <c r="K3693" s="210" t="str">
        <f>IFERROR(__xludf.DUMMYFUNCTION("""COMPUTED_VALUE"""),"13029 13030 13057")</f>
        <v>13029 13030 13057</v>
      </c>
      <c r="L3693" s="211">
        <f>IFERROR(__xludf.DUMMYFUNCTION("""COMPUTED_VALUE"""),0.0)</f>
        <v>0</v>
      </c>
      <c r="M3693" s="211"/>
      <c r="N3693" s="211"/>
      <c r="O3693" s="211" t="b">
        <f>IFERROR(__xludf.DUMMYFUNCTION("""COMPUTED_VALUE"""),FALSE)</f>
        <v>0</v>
      </c>
    </row>
    <row r="3694">
      <c r="A3694" s="210" t="str">
        <f>IFERROR(__xludf.DUMMYFUNCTION("""COMPUTED_VALUE"""),"1261209")</f>
        <v>1261209</v>
      </c>
      <c r="B3694" s="210" t="str">
        <f>IFERROR(__xludf.DUMMYFUNCTION("""COMPUTED_VALUE"""),"1261209")</f>
        <v>1261209</v>
      </c>
      <c r="C3694" s="213">
        <f>IFERROR(__xludf.DUMMYFUNCTION("""COMPUTED_VALUE"""),46066.59354166667)</f>
        <v>46066.59354</v>
      </c>
      <c r="D3694" s="211" t="str">
        <f>IFERROR(__xludf.DUMMYFUNCTION("""COMPUTED_VALUE"""),"4ec68cf6")</f>
        <v>4ec68cf6</v>
      </c>
      <c r="E3694" s="211" t="str">
        <f>IFERROR(__xludf.DUMMYFUNCTION("""COMPUTED_VALUE"""),"CV Sido Mukti Karya")</f>
        <v>CV Sido Mukti Karya</v>
      </c>
      <c r="F3694" s="211" t="str">
        <f>IFERROR(__xludf.DUMMYFUNCTION("""COMPUTED_VALUE"""),"8bdbe149")</f>
        <v>8bdbe149</v>
      </c>
      <c r="G3694" s="211" t="str">
        <f>IFERROR(__xludf.DUMMYFUNCTION("""COMPUTED_VALUE"""),"Oksigen 6m3")</f>
        <v>Oksigen 6m3</v>
      </c>
      <c r="H3694" s="211" t="str">
        <f>IFERROR(__xludf.DUMMYFUNCTION("""COMPUTED_VALUE"""),"IN")</f>
        <v>IN</v>
      </c>
      <c r="I3694" s="211" t="str">
        <f>IFERROR(__xludf.DUMMYFUNCTION("""COMPUTED_VALUE"""),"EMPTY")</f>
        <v>EMPTY</v>
      </c>
      <c r="J3694" s="211">
        <f>IFERROR(__xludf.DUMMYFUNCTION("""COMPUTED_VALUE"""),1.0)</f>
        <v>1</v>
      </c>
      <c r="K3694" s="210" t="str">
        <f>IFERROR(__xludf.DUMMYFUNCTION("""COMPUTED_VALUE"""),"1207")</f>
        <v>1207</v>
      </c>
      <c r="L3694" s="211">
        <f>IFERROR(__xludf.DUMMYFUNCTION("""COMPUTED_VALUE"""),0.0)</f>
        <v>0</v>
      </c>
      <c r="M3694" s="211"/>
      <c r="N3694" s="211"/>
      <c r="O3694" s="211" t="b">
        <f>IFERROR(__xludf.DUMMYFUNCTION("""COMPUTED_VALUE"""),FALSE)</f>
        <v>0</v>
      </c>
    </row>
    <row r="3695">
      <c r="A3695" s="210" t="str">
        <f>IFERROR(__xludf.DUMMYFUNCTION("""COMPUTED_VALUE"""),"1261248")</f>
        <v>1261248</v>
      </c>
      <c r="B3695" s="210" t="str">
        <f>IFERROR(__xludf.DUMMYFUNCTION("""COMPUTED_VALUE"""),"1261248")</f>
        <v>1261248</v>
      </c>
      <c r="C3695" s="213">
        <f>IFERROR(__xludf.DUMMYFUNCTION("""COMPUTED_VALUE"""),46066.586018518516)</f>
        <v>46066.58602</v>
      </c>
      <c r="D3695" s="211" t="str">
        <f>IFERROR(__xludf.DUMMYFUNCTION("""COMPUTED_VALUE"""),"eec2e801")</f>
        <v>eec2e801</v>
      </c>
      <c r="E3695" s="211" t="str">
        <f>IFERROR(__xludf.DUMMYFUNCTION("""COMPUTED_VALUE"""),"Mitra Wood Sejahtera")</f>
        <v>Mitra Wood Sejahtera</v>
      </c>
      <c r="F3695" s="211" t="str">
        <f>IFERROR(__xludf.DUMMYFUNCTION("""COMPUTED_VALUE"""),"be525f3b")</f>
        <v>be525f3b</v>
      </c>
      <c r="G3695" s="211" t="str">
        <f>IFERROR(__xludf.DUMMYFUNCTION("""COMPUTED_VALUE"""),"LPG 12kg")</f>
        <v>LPG 12kg</v>
      </c>
      <c r="H3695" s="211" t="str">
        <f>IFERROR(__xludf.DUMMYFUNCTION("""COMPUTED_VALUE"""),"IN")</f>
        <v>IN</v>
      </c>
      <c r="I3695" s="211" t="str">
        <f>IFERROR(__xludf.DUMMYFUNCTION("""COMPUTED_VALUE"""),"EMPTY")</f>
        <v>EMPTY</v>
      </c>
      <c r="J3695" s="211">
        <f>IFERROR(__xludf.DUMMYFUNCTION("""COMPUTED_VALUE"""),1.0)</f>
        <v>1</v>
      </c>
      <c r="K3695" s="211"/>
      <c r="L3695" s="211">
        <f>IFERROR(__xludf.DUMMYFUNCTION("""COMPUTED_VALUE"""),0.0)</f>
        <v>0</v>
      </c>
      <c r="M3695" s="211"/>
      <c r="N3695" s="211"/>
      <c r="O3695" s="211" t="b">
        <f>IFERROR(__xludf.DUMMYFUNCTION("""COMPUTED_VALUE"""),FALSE)</f>
        <v>0</v>
      </c>
    </row>
    <row r="3696">
      <c r="A3696" s="210" t="str">
        <f>IFERROR(__xludf.DUMMYFUNCTION("""COMPUTED_VALUE"""),"0226192553")</f>
        <v>0226192553</v>
      </c>
      <c r="B3696" s="210" t="str">
        <f>IFERROR(__xludf.DUMMYFUNCTION("""COMPUTED_VALUE"""),"0226192553")</f>
        <v>0226192553</v>
      </c>
      <c r="C3696" s="213">
        <f>IFERROR(__xludf.DUMMYFUNCTION("""COMPUTED_VALUE"""),46066.619375)</f>
        <v>46066.61938</v>
      </c>
      <c r="D3696" s="211" t="str">
        <f>IFERROR(__xludf.DUMMYFUNCTION("""COMPUTED_VALUE"""),"b218b89b")</f>
        <v>b218b89b</v>
      </c>
      <c r="E3696" s="211" t="str">
        <f>IFERROR(__xludf.DUMMYFUNCTION("""COMPUTED_VALUE"""),"PT Harapan Sentosa")</f>
        <v>PT Harapan Sentosa</v>
      </c>
      <c r="F3696" s="211" t="str">
        <f>IFERROR(__xludf.DUMMYFUNCTION("""COMPUTED_VALUE"""),"8bdbe149")</f>
        <v>8bdbe149</v>
      </c>
      <c r="G3696" s="211" t="str">
        <f>IFERROR(__xludf.DUMMYFUNCTION("""COMPUTED_VALUE"""),"Oksigen 6m3")</f>
        <v>Oksigen 6m3</v>
      </c>
      <c r="H3696" s="211" t="str">
        <f>IFERROR(__xludf.DUMMYFUNCTION("""COMPUTED_VALUE"""),"OUT")</f>
        <v>OUT</v>
      </c>
      <c r="I3696" s="211" t="str">
        <f>IFERROR(__xludf.DUMMYFUNCTION("""COMPUTED_VALUE"""),"NORMAL")</f>
        <v>NORMAL</v>
      </c>
      <c r="J3696" s="211">
        <f>IFERROR(__xludf.DUMMYFUNCTION("""COMPUTED_VALUE"""),10.0)</f>
        <v>10</v>
      </c>
      <c r="K3696" s="210" t="str">
        <f>IFERROR(__xludf.DUMMYFUNCTION("""COMPUTED_VALUE"""),"11209 11229 11271 1150 11241 1101 1181 1155 11183 1138")</f>
        <v>11209 11229 11271 1150 11241 1101 1181 1155 11183 1138</v>
      </c>
      <c r="L3696" s="211">
        <f>IFERROR(__xludf.DUMMYFUNCTION("""COMPUTED_VALUE"""),60000.0)</f>
        <v>60000</v>
      </c>
      <c r="M3696" s="211"/>
      <c r="N3696" s="211"/>
      <c r="O3696" s="211" t="b">
        <f>IFERROR(__xludf.DUMMYFUNCTION("""COMPUTED_VALUE"""),FALSE)</f>
        <v>0</v>
      </c>
    </row>
    <row r="3697">
      <c r="A3697" s="210" t="str">
        <f>IFERROR(__xludf.DUMMYFUNCTION("""COMPUTED_VALUE"""),"0226192553")</f>
        <v>0226192553</v>
      </c>
      <c r="B3697" s="210" t="str">
        <f>IFERROR(__xludf.DUMMYFUNCTION("""COMPUTED_VALUE"""),"0226192553")</f>
        <v>0226192553</v>
      </c>
      <c r="C3697" s="213">
        <f>IFERROR(__xludf.DUMMYFUNCTION("""COMPUTED_VALUE"""),46066.619375)</f>
        <v>46066.61938</v>
      </c>
      <c r="D3697" s="211" t="str">
        <f>IFERROR(__xludf.DUMMYFUNCTION("""COMPUTED_VALUE"""),"b218b89b")</f>
        <v>b218b89b</v>
      </c>
      <c r="E3697" s="211" t="str">
        <f>IFERROR(__xludf.DUMMYFUNCTION("""COMPUTED_VALUE"""),"PT Harapan Sentosa")</f>
        <v>PT Harapan Sentosa</v>
      </c>
      <c r="F3697" s="211" t="str">
        <f>IFERROR(__xludf.DUMMYFUNCTION("""COMPUTED_VALUE"""),"66af7c72")</f>
        <v>66af7c72</v>
      </c>
      <c r="G3697" s="211" t="str">
        <f>IFERROR(__xludf.DUMMYFUNCTION("""COMPUTED_VALUE"""),"Argon 6m3")</f>
        <v>Argon 6m3</v>
      </c>
      <c r="H3697" s="211" t="str">
        <f>IFERROR(__xludf.DUMMYFUNCTION("""COMPUTED_VALUE"""),"OUT")</f>
        <v>OUT</v>
      </c>
      <c r="I3697" s="211" t="str">
        <f>IFERROR(__xludf.DUMMYFUNCTION("""COMPUTED_VALUE"""),"NORMAL")</f>
        <v>NORMAL</v>
      </c>
      <c r="J3697" s="211">
        <f>IFERROR(__xludf.DUMMYFUNCTION("""COMPUTED_VALUE"""),1.0)</f>
        <v>1</v>
      </c>
      <c r="K3697" s="210" t="str">
        <f>IFERROR(__xludf.DUMMYFUNCTION("""COMPUTED_VALUE"""),"12009")</f>
        <v>12009</v>
      </c>
      <c r="L3697" s="211">
        <f>IFERROR(__xludf.DUMMYFUNCTION("""COMPUTED_VALUE"""),220000.0)</f>
        <v>220000</v>
      </c>
      <c r="M3697" s="211"/>
      <c r="N3697" s="211"/>
      <c r="O3697" s="211" t="b">
        <f>IFERROR(__xludf.DUMMYFUNCTION("""COMPUTED_VALUE"""),FALSE)</f>
        <v>0</v>
      </c>
    </row>
    <row r="3698">
      <c r="A3698" s="210" t="str">
        <f>IFERROR(__xludf.DUMMYFUNCTION("""COMPUTED_VALUE"""),"022642560")</f>
        <v>022642560</v>
      </c>
      <c r="B3698" s="210" t="str">
        <f>IFERROR(__xludf.DUMMYFUNCTION("""COMPUTED_VALUE"""),"022642560")</f>
        <v>022642560</v>
      </c>
      <c r="C3698" s="213">
        <f>IFERROR(__xludf.DUMMYFUNCTION("""COMPUTED_VALUE"""),46066.657847222225)</f>
        <v>46066.65785</v>
      </c>
      <c r="D3698" s="211" t="str">
        <f>IFERROR(__xludf.DUMMYFUNCTION("""COMPUTED_VALUE"""),"4c3a2a5f")</f>
        <v>4c3a2a5f</v>
      </c>
      <c r="E3698" s="211" t="str">
        <f>IFERROR(__xludf.DUMMYFUNCTION("""COMPUTED_VALUE"""),"CV Matahari Mitra Sukses")</f>
        <v>CV Matahari Mitra Sukses</v>
      </c>
      <c r="F3698" s="211" t="str">
        <f>IFERROR(__xludf.DUMMYFUNCTION("""COMPUTED_VALUE"""),"63a8dbcf")</f>
        <v>63a8dbcf</v>
      </c>
      <c r="G3698" s="211" t="str">
        <f>IFERROR(__xludf.DUMMYFUNCTION("""COMPUTED_VALUE"""),"Tabung 6m3 + CO2")</f>
        <v>Tabung 6m3 + CO2</v>
      </c>
      <c r="H3698" s="211" t="str">
        <f>IFERROR(__xludf.DUMMYFUNCTION("""COMPUTED_VALUE"""),"OUT")</f>
        <v>OUT</v>
      </c>
      <c r="I3698" s="211" t="str">
        <f>IFERROR(__xludf.DUMMYFUNCTION("""COMPUTED_VALUE"""),"NORMAL")</f>
        <v>NORMAL</v>
      </c>
      <c r="J3698" s="211">
        <f>IFERROR(__xludf.DUMMYFUNCTION("""COMPUTED_VALUE"""),1.0)</f>
        <v>1</v>
      </c>
      <c r="K3698" s="211"/>
      <c r="L3698" s="211">
        <f>IFERROR(__xludf.DUMMYFUNCTION("""COMPUTED_VALUE"""),1200000.0)</f>
        <v>1200000</v>
      </c>
      <c r="M3698" s="211"/>
      <c r="N3698" s="211"/>
      <c r="O3698" s="211" t="b">
        <f>IFERROR(__xludf.DUMMYFUNCTION("""COMPUTED_VALUE"""),FALSE)</f>
        <v>0</v>
      </c>
    </row>
    <row r="3699">
      <c r="A3699" s="210" t="str">
        <f>IFERROR(__xludf.DUMMYFUNCTION("""COMPUTED_VALUE"""),"0226212546")</f>
        <v>0226212546</v>
      </c>
      <c r="B3699" s="210" t="str">
        <f>IFERROR(__xludf.DUMMYFUNCTION("""COMPUTED_VALUE"""),"0226212546")</f>
        <v>0226212546</v>
      </c>
      <c r="C3699" s="213">
        <f>IFERROR(__xludf.DUMMYFUNCTION("""COMPUTED_VALUE"""),46066.397893518515)</f>
        <v>46066.39789</v>
      </c>
      <c r="D3699" s="211" t="str">
        <f>IFERROR(__xludf.DUMMYFUNCTION("""COMPUTED_VALUE"""),"63fc688a")</f>
        <v>63fc688a</v>
      </c>
      <c r="E3699" s="211" t="str">
        <f>IFERROR(__xludf.DUMMYFUNCTION("""COMPUTED_VALUE"""),"CV Malik Nusantara")</f>
        <v>CV Malik Nusantara</v>
      </c>
      <c r="F3699" s="211" t="str">
        <f>IFERROR(__xludf.DUMMYFUNCTION("""COMPUTED_VALUE"""),"8bdbe149")</f>
        <v>8bdbe149</v>
      </c>
      <c r="G3699" s="211" t="str">
        <f>IFERROR(__xludf.DUMMYFUNCTION("""COMPUTED_VALUE"""),"Oksigen 6m3")</f>
        <v>Oksigen 6m3</v>
      </c>
      <c r="H3699" s="211" t="str">
        <f>IFERROR(__xludf.DUMMYFUNCTION("""COMPUTED_VALUE"""),"OUT")</f>
        <v>OUT</v>
      </c>
      <c r="I3699" s="211" t="str">
        <f>IFERROR(__xludf.DUMMYFUNCTION("""COMPUTED_VALUE"""),"NORMAL")</f>
        <v>NORMAL</v>
      </c>
      <c r="J3699" s="211">
        <f>IFERROR(__xludf.DUMMYFUNCTION("""COMPUTED_VALUE"""),5.0)</f>
        <v>5</v>
      </c>
      <c r="K3699" s="210" t="str">
        <f>IFERROR(__xludf.DUMMYFUNCTION("""COMPUTED_VALUE"""),"11375 11378 11379 11377 11383")</f>
        <v>11375 11378 11379 11377 11383</v>
      </c>
      <c r="L3699" s="211">
        <f>IFERROR(__xludf.DUMMYFUNCTION("""COMPUTED_VALUE"""),65000.0)</f>
        <v>65000</v>
      </c>
      <c r="M3699" s="211"/>
      <c r="N3699" s="211"/>
      <c r="O3699" s="211" t="b">
        <f>IFERROR(__xludf.DUMMYFUNCTION("""COMPUTED_VALUE"""),FALSE)</f>
        <v>0</v>
      </c>
    </row>
    <row r="3700">
      <c r="A3700" s="210" t="str">
        <f>IFERROR(__xludf.DUMMYFUNCTION("""COMPUTED_VALUE"""),"022652561")</f>
        <v>022652561</v>
      </c>
      <c r="B3700" s="210" t="str">
        <f>IFERROR(__xludf.DUMMYFUNCTION("""COMPUTED_VALUE"""),"022652561")</f>
        <v>022652561</v>
      </c>
      <c r="C3700" s="213">
        <f>IFERROR(__xludf.DUMMYFUNCTION("""COMPUTED_VALUE"""),46066.68697916667)</f>
        <v>46066.68698</v>
      </c>
      <c r="D3700" s="211" t="str">
        <f>IFERROR(__xludf.DUMMYFUNCTION("""COMPUTED_VALUE"""),"cac4449f")</f>
        <v>cac4449f</v>
      </c>
      <c r="E3700" s="211" t="str">
        <f>IFERROR(__xludf.DUMMYFUNCTION("""COMPUTED_VALUE"""),"Bpk. Agus Yahya")</f>
        <v>Bpk. Agus Yahya</v>
      </c>
      <c r="F3700" s="211" t="str">
        <f>IFERROR(__xludf.DUMMYFUNCTION("""COMPUTED_VALUE"""),"66af7c72")</f>
        <v>66af7c72</v>
      </c>
      <c r="G3700" s="211" t="str">
        <f>IFERROR(__xludf.DUMMYFUNCTION("""COMPUTED_VALUE"""),"Argon 6m3")</f>
        <v>Argon 6m3</v>
      </c>
      <c r="H3700" s="211" t="str">
        <f>IFERROR(__xludf.DUMMYFUNCTION("""COMPUTED_VALUE"""),"OUT")</f>
        <v>OUT</v>
      </c>
      <c r="I3700" s="211" t="str">
        <f>IFERROR(__xludf.DUMMYFUNCTION("""COMPUTED_VALUE"""),"NORMAL")</f>
        <v>NORMAL</v>
      </c>
      <c r="J3700" s="211">
        <f>IFERROR(__xludf.DUMMYFUNCTION("""COMPUTED_VALUE"""),1.0)</f>
        <v>1</v>
      </c>
      <c r="K3700" s="210" t="str">
        <f>IFERROR(__xludf.DUMMYFUNCTION("""COMPUTED_VALUE"""),"12043")</f>
        <v>12043</v>
      </c>
      <c r="L3700" s="211">
        <f>IFERROR(__xludf.DUMMYFUNCTION("""COMPUTED_VALUE"""),225000.0)</f>
        <v>225000</v>
      </c>
      <c r="M3700" s="211"/>
      <c r="N3700" s="211"/>
      <c r="O3700" s="211" t="b">
        <f>IFERROR(__xludf.DUMMYFUNCTION("""COMPUTED_VALUE"""),FALSE)</f>
        <v>0</v>
      </c>
    </row>
    <row r="3701">
      <c r="A3701" s="210" t="str">
        <f>IFERROR(__xludf.DUMMYFUNCTION("""COMPUTED_VALUE"""),"1261271")</f>
        <v>1261271</v>
      </c>
      <c r="B3701" s="210" t="str">
        <f>IFERROR(__xludf.DUMMYFUNCTION("""COMPUTED_VALUE"""),"1261271")</f>
        <v>1261271</v>
      </c>
      <c r="C3701" s="213">
        <f>IFERROR(__xludf.DUMMYFUNCTION("""COMPUTED_VALUE"""),46066.70428240741)</f>
        <v>46066.70428</v>
      </c>
      <c r="D3701" s="211" t="str">
        <f>IFERROR(__xludf.DUMMYFUNCTION("""COMPUTED_VALUE"""),"b218b89b")</f>
        <v>b218b89b</v>
      </c>
      <c r="E3701" s="211" t="str">
        <f>IFERROR(__xludf.DUMMYFUNCTION("""COMPUTED_VALUE"""),"PT Harapan Sentosa")</f>
        <v>PT Harapan Sentosa</v>
      </c>
      <c r="F3701" s="211" t="str">
        <f>IFERROR(__xludf.DUMMYFUNCTION("""COMPUTED_VALUE"""),"8bdbe149")</f>
        <v>8bdbe149</v>
      </c>
      <c r="G3701" s="211" t="str">
        <f>IFERROR(__xludf.DUMMYFUNCTION("""COMPUTED_VALUE"""),"Oksigen 6m3")</f>
        <v>Oksigen 6m3</v>
      </c>
      <c r="H3701" s="211" t="str">
        <f>IFERROR(__xludf.DUMMYFUNCTION("""COMPUTED_VALUE"""),"IN")</f>
        <v>IN</v>
      </c>
      <c r="I3701" s="211" t="str">
        <f>IFERROR(__xludf.DUMMYFUNCTION("""COMPUTED_VALUE"""),"EMPTY")</f>
        <v>EMPTY</v>
      </c>
      <c r="J3701" s="211">
        <f>IFERROR(__xludf.DUMMYFUNCTION("""COMPUTED_VALUE"""),2.0)</f>
        <v>2</v>
      </c>
      <c r="K3701" s="210" t="str">
        <f>IFERROR(__xludf.DUMMYFUNCTION("""COMPUTED_VALUE"""),"11120 1153")</f>
        <v>11120 1153</v>
      </c>
      <c r="L3701" s="211">
        <f>IFERROR(__xludf.DUMMYFUNCTION("""COMPUTED_VALUE"""),0.0)</f>
        <v>0</v>
      </c>
      <c r="M3701" s="211"/>
      <c r="N3701" s="211"/>
      <c r="O3701" s="211" t="b">
        <f>IFERROR(__xludf.DUMMYFUNCTION("""COMPUTED_VALUE"""),FALSE)</f>
        <v>0</v>
      </c>
    </row>
    <row r="3702">
      <c r="A3702" s="210" t="str">
        <f>IFERROR(__xludf.DUMMYFUNCTION("""COMPUTED_VALUE"""),"1261272")</f>
        <v>1261272</v>
      </c>
      <c r="B3702" s="210" t="str">
        <f>IFERROR(__xludf.DUMMYFUNCTION("""COMPUTED_VALUE"""),"1261272")</f>
        <v>1261272</v>
      </c>
      <c r="C3702" s="213">
        <f>IFERROR(__xludf.DUMMYFUNCTION("""COMPUTED_VALUE"""),46066.70476851852)</f>
        <v>46066.70477</v>
      </c>
      <c r="D3702" s="211" t="str">
        <f>IFERROR(__xludf.DUMMYFUNCTION("""COMPUTED_VALUE"""),"63fc688a")</f>
        <v>63fc688a</v>
      </c>
      <c r="E3702" s="211" t="str">
        <f>IFERROR(__xludf.DUMMYFUNCTION("""COMPUTED_VALUE"""),"CV Malik Nusantara")</f>
        <v>CV Malik Nusantara</v>
      </c>
      <c r="F3702" s="211" t="str">
        <f>IFERROR(__xludf.DUMMYFUNCTION("""COMPUTED_VALUE"""),"8bdbe149")</f>
        <v>8bdbe149</v>
      </c>
      <c r="G3702" s="211" t="str">
        <f>IFERROR(__xludf.DUMMYFUNCTION("""COMPUTED_VALUE"""),"Oksigen 6m3")</f>
        <v>Oksigen 6m3</v>
      </c>
      <c r="H3702" s="211" t="str">
        <f>IFERROR(__xludf.DUMMYFUNCTION("""COMPUTED_VALUE"""),"IN")</f>
        <v>IN</v>
      </c>
      <c r="I3702" s="211" t="str">
        <f>IFERROR(__xludf.DUMMYFUNCTION("""COMPUTED_VALUE"""),"EMPTY")</f>
        <v>EMPTY</v>
      </c>
      <c r="J3702" s="211">
        <f>IFERROR(__xludf.DUMMYFUNCTION("""COMPUTED_VALUE"""),1.0)</f>
        <v>1</v>
      </c>
      <c r="K3702" s="210" t="str">
        <f>IFERROR(__xludf.DUMMYFUNCTION("""COMPUTED_VALUE"""),"11124")</f>
        <v>11124</v>
      </c>
      <c r="L3702" s="211">
        <f>IFERROR(__xludf.DUMMYFUNCTION("""COMPUTED_VALUE"""),0.0)</f>
        <v>0</v>
      </c>
      <c r="M3702" s="211"/>
      <c r="N3702" s="211"/>
      <c r="O3702" s="211" t="b">
        <f>IFERROR(__xludf.DUMMYFUNCTION("""COMPUTED_VALUE"""),FALSE)</f>
        <v>0</v>
      </c>
    </row>
    <row r="3703">
      <c r="A3703" s="210" t="str">
        <f>IFERROR(__xludf.DUMMYFUNCTION("""COMPUTED_VALUE"""),"1261273")</f>
        <v>1261273</v>
      </c>
      <c r="B3703" s="210" t="str">
        <f>IFERROR(__xludf.DUMMYFUNCTION("""COMPUTED_VALUE"""),"1261273")</f>
        <v>1261273</v>
      </c>
      <c r="C3703" s="213">
        <f>IFERROR(__xludf.DUMMYFUNCTION("""COMPUTED_VALUE"""),46066.715995370374)</f>
        <v>46066.716</v>
      </c>
      <c r="D3703" s="211" t="str">
        <f>IFERROR(__xludf.DUMMYFUNCTION("""COMPUTED_VALUE"""),"cac4449f")</f>
        <v>cac4449f</v>
      </c>
      <c r="E3703" s="211" t="str">
        <f>IFERROR(__xludf.DUMMYFUNCTION("""COMPUTED_VALUE"""),"Bpk. Agus Yahya")</f>
        <v>Bpk. Agus Yahya</v>
      </c>
      <c r="F3703" s="211" t="str">
        <f>IFERROR(__xludf.DUMMYFUNCTION("""COMPUTED_VALUE"""),"8bdbe149")</f>
        <v>8bdbe149</v>
      </c>
      <c r="G3703" s="211" t="str">
        <f>IFERROR(__xludf.DUMMYFUNCTION("""COMPUTED_VALUE"""),"Oksigen 6m3")</f>
        <v>Oksigen 6m3</v>
      </c>
      <c r="H3703" s="211" t="str">
        <f>IFERROR(__xludf.DUMMYFUNCTION("""COMPUTED_VALUE"""),"IN")</f>
        <v>IN</v>
      </c>
      <c r="I3703" s="211" t="str">
        <f>IFERROR(__xludf.DUMMYFUNCTION("""COMPUTED_VALUE"""),"EMPTY")</f>
        <v>EMPTY</v>
      </c>
      <c r="J3703" s="211">
        <f>IFERROR(__xludf.DUMMYFUNCTION("""COMPUTED_VALUE"""),1.0)</f>
        <v>1</v>
      </c>
      <c r="K3703" s="210" t="str">
        <f>IFERROR(__xludf.DUMMYFUNCTION("""COMPUTED_VALUE"""),"1147")</f>
        <v>1147</v>
      </c>
      <c r="L3703" s="211">
        <f>IFERROR(__xludf.DUMMYFUNCTION("""COMPUTED_VALUE"""),0.0)</f>
        <v>0</v>
      </c>
      <c r="M3703" s="211"/>
      <c r="N3703" s="211"/>
      <c r="O3703" s="211" t="b">
        <f>IFERROR(__xludf.DUMMYFUNCTION("""COMPUTED_VALUE"""),FALSE)</f>
        <v>0</v>
      </c>
    </row>
    <row r="3704">
      <c r="A3704" s="210" t="str">
        <f>IFERROR(__xludf.DUMMYFUNCTION("""COMPUTED_VALUE"""),"1261273")</f>
        <v>1261273</v>
      </c>
      <c r="B3704" s="210" t="str">
        <f>IFERROR(__xludf.DUMMYFUNCTION("""COMPUTED_VALUE"""),"1261273")</f>
        <v>1261273</v>
      </c>
      <c r="C3704" s="213">
        <f>IFERROR(__xludf.DUMMYFUNCTION("""COMPUTED_VALUE"""),46066.715995370374)</f>
        <v>46066.716</v>
      </c>
      <c r="D3704" s="211" t="str">
        <f>IFERROR(__xludf.DUMMYFUNCTION("""COMPUTED_VALUE"""),"cac4449f")</f>
        <v>cac4449f</v>
      </c>
      <c r="E3704" s="211" t="str">
        <f>IFERROR(__xludf.DUMMYFUNCTION("""COMPUTED_VALUE"""),"Bpk. Agus Yahya")</f>
        <v>Bpk. Agus Yahya</v>
      </c>
      <c r="F3704" s="211" t="str">
        <f>IFERROR(__xludf.DUMMYFUNCTION("""COMPUTED_VALUE"""),"66af7c72")</f>
        <v>66af7c72</v>
      </c>
      <c r="G3704" s="211" t="str">
        <f>IFERROR(__xludf.DUMMYFUNCTION("""COMPUTED_VALUE"""),"Argon 6m3")</f>
        <v>Argon 6m3</v>
      </c>
      <c r="H3704" s="211" t="str">
        <f>IFERROR(__xludf.DUMMYFUNCTION("""COMPUTED_VALUE"""),"IN")</f>
        <v>IN</v>
      </c>
      <c r="I3704" s="211" t="str">
        <f>IFERROR(__xludf.DUMMYFUNCTION("""COMPUTED_VALUE"""),"EMPTY")</f>
        <v>EMPTY</v>
      </c>
      <c r="J3704" s="211">
        <f>IFERROR(__xludf.DUMMYFUNCTION("""COMPUTED_VALUE"""),1.0)</f>
        <v>1</v>
      </c>
      <c r="K3704" s="210" t="str">
        <f>IFERROR(__xludf.DUMMYFUNCTION("""COMPUTED_VALUE"""),"12036")</f>
        <v>12036</v>
      </c>
      <c r="L3704" s="211">
        <f>IFERROR(__xludf.DUMMYFUNCTION("""COMPUTED_VALUE"""),0.0)</f>
        <v>0</v>
      </c>
      <c r="M3704" s="211"/>
      <c r="N3704" s="211"/>
      <c r="O3704" s="211" t="b">
        <f>IFERROR(__xludf.DUMMYFUNCTION("""COMPUTED_VALUE"""),FALSE)</f>
        <v>0</v>
      </c>
    </row>
    <row r="3705">
      <c r="A3705" s="210" t="str">
        <f>IFERROR(__xludf.DUMMYFUNCTION("""COMPUTED_VALUE"""),"1261233")</f>
        <v>1261233</v>
      </c>
      <c r="B3705" s="210" t="str">
        <f>IFERROR(__xludf.DUMMYFUNCTION("""COMPUTED_VALUE"""),"1261233")</f>
        <v>1261233</v>
      </c>
      <c r="C3705" s="213">
        <f>IFERROR(__xludf.DUMMYFUNCTION("""COMPUTED_VALUE"""),46066.735659722224)</f>
        <v>46066.73566</v>
      </c>
      <c r="D3705" s="211" t="str">
        <f>IFERROR(__xludf.DUMMYFUNCTION("""COMPUTED_VALUE"""),"ba97d58d")</f>
        <v>ba97d58d</v>
      </c>
      <c r="E3705" s="211" t="str">
        <f>IFERROR(__xludf.DUMMYFUNCTION("""COMPUTED_VALUE"""),"Bengkel Citra Mojosari")</f>
        <v>Bengkel Citra Mojosari</v>
      </c>
      <c r="F3705" s="211" t="str">
        <f>IFERROR(__xludf.DUMMYFUNCTION("""COMPUTED_VALUE"""),"8bdbe149")</f>
        <v>8bdbe149</v>
      </c>
      <c r="G3705" s="211" t="str">
        <f>IFERROR(__xludf.DUMMYFUNCTION("""COMPUTED_VALUE"""),"Oksigen 6m3")</f>
        <v>Oksigen 6m3</v>
      </c>
      <c r="H3705" s="211" t="str">
        <f>IFERROR(__xludf.DUMMYFUNCTION("""COMPUTED_VALUE"""),"IN")</f>
        <v>IN</v>
      </c>
      <c r="I3705" s="211" t="str">
        <f>IFERROR(__xludf.DUMMYFUNCTION("""COMPUTED_VALUE"""),"EMPTY")</f>
        <v>EMPTY</v>
      </c>
      <c r="J3705" s="211">
        <f>IFERROR(__xludf.DUMMYFUNCTION("""COMPUTED_VALUE"""),4.0)</f>
        <v>4</v>
      </c>
      <c r="K3705" s="210" t="str">
        <f>IFERROR(__xludf.DUMMYFUNCTION("""COMPUTED_VALUE"""),"1102 1144 1188 1113")</f>
        <v>1102 1144 1188 1113</v>
      </c>
      <c r="L3705" s="211">
        <f>IFERROR(__xludf.DUMMYFUNCTION("""COMPUTED_VALUE"""),0.0)</f>
        <v>0</v>
      </c>
      <c r="M3705" s="211"/>
      <c r="N3705" s="211"/>
      <c r="O3705" s="211" t="b">
        <f>IFERROR(__xludf.DUMMYFUNCTION("""COMPUTED_VALUE"""),FALSE)</f>
        <v>0</v>
      </c>
    </row>
    <row r="3706">
      <c r="A3706" s="210" t="str">
        <f>IFERROR(__xludf.DUMMYFUNCTION("""COMPUTED_VALUE"""),"1261233")</f>
        <v>1261233</v>
      </c>
      <c r="B3706" s="210" t="str">
        <f>IFERROR(__xludf.DUMMYFUNCTION("""COMPUTED_VALUE"""),"1261233")</f>
        <v>1261233</v>
      </c>
      <c r="C3706" s="213">
        <f>IFERROR(__xludf.DUMMYFUNCTION("""COMPUTED_VALUE"""),46066.735659722224)</f>
        <v>46066.73566</v>
      </c>
      <c r="D3706" s="211" t="str">
        <f>IFERROR(__xludf.DUMMYFUNCTION("""COMPUTED_VALUE"""),"ba97d58d")</f>
        <v>ba97d58d</v>
      </c>
      <c r="E3706" s="211" t="str">
        <f>IFERROR(__xludf.DUMMYFUNCTION("""COMPUTED_VALUE"""),"Bengkel Citra Mojosari")</f>
        <v>Bengkel Citra Mojosari</v>
      </c>
      <c r="F3706" s="211" t="str">
        <f>IFERROR(__xludf.DUMMYFUNCTION("""COMPUTED_VALUE"""),"7d2764f1")</f>
        <v>7d2764f1</v>
      </c>
      <c r="G3706" s="211" t="str">
        <f>IFERROR(__xludf.DUMMYFUNCTION("""COMPUTED_VALUE"""),"Oksigen 7m3")</f>
        <v>Oksigen 7m3</v>
      </c>
      <c r="H3706" s="211" t="str">
        <f>IFERROR(__xludf.DUMMYFUNCTION("""COMPUTED_VALUE"""),"IN")</f>
        <v>IN</v>
      </c>
      <c r="I3706" s="211" t="str">
        <f>IFERROR(__xludf.DUMMYFUNCTION("""COMPUTED_VALUE"""),"EMPTY")</f>
        <v>EMPTY</v>
      </c>
      <c r="J3706" s="211">
        <f>IFERROR(__xludf.DUMMYFUNCTION("""COMPUTED_VALUE"""),1.0)</f>
        <v>1</v>
      </c>
      <c r="K3706" s="210" t="str">
        <f>IFERROR(__xludf.DUMMYFUNCTION("""COMPUTED_VALUE"""),"11157")</f>
        <v>11157</v>
      </c>
      <c r="L3706" s="211">
        <f>IFERROR(__xludf.DUMMYFUNCTION("""COMPUTED_VALUE"""),0.0)</f>
        <v>0</v>
      </c>
      <c r="M3706" s="211"/>
      <c r="N3706" s="211"/>
      <c r="O3706" s="211" t="b">
        <f>IFERROR(__xludf.DUMMYFUNCTION("""COMPUTED_VALUE"""),FALSE)</f>
        <v>0</v>
      </c>
    </row>
    <row r="3707">
      <c r="A3707" s="210" t="str">
        <f>IFERROR(__xludf.DUMMYFUNCTION("""COMPUTED_VALUE"""),"022692562")</f>
        <v>022692562</v>
      </c>
      <c r="B3707" s="210" t="str">
        <f>IFERROR(__xludf.DUMMYFUNCTION("""COMPUTED_VALUE"""),"022692562")</f>
        <v>022692562</v>
      </c>
      <c r="C3707" s="213">
        <f>IFERROR(__xludf.DUMMYFUNCTION("""COMPUTED_VALUE"""),46067.35681712963)</f>
        <v>46067.35682</v>
      </c>
      <c r="D3707" s="211" t="str">
        <f>IFERROR(__xludf.DUMMYFUNCTION("""COMPUTED_VALUE"""),"9828dfc5")</f>
        <v>9828dfc5</v>
      </c>
      <c r="E3707" s="211" t="str">
        <f>IFERROR(__xludf.DUMMYFUNCTION("""COMPUTED_VALUE"""),"Bpk. David")</f>
        <v>Bpk. David</v>
      </c>
      <c r="F3707" s="211" t="str">
        <f>IFERROR(__xludf.DUMMYFUNCTION("""COMPUTED_VALUE"""),"8bdbe149")</f>
        <v>8bdbe149</v>
      </c>
      <c r="G3707" s="211" t="str">
        <f>IFERROR(__xludf.DUMMYFUNCTION("""COMPUTED_VALUE"""),"Oksigen 6m3")</f>
        <v>Oksigen 6m3</v>
      </c>
      <c r="H3707" s="211" t="str">
        <f>IFERROR(__xludf.DUMMYFUNCTION("""COMPUTED_VALUE"""),"OUT")</f>
        <v>OUT</v>
      </c>
      <c r="I3707" s="211" t="str">
        <f>IFERROR(__xludf.DUMMYFUNCTION("""COMPUTED_VALUE"""),"NORMAL")</f>
        <v>NORMAL</v>
      </c>
      <c r="J3707" s="211">
        <f>IFERROR(__xludf.DUMMYFUNCTION("""COMPUTED_VALUE"""),10.0)</f>
        <v>10</v>
      </c>
      <c r="K3707" s="210" t="str">
        <f>IFERROR(__xludf.DUMMYFUNCTION("""COMPUTED_VALUE"""),"11127 11287 11193 11180 11311 1139 11236 11274 11278 1142")</f>
        <v>11127 11287 11193 11180 11311 1139 11236 11274 11278 1142</v>
      </c>
      <c r="L3707" s="211">
        <f>IFERROR(__xludf.DUMMYFUNCTION("""COMPUTED_VALUE"""),60000.0)</f>
        <v>60000</v>
      </c>
      <c r="M3707" s="211"/>
      <c r="N3707" s="211"/>
      <c r="O3707" s="211" t="b">
        <f>IFERROR(__xludf.DUMMYFUNCTION("""COMPUTED_VALUE"""),FALSE)</f>
        <v>0</v>
      </c>
    </row>
    <row r="3708">
      <c r="A3708" s="210" t="str">
        <f>IFERROR(__xludf.DUMMYFUNCTION("""COMPUTED_VALUE"""),"0226452567")</f>
        <v>0226452567</v>
      </c>
      <c r="B3708" s="210" t="str">
        <f>IFERROR(__xludf.DUMMYFUNCTION("""COMPUTED_VALUE"""),"0226452567")</f>
        <v>0226452567</v>
      </c>
      <c r="C3708" s="213">
        <f>IFERROR(__xludf.DUMMYFUNCTION("""COMPUTED_VALUE"""),46067.365532407406)</f>
        <v>46067.36553</v>
      </c>
      <c r="D3708" s="211" t="str">
        <f>IFERROR(__xludf.DUMMYFUNCTION("""COMPUTED_VALUE"""),"5f23ba17")</f>
        <v>5f23ba17</v>
      </c>
      <c r="E3708" s="211" t="str">
        <f>IFERROR(__xludf.DUMMYFUNCTION("""COMPUTED_VALUE"""),"Bpk. Joko (Gresik)")</f>
        <v>Bpk. Joko (Gresik)</v>
      </c>
      <c r="F3708" s="211" t="str">
        <f>IFERROR(__xludf.DUMMYFUNCTION("""COMPUTED_VALUE"""),"f6aab7a9")</f>
        <v>f6aab7a9</v>
      </c>
      <c r="G3708" s="211" t="str">
        <f>IFERROR(__xludf.DUMMYFUNCTION("""COMPUTED_VALUE"""),"Oksigen 6m3 MR")</f>
        <v>Oksigen 6m3 MR</v>
      </c>
      <c r="H3708" s="211" t="str">
        <f>IFERROR(__xludf.DUMMYFUNCTION("""COMPUTED_VALUE"""),"OUT")</f>
        <v>OUT</v>
      </c>
      <c r="I3708" s="211" t="str">
        <f>IFERROR(__xludf.DUMMYFUNCTION("""COMPUTED_VALUE"""),"NORMAL")</f>
        <v>NORMAL</v>
      </c>
      <c r="J3708" s="211">
        <f>IFERROR(__xludf.DUMMYFUNCTION("""COMPUTED_VALUE"""),15.0)</f>
        <v>15</v>
      </c>
      <c r="K3708" s="211"/>
      <c r="L3708" s="211">
        <f>IFERROR(__xludf.DUMMYFUNCTION("""COMPUTED_VALUE"""),55000.0)</f>
        <v>55000</v>
      </c>
      <c r="M3708" s="211"/>
      <c r="N3708" s="211"/>
      <c r="O3708" s="211" t="b">
        <f>IFERROR(__xludf.DUMMYFUNCTION("""COMPUTED_VALUE"""),FALSE)</f>
        <v>0</v>
      </c>
    </row>
    <row r="3709">
      <c r="A3709" s="210" t="str">
        <f>IFERROR(__xludf.DUMMYFUNCTION("""COMPUTED_VALUE"""),"0226452567")</f>
        <v>0226452567</v>
      </c>
      <c r="B3709" s="210" t="str">
        <f>IFERROR(__xludf.DUMMYFUNCTION("""COMPUTED_VALUE"""),"0226452567")</f>
        <v>0226452567</v>
      </c>
      <c r="C3709" s="213">
        <f>IFERROR(__xludf.DUMMYFUNCTION("""COMPUTED_VALUE"""),46067.365532407406)</f>
        <v>46067.36553</v>
      </c>
      <c r="D3709" s="211" t="str">
        <f>IFERROR(__xludf.DUMMYFUNCTION("""COMPUTED_VALUE"""),"5f23ba17")</f>
        <v>5f23ba17</v>
      </c>
      <c r="E3709" s="211" t="str">
        <f>IFERROR(__xludf.DUMMYFUNCTION("""COMPUTED_VALUE"""),"Bpk. Joko (Gresik)")</f>
        <v>Bpk. Joko (Gresik)</v>
      </c>
      <c r="F3709" s="211" t="str">
        <f>IFERROR(__xludf.DUMMYFUNCTION("""COMPUTED_VALUE"""),"439cf836")</f>
        <v>439cf836</v>
      </c>
      <c r="G3709" s="211" t="str">
        <f>IFERROR(__xludf.DUMMYFUNCTION("""COMPUTED_VALUE"""),"Karbondioksida MR")</f>
        <v>Karbondioksida MR</v>
      </c>
      <c r="H3709" s="211" t="str">
        <f>IFERROR(__xludf.DUMMYFUNCTION("""COMPUTED_VALUE"""),"OUT")</f>
        <v>OUT</v>
      </c>
      <c r="I3709" s="211" t="str">
        <f>IFERROR(__xludf.DUMMYFUNCTION("""COMPUTED_VALUE"""),"NORMAL")</f>
        <v>NORMAL</v>
      </c>
      <c r="J3709" s="211">
        <f>IFERROR(__xludf.DUMMYFUNCTION("""COMPUTED_VALUE"""),1.0)</f>
        <v>1</v>
      </c>
      <c r="K3709" s="211"/>
      <c r="L3709" s="211">
        <f>IFERROR(__xludf.DUMMYFUNCTION("""COMPUTED_VALUE"""),160000.0)</f>
        <v>160000</v>
      </c>
      <c r="M3709" s="211"/>
      <c r="N3709" s="211"/>
      <c r="O3709" s="211" t="b">
        <f>IFERROR(__xludf.DUMMYFUNCTION("""COMPUTED_VALUE"""),FALSE)</f>
        <v>0</v>
      </c>
    </row>
    <row r="3710">
      <c r="A3710" s="210" t="str">
        <f>IFERROR(__xludf.DUMMYFUNCTION("""COMPUTED_VALUE"""),"022632568")</f>
        <v>022632568</v>
      </c>
      <c r="B3710" s="210" t="str">
        <f>IFERROR(__xludf.DUMMYFUNCTION("""COMPUTED_VALUE"""),"022632568")</f>
        <v>022632568</v>
      </c>
      <c r="C3710" s="213">
        <f>IFERROR(__xludf.DUMMYFUNCTION("""COMPUTED_VALUE"""),46067.36662037037)</f>
        <v>46067.36662</v>
      </c>
      <c r="D3710" s="211" t="str">
        <f>IFERROR(__xludf.DUMMYFUNCTION("""COMPUTED_VALUE"""),"2814d559")</f>
        <v>2814d559</v>
      </c>
      <c r="E3710" s="211" t="str">
        <f>IFERROR(__xludf.DUMMYFUNCTION("""COMPUTED_VALUE"""),"Bpk. Gunarso")</f>
        <v>Bpk. Gunarso</v>
      </c>
      <c r="F3710" s="211" t="str">
        <f>IFERROR(__xludf.DUMMYFUNCTION("""COMPUTED_VALUE"""),"8bdbe149")</f>
        <v>8bdbe149</v>
      </c>
      <c r="G3710" s="211" t="str">
        <f>IFERROR(__xludf.DUMMYFUNCTION("""COMPUTED_VALUE"""),"Oksigen 6m3")</f>
        <v>Oksigen 6m3</v>
      </c>
      <c r="H3710" s="211" t="str">
        <f>IFERROR(__xludf.DUMMYFUNCTION("""COMPUTED_VALUE"""),"OUT")</f>
        <v>OUT</v>
      </c>
      <c r="I3710" s="211" t="str">
        <f>IFERROR(__xludf.DUMMYFUNCTION("""COMPUTED_VALUE"""),"NORMAL")</f>
        <v>NORMAL</v>
      </c>
      <c r="J3710" s="211">
        <f>IFERROR(__xludf.DUMMYFUNCTION("""COMPUTED_VALUE"""),4.0)</f>
        <v>4</v>
      </c>
      <c r="K3710" s="210" t="str">
        <f>IFERROR(__xludf.DUMMYFUNCTION("""COMPUTED_VALUE"""),"11121 11240 11250 1140")</f>
        <v>11121 11240 11250 1140</v>
      </c>
      <c r="L3710" s="211">
        <f>IFERROR(__xludf.DUMMYFUNCTION("""COMPUTED_VALUE"""),65000.0)</f>
        <v>65000</v>
      </c>
      <c r="M3710" s="211"/>
      <c r="N3710" s="211"/>
      <c r="O3710" s="211" t="b">
        <f>IFERROR(__xludf.DUMMYFUNCTION("""COMPUTED_VALUE"""),FALSE)</f>
        <v>0</v>
      </c>
    </row>
    <row r="3711">
      <c r="A3711" s="210" t="str">
        <f>IFERROR(__xludf.DUMMYFUNCTION("""COMPUTED_VALUE"""),"0226222569")</f>
        <v>0226222569</v>
      </c>
      <c r="B3711" s="210" t="str">
        <f>IFERROR(__xludf.DUMMYFUNCTION("""COMPUTED_VALUE"""),"0226222569")</f>
        <v>0226222569</v>
      </c>
      <c r="C3711" s="213">
        <f>IFERROR(__xludf.DUMMYFUNCTION("""COMPUTED_VALUE"""),46067.38037037037)</f>
        <v>46067.38037</v>
      </c>
      <c r="D3711" s="211" t="str">
        <f>IFERROR(__xludf.DUMMYFUNCTION("""COMPUTED_VALUE"""),"63fc688a")</f>
        <v>63fc688a</v>
      </c>
      <c r="E3711" s="211" t="str">
        <f>IFERROR(__xludf.DUMMYFUNCTION("""COMPUTED_VALUE"""),"CV Malik Nusantara")</f>
        <v>CV Malik Nusantara</v>
      </c>
      <c r="F3711" s="211" t="str">
        <f>IFERROR(__xludf.DUMMYFUNCTION("""COMPUTED_VALUE"""),"be525f3b")</f>
        <v>be525f3b</v>
      </c>
      <c r="G3711" s="211" t="str">
        <f>IFERROR(__xludf.DUMMYFUNCTION("""COMPUTED_VALUE"""),"LPG 12kg")</f>
        <v>LPG 12kg</v>
      </c>
      <c r="H3711" s="211" t="str">
        <f>IFERROR(__xludf.DUMMYFUNCTION("""COMPUTED_VALUE"""),"OUT")</f>
        <v>OUT</v>
      </c>
      <c r="I3711" s="211" t="str">
        <f>IFERROR(__xludf.DUMMYFUNCTION("""COMPUTED_VALUE"""),"NORMAL")</f>
        <v>NORMAL</v>
      </c>
      <c r="J3711" s="211">
        <f>IFERROR(__xludf.DUMMYFUNCTION("""COMPUTED_VALUE"""),2.0)</f>
        <v>2</v>
      </c>
      <c r="K3711" s="210" t="str">
        <f>IFERROR(__xludf.DUMMYFUNCTION("""COMPUTED_VALUE"""),"L001 L006")</f>
        <v>L001 L006</v>
      </c>
      <c r="L3711" s="211">
        <f>IFERROR(__xludf.DUMMYFUNCTION("""COMPUTED_VALUE"""),200000.0)</f>
        <v>200000</v>
      </c>
      <c r="M3711" s="211"/>
      <c r="N3711" s="211"/>
      <c r="O3711" s="211" t="b">
        <f>IFERROR(__xludf.DUMMYFUNCTION("""COMPUTED_VALUE"""),FALSE)</f>
        <v>0</v>
      </c>
    </row>
    <row r="3712">
      <c r="A3712" s="210" t="str">
        <f>IFERROR(__xludf.DUMMYFUNCTION("""COMPUTED_VALUE"""),"022652572")</f>
        <v>022652572</v>
      </c>
      <c r="B3712" s="210" t="str">
        <f>IFERROR(__xludf.DUMMYFUNCTION("""COMPUTED_VALUE"""),"022652572")</f>
        <v>022652572</v>
      </c>
      <c r="C3712" s="213">
        <f>IFERROR(__xludf.DUMMYFUNCTION("""COMPUTED_VALUE"""),46067.42920138889)</f>
        <v>46067.4292</v>
      </c>
      <c r="D3712" s="211" t="str">
        <f>IFERROR(__xludf.DUMMYFUNCTION("""COMPUTED_VALUE"""),"a1508027")</f>
        <v>a1508027</v>
      </c>
      <c r="E3712" s="211" t="str">
        <f>IFERROR(__xludf.DUMMYFUNCTION("""COMPUTED_VALUE"""),"Agus Budiono")</f>
        <v>Agus Budiono</v>
      </c>
      <c r="F3712" s="211" t="str">
        <f>IFERROR(__xludf.DUMMYFUNCTION("""COMPUTED_VALUE"""),"e8544a46")</f>
        <v>e8544a46</v>
      </c>
      <c r="G3712" s="211" t="str">
        <f>IFERROR(__xludf.DUMMYFUNCTION("""COMPUTED_VALUE"""),"Oksigen 1m3")</f>
        <v>Oksigen 1m3</v>
      </c>
      <c r="H3712" s="211" t="str">
        <f>IFERROR(__xludf.DUMMYFUNCTION("""COMPUTED_VALUE"""),"OUT")</f>
        <v>OUT</v>
      </c>
      <c r="I3712" s="211" t="str">
        <f>IFERROR(__xludf.DUMMYFUNCTION("""COMPUTED_VALUE"""),"NORMAL")</f>
        <v>NORMAL</v>
      </c>
      <c r="J3712" s="211">
        <f>IFERROR(__xludf.DUMMYFUNCTION("""COMPUTED_VALUE"""),1.0)</f>
        <v>1</v>
      </c>
      <c r="K3712" s="210" t="str">
        <f>IFERROR(__xludf.DUMMYFUNCTION("""COMPUTED_VALUE"""),"0005")</f>
        <v>0005</v>
      </c>
      <c r="L3712" s="211">
        <f>IFERROR(__xludf.DUMMYFUNCTION("""COMPUTED_VALUE"""),60000.0)</f>
        <v>60000</v>
      </c>
      <c r="M3712" s="211"/>
      <c r="N3712" s="211"/>
      <c r="O3712" s="211" t="b">
        <f>IFERROR(__xludf.DUMMYFUNCTION("""COMPUTED_VALUE"""),FALSE)</f>
        <v>0</v>
      </c>
    </row>
    <row r="3713">
      <c r="A3713" s="210" t="str">
        <f>IFERROR(__xludf.DUMMYFUNCTION("""COMPUTED_VALUE"""),"022632567")</f>
        <v>022632567</v>
      </c>
      <c r="B3713" s="210" t="str">
        <f>IFERROR(__xludf.DUMMYFUNCTION("""COMPUTED_VALUE"""),"022632567")</f>
        <v>022632567</v>
      </c>
      <c r="C3713" s="213">
        <f>IFERROR(__xludf.DUMMYFUNCTION("""COMPUTED_VALUE"""),46067.41357638889)</f>
        <v>46067.41358</v>
      </c>
      <c r="D3713" s="211" t="str">
        <f>IFERROR(__xludf.DUMMYFUNCTION("""COMPUTED_VALUE"""),"de41c3e8")</f>
        <v>de41c3e8</v>
      </c>
      <c r="E3713" s="211" t="str">
        <f>IFERROR(__xludf.DUMMYFUNCTION("""COMPUTED_VALUE"""),"Bpk. Karsmianto")</f>
        <v>Bpk. Karsmianto</v>
      </c>
      <c r="F3713" s="211" t="str">
        <f>IFERROR(__xludf.DUMMYFUNCTION("""COMPUTED_VALUE"""),"66af7c72")</f>
        <v>66af7c72</v>
      </c>
      <c r="G3713" s="211" t="str">
        <f>IFERROR(__xludf.DUMMYFUNCTION("""COMPUTED_VALUE"""),"Argon 6m3")</f>
        <v>Argon 6m3</v>
      </c>
      <c r="H3713" s="211" t="str">
        <f>IFERROR(__xludf.DUMMYFUNCTION("""COMPUTED_VALUE"""),"OUT")</f>
        <v>OUT</v>
      </c>
      <c r="I3713" s="211" t="str">
        <f>IFERROR(__xludf.DUMMYFUNCTION("""COMPUTED_VALUE"""),"NORMAL")</f>
        <v>NORMAL</v>
      </c>
      <c r="J3713" s="211">
        <f>IFERROR(__xludf.DUMMYFUNCTION("""COMPUTED_VALUE"""),2.0)</f>
        <v>2</v>
      </c>
      <c r="K3713" s="210" t="str">
        <f>IFERROR(__xludf.DUMMYFUNCTION("""COMPUTED_VALUE"""),"12078 12069")</f>
        <v>12078 12069</v>
      </c>
      <c r="L3713" s="211">
        <f>IFERROR(__xludf.DUMMYFUNCTION("""COMPUTED_VALUE"""),225000.0)</f>
        <v>225000</v>
      </c>
      <c r="M3713" s="211"/>
      <c r="N3713" s="211"/>
      <c r="O3713" s="211" t="b">
        <f>IFERROR(__xludf.DUMMYFUNCTION("""COMPUTED_VALUE"""),FALSE)</f>
        <v>0</v>
      </c>
    </row>
    <row r="3714">
      <c r="A3714" s="210" t="str">
        <f>IFERROR(__xludf.DUMMYFUNCTION("""COMPUTED_VALUE"""),"1261235")</f>
        <v>1261235</v>
      </c>
      <c r="B3714" s="210" t="str">
        <f>IFERROR(__xludf.DUMMYFUNCTION("""COMPUTED_VALUE"""),"1261235")</f>
        <v>1261235</v>
      </c>
      <c r="C3714" s="213">
        <f>IFERROR(__xludf.DUMMYFUNCTION("""COMPUTED_VALUE"""),46067.52758101852)</f>
        <v>46067.52758</v>
      </c>
      <c r="D3714" s="211" t="str">
        <f>IFERROR(__xludf.DUMMYFUNCTION("""COMPUTED_VALUE"""),"b2b5f2c5")</f>
        <v>b2b5f2c5</v>
      </c>
      <c r="E3714" s="211" t="str">
        <f>IFERROR(__xludf.DUMMYFUNCTION("""COMPUTED_VALUE"""),"Bengkel Las Bpk. Ari")</f>
        <v>Bengkel Las Bpk. Ari</v>
      </c>
      <c r="F3714" s="211" t="str">
        <f>IFERROR(__xludf.DUMMYFUNCTION("""COMPUTED_VALUE"""),"8bdbe149")</f>
        <v>8bdbe149</v>
      </c>
      <c r="G3714" s="211" t="str">
        <f>IFERROR(__xludf.DUMMYFUNCTION("""COMPUTED_VALUE"""),"Oksigen 6m3")</f>
        <v>Oksigen 6m3</v>
      </c>
      <c r="H3714" s="211" t="str">
        <f>IFERROR(__xludf.DUMMYFUNCTION("""COMPUTED_VALUE"""),"IN")</f>
        <v>IN</v>
      </c>
      <c r="I3714" s="211" t="str">
        <f>IFERROR(__xludf.DUMMYFUNCTION("""COMPUTED_VALUE"""),"EMPTY")</f>
        <v>EMPTY</v>
      </c>
      <c r="J3714" s="211">
        <f>IFERROR(__xludf.DUMMYFUNCTION("""COMPUTED_VALUE"""),1.0)</f>
        <v>1</v>
      </c>
      <c r="K3714" s="210" t="str">
        <f>IFERROR(__xludf.DUMMYFUNCTION("""COMPUTED_VALUE"""),"1187")</f>
        <v>1187</v>
      </c>
      <c r="L3714" s="211">
        <f>IFERROR(__xludf.DUMMYFUNCTION("""COMPUTED_VALUE"""),0.0)</f>
        <v>0</v>
      </c>
      <c r="M3714" s="211"/>
      <c r="N3714" s="211"/>
      <c r="O3714" s="211" t="b">
        <f>IFERROR(__xludf.DUMMYFUNCTION("""COMPUTED_VALUE"""),FALSE)</f>
        <v>0</v>
      </c>
    </row>
    <row r="3715">
      <c r="A3715" s="210" t="str">
        <f>IFERROR(__xludf.DUMMYFUNCTION("""COMPUTED_VALUE"""),"1261235")</f>
        <v>1261235</v>
      </c>
      <c r="B3715" s="210" t="str">
        <f>IFERROR(__xludf.DUMMYFUNCTION("""COMPUTED_VALUE"""),"1261235")</f>
        <v>1261235</v>
      </c>
      <c r="C3715" s="213">
        <f>IFERROR(__xludf.DUMMYFUNCTION("""COMPUTED_VALUE"""),46067.52758101852)</f>
        <v>46067.52758</v>
      </c>
      <c r="D3715" s="211" t="str">
        <f>IFERROR(__xludf.DUMMYFUNCTION("""COMPUTED_VALUE"""),"b2b5f2c5")</f>
        <v>b2b5f2c5</v>
      </c>
      <c r="E3715" s="211" t="str">
        <f>IFERROR(__xludf.DUMMYFUNCTION("""COMPUTED_VALUE"""),"Bengkel Las Bpk. Ari")</f>
        <v>Bengkel Las Bpk. Ari</v>
      </c>
      <c r="F3715" s="211" t="str">
        <f>IFERROR(__xludf.DUMMYFUNCTION("""COMPUTED_VALUE"""),"7d2764f1")</f>
        <v>7d2764f1</v>
      </c>
      <c r="G3715" s="211" t="str">
        <f>IFERROR(__xludf.DUMMYFUNCTION("""COMPUTED_VALUE"""),"Oksigen 7m3")</f>
        <v>Oksigen 7m3</v>
      </c>
      <c r="H3715" s="211" t="str">
        <f>IFERROR(__xludf.DUMMYFUNCTION("""COMPUTED_VALUE"""),"IN")</f>
        <v>IN</v>
      </c>
      <c r="I3715" s="211" t="str">
        <f>IFERROR(__xludf.DUMMYFUNCTION("""COMPUTED_VALUE"""),"EMPTY")</f>
        <v>EMPTY</v>
      </c>
      <c r="J3715" s="211">
        <f>IFERROR(__xludf.DUMMYFUNCTION("""COMPUTED_VALUE"""),1.0)</f>
        <v>1</v>
      </c>
      <c r="K3715" s="210" t="str">
        <f>IFERROR(__xludf.DUMMYFUNCTION("""COMPUTED_VALUE"""),"11155")</f>
        <v>11155</v>
      </c>
      <c r="L3715" s="211">
        <f>IFERROR(__xludf.DUMMYFUNCTION("""COMPUTED_VALUE"""),0.0)</f>
        <v>0</v>
      </c>
      <c r="M3715" s="211"/>
      <c r="N3715" s="211"/>
      <c r="O3715" s="211" t="b">
        <f>IFERROR(__xludf.DUMMYFUNCTION("""COMPUTED_VALUE"""),FALSE)</f>
        <v>0</v>
      </c>
    </row>
    <row r="3716">
      <c r="A3716" s="210" t="str">
        <f>IFERROR(__xludf.DUMMYFUNCTION("""COMPUTED_VALUE"""),"1261235")</f>
        <v>1261235</v>
      </c>
      <c r="B3716" s="210" t="str">
        <f>IFERROR(__xludf.DUMMYFUNCTION("""COMPUTED_VALUE"""),"1261235")</f>
        <v>1261235</v>
      </c>
      <c r="C3716" s="213">
        <f>IFERROR(__xludf.DUMMYFUNCTION("""COMPUTED_VALUE"""),46067.52758101852)</f>
        <v>46067.52758</v>
      </c>
      <c r="D3716" s="211" t="str">
        <f>IFERROR(__xludf.DUMMYFUNCTION("""COMPUTED_VALUE"""),"b2b5f2c5")</f>
        <v>b2b5f2c5</v>
      </c>
      <c r="E3716" s="211" t="str">
        <f>IFERROR(__xludf.DUMMYFUNCTION("""COMPUTED_VALUE"""),"Bengkel Las Bpk. Ari")</f>
        <v>Bengkel Las Bpk. Ari</v>
      </c>
      <c r="F3716" s="211" t="str">
        <f>IFERROR(__xludf.DUMMYFUNCTION("""COMPUTED_VALUE"""),"ef306e54")</f>
        <v>ef306e54</v>
      </c>
      <c r="G3716" s="211" t="str">
        <f>IFERROR(__xludf.DUMMYFUNCTION("""COMPUTED_VALUE"""),"Karbondioksida")</f>
        <v>Karbondioksida</v>
      </c>
      <c r="H3716" s="211" t="str">
        <f>IFERROR(__xludf.DUMMYFUNCTION("""COMPUTED_VALUE"""),"IN")</f>
        <v>IN</v>
      </c>
      <c r="I3716" s="211" t="str">
        <f>IFERROR(__xludf.DUMMYFUNCTION("""COMPUTED_VALUE"""),"EMPTY")</f>
        <v>EMPTY</v>
      </c>
      <c r="J3716" s="211">
        <f>IFERROR(__xludf.DUMMYFUNCTION("""COMPUTED_VALUE"""),1.0)</f>
        <v>1</v>
      </c>
      <c r="K3716" s="210" t="str">
        <f>IFERROR(__xludf.DUMMYFUNCTION("""COMPUTED_VALUE"""),"13069")</f>
        <v>13069</v>
      </c>
      <c r="L3716" s="211">
        <f>IFERROR(__xludf.DUMMYFUNCTION("""COMPUTED_VALUE"""),0.0)</f>
        <v>0</v>
      </c>
      <c r="M3716" s="211"/>
      <c r="N3716" s="211"/>
      <c r="O3716" s="211" t="b">
        <f>IFERROR(__xludf.DUMMYFUNCTION("""COMPUTED_VALUE"""),FALSE)</f>
        <v>0</v>
      </c>
    </row>
    <row r="3717">
      <c r="A3717" s="210" t="str">
        <f>IFERROR(__xludf.DUMMYFUNCTION("""COMPUTED_VALUE"""),"0226202571")</f>
        <v>0226202571</v>
      </c>
      <c r="B3717" s="210" t="str">
        <f>IFERROR(__xludf.DUMMYFUNCTION("""COMPUTED_VALUE"""),"0226202571")</f>
        <v>0226202571</v>
      </c>
      <c r="C3717" s="213">
        <f>IFERROR(__xludf.DUMMYFUNCTION("""COMPUTED_VALUE"""),46067.4143287037)</f>
        <v>46067.41433</v>
      </c>
      <c r="D3717" s="211" t="str">
        <f>IFERROR(__xludf.DUMMYFUNCTION("""COMPUTED_VALUE"""),"b218b89b")</f>
        <v>b218b89b</v>
      </c>
      <c r="E3717" s="211" t="str">
        <f>IFERROR(__xludf.DUMMYFUNCTION("""COMPUTED_VALUE"""),"PT Harapan Sentosa")</f>
        <v>PT Harapan Sentosa</v>
      </c>
      <c r="F3717" s="211" t="str">
        <f>IFERROR(__xludf.DUMMYFUNCTION("""COMPUTED_VALUE"""),"ef306e54")</f>
        <v>ef306e54</v>
      </c>
      <c r="G3717" s="211" t="str">
        <f>IFERROR(__xludf.DUMMYFUNCTION("""COMPUTED_VALUE"""),"Karbondioksida")</f>
        <v>Karbondioksida</v>
      </c>
      <c r="H3717" s="211" t="str">
        <f>IFERROR(__xludf.DUMMYFUNCTION("""COMPUTED_VALUE"""),"OUT")</f>
        <v>OUT</v>
      </c>
      <c r="I3717" s="211" t="str">
        <f>IFERROR(__xludf.DUMMYFUNCTION("""COMPUTED_VALUE"""),"NORMAL")</f>
        <v>NORMAL</v>
      </c>
      <c r="J3717" s="211">
        <f>IFERROR(__xludf.DUMMYFUNCTION("""COMPUTED_VALUE"""),4.0)</f>
        <v>4</v>
      </c>
      <c r="K3717" s="210" t="str">
        <f>IFERROR(__xludf.DUMMYFUNCTION("""COMPUTED_VALUE"""),"13025 13031 13057 13030")</f>
        <v>13025 13031 13057 13030</v>
      </c>
      <c r="L3717" s="211">
        <f>IFERROR(__xludf.DUMMYFUNCTION("""COMPUTED_VALUE"""),210000.0)</f>
        <v>210000</v>
      </c>
      <c r="M3717" s="211"/>
      <c r="N3717" s="211"/>
      <c r="O3717" s="211" t="b">
        <f>IFERROR(__xludf.DUMMYFUNCTION("""COMPUTED_VALUE"""),FALSE)</f>
        <v>0</v>
      </c>
    </row>
    <row r="3718">
      <c r="A3718" s="210" t="str">
        <f>IFERROR(__xludf.DUMMYFUNCTION("""COMPUTED_VALUE"""),"0226202571")</f>
        <v>0226202571</v>
      </c>
      <c r="B3718" s="210" t="str">
        <f>IFERROR(__xludf.DUMMYFUNCTION("""COMPUTED_VALUE"""),"0226202571")</f>
        <v>0226202571</v>
      </c>
      <c r="C3718" s="213">
        <f>IFERROR(__xludf.DUMMYFUNCTION("""COMPUTED_VALUE"""),46067.4143287037)</f>
        <v>46067.41433</v>
      </c>
      <c r="D3718" s="211" t="str">
        <f>IFERROR(__xludf.DUMMYFUNCTION("""COMPUTED_VALUE"""),"b218b89b")</f>
        <v>b218b89b</v>
      </c>
      <c r="E3718" s="211" t="str">
        <f>IFERROR(__xludf.DUMMYFUNCTION("""COMPUTED_VALUE"""),"PT Harapan Sentosa")</f>
        <v>PT Harapan Sentosa</v>
      </c>
      <c r="F3718" s="211" t="str">
        <f>IFERROR(__xludf.DUMMYFUNCTION("""COMPUTED_VALUE"""),"ef306e54")</f>
        <v>ef306e54</v>
      </c>
      <c r="G3718" s="211" t="str">
        <f>IFERROR(__xludf.DUMMYFUNCTION("""COMPUTED_VALUE"""),"Karbondioksida")</f>
        <v>Karbondioksida</v>
      </c>
      <c r="H3718" s="211" t="str">
        <f>IFERROR(__xludf.DUMMYFUNCTION("""COMPUTED_VALUE"""),"OUT")</f>
        <v>OUT</v>
      </c>
      <c r="I3718" s="211" t="str">
        <f>IFERROR(__xludf.DUMMYFUNCTION("""COMPUTED_VALUE"""),"NORMAL")</f>
        <v>NORMAL</v>
      </c>
      <c r="J3718" s="211">
        <f>IFERROR(__xludf.DUMMYFUNCTION("""COMPUTED_VALUE"""),1.0)</f>
        <v>1</v>
      </c>
      <c r="K3718" s="210" t="str">
        <f>IFERROR(__xludf.DUMMYFUNCTION("""COMPUTED_VALUE"""),"13061")</f>
        <v>13061</v>
      </c>
      <c r="L3718" s="211">
        <f>IFERROR(__xludf.DUMMYFUNCTION("""COMPUTED_VALUE"""),210000.0)</f>
        <v>210000</v>
      </c>
      <c r="M3718" s="211"/>
      <c r="N3718" s="211"/>
      <c r="O3718" s="211" t="b">
        <f>IFERROR(__xludf.DUMMYFUNCTION("""COMPUTED_VALUE"""),TRUE)</f>
        <v>1</v>
      </c>
    </row>
    <row r="3719">
      <c r="A3719" s="210" t="str">
        <f>IFERROR(__xludf.DUMMYFUNCTION("""COMPUTED_VALUE"""),"022662573")</f>
        <v>022662573</v>
      </c>
      <c r="B3719" s="210" t="str">
        <f>IFERROR(__xludf.DUMMYFUNCTION("""COMPUTED_VALUE"""),"022662573")</f>
        <v>022662573</v>
      </c>
      <c r="C3719" s="213">
        <f>IFERROR(__xludf.DUMMYFUNCTION("""COMPUTED_VALUE"""),46067.52868055556)</f>
        <v>46067.52868</v>
      </c>
      <c r="D3719" s="211" t="str">
        <f>IFERROR(__xludf.DUMMYFUNCTION("""COMPUTED_VALUE"""),"1c4d5e93")</f>
        <v>1c4d5e93</v>
      </c>
      <c r="E3719" s="211" t="str">
        <f>IFERROR(__xludf.DUMMYFUNCTION("""COMPUTED_VALUE"""),"Karoseri Cipta Mitra Sukses")</f>
        <v>Karoseri Cipta Mitra Sukses</v>
      </c>
      <c r="F3719" s="211" t="str">
        <f>IFERROR(__xludf.DUMMYFUNCTION("""COMPUTED_VALUE"""),"ef306e54")</f>
        <v>ef306e54</v>
      </c>
      <c r="G3719" s="211" t="str">
        <f>IFERROR(__xludf.DUMMYFUNCTION("""COMPUTED_VALUE"""),"Karbondioksida")</f>
        <v>Karbondioksida</v>
      </c>
      <c r="H3719" s="211" t="str">
        <f>IFERROR(__xludf.DUMMYFUNCTION("""COMPUTED_VALUE"""),"OUT")</f>
        <v>OUT</v>
      </c>
      <c r="I3719" s="211" t="str">
        <f>IFERROR(__xludf.DUMMYFUNCTION("""COMPUTED_VALUE"""),"NORMAL")</f>
        <v>NORMAL</v>
      </c>
      <c r="J3719" s="211">
        <f>IFERROR(__xludf.DUMMYFUNCTION("""COMPUTED_VALUE"""),1.0)</f>
        <v>1</v>
      </c>
      <c r="K3719" s="210" t="str">
        <f>IFERROR(__xludf.DUMMYFUNCTION("""COMPUTED_VALUE"""),"13015")</f>
        <v>13015</v>
      </c>
      <c r="L3719" s="211">
        <f>IFERROR(__xludf.DUMMYFUNCTION("""COMPUTED_VALUE"""),190000.0)</f>
        <v>190000</v>
      </c>
      <c r="M3719" s="211"/>
      <c r="N3719" s="211"/>
      <c r="O3719" s="211" t="b">
        <f>IFERROR(__xludf.DUMMYFUNCTION("""COMPUTED_VALUE"""),FALSE)</f>
        <v>0</v>
      </c>
    </row>
    <row r="3720">
      <c r="A3720" s="211"/>
      <c r="B3720" s="211"/>
      <c r="C3720" s="211"/>
      <c r="D3720" s="211"/>
      <c r="E3720" s="211"/>
      <c r="F3720" s="211"/>
      <c r="G3720" s="211"/>
      <c r="H3720" s="211"/>
      <c r="I3720" s="211"/>
      <c r="J3720" s="211"/>
      <c r="K3720" s="211"/>
      <c r="L3720" s="211"/>
      <c r="M3720" s="211"/>
      <c r="N3720" s="211"/>
      <c r="O3720" s="211"/>
    </row>
    <row r="3721">
      <c r="A3721" s="210" t="str">
        <f>IFERROR(__xludf.DUMMYFUNCTION("""COMPUTED_VALUE"""),"1261250")</f>
        <v>1261250</v>
      </c>
      <c r="B3721" s="210" t="str">
        <f>IFERROR(__xludf.DUMMYFUNCTION("""COMPUTED_VALUE"""),"1261250")</f>
        <v>1261250</v>
      </c>
      <c r="C3721" s="213">
        <f>IFERROR(__xludf.DUMMYFUNCTION("""COMPUTED_VALUE"""),46066.53392361111)</f>
        <v>46066.53392</v>
      </c>
      <c r="D3721" s="211" t="str">
        <f>IFERROR(__xludf.DUMMYFUNCTION("""COMPUTED_VALUE"""),"1c4d5e93")</f>
        <v>1c4d5e93</v>
      </c>
      <c r="E3721" s="211" t="str">
        <f>IFERROR(__xludf.DUMMYFUNCTION("""COMPUTED_VALUE"""),"Karoseri Cipta Mitra Sukses")</f>
        <v>Karoseri Cipta Mitra Sukses</v>
      </c>
      <c r="F3721" s="211" t="str">
        <f>IFERROR(__xludf.DUMMYFUNCTION("""COMPUTED_VALUE"""),"ef306e54")</f>
        <v>ef306e54</v>
      </c>
      <c r="G3721" s="211" t="str">
        <f>IFERROR(__xludf.DUMMYFUNCTION("""COMPUTED_VALUE"""),"Karbondioksida")</f>
        <v>Karbondioksida</v>
      </c>
      <c r="H3721" s="211" t="str">
        <f>IFERROR(__xludf.DUMMYFUNCTION("""COMPUTED_VALUE"""),"IN")</f>
        <v>IN</v>
      </c>
      <c r="I3721" s="211" t="str">
        <f>IFERROR(__xludf.DUMMYFUNCTION("""COMPUTED_VALUE"""),"EMPTY")</f>
        <v>EMPTY</v>
      </c>
      <c r="J3721" s="211">
        <f>IFERROR(__xludf.DUMMYFUNCTION("""COMPUTED_VALUE"""),2.0)</f>
        <v>2</v>
      </c>
      <c r="K3721" s="210" t="str">
        <f>IFERROR(__xludf.DUMMYFUNCTION("""COMPUTED_VALUE"""),"13061 13013")</f>
        <v>13061 13013</v>
      </c>
      <c r="L3721" s="211">
        <f>IFERROR(__xludf.DUMMYFUNCTION("""COMPUTED_VALUE"""),0.0)</f>
        <v>0</v>
      </c>
      <c r="M3721" s="211"/>
      <c r="N3721" s="211"/>
      <c r="O3721" s="211" t="b">
        <f>IFERROR(__xludf.DUMMYFUNCTION("""COMPUTED_VALUE"""),FALSE)</f>
        <v>0</v>
      </c>
    </row>
    <row r="3722">
      <c r="A3722" s="210" t="str">
        <f>IFERROR(__xludf.DUMMYFUNCTION("""COMPUTED_VALUE"""),"1261234")</f>
        <v>1261234</v>
      </c>
      <c r="B3722" s="210" t="str">
        <f>IFERROR(__xludf.DUMMYFUNCTION("""COMPUTED_VALUE"""),"1261234")</f>
        <v>1261234</v>
      </c>
      <c r="C3722" s="213">
        <f>IFERROR(__xludf.DUMMYFUNCTION("""COMPUTED_VALUE"""),46067.539976851855)</f>
        <v>46067.53998</v>
      </c>
      <c r="D3722" s="211" t="str">
        <f>IFERROR(__xludf.DUMMYFUNCTION("""COMPUTED_VALUE"""),"9828dfc5")</f>
        <v>9828dfc5</v>
      </c>
      <c r="E3722" s="211" t="str">
        <f>IFERROR(__xludf.DUMMYFUNCTION("""COMPUTED_VALUE"""),"Bpk. David")</f>
        <v>Bpk. David</v>
      </c>
      <c r="F3722" s="211" t="str">
        <f>IFERROR(__xludf.DUMMYFUNCTION("""COMPUTED_VALUE"""),"8bdbe149")</f>
        <v>8bdbe149</v>
      </c>
      <c r="G3722" s="211" t="str">
        <f>IFERROR(__xludf.DUMMYFUNCTION("""COMPUTED_VALUE"""),"Oksigen 6m3")</f>
        <v>Oksigen 6m3</v>
      </c>
      <c r="H3722" s="211" t="str">
        <f>IFERROR(__xludf.DUMMYFUNCTION("""COMPUTED_VALUE"""),"IN")</f>
        <v>IN</v>
      </c>
      <c r="I3722" s="211" t="str">
        <f>IFERROR(__xludf.DUMMYFUNCTION("""COMPUTED_VALUE"""),"EMPTY")</f>
        <v>EMPTY</v>
      </c>
      <c r="J3722" s="211">
        <f>IFERROR(__xludf.DUMMYFUNCTION("""COMPUTED_VALUE"""),4.0)</f>
        <v>4</v>
      </c>
      <c r="K3722" s="210" t="str">
        <f>IFERROR(__xludf.DUMMYFUNCTION("""COMPUTED_VALUE"""),"11117 11182 11340 11343")</f>
        <v>11117 11182 11340 11343</v>
      </c>
      <c r="L3722" s="211">
        <f>IFERROR(__xludf.DUMMYFUNCTION("""COMPUTED_VALUE"""),0.0)</f>
        <v>0</v>
      </c>
      <c r="M3722" s="211"/>
      <c r="N3722" s="211"/>
      <c r="O3722" s="211" t="b">
        <f>IFERROR(__xludf.DUMMYFUNCTION("""COMPUTED_VALUE"""),FALSE)</f>
        <v>0</v>
      </c>
    </row>
    <row r="3723">
      <c r="A3723" s="210" t="str">
        <f>IFERROR(__xludf.DUMMYFUNCTION("""COMPUTED_VALUE"""),"1261234")</f>
        <v>1261234</v>
      </c>
      <c r="B3723" s="210" t="str">
        <f>IFERROR(__xludf.DUMMYFUNCTION("""COMPUTED_VALUE"""),"1261234")</f>
        <v>1261234</v>
      </c>
      <c r="C3723" s="213">
        <f>IFERROR(__xludf.DUMMYFUNCTION("""COMPUTED_VALUE"""),46067.539976851855)</f>
        <v>46067.53998</v>
      </c>
      <c r="D3723" s="211" t="str">
        <f>IFERROR(__xludf.DUMMYFUNCTION("""COMPUTED_VALUE"""),"9828dfc5")</f>
        <v>9828dfc5</v>
      </c>
      <c r="E3723" s="211" t="str">
        <f>IFERROR(__xludf.DUMMYFUNCTION("""COMPUTED_VALUE"""),"Bpk. David")</f>
        <v>Bpk. David</v>
      </c>
      <c r="F3723" s="211" t="str">
        <f>IFERROR(__xludf.DUMMYFUNCTION("""COMPUTED_VALUE"""),"7d2764f1")</f>
        <v>7d2764f1</v>
      </c>
      <c r="G3723" s="211" t="str">
        <f>IFERROR(__xludf.DUMMYFUNCTION("""COMPUTED_VALUE"""),"Oksigen 7m3")</f>
        <v>Oksigen 7m3</v>
      </c>
      <c r="H3723" s="211" t="str">
        <f>IFERROR(__xludf.DUMMYFUNCTION("""COMPUTED_VALUE"""),"IN")</f>
        <v>IN</v>
      </c>
      <c r="I3723" s="211" t="str">
        <f>IFERROR(__xludf.DUMMYFUNCTION("""COMPUTED_VALUE"""),"EMPTY")</f>
        <v>EMPTY</v>
      </c>
      <c r="J3723" s="211">
        <f>IFERROR(__xludf.DUMMYFUNCTION("""COMPUTED_VALUE"""),2.0)</f>
        <v>2</v>
      </c>
      <c r="K3723" s="210" t="str">
        <f>IFERROR(__xludf.DUMMYFUNCTION("""COMPUTED_VALUE"""),"11150 11172")</f>
        <v>11150 11172</v>
      </c>
      <c r="L3723" s="211">
        <f>IFERROR(__xludf.DUMMYFUNCTION("""COMPUTED_VALUE"""),0.0)</f>
        <v>0</v>
      </c>
      <c r="M3723" s="211"/>
      <c r="N3723" s="211"/>
      <c r="O3723" s="211" t="b">
        <f>IFERROR(__xludf.DUMMYFUNCTION("""COMPUTED_VALUE"""),FALSE)</f>
        <v>0</v>
      </c>
    </row>
    <row r="3724">
      <c r="A3724" s="210" t="str">
        <f>IFERROR(__xludf.DUMMYFUNCTION("""COMPUTED_VALUE"""),"1261274")</f>
        <v>1261274</v>
      </c>
      <c r="B3724" s="210" t="str">
        <f>IFERROR(__xludf.DUMMYFUNCTION("""COMPUTED_VALUE"""),"1261274")</f>
        <v>1261274</v>
      </c>
      <c r="C3724" s="213">
        <f>IFERROR(__xludf.DUMMYFUNCTION("""COMPUTED_VALUE"""),46067.59230324074)</f>
        <v>46067.5923</v>
      </c>
      <c r="D3724" s="211" t="str">
        <f>IFERROR(__xludf.DUMMYFUNCTION("""COMPUTED_VALUE"""),"de41c3e8")</f>
        <v>de41c3e8</v>
      </c>
      <c r="E3724" s="211" t="str">
        <f>IFERROR(__xludf.DUMMYFUNCTION("""COMPUTED_VALUE"""),"Bpk. Karsmianto")</f>
        <v>Bpk. Karsmianto</v>
      </c>
      <c r="F3724" s="211" t="str">
        <f>IFERROR(__xludf.DUMMYFUNCTION("""COMPUTED_VALUE"""),"66af7c72")</f>
        <v>66af7c72</v>
      </c>
      <c r="G3724" s="211" t="str">
        <f>IFERROR(__xludf.DUMMYFUNCTION("""COMPUTED_VALUE"""),"Argon 6m3")</f>
        <v>Argon 6m3</v>
      </c>
      <c r="H3724" s="211" t="str">
        <f>IFERROR(__xludf.DUMMYFUNCTION("""COMPUTED_VALUE"""),"IN")</f>
        <v>IN</v>
      </c>
      <c r="I3724" s="211" t="str">
        <f>IFERROR(__xludf.DUMMYFUNCTION("""COMPUTED_VALUE"""),"EMPTY")</f>
        <v>EMPTY</v>
      </c>
      <c r="J3724" s="211">
        <f>IFERROR(__xludf.DUMMYFUNCTION("""COMPUTED_VALUE"""),1.0)</f>
        <v>1</v>
      </c>
      <c r="K3724" s="210" t="str">
        <f>IFERROR(__xludf.DUMMYFUNCTION("""COMPUTED_VALUE"""),"12027")</f>
        <v>12027</v>
      </c>
      <c r="L3724" s="211">
        <f>IFERROR(__xludf.DUMMYFUNCTION("""COMPUTED_VALUE"""),0.0)</f>
        <v>0</v>
      </c>
      <c r="M3724" s="211"/>
      <c r="N3724" s="211"/>
      <c r="O3724" s="211" t="b">
        <f>IFERROR(__xludf.DUMMYFUNCTION("""COMPUTED_VALUE"""),FALSE)</f>
        <v>0</v>
      </c>
    </row>
    <row r="3725">
      <c r="A3725" s="210" t="str">
        <f>IFERROR(__xludf.DUMMYFUNCTION("""COMPUTED_VALUE"""),"1261261")</f>
        <v>1261261</v>
      </c>
      <c r="B3725" s="210" t="str">
        <f>IFERROR(__xludf.DUMMYFUNCTION("""COMPUTED_VALUE"""),"1261261")</f>
        <v>1261261</v>
      </c>
      <c r="C3725" s="213">
        <f>IFERROR(__xludf.DUMMYFUNCTION("""COMPUTED_VALUE"""),46067.70607638889)</f>
        <v>46067.70608</v>
      </c>
      <c r="D3725" s="211" t="str">
        <f>IFERROR(__xludf.DUMMYFUNCTION("""COMPUTED_VALUE"""),"2814d559")</f>
        <v>2814d559</v>
      </c>
      <c r="E3725" s="211" t="str">
        <f>IFERROR(__xludf.DUMMYFUNCTION("""COMPUTED_VALUE"""),"Bpk. Gunarso")</f>
        <v>Bpk. Gunarso</v>
      </c>
      <c r="F3725" s="211" t="str">
        <f>IFERROR(__xludf.DUMMYFUNCTION("""COMPUTED_VALUE"""),"8bdbe149")</f>
        <v>8bdbe149</v>
      </c>
      <c r="G3725" s="211" t="str">
        <f>IFERROR(__xludf.DUMMYFUNCTION("""COMPUTED_VALUE"""),"Oksigen 6m3")</f>
        <v>Oksigen 6m3</v>
      </c>
      <c r="H3725" s="211" t="str">
        <f>IFERROR(__xludf.DUMMYFUNCTION("""COMPUTED_VALUE"""),"IN")</f>
        <v>IN</v>
      </c>
      <c r="I3725" s="211" t="str">
        <f>IFERROR(__xludf.DUMMYFUNCTION("""COMPUTED_VALUE"""),"EMPTY")</f>
        <v>EMPTY</v>
      </c>
      <c r="J3725" s="211">
        <f>IFERROR(__xludf.DUMMYFUNCTION("""COMPUTED_VALUE"""),5.0)</f>
        <v>5</v>
      </c>
      <c r="K3725" s="210" t="str">
        <f>IFERROR(__xludf.DUMMYFUNCTION("""COMPUTED_VALUE"""),"11252 11199 11239 11176 11103")</f>
        <v>11252 11199 11239 11176 11103</v>
      </c>
      <c r="L3725" s="211">
        <f>IFERROR(__xludf.DUMMYFUNCTION("""COMPUTED_VALUE"""),0.0)</f>
        <v>0</v>
      </c>
      <c r="M3725" s="211"/>
      <c r="N3725" s="211"/>
      <c r="O3725" s="211" t="b">
        <f>IFERROR(__xludf.DUMMYFUNCTION("""COMPUTED_VALUE"""),FALSE)</f>
        <v>0</v>
      </c>
    </row>
    <row r="3726">
      <c r="A3726" s="210" t="str">
        <f>IFERROR(__xludf.DUMMYFUNCTION("""COMPUTED_VALUE"""),"022632576")</f>
        <v>022632576</v>
      </c>
      <c r="B3726" s="210" t="str">
        <f>IFERROR(__xludf.DUMMYFUNCTION("""COMPUTED_VALUE"""),"022632576")</f>
        <v>022632576</v>
      </c>
      <c r="C3726" s="213">
        <f>IFERROR(__xludf.DUMMYFUNCTION("""COMPUTED_VALUE"""),46069.36896990741)</f>
        <v>46069.36897</v>
      </c>
      <c r="D3726" s="211" t="str">
        <f>IFERROR(__xludf.DUMMYFUNCTION("""COMPUTED_VALUE"""),"057b6b99")</f>
        <v>057b6b99</v>
      </c>
      <c r="E3726" s="211" t="str">
        <f>IFERROR(__xludf.DUMMYFUNCTION("""COMPUTED_VALUE"""),"PT Anuta Utama Transport")</f>
        <v>PT Anuta Utama Transport</v>
      </c>
      <c r="F3726" s="211" t="str">
        <f>IFERROR(__xludf.DUMMYFUNCTION("""COMPUTED_VALUE"""),"8bdbe149")</f>
        <v>8bdbe149</v>
      </c>
      <c r="G3726" s="211" t="str">
        <f>IFERROR(__xludf.DUMMYFUNCTION("""COMPUTED_VALUE"""),"Oksigen 6m3")</f>
        <v>Oksigen 6m3</v>
      </c>
      <c r="H3726" s="211" t="str">
        <f>IFERROR(__xludf.DUMMYFUNCTION("""COMPUTED_VALUE"""),"OUT")</f>
        <v>OUT</v>
      </c>
      <c r="I3726" s="211" t="str">
        <f>IFERROR(__xludf.DUMMYFUNCTION("""COMPUTED_VALUE"""),"NORMAL")</f>
        <v>NORMAL</v>
      </c>
      <c r="J3726" s="211">
        <f>IFERROR(__xludf.DUMMYFUNCTION("""COMPUTED_VALUE"""),4.0)</f>
        <v>4</v>
      </c>
      <c r="K3726" s="210" t="str">
        <f>IFERROR(__xludf.DUMMYFUNCTION("""COMPUTED_VALUE"""),"11344 11327 11384 1102")</f>
        <v>11344 11327 11384 1102</v>
      </c>
      <c r="L3726" s="211">
        <f>IFERROR(__xludf.DUMMYFUNCTION("""COMPUTED_VALUE"""),58558.56)</f>
        <v>58558.56</v>
      </c>
      <c r="M3726" s="211"/>
      <c r="N3726" s="211"/>
      <c r="O3726" s="211" t="b">
        <f>IFERROR(__xludf.DUMMYFUNCTION("""COMPUTED_VALUE"""),FALSE)</f>
        <v>0</v>
      </c>
    </row>
    <row r="3727">
      <c r="A3727" s="210" t="str">
        <f>IFERROR(__xludf.DUMMYFUNCTION("""COMPUTED_VALUE"""),"022632576")</f>
        <v>022632576</v>
      </c>
      <c r="B3727" s="210" t="str">
        <f>IFERROR(__xludf.DUMMYFUNCTION("""COMPUTED_VALUE"""),"022632576")</f>
        <v>022632576</v>
      </c>
      <c r="C3727" s="213">
        <f>IFERROR(__xludf.DUMMYFUNCTION("""COMPUTED_VALUE"""),46069.36896990741)</f>
        <v>46069.36897</v>
      </c>
      <c r="D3727" s="211" t="str">
        <f>IFERROR(__xludf.DUMMYFUNCTION("""COMPUTED_VALUE"""),"057b6b99")</f>
        <v>057b6b99</v>
      </c>
      <c r="E3727" s="211" t="str">
        <f>IFERROR(__xludf.DUMMYFUNCTION("""COMPUTED_VALUE"""),"PT Anuta Utama Transport")</f>
        <v>PT Anuta Utama Transport</v>
      </c>
      <c r="F3727" s="211" t="str">
        <f>IFERROR(__xludf.DUMMYFUNCTION("""COMPUTED_VALUE"""),"7d2764f1")</f>
        <v>7d2764f1</v>
      </c>
      <c r="G3727" s="211" t="str">
        <f>IFERROR(__xludf.DUMMYFUNCTION("""COMPUTED_VALUE"""),"Oksigen 7m3")</f>
        <v>Oksigen 7m3</v>
      </c>
      <c r="H3727" s="211" t="str">
        <f>IFERROR(__xludf.DUMMYFUNCTION("""COMPUTED_VALUE"""),"OUT")</f>
        <v>OUT</v>
      </c>
      <c r="I3727" s="211" t="str">
        <f>IFERROR(__xludf.DUMMYFUNCTION("""COMPUTED_VALUE"""),"NORMAL")</f>
        <v>NORMAL</v>
      </c>
      <c r="J3727" s="211">
        <f>IFERROR(__xludf.DUMMYFUNCTION("""COMPUTED_VALUE"""),6.0)</f>
        <v>6</v>
      </c>
      <c r="K3727" s="210" t="str">
        <f>IFERROR(__xludf.DUMMYFUNCTION("""COMPUTED_VALUE"""),"11305 11330 11223 11158 11170 11157")</f>
        <v>11305 11330 11223 11158 11170 11157</v>
      </c>
      <c r="L3727" s="211">
        <f>IFERROR(__xludf.DUMMYFUNCTION("""COMPUTED_VALUE"""),58558.56)</f>
        <v>58558.56</v>
      </c>
      <c r="M3727" s="211"/>
      <c r="N3727" s="211"/>
      <c r="O3727" s="211" t="b">
        <f>IFERROR(__xludf.DUMMYFUNCTION("""COMPUTED_VALUE"""),FALSE)</f>
        <v>0</v>
      </c>
    </row>
    <row r="3728">
      <c r="A3728" s="210" t="str">
        <f>IFERROR(__xludf.DUMMYFUNCTION("""COMPUTED_VALUE"""),"022632576")</f>
        <v>022632576</v>
      </c>
      <c r="B3728" s="210" t="str">
        <f>IFERROR(__xludf.DUMMYFUNCTION("""COMPUTED_VALUE"""),"022632576")</f>
        <v>022632576</v>
      </c>
      <c r="C3728" s="213">
        <f>IFERROR(__xludf.DUMMYFUNCTION("""COMPUTED_VALUE"""),46069.36896990741)</f>
        <v>46069.36897</v>
      </c>
      <c r="D3728" s="211" t="str">
        <f>IFERROR(__xludf.DUMMYFUNCTION("""COMPUTED_VALUE"""),"057b6b99")</f>
        <v>057b6b99</v>
      </c>
      <c r="E3728" s="211" t="str">
        <f>IFERROR(__xludf.DUMMYFUNCTION("""COMPUTED_VALUE"""),"PT Anuta Utama Transport")</f>
        <v>PT Anuta Utama Transport</v>
      </c>
      <c r="F3728" s="211" t="str">
        <f>IFERROR(__xludf.DUMMYFUNCTION("""COMPUTED_VALUE"""),"be525f3b")</f>
        <v>be525f3b</v>
      </c>
      <c r="G3728" s="211" t="str">
        <f>IFERROR(__xludf.DUMMYFUNCTION("""COMPUTED_VALUE"""),"LPG 12kg")</f>
        <v>LPG 12kg</v>
      </c>
      <c r="H3728" s="211" t="str">
        <f>IFERROR(__xludf.DUMMYFUNCTION("""COMPUTED_VALUE"""),"OUT")</f>
        <v>OUT</v>
      </c>
      <c r="I3728" s="211" t="str">
        <f>IFERROR(__xludf.DUMMYFUNCTION("""COMPUTED_VALUE"""),"NORMAL")</f>
        <v>NORMAL</v>
      </c>
      <c r="J3728" s="211">
        <f>IFERROR(__xludf.DUMMYFUNCTION("""COMPUTED_VALUE"""),1.0)</f>
        <v>1</v>
      </c>
      <c r="K3728" s="210" t="str">
        <f>IFERROR(__xludf.DUMMYFUNCTION("""COMPUTED_VALUE"""),"L007")</f>
        <v>L007</v>
      </c>
      <c r="L3728" s="211">
        <f>IFERROR(__xludf.DUMMYFUNCTION("""COMPUTED_VALUE"""),205000.0)</f>
        <v>205000</v>
      </c>
      <c r="M3728" s="211"/>
      <c r="N3728" s="211"/>
      <c r="O3728" s="211" t="b">
        <f>IFERROR(__xludf.DUMMYFUNCTION("""COMPUTED_VALUE"""),FALSE)</f>
        <v>0</v>
      </c>
    </row>
    <row r="3729">
      <c r="A3729" s="210" t="str">
        <f>IFERROR(__xludf.DUMMYFUNCTION("""COMPUTED_VALUE"""),"1261237")</f>
        <v>1261237</v>
      </c>
      <c r="B3729" s="210" t="str">
        <f>IFERROR(__xludf.DUMMYFUNCTION("""COMPUTED_VALUE"""),"1261237")</f>
        <v>1261237</v>
      </c>
      <c r="C3729" s="213">
        <f>IFERROR(__xludf.DUMMYFUNCTION("""COMPUTED_VALUE"""),46069.53575231481)</f>
        <v>46069.53575</v>
      </c>
      <c r="D3729" s="211" t="str">
        <f>IFERROR(__xludf.DUMMYFUNCTION("""COMPUTED_VALUE"""),"ed4307f6")</f>
        <v>ed4307f6</v>
      </c>
      <c r="E3729" s="211" t="str">
        <f>IFERROR(__xludf.DUMMYFUNCTION("""COMPUTED_VALUE"""),"Bpk. Andi (Jetis)")</f>
        <v>Bpk. Andi (Jetis)</v>
      </c>
      <c r="F3729" s="211" t="str">
        <f>IFERROR(__xludf.DUMMYFUNCTION("""COMPUTED_VALUE"""),"f6aab7a9")</f>
        <v>f6aab7a9</v>
      </c>
      <c r="G3729" s="211" t="str">
        <f>IFERROR(__xludf.DUMMYFUNCTION("""COMPUTED_VALUE"""),"Oksigen 6m3 MR")</f>
        <v>Oksigen 6m3 MR</v>
      </c>
      <c r="H3729" s="211" t="str">
        <f>IFERROR(__xludf.DUMMYFUNCTION("""COMPUTED_VALUE"""),"IN")</f>
        <v>IN</v>
      </c>
      <c r="I3729" s="211" t="str">
        <f>IFERROR(__xludf.DUMMYFUNCTION("""COMPUTED_VALUE"""),"EMPTY")</f>
        <v>EMPTY</v>
      </c>
      <c r="J3729" s="211">
        <f>IFERROR(__xludf.DUMMYFUNCTION("""COMPUTED_VALUE"""),37.0)</f>
        <v>37</v>
      </c>
      <c r="K3729" s="211"/>
      <c r="L3729" s="211">
        <f>IFERROR(__xludf.DUMMYFUNCTION("""COMPUTED_VALUE"""),0.0)</f>
        <v>0</v>
      </c>
      <c r="M3729" s="211"/>
      <c r="N3729" s="211"/>
      <c r="O3729" s="211" t="b">
        <f>IFERROR(__xludf.DUMMYFUNCTION("""COMPUTED_VALUE"""),FALSE)</f>
        <v>0</v>
      </c>
    </row>
    <row r="3730">
      <c r="A3730" s="210" t="str">
        <f>IFERROR(__xludf.DUMMYFUNCTION("""COMPUTED_VALUE"""),"022662581")</f>
        <v>022662581</v>
      </c>
      <c r="B3730" s="210" t="str">
        <f>IFERROR(__xludf.DUMMYFUNCTION("""COMPUTED_VALUE"""),"022662581")</f>
        <v>022662581</v>
      </c>
      <c r="C3730" s="213">
        <f>IFERROR(__xludf.DUMMYFUNCTION("""COMPUTED_VALUE"""),46069.53619212963)</f>
        <v>46069.53619</v>
      </c>
      <c r="D3730" s="211" t="str">
        <f>IFERROR(__xludf.DUMMYFUNCTION("""COMPUTED_VALUE"""),"ed4307f6")</f>
        <v>ed4307f6</v>
      </c>
      <c r="E3730" s="211" t="str">
        <f>IFERROR(__xludf.DUMMYFUNCTION("""COMPUTED_VALUE"""),"Bpk. Andi (Jetis)")</f>
        <v>Bpk. Andi (Jetis)</v>
      </c>
      <c r="F3730" s="211" t="str">
        <f>IFERROR(__xludf.DUMMYFUNCTION("""COMPUTED_VALUE"""),"f6aab7a9")</f>
        <v>f6aab7a9</v>
      </c>
      <c r="G3730" s="211" t="str">
        <f>IFERROR(__xludf.DUMMYFUNCTION("""COMPUTED_VALUE"""),"Oksigen 6m3 MR")</f>
        <v>Oksigen 6m3 MR</v>
      </c>
      <c r="H3730" s="211" t="str">
        <f>IFERROR(__xludf.DUMMYFUNCTION("""COMPUTED_VALUE"""),"OUT")</f>
        <v>OUT</v>
      </c>
      <c r="I3730" s="211" t="str">
        <f>IFERROR(__xludf.DUMMYFUNCTION("""COMPUTED_VALUE"""),"NORMAL")</f>
        <v>NORMAL</v>
      </c>
      <c r="J3730" s="211">
        <f>IFERROR(__xludf.DUMMYFUNCTION("""COMPUTED_VALUE"""),37.0)</f>
        <v>37</v>
      </c>
      <c r="K3730" s="211"/>
      <c r="L3730" s="211">
        <f>IFERROR(__xludf.DUMMYFUNCTION("""COMPUTED_VALUE"""),50000.0)</f>
        <v>50000</v>
      </c>
      <c r="M3730" s="211"/>
      <c r="N3730" s="211"/>
      <c r="O3730" s="211" t="b">
        <f>IFERROR(__xludf.DUMMYFUNCTION("""COMPUTED_VALUE"""),FALSE)</f>
        <v>0</v>
      </c>
    </row>
    <row r="3731">
      <c r="A3731" s="210" t="str">
        <f>IFERROR(__xludf.DUMMYFUNCTION("""COMPUTED_VALUE"""),"1261277")</f>
        <v>1261277</v>
      </c>
      <c r="B3731" s="210" t="str">
        <f>IFERROR(__xludf.DUMMYFUNCTION("""COMPUTED_VALUE"""),"1261277")</f>
        <v>1261277</v>
      </c>
      <c r="C3731" s="213">
        <f>IFERROR(__xludf.DUMMYFUNCTION("""COMPUTED_VALUE"""),46069.5390162037)</f>
        <v>46069.53902</v>
      </c>
      <c r="D3731" s="211" t="str">
        <f>IFERROR(__xludf.DUMMYFUNCTION("""COMPUTED_VALUE"""),"a0f0ad2d")</f>
        <v>a0f0ad2d</v>
      </c>
      <c r="E3731" s="211" t="str">
        <f>IFERROR(__xludf.DUMMYFUNCTION("""COMPUTED_VALUE"""),"CV. Yulie Jaya")</f>
        <v>CV. Yulie Jaya</v>
      </c>
      <c r="F3731" s="211" t="str">
        <f>IFERROR(__xludf.DUMMYFUNCTION("""COMPUTED_VALUE"""),"8bdbe149")</f>
        <v>8bdbe149</v>
      </c>
      <c r="G3731" s="211" t="str">
        <f>IFERROR(__xludf.DUMMYFUNCTION("""COMPUTED_VALUE"""),"Oksigen 6m3")</f>
        <v>Oksigen 6m3</v>
      </c>
      <c r="H3731" s="211" t="str">
        <f>IFERROR(__xludf.DUMMYFUNCTION("""COMPUTED_VALUE"""),"IN")</f>
        <v>IN</v>
      </c>
      <c r="I3731" s="211" t="str">
        <f>IFERROR(__xludf.DUMMYFUNCTION("""COMPUTED_VALUE"""),"EMPTY")</f>
        <v>EMPTY</v>
      </c>
      <c r="J3731" s="211">
        <f>IFERROR(__xludf.DUMMYFUNCTION("""COMPUTED_VALUE"""),11.0)</f>
        <v>11</v>
      </c>
      <c r="K3731" s="210" t="str">
        <f>IFERROR(__xludf.DUMMYFUNCTION("""COMPUTED_VALUE"""),"1110 11177 1141 1163 11322 11290 11202 11200 11255 1195 11319")</f>
        <v>1110 11177 1141 1163 11322 11290 11202 11200 11255 1195 11319</v>
      </c>
      <c r="L3731" s="211">
        <f>IFERROR(__xludf.DUMMYFUNCTION("""COMPUTED_VALUE"""),0.0)</f>
        <v>0</v>
      </c>
      <c r="M3731" s="211"/>
      <c r="N3731" s="211"/>
      <c r="O3731" s="211" t="b">
        <f>IFERROR(__xludf.DUMMYFUNCTION("""COMPUTED_VALUE"""),FALSE)</f>
        <v>0</v>
      </c>
    </row>
    <row r="3732">
      <c r="A3732" s="211"/>
      <c r="B3732" s="211"/>
      <c r="C3732" s="211"/>
      <c r="D3732" s="211"/>
      <c r="E3732" s="211"/>
      <c r="F3732" s="211"/>
      <c r="G3732" s="211"/>
      <c r="H3732" s="211"/>
      <c r="I3732" s="211"/>
      <c r="J3732" s="211"/>
      <c r="K3732" s="211"/>
      <c r="L3732" s="211"/>
      <c r="M3732" s="211"/>
      <c r="N3732" s="211"/>
      <c r="O3732" s="211"/>
    </row>
    <row r="3733">
      <c r="A3733" s="210" t="str">
        <f>IFERROR(__xludf.DUMMYFUNCTION("""COMPUTED_VALUE"""),"1261275")</f>
        <v>1261275</v>
      </c>
      <c r="B3733" s="210" t="str">
        <f>IFERROR(__xludf.DUMMYFUNCTION("""COMPUTED_VALUE"""),"1261275")</f>
        <v>1261275</v>
      </c>
      <c r="C3733" s="213">
        <f>IFERROR(__xludf.DUMMYFUNCTION("""COMPUTED_VALUE"""),46069.541608796295)</f>
        <v>46069.54161</v>
      </c>
      <c r="D3733" s="211" t="str">
        <f>IFERROR(__xludf.DUMMYFUNCTION("""COMPUTED_VALUE"""),"057b6b99")</f>
        <v>057b6b99</v>
      </c>
      <c r="E3733" s="211" t="str">
        <f>IFERROR(__xludf.DUMMYFUNCTION("""COMPUTED_VALUE"""),"PT Anuta Utama Transport")</f>
        <v>PT Anuta Utama Transport</v>
      </c>
      <c r="F3733" s="211" t="str">
        <f>IFERROR(__xludf.DUMMYFUNCTION("""COMPUTED_VALUE"""),"8bdbe149")</f>
        <v>8bdbe149</v>
      </c>
      <c r="G3733" s="211" t="str">
        <f>IFERROR(__xludf.DUMMYFUNCTION("""COMPUTED_VALUE"""),"Oksigen 6m3")</f>
        <v>Oksigen 6m3</v>
      </c>
      <c r="H3733" s="211" t="str">
        <f>IFERROR(__xludf.DUMMYFUNCTION("""COMPUTED_VALUE"""),"IN")</f>
        <v>IN</v>
      </c>
      <c r="I3733" s="211" t="str">
        <f>IFERROR(__xludf.DUMMYFUNCTION("""COMPUTED_VALUE"""),"EMPTY")</f>
        <v>EMPTY</v>
      </c>
      <c r="J3733" s="211">
        <f>IFERROR(__xludf.DUMMYFUNCTION("""COMPUTED_VALUE"""),1.0)</f>
        <v>1</v>
      </c>
      <c r="K3733" s="210" t="str">
        <f>IFERROR(__xludf.DUMMYFUNCTION("""COMPUTED_VALUE"""),"11316")</f>
        <v>11316</v>
      </c>
      <c r="L3733" s="211">
        <f>IFERROR(__xludf.DUMMYFUNCTION("""COMPUTED_VALUE"""),0.0)</f>
        <v>0</v>
      </c>
      <c r="M3733" s="211"/>
      <c r="N3733" s="211"/>
      <c r="O3733" s="211" t="b">
        <f>IFERROR(__xludf.DUMMYFUNCTION("""COMPUTED_VALUE"""),FALSE)</f>
        <v>0</v>
      </c>
    </row>
    <row r="3734">
      <c r="A3734" s="210" t="str">
        <f>IFERROR(__xludf.DUMMYFUNCTION("""COMPUTED_VALUE"""),"1261275")</f>
        <v>1261275</v>
      </c>
      <c r="B3734" s="210" t="str">
        <f>IFERROR(__xludf.DUMMYFUNCTION("""COMPUTED_VALUE"""),"1261275")</f>
        <v>1261275</v>
      </c>
      <c r="C3734" s="213">
        <f>IFERROR(__xludf.DUMMYFUNCTION("""COMPUTED_VALUE"""),46069.541608796295)</f>
        <v>46069.54161</v>
      </c>
      <c r="D3734" s="211" t="str">
        <f>IFERROR(__xludf.DUMMYFUNCTION("""COMPUTED_VALUE"""),"057b6b99")</f>
        <v>057b6b99</v>
      </c>
      <c r="E3734" s="211" t="str">
        <f>IFERROR(__xludf.DUMMYFUNCTION("""COMPUTED_VALUE"""),"PT Anuta Utama Transport")</f>
        <v>PT Anuta Utama Transport</v>
      </c>
      <c r="F3734" s="211" t="str">
        <f>IFERROR(__xludf.DUMMYFUNCTION("""COMPUTED_VALUE"""),"7d2764f1")</f>
        <v>7d2764f1</v>
      </c>
      <c r="G3734" s="211" t="str">
        <f>IFERROR(__xludf.DUMMYFUNCTION("""COMPUTED_VALUE"""),"Oksigen 7m3")</f>
        <v>Oksigen 7m3</v>
      </c>
      <c r="H3734" s="211" t="str">
        <f>IFERROR(__xludf.DUMMYFUNCTION("""COMPUTED_VALUE"""),"IN")</f>
        <v>IN</v>
      </c>
      <c r="I3734" s="211" t="str">
        <f>IFERROR(__xludf.DUMMYFUNCTION("""COMPUTED_VALUE"""),"EMPTY")</f>
        <v>EMPTY</v>
      </c>
      <c r="J3734" s="211">
        <f>IFERROR(__xludf.DUMMYFUNCTION("""COMPUTED_VALUE"""),5.0)</f>
        <v>5</v>
      </c>
      <c r="K3734" s="210" t="str">
        <f>IFERROR(__xludf.DUMMYFUNCTION("""COMPUTED_VALUE"""),"11314 11140 11226 11212 1128")</f>
        <v>11314 11140 11226 11212 1128</v>
      </c>
      <c r="L3734" s="211">
        <f>IFERROR(__xludf.DUMMYFUNCTION("""COMPUTED_VALUE"""),0.0)</f>
        <v>0</v>
      </c>
      <c r="M3734" s="211"/>
      <c r="N3734" s="211"/>
      <c r="O3734" s="211" t="b">
        <f>IFERROR(__xludf.DUMMYFUNCTION("""COMPUTED_VALUE"""),FALSE)</f>
        <v>0</v>
      </c>
    </row>
    <row r="3735">
      <c r="A3735" s="210" t="str">
        <f>IFERROR(__xludf.DUMMYFUNCTION("""COMPUTED_VALUE"""),"1261277")</f>
        <v>1261277</v>
      </c>
      <c r="B3735" s="210" t="str">
        <f>IFERROR(__xludf.DUMMYFUNCTION("""COMPUTED_VALUE"""),"1261277")</f>
        <v>1261277</v>
      </c>
      <c r="C3735" s="213">
        <f>IFERROR(__xludf.DUMMYFUNCTION("""COMPUTED_VALUE"""),46069.5390162037)</f>
        <v>46069.53902</v>
      </c>
      <c r="D3735" s="211" t="str">
        <f>IFERROR(__xludf.DUMMYFUNCTION("""COMPUTED_VALUE"""),"a0f0ad2d")</f>
        <v>a0f0ad2d</v>
      </c>
      <c r="E3735" s="211" t="str">
        <f>IFERROR(__xludf.DUMMYFUNCTION("""COMPUTED_VALUE"""),"CV. Yulie Jaya")</f>
        <v>CV. Yulie Jaya</v>
      </c>
      <c r="F3735" s="211" t="str">
        <f>IFERROR(__xludf.DUMMYFUNCTION("""COMPUTED_VALUE"""),"be525f3b")</f>
        <v>be525f3b</v>
      </c>
      <c r="G3735" s="211" t="str">
        <f>IFERROR(__xludf.DUMMYFUNCTION("""COMPUTED_VALUE"""),"LPG 12kg")</f>
        <v>LPG 12kg</v>
      </c>
      <c r="H3735" s="211" t="str">
        <f>IFERROR(__xludf.DUMMYFUNCTION("""COMPUTED_VALUE"""),"IN")</f>
        <v>IN</v>
      </c>
      <c r="I3735" s="211" t="str">
        <f>IFERROR(__xludf.DUMMYFUNCTION("""COMPUTED_VALUE"""),"EMPTY")</f>
        <v>EMPTY</v>
      </c>
      <c r="J3735" s="211">
        <f>IFERROR(__xludf.DUMMYFUNCTION("""COMPUTED_VALUE"""),4.0)</f>
        <v>4</v>
      </c>
      <c r="K3735" s="210" t="str">
        <f>IFERROR(__xludf.DUMMYFUNCTION("""COMPUTED_VALUE"""),"L005 L003 L002")</f>
        <v>L005 L003 L002</v>
      </c>
      <c r="L3735" s="211">
        <f>IFERROR(__xludf.DUMMYFUNCTION("""COMPUTED_VALUE"""),0.0)</f>
        <v>0</v>
      </c>
      <c r="M3735" s="211"/>
      <c r="N3735" s="211"/>
      <c r="O3735" s="211" t="b">
        <f>IFERROR(__xludf.DUMMYFUNCTION("""COMPUTED_VALUE"""),FALSE)</f>
        <v>0</v>
      </c>
    </row>
    <row r="3736">
      <c r="A3736" s="210" t="str">
        <f>IFERROR(__xludf.DUMMYFUNCTION("""COMPUTED_VALUE"""),"0226852583")</f>
        <v>0226852583</v>
      </c>
      <c r="B3736" s="210" t="str">
        <f>IFERROR(__xludf.DUMMYFUNCTION("""COMPUTED_VALUE"""),"0226852583")</f>
        <v>0226852583</v>
      </c>
      <c r="C3736" s="213">
        <f>IFERROR(__xludf.DUMMYFUNCTION("""COMPUTED_VALUE"""),46069.54677083333)</f>
        <v>46069.54677</v>
      </c>
      <c r="D3736" s="211" t="str">
        <f>IFERROR(__xludf.DUMMYFUNCTION("""COMPUTED_VALUE"""),"b2b5f2c5")</f>
        <v>b2b5f2c5</v>
      </c>
      <c r="E3736" s="211" t="str">
        <f>IFERROR(__xludf.DUMMYFUNCTION("""COMPUTED_VALUE"""),"Bengkel Las Bpk. Ari")</f>
        <v>Bengkel Las Bpk. Ari</v>
      </c>
      <c r="F3736" s="211" t="str">
        <f>IFERROR(__xludf.DUMMYFUNCTION("""COMPUTED_VALUE"""),"8bdbe149")</f>
        <v>8bdbe149</v>
      </c>
      <c r="G3736" s="211" t="str">
        <f>IFERROR(__xludf.DUMMYFUNCTION("""COMPUTED_VALUE"""),"Oksigen 6m3")</f>
        <v>Oksigen 6m3</v>
      </c>
      <c r="H3736" s="211" t="str">
        <f>IFERROR(__xludf.DUMMYFUNCTION("""COMPUTED_VALUE"""),"OUT")</f>
        <v>OUT</v>
      </c>
      <c r="I3736" s="211" t="str">
        <f>IFERROR(__xludf.DUMMYFUNCTION("""COMPUTED_VALUE"""),"NORMAL")</f>
        <v>NORMAL</v>
      </c>
      <c r="J3736" s="211">
        <f>IFERROR(__xludf.DUMMYFUNCTION("""COMPUTED_VALUE"""),4.0)</f>
        <v>4</v>
      </c>
      <c r="K3736" s="210" t="str">
        <f>IFERROR(__xludf.DUMMYFUNCTION("""COMPUTED_VALUE"""),"11239 11255 11316 11124")</f>
        <v>11239 11255 11316 11124</v>
      </c>
      <c r="L3736" s="211">
        <f>IFERROR(__xludf.DUMMYFUNCTION("""COMPUTED_VALUE"""),60000.0)</f>
        <v>60000</v>
      </c>
      <c r="M3736" s="211"/>
      <c r="N3736" s="211"/>
      <c r="O3736" s="211" t="b">
        <f>IFERROR(__xludf.DUMMYFUNCTION("""COMPUTED_VALUE"""),FALSE)</f>
        <v>0</v>
      </c>
    </row>
    <row r="3737">
      <c r="A3737" s="210" t="str">
        <f>IFERROR(__xludf.DUMMYFUNCTION("""COMPUTED_VALUE"""),"1261278")</f>
        <v>1261278</v>
      </c>
      <c r="B3737" s="210" t="str">
        <f>IFERROR(__xludf.DUMMYFUNCTION("""COMPUTED_VALUE"""),"1261278")</f>
        <v>1261278</v>
      </c>
      <c r="C3737" s="213">
        <f>IFERROR(__xludf.DUMMYFUNCTION("""COMPUTED_VALUE"""),46069.671944444446)</f>
        <v>46069.67194</v>
      </c>
      <c r="D3737" s="211" t="str">
        <f>IFERROR(__xludf.DUMMYFUNCTION("""COMPUTED_VALUE"""),"b2b5f2c5")</f>
        <v>b2b5f2c5</v>
      </c>
      <c r="E3737" s="211" t="str">
        <f>IFERROR(__xludf.DUMMYFUNCTION("""COMPUTED_VALUE"""),"Bengkel Las Bpk. Ari")</f>
        <v>Bengkel Las Bpk. Ari</v>
      </c>
      <c r="F3737" s="211" t="str">
        <f>IFERROR(__xludf.DUMMYFUNCTION("""COMPUTED_VALUE"""),"8bdbe149")</f>
        <v>8bdbe149</v>
      </c>
      <c r="G3737" s="211" t="str">
        <f>IFERROR(__xludf.DUMMYFUNCTION("""COMPUTED_VALUE"""),"Oksigen 6m3")</f>
        <v>Oksigen 6m3</v>
      </c>
      <c r="H3737" s="211" t="str">
        <f>IFERROR(__xludf.DUMMYFUNCTION("""COMPUTED_VALUE"""),"IN")</f>
        <v>IN</v>
      </c>
      <c r="I3737" s="211" t="str">
        <f>IFERROR(__xludf.DUMMYFUNCTION("""COMPUTED_VALUE"""),"EMPTY")</f>
        <v>EMPTY</v>
      </c>
      <c r="J3737" s="211">
        <f>IFERROR(__xludf.DUMMYFUNCTION("""COMPUTED_VALUE"""),1.0)</f>
        <v>1</v>
      </c>
      <c r="K3737" s="210" t="str">
        <f>IFERROR(__xludf.DUMMYFUNCTION("""COMPUTED_VALUE"""),"1158")</f>
        <v>1158</v>
      </c>
      <c r="L3737" s="211">
        <f>IFERROR(__xludf.DUMMYFUNCTION("""COMPUTED_VALUE"""),0.0)</f>
        <v>0</v>
      </c>
      <c r="M3737" s="211"/>
      <c r="N3737" s="211"/>
      <c r="O3737" s="211" t="b">
        <f>IFERROR(__xludf.DUMMYFUNCTION("""COMPUTED_VALUE"""),FALSE)</f>
        <v>0</v>
      </c>
    </row>
    <row r="3738">
      <c r="A3738" s="210" t="str">
        <f>IFERROR(__xludf.DUMMYFUNCTION("""COMPUTED_VALUE"""),"1261278")</f>
        <v>1261278</v>
      </c>
      <c r="B3738" s="210" t="str">
        <f>IFERROR(__xludf.DUMMYFUNCTION("""COMPUTED_VALUE"""),"1261278")</f>
        <v>1261278</v>
      </c>
      <c r="C3738" s="213">
        <f>IFERROR(__xludf.DUMMYFUNCTION("""COMPUTED_VALUE"""),46069.671944444446)</f>
        <v>46069.67194</v>
      </c>
      <c r="D3738" s="211" t="str">
        <f>IFERROR(__xludf.DUMMYFUNCTION("""COMPUTED_VALUE"""),"b2b5f2c5")</f>
        <v>b2b5f2c5</v>
      </c>
      <c r="E3738" s="211" t="str">
        <f>IFERROR(__xludf.DUMMYFUNCTION("""COMPUTED_VALUE"""),"Bengkel Las Bpk. Ari")</f>
        <v>Bengkel Las Bpk. Ari</v>
      </c>
      <c r="F3738" s="211" t="str">
        <f>IFERROR(__xludf.DUMMYFUNCTION("""COMPUTED_VALUE"""),"7d2764f1")</f>
        <v>7d2764f1</v>
      </c>
      <c r="G3738" s="211" t="str">
        <f>IFERROR(__xludf.DUMMYFUNCTION("""COMPUTED_VALUE"""),"Oksigen 7m3")</f>
        <v>Oksigen 7m3</v>
      </c>
      <c r="H3738" s="211" t="str">
        <f>IFERROR(__xludf.DUMMYFUNCTION("""COMPUTED_VALUE"""),"IN")</f>
        <v>IN</v>
      </c>
      <c r="I3738" s="211" t="str">
        <f>IFERROR(__xludf.DUMMYFUNCTION("""COMPUTED_VALUE"""),"EMPTY")</f>
        <v>EMPTY</v>
      </c>
      <c r="J3738" s="211">
        <f>IFERROR(__xludf.DUMMYFUNCTION("""COMPUTED_VALUE"""),1.0)</f>
        <v>1</v>
      </c>
      <c r="K3738" s="210" t="str">
        <f>IFERROR(__xludf.DUMMYFUNCTION("""COMPUTED_VALUE"""),"11162")</f>
        <v>11162</v>
      </c>
      <c r="L3738" s="211">
        <f>IFERROR(__xludf.DUMMYFUNCTION("""COMPUTED_VALUE"""),0.0)</f>
        <v>0</v>
      </c>
      <c r="M3738" s="211"/>
      <c r="N3738" s="211"/>
      <c r="O3738" s="211" t="b">
        <f>IFERROR(__xludf.DUMMYFUNCTION("""COMPUTED_VALUE"""),FALSE)</f>
        <v>0</v>
      </c>
    </row>
    <row r="3739">
      <c r="A3739" s="210" t="str">
        <f>IFERROR(__xludf.DUMMYFUNCTION("""COMPUTED_VALUE"""),"1261278")</f>
        <v>1261278</v>
      </c>
      <c r="B3739" s="210" t="str">
        <f>IFERROR(__xludf.DUMMYFUNCTION("""COMPUTED_VALUE"""),"1261278")</f>
        <v>1261278</v>
      </c>
      <c r="C3739" s="213">
        <f>IFERROR(__xludf.DUMMYFUNCTION("""COMPUTED_VALUE"""),46069.671944444446)</f>
        <v>46069.67194</v>
      </c>
      <c r="D3739" s="211" t="str">
        <f>IFERROR(__xludf.DUMMYFUNCTION("""COMPUTED_VALUE"""),"b2b5f2c5")</f>
        <v>b2b5f2c5</v>
      </c>
      <c r="E3739" s="211" t="str">
        <f>IFERROR(__xludf.DUMMYFUNCTION("""COMPUTED_VALUE"""),"Bengkel Las Bpk. Ari")</f>
        <v>Bengkel Las Bpk. Ari</v>
      </c>
      <c r="F3739" s="211" t="str">
        <f>IFERROR(__xludf.DUMMYFUNCTION("""COMPUTED_VALUE"""),"ef306e54")</f>
        <v>ef306e54</v>
      </c>
      <c r="G3739" s="211" t="str">
        <f>IFERROR(__xludf.DUMMYFUNCTION("""COMPUTED_VALUE"""),"Karbondioksida")</f>
        <v>Karbondioksida</v>
      </c>
      <c r="H3739" s="211" t="str">
        <f>IFERROR(__xludf.DUMMYFUNCTION("""COMPUTED_VALUE"""),"IN")</f>
        <v>IN</v>
      </c>
      <c r="I3739" s="211" t="str">
        <f>IFERROR(__xludf.DUMMYFUNCTION("""COMPUTED_VALUE"""),"EMPTY")</f>
        <v>EMPTY</v>
      </c>
      <c r="J3739" s="211">
        <f>IFERROR(__xludf.DUMMYFUNCTION("""COMPUTED_VALUE"""),1.0)</f>
        <v>1</v>
      </c>
      <c r="K3739" s="210" t="str">
        <f>IFERROR(__xludf.DUMMYFUNCTION("""COMPUTED_VALUE"""),"13071")</f>
        <v>13071</v>
      </c>
      <c r="L3739" s="211">
        <f>IFERROR(__xludf.DUMMYFUNCTION("""COMPUTED_VALUE"""),0.0)</f>
        <v>0</v>
      </c>
      <c r="M3739" s="211"/>
      <c r="N3739" s="211"/>
      <c r="O3739" s="211" t="b">
        <f>IFERROR(__xludf.DUMMYFUNCTION("""COMPUTED_VALUE"""),FALSE)</f>
        <v>0</v>
      </c>
    </row>
    <row r="3740">
      <c r="A3740" s="210" t="str">
        <f>IFERROR(__xludf.DUMMYFUNCTION("""COMPUTED_VALUE"""),"022612586")</f>
        <v>022612586</v>
      </c>
      <c r="B3740" s="210" t="str">
        <f>IFERROR(__xludf.DUMMYFUNCTION("""COMPUTED_VALUE"""),"022612586")</f>
        <v>022612586</v>
      </c>
      <c r="C3740" s="213">
        <f>IFERROR(__xludf.DUMMYFUNCTION("""COMPUTED_VALUE"""),46071.378275462965)</f>
        <v>46071.37828</v>
      </c>
      <c r="D3740" s="211" t="str">
        <f>IFERROR(__xludf.DUMMYFUNCTION("""COMPUTED_VALUE"""),"f7243d00")</f>
        <v>f7243d00</v>
      </c>
      <c r="E3740" s="211" t="str">
        <f>IFERROR(__xludf.DUMMYFUNCTION("""COMPUTED_VALUE"""),"Bpk. Beni (Dlanggu)")</f>
        <v>Bpk. Beni (Dlanggu)</v>
      </c>
      <c r="F3740" s="211" t="str">
        <f>IFERROR(__xludf.DUMMYFUNCTION("""COMPUTED_VALUE"""),"7d2764f1")</f>
        <v>7d2764f1</v>
      </c>
      <c r="G3740" s="211" t="str">
        <f>IFERROR(__xludf.DUMMYFUNCTION("""COMPUTED_VALUE"""),"Oksigen 7m3")</f>
        <v>Oksigen 7m3</v>
      </c>
      <c r="H3740" s="211" t="str">
        <f>IFERROR(__xludf.DUMMYFUNCTION("""COMPUTED_VALUE"""),"OUT")</f>
        <v>OUT</v>
      </c>
      <c r="I3740" s="211" t="str">
        <f>IFERROR(__xludf.DUMMYFUNCTION("""COMPUTED_VALUE"""),"NORMAL")</f>
        <v>NORMAL</v>
      </c>
      <c r="J3740" s="211">
        <f>IFERROR(__xludf.DUMMYFUNCTION("""COMPUTED_VALUE"""),10.0)</f>
        <v>10</v>
      </c>
      <c r="K3740" s="210" t="str">
        <f>IFERROR(__xludf.DUMMYFUNCTION("""COMPUTED_VALUE"""),"11212 11162 11149 11155 11150 11318 11147 11172 11140 11314")</f>
        <v>11212 11162 11149 11155 11150 11318 11147 11172 11140 11314</v>
      </c>
      <c r="L3740" s="211">
        <f>IFERROR(__xludf.DUMMYFUNCTION("""COMPUTED_VALUE"""),60000.0)</f>
        <v>60000</v>
      </c>
      <c r="M3740" s="211"/>
      <c r="N3740" s="211"/>
      <c r="O3740" s="211" t="b">
        <f>IFERROR(__xludf.DUMMYFUNCTION("""COMPUTED_VALUE"""),FALSE)</f>
        <v>0</v>
      </c>
    </row>
    <row r="3741">
      <c r="A3741" s="210" t="str">
        <f>IFERROR(__xludf.DUMMYFUNCTION("""COMPUTED_VALUE"""),"022612586")</f>
        <v>022612586</v>
      </c>
      <c r="B3741" s="210" t="str">
        <f>IFERROR(__xludf.DUMMYFUNCTION("""COMPUTED_VALUE"""),"022612586")</f>
        <v>022612586</v>
      </c>
      <c r="C3741" s="213">
        <f>IFERROR(__xludf.DUMMYFUNCTION("""COMPUTED_VALUE"""),46071.378275462965)</f>
        <v>46071.37828</v>
      </c>
      <c r="D3741" s="211" t="str">
        <f>IFERROR(__xludf.DUMMYFUNCTION("""COMPUTED_VALUE"""),"f7243d00")</f>
        <v>f7243d00</v>
      </c>
      <c r="E3741" s="211" t="str">
        <f>IFERROR(__xludf.DUMMYFUNCTION("""COMPUTED_VALUE"""),"Bpk. Beni (Dlanggu)")</f>
        <v>Bpk. Beni (Dlanggu)</v>
      </c>
      <c r="F3741" s="211" t="str">
        <f>IFERROR(__xludf.DUMMYFUNCTION("""COMPUTED_VALUE"""),"ef306e54")</f>
        <v>ef306e54</v>
      </c>
      <c r="G3741" s="211" t="str">
        <f>IFERROR(__xludf.DUMMYFUNCTION("""COMPUTED_VALUE"""),"Karbondioksida")</f>
        <v>Karbondioksida</v>
      </c>
      <c r="H3741" s="211" t="str">
        <f>IFERROR(__xludf.DUMMYFUNCTION("""COMPUTED_VALUE"""),"OUT")</f>
        <v>OUT</v>
      </c>
      <c r="I3741" s="211" t="str">
        <f>IFERROR(__xludf.DUMMYFUNCTION("""COMPUTED_VALUE"""),"NORMAL")</f>
        <v>NORMAL</v>
      </c>
      <c r="J3741" s="211">
        <f>IFERROR(__xludf.DUMMYFUNCTION("""COMPUTED_VALUE"""),3.0)</f>
        <v>3</v>
      </c>
      <c r="K3741" s="210" t="str">
        <f>IFERROR(__xludf.DUMMYFUNCTION("""COMPUTED_VALUE"""),"13029 13069 13071")</f>
        <v>13029 13069 13071</v>
      </c>
      <c r="L3741" s="211">
        <f>IFERROR(__xludf.DUMMYFUNCTION("""COMPUTED_VALUE"""),210000.0)</f>
        <v>210000</v>
      </c>
      <c r="M3741" s="211"/>
      <c r="N3741" s="211"/>
      <c r="O3741" s="211" t="b">
        <f>IFERROR(__xludf.DUMMYFUNCTION("""COMPUTED_VALUE"""),FALSE)</f>
        <v>0</v>
      </c>
    </row>
    <row r="3742">
      <c r="A3742" s="210" t="str">
        <f>IFERROR(__xludf.DUMMYFUNCTION("""COMPUTED_VALUE"""),"022612586")</f>
        <v>022612586</v>
      </c>
      <c r="B3742" s="210" t="str">
        <f>IFERROR(__xludf.DUMMYFUNCTION("""COMPUTED_VALUE"""),"022612586")</f>
        <v>022612586</v>
      </c>
      <c r="C3742" s="213">
        <f>IFERROR(__xludf.DUMMYFUNCTION("""COMPUTED_VALUE"""),46071.378275462965)</f>
        <v>46071.37828</v>
      </c>
      <c r="D3742" s="211" t="str">
        <f>IFERROR(__xludf.DUMMYFUNCTION("""COMPUTED_VALUE"""),"f7243d00")</f>
        <v>f7243d00</v>
      </c>
      <c r="E3742" s="211" t="str">
        <f>IFERROR(__xludf.DUMMYFUNCTION("""COMPUTED_VALUE"""),"Bpk. Beni (Dlanggu)")</f>
        <v>Bpk. Beni (Dlanggu)</v>
      </c>
      <c r="F3742" s="211" t="str">
        <f>IFERROR(__xludf.DUMMYFUNCTION("""COMPUTED_VALUE"""),"b7a8fff1")</f>
        <v>b7a8fff1</v>
      </c>
      <c r="G3742" s="211" t="str">
        <f>IFERROR(__xludf.DUMMYFUNCTION("""COMPUTED_VALUE"""),"LPG 50kg")</f>
        <v>LPG 50kg</v>
      </c>
      <c r="H3742" s="211" t="str">
        <f>IFERROR(__xludf.DUMMYFUNCTION("""COMPUTED_VALUE"""),"OUT")</f>
        <v>OUT</v>
      </c>
      <c r="I3742" s="211" t="str">
        <f>IFERROR(__xludf.DUMMYFUNCTION("""COMPUTED_VALUE"""),"NORMAL")</f>
        <v>NORMAL</v>
      </c>
      <c r="J3742" s="211">
        <f>IFERROR(__xludf.DUMMYFUNCTION("""COMPUTED_VALUE"""),1.0)</f>
        <v>1</v>
      </c>
      <c r="K3742" s="210" t="str">
        <f>IFERROR(__xludf.DUMMYFUNCTION("""COMPUTED_VALUE"""),"LL001")</f>
        <v>LL001</v>
      </c>
      <c r="L3742" s="211">
        <f>IFERROR(__xludf.DUMMYFUNCTION("""COMPUTED_VALUE"""),1000000.0)</f>
        <v>1000000</v>
      </c>
      <c r="M3742" s="211"/>
      <c r="N3742" s="211"/>
      <c r="O3742" s="211" t="b">
        <f>IFERROR(__xludf.DUMMYFUNCTION("""COMPUTED_VALUE"""),FALSE)</f>
        <v>0</v>
      </c>
    </row>
    <row r="3743">
      <c r="A3743" s="210" t="str">
        <f>IFERROR(__xludf.DUMMYFUNCTION("""COMPUTED_VALUE"""),"022612588")</f>
        <v>022612588</v>
      </c>
      <c r="B3743" s="210" t="str">
        <f>IFERROR(__xludf.DUMMYFUNCTION("""COMPUTED_VALUE"""),"022612588")</f>
        <v>022612588</v>
      </c>
      <c r="C3743" s="213">
        <f>IFERROR(__xludf.DUMMYFUNCTION("""COMPUTED_VALUE"""),46071.410844907405)</f>
        <v>46071.41084</v>
      </c>
      <c r="D3743" s="211" t="str">
        <f>IFERROR(__xludf.DUMMYFUNCTION("""COMPUTED_VALUE"""),"d9b2fac5")</f>
        <v>d9b2fac5</v>
      </c>
      <c r="E3743" s="211" t="str">
        <f>IFERROR(__xludf.DUMMYFUNCTION("""COMPUTED_VALUE"""),"Dwi Riza ( Ponokawan)")</f>
        <v>Dwi Riza ( Ponokawan)</v>
      </c>
      <c r="F3743" s="211" t="str">
        <f>IFERROR(__xludf.DUMMYFUNCTION("""COMPUTED_VALUE"""),"8bdbe149")</f>
        <v>8bdbe149</v>
      </c>
      <c r="G3743" s="211" t="str">
        <f>IFERROR(__xludf.DUMMYFUNCTION("""COMPUTED_VALUE"""),"Oksigen 6m3")</f>
        <v>Oksigen 6m3</v>
      </c>
      <c r="H3743" s="211" t="str">
        <f>IFERROR(__xludf.DUMMYFUNCTION("""COMPUTED_VALUE"""),"OUT")</f>
        <v>OUT</v>
      </c>
      <c r="I3743" s="211" t="str">
        <f>IFERROR(__xludf.DUMMYFUNCTION("""COMPUTED_VALUE"""),"NORMAL")</f>
        <v>NORMAL</v>
      </c>
      <c r="J3743" s="211">
        <f>IFERROR(__xludf.DUMMYFUNCTION("""COMPUTED_VALUE"""),5.0)</f>
        <v>5</v>
      </c>
      <c r="K3743" s="210" t="str">
        <f>IFERROR(__xludf.DUMMYFUNCTION("""COMPUTED_VALUE"""),"11202 1153 1195 1110 1141")</f>
        <v>11202 1153 1195 1110 1141</v>
      </c>
      <c r="L3743" s="211">
        <f>IFERROR(__xludf.DUMMYFUNCTION("""COMPUTED_VALUE"""),50000.0)</f>
        <v>50000</v>
      </c>
      <c r="M3743" s="211"/>
      <c r="N3743" s="211"/>
      <c r="O3743" s="211" t="b">
        <f>IFERROR(__xludf.DUMMYFUNCTION("""COMPUTED_VALUE"""),FALSE)</f>
        <v>0</v>
      </c>
    </row>
    <row r="3744">
      <c r="A3744" s="210" t="str">
        <f>IFERROR(__xludf.DUMMYFUNCTION("""COMPUTED_VALUE"""),"1261277")</f>
        <v>1261277</v>
      </c>
      <c r="B3744" s="210" t="str">
        <f>IFERROR(__xludf.DUMMYFUNCTION("""COMPUTED_VALUE"""),"1261277")</f>
        <v>1261277</v>
      </c>
      <c r="C3744" s="213">
        <f>IFERROR(__xludf.DUMMYFUNCTION("""COMPUTED_VALUE"""),46069.5390162037)</f>
        <v>46069.53902</v>
      </c>
      <c r="D3744" s="211" t="str">
        <f>IFERROR(__xludf.DUMMYFUNCTION("""COMPUTED_VALUE"""),"a0f0ad2d")</f>
        <v>a0f0ad2d</v>
      </c>
      <c r="E3744" s="211" t="str">
        <f>IFERROR(__xludf.DUMMYFUNCTION("""COMPUTED_VALUE"""),"CV. Yulie Jaya")</f>
        <v>CV. Yulie Jaya</v>
      </c>
      <c r="F3744" s="211" t="str">
        <f>IFERROR(__xludf.DUMMYFUNCTION("""COMPUTED_VALUE"""),"7d2764f1")</f>
        <v>7d2764f1</v>
      </c>
      <c r="G3744" s="211" t="str">
        <f>IFERROR(__xludf.DUMMYFUNCTION("""COMPUTED_VALUE"""),"Oksigen 7m3")</f>
        <v>Oksigen 7m3</v>
      </c>
      <c r="H3744" s="211" t="str">
        <f>IFERROR(__xludf.DUMMYFUNCTION("""COMPUTED_VALUE"""),"IN")</f>
        <v>IN</v>
      </c>
      <c r="I3744" s="211" t="str">
        <f>IFERROR(__xludf.DUMMYFUNCTION("""COMPUTED_VALUE"""),"EMPTY")</f>
        <v>EMPTY</v>
      </c>
      <c r="J3744" s="211">
        <f>IFERROR(__xludf.DUMMYFUNCTION("""COMPUTED_VALUE"""),3.0)</f>
        <v>3</v>
      </c>
      <c r="K3744" s="210" t="str">
        <f>IFERROR(__xludf.DUMMYFUNCTION("""COMPUTED_VALUE"""),"11318 11147 11149")</f>
        <v>11318 11147 11149</v>
      </c>
      <c r="L3744" s="211">
        <f>IFERROR(__xludf.DUMMYFUNCTION("""COMPUTED_VALUE"""),0.0)</f>
        <v>0</v>
      </c>
      <c r="M3744" s="211"/>
      <c r="N3744" s="211"/>
      <c r="O3744" s="211" t="b">
        <f>IFERROR(__xludf.DUMMYFUNCTION("""COMPUTED_VALUE"""),TRUE)</f>
        <v>1</v>
      </c>
    </row>
    <row r="3745">
      <c r="A3745" s="210" t="str">
        <f>IFERROR(__xludf.DUMMYFUNCTION("""COMPUTED_VALUE"""),"022662589")</f>
        <v>022662589</v>
      </c>
      <c r="B3745" s="210" t="str">
        <f>IFERROR(__xludf.DUMMYFUNCTION("""COMPUTED_VALUE"""),"022662589")</f>
        <v>022662589</v>
      </c>
      <c r="C3745" s="213">
        <f>IFERROR(__xludf.DUMMYFUNCTION("""COMPUTED_VALUE"""),46071.48837962963)</f>
        <v>46071.48838</v>
      </c>
      <c r="D3745" s="211" t="str">
        <f>IFERROR(__xludf.DUMMYFUNCTION("""COMPUTED_VALUE"""),"9e5d8274")</f>
        <v>9e5d8274</v>
      </c>
      <c r="E3745" s="211" t="str">
        <f>IFERROR(__xludf.DUMMYFUNCTION("""COMPUTED_VALUE"""),"Bpk. Erry ( Lik Trosobo )")</f>
        <v>Bpk. Erry ( Lik Trosobo )</v>
      </c>
      <c r="F3745" s="211" t="str">
        <f>IFERROR(__xludf.DUMMYFUNCTION("""COMPUTED_VALUE"""),"8bdbe149")</f>
        <v>8bdbe149</v>
      </c>
      <c r="G3745" s="211" t="str">
        <f>IFERROR(__xludf.DUMMYFUNCTION("""COMPUTED_VALUE"""),"Oksigen 6m3")</f>
        <v>Oksigen 6m3</v>
      </c>
      <c r="H3745" s="211" t="str">
        <f>IFERROR(__xludf.DUMMYFUNCTION("""COMPUTED_VALUE"""),"OUT")</f>
        <v>OUT</v>
      </c>
      <c r="I3745" s="211" t="str">
        <f>IFERROR(__xludf.DUMMYFUNCTION("""COMPUTED_VALUE"""),"NORMAL")</f>
        <v>NORMAL</v>
      </c>
      <c r="J3745" s="211">
        <f>IFERROR(__xludf.DUMMYFUNCTION("""COMPUTED_VALUE"""),2.0)</f>
        <v>2</v>
      </c>
      <c r="K3745" s="210" t="str">
        <f>IFERROR(__xludf.DUMMYFUNCTION("""COMPUTED_VALUE"""),"11319 11182")</f>
        <v>11319 11182</v>
      </c>
      <c r="L3745" s="211">
        <f>IFERROR(__xludf.DUMMYFUNCTION("""COMPUTED_VALUE"""),65000.0)</f>
        <v>65000</v>
      </c>
      <c r="M3745" s="211"/>
      <c r="N3745" s="211"/>
      <c r="O3745" s="211" t="b">
        <f>IFERROR(__xludf.DUMMYFUNCTION("""COMPUTED_VALUE"""),FALSE)</f>
        <v>0</v>
      </c>
    </row>
    <row r="3746">
      <c r="A3746" s="210" t="str">
        <f>IFERROR(__xludf.DUMMYFUNCTION("""COMPUTED_VALUE"""),"022662589")</f>
        <v>022662589</v>
      </c>
      <c r="B3746" s="210" t="str">
        <f>IFERROR(__xludf.DUMMYFUNCTION("""COMPUTED_VALUE"""),"022662589")</f>
        <v>022662589</v>
      </c>
      <c r="C3746" s="213">
        <f>IFERROR(__xludf.DUMMYFUNCTION("""COMPUTED_VALUE"""),46071.48837962963)</f>
        <v>46071.48838</v>
      </c>
      <c r="D3746" s="211" t="str">
        <f>IFERROR(__xludf.DUMMYFUNCTION("""COMPUTED_VALUE"""),"9e5d8274")</f>
        <v>9e5d8274</v>
      </c>
      <c r="E3746" s="211" t="str">
        <f>IFERROR(__xludf.DUMMYFUNCTION("""COMPUTED_VALUE"""),"Bpk. Erry ( Lik Trosobo )")</f>
        <v>Bpk. Erry ( Lik Trosobo )</v>
      </c>
      <c r="F3746" s="211" t="str">
        <f>IFERROR(__xludf.DUMMYFUNCTION("""COMPUTED_VALUE"""),"be525f3b")</f>
        <v>be525f3b</v>
      </c>
      <c r="G3746" s="211" t="str">
        <f>IFERROR(__xludf.DUMMYFUNCTION("""COMPUTED_VALUE"""),"LPG 12kg")</f>
        <v>LPG 12kg</v>
      </c>
      <c r="H3746" s="211" t="str">
        <f>IFERROR(__xludf.DUMMYFUNCTION("""COMPUTED_VALUE"""),"OUT")</f>
        <v>OUT</v>
      </c>
      <c r="I3746" s="211" t="str">
        <f>IFERROR(__xludf.DUMMYFUNCTION("""COMPUTED_VALUE"""),"NORMAL")</f>
        <v>NORMAL</v>
      </c>
      <c r="J3746" s="211">
        <f>IFERROR(__xludf.DUMMYFUNCTION("""COMPUTED_VALUE"""),1.0)</f>
        <v>1</v>
      </c>
      <c r="K3746" s="210" t="str">
        <f>IFERROR(__xludf.DUMMYFUNCTION("""COMPUTED_VALUE"""),"L002")</f>
        <v>L002</v>
      </c>
      <c r="L3746" s="211">
        <f>IFERROR(__xludf.DUMMYFUNCTION("""COMPUTED_VALUE"""),215000.0)</f>
        <v>215000</v>
      </c>
      <c r="M3746" s="211"/>
      <c r="N3746" s="211"/>
      <c r="O3746" s="211" t="b">
        <f>IFERROR(__xludf.DUMMYFUNCTION("""COMPUTED_VALUE"""),FALSE)</f>
        <v>0</v>
      </c>
    </row>
    <row r="3747">
      <c r="A3747" s="210" t="str">
        <f>IFERROR(__xludf.DUMMYFUNCTION("""COMPUTED_VALUE"""),"1261238")</f>
        <v>1261238</v>
      </c>
      <c r="B3747" s="210" t="str">
        <f>IFERROR(__xludf.DUMMYFUNCTION("""COMPUTED_VALUE"""),"1261238")</f>
        <v>1261238</v>
      </c>
      <c r="C3747" s="213">
        <f>IFERROR(__xludf.DUMMYFUNCTION("""COMPUTED_VALUE"""),46071.51802083333)</f>
        <v>46071.51802</v>
      </c>
      <c r="D3747" s="211" t="str">
        <f>IFERROR(__xludf.DUMMYFUNCTION("""COMPUTED_VALUE"""),"01158be1")</f>
        <v>01158be1</v>
      </c>
      <c r="E3747" s="211" t="str">
        <f>IFERROR(__xludf.DUMMYFUNCTION("""COMPUTED_VALUE"""),"GYF")</f>
        <v>GYF</v>
      </c>
      <c r="F3747" s="211" t="str">
        <f>IFERROR(__xludf.DUMMYFUNCTION("""COMPUTED_VALUE"""),"8bdbe149")</f>
        <v>8bdbe149</v>
      </c>
      <c r="G3747" s="211" t="str">
        <f>IFERROR(__xludf.DUMMYFUNCTION("""COMPUTED_VALUE"""),"Oksigen 6m3")</f>
        <v>Oksigen 6m3</v>
      </c>
      <c r="H3747" s="211" t="str">
        <f>IFERROR(__xludf.DUMMYFUNCTION("""COMPUTED_VALUE"""),"IN")</f>
        <v>IN</v>
      </c>
      <c r="I3747" s="211" t="str">
        <f>IFERROR(__xludf.DUMMYFUNCTION("""COMPUTED_VALUE"""),"EMPTY")</f>
        <v>EMPTY</v>
      </c>
      <c r="J3747" s="211">
        <f>IFERROR(__xludf.DUMMYFUNCTION("""COMPUTED_VALUE"""),1.0)</f>
        <v>1</v>
      </c>
      <c r="K3747" s="210" t="str">
        <f>IFERROR(__xludf.DUMMYFUNCTION("""COMPUTED_VALUE"""),"11351")</f>
        <v>11351</v>
      </c>
      <c r="L3747" s="211">
        <f>IFERROR(__xludf.DUMMYFUNCTION("""COMPUTED_VALUE"""),0.0)</f>
        <v>0</v>
      </c>
      <c r="M3747" s="211"/>
      <c r="N3747" s="211"/>
      <c r="O3747" s="211" t="b">
        <f>IFERROR(__xludf.DUMMYFUNCTION("""COMPUTED_VALUE"""),FALSE)</f>
        <v>0</v>
      </c>
    </row>
    <row r="3748">
      <c r="A3748" s="210" t="str">
        <f>IFERROR(__xludf.DUMMYFUNCTION("""COMPUTED_VALUE"""),"022662590")</f>
        <v>022662590</v>
      </c>
      <c r="B3748" s="210" t="str">
        <f>IFERROR(__xludf.DUMMYFUNCTION("""COMPUTED_VALUE"""),"022662590")</f>
        <v>022662590</v>
      </c>
      <c r="C3748" s="213">
        <f>IFERROR(__xludf.DUMMYFUNCTION("""COMPUTED_VALUE"""),46071.4975)</f>
        <v>46071.4975</v>
      </c>
      <c r="D3748" s="211" t="str">
        <f>IFERROR(__xludf.DUMMYFUNCTION("""COMPUTED_VALUE"""),"cac4449f")</f>
        <v>cac4449f</v>
      </c>
      <c r="E3748" s="211" t="str">
        <f>IFERROR(__xludf.DUMMYFUNCTION("""COMPUTED_VALUE"""),"Bpk. Agus Yahya")</f>
        <v>Bpk. Agus Yahya</v>
      </c>
      <c r="F3748" s="211" t="str">
        <f>IFERROR(__xludf.DUMMYFUNCTION("""COMPUTED_VALUE"""),"8bdbe149")</f>
        <v>8bdbe149</v>
      </c>
      <c r="G3748" s="211" t="str">
        <f>IFERROR(__xludf.DUMMYFUNCTION("""COMPUTED_VALUE"""),"Oksigen 6m3")</f>
        <v>Oksigen 6m3</v>
      </c>
      <c r="H3748" s="211" t="str">
        <f>IFERROR(__xludf.DUMMYFUNCTION("""COMPUTED_VALUE"""),"OUT")</f>
        <v>OUT</v>
      </c>
      <c r="I3748" s="211" t="str">
        <f>IFERROR(__xludf.DUMMYFUNCTION("""COMPUTED_VALUE"""),"NORMAL")</f>
        <v>NORMAL</v>
      </c>
      <c r="J3748" s="211">
        <f>IFERROR(__xludf.DUMMYFUNCTION("""COMPUTED_VALUE"""),1.0)</f>
        <v>1</v>
      </c>
      <c r="K3748" s="210" t="str">
        <f>IFERROR(__xludf.DUMMYFUNCTION("""COMPUTED_VALUE"""),"11322")</f>
        <v>11322</v>
      </c>
      <c r="L3748" s="211">
        <f>IFERROR(__xludf.DUMMYFUNCTION("""COMPUTED_VALUE"""),100000.0)</f>
        <v>100000</v>
      </c>
      <c r="M3748" s="211"/>
      <c r="N3748" s="211"/>
      <c r="O3748" s="211" t="b">
        <f>IFERROR(__xludf.DUMMYFUNCTION("""COMPUTED_VALUE"""),FALSE)</f>
        <v>0</v>
      </c>
    </row>
    <row r="3749">
      <c r="A3749" s="210" t="str">
        <f>IFERROR(__xludf.DUMMYFUNCTION("""COMPUTED_VALUE"""),"1261239")</f>
        <v>1261239</v>
      </c>
      <c r="B3749" s="210" t="str">
        <f>IFERROR(__xludf.DUMMYFUNCTION("""COMPUTED_VALUE"""),"1261239")</f>
        <v>1261239</v>
      </c>
      <c r="C3749" s="213">
        <f>IFERROR(__xludf.DUMMYFUNCTION("""COMPUTED_VALUE"""),46071.61168981482)</f>
        <v>46071.61169</v>
      </c>
      <c r="D3749" s="211" t="str">
        <f>IFERROR(__xludf.DUMMYFUNCTION("""COMPUTED_VALUE"""),"9e5d8274")</f>
        <v>9e5d8274</v>
      </c>
      <c r="E3749" s="211" t="str">
        <f>IFERROR(__xludf.DUMMYFUNCTION("""COMPUTED_VALUE"""),"Bpk. Erry ( Lik Trosobo )")</f>
        <v>Bpk. Erry ( Lik Trosobo )</v>
      </c>
      <c r="F3749" s="211" t="str">
        <f>IFERROR(__xludf.DUMMYFUNCTION("""COMPUTED_VALUE"""),"be525f3b")</f>
        <v>be525f3b</v>
      </c>
      <c r="G3749" s="211" t="str">
        <f>IFERROR(__xludf.DUMMYFUNCTION("""COMPUTED_VALUE"""),"LPG 12kg")</f>
        <v>LPG 12kg</v>
      </c>
      <c r="H3749" s="211" t="str">
        <f>IFERROR(__xludf.DUMMYFUNCTION("""COMPUTED_VALUE"""),"IN")</f>
        <v>IN</v>
      </c>
      <c r="I3749" s="211" t="str">
        <f>IFERROR(__xludf.DUMMYFUNCTION("""COMPUTED_VALUE"""),"EMPTY")</f>
        <v>EMPTY</v>
      </c>
      <c r="J3749" s="211">
        <f>IFERROR(__xludf.DUMMYFUNCTION("""COMPUTED_VALUE"""),1.0)</f>
        <v>1</v>
      </c>
      <c r="K3749" s="210" t="str">
        <f>IFERROR(__xludf.DUMMYFUNCTION("""COMPUTED_VALUE"""),"L002")</f>
        <v>L002</v>
      </c>
      <c r="L3749" s="211">
        <f>IFERROR(__xludf.DUMMYFUNCTION("""COMPUTED_VALUE"""),0.0)</f>
        <v>0</v>
      </c>
      <c r="M3749" s="211"/>
      <c r="N3749" s="211"/>
      <c r="O3749" s="211" t="b">
        <f>IFERROR(__xludf.DUMMYFUNCTION("""COMPUTED_VALUE"""),FALSE)</f>
        <v>0</v>
      </c>
    </row>
    <row r="3750">
      <c r="A3750" s="210" t="str">
        <f>IFERROR(__xludf.DUMMYFUNCTION("""COMPUTED_VALUE"""),"022642591")</f>
        <v>022642591</v>
      </c>
      <c r="B3750" s="210" t="str">
        <f>IFERROR(__xludf.DUMMYFUNCTION("""COMPUTED_VALUE"""),"022642591")</f>
        <v>022642591</v>
      </c>
      <c r="C3750" s="213">
        <f>IFERROR(__xludf.DUMMYFUNCTION("""COMPUTED_VALUE"""),46071.61362268519)</f>
        <v>46071.61362</v>
      </c>
      <c r="D3750" s="211" t="str">
        <f>IFERROR(__xludf.DUMMYFUNCTION("""COMPUTED_VALUE"""),"de41c3e8")</f>
        <v>de41c3e8</v>
      </c>
      <c r="E3750" s="211" t="str">
        <f>IFERROR(__xludf.DUMMYFUNCTION("""COMPUTED_VALUE"""),"Bpk. Eko Mianto")</f>
        <v>Bpk. Eko Mianto</v>
      </c>
      <c r="F3750" s="211" t="str">
        <f>IFERROR(__xludf.DUMMYFUNCTION("""COMPUTED_VALUE"""),"66af7c72")</f>
        <v>66af7c72</v>
      </c>
      <c r="G3750" s="211" t="str">
        <f>IFERROR(__xludf.DUMMYFUNCTION("""COMPUTED_VALUE"""),"Argon 6m3")</f>
        <v>Argon 6m3</v>
      </c>
      <c r="H3750" s="211" t="str">
        <f>IFERROR(__xludf.DUMMYFUNCTION("""COMPUTED_VALUE"""),"OUT")</f>
        <v>OUT</v>
      </c>
      <c r="I3750" s="211" t="str">
        <f>IFERROR(__xludf.DUMMYFUNCTION("""COMPUTED_VALUE"""),"NORMAL")</f>
        <v>NORMAL</v>
      </c>
      <c r="J3750" s="211">
        <f>IFERROR(__xludf.DUMMYFUNCTION("""COMPUTED_VALUE"""),2.0)</f>
        <v>2</v>
      </c>
      <c r="K3750" s="210" t="str">
        <f>IFERROR(__xludf.DUMMYFUNCTION("""COMPUTED_VALUE"""),"12012 12013")</f>
        <v>12012 12013</v>
      </c>
      <c r="L3750" s="211">
        <f>IFERROR(__xludf.DUMMYFUNCTION("""COMPUTED_VALUE"""),225000.0)</f>
        <v>225000</v>
      </c>
      <c r="M3750" s="211"/>
      <c r="N3750" s="211"/>
      <c r="O3750" s="211" t="b">
        <f>IFERROR(__xludf.DUMMYFUNCTION("""COMPUTED_VALUE"""),FALSE)</f>
        <v>0</v>
      </c>
    </row>
    <row r="3751">
      <c r="A3751" s="210" t="str">
        <f>IFERROR(__xludf.DUMMYFUNCTION("""COMPUTED_VALUE"""),"1261279")</f>
        <v>1261279</v>
      </c>
      <c r="B3751" s="210" t="str">
        <f>IFERROR(__xludf.DUMMYFUNCTION("""COMPUTED_VALUE"""),"1261279")</f>
        <v>1261279</v>
      </c>
      <c r="C3751" s="213">
        <f>IFERROR(__xludf.DUMMYFUNCTION("""COMPUTED_VALUE"""),46072.3565625)</f>
        <v>46072.35656</v>
      </c>
      <c r="D3751" s="211" t="str">
        <f>IFERROR(__xludf.DUMMYFUNCTION("""COMPUTED_VALUE"""),"4ec68cf6")</f>
        <v>4ec68cf6</v>
      </c>
      <c r="E3751" s="211" t="str">
        <f>IFERROR(__xludf.DUMMYFUNCTION("""COMPUTED_VALUE"""),"CV Sido Mukti Karya")</f>
        <v>CV Sido Mukti Karya</v>
      </c>
      <c r="F3751" s="211" t="str">
        <f>IFERROR(__xludf.DUMMYFUNCTION("""COMPUTED_VALUE"""),"8bdbe149")</f>
        <v>8bdbe149</v>
      </c>
      <c r="G3751" s="211" t="str">
        <f>IFERROR(__xludf.DUMMYFUNCTION("""COMPUTED_VALUE"""),"Oksigen 6m3")</f>
        <v>Oksigen 6m3</v>
      </c>
      <c r="H3751" s="211" t="str">
        <f>IFERROR(__xludf.DUMMYFUNCTION("""COMPUTED_VALUE"""),"IN")</f>
        <v>IN</v>
      </c>
      <c r="I3751" s="211" t="str">
        <f>IFERROR(__xludf.DUMMYFUNCTION("""COMPUTED_VALUE"""),"EMPTY")</f>
        <v>EMPTY</v>
      </c>
      <c r="J3751" s="211">
        <f>IFERROR(__xludf.DUMMYFUNCTION("""COMPUTED_VALUE"""),3.0)</f>
        <v>3</v>
      </c>
      <c r="K3751" s="210" t="str">
        <f>IFERROR(__xludf.DUMMYFUNCTION("""COMPUTED_VALUE"""),"11279 11286 1186")</f>
        <v>11279 11286 1186</v>
      </c>
      <c r="L3751" s="211">
        <f>IFERROR(__xludf.DUMMYFUNCTION("""COMPUTED_VALUE"""),0.0)</f>
        <v>0</v>
      </c>
      <c r="M3751" s="211"/>
      <c r="N3751" s="211"/>
      <c r="O3751" s="211" t="b">
        <f>IFERROR(__xludf.DUMMYFUNCTION("""COMPUTED_VALUE"""),FALSE)</f>
        <v>0</v>
      </c>
    </row>
    <row r="3752">
      <c r="A3752" s="210" t="str">
        <f>IFERROR(__xludf.DUMMYFUNCTION("""COMPUTED_VALUE"""),"1261279")</f>
        <v>1261279</v>
      </c>
      <c r="B3752" s="210" t="str">
        <f>IFERROR(__xludf.DUMMYFUNCTION("""COMPUTED_VALUE"""),"1261279")</f>
        <v>1261279</v>
      </c>
      <c r="C3752" s="213">
        <f>IFERROR(__xludf.DUMMYFUNCTION("""COMPUTED_VALUE"""),46072.3565625)</f>
        <v>46072.35656</v>
      </c>
      <c r="D3752" s="211" t="str">
        <f>IFERROR(__xludf.DUMMYFUNCTION("""COMPUTED_VALUE"""),"4ec68cf6")</f>
        <v>4ec68cf6</v>
      </c>
      <c r="E3752" s="211" t="str">
        <f>IFERROR(__xludf.DUMMYFUNCTION("""COMPUTED_VALUE"""),"CV Sido Mukti Karya")</f>
        <v>CV Sido Mukti Karya</v>
      </c>
      <c r="F3752" s="211" t="str">
        <f>IFERROR(__xludf.DUMMYFUNCTION("""COMPUTED_VALUE"""),"ef306e54")</f>
        <v>ef306e54</v>
      </c>
      <c r="G3752" s="211" t="str">
        <f>IFERROR(__xludf.DUMMYFUNCTION("""COMPUTED_VALUE"""),"Karbondioksida")</f>
        <v>Karbondioksida</v>
      </c>
      <c r="H3752" s="211" t="str">
        <f>IFERROR(__xludf.DUMMYFUNCTION("""COMPUTED_VALUE"""),"IN")</f>
        <v>IN</v>
      </c>
      <c r="I3752" s="211" t="str">
        <f>IFERROR(__xludf.DUMMYFUNCTION("""COMPUTED_VALUE"""),"EMPTY")</f>
        <v>EMPTY</v>
      </c>
      <c r="J3752" s="211">
        <f>IFERROR(__xludf.DUMMYFUNCTION("""COMPUTED_VALUE"""),1.0)</f>
        <v>1</v>
      </c>
      <c r="K3752" s="210" t="str">
        <f>IFERROR(__xludf.DUMMYFUNCTION("""COMPUTED_VALUE"""),"13043")</f>
        <v>13043</v>
      </c>
      <c r="L3752" s="211">
        <f>IFERROR(__xludf.DUMMYFUNCTION("""COMPUTED_VALUE"""),0.0)</f>
        <v>0</v>
      </c>
      <c r="M3752" s="211"/>
      <c r="N3752" s="211"/>
      <c r="O3752" s="211" t="b">
        <f>IFERROR(__xludf.DUMMYFUNCTION("""COMPUTED_VALUE"""),FALSE)</f>
        <v>0</v>
      </c>
    </row>
    <row r="3753">
      <c r="A3753" s="210" t="str">
        <f>IFERROR(__xludf.DUMMYFUNCTION("""COMPUTED_VALUE"""),"1261240")</f>
        <v>1261240</v>
      </c>
      <c r="B3753" s="210" t="str">
        <f>IFERROR(__xludf.DUMMYFUNCTION("""COMPUTED_VALUE"""),"1261240")</f>
        <v>1261240</v>
      </c>
      <c r="C3753" s="213">
        <f>IFERROR(__xludf.DUMMYFUNCTION("""COMPUTED_VALUE"""),46072.35724537037)</f>
        <v>46072.35725</v>
      </c>
      <c r="D3753" s="211" t="str">
        <f>IFERROR(__xludf.DUMMYFUNCTION("""COMPUTED_VALUE"""),"8f5ebaea")</f>
        <v>8f5ebaea</v>
      </c>
      <c r="E3753" s="211" t="str">
        <f>IFERROR(__xludf.DUMMYFUNCTION("""COMPUTED_VALUE"""),"PT Hua Zong Mesindo")</f>
        <v>PT Hua Zong Mesindo</v>
      </c>
      <c r="F3753" s="211" t="str">
        <f>IFERROR(__xludf.DUMMYFUNCTION("""COMPUTED_VALUE"""),"66af7c72")</f>
        <v>66af7c72</v>
      </c>
      <c r="G3753" s="211" t="str">
        <f>IFERROR(__xludf.DUMMYFUNCTION("""COMPUTED_VALUE"""),"Argon 6m3")</f>
        <v>Argon 6m3</v>
      </c>
      <c r="H3753" s="211" t="str">
        <f>IFERROR(__xludf.DUMMYFUNCTION("""COMPUTED_VALUE"""),"IN")</f>
        <v>IN</v>
      </c>
      <c r="I3753" s="211" t="str">
        <f>IFERROR(__xludf.DUMMYFUNCTION("""COMPUTED_VALUE"""),"EMPTY")</f>
        <v>EMPTY</v>
      </c>
      <c r="J3753" s="211">
        <f>IFERROR(__xludf.DUMMYFUNCTION("""COMPUTED_VALUE"""),1.0)</f>
        <v>1</v>
      </c>
      <c r="K3753" s="210" t="str">
        <f>IFERROR(__xludf.DUMMYFUNCTION("""COMPUTED_VALUE"""),"12062")</f>
        <v>12062</v>
      </c>
      <c r="L3753" s="211">
        <f>IFERROR(__xludf.DUMMYFUNCTION("""COMPUTED_VALUE"""),0.0)</f>
        <v>0</v>
      </c>
      <c r="M3753" s="211"/>
      <c r="N3753" s="211"/>
      <c r="O3753" s="211" t="b">
        <f>IFERROR(__xludf.DUMMYFUNCTION("""COMPUTED_VALUE"""),FALSE)</f>
        <v>0</v>
      </c>
    </row>
    <row r="3754">
      <c r="A3754" s="210" t="str">
        <f>IFERROR(__xludf.DUMMYFUNCTION("""COMPUTED_VALUE"""),"1261251")</f>
        <v>1261251</v>
      </c>
      <c r="B3754" s="210" t="str">
        <f>IFERROR(__xludf.DUMMYFUNCTION("""COMPUTED_VALUE"""),"1261251")</f>
        <v>1261251</v>
      </c>
      <c r="C3754" s="213">
        <f>IFERROR(__xludf.DUMMYFUNCTION("""COMPUTED_VALUE"""),46072.35755787037)</f>
        <v>46072.35756</v>
      </c>
      <c r="D3754" s="211" t="str">
        <f>IFERROR(__xludf.DUMMYFUNCTION("""COMPUTED_VALUE"""),"440df1db")</f>
        <v>440df1db</v>
      </c>
      <c r="E3754" s="211" t="str">
        <f>IFERROR(__xludf.DUMMYFUNCTION("""COMPUTED_VALUE"""),"PT. Mecca Abadi Sejahtera")</f>
        <v>PT. Mecca Abadi Sejahtera</v>
      </c>
      <c r="F3754" s="211" t="str">
        <f>IFERROR(__xludf.DUMMYFUNCTION("""COMPUTED_VALUE"""),"ef306e54")</f>
        <v>ef306e54</v>
      </c>
      <c r="G3754" s="211" t="str">
        <f>IFERROR(__xludf.DUMMYFUNCTION("""COMPUTED_VALUE"""),"Karbondioksida")</f>
        <v>Karbondioksida</v>
      </c>
      <c r="H3754" s="211" t="str">
        <f>IFERROR(__xludf.DUMMYFUNCTION("""COMPUTED_VALUE"""),"IN")</f>
        <v>IN</v>
      </c>
      <c r="I3754" s="211" t="str">
        <f>IFERROR(__xludf.DUMMYFUNCTION("""COMPUTED_VALUE"""),"EMPTY")</f>
        <v>EMPTY</v>
      </c>
      <c r="J3754" s="211">
        <f>IFERROR(__xludf.DUMMYFUNCTION("""COMPUTED_VALUE"""),7.0)</f>
        <v>7</v>
      </c>
      <c r="K3754" s="210" t="str">
        <f>IFERROR(__xludf.DUMMYFUNCTION("""COMPUTED_VALUE"""),"13006 13020 13042 13055 13010 13045 13049")</f>
        <v>13006 13020 13042 13055 13010 13045 13049</v>
      </c>
      <c r="L3754" s="211">
        <f>IFERROR(__xludf.DUMMYFUNCTION("""COMPUTED_VALUE"""),0.0)</f>
        <v>0</v>
      </c>
      <c r="M3754" s="211"/>
      <c r="N3754" s="211"/>
      <c r="O3754" s="211" t="b">
        <f>IFERROR(__xludf.DUMMYFUNCTION("""COMPUTED_VALUE"""),FALSE)</f>
        <v>0</v>
      </c>
    </row>
    <row r="3755">
      <c r="A3755" s="210" t="str">
        <f>IFERROR(__xludf.DUMMYFUNCTION("""COMPUTED_VALUE"""),"1261280")</f>
        <v>1261280</v>
      </c>
      <c r="B3755" s="210" t="str">
        <f>IFERROR(__xludf.DUMMYFUNCTION("""COMPUTED_VALUE"""),"1261280")</f>
        <v>1261280</v>
      </c>
      <c r="C3755" s="213">
        <f>IFERROR(__xludf.DUMMYFUNCTION("""COMPUTED_VALUE"""),46072.35818287037)</f>
        <v>46072.35818</v>
      </c>
      <c r="D3755" s="211" t="str">
        <f>IFERROR(__xludf.DUMMYFUNCTION("""COMPUTED_VALUE"""),"98c84274")</f>
        <v>98c84274</v>
      </c>
      <c r="E3755" s="211" t="str">
        <f>IFERROR(__xludf.DUMMYFUNCTION("""COMPUTED_VALUE"""),"Bengkel SBM (Pak Hari)")</f>
        <v>Bengkel SBM (Pak Hari)</v>
      </c>
      <c r="F3755" s="211" t="str">
        <f>IFERROR(__xludf.DUMMYFUNCTION("""COMPUTED_VALUE"""),"8bdbe149")</f>
        <v>8bdbe149</v>
      </c>
      <c r="G3755" s="211" t="str">
        <f>IFERROR(__xludf.DUMMYFUNCTION("""COMPUTED_VALUE"""),"Oksigen 6m3")</f>
        <v>Oksigen 6m3</v>
      </c>
      <c r="H3755" s="211" t="str">
        <f>IFERROR(__xludf.DUMMYFUNCTION("""COMPUTED_VALUE"""),"IN")</f>
        <v>IN</v>
      </c>
      <c r="I3755" s="211" t="str">
        <f>IFERROR(__xludf.DUMMYFUNCTION("""COMPUTED_VALUE"""),"EMPTY")</f>
        <v>EMPTY</v>
      </c>
      <c r="J3755" s="211">
        <f>IFERROR(__xludf.DUMMYFUNCTION("""COMPUTED_VALUE"""),3.0)</f>
        <v>3</v>
      </c>
      <c r="K3755" s="210" t="str">
        <f>IFERROR(__xludf.DUMMYFUNCTION("""COMPUTED_VALUE"""),"11366 11296 11107")</f>
        <v>11366 11296 11107</v>
      </c>
      <c r="L3755" s="211">
        <f>IFERROR(__xludf.DUMMYFUNCTION("""COMPUTED_VALUE"""),0.0)</f>
        <v>0</v>
      </c>
      <c r="M3755" s="211"/>
      <c r="N3755" s="211"/>
      <c r="O3755" s="211" t="b">
        <f>IFERROR(__xludf.DUMMYFUNCTION("""COMPUTED_VALUE"""),FALSE)</f>
        <v>0</v>
      </c>
    </row>
    <row r="3756">
      <c r="A3756" s="210" t="str">
        <f>IFERROR(__xludf.DUMMYFUNCTION("""COMPUTED_VALUE"""),"1261280")</f>
        <v>1261280</v>
      </c>
      <c r="B3756" s="210" t="str">
        <f>IFERROR(__xludf.DUMMYFUNCTION("""COMPUTED_VALUE"""),"1261280")</f>
        <v>1261280</v>
      </c>
      <c r="C3756" s="213">
        <f>IFERROR(__xludf.DUMMYFUNCTION("""COMPUTED_VALUE"""),46072.35818287037)</f>
        <v>46072.35818</v>
      </c>
      <c r="D3756" s="211" t="str">
        <f>IFERROR(__xludf.DUMMYFUNCTION("""COMPUTED_VALUE"""),"98c84274")</f>
        <v>98c84274</v>
      </c>
      <c r="E3756" s="211" t="str">
        <f>IFERROR(__xludf.DUMMYFUNCTION("""COMPUTED_VALUE"""),"Bengkel SBM (Pak Hari)")</f>
        <v>Bengkel SBM (Pak Hari)</v>
      </c>
      <c r="F3756" s="211" t="str">
        <f>IFERROR(__xludf.DUMMYFUNCTION("""COMPUTED_VALUE"""),"ef306e54")</f>
        <v>ef306e54</v>
      </c>
      <c r="G3756" s="211" t="str">
        <f>IFERROR(__xludf.DUMMYFUNCTION("""COMPUTED_VALUE"""),"Karbondioksida")</f>
        <v>Karbondioksida</v>
      </c>
      <c r="H3756" s="211" t="str">
        <f>IFERROR(__xludf.DUMMYFUNCTION("""COMPUTED_VALUE"""),"IN")</f>
        <v>IN</v>
      </c>
      <c r="I3756" s="211" t="str">
        <f>IFERROR(__xludf.DUMMYFUNCTION("""COMPUTED_VALUE"""),"EMPTY")</f>
        <v>EMPTY</v>
      </c>
      <c r="J3756" s="211">
        <f>IFERROR(__xludf.DUMMYFUNCTION("""COMPUTED_VALUE"""),5.0)</f>
        <v>5</v>
      </c>
      <c r="K3756" s="210" t="str">
        <f>IFERROR(__xludf.DUMMYFUNCTION("""COMPUTED_VALUE"""),"13026 13028 13056 13037 13068")</f>
        <v>13026 13028 13056 13037 13068</v>
      </c>
      <c r="L3756" s="211">
        <f>IFERROR(__xludf.DUMMYFUNCTION("""COMPUTED_VALUE"""),0.0)</f>
        <v>0</v>
      </c>
      <c r="M3756" s="211"/>
      <c r="N3756" s="211"/>
      <c r="O3756" s="211" t="b">
        <f>IFERROR(__xludf.DUMMYFUNCTION("""COMPUTED_VALUE"""),FALSE)</f>
        <v>0</v>
      </c>
    </row>
    <row r="3757">
      <c r="A3757" s="210" t="str">
        <f>IFERROR(__xludf.DUMMYFUNCTION("""COMPUTED_VALUE"""),"0226222594")</f>
        <v>0226222594</v>
      </c>
      <c r="B3757" s="210" t="str">
        <f>IFERROR(__xludf.DUMMYFUNCTION("""COMPUTED_VALUE"""),"0226222594")</f>
        <v>0226222594</v>
      </c>
      <c r="C3757" s="213">
        <f>IFERROR(__xludf.DUMMYFUNCTION("""COMPUTED_VALUE"""),46072.36738425926)</f>
        <v>46072.36738</v>
      </c>
      <c r="D3757" s="211" t="str">
        <f>IFERROR(__xludf.DUMMYFUNCTION("""COMPUTED_VALUE"""),"8ea74d81")</f>
        <v>8ea74d81</v>
      </c>
      <c r="E3757" s="211" t="str">
        <f>IFERROR(__xludf.DUMMYFUNCTION("""COMPUTED_VALUE"""),"Bengkel Adi Putra")</f>
        <v>Bengkel Adi Putra</v>
      </c>
      <c r="F3757" s="211" t="str">
        <f>IFERROR(__xludf.DUMMYFUNCTION("""COMPUTED_VALUE"""),"ef306e54")</f>
        <v>ef306e54</v>
      </c>
      <c r="G3757" s="211" t="str">
        <f>IFERROR(__xludf.DUMMYFUNCTION("""COMPUTED_VALUE"""),"Karbondioksida")</f>
        <v>Karbondioksida</v>
      </c>
      <c r="H3757" s="211" t="str">
        <f>IFERROR(__xludf.DUMMYFUNCTION("""COMPUTED_VALUE"""),"OUT")</f>
        <v>OUT</v>
      </c>
      <c r="I3757" s="211" t="str">
        <f>IFERROR(__xludf.DUMMYFUNCTION("""COMPUTED_VALUE"""),"NORMAL")</f>
        <v>NORMAL</v>
      </c>
      <c r="J3757" s="211">
        <f>IFERROR(__xludf.DUMMYFUNCTION("""COMPUTED_VALUE"""),2.0)</f>
        <v>2</v>
      </c>
      <c r="K3757" s="210" t="str">
        <f>IFERROR(__xludf.DUMMYFUNCTION("""COMPUTED_VALUE"""),"13037 13013")</f>
        <v>13037 13013</v>
      </c>
      <c r="L3757" s="211">
        <f>IFERROR(__xludf.DUMMYFUNCTION("""COMPUTED_VALUE"""),190000.0)</f>
        <v>190000</v>
      </c>
      <c r="M3757" s="211"/>
      <c r="N3757" s="211"/>
      <c r="O3757" s="211" t="b">
        <f>IFERROR(__xludf.DUMMYFUNCTION("""COMPUTED_VALUE"""),FALSE)</f>
        <v>0</v>
      </c>
    </row>
    <row r="3758">
      <c r="A3758" s="210" t="str">
        <f>IFERROR(__xludf.DUMMYFUNCTION("""COMPUTED_VALUE"""),"0226462599")</f>
        <v>0226462599</v>
      </c>
      <c r="B3758" s="210" t="str">
        <f>IFERROR(__xludf.DUMMYFUNCTION("""COMPUTED_VALUE"""),"0226462599")</f>
        <v>0226462599</v>
      </c>
      <c r="C3758" s="213">
        <f>IFERROR(__xludf.DUMMYFUNCTION("""COMPUTED_VALUE"""),46072.367731481485)</f>
        <v>46072.36773</v>
      </c>
      <c r="D3758" s="211" t="str">
        <f>IFERROR(__xludf.DUMMYFUNCTION("""COMPUTED_VALUE"""),"ec231cc9")</f>
        <v>ec231cc9</v>
      </c>
      <c r="E3758" s="211" t="str">
        <f>IFERROR(__xludf.DUMMYFUNCTION("""COMPUTED_VALUE"""),"Bpk. Kohir (Maintenance Velg)")</f>
        <v>Bpk. Kohir (Maintenance Velg)</v>
      </c>
      <c r="F3758" s="211" t="str">
        <f>IFERROR(__xludf.DUMMYFUNCTION("""COMPUTED_VALUE"""),"8bdbe149")</f>
        <v>8bdbe149</v>
      </c>
      <c r="G3758" s="211" t="str">
        <f>IFERROR(__xludf.DUMMYFUNCTION("""COMPUTED_VALUE"""),"Oksigen 6m3")</f>
        <v>Oksigen 6m3</v>
      </c>
      <c r="H3758" s="211" t="str">
        <f>IFERROR(__xludf.DUMMYFUNCTION("""COMPUTED_VALUE"""),"OUT")</f>
        <v>OUT</v>
      </c>
      <c r="I3758" s="211" t="str">
        <f>IFERROR(__xludf.DUMMYFUNCTION("""COMPUTED_VALUE"""),"NORMAL")</f>
        <v>NORMAL</v>
      </c>
      <c r="J3758" s="211">
        <f>IFERROR(__xludf.DUMMYFUNCTION("""COMPUTED_VALUE"""),4.0)</f>
        <v>4</v>
      </c>
      <c r="K3758" s="210" t="str">
        <f>IFERROR(__xludf.DUMMYFUNCTION("""COMPUTED_VALUE"""),"11286 11366 11279 1186")</f>
        <v>11286 11366 11279 1186</v>
      </c>
      <c r="L3758" s="211">
        <f>IFERROR(__xludf.DUMMYFUNCTION("""COMPUTED_VALUE"""),55000.0)</f>
        <v>55000</v>
      </c>
      <c r="M3758" s="211"/>
      <c r="N3758" s="211"/>
      <c r="O3758" s="211" t="b">
        <f>IFERROR(__xludf.DUMMYFUNCTION("""COMPUTED_VALUE"""),FALSE)</f>
        <v>0</v>
      </c>
    </row>
    <row r="3759">
      <c r="A3759" s="210" t="str">
        <f>IFERROR(__xludf.DUMMYFUNCTION("""COMPUTED_VALUE"""),"0226452601")</f>
        <v>0226452601</v>
      </c>
      <c r="B3759" s="210" t="str">
        <f>IFERROR(__xludf.DUMMYFUNCTION("""COMPUTED_VALUE"""),"0226452601")</f>
        <v>0226452601</v>
      </c>
      <c r="C3759" s="213">
        <f>IFERROR(__xludf.DUMMYFUNCTION("""COMPUTED_VALUE"""),46072.42563657407)</f>
        <v>46072.42564</v>
      </c>
      <c r="D3759" s="211" t="str">
        <f>IFERROR(__xludf.DUMMYFUNCTION("""COMPUTED_VALUE"""),"01158be1")</f>
        <v>01158be1</v>
      </c>
      <c r="E3759" s="211" t="str">
        <f>IFERROR(__xludf.DUMMYFUNCTION("""COMPUTED_VALUE"""),"GYF")</f>
        <v>GYF</v>
      </c>
      <c r="F3759" s="211" t="str">
        <f>IFERROR(__xludf.DUMMYFUNCTION("""COMPUTED_VALUE"""),"8bdbe149")</f>
        <v>8bdbe149</v>
      </c>
      <c r="G3759" s="211" t="str">
        <f>IFERROR(__xludf.DUMMYFUNCTION("""COMPUTED_VALUE"""),"Oksigen 6m3")</f>
        <v>Oksigen 6m3</v>
      </c>
      <c r="H3759" s="211" t="str">
        <f>IFERROR(__xludf.DUMMYFUNCTION("""COMPUTED_VALUE"""),"OUT")</f>
        <v>OUT</v>
      </c>
      <c r="I3759" s="211" t="str">
        <f>IFERROR(__xludf.DUMMYFUNCTION("""COMPUTED_VALUE"""),"NORMAL")</f>
        <v>NORMAL</v>
      </c>
      <c r="J3759" s="211">
        <f>IFERROR(__xludf.DUMMYFUNCTION("""COMPUTED_VALUE"""),10.0)</f>
        <v>10</v>
      </c>
      <c r="K3759" s="210" t="str">
        <f>IFERROR(__xludf.DUMMYFUNCTION("""COMPUTED_VALUE"""),"11252 11177 11343 11176 11199 11340 1158 1163 1113 1168")</f>
        <v>11252 11177 11343 11176 11199 11340 1158 1163 1113 1168</v>
      </c>
      <c r="L3759" s="211">
        <f>IFERROR(__xludf.DUMMYFUNCTION("""COMPUTED_VALUE"""),45000.0)</f>
        <v>45000</v>
      </c>
      <c r="M3759" s="211"/>
      <c r="N3759" s="211"/>
      <c r="O3759" s="211" t="b">
        <f>IFERROR(__xludf.DUMMYFUNCTION("""COMPUTED_VALUE"""),FALSE)</f>
        <v>0</v>
      </c>
    </row>
    <row r="3760">
      <c r="A3760" s="210" t="str">
        <f>IFERROR(__xludf.DUMMYFUNCTION("""COMPUTED_VALUE"""),"0226452601")</f>
        <v>0226452601</v>
      </c>
      <c r="B3760" s="210" t="str">
        <f>IFERROR(__xludf.DUMMYFUNCTION("""COMPUTED_VALUE"""),"0226452601")</f>
        <v>0226452601</v>
      </c>
      <c r="C3760" s="213">
        <f>IFERROR(__xludf.DUMMYFUNCTION("""COMPUTED_VALUE"""),46072.42563657407)</f>
        <v>46072.42564</v>
      </c>
      <c r="D3760" s="211" t="str">
        <f>IFERROR(__xludf.DUMMYFUNCTION("""COMPUTED_VALUE"""),"01158be1")</f>
        <v>01158be1</v>
      </c>
      <c r="E3760" s="211" t="str">
        <f>IFERROR(__xludf.DUMMYFUNCTION("""COMPUTED_VALUE"""),"GYF")</f>
        <v>GYF</v>
      </c>
      <c r="F3760" s="211" t="str">
        <f>IFERROR(__xludf.DUMMYFUNCTION("""COMPUTED_VALUE"""),"66af7c72")</f>
        <v>66af7c72</v>
      </c>
      <c r="G3760" s="211" t="str">
        <f>IFERROR(__xludf.DUMMYFUNCTION("""COMPUTED_VALUE"""),"Argon 6m3")</f>
        <v>Argon 6m3</v>
      </c>
      <c r="H3760" s="211" t="str">
        <f>IFERROR(__xludf.DUMMYFUNCTION("""COMPUTED_VALUE"""),"OUT")</f>
        <v>OUT</v>
      </c>
      <c r="I3760" s="211" t="str">
        <f>IFERROR(__xludf.DUMMYFUNCTION("""COMPUTED_VALUE"""),"NORMAL")</f>
        <v>NORMAL</v>
      </c>
      <c r="J3760" s="211">
        <f>IFERROR(__xludf.DUMMYFUNCTION("""COMPUTED_VALUE"""),2.0)</f>
        <v>2</v>
      </c>
      <c r="K3760" s="210" t="str">
        <f>IFERROR(__xludf.DUMMYFUNCTION("""COMPUTED_VALUE"""),"12058 12005")</f>
        <v>12058 12005</v>
      </c>
      <c r="L3760" s="211">
        <f>IFERROR(__xludf.DUMMYFUNCTION("""COMPUTED_VALUE"""),200000.0)</f>
        <v>200000</v>
      </c>
      <c r="M3760" s="211"/>
      <c r="N3760" s="211"/>
      <c r="O3760" s="211" t="b">
        <f>IFERROR(__xludf.DUMMYFUNCTION("""COMPUTED_VALUE"""),FALSE)</f>
        <v>0</v>
      </c>
    </row>
    <row r="3761">
      <c r="A3761" s="210" t="str">
        <f>IFERROR(__xludf.DUMMYFUNCTION("""COMPUTED_VALUE"""),"0226862600")</f>
        <v>0226862600</v>
      </c>
      <c r="B3761" s="210" t="str">
        <f>IFERROR(__xludf.DUMMYFUNCTION("""COMPUTED_VALUE"""),"0226862600")</f>
        <v>0226862600</v>
      </c>
      <c r="C3761" s="213">
        <f>IFERROR(__xludf.DUMMYFUNCTION("""COMPUTED_VALUE"""),46072.42556712963)</f>
        <v>46072.42557</v>
      </c>
      <c r="D3761" s="211" t="str">
        <f>IFERROR(__xludf.DUMMYFUNCTION("""COMPUTED_VALUE"""),"b2b5f2c5")</f>
        <v>b2b5f2c5</v>
      </c>
      <c r="E3761" s="211" t="str">
        <f>IFERROR(__xludf.DUMMYFUNCTION("""COMPUTED_VALUE"""),"Bengkel Las Bpk. Ari")</f>
        <v>Bengkel Las Bpk. Ari</v>
      </c>
      <c r="F3761" s="211" t="str">
        <f>IFERROR(__xludf.DUMMYFUNCTION("""COMPUTED_VALUE"""),"8bdbe149")</f>
        <v>8bdbe149</v>
      </c>
      <c r="G3761" s="211" t="str">
        <f>IFERROR(__xludf.DUMMYFUNCTION("""COMPUTED_VALUE"""),"Oksigen 6m3")</f>
        <v>Oksigen 6m3</v>
      </c>
      <c r="H3761" s="211" t="str">
        <f>IFERROR(__xludf.DUMMYFUNCTION("""COMPUTED_VALUE"""),"OUT")</f>
        <v>OUT</v>
      </c>
      <c r="I3761" s="211" t="str">
        <f>IFERROR(__xludf.DUMMYFUNCTION("""COMPUTED_VALUE"""),"NORMAL")</f>
        <v>NORMAL</v>
      </c>
      <c r="J3761" s="211">
        <f>IFERROR(__xludf.DUMMYFUNCTION("""COMPUTED_VALUE"""),5.0)</f>
        <v>5</v>
      </c>
      <c r="K3761" s="210" t="str">
        <f>IFERROR(__xludf.DUMMYFUNCTION("""COMPUTED_VALUE"""),"11296 11120 11117 1144 11107")</f>
        <v>11296 11120 11117 1144 11107</v>
      </c>
      <c r="L3761" s="211">
        <f>IFERROR(__xludf.DUMMYFUNCTION("""COMPUTED_VALUE"""),60000.0)</f>
        <v>60000</v>
      </c>
      <c r="M3761" s="211"/>
      <c r="N3761" s="211"/>
      <c r="O3761" s="211" t="b">
        <f>IFERROR(__xludf.DUMMYFUNCTION("""COMPUTED_VALUE"""),FALSE)</f>
        <v>0</v>
      </c>
    </row>
    <row r="3762">
      <c r="A3762" s="210" t="str">
        <f>IFERROR(__xludf.DUMMYFUNCTION("""COMPUTED_VALUE"""),"1261262")</f>
        <v>1261262</v>
      </c>
      <c r="B3762" s="210" t="str">
        <f>IFERROR(__xludf.DUMMYFUNCTION("""COMPUTED_VALUE"""),"1261262")</f>
        <v>1261262</v>
      </c>
      <c r="C3762" s="213">
        <f>IFERROR(__xludf.DUMMYFUNCTION("""COMPUTED_VALUE"""),46072.438125)</f>
        <v>46072.43813</v>
      </c>
      <c r="D3762" s="211" t="str">
        <f>IFERROR(__xludf.DUMMYFUNCTION("""COMPUTED_VALUE"""),"8ea74d81")</f>
        <v>8ea74d81</v>
      </c>
      <c r="E3762" s="211" t="str">
        <f>IFERROR(__xludf.DUMMYFUNCTION("""COMPUTED_VALUE"""),"Bengkel Adi Putra")</f>
        <v>Bengkel Adi Putra</v>
      </c>
      <c r="F3762" s="211" t="str">
        <f>IFERROR(__xludf.DUMMYFUNCTION("""COMPUTED_VALUE"""),"ef306e54")</f>
        <v>ef306e54</v>
      </c>
      <c r="G3762" s="211" t="str">
        <f>IFERROR(__xludf.DUMMYFUNCTION("""COMPUTED_VALUE"""),"Karbondioksida")</f>
        <v>Karbondioksida</v>
      </c>
      <c r="H3762" s="211" t="str">
        <f>IFERROR(__xludf.DUMMYFUNCTION("""COMPUTED_VALUE"""),"IN")</f>
        <v>IN</v>
      </c>
      <c r="I3762" s="211" t="str">
        <f>IFERROR(__xludf.DUMMYFUNCTION("""COMPUTED_VALUE"""),"EMPTY")</f>
        <v>EMPTY</v>
      </c>
      <c r="J3762" s="211">
        <f>IFERROR(__xludf.DUMMYFUNCTION("""COMPUTED_VALUE"""),3.0)</f>
        <v>3</v>
      </c>
      <c r="K3762" s="210" t="str">
        <f>IFERROR(__xludf.DUMMYFUNCTION("""COMPUTED_VALUE"""),"13008 13018 13072")</f>
        <v>13008 13018 13072</v>
      </c>
      <c r="L3762" s="211">
        <f>IFERROR(__xludf.DUMMYFUNCTION("""COMPUTED_VALUE"""),0.0)</f>
        <v>0</v>
      </c>
      <c r="M3762" s="211"/>
      <c r="N3762" s="211"/>
      <c r="O3762" s="211" t="b">
        <f>IFERROR(__xludf.DUMMYFUNCTION("""COMPUTED_VALUE"""),FALSE)</f>
        <v>0</v>
      </c>
    </row>
    <row r="3763">
      <c r="A3763" s="210" t="str">
        <f>IFERROR(__xludf.DUMMYFUNCTION("""COMPUTED_VALUE"""),"1261263")</f>
        <v>1261263</v>
      </c>
      <c r="B3763" s="210" t="str">
        <f>IFERROR(__xludf.DUMMYFUNCTION("""COMPUTED_VALUE"""),"1261263")</f>
        <v>1261263</v>
      </c>
      <c r="C3763" s="213">
        <f>IFERROR(__xludf.DUMMYFUNCTION("""COMPUTED_VALUE"""),46072.43850694445)</f>
        <v>46072.43851</v>
      </c>
      <c r="D3763" s="211" t="str">
        <f>IFERROR(__xludf.DUMMYFUNCTION("""COMPUTED_VALUE"""),"ec231cc9")</f>
        <v>ec231cc9</v>
      </c>
      <c r="E3763" s="211" t="str">
        <f>IFERROR(__xludf.DUMMYFUNCTION("""COMPUTED_VALUE"""),"Bpk. Kohir (Maintenance Velg)")</f>
        <v>Bpk. Kohir (Maintenance Velg)</v>
      </c>
      <c r="F3763" s="211" t="str">
        <f>IFERROR(__xludf.DUMMYFUNCTION("""COMPUTED_VALUE"""),"8bdbe149")</f>
        <v>8bdbe149</v>
      </c>
      <c r="G3763" s="211" t="str">
        <f>IFERROR(__xludf.DUMMYFUNCTION("""COMPUTED_VALUE"""),"Oksigen 6m3")</f>
        <v>Oksigen 6m3</v>
      </c>
      <c r="H3763" s="211" t="str">
        <f>IFERROR(__xludf.DUMMYFUNCTION("""COMPUTED_VALUE"""),"IN")</f>
        <v>IN</v>
      </c>
      <c r="I3763" s="211" t="str">
        <f>IFERROR(__xludf.DUMMYFUNCTION("""COMPUTED_VALUE"""),"EMPTY")</f>
        <v>EMPTY</v>
      </c>
      <c r="J3763" s="211">
        <f>IFERROR(__xludf.DUMMYFUNCTION("""COMPUTED_VALUE"""),4.0)</f>
        <v>4</v>
      </c>
      <c r="K3763" s="210" t="str">
        <f>IFERROR(__xludf.DUMMYFUNCTION("""COMPUTED_VALUE"""),"11370 11372 11374 11369")</f>
        <v>11370 11372 11374 11369</v>
      </c>
      <c r="L3763" s="211">
        <f>IFERROR(__xludf.DUMMYFUNCTION("""COMPUTED_VALUE"""),0.0)</f>
        <v>0</v>
      </c>
      <c r="M3763" s="211"/>
      <c r="N3763" s="211"/>
      <c r="O3763" s="211" t="b">
        <f>IFERROR(__xludf.DUMMYFUNCTION("""COMPUTED_VALUE"""),FALSE)</f>
        <v>0</v>
      </c>
    </row>
    <row r="3764">
      <c r="A3764" s="210" t="str">
        <f>IFERROR(__xludf.DUMMYFUNCTION("""COMPUTED_VALUE"""),"0226102602")</f>
        <v>0226102602</v>
      </c>
      <c r="B3764" s="210" t="str">
        <f>IFERROR(__xludf.DUMMYFUNCTION("""COMPUTED_VALUE"""),"0226102602")</f>
        <v>0226102602</v>
      </c>
      <c r="C3764" s="213">
        <f>IFERROR(__xludf.DUMMYFUNCTION("""COMPUTED_VALUE"""),46072.50965277778)</f>
        <v>46072.50965</v>
      </c>
      <c r="D3764" s="211" t="str">
        <f>IFERROR(__xludf.DUMMYFUNCTION("""COMPUTED_VALUE"""),"196b24da")</f>
        <v>196b24da</v>
      </c>
      <c r="E3764" s="211" t="str">
        <f>IFERROR(__xludf.DUMMYFUNCTION("""COMPUTED_VALUE"""),"PT Samudra Cipta Enjineering")</f>
        <v>PT Samudra Cipta Enjineering</v>
      </c>
      <c r="F3764" s="211" t="str">
        <f>IFERROR(__xludf.DUMMYFUNCTION("""COMPUTED_VALUE"""),"b7a8fff1")</f>
        <v>b7a8fff1</v>
      </c>
      <c r="G3764" s="211" t="str">
        <f>IFERROR(__xludf.DUMMYFUNCTION("""COMPUTED_VALUE"""),"LPG 50kg")</f>
        <v>LPG 50kg</v>
      </c>
      <c r="H3764" s="211" t="str">
        <f>IFERROR(__xludf.DUMMYFUNCTION("""COMPUTED_VALUE"""),"OUT")</f>
        <v>OUT</v>
      </c>
      <c r="I3764" s="211" t="str">
        <f>IFERROR(__xludf.DUMMYFUNCTION("""COMPUTED_VALUE"""),"NORMAL")</f>
        <v>NORMAL</v>
      </c>
      <c r="J3764" s="211">
        <f>IFERROR(__xludf.DUMMYFUNCTION("""COMPUTED_VALUE"""),3.0)</f>
        <v>3</v>
      </c>
      <c r="K3764" s="210" t="str">
        <f>IFERROR(__xludf.DUMMYFUNCTION("""COMPUTED_VALUE"""),"LL002 LL004 LL005")</f>
        <v>LL002 LL004 LL005</v>
      </c>
      <c r="L3764" s="211">
        <f>IFERROR(__xludf.DUMMYFUNCTION("""COMPUTED_VALUE"""),925000.0)</f>
        <v>925000</v>
      </c>
      <c r="M3764" s="211"/>
      <c r="N3764" s="211"/>
      <c r="O3764" s="211" t="b">
        <f>IFERROR(__xludf.DUMMYFUNCTION("""COMPUTED_VALUE"""),FALSE)</f>
        <v>0</v>
      </c>
    </row>
    <row r="3765">
      <c r="A3765" s="210" t="str">
        <f>IFERROR(__xludf.DUMMYFUNCTION("""COMPUTED_VALUE"""),"0226112605")</f>
        <v>0226112605</v>
      </c>
      <c r="B3765" s="210" t="str">
        <f>IFERROR(__xludf.DUMMYFUNCTION("""COMPUTED_VALUE"""),"0226112605")</f>
        <v>0226112605</v>
      </c>
      <c r="C3765" s="213">
        <f>IFERROR(__xludf.DUMMYFUNCTION("""COMPUTED_VALUE"""),46072.51162037037)</f>
        <v>46072.51162</v>
      </c>
      <c r="D3765" s="211" t="str">
        <f>IFERROR(__xludf.DUMMYFUNCTION("""COMPUTED_VALUE"""),"03ff52db")</f>
        <v>03ff52db</v>
      </c>
      <c r="E3765" s="211" t="str">
        <f>IFERROR(__xludf.DUMMYFUNCTION("""COMPUTED_VALUE"""),"Aneka Teknik Logam")</f>
        <v>Aneka Teknik Logam</v>
      </c>
      <c r="F3765" s="211" t="str">
        <f>IFERROR(__xludf.DUMMYFUNCTION("""COMPUTED_VALUE"""),"8bdbe149")</f>
        <v>8bdbe149</v>
      </c>
      <c r="G3765" s="211" t="str">
        <f>IFERROR(__xludf.DUMMYFUNCTION("""COMPUTED_VALUE"""),"Oksigen 6m3")</f>
        <v>Oksigen 6m3</v>
      </c>
      <c r="H3765" s="211" t="str">
        <f>IFERROR(__xludf.DUMMYFUNCTION("""COMPUTED_VALUE"""),"OUT")</f>
        <v>OUT</v>
      </c>
      <c r="I3765" s="211" t="str">
        <f>IFERROR(__xludf.DUMMYFUNCTION("""COMPUTED_VALUE"""),"NORMAL")</f>
        <v>NORMAL</v>
      </c>
      <c r="J3765" s="211">
        <f>IFERROR(__xludf.DUMMYFUNCTION("""COMPUTED_VALUE"""),2.0)</f>
        <v>2</v>
      </c>
      <c r="K3765" s="210" t="str">
        <f>IFERROR(__xludf.DUMMYFUNCTION("""COMPUTED_VALUE"""),"1120 11200")</f>
        <v>1120 11200</v>
      </c>
      <c r="L3765" s="211">
        <f>IFERROR(__xludf.DUMMYFUNCTION("""COMPUTED_VALUE"""),60000.0)</f>
        <v>60000</v>
      </c>
      <c r="M3765" s="211"/>
      <c r="N3765" s="211"/>
      <c r="O3765" s="211" t="b">
        <f>IFERROR(__xludf.DUMMYFUNCTION("""COMPUTED_VALUE"""),FALSE)</f>
        <v>0</v>
      </c>
    </row>
    <row r="3766">
      <c r="A3766" s="210" t="str">
        <f>IFERROR(__xludf.DUMMYFUNCTION("""COMPUTED_VALUE"""),"0226112605")</f>
        <v>0226112605</v>
      </c>
      <c r="B3766" s="210" t="str">
        <f>IFERROR(__xludf.DUMMYFUNCTION("""COMPUTED_VALUE"""),"0226112605")</f>
        <v>0226112605</v>
      </c>
      <c r="C3766" s="213">
        <f>IFERROR(__xludf.DUMMYFUNCTION("""COMPUTED_VALUE"""),46072.51162037037)</f>
        <v>46072.51162</v>
      </c>
      <c r="D3766" s="211" t="str">
        <f>IFERROR(__xludf.DUMMYFUNCTION("""COMPUTED_VALUE"""),"03ff52db")</f>
        <v>03ff52db</v>
      </c>
      <c r="E3766" s="211" t="str">
        <f>IFERROR(__xludf.DUMMYFUNCTION("""COMPUTED_VALUE"""),"Aneka Teknik Logam")</f>
        <v>Aneka Teknik Logam</v>
      </c>
      <c r="F3766" s="211" t="str">
        <f>IFERROR(__xludf.DUMMYFUNCTION("""COMPUTED_VALUE"""),"be525f3b")</f>
        <v>be525f3b</v>
      </c>
      <c r="G3766" s="211" t="str">
        <f>IFERROR(__xludf.DUMMYFUNCTION("""COMPUTED_VALUE"""),"LPG 12kg")</f>
        <v>LPG 12kg</v>
      </c>
      <c r="H3766" s="211" t="str">
        <f>IFERROR(__xludf.DUMMYFUNCTION("""COMPUTED_VALUE"""),"OUT")</f>
        <v>OUT</v>
      </c>
      <c r="I3766" s="211" t="str">
        <f>IFERROR(__xludf.DUMMYFUNCTION("""COMPUTED_VALUE"""),"NORMAL")</f>
        <v>NORMAL</v>
      </c>
      <c r="J3766" s="211">
        <f>IFERROR(__xludf.DUMMYFUNCTION("""COMPUTED_VALUE"""),1.0)</f>
        <v>1</v>
      </c>
      <c r="K3766" s="210" t="str">
        <f>IFERROR(__xludf.DUMMYFUNCTION("""COMPUTED_VALUE"""),"L002")</f>
        <v>L002</v>
      </c>
      <c r="L3766" s="211">
        <f>IFERROR(__xludf.DUMMYFUNCTION("""COMPUTED_VALUE"""),210000.0)</f>
        <v>210000</v>
      </c>
      <c r="M3766" s="211"/>
      <c r="N3766" s="211"/>
      <c r="O3766" s="211" t="b">
        <f>IFERROR(__xludf.DUMMYFUNCTION("""COMPUTED_VALUE"""),FALSE)</f>
        <v>0</v>
      </c>
    </row>
    <row r="3767">
      <c r="A3767" s="210" t="str">
        <f>IFERROR(__xludf.DUMMYFUNCTION("""COMPUTED_VALUE"""),"0226232607")</f>
        <v>0226232607</v>
      </c>
      <c r="B3767" s="210" t="str">
        <f>IFERROR(__xludf.DUMMYFUNCTION("""COMPUTED_VALUE"""),"0226232607")</f>
        <v>0226232607</v>
      </c>
      <c r="C3767" s="213">
        <f>IFERROR(__xludf.DUMMYFUNCTION("""COMPUTED_VALUE"""),46072.511828703704)</f>
        <v>46072.51183</v>
      </c>
      <c r="D3767" s="211" t="str">
        <f>IFERROR(__xludf.DUMMYFUNCTION("""COMPUTED_VALUE"""),"8ea74d81")</f>
        <v>8ea74d81</v>
      </c>
      <c r="E3767" s="211" t="str">
        <f>IFERROR(__xludf.DUMMYFUNCTION("""COMPUTED_VALUE"""),"Bengkel Adi Putra")</f>
        <v>Bengkel Adi Putra</v>
      </c>
      <c r="F3767" s="211" t="str">
        <f>IFERROR(__xludf.DUMMYFUNCTION("""COMPUTED_VALUE"""),"8bdbe149")</f>
        <v>8bdbe149</v>
      </c>
      <c r="G3767" s="211" t="str">
        <f>IFERROR(__xludf.DUMMYFUNCTION("""COMPUTED_VALUE"""),"Oksigen 6m3")</f>
        <v>Oksigen 6m3</v>
      </c>
      <c r="H3767" s="211" t="str">
        <f>IFERROR(__xludf.DUMMYFUNCTION("""COMPUTED_VALUE"""),"OUT")</f>
        <v>OUT</v>
      </c>
      <c r="I3767" s="211" t="str">
        <f>IFERROR(__xludf.DUMMYFUNCTION("""COMPUTED_VALUE"""),"NORMAL")</f>
        <v>NORMAL</v>
      </c>
      <c r="J3767" s="211">
        <f>IFERROR(__xludf.DUMMYFUNCTION("""COMPUTED_VALUE"""),2.0)</f>
        <v>2</v>
      </c>
      <c r="K3767" s="210" t="str">
        <f>IFERROR(__xludf.DUMMYFUNCTION("""COMPUTED_VALUE"""),"1147 11290")</f>
        <v>1147 11290</v>
      </c>
      <c r="L3767" s="211">
        <f>IFERROR(__xludf.DUMMYFUNCTION("""COMPUTED_VALUE"""),70000.0)</f>
        <v>70000</v>
      </c>
      <c r="M3767" s="211"/>
      <c r="N3767" s="211"/>
      <c r="O3767" s="211" t="b">
        <f>IFERROR(__xludf.DUMMYFUNCTION("""COMPUTED_VALUE"""),FALSE)</f>
        <v>0</v>
      </c>
    </row>
    <row r="3768">
      <c r="A3768" s="210" t="str">
        <f>IFERROR(__xludf.DUMMYFUNCTION("""COMPUTED_VALUE"""),"0226102606")</f>
        <v>0226102606</v>
      </c>
      <c r="B3768" s="210" t="str">
        <f>IFERROR(__xludf.DUMMYFUNCTION("""COMPUTED_VALUE"""),"0226102606")</f>
        <v>0226102606</v>
      </c>
      <c r="C3768" s="213">
        <f>IFERROR(__xludf.DUMMYFUNCTION("""COMPUTED_VALUE"""),46072.51174768519)</f>
        <v>46072.51175</v>
      </c>
      <c r="D3768" s="211" t="str">
        <f>IFERROR(__xludf.DUMMYFUNCTION("""COMPUTED_VALUE"""),"98c84274")</f>
        <v>98c84274</v>
      </c>
      <c r="E3768" s="211" t="str">
        <f>IFERROR(__xludf.DUMMYFUNCTION("""COMPUTED_VALUE"""),"Bengkel SBM (Pak Hari)")</f>
        <v>Bengkel SBM (Pak Hari)</v>
      </c>
      <c r="F3768" s="211" t="str">
        <f>IFERROR(__xludf.DUMMYFUNCTION("""COMPUTED_VALUE"""),"8bdbe149")</f>
        <v>8bdbe149</v>
      </c>
      <c r="G3768" s="211" t="str">
        <f>IFERROR(__xludf.DUMMYFUNCTION("""COMPUTED_VALUE"""),"Oksigen 6m3")</f>
        <v>Oksigen 6m3</v>
      </c>
      <c r="H3768" s="211" t="str">
        <f>IFERROR(__xludf.DUMMYFUNCTION("""COMPUTED_VALUE"""),"OUT")</f>
        <v>OUT</v>
      </c>
      <c r="I3768" s="211" t="str">
        <f>IFERROR(__xludf.DUMMYFUNCTION("""COMPUTED_VALUE"""),"NORMAL")</f>
        <v>NORMAL</v>
      </c>
      <c r="J3768" s="211">
        <f>IFERROR(__xludf.DUMMYFUNCTION("""COMPUTED_VALUE"""),4.0)</f>
        <v>4</v>
      </c>
      <c r="K3768" s="210" t="str">
        <f>IFERROR(__xludf.DUMMYFUNCTION("""COMPUTED_VALUE"""),"1199 1188 1187 1136")</f>
        <v>1199 1188 1187 1136</v>
      </c>
      <c r="L3768" s="211">
        <f>IFERROR(__xludf.DUMMYFUNCTION("""COMPUTED_VALUE"""),60000.0)</f>
        <v>60000</v>
      </c>
      <c r="M3768" s="211"/>
      <c r="N3768" s="211"/>
      <c r="O3768" s="211" t="b">
        <f>IFERROR(__xludf.DUMMYFUNCTION("""COMPUTED_VALUE"""),FALSE)</f>
        <v>0</v>
      </c>
    </row>
    <row r="3769">
      <c r="A3769" s="210" t="str">
        <f>IFERROR(__xludf.DUMMYFUNCTION("""COMPUTED_VALUE"""),"0226102606")</f>
        <v>0226102606</v>
      </c>
      <c r="B3769" s="210" t="str">
        <f>IFERROR(__xludf.DUMMYFUNCTION("""COMPUTED_VALUE"""),"0226102606")</f>
        <v>0226102606</v>
      </c>
      <c r="C3769" s="213">
        <f>IFERROR(__xludf.DUMMYFUNCTION("""COMPUTED_VALUE"""),46072.51174768519)</f>
        <v>46072.51175</v>
      </c>
      <c r="D3769" s="211" t="str">
        <f>IFERROR(__xludf.DUMMYFUNCTION("""COMPUTED_VALUE"""),"98c84274")</f>
        <v>98c84274</v>
      </c>
      <c r="E3769" s="211" t="str">
        <f>IFERROR(__xludf.DUMMYFUNCTION("""COMPUTED_VALUE"""),"Bengkel SBM (Pak Hari)")</f>
        <v>Bengkel SBM (Pak Hari)</v>
      </c>
      <c r="F3769" s="211" t="str">
        <f>IFERROR(__xludf.DUMMYFUNCTION("""COMPUTED_VALUE"""),"ef306e54")</f>
        <v>ef306e54</v>
      </c>
      <c r="G3769" s="211" t="str">
        <f>IFERROR(__xludf.DUMMYFUNCTION("""COMPUTED_VALUE"""),"Karbondioksida")</f>
        <v>Karbondioksida</v>
      </c>
      <c r="H3769" s="211" t="str">
        <f>IFERROR(__xludf.DUMMYFUNCTION("""COMPUTED_VALUE"""),"OUT")</f>
        <v>OUT</v>
      </c>
      <c r="I3769" s="211" t="str">
        <f>IFERROR(__xludf.DUMMYFUNCTION("""COMPUTED_VALUE"""),"NORMAL")</f>
        <v>NORMAL</v>
      </c>
      <c r="J3769" s="211">
        <f>IFERROR(__xludf.DUMMYFUNCTION("""COMPUTED_VALUE"""),4.0)</f>
        <v>4</v>
      </c>
      <c r="K3769" s="210" t="str">
        <f>IFERROR(__xludf.DUMMYFUNCTION("""COMPUTED_VALUE"""),"13020 13042 13043 13056")</f>
        <v>13020 13042 13043 13056</v>
      </c>
      <c r="L3769" s="211">
        <f>IFERROR(__xludf.DUMMYFUNCTION("""COMPUTED_VALUE"""),190000.0)</f>
        <v>190000</v>
      </c>
      <c r="M3769" s="211"/>
      <c r="N3769" s="211"/>
      <c r="O3769" s="211" t="b">
        <f>IFERROR(__xludf.DUMMYFUNCTION("""COMPUTED_VALUE"""),FALSE)</f>
        <v>0</v>
      </c>
    </row>
    <row r="3770">
      <c r="A3770" s="210" t="str">
        <f>IFERROR(__xludf.DUMMYFUNCTION("""COMPUTED_VALUE"""),"1261252")</f>
        <v>1261252</v>
      </c>
      <c r="B3770" s="210" t="str">
        <f>IFERROR(__xludf.DUMMYFUNCTION("""COMPUTED_VALUE"""),"1261252")</f>
        <v>1261252</v>
      </c>
      <c r="C3770" s="213">
        <f>IFERROR(__xludf.DUMMYFUNCTION("""COMPUTED_VALUE"""),46072.57886574074)</f>
        <v>46072.57887</v>
      </c>
      <c r="D3770" s="211" t="str">
        <f>IFERROR(__xludf.DUMMYFUNCTION("""COMPUTED_VALUE"""),"196b24da")</f>
        <v>196b24da</v>
      </c>
      <c r="E3770" s="211" t="str">
        <f>IFERROR(__xludf.DUMMYFUNCTION("""COMPUTED_VALUE"""),"PT Samudra Cipta Enjineering")</f>
        <v>PT Samudra Cipta Enjineering</v>
      </c>
      <c r="F3770" s="211" t="str">
        <f>IFERROR(__xludf.DUMMYFUNCTION("""COMPUTED_VALUE"""),"b7a8fff1")</f>
        <v>b7a8fff1</v>
      </c>
      <c r="G3770" s="211" t="str">
        <f>IFERROR(__xludf.DUMMYFUNCTION("""COMPUTED_VALUE"""),"LPG 50kg")</f>
        <v>LPG 50kg</v>
      </c>
      <c r="H3770" s="211" t="str">
        <f>IFERROR(__xludf.DUMMYFUNCTION("""COMPUTED_VALUE"""),"IN")</f>
        <v>IN</v>
      </c>
      <c r="I3770" s="211" t="str">
        <f>IFERROR(__xludf.DUMMYFUNCTION("""COMPUTED_VALUE"""),"EMPTY")</f>
        <v>EMPTY</v>
      </c>
      <c r="J3770" s="211">
        <f>IFERROR(__xludf.DUMMYFUNCTION("""COMPUTED_VALUE"""),3.0)</f>
        <v>3</v>
      </c>
      <c r="K3770" s="210" t="str">
        <f>IFERROR(__xludf.DUMMYFUNCTION("""COMPUTED_VALUE"""),"LL002 LL003 LL004")</f>
        <v>LL002 LL003 LL004</v>
      </c>
      <c r="L3770" s="211">
        <f>IFERROR(__xludf.DUMMYFUNCTION("""COMPUTED_VALUE"""),0.0)</f>
        <v>0</v>
      </c>
      <c r="M3770" s="211"/>
      <c r="N3770" s="211"/>
      <c r="O3770" s="211" t="b">
        <f>IFERROR(__xludf.DUMMYFUNCTION("""COMPUTED_VALUE"""),FALSE)</f>
        <v>0</v>
      </c>
    </row>
    <row r="3771">
      <c r="A3771" s="210" t="str">
        <f>IFERROR(__xludf.DUMMYFUNCTION("""COMPUTED_VALUE"""),"1261265")</f>
        <v>1261265</v>
      </c>
      <c r="B3771" s="210" t="str">
        <f>IFERROR(__xludf.DUMMYFUNCTION("""COMPUTED_VALUE"""),"1261265")</f>
        <v>1261265</v>
      </c>
      <c r="C3771" s="213">
        <f>IFERROR(__xludf.DUMMYFUNCTION("""COMPUTED_VALUE"""),46072.628796296296)</f>
        <v>46072.6288</v>
      </c>
      <c r="D3771" s="211" t="str">
        <f>IFERROR(__xludf.DUMMYFUNCTION("""COMPUTED_VALUE"""),"b2b5f2c5")</f>
        <v>b2b5f2c5</v>
      </c>
      <c r="E3771" s="211" t="str">
        <f>IFERROR(__xludf.DUMMYFUNCTION("""COMPUTED_VALUE"""),"Bengkel Las Bpk. Ari")</f>
        <v>Bengkel Las Bpk. Ari</v>
      </c>
      <c r="F3771" s="211" t="str">
        <f>IFERROR(__xludf.DUMMYFUNCTION("""COMPUTED_VALUE"""),"8bdbe149")</f>
        <v>8bdbe149</v>
      </c>
      <c r="G3771" s="211" t="str">
        <f>IFERROR(__xludf.DUMMYFUNCTION("""COMPUTED_VALUE"""),"Oksigen 6m3")</f>
        <v>Oksigen 6m3</v>
      </c>
      <c r="H3771" s="211" t="str">
        <f>IFERROR(__xludf.DUMMYFUNCTION("""COMPUTED_VALUE"""),"IN")</f>
        <v>IN</v>
      </c>
      <c r="I3771" s="211" t="str">
        <f>IFERROR(__xludf.DUMMYFUNCTION("""COMPUTED_VALUE"""),"EMPTY")</f>
        <v>EMPTY</v>
      </c>
      <c r="J3771" s="211">
        <f>IFERROR(__xludf.DUMMYFUNCTION("""COMPUTED_VALUE"""),2.0)</f>
        <v>2</v>
      </c>
      <c r="K3771" s="210" t="str">
        <f>IFERROR(__xludf.DUMMYFUNCTION("""COMPUTED_VALUE"""),"1127 11239")</f>
        <v>1127 11239</v>
      </c>
      <c r="L3771" s="211">
        <f>IFERROR(__xludf.DUMMYFUNCTION("""COMPUTED_VALUE"""),0.0)</f>
        <v>0</v>
      </c>
      <c r="M3771" s="211"/>
      <c r="N3771" s="211"/>
      <c r="O3771" s="211" t="b">
        <f>IFERROR(__xludf.DUMMYFUNCTION("""COMPUTED_VALUE"""),FALSE)</f>
        <v>0</v>
      </c>
    </row>
    <row r="3772">
      <c r="A3772" s="210" t="str">
        <f>IFERROR(__xludf.DUMMYFUNCTION("""COMPUTED_VALUE"""),"1261265")</f>
        <v>1261265</v>
      </c>
      <c r="B3772" s="210" t="str">
        <f>IFERROR(__xludf.DUMMYFUNCTION("""COMPUTED_VALUE"""),"1261265")</f>
        <v>1261265</v>
      </c>
      <c r="C3772" s="213">
        <f>IFERROR(__xludf.DUMMYFUNCTION("""COMPUTED_VALUE"""),46072.628796296296)</f>
        <v>46072.6288</v>
      </c>
      <c r="D3772" s="211" t="str">
        <f>IFERROR(__xludf.DUMMYFUNCTION("""COMPUTED_VALUE"""),"b2b5f2c5")</f>
        <v>b2b5f2c5</v>
      </c>
      <c r="E3772" s="211" t="str">
        <f>IFERROR(__xludf.DUMMYFUNCTION("""COMPUTED_VALUE"""),"Bengkel Las Bpk. Ari")</f>
        <v>Bengkel Las Bpk. Ari</v>
      </c>
      <c r="F3772" s="211" t="str">
        <f>IFERROR(__xludf.DUMMYFUNCTION("""COMPUTED_VALUE"""),"7d2764f1")</f>
        <v>7d2764f1</v>
      </c>
      <c r="G3772" s="211" t="str">
        <f>IFERROR(__xludf.DUMMYFUNCTION("""COMPUTED_VALUE"""),"Oksigen 7m3")</f>
        <v>Oksigen 7m3</v>
      </c>
      <c r="H3772" s="211" t="str">
        <f>IFERROR(__xludf.DUMMYFUNCTION("""COMPUTED_VALUE"""),"IN")</f>
        <v>IN</v>
      </c>
      <c r="I3772" s="211" t="str">
        <f>IFERROR(__xludf.DUMMYFUNCTION("""COMPUTED_VALUE"""),"EMPTY")</f>
        <v>EMPTY</v>
      </c>
      <c r="J3772" s="211">
        <f>IFERROR(__xludf.DUMMYFUNCTION("""COMPUTED_VALUE"""),3.0)</f>
        <v>3</v>
      </c>
      <c r="K3772" s="210" t="str">
        <f>IFERROR(__xludf.DUMMYFUNCTION("""COMPUTED_VALUE"""),"11163 11161 11306")</f>
        <v>11163 11161 11306</v>
      </c>
      <c r="L3772" s="211">
        <f>IFERROR(__xludf.DUMMYFUNCTION("""COMPUTED_VALUE"""),0.0)</f>
        <v>0</v>
      </c>
      <c r="M3772" s="211"/>
      <c r="N3772" s="211"/>
      <c r="O3772" s="211" t="b">
        <f>IFERROR(__xludf.DUMMYFUNCTION("""COMPUTED_VALUE"""),FALSE)</f>
        <v>0</v>
      </c>
    </row>
    <row r="3773">
      <c r="A3773" s="210" t="str">
        <f>IFERROR(__xludf.DUMMYFUNCTION("""COMPUTED_VALUE"""),"1261264")</f>
        <v>1261264</v>
      </c>
      <c r="B3773" s="210" t="str">
        <f>IFERROR(__xludf.DUMMYFUNCTION("""COMPUTED_VALUE"""),"1261264")</f>
        <v>1261264</v>
      </c>
      <c r="C3773" s="213">
        <f>IFERROR(__xludf.DUMMYFUNCTION("""COMPUTED_VALUE"""),46072.62962962963)</f>
        <v>46072.62963</v>
      </c>
      <c r="D3773" s="211" t="str">
        <f>IFERROR(__xludf.DUMMYFUNCTION("""COMPUTED_VALUE"""),"01158be1")</f>
        <v>01158be1</v>
      </c>
      <c r="E3773" s="211" t="str">
        <f>IFERROR(__xludf.DUMMYFUNCTION("""COMPUTED_VALUE"""),"GYF")</f>
        <v>GYF</v>
      </c>
      <c r="F3773" s="211" t="str">
        <f>IFERROR(__xludf.DUMMYFUNCTION("""COMPUTED_VALUE"""),"66af7c72")</f>
        <v>66af7c72</v>
      </c>
      <c r="G3773" s="211" t="str">
        <f>IFERROR(__xludf.DUMMYFUNCTION("""COMPUTED_VALUE"""),"Argon 6m3")</f>
        <v>Argon 6m3</v>
      </c>
      <c r="H3773" s="211" t="str">
        <f>IFERROR(__xludf.DUMMYFUNCTION("""COMPUTED_VALUE"""),"IN")</f>
        <v>IN</v>
      </c>
      <c r="I3773" s="211" t="str">
        <f>IFERROR(__xludf.DUMMYFUNCTION("""COMPUTED_VALUE"""),"EMPTY")</f>
        <v>EMPTY</v>
      </c>
      <c r="J3773" s="211">
        <f>IFERROR(__xludf.DUMMYFUNCTION("""COMPUTED_VALUE"""),1.0)</f>
        <v>1</v>
      </c>
      <c r="K3773" s="210" t="str">
        <f>IFERROR(__xludf.DUMMYFUNCTION("""COMPUTED_VALUE"""),"12031")</f>
        <v>12031</v>
      </c>
      <c r="L3773" s="211">
        <f>IFERROR(__xludf.DUMMYFUNCTION("""COMPUTED_VALUE"""),0.0)</f>
        <v>0</v>
      </c>
      <c r="M3773" s="211"/>
      <c r="N3773" s="211"/>
      <c r="O3773" s="211" t="b">
        <f>IFERROR(__xludf.DUMMYFUNCTION("""COMPUTED_VALUE"""),FALSE)</f>
        <v>0</v>
      </c>
    </row>
    <row r="3774">
      <c r="A3774" s="210" t="str">
        <f>IFERROR(__xludf.DUMMYFUNCTION("""COMPUTED_VALUE"""),"1261264")</f>
        <v>1261264</v>
      </c>
      <c r="B3774" s="210" t="str">
        <f>IFERROR(__xludf.DUMMYFUNCTION("""COMPUTED_VALUE"""),"1261264")</f>
        <v>1261264</v>
      </c>
      <c r="C3774" s="213">
        <f>IFERROR(__xludf.DUMMYFUNCTION("""COMPUTED_VALUE"""),46072.62962962963)</f>
        <v>46072.62963</v>
      </c>
      <c r="D3774" s="211" t="str">
        <f>IFERROR(__xludf.DUMMYFUNCTION("""COMPUTED_VALUE"""),"01158be1")</f>
        <v>01158be1</v>
      </c>
      <c r="E3774" s="211" t="str">
        <f>IFERROR(__xludf.DUMMYFUNCTION("""COMPUTED_VALUE"""),"GYF")</f>
        <v>GYF</v>
      </c>
      <c r="F3774" s="211" t="str">
        <f>IFERROR(__xludf.DUMMYFUNCTION("""COMPUTED_VALUE"""),"8bdbe149")</f>
        <v>8bdbe149</v>
      </c>
      <c r="G3774" s="211" t="str">
        <f>IFERROR(__xludf.DUMMYFUNCTION("""COMPUTED_VALUE"""),"Oksigen 6m3")</f>
        <v>Oksigen 6m3</v>
      </c>
      <c r="H3774" s="211" t="str">
        <f>IFERROR(__xludf.DUMMYFUNCTION("""COMPUTED_VALUE"""),"IN")</f>
        <v>IN</v>
      </c>
      <c r="I3774" s="211" t="str">
        <f>IFERROR(__xludf.DUMMYFUNCTION("""COMPUTED_VALUE"""),"EMPTY")</f>
        <v>EMPTY</v>
      </c>
      <c r="J3774" s="211">
        <f>IFERROR(__xludf.DUMMYFUNCTION("""COMPUTED_VALUE"""),1.0)</f>
        <v>1</v>
      </c>
      <c r="K3774" s="210" t="str">
        <f>IFERROR(__xludf.DUMMYFUNCTION("""COMPUTED_VALUE"""),"11281")</f>
        <v>11281</v>
      </c>
      <c r="L3774" s="211">
        <f>IFERROR(__xludf.DUMMYFUNCTION("""COMPUTED_VALUE"""),0.0)</f>
        <v>0</v>
      </c>
      <c r="M3774" s="211"/>
      <c r="N3774" s="211"/>
      <c r="O3774" s="211" t="b">
        <f>IFERROR(__xludf.DUMMYFUNCTION("""COMPUTED_VALUE"""),TRUE)</f>
        <v>1</v>
      </c>
    </row>
    <row r="3775">
      <c r="A3775" s="210" t="str">
        <f>IFERROR(__xludf.DUMMYFUNCTION("""COMPUTED_VALUE"""),"0226142608")</f>
        <v>0226142608</v>
      </c>
      <c r="B3775" s="210" t="str">
        <f>IFERROR(__xludf.DUMMYFUNCTION("""COMPUTED_VALUE"""),"0226142608")</f>
        <v>0226142608</v>
      </c>
      <c r="C3775" s="213">
        <f>IFERROR(__xludf.DUMMYFUNCTION("""COMPUTED_VALUE"""),46072.65796296296)</f>
        <v>46072.65796</v>
      </c>
      <c r="D3775" s="211" t="str">
        <f>IFERROR(__xludf.DUMMYFUNCTION("""COMPUTED_VALUE"""),"9b941888")</f>
        <v>9b941888</v>
      </c>
      <c r="E3775" s="211" t="str">
        <f>IFERROR(__xludf.DUMMYFUNCTION("""COMPUTED_VALUE"""),"Mas Devi ( Parengan )")</f>
        <v>Mas Devi ( Parengan )</v>
      </c>
      <c r="F3775" s="211" t="str">
        <f>IFERROR(__xludf.DUMMYFUNCTION("""COMPUTED_VALUE"""),"7d2764f1")</f>
        <v>7d2764f1</v>
      </c>
      <c r="G3775" s="211" t="str">
        <f>IFERROR(__xludf.DUMMYFUNCTION("""COMPUTED_VALUE"""),"Oksigen 7m3")</f>
        <v>Oksigen 7m3</v>
      </c>
      <c r="H3775" s="211" t="str">
        <f>IFERROR(__xludf.DUMMYFUNCTION("""COMPUTED_VALUE"""),"OUT")</f>
        <v>OUT</v>
      </c>
      <c r="I3775" s="211" t="str">
        <f>IFERROR(__xludf.DUMMYFUNCTION("""COMPUTED_VALUE"""),"NORMAL")</f>
        <v>NORMAL</v>
      </c>
      <c r="J3775" s="211">
        <f>IFERROR(__xludf.DUMMYFUNCTION("""COMPUTED_VALUE"""),1.0)</f>
        <v>1</v>
      </c>
      <c r="K3775" s="210" t="str">
        <f>IFERROR(__xludf.DUMMYFUNCTION("""COMPUTED_VALUE"""),"76")</f>
        <v>76</v>
      </c>
      <c r="L3775" s="211">
        <f>IFERROR(__xludf.DUMMYFUNCTION("""COMPUTED_VALUE"""),80000.0)</f>
        <v>80000</v>
      </c>
      <c r="M3775" s="211"/>
      <c r="N3775" s="211"/>
      <c r="O3775" s="211" t="b">
        <f>IFERROR(__xludf.DUMMYFUNCTION("""COMPUTED_VALUE"""),FALSE)</f>
        <v>0</v>
      </c>
    </row>
    <row r="3776">
      <c r="A3776" s="210" t="str">
        <f>IFERROR(__xludf.DUMMYFUNCTION("""COMPUTED_VALUE"""),"1261254")</f>
        <v>1261254</v>
      </c>
      <c r="B3776" s="210" t="str">
        <f>IFERROR(__xludf.DUMMYFUNCTION("""COMPUTED_VALUE"""),"1261254")</f>
        <v>1261254</v>
      </c>
      <c r="C3776" s="213">
        <f>IFERROR(__xludf.DUMMYFUNCTION("""COMPUTED_VALUE"""),46072.667974537035)</f>
        <v>46072.66797</v>
      </c>
      <c r="D3776" s="211" t="str">
        <f>IFERROR(__xludf.DUMMYFUNCTION("""COMPUTED_VALUE"""),"98c84274")</f>
        <v>98c84274</v>
      </c>
      <c r="E3776" s="211" t="str">
        <f>IFERROR(__xludf.DUMMYFUNCTION("""COMPUTED_VALUE"""),"Bengkel SBM (Pak Hari)")</f>
        <v>Bengkel SBM (Pak Hari)</v>
      </c>
      <c r="F3776" s="211" t="str">
        <f>IFERROR(__xludf.DUMMYFUNCTION("""COMPUTED_VALUE"""),"ef306e54")</f>
        <v>ef306e54</v>
      </c>
      <c r="G3776" s="211" t="str">
        <f>IFERROR(__xludf.DUMMYFUNCTION("""COMPUTED_VALUE"""),"Karbondioksida")</f>
        <v>Karbondioksida</v>
      </c>
      <c r="H3776" s="211" t="str">
        <f>IFERROR(__xludf.DUMMYFUNCTION("""COMPUTED_VALUE"""),"IN")</f>
        <v>IN</v>
      </c>
      <c r="I3776" s="211" t="str">
        <f>IFERROR(__xludf.DUMMYFUNCTION("""COMPUTED_VALUE"""),"EMPTY")</f>
        <v>EMPTY</v>
      </c>
      <c r="J3776" s="211">
        <f>IFERROR(__xludf.DUMMYFUNCTION("""COMPUTED_VALUE"""),2.0)</f>
        <v>2</v>
      </c>
      <c r="K3776" s="210" t="str">
        <f>IFERROR(__xludf.DUMMYFUNCTION("""COMPUTED_VALUE"""),"13039 13073")</f>
        <v>13039 13073</v>
      </c>
      <c r="L3776" s="211">
        <f>IFERROR(__xludf.DUMMYFUNCTION("""COMPUTED_VALUE"""),0.0)</f>
        <v>0</v>
      </c>
      <c r="M3776" s="211"/>
      <c r="N3776" s="211"/>
      <c r="O3776" s="211" t="b">
        <f>IFERROR(__xludf.DUMMYFUNCTION("""COMPUTED_VALUE"""),FALSE)</f>
        <v>0</v>
      </c>
    </row>
    <row r="3777">
      <c r="A3777" s="210" t="str">
        <f>IFERROR(__xludf.DUMMYFUNCTION("""COMPUTED_VALUE"""),"1261266")</f>
        <v>1261266</v>
      </c>
      <c r="B3777" s="210" t="str">
        <f>IFERROR(__xludf.DUMMYFUNCTION("""COMPUTED_VALUE"""),"1261266")</f>
        <v>1261266</v>
      </c>
      <c r="C3777" s="213">
        <f>IFERROR(__xludf.DUMMYFUNCTION("""COMPUTED_VALUE"""),46072.675208333334)</f>
        <v>46072.67521</v>
      </c>
      <c r="D3777" s="211" t="str">
        <f>IFERROR(__xludf.DUMMYFUNCTION("""COMPUTED_VALUE"""),"9b941888")</f>
        <v>9b941888</v>
      </c>
      <c r="E3777" s="211" t="str">
        <f>IFERROR(__xludf.DUMMYFUNCTION("""COMPUTED_VALUE"""),"Mas Devi ( Parengan )")</f>
        <v>Mas Devi ( Parengan )</v>
      </c>
      <c r="F3777" s="211" t="str">
        <f>IFERROR(__xludf.DUMMYFUNCTION("""COMPUTED_VALUE"""),"7d2764f1")</f>
        <v>7d2764f1</v>
      </c>
      <c r="G3777" s="211" t="str">
        <f>IFERROR(__xludf.DUMMYFUNCTION("""COMPUTED_VALUE"""),"Oksigen 7m3")</f>
        <v>Oksigen 7m3</v>
      </c>
      <c r="H3777" s="211" t="str">
        <f>IFERROR(__xludf.DUMMYFUNCTION("""COMPUTED_VALUE"""),"IN")</f>
        <v>IN</v>
      </c>
      <c r="I3777" s="211" t="str">
        <f>IFERROR(__xludf.DUMMYFUNCTION("""COMPUTED_VALUE"""),"EMPTY")</f>
        <v>EMPTY</v>
      </c>
      <c r="J3777" s="211">
        <f>IFERROR(__xludf.DUMMYFUNCTION("""COMPUTED_VALUE"""),3.0)</f>
        <v>3</v>
      </c>
      <c r="K3777" s="210" t="str">
        <f>IFERROR(__xludf.DUMMYFUNCTION("""COMPUTED_VALUE"""),"11292 11301 11331")</f>
        <v>11292 11301 11331</v>
      </c>
      <c r="L3777" s="211">
        <f>IFERROR(__xludf.DUMMYFUNCTION("""COMPUTED_VALUE"""),0.0)</f>
        <v>0</v>
      </c>
      <c r="M3777" s="211"/>
      <c r="N3777" s="211"/>
      <c r="O3777" s="211" t="b">
        <f>IFERROR(__xludf.DUMMYFUNCTION("""COMPUTED_VALUE"""),FALSE)</f>
        <v>0</v>
      </c>
    </row>
    <row r="3778">
      <c r="A3778" s="210" t="str">
        <f>IFERROR(__xludf.DUMMYFUNCTION("""COMPUTED_VALUE"""),"0226102612")</f>
        <v>0226102612</v>
      </c>
      <c r="B3778" s="210" t="str">
        <f>IFERROR(__xludf.DUMMYFUNCTION("""COMPUTED_VALUE"""),"0226102612")</f>
        <v>0226102612</v>
      </c>
      <c r="C3778" s="213">
        <f>IFERROR(__xludf.DUMMYFUNCTION("""COMPUTED_VALUE"""),46073.36922453704)</f>
        <v>46073.36922</v>
      </c>
      <c r="D3778" s="211" t="str">
        <f>IFERROR(__xludf.DUMMYFUNCTION("""COMPUTED_VALUE"""),"b0735da4")</f>
        <v>b0735da4</v>
      </c>
      <c r="E3778" s="211" t="str">
        <f>IFERROR(__xludf.DUMMYFUNCTION("""COMPUTED_VALUE"""),"Bpk. Amer Ciro")</f>
        <v>Bpk. Amer Ciro</v>
      </c>
      <c r="F3778" s="211" t="str">
        <f>IFERROR(__xludf.DUMMYFUNCTION("""COMPUTED_VALUE"""),"7d2764f1")</f>
        <v>7d2764f1</v>
      </c>
      <c r="G3778" s="211" t="str">
        <f>IFERROR(__xludf.DUMMYFUNCTION("""COMPUTED_VALUE"""),"Oksigen 7m3")</f>
        <v>Oksigen 7m3</v>
      </c>
      <c r="H3778" s="211" t="str">
        <f>IFERROR(__xludf.DUMMYFUNCTION("""COMPUTED_VALUE"""),"OUT")</f>
        <v>OUT</v>
      </c>
      <c r="I3778" s="211" t="str">
        <f>IFERROR(__xludf.DUMMYFUNCTION("""COMPUTED_VALUE"""),"NORMAL")</f>
        <v>NORMAL</v>
      </c>
      <c r="J3778" s="211">
        <f>IFERROR(__xludf.DUMMYFUNCTION("""COMPUTED_VALUE"""),1.0)</f>
        <v>1</v>
      </c>
      <c r="K3778" s="210" t="str">
        <f>IFERROR(__xludf.DUMMYFUNCTION("""COMPUTED_VALUE"""),"11161")</f>
        <v>11161</v>
      </c>
      <c r="L3778" s="211">
        <f>IFERROR(__xludf.DUMMYFUNCTION("""COMPUTED_VALUE"""),65000.0)</f>
        <v>65000</v>
      </c>
      <c r="M3778" s="211"/>
      <c r="N3778" s="211"/>
      <c r="O3778" s="211" t="b">
        <f>IFERROR(__xludf.DUMMYFUNCTION("""COMPUTED_VALUE"""),FALSE)</f>
        <v>0</v>
      </c>
    </row>
    <row r="3779">
      <c r="A3779" s="211"/>
      <c r="B3779" s="211"/>
      <c r="C3779" s="211"/>
      <c r="D3779" s="211"/>
      <c r="E3779" s="211"/>
      <c r="F3779" s="211"/>
      <c r="G3779" s="211"/>
      <c r="H3779" s="211"/>
      <c r="I3779" s="211"/>
      <c r="J3779" s="211"/>
      <c r="K3779" s="211"/>
      <c r="L3779" s="211"/>
      <c r="M3779" s="211"/>
      <c r="N3779" s="211"/>
      <c r="O3779" s="211"/>
    </row>
    <row r="3780">
      <c r="A3780" s="210" t="str">
        <f>IFERROR(__xludf.DUMMYFUNCTION("""COMPUTED_VALUE"""),"1261267")</f>
        <v>1261267</v>
      </c>
      <c r="B3780" s="210" t="str">
        <f>IFERROR(__xludf.DUMMYFUNCTION("""COMPUTED_VALUE"""),"1261267")</f>
        <v>1261267</v>
      </c>
      <c r="C3780" s="213">
        <f>IFERROR(__xludf.DUMMYFUNCTION("""COMPUTED_VALUE"""),46073.41997685185)</f>
        <v>46073.41998</v>
      </c>
      <c r="D3780" s="211" t="str">
        <f>IFERROR(__xludf.DUMMYFUNCTION("""COMPUTED_VALUE"""),"06d600f6")</f>
        <v>06d600f6</v>
      </c>
      <c r="E3780" s="211" t="str">
        <f>IFERROR(__xludf.DUMMYFUNCTION("""COMPUTED_VALUE"""),"Ibu Ida")</f>
        <v>Ibu Ida</v>
      </c>
      <c r="F3780" s="211" t="str">
        <f>IFERROR(__xludf.DUMMYFUNCTION("""COMPUTED_VALUE"""),"f6aab7a9")</f>
        <v>f6aab7a9</v>
      </c>
      <c r="G3780" s="211" t="str">
        <f>IFERROR(__xludf.DUMMYFUNCTION("""COMPUTED_VALUE"""),"Oksigen 6m3 MR")</f>
        <v>Oksigen 6m3 MR</v>
      </c>
      <c r="H3780" s="211" t="str">
        <f>IFERROR(__xludf.DUMMYFUNCTION("""COMPUTED_VALUE"""),"IN")</f>
        <v>IN</v>
      </c>
      <c r="I3780" s="211" t="str">
        <f>IFERROR(__xludf.DUMMYFUNCTION("""COMPUTED_VALUE"""),"EMPTY")</f>
        <v>EMPTY</v>
      </c>
      <c r="J3780" s="211">
        <f>IFERROR(__xludf.DUMMYFUNCTION("""COMPUTED_VALUE"""),5.0)</f>
        <v>5</v>
      </c>
      <c r="K3780" s="211"/>
      <c r="L3780" s="211">
        <f>IFERROR(__xludf.DUMMYFUNCTION("""COMPUTED_VALUE"""),0.0)</f>
        <v>0</v>
      </c>
      <c r="M3780" s="211"/>
      <c r="N3780" s="211"/>
      <c r="O3780" s="211" t="b">
        <f>IFERROR(__xludf.DUMMYFUNCTION("""COMPUTED_VALUE"""),FALSE)</f>
        <v>0</v>
      </c>
    </row>
    <row r="3781">
      <c r="A3781" s="210" t="str">
        <f>IFERROR(__xludf.DUMMYFUNCTION("""COMPUTED_VALUE"""),"0226152615")</f>
        <v>0226152615</v>
      </c>
      <c r="B3781" s="210" t="str">
        <f>IFERROR(__xludf.DUMMYFUNCTION("""COMPUTED_VALUE"""),"0226152615")</f>
        <v>0226152615</v>
      </c>
      <c r="C3781" s="213">
        <f>IFERROR(__xludf.DUMMYFUNCTION("""COMPUTED_VALUE"""),46073.43446759259)</f>
        <v>46073.43447</v>
      </c>
      <c r="D3781" s="211" t="str">
        <f>IFERROR(__xludf.DUMMYFUNCTION("""COMPUTED_VALUE"""),"9b941888")</f>
        <v>9b941888</v>
      </c>
      <c r="E3781" s="211" t="str">
        <f>IFERROR(__xludf.DUMMYFUNCTION("""COMPUTED_VALUE"""),"Mas Devi ( Parengan )")</f>
        <v>Mas Devi ( Parengan )</v>
      </c>
      <c r="F3781" s="211" t="str">
        <f>IFERROR(__xludf.DUMMYFUNCTION("""COMPUTED_VALUE"""),"be525f3b")</f>
        <v>be525f3b</v>
      </c>
      <c r="G3781" s="211" t="str">
        <f>IFERROR(__xludf.DUMMYFUNCTION("""COMPUTED_VALUE"""),"LPG 12kg")</f>
        <v>LPG 12kg</v>
      </c>
      <c r="H3781" s="211" t="str">
        <f>IFERROR(__xludf.DUMMYFUNCTION("""COMPUTED_VALUE"""),"OUT")</f>
        <v>OUT</v>
      </c>
      <c r="I3781" s="211" t="str">
        <f>IFERROR(__xludf.DUMMYFUNCTION("""COMPUTED_VALUE"""),"NORMAL")</f>
        <v>NORMAL</v>
      </c>
      <c r="J3781" s="211">
        <f>IFERROR(__xludf.DUMMYFUNCTION("""COMPUTED_VALUE"""),1.0)</f>
        <v>1</v>
      </c>
      <c r="K3781" s="210" t="str">
        <f>IFERROR(__xludf.DUMMYFUNCTION("""COMPUTED_VALUE"""),"L003")</f>
        <v>L003</v>
      </c>
      <c r="L3781" s="211">
        <f>IFERROR(__xludf.DUMMYFUNCTION("""COMPUTED_VALUE"""),215000.0)</f>
        <v>215000</v>
      </c>
      <c r="M3781" s="211"/>
      <c r="N3781" s="211"/>
      <c r="O3781" s="211" t="b">
        <f>IFERROR(__xludf.DUMMYFUNCTION("""COMPUTED_VALUE"""),FALSE)</f>
        <v>0</v>
      </c>
    </row>
    <row r="3782">
      <c r="A3782" s="210" t="str">
        <f>IFERROR(__xludf.DUMMYFUNCTION("""COMPUTED_VALUE"""),"022622618")</f>
        <v>022622618</v>
      </c>
      <c r="B3782" s="210" t="str">
        <f>IFERROR(__xludf.DUMMYFUNCTION("""COMPUTED_VALUE"""),"022622618")</f>
        <v>022622618</v>
      </c>
      <c r="C3782" s="213">
        <f>IFERROR(__xludf.DUMMYFUNCTION("""COMPUTED_VALUE"""),46073.65456018518)</f>
        <v>46073.65456</v>
      </c>
      <c r="D3782" s="211" t="str">
        <f>IFERROR(__xludf.DUMMYFUNCTION("""COMPUTED_VALUE"""),"d9b2fac5")</f>
        <v>d9b2fac5</v>
      </c>
      <c r="E3782" s="211" t="str">
        <f>IFERROR(__xludf.DUMMYFUNCTION("""COMPUTED_VALUE"""),"Dwi Riza ( Ponokawan)")</f>
        <v>Dwi Riza ( Ponokawan)</v>
      </c>
      <c r="F3782" s="211" t="str">
        <f>IFERROR(__xludf.DUMMYFUNCTION("""COMPUTED_VALUE"""),"8bdbe149")</f>
        <v>8bdbe149</v>
      </c>
      <c r="G3782" s="211" t="str">
        <f>IFERROR(__xludf.DUMMYFUNCTION("""COMPUTED_VALUE"""),"Oksigen 6m3")</f>
        <v>Oksigen 6m3</v>
      </c>
      <c r="H3782" s="211" t="str">
        <f>IFERROR(__xludf.DUMMYFUNCTION("""COMPUTED_VALUE"""),"OUT")</f>
        <v>OUT</v>
      </c>
      <c r="I3782" s="211" t="str">
        <f>IFERROR(__xludf.DUMMYFUNCTION("""COMPUTED_VALUE"""),"NORMAL")</f>
        <v>NORMAL</v>
      </c>
      <c r="J3782" s="211">
        <f>IFERROR(__xludf.DUMMYFUNCTION("""COMPUTED_VALUE"""),5.0)</f>
        <v>5</v>
      </c>
      <c r="K3782" s="210" t="str">
        <f>IFERROR(__xludf.DUMMYFUNCTION("""COMPUTED_VALUE"""),"11370 11369 1127 11239 11351")</f>
        <v>11370 11369 1127 11239 11351</v>
      </c>
      <c r="L3782" s="211">
        <f>IFERROR(__xludf.DUMMYFUNCTION("""COMPUTED_VALUE"""),50000.0)</f>
        <v>50000</v>
      </c>
      <c r="M3782" s="211"/>
      <c r="N3782" s="211"/>
      <c r="O3782" s="211" t="b">
        <f>IFERROR(__xludf.DUMMYFUNCTION("""COMPUTED_VALUE"""),FALSE)</f>
        <v>0</v>
      </c>
    </row>
    <row r="3783">
      <c r="A3783" s="210" t="str">
        <f>IFERROR(__xludf.DUMMYFUNCTION("""COMPUTED_VALUE"""),"022622618")</f>
        <v>022622618</v>
      </c>
      <c r="B3783" s="210" t="str">
        <f>IFERROR(__xludf.DUMMYFUNCTION("""COMPUTED_VALUE"""),"022622618")</f>
        <v>022622618</v>
      </c>
      <c r="C3783" s="213">
        <f>IFERROR(__xludf.DUMMYFUNCTION("""COMPUTED_VALUE"""),46073.65456018518)</f>
        <v>46073.65456</v>
      </c>
      <c r="D3783" s="211" t="str">
        <f>IFERROR(__xludf.DUMMYFUNCTION("""COMPUTED_VALUE"""),"d9b2fac5")</f>
        <v>d9b2fac5</v>
      </c>
      <c r="E3783" s="211" t="str">
        <f>IFERROR(__xludf.DUMMYFUNCTION("""COMPUTED_VALUE"""),"Dwi Riza ( Ponokawan)")</f>
        <v>Dwi Riza ( Ponokawan)</v>
      </c>
      <c r="F3783" s="211" t="str">
        <f>IFERROR(__xludf.DUMMYFUNCTION("""COMPUTED_VALUE"""),"a50ce892")</f>
        <v>a50ce892</v>
      </c>
      <c r="G3783" s="211" t="str">
        <f>IFERROR(__xludf.DUMMYFUNCTION("""COMPUTED_VALUE"""),"Nitrogen 6m3")</f>
        <v>Nitrogen 6m3</v>
      </c>
      <c r="H3783" s="211" t="str">
        <f>IFERROR(__xludf.DUMMYFUNCTION("""COMPUTED_VALUE"""),"OUT")</f>
        <v>OUT</v>
      </c>
      <c r="I3783" s="211" t="str">
        <f>IFERROR(__xludf.DUMMYFUNCTION("""COMPUTED_VALUE"""),"NORMAL")</f>
        <v>NORMAL</v>
      </c>
      <c r="J3783" s="211">
        <f>IFERROR(__xludf.DUMMYFUNCTION("""COMPUTED_VALUE"""),3.0)</f>
        <v>3</v>
      </c>
      <c r="K3783" s="210" t="str">
        <f>IFERROR(__xludf.DUMMYFUNCTION("""COMPUTED_VALUE"""),"14005 14004 14002")</f>
        <v>14005 14004 14002</v>
      </c>
      <c r="L3783" s="211">
        <f>IFERROR(__xludf.DUMMYFUNCTION("""COMPUTED_VALUE"""),75000.0)</f>
        <v>75000</v>
      </c>
      <c r="M3783" s="211"/>
      <c r="N3783" s="211"/>
      <c r="O3783" s="211" t="b">
        <f>IFERROR(__xludf.DUMMYFUNCTION("""COMPUTED_VALUE"""),FALSE)</f>
        <v>0</v>
      </c>
    </row>
    <row r="3784">
      <c r="A3784" s="210" t="str">
        <f>IFERROR(__xludf.DUMMYFUNCTION("""COMPUTED_VALUE"""),"1261281")</f>
        <v>1261281</v>
      </c>
      <c r="B3784" s="210" t="str">
        <f>IFERROR(__xludf.DUMMYFUNCTION("""COMPUTED_VALUE"""),"1261281")</f>
        <v>1261281</v>
      </c>
      <c r="C3784" s="213">
        <f>IFERROR(__xludf.DUMMYFUNCTION("""COMPUTED_VALUE"""),46073.66195601852)</f>
        <v>46073.66196</v>
      </c>
      <c r="D3784" s="211" t="str">
        <f>IFERROR(__xludf.DUMMYFUNCTION("""COMPUTED_VALUE"""),"d9b2fac5")</f>
        <v>d9b2fac5</v>
      </c>
      <c r="E3784" s="211" t="str">
        <f>IFERROR(__xludf.DUMMYFUNCTION("""COMPUTED_VALUE"""),"Dwi Riza ( Ponokawan)")</f>
        <v>Dwi Riza ( Ponokawan)</v>
      </c>
      <c r="F3784" s="211" t="str">
        <f>IFERROR(__xludf.DUMMYFUNCTION("""COMPUTED_VALUE"""),"8bdbe149")</f>
        <v>8bdbe149</v>
      </c>
      <c r="G3784" s="211" t="str">
        <f>IFERROR(__xludf.DUMMYFUNCTION("""COMPUTED_VALUE"""),"Oksigen 6m3")</f>
        <v>Oksigen 6m3</v>
      </c>
      <c r="H3784" s="211" t="str">
        <f>IFERROR(__xludf.DUMMYFUNCTION("""COMPUTED_VALUE"""),"IN")</f>
        <v>IN</v>
      </c>
      <c r="I3784" s="211" t="str">
        <f>IFERROR(__xludf.DUMMYFUNCTION("""COMPUTED_VALUE"""),"EMPTY")</f>
        <v>EMPTY</v>
      </c>
      <c r="J3784" s="211">
        <f>IFERROR(__xludf.DUMMYFUNCTION("""COMPUTED_VALUE"""),2.0)</f>
        <v>2</v>
      </c>
      <c r="K3784" s="210" t="str">
        <f>IFERROR(__xludf.DUMMYFUNCTION("""COMPUTED_VALUE"""),"1141 1153")</f>
        <v>1141 1153</v>
      </c>
      <c r="L3784" s="211">
        <f>IFERROR(__xludf.DUMMYFUNCTION("""COMPUTED_VALUE"""),0.0)</f>
        <v>0</v>
      </c>
      <c r="M3784" s="211"/>
      <c r="N3784" s="211"/>
      <c r="O3784" s="211" t="b">
        <f>IFERROR(__xludf.DUMMYFUNCTION("""COMPUTED_VALUE"""),FALSE)</f>
        <v>0</v>
      </c>
    </row>
    <row r="3785">
      <c r="A3785" s="210" t="str">
        <f>IFERROR(__xludf.DUMMYFUNCTION("""COMPUTED_VALUE"""),"022672619")</f>
        <v>022672619</v>
      </c>
      <c r="B3785" s="210" t="str">
        <f>IFERROR(__xludf.DUMMYFUNCTION("""COMPUTED_VALUE"""),"022672619")</f>
        <v>022672619</v>
      </c>
      <c r="C3785" s="213">
        <f>IFERROR(__xludf.DUMMYFUNCTION("""COMPUTED_VALUE"""),46074.3471875)</f>
        <v>46074.34719</v>
      </c>
      <c r="D3785" s="211" t="str">
        <f>IFERROR(__xludf.DUMMYFUNCTION("""COMPUTED_VALUE"""),"1c4d5e93")</f>
        <v>1c4d5e93</v>
      </c>
      <c r="E3785" s="211" t="str">
        <f>IFERROR(__xludf.DUMMYFUNCTION("""COMPUTED_VALUE"""),"Karoseri Cipta Mitra Sukses")</f>
        <v>Karoseri Cipta Mitra Sukses</v>
      </c>
      <c r="F3785" s="211" t="str">
        <f>IFERROR(__xludf.DUMMYFUNCTION("""COMPUTED_VALUE"""),"ef306e54")</f>
        <v>ef306e54</v>
      </c>
      <c r="G3785" s="211" t="str">
        <f>IFERROR(__xludf.DUMMYFUNCTION("""COMPUTED_VALUE"""),"Karbondioksida")</f>
        <v>Karbondioksida</v>
      </c>
      <c r="H3785" s="211" t="str">
        <f>IFERROR(__xludf.DUMMYFUNCTION("""COMPUTED_VALUE"""),"OUT")</f>
        <v>OUT</v>
      </c>
      <c r="I3785" s="211" t="str">
        <f>IFERROR(__xludf.DUMMYFUNCTION("""COMPUTED_VALUE"""),"NORMAL")</f>
        <v>NORMAL</v>
      </c>
      <c r="J3785" s="211">
        <f>IFERROR(__xludf.DUMMYFUNCTION("""COMPUTED_VALUE"""),3.0)</f>
        <v>3</v>
      </c>
      <c r="K3785" s="210" t="str">
        <f>IFERROR(__xludf.DUMMYFUNCTION("""COMPUTED_VALUE"""),"13006 13010 13028")</f>
        <v>13006 13010 13028</v>
      </c>
      <c r="L3785" s="211">
        <f>IFERROR(__xludf.DUMMYFUNCTION("""COMPUTED_VALUE"""),190000.0)</f>
        <v>190000</v>
      </c>
      <c r="M3785" s="211"/>
      <c r="N3785" s="211"/>
      <c r="O3785" s="211" t="b">
        <f>IFERROR(__xludf.DUMMYFUNCTION("""COMPUTED_VALUE"""),FALSE)</f>
        <v>0</v>
      </c>
    </row>
    <row r="3786">
      <c r="A3786" s="210" t="str">
        <f>IFERROR(__xludf.DUMMYFUNCTION("""COMPUTED_VALUE"""),"022672619")</f>
        <v>022672619</v>
      </c>
      <c r="B3786" s="210" t="str">
        <f>IFERROR(__xludf.DUMMYFUNCTION("""COMPUTED_VALUE"""),"022672619")</f>
        <v>022672619</v>
      </c>
      <c r="C3786" s="213">
        <f>IFERROR(__xludf.DUMMYFUNCTION("""COMPUTED_VALUE"""),46074.3471875)</f>
        <v>46074.34719</v>
      </c>
      <c r="D3786" s="211" t="str">
        <f>IFERROR(__xludf.DUMMYFUNCTION("""COMPUTED_VALUE"""),"1c4d5e93")</f>
        <v>1c4d5e93</v>
      </c>
      <c r="E3786" s="211" t="str">
        <f>IFERROR(__xludf.DUMMYFUNCTION("""COMPUTED_VALUE"""),"Karoseri Cipta Mitra Sukses")</f>
        <v>Karoseri Cipta Mitra Sukses</v>
      </c>
      <c r="F3786" s="211" t="str">
        <f>IFERROR(__xludf.DUMMYFUNCTION("""COMPUTED_VALUE"""),"3b9d6a30")</f>
        <v>3b9d6a30</v>
      </c>
      <c r="G3786" s="211" t="str">
        <f>IFERROR(__xludf.DUMMYFUNCTION("""COMPUTED_VALUE"""),"Acetyline")</f>
        <v>Acetyline</v>
      </c>
      <c r="H3786" s="211" t="str">
        <f>IFERROR(__xludf.DUMMYFUNCTION("""COMPUTED_VALUE"""),"OUT")</f>
        <v>OUT</v>
      </c>
      <c r="I3786" s="211" t="str">
        <f>IFERROR(__xludf.DUMMYFUNCTION("""COMPUTED_VALUE"""),"NORMAL")</f>
        <v>NORMAL</v>
      </c>
      <c r="J3786" s="211">
        <f>IFERROR(__xludf.DUMMYFUNCTION("""COMPUTED_VALUE"""),1.0)</f>
        <v>1</v>
      </c>
      <c r="K3786" s="210" t="str">
        <f>IFERROR(__xludf.DUMMYFUNCTION("""COMPUTED_VALUE"""),"7004")</f>
        <v>7004</v>
      </c>
      <c r="L3786" s="211">
        <f>IFERROR(__xludf.DUMMYFUNCTION("""COMPUTED_VALUE"""),485000.0)</f>
        <v>485000</v>
      </c>
      <c r="M3786" s="211"/>
      <c r="N3786" s="211"/>
      <c r="O3786" s="211" t="b">
        <f>IFERROR(__xludf.DUMMYFUNCTION("""COMPUTED_VALUE"""),FALSE)</f>
        <v>0</v>
      </c>
    </row>
    <row r="3787">
      <c r="A3787" s="210" t="str">
        <f>IFERROR(__xludf.DUMMYFUNCTION("""COMPUTED_VALUE"""),"022672619")</f>
        <v>022672619</v>
      </c>
      <c r="B3787" s="210" t="str">
        <f>IFERROR(__xludf.DUMMYFUNCTION("""COMPUTED_VALUE"""),"022672619")</f>
        <v>022672619</v>
      </c>
      <c r="C3787" s="213">
        <f>IFERROR(__xludf.DUMMYFUNCTION("""COMPUTED_VALUE"""),46074.3471875)</f>
        <v>46074.34719</v>
      </c>
      <c r="D3787" s="211" t="str">
        <f>IFERROR(__xludf.DUMMYFUNCTION("""COMPUTED_VALUE"""),"1c4d5e93")</f>
        <v>1c4d5e93</v>
      </c>
      <c r="E3787" s="211" t="str">
        <f>IFERROR(__xludf.DUMMYFUNCTION("""COMPUTED_VALUE"""),"Karoseri Cipta Mitra Sukses")</f>
        <v>Karoseri Cipta Mitra Sukses</v>
      </c>
      <c r="F3787" s="211" t="str">
        <f>IFERROR(__xludf.DUMMYFUNCTION("""COMPUTED_VALUE"""),"8bdbe149")</f>
        <v>8bdbe149</v>
      </c>
      <c r="G3787" s="211" t="str">
        <f>IFERROR(__xludf.DUMMYFUNCTION("""COMPUTED_VALUE"""),"Oksigen 6m3")</f>
        <v>Oksigen 6m3</v>
      </c>
      <c r="H3787" s="211" t="str">
        <f>IFERROR(__xludf.DUMMYFUNCTION("""COMPUTED_VALUE"""),"OUT")</f>
        <v>OUT</v>
      </c>
      <c r="I3787" s="211" t="str">
        <f>IFERROR(__xludf.DUMMYFUNCTION("""COMPUTED_VALUE"""),"NORMAL")</f>
        <v>NORMAL</v>
      </c>
      <c r="J3787" s="211">
        <f>IFERROR(__xludf.DUMMYFUNCTION("""COMPUTED_VALUE"""),2.0)</f>
        <v>2</v>
      </c>
      <c r="K3787" s="210" t="str">
        <f>IFERROR(__xludf.DUMMYFUNCTION("""COMPUTED_VALUE"""),"11374 11372")</f>
        <v>11374 11372</v>
      </c>
      <c r="L3787" s="211">
        <f>IFERROR(__xludf.DUMMYFUNCTION("""COMPUTED_VALUE"""),60000.0)</f>
        <v>60000</v>
      </c>
      <c r="M3787" s="211"/>
      <c r="N3787" s="211"/>
      <c r="O3787" s="211" t="b">
        <f>IFERROR(__xludf.DUMMYFUNCTION("""COMPUTED_VALUE"""),FALSE)</f>
        <v>0</v>
      </c>
    </row>
    <row r="3788">
      <c r="A3788" s="210" t="str">
        <f>IFERROR(__xludf.DUMMYFUNCTION("""COMPUTED_VALUE"""),"022682621")</f>
        <v>022682621</v>
      </c>
      <c r="B3788" s="210" t="str">
        <f>IFERROR(__xludf.DUMMYFUNCTION("""COMPUTED_VALUE"""),"022682621")</f>
        <v>022682621</v>
      </c>
      <c r="C3788" s="213">
        <f>IFERROR(__xludf.DUMMYFUNCTION("""COMPUTED_VALUE"""),46074.35065972222)</f>
        <v>46074.35066</v>
      </c>
      <c r="D3788" s="211" t="str">
        <f>IFERROR(__xludf.DUMMYFUNCTION("""COMPUTED_VALUE"""),"06d600f6")</f>
        <v>06d600f6</v>
      </c>
      <c r="E3788" s="211" t="str">
        <f>IFERROR(__xludf.DUMMYFUNCTION("""COMPUTED_VALUE"""),"Ibu Ida")</f>
        <v>Ibu Ida</v>
      </c>
      <c r="F3788" s="211" t="str">
        <f>IFERROR(__xludf.DUMMYFUNCTION("""COMPUTED_VALUE"""),"f6aab7a9")</f>
        <v>f6aab7a9</v>
      </c>
      <c r="G3788" s="211" t="str">
        <f>IFERROR(__xludf.DUMMYFUNCTION("""COMPUTED_VALUE"""),"Oksigen 6m3 MR")</f>
        <v>Oksigen 6m3 MR</v>
      </c>
      <c r="H3788" s="211" t="str">
        <f>IFERROR(__xludf.DUMMYFUNCTION("""COMPUTED_VALUE"""),"OUT")</f>
        <v>OUT</v>
      </c>
      <c r="I3788" s="211" t="str">
        <f>IFERROR(__xludf.DUMMYFUNCTION("""COMPUTED_VALUE"""),"NORMAL")</f>
        <v>NORMAL</v>
      </c>
      <c r="J3788" s="211">
        <f>IFERROR(__xludf.DUMMYFUNCTION("""COMPUTED_VALUE"""),5.0)</f>
        <v>5</v>
      </c>
      <c r="K3788" s="211"/>
      <c r="L3788" s="211">
        <f>IFERROR(__xludf.DUMMYFUNCTION("""COMPUTED_VALUE"""),50000.0)</f>
        <v>50000</v>
      </c>
      <c r="M3788" s="211"/>
      <c r="N3788" s="211"/>
      <c r="O3788" s="211" t="b">
        <f>IFERROR(__xludf.DUMMYFUNCTION("""COMPUTED_VALUE"""),FALSE)</f>
        <v>0</v>
      </c>
    </row>
    <row r="3789">
      <c r="A3789" s="210" t="str">
        <f>IFERROR(__xludf.DUMMYFUNCTION("""COMPUTED_VALUE"""),"1261269")</f>
        <v>1261269</v>
      </c>
      <c r="B3789" s="210" t="str">
        <f>IFERROR(__xludf.DUMMYFUNCTION("""COMPUTED_VALUE"""),"1261269")</f>
        <v>1261269</v>
      </c>
      <c r="C3789" s="213">
        <f>IFERROR(__xludf.DUMMYFUNCTION("""COMPUTED_VALUE"""),46074.46244212963)</f>
        <v>46074.46244</v>
      </c>
      <c r="D3789" s="211" t="str">
        <f>IFERROR(__xludf.DUMMYFUNCTION("""COMPUTED_VALUE"""),"057b6b99")</f>
        <v>057b6b99</v>
      </c>
      <c r="E3789" s="211" t="str">
        <f>IFERROR(__xludf.DUMMYFUNCTION("""COMPUTED_VALUE"""),"PT Anuta Utama Transport")</f>
        <v>PT Anuta Utama Transport</v>
      </c>
      <c r="F3789" s="211" t="str">
        <f>IFERROR(__xludf.DUMMYFUNCTION("""COMPUTED_VALUE"""),"7d2764f1")</f>
        <v>7d2764f1</v>
      </c>
      <c r="G3789" s="211" t="str">
        <f>IFERROR(__xludf.DUMMYFUNCTION("""COMPUTED_VALUE"""),"Oksigen 7m3")</f>
        <v>Oksigen 7m3</v>
      </c>
      <c r="H3789" s="211" t="str">
        <f>IFERROR(__xludf.DUMMYFUNCTION("""COMPUTED_VALUE"""),"IN")</f>
        <v>IN</v>
      </c>
      <c r="I3789" s="211" t="str">
        <f>IFERROR(__xludf.DUMMYFUNCTION("""COMPUTED_VALUE"""),"EMPTY")</f>
        <v>EMPTY</v>
      </c>
      <c r="J3789" s="211">
        <f>IFERROR(__xludf.DUMMYFUNCTION("""COMPUTED_VALUE"""),4.0)</f>
        <v>4</v>
      </c>
      <c r="K3789" s="210" t="str">
        <f>IFERROR(__xludf.DUMMYFUNCTION("""COMPUTED_VALUE"""),"11136 11195 11173 11218")</f>
        <v>11136 11195 11173 11218</v>
      </c>
      <c r="L3789" s="211">
        <f>IFERROR(__xludf.DUMMYFUNCTION("""COMPUTED_VALUE"""),0.0)</f>
        <v>0</v>
      </c>
      <c r="M3789" s="211"/>
      <c r="N3789" s="211"/>
      <c r="O3789" s="211" t="b">
        <f>IFERROR(__xludf.DUMMYFUNCTION("""COMPUTED_VALUE"""),FALSE)</f>
        <v>0</v>
      </c>
    </row>
    <row r="3790">
      <c r="A3790" s="210" t="str">
        <f>IFERROR(__xludf.DUMMYFUNCTION("""COMPUTED_VALUE"""),"1261269")</f>
        <v>1261269</v>
      </c>
      <c r="B3790" s="210" t="str">
        <f>IFERROR(__xludf.DUMMYFUNCTION("""COMPUTED_VALUE"""),"1261269")</f>
        <v>1261269</v>
      </c>
      <c r="C3790" s="213">
        <f>IFERROR(__xludf.DUMMYFUNCTION("""COMPUTED_VALUE"""),46074.46244212963)</f>
        <v>46074.46244</v>
      </c>
      <c r="D3790" s="211" t="str">
        <f>IFERROR(__xludf.DUMMYFUNCTION("""COMPUTED_VALUE"""),"057b6b99")</f>
        <v>057b6b99</v>
      </c>
      <c r="E3790" s="211" t="str">
        <f>IFERROR(__xludf.DUMMYFUNCTION("""COMPUTED_VALUE"""),"PT Anuta Utama Transport")</f>
        <v>PT Anuta Utama Transport</v>
      </c>
      <c r="F3790" s="211" t="str">
        <f>IFERROR(__xludf.DUMMYFUNCTION("""COMPUTED_VALUE"""),"8bdbe149")</f>
        <v>8bdbe149</v>
      </c>
      <c r="G3790" s="211" t="str">
        <f>IFERROR(__xludf.DUMMYFUNCTION("""COMPUTED_VALUE"""),"Oksigen 6m3")</f>
        <v>Oksigen 6m3</v>
      </c>
      <c r="H3790" s="211" t="str">
        <f>IFERROR(__xludf.DUMMYFUNCTION("""COMPUTED_VALUE"""),"IN")</f>
        <v>IN</v>
      </c>
      <c r="I3790" s="211" t="str">
        <f>IFERROR(__xludf.DUMMYFUNCTION("""COMPUTED_VALUE"""),"EMPTY")</f>
        <v>EMPTY</v>
      </c>
      <c r="J3790" s="211">
        <f>IFERROR(__xludf.DUMMYFUNCTION("""COMPUTED_VALUE"""),1.0)</f>
        <v>1</v>
      </c>
      <c r="K3790" s="210" t="str">
        <f>IFERROR(__xludf.DUMMYFUNCTION("""COMPUTED_VALUE"""),"11191")</f>
        <v>11191</v>
      </c>
      <c r="L3790" s="211">
        <f>IFERROR(__xludf.DUMMYFUNCTION("""COMPUTED_VALUE"""),0.0)</f>
        <v>0</v>
      </c>
      <c r="M3790" s="211"/>
      <c r="N3790" s="211"/>
      <c r="O3790" s="211" t="b">
        <f>IFERROR(__xludf.DUMMYFUNCTION("""COMPUTED_VALUE"""),FALSE)</f>
        <v>0</v>
      </c>
    </row>
    <row r="3791">
      <c r="A3791" s="210" t="str">
        <f>IFERROR(__xludf.DUMMYFUNCTION("""COMPUTED_VALUE"""),"1261268")</f>
        <v>1261268</v>
      </c>
      <c r="B3791" s="210" t="str">
        <f>IFERROR(__xludf.DUMMYFUNCTION("""COMPUTED_VALUE"""),"1261268")</f>
        <v>1261268</v>
      </c>
      <c r="C3791" s="213">
        <f>IFERROR(__xludf.DUMMYFUNCTION("""COMPUTED_VALUE"""),46074.46361111111)</f>
        <v>46074.46361</v>
      </c>
      <c r="D3791" s="211" t="str">
        <f>IFERROR(__xludf.DUMMYFUNCTION("""COMPUTED_VALUE"""),"1c4d5e93")</f>
        <v>1c4d5e93</v>
      </c>
      <c r="E3791" s="211" t="str">
        <f>IFERROR(__xludf.DUMMYFUNCTION("""COMPUTED_VALUE"""),"Karoseri Cipta Mitra Sukses")</f>
        <v>Karoseri Cipta Mitra Sukses</v>
      </c>
      <c r="F3791" s="211" t="str">
        <f>IFERROR(__xludf.DUMMYFUNCTION("""COMPUTED_VALUE"""),"ef306e54")</f>
        <v>ef306e54</v>
      </c>
      <c r="G3791" s="211" t="str">
        <f>IFERROR(__xludf.DUMMYFUNCTION("""COMPUTED_VALUE"""),"Karbondioksida")</f>
        <v>Karbondioksida</v>
      </c>
      <c r="H3791" s="211" t="str">
        <f>IFERROR(__xludf.DUMMYFUNCTION("""COMPUTED_VALUE"""),"IN")</f>
        <v>IN</v>
      </c>
      <c r="I3791" s="211" t="str">
        <f>IFERROR(__xludf.DUMMYFUNCTION("""COMPUTED_VALUE"""),"EMPTY")</f>
        <v>EMPTY</v>
      </c>
      <c r="J3791" s="211">
        <f>IFERROR(__xludf.DUMMYFUNCTION("""COMPUTED_VALUE"""),2.0)</f>
        <v>2</v>
      </c>
      <c r="K3791" s="210" t="str">
        <f>IFERROR(__xludf.DUMMYFUNCTION("""COMPUTED_VALUE"""),"13065 13075")</f>
        <v>13065 13075</v>
      </c>
      <c r="L3791" s="211">
        <f>IFERROR(__xludf.DUMMYFUNCTION("""COMPUTED_VALUE"""),0.0)</f>
        <v>0</v>
      </c>
      <c r="M3791" s="211"/>
      <c r="N3791" s="211"/>
      <c r="O3791" s="211" t="b">
        <f>IFERROR(__xludf.DUMMYFUNCTION("""COMPUTED_VALUE"""),FALSE)</f>
        <v>0</v>
      </c>
    </row>
    <row r="3792">
      <c r="A3792" s="210" t="str">
        <f>IFERROR(__xludf.DUMMYFUNCTION("""COMPUTED_VALUE"""),"0226102622")</f>
        <v>0226102622</v>
      </c>
      <c r="B3792" s="210" t="str">
        <f>IFERROR(__xludf.DUMMYFUNCTION("""COMPUTED_VALUE"""),"0226102622")</f>
        <v>0226102622</v>
      </c>
      <c r="C3792" s="213">
        <f>IFERROR(__xludf.DUMMYFUNCTION("""COMPUTED_VALUE"""),46074.47605324074)</f>
        <v>46074.47605</v>
      </c>
      <c r="D3792" s="211" t="str">
        <f>IFERROR(__xludf.DUMMYFUNCTION("""COMPUTED_VALUE"""),"9828dfc5")</f>
        <v>9828dfc5</v>
      </c>
      <c r="E3792" s="211" t="str">
        <f>IFERROR(__xludf.DUMMYFUNCTION("""COMPUTED_VALUE"""),"Bpk. David")</f>
        <v>Bpk. David</v>
      </c>
      <c r="F3792" s="211" t="str">
        <f>IFERROR(__xludf.DUMMYFUNCTION("""COMPUTED_VALUE"""),"7d2764f1")</f>
        <v>7d2764f1</v>
      </c>
      <c r="G3792" s="211" t="str">
        <f>IFERROR(__xludf.DUMMYFUNCTION("""COMPUTED_VALUE"""),"Oksigen 7m3")</f>
        <v>Oksigen 7m3</v>
      </c>
      <c r="H3792" s="211" t="str">
        <f>IFERROR(__xludf.DUMMYFUNCTION("""COMPUTED_VALUE"""),"OUT")</f>
        <v>OUT</v>
      </c>
      <c r="I3792" s="211" t="str">
        <f>IFERROR(__xludf.DUMMYFUNCTION("""COMPUTED_VALUE"""),"NORMAL")</f>
        <v>NORMAL</v>
      </c>
      <c r="J3792" s="211">
        <f>IFERROR(__xludf.DUMMYFUNCTION("""COMPUTED_VALUE"""),5.0)</f>
        <v>5</v>
      </c>
      <c r="K3792" s="210" t="str">
        <f>IFERROR(__xludf.DUMMYFUNCTION("""COMPUTED_VALUE"""),"11306 11301 11138 11163 11331")</f>
        <v>11306 11301 11138 11163 11331</v>
      </c>
      <c r="L3792" s="211">
        <f>IFERROR(__xludf.DUMMYFUNCTION("""COMPUTED_VALUE"""),60000.0)</f>
        <v>60000</v>
      </c>
      <c r="M3792" s="211"/>
      <c r="N3792" s="211"/>
      <c r="O3792" s="211" t="b">
        <f>IFERROR(__xludf.DUMMYFUNCTION("""COMPUTED_VALUE"""),FALSE)</f>
        <v>0</v>
      </c>
    </row>
    <row r="3793">
      <c r="A3793" s="210" t="str">
        <f>IFERROR(__xludf.DUMMYFUNCTION("""COMPUTED_VALUE"""),"0226102622")</f>
        <v>0226102622</v>
      </c>
      <c r="B3793" s="210" t="str">
        <f>IFERROR(__xludf.DUMMYFUNCTION("""COMPUTED_VALUE"""),"0226102622")</f>
        <v>0226102622</v>
      </c>
      <c r="C3793" s="213">
        <f>IFERROR(__xludf.DUMMYFUNCTION("""COMPUTED_VALUE"""),46074.47605324074)</f>
        <v>46074.47605</v>
      </c>
      <c r="D3793" s="211" t="str">
        <f>IFERROR(__xludf.DUMMYFUNCTION("""COMPUTED_VALUE"""),"9828dfc5")</f>
        <v>9828dfc5</v>
      </c>
      <c r="E3793" s="211" t="str">
        <f>IFERROR(__xludf.DUMMYFUNCTION("""COMPUTED_VALUE"""),"Bpk. David")</f>
        <v>Bpk. David</v>
      </c>
      <c r="F3793" s="211" t="str">
        <f>IFERROR(__xludf.DUMMYFUNCTION("""COMPUTED_VALUE"""),"8bdbe149")</f>
        <v>8bdbe149</v>
      </c>
      <c r="G3793" s="211" t="str">
        <f>IFERROR(__xludf.DUMMYFUNCTION("""COMPUTED_VALUE"""),"Oksigen 6m3")</f>
        <v>Oksigen 6m3</v>
      </c>
      <c r="H3793" s="211" t="str">
        <f>IFERROR(__xludf.DUMMYFUNCTION("""COMPUTED_VALUE"""),"OUT")</f>
        <v>OUT</v>
      </c>
      <c r="I3793" s="211" t="str">
        <f>IFERROR(__xludf.DUMMYFUNCTION("""COMPUTED_VALUE"""),"NORMAL")</f>
        <v>NORMAL</v>
      </c>
      <c r="J3793" s="211">
        <f>IFERROR(__xludf.DUMMYFUNCTION("""COMPUTED_VALUE"""),4.0)</f>
        <v>4</v>
      </c>
      <c r="K3793" s="210" t="str">
        <f>IFERROR(__xludf.DUMMYFUNCTION("""COMPUTED_VALUE"""),"11178 11385 1131 11285")</f>
        <v>11178 11385 1131 11285</v>
      </c>
      <c r="L3793" s="211">
        <f>IFERROR(__xludf.DUMMYFUNCTION("""COMPUTED_VALUE"""),60000.0)</f>
        <v>60000</v>
      </c>
      <c r="M3793" s="211"/>
      <c r="N3793" s="211"/>
      <c r="O3793" s="211" t="b">
        <f>IFERROR(__xludf.DUMMYFUNCTION("""COMPUTED_VALUE"""),FALSE)</f>
        <v>0</v>
      </c>
    </row>
    <row r="3794">
      <c r="A3794" s="210" t="str">
        <f>IFERROR(__xludf.DUMMYFUNCTION("""COMPUTED_VALUE"""),"1261255")</f>
        <v>1261255</v>
      </c>
      <c r="B3794" s="210" t="str">
        <f>IFERROR(__xludf.DUMMYFUNCTION("""COMPUTED_VALUE"""),"1261255")</f>
        <v>1261255</v>
      </c>
      <c r="C3794" s="213">
        <f>IFERROR(__xludf.DUMMYFUNCTION("""COMPUTED_VALUE"""),46073.419652777775)</f>
        <v>46073.41965</v>
      </c>
      <c r="D3794" s="211" t="str">
        <f>IFERROR(__xludf.DUMMYFUNCTION("""COMPUTED_VALUE"""),"b0735da4")</f>
        <v>b0735da4</v>
      </c>
      <c r="E3794" s="211" t="str">
        <f>IFERROR(__xludf.DUMMYFUNCTION("""COMPUTED_VALUE"""),"Bpk. Amer Ciro")</f>
        <v>Bpk. Amer Ciro</v>
      </c>
      <c r="F3794" s="211" t="str">
        <f>IFERROR(__xludf.DUMMYFUNCTION("""COMPUTED_VALUE"""),"8bdbe149")</f>
        <v>8bdbe149</v>
      </c>
      <c r="G3794" s="211" t="str">
        <f>IFERROR(__xludf.DUMMYFUNCTION("""COMPUTED_VALUE"""),"Oksigen 6m3")</f>
        <v>Oksigen 6m3</v>
      </c>
      <c r="H3794" s="211" t="str">
        <f>IFERROR(__xludf.DUMMYFUNCTION("""COMPUTED_VALUE"""),"IN")</f>
        <v>IN</v>
      </c>
      <c r="I3794" s="211" t="str">
        <f>IFERROR(__xludf.DUMMYFUNCTION("""COMPUTED_VALUE"""),"EMPTY")</f>
        <v>EMPTY</v>
      </c>
      <c r="J3794" s="211">
        <f>IFERROR(__xludf.DUMMYFUNCTION("""COMPUTED_VALUE"""),1.0)</f>
        <v>1</v>
      </c>
      <c r="K3794" s="210" t="str">
        <f>IFERROR(__xludf.DUMMYFUNCTION("""COMPUTED_VALUE"""),"11361")</f>
        <v>11361</v>
      </c>
      <c r="L3794" s="211">
        <f>IFERROR(__xludf.DUMMYFUNCTION("""COMPUTED_VALUE"""),0.0)</f>
        <v>0</v>
      </c>
      <c r="M3794" s="211"/>
      <c r="N3794" s="211"/>
      <c r="O3794" s="211" t="b">
        <f>IFERROR(__xludf.DUMMYFUNCTION("""COMPUTED_VALUE"""),FALSE)</f>
        <v>0</v>
      </c>
    </row>
    <row r="3795">
      <c r="A3795" s="210" t="str">
        <f>IFERROR(__xludf.DUMMYFUNCTION("""COMPUTED_VALUE"""),"1261255")</f>
        <v>1261255</v>
      </c>
      <c r="B3795" s="210" t="str">
        <f>IFERROR(__xludf.DUMMYFUNCTION("""COMPUTED_VALUE"""),"1261255")</f>
        <v>1261255</v>
      </c>
      <c r="C3795" s="213">
        <f>IFERROR(__xludf.DUMMYFUNCTION("""COMPUTED_VALUE"""),46073.419652777775)</f>
        <v>46073.41965</v>
      </c>
      <c r="D3795" s="211" t="str">
        <f>IFERROR(__xludf.DUMMYFUNCTION("""COMPUTED_VALUE"""),"b0735da4")</f>
        <v>b0735da4</v>
      </c>
      <c r="E3795" s="211" t="str">
        <f>IFERROR(__xludf.DUMMYFUNCTION("""COMPUTED_VALUE"""),"Bpk. Amer Ciro")</f>
        <v>Bpk. Amer Ciro</v>
      </c>
      <c r="F3795" s="211" t="str">
        <f>IFERROR(__xludf.DUMMYFUNCTION("""COMPUTED_VALUE"""),"7d2764f1")</f>
        <v>7d2764f1</v>
      </c>
      <c r="G3795" s="211" t="str">
        <f>IFERROR(__xludf.DUMMYFUNCTION("""COMPUTED_VALUE"""),"Oksigen 7m3")</f>
        <v>Oksigen 7m3</v>
      </c>
      <c r="H3795" s="211" t="str">
        <f>IFERROR(__xludf.DUMMYFUNCTION("""COMPUTED_VALUE"""),"IN")</f>
        <v>IN</v>
      </c>
      <c r="I3795" s="211" t="str">
        <f>IFERROR(__xludf.DUMMYFUNCTION("""COMPUTED_VALUE"""),"EMPTY")</f>
        <v>EMPTY</v>
      </c>
      <c r="J3795" s="211">
        <f>IFERROR(__xludf.DUMMYFUNCTION("""COMPUTED_VALUE"""),1.0)</f>
        <v>1</v>
      </c>
      <c r="K3795" s="210" t="str">
        <f>IFERROR(__xludf.DUMMYFUNCTION("""COMPUTED_VALUE"""),"11138")</f>
        <v>11138</v>
      </c>
      <c r="L3795" s="211">
        <f>IFERROR(__xludf.DUMMYFUNCTION("""COMPUTED_VALUE"""),0.0)</f>
        <v>0</v>
      </c>
      <c r="M3795" s="211"/>
      <c r="N3795" s="211"/>
      <c r="O3795" s="211" t="b">
        <f>IFERROR(__xludf.DUMMYFUNCTION("""COMPUTED_VALUE"""),TRUE)</f>
        <v>1</v>
      </c>
    </row>
    <row r="3796">
      <c r="A3796" s="210" t="str">
        <f>IFERROR(__xludf.DUMMYFUNCTION("""COMPUTED_VALUE"""),"0226102622")</f>
        <v>0226102622</v>
      </c>
      <c r="B3796" s="210" t="str">
        <f>IFERROR(__xludf.DUMMYFUNCTION("""COMPUTED_VALUE"""),"0226102622")</f>
        <v>0226102622</v>
      </c>
      <c r="C3796" s="213">
        <f>IFERROR(__xludf.DUMMYFUNCTION("""COMPUTED_VALUE"""),46074.47605324074)</f>
        <v>46074.47605</v>
      </c>
      <c r="D3796" s="211" t="str">
        <f>IFERROR(__xludf.DUMMYFUNCTION("""COMPUTED_VALUE"""),"9828dfc5")</f>
        <v>9828dfc5</v>
      </c>
      <c r="E3796" s="211" t="str">
        <f>IFERROR(__xludf.DUMMYFUNCTION("""COMPUTED_VALUE"""),"Bpk. David")</f>
        <v>Bpk. David</v>
      </c>
      <c r="F3796" s="211" t="str">
        <f>IFERROR(__xludf.DUMMYFUNCTION("""COMPUTED_VALUE"""),"8bdbe149")</f>
        <v>8bdbe149</v>
      </c>
      <c r="G3796" s="211" t="str">
        <f>IFERROR(__xludf.DUMMYFUNCTION("""COMPUTED_VALUE"""),"Oksigen 6m3")</f>
        <v>Oksigen 6m3</v>
      </c>
      <c r="H3796" s="211" t="str">
        <f>IFERROR(__xludf.DUMMYFUNCTION("""COMPUTED_VALUE"""),"OUT")</f>
        <v>OUT</v>
      </c>
      <c r="I3796" s="211" t="str">
        <f>IFERROR(__xludf.DUMMYFUNCTION("""COMPUTED_VALUE"""),"NORMAL")</f>
        <v>NORMAL</v>
      </c>
      <c r="J3796" s="211">
        <f>IFERROR(__xludf.DUMMYFUNCTION("""COMPUTED_VALUE"""),1.0)</f>
        <v>1</v>
      </c>
      <c r="K3796" s="210" t="str">
        <f>IFERROR(__xludf.DUMMYFUNCTION("""COMPUTED_VALUE"""),"11361")</f>
        <v>11361</v>
      </c>
      <c r="L3796" s="211">
        <f>IFERROR(__xludf.DUMMYFUNCTION("""COMPUTED_VALUE"""),60000.0)</f>
        <v>60000</v>
      </c>
      <c r="M3796" s="211"/>
      <c r="N3796" s="211"/>
      <c r="O3796" s="211" t="b">
        <f>IFERROR(__xludf.DUMMYFUNCTION("""COMPUTED_VALUE"""),TRUE)</f>
        <v>1</v>
      </c>
    </row>
    <row r="3797">
      <c r="A3797" s="210" t="str">
        <f>IFERROR(__xludf.DUMMYFUNCTION("""COMPUTED_VALUE"""),"0226242625")</f>
        <v>0226242625</v>
      </c>
      <c r="B3797" s="210" t="str">
        <f>IFERROR(__xludf.DUMMYFUNCTION("""COMPUTED_VALUE"""),"0226242625")</f>
        <v>0226242625</v>
      </c>
      <c r="C3797" s="213">
        <f>IFERROR(__xludf.DUMMYFUNCTION("""COMPUTED_VALUE"""),46074.484305555554)</f>
        <v>46074.48431</v>
      </c>
      <c r="D3797" s="211" t="str">
        <f>IFERROR(__xludf.DUMMYFUNCTION("""COMPUTED_VALUE"""),"8ea74d81")</f>
        <v>8ea74d81</v>
      </c>
      <c r="E3797" s="211" t="str">
        <f>IFERROR(__xludf.DUMMYFUNCTION("""COMPUTED_VALUE"""),"Bengkel Adi Putra")</f>
        <v>Bengkel Adi Putra</v>
      </c>
      <c r="F3797" s="211" t="str">
        <f>IFERROR(__xludf.DUMMYFUNCTION("""COMPUTED_VALUE"""),"7d2764f1")</f>
        <v>7d2764f1</v>
      </c>
      <c r="G3797" s="211" t="str">
        <f>IFERROR(__xludf.DUMMYFUNCTION("""COMPUTED_VALUE"""),"Oksigen 7m3")</f>
        <v>Oksigen 7m3</v>
      </c>
      <c r="H3797" s="211" t="str">
        <f>IFERROR(__xludf.DUMMYFUNCTION("""COMPUTED_VALUE"""),"OUT")</f>
        <v>OUT</v>
      </c>
      <c r="I3797" s="211" t="str">
        <f>IFERROR(__xludf.DUMMYFUNCTION("""COMPUTED_VALUE"""),"NORMAL")</f>
        <v>NORMAL</v>
      </c>
      <c r="J3797" s="211">
        <f>IFERROR(__xludf.DUMMYFUNCTION("""COMPUTED_VALUE"""),2.0)</f>
        <v>2</v>
      </c>
      <c r="K3797" s="210" t="str">
        <f>IFERROR(__xludf.DUMMYFUNCTION("""COMPUTED_VALUE"""),"11226 1128")</f>
        <v>11226 1128</v>
      </c>
      <c r="L3797" s="211">
        <f>IFERROR(__xludf.DUMMYFUNCTION("""COMPUTED_VALUE"""),70000.0)</f>
        <v>70000</v>
      </c>
      <c r="M3797" s="211"/>
      <c r="N3797" s="211"/>
      <c r="O3797" s="211" t="b">
        <f>IFERROR(__xludf.DUMMYFUNCTION("""COMPUTED_VALUE"""),FALSE)</f>
        <v>0</v>
      </c>
    </row>
    <row r="3798">
      <c r="A3798" s="210" t="str">
        <f>IFERROR(__xludf.DUMMYFUNCTION("""COMPUTED_VALUE"""),"0226762626")</f>
        <v>0226762626</v>
      </c>
      <c r="B3798" s="210" t="str">
        <f>IFERROR(__xludf.DUMMYFUNCTION("""COMPUTED_VALUE"""),"0226762626")</f>
        <v>0226762626</v>
      </c>
      <c r="C3798" s="213">
        <f>IFERROR(__xludf.DUMMYFUNCTION("""COMPUTED_VALUE"""),46074.61376157407)</f>
        <v>46074.61376</v>
      </c>
      <c r="D3798" s="211" t="str">
        <f>IFERROR(__xludf.DUMMYFUNCTION("""COMPUTED_VALUE"""),"e86baf3b")</f>
        <v>e86baf3b</v>
      </c>
      <c r="E3798" s="211" t="str">
        <f>IFERROR(__xludf.DUMMYFUNCTION("""COMPUTED_VALUE"""),"PT GEMILANG CIPTA WAWASAN")</f>
        <v>PT GEMILANG CIPTA WAWASAN</v>
      </c>
      <c r="F3798" s="211" t="str">
        <f>IFERROR(__xludf.DUMMYFUNCTION("""COMPUTED_VALUE"""),"66af7c72")</f>
        <v>66af7c72</v>
      </c>
      <c r="G3798" s="211" t="str">
        <f>IFERROR(__xludf.DUMMYFUNCTION("""COMPUTED_VALUE"""),"Argon 6m3")</f>
        <v>Argon 6m3</v>
      </c>
      <c r="H3798" s="211" t="str">
        <f>IFERROR(__xludf.DUMMYFUNCTION("""COMPUTED_VALUE"""),"OUT")</f>
        <v>OUT</v>
      </c>
      <c r="I3798" s="211" t="str">
        <f>IFERROR(__xludf.DUMMYFUNCTION("""COMPUTED_VALUE"""),"NORMAL")</f>
        <v>NORMAL</v>
      </c>
      <c r="J3798" s="211">
        <f>IFERROR(__xludf.DUMMYFUNCTION("""COMPUTED_VALUE"""),8.0)</f>
        <v>8</v>
      </c>
      <c r="K3798" s="210" t="str">
        <f>IFERROR(__xludf.DUMMYFUNCTION("""COMPUTED_VALUE"""),"12014 12019 12020 12027 12031 12035 12036 12062")</f>
        <v>12014 12019 12020 12027 12031 12035 12036 12062</v>
      </c>
      <c r="L3798" s="211">
        <f>IFERROR(__xludf.DUMMYFUNCTION("""COMPUTED_VALUE"""),200000.0)</f>
        <v>200000</v>
      </c>
      <c r="M3798" s="211"/>
      <c r="N3798" s="211"/>
      <c r="O3798" s="211" t="b">
        <f>IFERROR(__xludf.DUMMYFUNCTION("""COMPUTED_VALUE"""),FALSE)</f>
        <v>0</v>
      </c>
    </row>
    <row r="3799">
      <c r="A3799" s="210" t="str">
        <f>IFERROR(__xludf.DUMMYFUNCTION("""COMPUTED_VALUE"""),"1261270")</f>
        <v>1261270</v>
      </c>
      <c r="B3799" s="210" t="str">
        <f>IFERROR(__xludf.DUMMYFUNCTION("""COMPUTED_VALUE"""),"1261270")</f>
        <v>1261270</v>
      </c>
      <c r="C3799" s="213">
        <f>IFERROR(__xludf.DUMMYFUNCTION("""COMPUTED_VALUE"""),46074.62530092592)</f>
        <v>46074.6253</v>
      </c>
      <c r="D3799" s="211" t="str">
        <f>IFERROR(__xludf.DUMMYFUNCTION("""COMPUTED_VALUE"""),"8ea74d81")</f>
        <v>8ea74d81</v>
      </c>
      <c r="E3799" s="211" t="str">
        <f>IFERROR(__xludf.DUMMYFUNCTION("""COMPUTED_VALUE"""),"Bengkel Adi Putra")</f>
        <v>Bengkel Adi Putra</v>
      </c>
      <c r="F3799" s="211" t="str">
        <f>IFERROR(__xludf.DUMMYFUNCTION("""COMPUTED_VALUE"""),"7d2764f1")</f>
        <v>7d2764f1</v>
      </c>
      <c r="G3799" s="211" t="str">
        <f>IFERROR(__xludf.DUMMYFUNCTION("""COMPUTED_VALUE"""),"Oksigen 7m3")</f>
        <v>Oksigen 7m3</v>
      </c>
      <c r="H3799" s="211" t="str">
        <f>IFERROR(__xludf.DUMMYFUNCTION("""COMPUTED_VALUE"""),"IN")</f>
        <v>IN</v>
      </c>
      <c r="I3799" s="211" t="str">
        <f>IFERROR(__xludf.DUMMYFUNCTION("""COMPUTED_VALUE"""),"EMPTY")</f>
        <v>EMPTY</v>
      </c>
      <c r="J3799" s="211">
        <f>IFERROR(__xludf.DUMMYFUNCTION("""COMPUTED_VALUE"""),1.0)</f>
        <v>1</v>
      </c>
      <c r="K3799" s="210" t="str">
        <f>IFERROR(__xludf.DUMMYFUNCTION("""COMPUTED_VALUE"""),"11329")</f>
        <v>11329</v>
      </c>
      <c r="L3799" s="211">
        <f>IFERROR(__xludf.DUMMYFUNCTION("""COMPUTED_VALUE"""),0.0)</f>
        <v>0</v>
      </c>
      <c r="M3799" s="211"/>
      <c r="N3799" s="211"/>
      <c r="O3799" s="211" t="b">
        <f>IFERROR(__xludf.DUMMYFUNCTION("""COMPUTED_VALUE"""),FALSE)</f>
        <v>0</v>
      </c>
    </row>
    <row r="3800">
      <c r="A3800" s="210" t="str">
        <f>IFERROR(__xludf.DUMMYFUNCTION("""COMPUTED_VALUE"""),"1261270")</f>
        <v>1261270</v>
      </c>
      <c r="B3800" s="210" t="str">
        <f>IFERROR(__xludf.DUMMYFUNCTION("""COMPUTED_VALUE"""),"1261270")</f>
        <v>1261270</v>
      </c>
      <c r="C3800" s="213">
        <f>IFERROR(__xludf.DUMMYFUNCTION("""COMPUTED_VALUE"""),46074.62530092592)</f>
        <v>46074.6253</v>
      </c>
      <c r="D3800" s="211" t="str">
        <f>IFERROR(__xludf.DUMMYFUNCTION("""COMPUTED_VALUE"""),"8ea74d81")</f>
        <v>8ea74d81</v>
      </c>
      <c r="E3800" s="211" t="str">
        <f>IFERROR(__xludf.DUMMYFUNCTION("""COMPUTED_VALUE"""),"Bengkel Adi Putra")</f>
        <v>Bengkel Adi Putra</v>
      </c>
      <c r="F3800" s="211" t="str">
        <f>IFERROR(__xludf.DUMMYFUNCTION("""COMPUTED_VALUE"""),"8bdbe149")</f>
        <v>8bdbe149</v>
      </c>
      <c r="G3800" s="211" t="str">
        <f>IFERROR(__xludf.DUMMYFUNCTION("""COMPUTED_VALUE"""),"Oksigen 6m3")</f>
        <v>Oksigen 6m3</v>
      </c>
      <c r="H3800" s="211" t="str">
        <f>IFERROR(__xludf.DUMMYFUNCTION("""COMPUTED_VALUE"""),"IN")</f>
        <v>IN</v>
      </c>
      <c r="I3800" s="211" t="str">
        <f>IFERROR(__xludf.DUMMYFUNCTION("""COMPUTED_VALUE"""),"EMPTY")</f>
        <v>EMPTY</v>
      </c>
      <c r="J3800" s="211">
        <f>IFERROR(__xludf.DUMMYFUNCTION("""COMPUTED_VALUE"""),1.0)</f>
        <v>1</v>
      </c>
      <c r="K3800" s="210" t="str">
        <f>IFERROR(__xludf.DUMMYFUNCTION("""COMPUTED_VALUE"""),"11280")</f>
        <v>11280</v>
      </c>
      <c r="L3800" s="211">
        <f>IFERROR(__xludf.DUMMYFUNCTION("""COMPUTED_VALUE"""),0.0)</f>
        <v>0</v>
      </c>
      <c r="M3800" s="211"/>
      <c r="N3800" s="211"/>
      <c r="O3800" s="211" t="b">
        <f>IFERROR(__xludf.DUMMYFUNCTION("""COMPUTED_VALUE"""),FALSE)</f>
        <v>0</v>
      </c>
    </row>
    <row r="3801">
      <c r="A3801" s="210" t="str">
        <f>IFERROR(__xludf.DUMMYFUNCTION("""COMPUTED_VALUE"""),"1261291")</f>
        <v>1261291</v>
      </c>
      <c r="B3801" s="210" t="str">
        <f>IFERROR(__xludf.DUMMYFUNCTION("""COMPUTED_VALUE"""),"1261291")</f>
        <v>1261291</v>
      </c>
      <c r="C3801" s="213">
        <f>IFERROR(__xludf.DUMMYFUNCTION("""COMPUTED_VALUE"""),46074.6258912037)</f>
        <v>46074.62589</v>
      </c>
      <c r="D3801" s="211" t="str">
        <f>IFERROR(__xludf.DUMMYFUNCTION("""COMPUTED_VALUE"""),"9828dfc5")</f>
        <v>9828dfc5</v>
      </c>
      <c r="E3801" s="211" t="str">
        <f>IFERROR(__xludf.DUMMYFUNCTION("""COMPUTED_VALUE"""),"Bpk. David")</f>
        <v>Bpk. David</v>
      </c>
      <c r="F3801" s="211" t="str">
        <f>IFERROR(__xludf.DUMMYFUNCTION("""COMPUTED_VALUE"""),"8bdbe149")</f>
        <v>8bdbe149</v>
      </c>
      <c r="G3801" s="211" t="str">
        <f>IFERROR(__xludf.DUMMYFUNCTION("""COMPUTED_VALUE"""),"Oksigen 6m3")</f>
        <v>Oksigen 6m3</v>
      </c>
      <c r="H3801" s="211" t="str">
        <f>IFERROR(__xludf.DUMMYFUNCTION("""COMPUTED_VALUE"""),"IN")</f>
        <v>IN</v>
      </c>
      <c r="I3801" s="211" t="str">
        <f>IFERROR(__xludf.DUMMYFUNCTION("""COMPUTED_VALUE"""),"EMPTY")</f>
        <v>EMPTY</v>
      </c>
      <c r="J3801" s="211">
        <f>IFERROR(__xludf.DUMMYFUNCTION("""COMPUTED_VALUE"""),9.0)</f>
        <v>9</v>
      </c>
      <c r="K3801" s="210" t="str">
        <f>IFERROR(__xludf.DUMMYFUNCTION("""COMPUTED_VALUE"""),"1139 11311 11245 1119 11274 1142 11193 11278 11236")</f>
        <v>1139 11311 11245 1119 11274 1142 11193 11278 11236</v>
      </c>
      <c r="L3801" s="211">
        <f>IFERROR(__xludf.DUMMYFUNCTION("""COMPUTED_VALUE"""),0.0)</f>
        <v>0</v>
      </c>
      <c r="M3801" s="211"/>
      <c r="N3801" s="211"/>
      <c r="O3801" s="211" t="b">
        <f>IFERROR(__xludf.DUMMYFUNCTION("""COMPUTED_VALUE"""),FALSE)</f>
        <v>0</v>
      </c>
    </row>
    <row r="3802">
      <c r="A3802" s="210" t="str">
        <f>IFERROR(__xludf.DUMMYFUNCTION("""COMPUTED_VALUE"""),"1261291")</f>
        <v>1261291</v>
      </c>
      <c r="B3802" s="210" t="str">
        <f>IFERROR(__xludf.DUMMYFUNCTION("""COMPUTED_VALUE"""),"1261291")</f>
        <v>1261291</v>
      </c>
      <c r="C3802" s="213">
        <f>IFERROR(__xludf.DUMMYFUNCTION("""COMPUTED_VALUE"""),46074.6258912037)</f>
        <v>46074.62589</v>
      </c>
      <c r="D3802" s="211" t="str">
        <f>IFERROR(__xludf.DUMMYFUNCTION("""COMPUTED_VALUE"""),"9828dfc5")</f>
        <v>9828dfc5</v>
      </c>
      <c r="E3802" s="211" t="str">
        <f>IFERROR(__xludf.DUMMYFUNCTION("""COMPUTED_VALUE"""),"Bpk. David")</f>
        <v>Bpk. David</v>
      </c>
      <c r="F3802" s="211" t="str">
        <f>IFERROR(__xludf.DUMMYFUNCTION("""COMPUTED_VALUE"""),"7d2764f1")</f>
        <v>7d2764f1</v>
      </c>
      <c r="G3802" s="211" t="str">
        <f>IFERROR(__xludf.DUMMYFUNCTION("""COMPUTED_VALUE"""),"Oksigen 7m3")</f>
        <v>Oksigen 7m3</v>
      </c>
      <c r="H3802" s="211" t="str">
        <f>IFERROR(__xludf.DUMMYFUNCTION("""COMPUTED_VALUE"""),"IN")</f>
        <v>IN</v>
      </c>
      <c r="I3802" s="211" t="str">
        <f>IFERROR(__xludf.DUMMYFUNCTION("""COMPUTED_VALUE"""),"EMPTY")</f>
        <v>EMPTY</v>
      </c>
      <c r="J3802" s="211">
        <f>IFERROR(__xludf.DUMMYFUNCTION("""COMPUTED_VALUE"""),1.0)</f>
        <v>1</v>
      </c>
      <c r="K3802" s="210" t="str">
        <f>IFERROR(__xludf.DUMMYFUNCTION("""COMPUTED_VALUE"""),"11135")</f>
        <v>11135</v>
      </c>
      <c r="L3802" s="211">
        <f>IFERROR(__xludf.DUMMYFUNCTION("""COMPUTED_VALUE"""),0.0)</f>
        <v>0</v>
      </c>
      <c r="M3802" s="211"/>
      <c r="N3802" s="211"/>
      <c r="O3802" s="211" t="b">
        <f>IFERROR(__xludf.DUMMYFUNCTION("""COMPUTED_VALUE"""),FALSE)</f>
        <v>0</v>
      </c>
    </row>
    <row r="3803">
      <c r="A3803" s="210" t="str">
        <f>IFERROR(__xludf.DUMMYFUNCTION("""COMPUTED_VALUE"""),"1261258")</f>
        <v>1261258</v>
      </c>
      <c r="B3803" s="210" t="str">
        <f>IFERROR(__xludf.DUMMYFUNCTION("""COMPUTED_VALUE"""),"1261258")</f>
        <v>1261258</v>
      </c>
      <c r="C3803" s="213">
        <f>IFERROR(__xludf.DUMMYFUNCTION("""COMPUTED_VALUE"""),46074.6408912037)</f>
        <v>46074.64089</v>
      </c>
      <c r="D3803" s="211" t="str">
        <f>IFERROR(__xludf.DUMMYFUNCTION("""COMPUTED_VALUE"""),"de41c3e8")</f>
        <v>de41c3e8</v>
      </c>
      <c r="E3803" s="211" t="str">
        <f>IFERROR(__xludf.DUMMYFUNCTION("""COMPUTED_VALUE"""),"Bpk. Eko Mianto")</f>
        <v>Bpk. Eko Mianto</v>
      </c>
      <c r="F3803" s="211" t="str">
        <f>IFERROR(__xludf.DUMMYFUNCTION("""COMPUTED_VALUE"""),"66af7c72")</f>
        <v>66af7c72</v>
      </c>
      <c r="G3803" s="211" t="str">
        <f>IFERROR(__xludf.DUMMYFUNCTION("""COMPUTED_VALUE"""),"Argon 6m3")</f>
        <v>Argon 6m3</v>
      </c>
      <c r="H3803" s="211" t="str">
        <f>IFERROR(__xludf.DUMMYFUNCTION("""COMPUTED_VALUE"""),"IN")</f>
        <v>IN</v>
      </c>
      <c r="I3803" s="211" t="str">
        <f>IFERROR(__xludf.DUMMYFUNCTION("""COMPUTED_VALUE"""),"EMPTY")</f>
        <v>EMPTY</v>
      </c>
      <c r="J3803" s="211">
        <f>IFERROR(__xludf.DUMMYFUNCTION("""COMPUTED_VALUE"""),2.0)</f>
        <v>2</v>
      </c>
      <c r="K3803" s="210" t="str">
        <f>IFERROR(__xludf.DUMMYFUNCTION("""COMPUTED_VALUE"""),"12074 12078")</f>
        <v>12074 12078</v>
      </c>
      <c r="L3803" s="211">
        <f>IFERROR(__xludf.DUMMYFUNCTION("""COMPUTED_VALUE"""),0.0)</f>
        <v>0</v>
      </c>
      <c r="M3803" s="211"/>
      <c r="N3803" s="211"/>
      <c r="O3803" s="211" t="b">
        <f>IFERROR(__xludf.DUMMYFUNCTION("""COMPUTED_VALUE"""),FALSE)</f>
        <v>0</v>
      </c>
    </row>
    <row r="3804">
      <c r="A3804" s="210" t="str">
        <f>IFERROR(__xludf.DUMMYFUNCTION("""COMPUTED_VALUE"""),"1261257")</f>
        <v>1261257</v>
      </c>
      <c r="B3804" s="210" t="str">
        <f>IFERROR(__xludf.DUMMYFUNCTION("""COMPUTED_VALUE"""),"1261257")</f>
        <v>1261257</v>
      </c>
      <c r="C3804" s="213">
        <f>IFERROR(__xludf.DUMMYFUNCTION("""COMPUTED_VALUE"""),46074.641168981485)</f>
        <v>46074.64117</v>
      </c>
      <c r="D3804" s="211" t="str">
        <f>IFERROR(__xludf.DUMMYFUNCTION("""COMPUTED_VALUE"""),"b218b89b")</f>
        <v>b218b89b</v>
      </c>
      <c r="E3804" s="211" t="str">
        <f>IFERROR(__xludf.DUMMYFUNCTION("""COMPUTED_VALUE"""),"PT Harapan Sentosa")</f>
        <v>PT Harapan Sentosa</v>
      </c>
      <c r="F3804" s="211" t="str">
        <f>IFERROR(__xludf.DUMMYFUNCTION("""COMPUTED_VALUE"""),"7d2764f1")</f>
        <v>7d2764f1</v>
      </c>
      <c r="G3804" s="211" t="str">
        <f>IFERROR(__xludf.DUMMYFUNCTION("""COMPUTED_VALUE"""),"Oksigen 7m3")</f>
        <v>Oksigen 7m3</v>
      </c>
      <c r="H3804" s="211" t="str">
        <f>IFERROR(__xludf.DUMMYFUNCTION("""COMPUTED_VALUE"""),"IN")</f>
        <v>IN</v>
      </c>
      <c r="I3804" s="211" t="str">
        <f>IFERROR(__xludf.DUMMYFUNCTION("""COMPUTED_VALUE"""),"EMPTY")</f>
        <v>EMPTY</v>
      </c>
      <c r="J3804" s="211">
        <f>IFERROR(__xludf.DUMMYFUNCTION("""COMPUTED_VALUE"""),1.0)</f>
        <v>1</v>
      </c>
      <c r="K3804" s="210" t="str">
        <f>IFERROR(__xludf.DUMMYFUNCTION("""COMPUTED_VALUE"""),"11269")</f>
        <v>11269</v>
      </c>
      <c r="L3804" s="211">
        <f>IFERROR(__xludf.DUMMYFUNCTION("""COMPUTED_VALUE"""),0.0)</f>
        <v>0</v>
      </c>
      <c r="M3804" s="211"/>
      <c r="N3804" s="211"/>
      <c r="O3804" s="211" t="b">
        <f>IFERROR(__xludf.DUMMYFUNCTION("""COMPUTED_VALUE"""),FALSE)</f>
        <v>0</v>
      </c>
    </row>
    <row r="3805">
      <c r="A3805" s="210" t="str">
        <f>IFERROR(__xludf.DUMMYFUNCTION("""COMPUTED_VALUE"""),"1261259")</f>
        <v>1261259</v>
      </c>
      <c r="B3805" s="210" t="str">
        <f>IFERROR(__xludf.DUMMYFUNCTION("""COMPUTED_VALUE"""),"1261259")</f>
        <v>1261259</v>
      </c>
      <c r="C3805" s="213">
        <f>IFERROR(__xludf.DUMMYFUNCTION("""COMPUTED_VALUE"""),46074.51693287037)</f>
        <v>46074.51693</v>
      </c>
      <c r="D3805" s="211" t="str">
        <f>IFERROR(__xludf.DUMMYFUNCTION("""COMPUTED_VALUE"""),"b2b5f2c5")</f>
        <v>b2b5f2c5</v>
      </c>
      <c r="E3805" s="211" t="str">
        <f>IFERROR(__xludf.DUMMYFUNCTION("""COMPUTED_VALUE"""),"Bengkel Las Bpk. Ari")</f>
        <v>Bengkel Las Bpk. Ari</v>
      </c>
      <c r="F3805" s="211" t="str">
        <f>IFERROR(__xludf.DUMMYFUNCTION("""COMPUTED_VALUE"""),"8bdbe149")</f>
        <v>8bdbe149</v>
      </c>
      <c r="G3805" s="211" t="str">
        <f>IFERROR(__xludf.DUMMYFUNCTION("""COMPUTED_VALUE"""),"Oksigen 6m3")</f>
        <v>Oksigen 6m3</v>
      </c>
      <c r="H3805" s="211" t="str">
        <f>IFERROR(__xludf.DUMMYFUNCTION("""COMPUTED_VALUE"""),"IN")</f>
        <v>IN</v>
      </c>
      <c r="I3805" s="211" t="str">
        <f>IFERROR(__xludf.DUMMYFUNCTION("""COMPUTED_VALUE"""),"EMPTY")</f>
        <v>EMPTY</v>
      </c>
      <c r="J3805" s="211">
        <f>IFERROR(__xludf.DUMMYFUNCTION("""COMPUTED_VALUE"""),4.0)</f>
        <v>4</v>
      </c>
      <c r="K3805" s="210" t="str">
        <f>IFERROR(__xludf.DUMMYFUNCTION("""COMPUTED_VALUE"""),"11316 11255 11359 11296")</f>
        <v>11316 11255 11359 11296</v>
      </c>
      <c r="L3805" s="211">
        <f>IFERROR(__xludf.DUMMYFUNCTION("""COMPUTED_VALUE"""),0.0)</f>
        <v>0</v>
      </c>
      <c r="M3805" s="211"/>
      <c r="N3805" s="211"/>
      <c r="O3805" s="211" t="b">
        <f>IFERROR(__xludf.DUMMYFUNCTION("""COMPUTED_VALUE"""),FALSE)</f>
        <v>0</v>
      </c>
    </row>
    <row r="3806">
      <c r="A3806" s="210" t="str">
        <f>IFERROR(__xludf.DUMMYFUNCTION("""COMPUTED_VALUE"""),"1261259")</f>
        <v>1261259</v>
      </c>
      <c r="B3806" s="210" t="str">
        <f>IFERROR(__xludf.DUMMYFUNCTION("""COMPUTED_VALUE"""),"1261259")</f>
        <v>1261259</v>
      </c>
      <c r="C3806" s="213">
        <f>IFERROR(__xludf.DUMMYFUNCTION("""COMPUTED_VALUE"""),46074.51693287037)</f>
        <v>46074.51693</v>
      </c>
      <c r="D3806" s="211" t="str">
        <f>IFERROR(__xludf.DUMMYFUNCTION("""COMPUTED_VALUE"""),"b2b5f2c5")</f>
        <v>b2b5f2c5</v>
      </c>
      <c r="E3806" s="211" t="str">
        <f>IFERROR(__xludf.DUMMYFUNCTION("""COMPUTED_VALUE"""),"Bengkel Las Bpk. Ari")</f>
        <v>Bengkel Las Bpk. Ari</v>
      </c>
      <c r="F3806" s="211" t="str">
        <f>IFERROR(__xludf.DUMMYFUNCTION("""COMPUTED_VALUE"""),"ef306e54")</f>
        <v>ef306e54</v>
      </c>
      <c r="G3806" s="211" t="str">
        <f>IFERROR(__xludf.DUMMYFUNCTION("""COMPUTED_VALUE"""),"Karbondioksida")</f>
        <v>Karbondioksida</v>
      </c>
      <c r="H3806" s="211" t="str">
        <f>IFERROR(__xludf.DUMMYFUNCTION("""COMPUTED_VALUE"""),"IN")</f>
        <v>IN</v>
      </c>
      <c r="I3806" s="211" t="str">
        <f>IFERROR(__xludf.DUMMYFUNCTION("""COMPUTED_VALUE"""),"EMPTY")</f>
        <v>EMPTY</v>
      </c>
      <c r="J3806" s="211">
        <f>IFERROR(__xludf.DUMMYFUNCTION("""COMPUTED_VALUE"""),1.0)</f>
        <v>1</v>
      </c>
      <c r="K3806" s="210" t="str">
        <f>IFERROR(__xludf.DUMMYFUNCTION("""COMPUTED_VALUE"""),"13005")</f>
        <v>13005</v>
      </c>
      <c r="L3806" s="211">
        <f>IFERROR(__xludf.DUMMYFUNCTION("""COMPUTED_VALUE"""),0.0)</f>
        <v>0</v>
      </c>
      <c r="M3806" s="211"/>
      <c r="N3806" s="211"/>
      <c r="O3806" s="211" t="b">
        <f>IFERROR(__xludf.DUMMYFUNCTION("""COMPUTED_VALUE"""),FALSE)</f>
        <v>0</v>
      </c>
    </row>
    <row r="3807">
      <c r="A3807" s="210" t="str">
        <f>IFERROR(__xludf.DUMMYFUNCTION("""COMPUTED_VALUE"""),"0226472627")</f>
        <v>0226472627</v>
      </c>
      <c r="B3807" s="210" t="str">
        <f>IFERROR(__xludf.DUMMYFUNCTION("""COMPUTED_VALUE"""),"0226472627")</f>
        <v>0226472627</v>
      </c>
      <c r="C3807" s="213">
        <f>IFERROR(__xludf.DUMMYFUNCTION("""COMPUTED_VALUE"""),46074.614016203705)</f>
        <v>46074.61402</v>
      </c>
      <c r="D3807" s="211" t="str">
        <f>IFERROR(__xludf.DUMMYFUNCTION("""COMPUTED_VALUE"""),"ec231cc9")</f>
        <v>ec231cc9</v>
      </c>
      <c r="E3807" s="211" t="str">
        <f>IFERROR(__xludf.DUMMYFUNCTION("""COMPUTED_VALUE"""),"Bpk. Kohir (Maintenance Velg)")</f>
        <v>Bpk. Kohir (Maintenance Velg)</v>
      </c>
      <c r="F3807" s="211" t="str">
        <f>IFERROR(__xludf.DUMMYFUNCTION("""COMPUTED_VALUE"""),"8bdbe149")</f>
        <v>8bdbe149</v>
      </c>
      <c r="G3807" s="211" t="str">
        <f>IFERROR(__xludf.DUMMYFUNCTION("""COMPUTED_VALUE"""),"Oksigen 6m3")</f>
        <v>Oksigen 6m3</v>
      </c>
      <c r="H3807" s="211" t="str">
        <f>IFERROR(__xludf.DUMMYFUNCTION("""COMPUTED_VALUE"""),"OUT")</f>
        <v>OUT</v>
      </c>
      <c r="I3807" s="211" t="str">
        <f>IFERROR(__xludf.DUMMYFUNCTION("""COMPUTED_VALUE"""),"NORMAL")</f>
        <v>NORMAL</v>
      </c>
      <c r="J3807" s="211">
        <f>IFERROR(__xludf.DUMMYFUNCTION("""COMPUTED_VALUE"""),5.0)</f>
        <v>5</v>
      </c>
      <c r="K3807" s="210" t="str">
        <f>IFERROR(__xludf.DUMMYFUNCTION("""COMPUTED_VALUE"""),"11296 1141 11255 11359 11130")</f>
        <v>11296 1141 11255 11359 11130</v>
      </c>
      <c r="L3807" s="211">
        <f>IFERROR(__xludf.DUMMYFUNCTION("""COMPUTED_VALUE"""),55000.0)</f>
        <v>55000</v>
      </c>
      <c r="M3807" s="211"/>
      <c r="N3807" s="211"/>
      <c r="O3807" s="211" t="b">
        <f>IFERROR(__xludf.DUMMYFUNCTION("""COMPUTED_VALUE"""),FALSE)</f>
        <v>0</v>
      </c>
    </row>
    <row r="3808">
      <c r="A3808" s="210" t="str">
        <f>IFERROR(__xludf.DUMMYFUNCTION("""COMPUTED_VALUE"""),"0226472627")</f>
        <v>0226472627</v>
      </c>
      <c r="B3808" s="210" t="str">
        <f>IFERROR(__xludf.DUMMYFUNCTION("""COMPUTED_VALUE"""),"0226472627")</f>
        <v>0226472627</v>
      </c>
      <c r="C3808" s="213">
        <f>IFERROR(__xludf.DUMMYFUNCTION("""COMPUTED_VALUE"""),46074.614016203705)</f>
        <v>46074.61402</v>
      </c>
      <c r="D3808" s="211" t="str">
        <f>IFERROR(__xludf.DUMMYFUNCTION("""COMPUTED_VALUE"""),"ec231cc9")</f>
        <v>ec231cc9</v>
      </c>
      <c r="E3808" s="211" t="str">
        <f>IFERROR(__xludf.DUMMYFUNCTION("""COMPUTED_VALUE"""),"Bpk. Kohir (Maintenance Velg)")</f>
        <v>Bpk. Kohir (Maintenance Velg)</v>
      </c>
      <c r="F3808" s="211" t="str">
        <f>IFERROR(__xludf.DUMMYFUNCTION("""COMPUTED_VALUE"""),"ef306e54")</f>
        <v>ef306e54</v>
      </c>
      <c r="G3808" s="211" t="str">
        <f>IFERROR(__xludf.DUMMYFUNCTION("""COMPUTED_VALUE"""),"Karbondioksida")</f>
        <v>Karbondioksida</v>
      </c>
      <c r="H3808" s="211" t="str">
        <f>IFERROR(__xludf.DUMMYFUNCTION("""COMPUTED_VALUE"""),"OUT")</f>
        <v>OUT</v>
      </c>
      <c r="I3808" s="211" t="str">
        <f>IFERROR(__xludf.DUMMYFUNCTION("""COMPUTED_VALUE"""),"NORMAL")</f>
        <v>NORMAL</v>
      </c>
      <c r="J3808" s="211">
        <f>IFERROR(__xludf.DUMMYFUNCTION("""COMPUTED_VALUE"""),1.0)</f>
        <v>1</v>
      </c>
      <c r="K3808" s="210" t="str">
        <f>IFERROR(__xludf.DUMMYFUNCTION("""COMPUTED_VALUE"""),"13018")</f>
        <v>13018</v>
      </c>
      <c r="L3808" s="211">
        <f>IFERROR(__xludf.DUMMYFUNCTION("""COMPUTED_VALUE"""),175000.0)</f>
        <v>175000</v>
      </c>
      <c r="M3808" s="211"/>
      <c r="N3808" s="211"/>
      <c r="O3808" s="211" t="b">
        <f>IFERROR(__xludf.DUMMYFUNCTION("""COMPUTED_VALUE"""),FALSE)</f>
        <v>0</v>
      </c>
    </row>
    <row r="3809">
      <c r="A3809" s="210" t="str">
        <f>IFERROR(__xludf.DUMMYFUNCTION("""COMPUTED_VALUE"""),"1261260")</f>
        <v>1261260</v>
      </c>
      <c r="B3809" s="210" t="str">
        <f>IFERROR(__xludf.DUMMYFUNCTION("""COMPUTED_VALUE"""),"1261260")</f>
        <v>1261260</v>
      </c>
      <c r="C3809" s="213">
        <f>IFERROR(__xludf.DUMMYFUNCTION("""COMPUTED_VALUE"""),46076.350590277776)</f>
        <v>46076.35059</v>
      </c>
      <c r="D3809" s="211" t="str">
        <f>IFERROR(__xludf.DUMMYFUNCTION("""COMPUTED_VALUE"""),"ec231cc9")</f>
        <v>ec231cc9</v>
      </c>
      <c r="E3809" s="211" t="str">
        <f>IFERROR(__xludf.DUMMYFUNCTION("""COMPUTED_VALUE"""),"Bpk. Kohir (Maintenance Velg)")</f>
        <v>Bpk. Kohir (Maintenance Velg)</v>
      </c>
      <c r="F3809" s="211" t="str">
        <f>IFERROR(__xludf.DUMMYFUNCTION("""COMPUTED_VALUE"""),"8bdbe149")</f>
        <v>8bdbe149</v>
      </c>
      <c r="G3809" s="211" t="str">
        <f>IFERROR(__xludf.DUMMYFUNCTION("""COMPUTED_VALUE"""),"Oksigen 6m3")</f>
        <v>Oksigen 6m3</v>
      </c>
      <c r="H3809" s="211" t="str">
        <f>IFERROR(__xludf.DUMMYFUNCTION("""COMPUTED_VALUE"""),"IN")</f>
        <v>IN</v>
      </c>
      <c r="I3809" s="211" t="str">
        <f>IFERROR(__xludf.DUMMYFUNCTION("""COMPUTED_VALUE"""),"EMPTY")</f>
        <v>EMPTY</v>
      </c>
      <c r="J3809" s="211">
        <f>IFERROR(__xludf.DUMMYFUNCTION("""COMPUTED_VALUE"""),5.0)</f>
        <v>5</v>
      </c>
      <c r="K3809" s="210" t="str">
        <f>IFERROR(__xludf.DUMMYFUNCTION("""COMPUTED_VALUE"""),"11371 11279 11373 11366 1186")</f>
        <v>11371 11279 11373 11366 1186</v>
      </c>
      <c r="L3809" s="211">
        <f>IFERROR(__xludf.DUMMYFUNCTION("""COMPUTED_VALUE"""),0.0)</f>
        <v>0</v>
      </c>
      <c r="M3809" s="211"/>
      <c r="N3809" s="211"/>
      <c r="O3809" s="211" t="b">
        <f>IFERROR(__xludf.DUMMYFUNCTION("""COMPUTED_VALUE"""),FALSE)</f>
        <v>0</v>
      </c>
    </row>
    <row r="3810">
      <c r="A3810" s="210" t="str">
        <f>IFERROR(__xludf.DUMMYFUNCTION("""COMPUTED_VALUE"""),"1261260")</f>
        <v>1261260</v>
      </c>
      <c r="B3810" s="210" t="str">
        <f>IFERROR(__xludf.DUMMYFUNCTION("""COMPUTED_VALUE"""),"1261260")</f>
        <v>1261260</v>
      </c>
      <c r="C3810" s="213">
        <f>IFERROR(__xludf.DUMMYFUNCTION("""COMPUTED_VALUE"""),46076.350590277776)</f>
        <v>46076.35059</v>
      </c>
      <c r="D3810" s="211" t="str">
        <f>IFERROR(__xludf.DUMMYFUNCTION("""COMPUTED_VALUE"""),"ec231cc9")</f>
        <v>ec231cc9</v>
      </c>
      <c r="E3810" s="211" t="str">
        <f>IFERROR(__xludf.DUMMYFUNCTION("""COMPUTED_VALUE"""),"Bpk. Kohir (Maintenance Velg)")</f>
        <v>Bpk. Kohir (Maintenance Velg)</v>
      </c>
      <c r="F3810" s="211" t="str">
        <f>IFERROR(__xludf.DUMMYFUNCTION("""COMPUTED_VALUE"""),"ef306e54")</f>
        <v>ef306e54</v>
      </c>
      <c r="G3810" s="211" t="str">
        <f>IFERROR(__xludf.DUMMYFUNCTION("""COMPUTED_VALUE"""),"Karbondioksida")</f>
        <v>Karbondioksida</v>
      </c>
      <c r="H3810" s="211" t="str">
        <f>IFERROR(__xludf.DUMMYFUNCTION("""COMPUTED_VALUE"""),"IN")</f>
        <v>IN</v>
      </c>
      <c r="I3810" s="211" t="str">
        <f>IFERROR(__xludf.DUMMYFUNCTION("""COMPUTED_VALUE"""),"EMPTY")</f>
        <v>EMPTY</v>
      </c>
      <c r="J3810" s="211">
        <f>IFERROR(__xludf.DUMMYFUNCTION("""COMPUTED_VALUE"""),1.0)</f>
        <v>1</v>
      </c>
      <c r="K3810" s="210" t="str">
        <f>IFERROR(__xludf.DUMMYFUNCTION("""COMPUTED_VALUE"""),"13014")</f>
        <v>13014</v>
      </c>
      <c r="L3810" s="211">
        <f>IFERROR(__xludf.DUMMYFUNCTION("""COMPUTED_VALUE"""),0.0)</f>
        <v>0</v>
      </c>
      <c r="M3810" s="211"/>
      <c r="N3810" s="211"/>
      <c r="O3810" s="211" t="b">
        <f>IFERROR(__xludf.DUMMYFUNCTION("""COMPUTED_VALUE"""),FALSE)</f>
        <v>0</v>
      </c>
    </row>
    <row r="3811">
      <c r="A3811" s="210" t="str">
        <f>IFERROR(__xludf.DUMMYFUNCTION("""COMPUTED_VALUE"""),"0226252628")</f>
        <v>0226252628</v>
      </c>
      <c r="B3811" s="210" t="str">
        <f>IFERROR(__xludf.DUMMYFUNCTION("""COMPUTED_VALUE"""),"0226252628")</f>
        <v>0226252628</v>
      </c>
      <c r="C3811" s="213">
        <f>IFERROR(__xludf.DUMMYFUNCTION("""COMPUTED_VALUE"""),46076.3765162037)</f>
        <v>46076.37652</v>
      </c>
      <c r="D3811" s="211" t="str">
        <f>IFERROR(__xludf.DUMMYFUNCTION("""COMPUTED_VALUE"""),"4ec68cf6")</f>
        <v>4ec68cf6</v>
      </c>
      <c r="E3811" s="211" t="str">
        <f>IFERROR(__xludf.DUMMYFUNCTION("""COMPUTED_VALUE"""),"CV Sido Mukti Karya")</f>
        <v>CV Sido Mukti Karya</v>
      </c>
      <c r="F3811" s="211" t="str">
        <f>IFERROR(__xludf.DUMMYFUNCTION("""COMPUTED_VALUE"""),"7d2764f1")</f>
        <v>7d2764f1</v>
      </c>
      <c r="G3811" s="211" t="str">
        <f>IFERROR(__xludf.DUMMYFUNCTION("""COMPUTED_VALUE"""),"Oksigen 7m3")</f>
        <v>Oksigen 7m3</v>
      </c>
      <c r="H3811" s="211" t="str">
        <f>IFERROR(__xludf.DUMMYFUNCTION("""COMPUTED_VALUE"""),"OUT")</f>
        <v>OUT</v>
      </c>
      <c r="I3811" s="211" t="str">
        <f>IFERROR(__xludf.DUMMYFUNCTION("""COMPUTED_VALUE"""),"NORMAL")</f>
        <v>NORMAL</v>
      </c>
      <c r="J3811" s="211">
        <f>IFERROR(__xludf.DUMMYFUNCTION("""COMPUTED_VALUE"""),2.0)</f>
        <v>2</v>
      </c>
      <c r="K3811" s="210" t="str">
        <f>IFERROR(__xludf.DUMMYFUNCTION("""COMPUTED_VALUE"""),"11269 11292")</f>
        <v>11269 11292</v>
      </c>
      <c r="L3811" s="211">
        <f>IFERROR(__xludf.DUMMYFUNCTION("""COMPUTED_VALUE"""),60000.0)</f>
        <v>60000</v>
      </c>
      <c r="M3811" s="211"/>
      <c r="N3811" s="211"/>
      <c r="O3811" s="211" t="b">
        <f>IFERROR(__xludf.DUMMYFUNCTION("""COMPUTED_VALUE"""),FALSE)</f>
        <v>0</v>
      </c>
    </row>
    <row r="3812">
      <c r="A3812" s="210" t="str">
        <f>IFERROR(__xludf.DUMMYFUNCTION("""COMPUTED_VALUE"""),"0226252628")</f>
        <v>0226252628</v>
      </c>
      <c r="B3812" s="210" t="str">
        <f>IFERROR(__xludf.DUMMYFUNCTION("""COMPUTED_VALUE"""),"0226252628")</f>
        <v>0226252628</v>
      </c>
      <c r="C3812" s="213">
        <f>IFERROR(__xludf.DUMMYFUNCTION("""COMPUTED_VALUE"""),46076.3765162037)</f>
        <v>46076.37652</v>
      </c>
      <c r="D3812" s="211" t="str">
        <f>IFERROR(__xludf.DUMMYFUNCTION("""COMPUTED_VALUE"""),"4ec68cf6")</f>
        <v>4ec68cf6</v>
      </c>
      <c r="E3812" s="211" t="str">
        <f>IFERROR(__xludf.DUMMYFUNCTION("""COMPUTED_VALUE"""),"CV Sido Mukti Karya")</f>
        <v>CV Sido Mukti Karya</v>
      </c>
      <c r="F3812" s="211" t="str">
        <f>IFERROR(__xludf.DUMMYFUNCTION("""COMPUTED_VALUE"""),"8bdbe149")</f>
        <v>8bdbe149</v>
      </c>
      <c r="G3812" s="211" t="str">
        <f>IFERROR(__xludf.DUMMYFUNCTION("""COMPUTED_VALUE"""),"Oksigen 6m3")</f>
        <v>Oksigen 6m3</v>
      </c>
      <c r="H3812" s="211" t="str">
        <f>IFERROR(__xludf.DUMMYFUNCTION("""COMPUTED_VALUE"""),"OUT")</f>
        <v>OUT</v>
      </c>
      <c r="I3812" s="211" t="str">
        <f>IFERROR(__xludf.DUMMYFUNCTION("""COMPUTED_VALUE"""),"NORMAL")</f>
        <v>NORMAL</v>
      </c>
      <c r="J3812" s="211">
        <f>IFERROR(__xludf.DUMMYFUNCTION("""COMPUTED_VALUE"""),2.0)</f>
        <v>2</v>
      </c>
      <c r="K3812" s="210" t="str">
        <f>IFERROR(__xludf.DUMMYFUNCTION("""COMPUTED_VALUE"""),"1153 11316")</f>
        <v>1153 11316</v>
      </c>
      <c r="L3812" s="211">
        <f>IFERROR(__xludf.DUMMYFUNCTION("""COMPUTED_VALUE"""),60000.0)</f>
        <v>60000</v>
      </c>
      <c r="M3812" s="211"/>
      <c r="N3812" s="211"/>
      <c r="O3812" s="211" t="b">
        <f>IFERROR(__xludf.DUMMYFUNCTION("""COMPUTED_VALUE"""),FALSE)</f>
        <v>0</v>
      </c>
    </row>
    <row r="3813">
      <c r="A3813" s="210" t="str">
        <f>IFERROR(__xludf.DUMMYFUNCTION("""COMPUTED_VALUE"""),"0226252628")</f>
        <v>0226252628</v>
      </c>
      <c r="B3813" s="210" t="str">
        <f>IFERROR(__xludf.DUMMYFUNCTION("""COMPUTED_VALUE"""),"0226252628")</f>
        <v>0226252628</v>
      </c>
      <c r="C3813" s="213">
        <f>IFERROR(__xludf.DUMMYFUNCTION("""COMPUTED_VALUE"""),46076.3765162037)</f>
        <v>46076.37652</v>
      </c>
      <c r="D3813" s="211" t="str">
        <f>IFERROR(__xludf.DUMMYFUNCTION("""COMPUTED_VALUE"""),"4ec68cf6")</f>
        <v>4ec68cf6</v>
      </c>
      <c r="E3813" s="211" t="str">
        <f>IFERROR(__xludf.DUMMYFUNCTION("""COMPUTED_VALUE"""),"CV Sido Mukti Karya")</f>
        <v>CV Sido Mukti Karya</v>
      </c>
      <c r="F3813" s="211" t="str">
        <f>IFERROR(__xludf.DUMMYFUNCTION("""COMPUTED_VALUE"""),"ef306e54")</f>
        <v>ef306e54</v>
      </c>
      <c r="G3813" s="211" t="str">
        <f>IFERROR(__xludf.DUMMYFUNCTION("""COMPUTED_VALUE"""),"Karbondioksida")</f>
        <v>Karbondioksida</v>
      </c>
      <c r="H3813" s="211" t="str">
        <f>IFERROR(__xludf.DUMMYFUNCTION("""COMPUTED_VALUE"""),"OUT")</f>
        <v>OUT</v>
      </c>
      <c r="I3813" s="211" t="str">
        <f>IFERROR(__xludf.DUMMYFUNCTION("""COMPUTED_VALUE"""),"NORMAL")</f>
        <v>NORMAL</v>
      </c>
      <c r="J3813" s="211">
        <f>IFERROR(__xludf.DUMMYFUNCTION("""COMPUTED_VALUE"""),4.0)</f>
        <v>4</v>
      </c>
      <c r="K3813" s="210" t="str">
        <f>IFERROR(__xludf.DUMMYFUNCTION("""COMPUTED_VALUE"""),"13005 13008 13072 13073")</f>
        <v>13005 13008 13072 13073</v>
      </c>
      <c r="L3813" s="211">
        <f>IFERROR(__xludf.DUMMYFUNCTION("""COMPUTED_VALUE"""),180000.0)</f>
        <v>180000</v>
      </c>
      <c r="M3813" s="211"/>
      <c r="N3813" s="211"/>
      <c r="O3813" s="211" t="b">
        <f>IFERROR(__xludf.DUMMYFUNCTION("""COMPUTED_VALUE"""),FALSE)</f>
        <v>0</v>
      </c>
    </row>
    <row r="3814">
      <c r="A3814" s="210" t="str">
        <f>IFERROR(__xludf.DUMMYFUNCTION("""COMPUTED_VALUE"""),"0226122635")</f>
        <v>0226122635</v>
      </c>
      <c r="B3814" s="210" t="str">
        <f>IFERROR(__xludf.DUMMYFUNCTION("""COMPUTED_VALUE"""),"0226122635")</f>
        <v>0226122635</v>
      </c>
      <c r="C3814" s="213">
        <f>IFERROR(__xludf.DUMMYFUNCTION("""COMPUTED_VALUE"""),46076.381747685184)</f>
        <v>46076.38175</v>
      </c>
      <c r="D3814" s="211" t="str">
        <f>IFERROR(__xludf.DUMMYFUNCTION("""COMPUTED_VALUE"""),"440df1db")</f>
        <v>440df1db</v>
      </c>
      <c r="E3814" s="211" t="str">
        <f>IFERROR(__xludf.DUMMYFUNCTION("""COMPUTED_VALUE"""),"PT. Mecca Abadi Sejahtera")</f>
        <v>PT. Mecca Abadi Sejahtera</v>
      </c>
      <c r="F3814" s="211" t="str">
        <f>IFERROR(__xludf.DUMMYFUNCTION("""COMPUTED_VALUE"""),"ef306e54")</f>
        <v>ef306e54</v>
      </c>
      <c r="G3814" s="211" t="str">
        <f>IFERROR(__xludf.DUMMYFUNCTION("""COMPUTED_VALUE"""),"Karbondioksida")</f>
        <v>Karbondioksida</v>
      </c>
      <c r="H3814" s="211" t="str">
        <f>IFERROR(__xludf.DUMMYFUNCTION("""COMPUTED_VALUE"""),"OUT")</f>
        <v>OUT</v>
      </c>
      <c r="I3814" s="211" t="str">
        <f>IFERROR(__xludf.DUMMYFUNCTION("""COMPUTED_VALUE"""),"NORMAL")</f>
        <v>NORMAL</v>
      </c>
      <c r="J3814" s="211">
        <f>IFERROR(__xludf.DUMMYFUNCTION("""COMPUTED_VALUE"""),6.0)</f>
        <v>6</v>
      </c>
      <c r="K3814" s="210" t="str">
        <f>IFERROR(__xludf.DUMMYFUNCTION("""COMPUTED_VALUE"""),"13026 13039 13045 13049 13055 13068")</f>
        <v>13026 13039 13045 13049 13055 13068</v>
      </c>
      <c r="L3814" s="211">
        <f>IFERROR(__xludf.DUMMYFUNCTION("""COMPUTED_VALUE"""),190000.0)</f>
        <v>190000</v>
      </c>
      <c r="M3814" s="211"/>
      <c r="N3814" s="211"/>
      <c r="O3814" s="211" t="b">
        <f>IFERROR(__xludf.DUMMYFUNCTION("""COMPUTED_VALUE"""),FALSE)</f>
        <v>0</v>
      </c>
    </row>
    <row r="3815">
      <c r="A3815" s="210" t="str">
        <f>IFERROR(__xludf.DUMMYFUNCTION("""COMPUTED_VALUE"""),"1261282")</f>
        <v>1261282</v>
      </c>
      <c r="B3815" s="210" t="str">
        <f>IFERROR(__xludf.DUMMYFUNCTION("""COMPUTED_VALUE"""),"1261282")</f>
        <v>1261282</v>
      </c>
      <c r="C3815" s="213">
        <f>IFERROR(__xludf.DUMMYFUNCTION("""COMPUTED_VALUE"""),46076.404641203706)</f>
        <v>46076.40464</v>
      </c>
      <c r="D3815" s="211" t="str">
        <f>IFERROR(__xludf.DUMMYFUNCTION("""COMPUTED_VALUE"""),"4ec68cf6")</f>
        <v>4ec68cf6</v>
      </c>
      <c r="E3815" s="211" t="str">
        <f>IFERROR(__xludf.DUMMYFUNCTION("""COMPUTED_VALUE"""),"CV Sido Mukti Karya")</f>
        <v>CV Sido Mukti Karya</v>
      </c>
      <c r="F3815" s="211" t="str">
        <f>IFERROR(__xludf.DUMMYFUNCTION("""COMPUTED_VALUE"""),"8bdbe149")</f>
        <v>8bdbe149</v>
      </c>
      <c r="G3815" s="211" t="str">
        <f>IFERROR(__xludf.DUMMYFUNCTION("""COMPUTED_VALUE"""),"Oksigen 6m3")</f>
        <v>Oksigen 6m3</v>
      </c>
      <c r="H3815" s="211" t="str">
        <f>IFERROR(__xludf.DUMMYFUNCTION("""COMPUTED_VALUE"""),"IN")</f>
        <v>IN</v>
      </c>
      <c r="I3815" s="211" t="str">
        <f>IFERROR(__xludf.DUMMYFUNCTION("""COMPUTED_VALUE"""),"EMPTY")</f>
        <v>EMPTY</v>
      </c>
      <c r="J3815" s="211">
        <f>IFERROR(__xludf.DUMMYFUNCTION("""COMPUTED_VALUE"""),1.0)</f>
        <v>1</v>
      </c>
      <c r="K3815" s="210" t="str">
        <f>IFERROR(__xludf.DUMMYFUNCTION("""COMPUTED_VALUE"""),"1169")</f>
        <v>1169</v>
      </c>
      <c r="L3815" s="211">
        <f>IFERROR(__xludf.DUMMYFUNCTION("""COMPUTED_VALUE"""),0.0)</f>
        <v>0</v>
      </c>
      <c r="M3815" s="211"/>
      <c r="N3815" s="211"/>
      <c r="O3815" s="211" t="b">
        <f>IFERROR(__xludf.DUMMYFUNCTION("""COMPUTED_VALUE"""),FALSE)</f>
        <v>0</v>
      </c>
    </row>
    <row r="3816">
      <c r="A3816" s="210" t="str">
        <f>IFERROR(__xludf.DUMMYFUNCTION("""COMPUTED_VALUE"""),"1261282")</f>
        <v>1261282</v>
      </c>
      <c r="B3816" s="210" t="str">
        <f>IFERROR(__xludf.DUMMYFUNCTION("""COMPUTED_VALUE"""),"1261282")</f>
        <v>1261282</v>
      </c>
      <c r="C3816" s="213">
        <f>IFERROR(__xludf.DUMMYFUNCTION("""COMPUTED_VALUE"""),46076.404641203706)</f>
        <v>46076.40464</v>
      </c>
      <c r="D3816" s="211" t="str">
        <f>IFERROR(__xludf.DUMMYFUNCTION("""COMPUTED_VALUE"""),"4ec68cf6")</f>
        <v>4ec68cf6</v>
      </c>
      <c r="E3816" s="211" t="str">
        <f>IFERROR(__xludf.DUMMYFUNCTION("""COMPUTED_VALUE"""),"CV Sido Mukti Karya")</f>
        <v>CV Sido Mukti Karya</v>
      </c>
      <c r="F3816" s="211" t="str">
        <f>IFERROR(__xludf.DUMMYFUNCTION("""COMPUTED_VALUE"""),"ef306e54")</f>
        <v>ef306e54</v>
      </c>
      <c r="G3816" s="211" t="str">
        <f>IFERROR(__xludf.DUMMYFUNCTION("""COMPUTED_VALUE"""),"Karbondioksida")</f>
        <v>Karbondioksida</v>
      </c>
      <c r="H3816" s="211" t="str">
        <f>IFERROR(__xludf.DUMMYFUNCTION("""COMPUTED_VALUE"""),"IN")</f>
        <v>IN</v>
      </c>
      <c r="I3816" s="211" t="str">
        <f>IFERROR(__xludf.DUMMYFUNCTION("""COMPUTED_VALUE"""),"EMPTY")</f>
        <v>EMPTY</v>
      </c>
      <c r="J3816" s="211">
        <f>IFERROR(__xludf.DUMMYFUNCTION("""COMPUTED_VALUE"""),3.0)</f>
        <v>3</v>
      </c>
      <c r="K3816" s="210" t="str">
        <f>IFERROR(__xludf.DUMMYFUNCTION("""COMPUTED_VALUE"""),"13004 13007 13038")</f>
        <v>13004 13007 13038</v>
      </c>
      <c r="L3816" s="211">
        <f>IFERROR(__xludf.DUMMYFUNCTION("""COMPUTED_VALUE"""),0.0)</f>
        <v>0</v>
      </c>
      <c r="M3816" s="211"/>
      <c r="N3816" s="211"/>
      <c r="O3816" s="211" t="b">
        <f>IFERROR(__xludf.DUMMYFUNCTION("""COMPUTED_VALUE"""),FALSE)</f>
        <v>0</v>
      </c>
    </row>
    <row r="3817">
      <c r="A3817" s="210" t="str">
        <f>IFERROR(__xludf.DUMMYFUNCTION("""COMPUTED_VALUE"""),"1261283")</f>
        <v>1261283</v>
      </c>
      <c r="B3817" s="210" t="str">
        <f>IFERROR(__xludf.DUMMYFUNCTION("""COMPUTED_VALUE"""),"1261283")</f>
        <v>1261283</v>
      </c>
      <c r="C3817" s="213">
        <f>IFERROR(__xludf.DUMMYFUNCTION("""COMPUTED_VALUE"""),46076.40516203704)</f>
        <v>46076.40516</v>
      </c>
      <c r="D3817" s="211" t="str">
        <f>IFERROR(__xludf.DUMMYFUNCTION("""COMPUTED_VALUE"""),"17a8e612")</f>
        <v>17a8e612</v>
      </c>
      <c r="E3817" s="211" t="str">
        <f>IFERROR(__xludf.DUMMYFUNCTION("""COMPUTED_VALUE"""),"Flashtech Machinery")</f>
        <v>Flashtech Machinery</v>
      </c>
      <c r="F3817" s="211" t="str">
        <f>IFERROR(__xludf.DUMMYFUNCTION("""COMPUTED_VALUE"""),"66af7c72")</f>
        <v>66af7c72</v>
      </c>
      <c r="G3817" s="211" t="str">
        <f>IFERROR(__xludf.DUMMYFUNCTION("""COMPUTED_VALUE"""),"Argon 6m3")</f>
        <v>Argon 6m3</v>
      </c>
      <c r="H3817" s="211" t="str">
        <f>IFERROR(__xludf.DUMMYFUNCTION("""COMPUTED_VALUE"""),"IN")</f>
        <v>IN</v>
      </c>
      <c r="I3817" s="211" t="str">
        <f>IFERROR(__xludf.DUMMYFUNCTION("""COMPUTED_VALUE"""),"EMPTY")</f>
        <v>EMPTY</v>
      </c>
      <c r="J3817" s="211">
        <f>IFERROR(__xludf.DUMMYFUNCTION("""COMPUTED_VALUE"""),1.0)</f>
        <v>1</v>
      </c>
      <c r="K3817" s="210" t="str">
        <f>IFERROR(__xludf.DUMMYFUNCTION("""COMPUTED_VALUE"""),"12003")</f>
        <v>12003</v>
      </c>
      <c r="L3817" s="211">
        <f>IFERROR(__xludf.DUMMYFUNCTION("""COMPUTED_VALUE"""),0.0)</f>
        <v>0</v>
      </c>
      <c r="M3817" s="211"/>
      <c r="N3817" s="211"/>
      <c r="O3817" s="211" t="b">
        <f>IFERROR(__xludf.DUMMYFUNCTION("""COMPUTED_VALUE"""),FALSE)</f>
        <v>0</v>
      </c>
    </row>
    <row r="3818">
      <c r="A3818" s="210" t="str">
        <f>IFERROR(__xludf.DUMMYFUNCTION("""COMPUTED_VALUE"""),"1261283")</f>
        <v>1261283</v>
      </c>
      <c r="B3818" s="210" t="str">
        <f>IFERROR(__xludf.DUMMYFUNCTION("""COMPUTED_VALUE"""),"1261283")</f>
        <v>1261283</v>
      </c>
      <c r="C3818" s="213">
        <f>IFERROR(__xludf.DUMMYFUNCTION("""COMPUTED_VALUE"""),46076.40516203704)</f>
        <v>46076.40516</v>
      </c>
      <c r="D3818" s="211" t="str">
        <f>IFERROR(__xludf.DUMMYFUNCTION("""COMPUTED_VALUE"""),"17a8e612")</f>
        <v>17a8e612</v>
      </c>
      <c r="E3818" s="211" t="str">
        <f>IFERROR(__xludf.DUMMYFUNCTION("""COMPUTED_VALUE"""),"Flashtech Machinery")</f>
        <v>Flashtech Machinery</v>
      </c>
      <c r="F3818" s="211" t="str">
        <f>IFERROR(__xludf.DUMMYFUNCTION("""COMPUTED_VALUE"""),"66af7c72")</f>
        <v>66af7c72</v>
      </c>
      <c r="G3818" s="211" t="str">
        <f>IFERROR(__xludf.DUMMYFUNCTION("""COMPUTED_VALUE"""),"Argon 6m3")</f>
        <v>Argon 6m3</v>
      </c>
      <c r="H3818" s="211" t="str">
        <f>IFERROR(__xludf.DUMMYFUNCTION("""COMPUTED_VALUE"""),"IN")</f>
        <v>IN</v>
      </c>
      <c r="I3818" s="211" t="str">
        <f>IFERROR(__xludf.DUMMYFUNCTION("""COMPUTED_VALUE"""),"EMPTY")</f>
        <v>EMPTY</v>
      </c>
      <c r="J3818" s="211">
        <f>IFERROR(__xludf.DUMMYFUNCTION("""COMPUTED_VALUE"""),1.0)</f>
        <v>1</v>
      </c>
      <c r="K3818" s="210" t="str">
        <f>IFERROR(__xludf.DUMMYFUNCTION("""COMPUTED_VALUE"""),"12042")</f>
        <v>12042</v>
      </c>
      <c r="L3818" s="211">
        <f>IFERROR(__xludf.DUMMYFUNCTION("""COMPUTED_VALUE"""),0.0)</f>
        <v>0</v>
      </c>
      <c r="M3818" s="211"/>
      <c r="N3818" s="211"/>
      <c r="O3818" s="211" t="b">
        <f>IFERROR(__xludf.DUMMYFUNCTION("""COMPUTED_VALUE"""),TRUE)</f>
        <v>1</v>
      </c>
    </row>
    <row r="3819">
      <c r="A3819" s="210" t="str">
        <f>IFERROR(__xludf.DUMMYFUNCTION("""COMPUTED_VALUE"""),"1261292")</f>
        <v>1261292</v>
      </c>
      <c r="B3819" s="210" t="str">
        <f>IFERROR(__xludf.DUMMYFUNCTION("""COMPUTED_VALUE"""),"1261292")</f>
        <v>1261292</v>
      </c>
      <c r="C3819" s="213">
        <f>IFERROR(__xludf.DUMMYFUNCTION("""COMPUTED_VALUE"""),46076.45712962963)</f>
        <v>46076.45713</v>
      </c>
      <c r="D3819" s="211" t="str">
        <f>IFERROR(__xludf.DUMMYFUNCTION("""COMPUTED_VALUE"""),"440df1db")</f>
        <v>440df1db</v>
      </c>
      <c r="E3819" s="211" t="str">
        <f>IFERROR(__xludf.DUMMYFUNCTION("""COMPUTED_VALUE"""),"PT. Mecca Abadi Sejahtera")</f>
        <v>PT. Mecca Abadi Sejahtera</v>
      </c>
      <c r="F3819" s="211" t="str">
        <f>IFERROR(__xludf.DUMMYFUNCTION("""COMPUTED_VALUE"""),"ef306e54")</f>
        <v>ef306e54</v>
      </c>
      <c r="G3819" s="211" t="str">
        <f>IFERROR(__xludf.DUMMYFUNCTION("""COMPUTED_VALUE"""),"Karbondioksida")</f>
        <v>Karbondioksida</v>
      </c>
      <c r="H3819" s="211" t="str">
        <f>IFERROR(__xludf.DUMMYFUNCTION("""COMPUTED_VALUE"""),"IN")</f>
        <v>IN</v>
      </c>
      <c r="I3819" s="211" t="str">
        <f>IFERROR(__xludf.DUMMYFUNCTION("""COMPUTED_VALUE"""),"EMPTY")</f>
        <v>EMPTY</v>
      </c>
      <c r="J3819" s="211">
        <f>IFERROR(__xludf.DUMMYFUNCTION("""COMPUTED_VALUE"""),1.0)</f>
        <v>1</v>
      </c>
      <c r="K3819" s="210" t="str">
        <f>IFERROR(__xludf.DUMMYFUNCTION("""COMPUTED_VALUE"""),"13050")</f>
        <v>13050</v>
      </c>
      <c r="L3819" s="211">
        <f>IFERROR(__xludf.DUMMYFUNCTION("""COMPUTED_VALUE"""),0.0)</f>
        <v>0</v>
      </c>
      <c r="M3819" s="211"/>
      <c r="N3819" s="211"/>
      <c r="O3819" s="211" t="b">
        <f>IFERROR(__xludf.DUMMYFUNCTION("""COMPUTED_VALUE"""),FALSE)</f>
        <v>0</v>
      </c>
    </row>
    <row r="3820">
      <c r="A3820" s="210" t="str">
        <f>IFERROR(__xludf.DUMMYFUNCTION("""COMPUTED_VALUE"""),"1261293")</f>
        <v>1261293</v>
      </c>
      <c r="B3820" s="210" t="str">
        <f>IFERROR(__xludf.DUMMYFUNCTION("""COMPUTED_VALUE"""),"1261293")</f>
        <v>1261293</v>
      </c>
      <c r="C3820" s="213">
        <f>IFERROR(__xludf.DUMMYFUNCTION("""COMPUTED_VALUE"""),46076.45744212963)</f>
        <v>46076.45744</v>
      </c>
      <c r="D3820" s="211" t="str">
        <f>IFERROR(__xludf.DUMMYFUNCTION("""COMPUTED_VALUE"""),"734c6d17")</f>
        <v>734c6d17</v>
      </c>
      <c r="E3820" s="211" t="str">
        <f>IFERROR(__xludf.DUMMYFUNCTION("""COMPUTED_VALUE"""),"Bapak Ainol Yaqin ( Bpk. Ibnu )")</f>
        <v>Bapak Ainol Yaqin ( Bpk. Ibnu )</v>
      </c>
      <c r="F3820" s="211" t="str">
        <f>IFERROR(__xludf.DUMMYFUNCTION("""COMPUTED_VALUE"""),"8bdbe149")</f>
        <v>8bdbe149</v>
      </c>
      <c r="G3820" s="211" t="str">
        <f>IFERROR(__xludf.DUMMYFUNCTION("""COMPUTED_VALUE"""),"Oksigen 6m3")</f>
        <v>Oksigen 6m3</v>
      </c>
      <c r="H3820" s="211" t="str">
        <f>IFERROR(__xludf.DUMMYFUNCTION("""COMPUTED_VALUE"""),"IN")</f>
        <v>IN</v>
      </c>
      <c r="I3820" s="211" t="str">
        <f>IFERROR(__xludf.DUMMYFUNCTION("""COMPUTED_VALUE"""),"EMPTY")</f>
        <v>EMPTY</v>
      </c>
      <c r="J3820" s="211">
        <f>IFERROR(__xludf.DUMMYFUNCTION("""COMPUTED_VALUE"""),1.0)</f>
        <v>1</v>
      </c>
      <c r="K3820" s="210" t="str">
        <f>IFERROR(__xludf.DUMMYFUNCTION("""COMPUTED_VALUE"""),"11323")</f>
        <v>11323</v>
      </c>
      <c r="L3820" s="211">
        <f>IFERROR(__xludf.DUMMYFUNCTION("""COMPUTED_VALUE"""),0.0)</f>
        <v>0</v>
      </c>
      <c r="M3820" s="211"/>
      <c r="N3820" s="211"/>
      <c r="O3820" s="211" t="b">
        <f>IFERROR(__xludf.DUMMYFUNCTION("""COMPUTED_VALUE"""),FALSE)</f>
        <v>0</v>
      </c>
    </row>
    <row r="3821">
      <c r="A3821" s="210" t="str">
        <f>IFERROR(__xludf.DUMMYFUNCTION("""COMPUTED_VALUE"""),"0226872636")</f>
        <v>0226872636</v>
      </c>
      <c r="B3821" s="210" t="str">
        <f>IFERROR(__xludf.DUMMYFUNCTION("""COMPUTED_VALUE"""),"0226872636")</f>
        <v>0226872636</v>
      </c>
      <c r="C3821" s="213">
        <f>IFERROR(__xludf.DUMMYFUNCTION("""COMPUTED_VALUE"""),46076.458020833335)</f>
        <v>46076.45802</v>
      </c>
      <c r="D3821" s="211" t="str">
        <f>IFERROR(__xludf.DUMMYFUNCTION("""COMPUTED_VALUE"""),"b2b5f2c5")</f>
        <v>b2b5f2c5</v>
      </c>
      <c r="E3821" s="211" t="str">
        <f>IFERROR(__xludf.DUMMYFUNCTION("""COMPUTED_VALUE"""),"Bengkel Las Bpk. Ari")</f>
        <v>Bengkel Las Bpk. Ari</v>
      </c>
      <c r="F3821" s="211" t="str">
        <f>IFERROR(__xludf.DUMMYFUNCTION("""COMPUTED_VALUE"""),"8bdbe149")</f>
        <v>8bdbe149</v>
      </c>
      <c r="G3821" s="211" t="str">
        <f>IFERROR(__xludf.DUMMYFUNCTION("""COMPUTED_VALUE"""),"Oksigen 6m3")</f>
        <v>Oksigen 6m3</v>
      </c>
      <c r="H3821" s="211" t="str">
        <f>IFERROR(__xludf.DUMMYFUNCTION("""COMPUTED_VALUE"""),"OUT")</f>
        <v>OUT</v>
      </c>
      <c r="I3821" s="211" t="str">
        <f>IFERROR(__xludf.DUMMYFUNCTION("""COMPUTED_VALUE"""),"NORMAL")</f>
        <v>NORMAL</v>
      </c>
      <c r="J3821" s="211">
        <f>IFERROR(__xludf.DUMMYFUNCTION("""COMPUTED_VALUE"""),4.0)</f>
        <v>4</v>
      </c>
      <c r="K3821" s="210" t="str">
        <f>IFERROR(__xludf.DUMMYFUNCTION("""COMPUTED_VALUE"""),"11272 11201 11107 1173")</f>
        <v>11272 11201 11107 1173</v>
      </c>
      <c r="L3821" s="211">
        <f>IFERROR(__xludf.DUMMYFUNCTION("""COMPUTED_VALUE"""),60000.0)</f>
        <v>60000</v>
      </c>
      <c r="M3821" s="211"/>
      <c r="N3821" s="211"/>
      <c r="O3821" s="211" t="b">
        <f>IFERROR(__xludf.DUMMYFUNCTION("""COMPUTED_VALUE"""),FALSE)</f>
        <v>0</v>
      </c>
    </row>
    <row r="3822">
      <c r="A3822" s="210" t="str">
        <f>IFERROR(__xludf.DUMMYFUNCTION("""COMPUTED_VALUE"""),"0226122641")</f>
        <v>0226122641</v>
      </c>
      <c r="B3822" s="210" t="str">
        <f>IFERROR(__xludf.DUMMYFUNCTION("""COMPUTED_VALUE"""),"0226122641")</f>
        <v>0226122641</v>
      </c>
      <c r="C3822" s="213">
        <f>IFERROR(__xludf.DUMMYFUNCTION("""COMPUTED_VALUE"""),46076.458333333336)</f>
        <v>46076.45833</v>
      </c>
      <c r="D3822" s="211" t="str">
        <f>IFERROR(__xludf.DUMMYFUNCTION("""COMPUTED_VALUE"""),"ba97d58d")</f>
        <v>ba97d58d</v>
      </c>
      <c r="E3822" s="211" t="str">
        <f>IFERROR(__xludf.DUMMYFUNCTION("""COMPUTED_VALUE"""),"Bengkel Citra Mojosari")</f>
        <v>Bengkel Citra Mojosari</v>
      </c>
      <c r="F3822" s="211" t="str">
        <f>IFERROR(__xludf.DUMMYFUNCTION("""COMPUTED_VALUE"""),"8bdbe149")</f>
        <v>8bdbe149</v>
      </c>
      <c r="G3822" s="211" t="str">
        <f>IFERROR(__xludf.DUMMYFUNCTION("""COMPUTED_VALUE"""),"Oksigen 6m3")</f>
        <v>Oksigen 6m3</v>
      </c>
      <c r="H3822" s="211" t="str">
        <f>IFERROR(__xludf.DUMMYFUNCTION("""COMPUTED_VALUE"""),"OUT")</f>
        <v>OUT</v>
      </c>
      <c r="I3822" s="211" t="str">
        <f>IFERROR(__xludf.DUMMYFUNCTION("""COMPUTED_VALUE"""),"NORMAL")</f>
        <v>NORMAL</v>
      </c>
      <c r="J3822" s="211">
        <f>IFERROR(__xludf.DUMMYFUNCTION("""COMPUTED_VALUE"""),2.0)</f>
        <v>2</v>
      </c>
      <c r="K3822" s="210" t="str">
        <f>IFERROR(__xludf.DUMMYFUNCTION("""COMPUTED_VALUE"""),"11323 11126")</f>
        <v>11323 11126</v>
      </c>
      <c r="L3822" s="211">
        <f>IFERROR(__xludf.DUMMYFUNCTION("""COMPUTED_VALUE"""),65000.0)</f>
        <v>65000</v>
      </c>
      <c r="M3822" s="211"/>
      <c r="N3822" s="211"/>
      <c r="O3822" s="211" t="b">
        <f>IFERROR(__xludf.DUMMYFUNCTION("""COMPUTED_VALUE"""),FALSE)</f>
        <v>0</v>
      </c>
    </row>
    <row r="3823">
      <c r="A3823" s="210" t="str">
        <f>IFERROR(__xludf.DUMMYFUNCTION("""COMPUTED_VALUE"""),"1261285")</f>
        <v>1261285</v>
      </c>
      <c r="B3823" s="210" t="str">
        <f>IFERROR(__xludf.DUMMYFUNCTION("""COMPUTED_VALUE"""),"1261285")</f>
        <v>1261285</v>
      </c>
      <c r="C3823" s="213">
        <f>IFERROR(__xludf.DUMMYFUNCTION("""COMPUTED_VALUE"""),46076.49717592593)</f>
        <v>46076.49718</v>
      </c>
      <c r="D3823" s="211" t="str">
        <f>IFERROR(__xludf.DUMMYFUNCTION("""COMPUTED_VALUE"""),"63fc688a")</f>
        <v>63fc688a</v>
      </c>
      <c r="E3823" s="211" t="str">
        <f>IFERROR(__xludf.DUMMYFUNCTION("""COMPUTED_VALUE"""),"CV Malik Nusantara")</f>
        <v>CV Malik Nusantara</v>
      </c>
      <c r="F3823" s="211" t="str">
        <f>IFERROR(__xludf.DUMMYFUNCTION("""COMPUTED_VALUE"""),"8bdbe149")</f>
        <v>8bdbe149</v>
      </c>
      <c r="G3823" s="211" t="str">
        <f>IFERROR(__xludf.DUMMYFUNCTION("""COMPUTED_VALUE"""),"Oksigen 6m3")</f>
        <v>Oksigen 6m3</v>
      </c>
      <c r="H3823" s="211" t="str">
        <f>IFERROR(__xludf.DUMMYFUNCTION("""COMPUTED_VALUE"""),"IN")</f>
        <v>IN</v>
      </c>
      <c r="I3823" s="211" t="str">
        <f>IFERROR(__xludf.DUMMYFUNCTION("""COMPUTED_VALUE"""),"EMPTY")</f>
        <v>EMPTY</v>
      </c>
      <c r="J3823" s="211">
        <f>IFERROR(__xludf.DUMMYFUNCTION("""COMPUTED_VALUE"""),6.0)</f>
        <v>6</v>
      </c>
      <c r="K3823" s="210" t="str">
        <f>IFERROR(__xludf.DUMMYFUNCTION("""COMPUTED_VALUE"""),"11267 11256 11248 11315 11128 11231")</f>
        <v>11267 11256 11248 11315 11128 11231</v>
      </c>
      <c r="L3823" s="211">
        <f>IFERROR(__xludf.DUMMYFUNCTION("""COMPUTED_VALUE"""),0.0)</f>
        <v>0</v>
      </c>
      <c r="M3823" s="211"/>
      <c r="N3823" s="211"/>
      <c r="O3823" s="211" t="b">
        <f>IFERROR(__xludf.DUMMYFUNCTION("""COMPUTED_VALUE"""),FALSE)</f>
        <v>0</v>
      </c>
    </row>
    <row r="3824">
      <c r="A3824" s="210" t="str">
        <f>IFERROR(__xludf.DUMMYFUNCTION("""COMPUTED_VALUE"""),"1261284")</f>
        <v>1261284</v>
      </c>
      <c r="B3824" s="210" t="str">
        <f>IFERROR(__xludf.DUMMYFUNCTION("""COMPUTED_VALUE"""),"1261284")</f>
        <v>1261284</v>
      </c>
      <c r="C3824" s="213">
        <f>IFERROR(__xludf.DUMMYFUNCTION("""COMPUTED_VALUE"""),46076.49798611111)</f>
        <v>46076.49799</v>
      </c>
      <c r="D3824" s="211" t="str">
        <f>IFERROR(__xludf.DUMMYFUNCTION("""COMPUTED_VALUE"""),"2d88931c")</f>
        <v>2d88931c</v>
      </c>
      <c r="E3824" s="211" t="str">
        <f>IFERROR(__xludf.DUMMYFUNCTION("""COMPUTED_VALUE"""),"PT Dunia Berkat Marga Mulya")</f>
        <v>PT Dunia Berkat Marga Mulya</v>
      </c>
      <c r="F3824" s="211" t="str">
        <f>IFERROR(__xludf.DUMMYFUNCTION("""COMPUTED_VALUE"""),"8bdbe149")</f>
        <v>8bdbe149</v>
      </c>
      <c r="G3824" s="211" t="str">
        <f>IFERROR(__xludf.DUMMYFUNCTION("""COMPUTED_VALUE"""),"Oksigen 6m3")</f>
        <v>Oksigen 6m3</v>
      </c>
      <c r="H3824" s="211" t="str">
        <f>IFERROR(__xludf.DUMMYFUNCTION("""COMPUTED_VALUE"""),"IN")</f>
        <v>IN</v>
      </c>
      <c r="I3824" s="211" t="str">
        <f>IFERROR(__xludf.DUMMYFUNCTION("""COMPUTED_VALUE"""),"EMPTY")</f>
        <v>EMPTY</v>
      </c>
      <c r="J3824" s="211">
        <f>IFERROR(__xludf.DUMMYFUNCTION("""COMPUTED_VALUE"""),3.0)</f>
        <v>3</v>
      </c>
      <c r="K3824" s="210" t="str">
        <f>IFERROR(__xludf.DUMMYFUNCTION("""COMPUTED_VALUE"""),"11276 11187 1190")</f>
        <v>11276 11187 1190</v>
      </c>
      <c r="L3824" s="211">
        <f>IFERROR(__xludf.DUMMYFUNCTION("""COMPUTED_VALUE"""),0.0)</f>
        <v>0</v>
      </c>
      <c r="M3824" s="211"/>
      <c r="N3824" s="211"/>
      <c r="O3824" s="211" t="b">
        <f>IFERROR(__xludf.DUMMYFUNCTION("""COMPUTED_VALUE"""),FALSE)</f>
        <v>0</v>
      </c>
    </row>
    <row r="3825">
      <c r="A3825" s="210" t="str">
        <f>IFERROR(__xludf.DUMMYFUNCTION("""COMPUTED_VALUE"""),"0226122642")</f>
        <v>0226122642</v>
      </c>
      <c r="B3825" s="210" t="str">
        <f>IFERROR(__xludf.DUMMYFUNCTION("""COMPUTED_VALUE"""),"0226122642")</f>
        <v>0226122642</v>
      </c>
      <c r="C3825" s="213">
        <f>IFERROR(__xludf.DUMMYFUNCTION("""COMPUTED_VALUE"""),46076.499375)</f>
        <v>46076.49938</v>
      </c>
      <c r="D3825" s="211" t="str">
        <f>IFERROR(__xludf.DUMMYFUNCTION("""COMPUTED_VALUE"""),"03ff52db")</f>
        <v>03ff52db</v>
      </c>
      <c r="E3825" s="211" t="str">
        <f>IFERROR(__xludf.DUMMYFUNCTION("""COMPUTED_VALUE"""),"Aneka Teknik Logam")</f>
        <v>Aneka Teknik Logam</v>
      </c>
      <c r="F3825" s="211" t="str">
        <f>IFERROR(__xludf.DUMMYFUNCTION("""COMPUTED_VALUE"""),"8bdbe149")</f>
        <v>8bdbe149</v>
      </c>
      <c r="G3825" s="211" t="str">
        <f>IFERROR(__xludf.DUMMYFUNCTION("""COMPUTED_VALUE"""),"Oksigen 6m3")</f>
        <v>Oksigen 6m3</v>
      </c>
      <c r="H3825" s="211" t="str">
        <f>IFERROR(__xludf.DUMMYFUNCTION("""COMPUTED_VALUE"""),"OUT")</f>
        <v>OUT</v>
      </c>
      <c r="I3825" s="211" t="str">
        <f>IFERROR(__xludf.DUMMYFUNCTION("""COMPUTED_VALUE"""),"NORMAL")</f>
        <v>NORMAL</v>
      </c>
      <c r="J3825" s="211">
        <f>IFERROR(__xludf.DUMMYFUNCTION("""COMPUTED_VALUE"""),1.0)</f>
        <v>1</v>
      </c>
      <c r="K3825" s="210" t="str">
        <f>IFERROR(__xludf.DUMMYFUNCTION("""COMPUTED_VALUE"""),"11278")</f>
        <v>11278</v>
      </c>
      <c r="L3825" s="211">
        <f>IFERROR(__xludf.DUMMYFUNCTION("""COMPUTED_VALUE"""),60000.0)</f>
        <v>60000</v>
      </c>
      <c r="M3825" s="211"/>
      <c r="N3825" s="211"/>
      <c r="O3825" s="211" t="b">
        <f>IFERROR(__xludf.DUMMYFUNCTION("""COMPUTED_VALUE"""),FALSE)</f>
        <v>0</v>
      </c>
    </row>
    <row r="3826">
      <c r="A3826" s="210" t="str">
        <f>IFERROR(__xludf.DUMMYFUNCTION("""COMPUTED_VALUE"""),"022692645")</f>
        <v>022692645</v>
      </c>
      <c r="B3826" s="210" t="str">
        <f>IFERROR(__xludf.DUMMYFUNCTION("""COMPUTED_VALUE"""),"022692645")</f>
        <v>022692645</v>
      </c>
      <c r="C3826" s="213">
        <f>IFERROR(__xludf.DUMMYFUNCTION("""COMPUTED_VALUE"""),46076.507210648146)</f>
        <v>46076.50721</v>
      </c>
      <c r="D3826" s="211" t="str">
        <f>IFERROR(__xludf.DUMMYFUNCTION("""COMPUTED_VALUE"""),"1d018c98")</f>
        <v>1d018c98</v>
      </c>
      <c r="E3826" s="211" t="str">
        <f>IFERROR(__xludf.DUMMYFUNCTION("""COMPUTED_VALUE"""),"Mbak Angel")</f>
        <v>Mbak Angel</v>
      </c>
      <c r="F3826" s="211" t="str">
        <f>IFERROR(__xludf.DUMMYFUNCTION("""COMPUTED_VALUE"""),"2690846b")</f>
        <v>2690846b</v>
      </c>
      <c r="G3826" s="211" t="str">
        <f>IFERROR(__xludf.DUMMYFUNCTION("""COMPUTED_VALUE"""),"Oksigen 1m3 MR")</f>
        <v>Oksigen 1m3 MR</v>
      </c>
      <c r="H3826" s="211" t="str">
        <f>IFERROR(__xludf.DUMMYFUNCTION("""COMPUTED_VALUE"""),"OUT")</f>
        <v>OUT</v>
      </c>
      <c r="I3826" s="211" t="str">
        <f>IFERROR(__xludf.DUMMYFUNCTION("""COMPUTED_VALUE"""),"NORMAL")</f>
        <v>NORMAL</v>
      </c>
      <c r="J3826" s="211">
        <f>IFERROR(__xludf.DUMMYFUNCTION("""COMPUTED_VALUE"""),1.0)</f>
        <v>1</v>
      </c>
      <c r="K3826" s="211"/>
      <c r="L3826" s="211">
        <f>IFERROR(__xludf.DUMMYFUNCTION("""COMPUTED_VALUE"""),50000.0)</f>
        <v>50000</v>
      </c>
      <c r="M3826" s="211"/>
      <c r="N3826" s="211"/>
      <c r="O3826" s="211" t="b">
        <f>IFERROR(__xludf.DUMMYFUNCTION("""COMPUTED_VALUE"""),FALSE)</f>
        <v>0</v>
      </c>
    </row>
    <row r="3827">
      <c r="A3827" s="210" t="str">
        <f>IFERROR(__xludf.DUMMYFUNCTION("""COMPUTED_VALUE"""),"1261295")</f>
        <v>1261295</v>
      </c>
      <c r="B3827" s="210" t="str">
        <f>IFERROR(__xludf.DUMMYFUNCTION("""COMPUTED_VALUE"""),"1261295")</f>
        <v>1261295</v>
      </c>
      <c r="C3827" s="213">
        <f>IFERROR(__xludf.DUMMYFUNCTION("""COMPUTED_VALUE"""),46076.66722222222)</f>
        <v>46076.66722</v>
      </c>
      <c r="D3827" s="211" t="str">
        <f>IFERROR(__xludf.DUMMYFUNCTION("""COMPUTED_VALUE"""),"b2b5f2c5")</f>
        <v>b2b5f2c5</v>
      </c>
      <c r="E3827" s="211" t="str">
        <f>IFERROR(__xludf.DUMMYFUNCTION("""COMPUTED_VALUE"""),"Bengkel Las Bpk. Ari")</f>
        <v>Bengkel Las Bpk. Ari</v>
      </c>
      <c r="F3827" s="211" t="str">
        <f>IFERROR(__xludf.DUMMYFUNCTION("""COMPUTED_VALUE"""),"8bdbe149")</f>
        <v>8bdbe149</v>
      </c>
      <c r="G3827" s="211" t="str">
        <f>IFERROR(__xludf.DUMMYFUNCTION("""COMPUTED_VALUE"""),"Oksigen 6m3")</f>
        <v>Oksigen 6m3</v>
      </c>
      <c r="H3827" s="211" t="str">
        <f>IFERROR(__xludf.DUMMYFUNCTION("""COMPUTED_VALUE"""),"IN")</f>
        <v>IN</v>
      </c>
      <c r="I3827" s="211" t="str">
        <f>IFERROR(__xludf.DUMMYFUNCTION("""COMPUTED_VALUE"""),"EMPTY")</f>
        <v>EMPTY</v>
      </c>
      <c r="J3827" s="211">
        <f>IFERROR(__xludf.DUMMYFUNCTION("""COMPUTED_VALUE"""),1.0)</f>
        <v>1</v>
      </c>
      <c r="K3827" s="210" t="str">
        <f>IFERROR(__xludf.DUMMYFUNCTION("""COMPUTED_VALUE"""),"11107")</f>
        <v>11107</v>
      </c>
      <c r="L3827" s="211">
        <f>IFERROR(__xludf.DUMMYFUNCTION("""COMPUTED_VALUE"""),0.0)</f>
        <v>0</v>
      </c>
      <c r="M3827" s="211"/>
      <c r="N3827" s="211"/>
      <c r="O3827" s="211" t="b">
        <f>IFERROR(__xludf.DUMMYFUNCTION("""COMPUTED_VALUE"""),FALSE)</f>
        <v>0</v>
      </c>
    </row>
    <row r="3828">
      <c r="A3828" s="210" t="str">
        <f>IFERROR(__xludf.DUMMYFUNCTION("""COMPUTED_VALUE"""),"1261294")</f>
        <v>1261294</v>
      </c>
      <c r="B3828" s="210" t="str">
        <f>IFERROR(__xludf.DUMMYFUNCTION("""COMPUTED_VALUE"""),"1261294")</f>
        <v>1261294</v>
      </c>
      <c r="C3828" s="213">
        <f>IFERROR(__xludf.DUMMYFUNCTION("""COMPUTED_VALUE"""),46076.66753472222)</f>
        <v>46076.66753</v>
      </c>
      <c r="D3828" s="211" t="str">
        <f>IFERROR(__xludf.DUMMYFUNCTION("""COMPUTED_VALUE"""),"03ff52db")</f>
        <v>03ff52db</v>
      </c>
      <c r="E3828" s="211" t="str">
        <f>IFERROR(__xludf.DUMMYFUNCTION("""COMPUTED_VALUE"""),"Aneka Teknik Logam")</f>
        <v>Aneka Teknik Logam</v>
      </c>
      <c r="F3828" s="211" t="str">
        <f>IFERROR(__xludf.DUMMYFUNCTION("""COMPUTED_VALUE"""),"8bdbe149")</f>
        <v>8bdbe149</v>
      </c>
      <c r="G3828" s="211" t="str">
        <f>IFERROR(__xludf.DUMMYFUNCTION("""COMPUTED_VALUE"""),"Oksigen 6m3")</f>
        <v>Oksigen 6m3</v>
      </c>
      <c r="H3828" s="211" t="str">
        <f>IFERROR(__xludf.DUMMYFUNCTION("""COMPUTED_VALUE"""),"IN")</f>
        <v>IN</v>
      </c>
      <c r="I3828" s="211" t="str">
        <f>IFERROR(__xludf.DUMMYFUNCTION("""COMPUTED_VALUE"""),"EMPTY")</f>
        <v>EMPTY</v>
      </c>
      <c r="J3828" s="211">
        <f>IFERROR(__xludf.DUMMYFUNCTION("""COMPUTED_VALUE"""),4.0)</f>
        <v>4</v>
      </c>
      <c r="K3828" s="210" t="str">
        <f>IFERROR(__xludf.DUMMYFUNCTION("""COMPUTED_VALUE"""),"11201 11126 11272 1173")</f>
        <v>11201 11126 11272 1173</v>
      </c>
      <c r="L3828" s="211">
        <f>IFERROR(__xludf.DUMMYFUNCTION("""COMPUTED_VALUE"""),0.0)</f>
        <v>0</v>
      </c>
      <c r="M3828" s="211"/>
      <c r="N3828" s="211"/>
      <c r="O3828" s="211" t="b">
        <f>IFERROR(__xludf.DUMMYFUNCTION("""COMPUTED_VALUE"""),FALSE)</f>
        <v>0</v>
      </c>
    </row>
    <row r="3829">
      <c r="A3829" s="210" t="str">
        <f>IFERROR(__xludf.DUMMYFUNCTION("""COMPUTED_VALUE"""),"1261294")</f>
        <v>1261294</v>
      </c>
      <c r="B3829" s="210" t="str">
        <f>IFERROR(__xludf.DUMMYFUNCTION("""COMPUTED_VALUE"""),"1261294")</f>
        <v>1261294</v>
      </c>
      <c r="C3829" s="213">
        <f>IFERROR(__xludf.DUMMYFUNCTION("""COMPUTED_VALUE"""),46076.66753472222)</f>
        <v>46076.66753</v>
      </c>
      <c r="D3829" s="211" t="str">
        <f>IFERROR(__xludf.DUMMYFUNCTION("""COMPUTED_VALUE"""),"03ff52db")</f>
        <v>03ff52db</v>
      </c>
      <c r="E3829" s="211" t="str">
        <f>IFERROR(__xludf.DUMMYFUNCTION("""COMPUTED_VALUE"""),"Aneka Teknik Logam")</f>
        <v>Aneka Teknik Logam</v>
      </c>
      <c r="F3829" s="211" t="str">
        <f>IFERROR(__xludf.DUMMYFUNCTION("""COMPUTED_VALUE"""),"f6aab7a9")</f>
        <v>f6aab7a9</v>
      </c>
      <c r="G3829" s="211" t="str">
        <f>IFERROR(__xludf.DUMMYFUNCTION("""COMPUTED_VALUE"""),"Oksigen 6m3 MR")</f>
        <v>Oksigen 6m3 MR</v>
      </c>
      <c r="H3829" s="211" t="str">
        <f>IFERROR(__xludf.DUMMYFUNCTION("""COMPUTED_VALUE"""),"IN")</f>
        <v>IN</v>
      </c>
      <c r="I3829" s="211" t="str">
        <f>IFERROR(__xludf.DUMMYFUNCTION("""COMPUTED_VALUE"""),"EMPTY")</f>
        <v>EMPTY</v>
      </c>
      <c r="J3829" s="211">
        <f>IFERROR(__xludf.DUMMYFUNCTION("""COMPUTED_VALUE"""),1.0)</f>
        <v>1</v>
      </c>
      <c r="K3829" s="211"/>
      <c r="L3829" s="211">
        <f>IFERROR(__xludf.DUMMYFUNCTION("""COMPUTED_VALUE"""),0.0)</f>
        <v>0</v>
      </c>
      <c r="M3829" s="211"/>
      <c r="N3829" s="211"/>
      <c r="O3829" s="211" t="b">
        <f>IFERROR(__xludf.DUMMYFUNCTION("""COMPUTED_VALUE"""),FALSE)</f>
        <v>0</v>
      </c>
    </row>
    <row r="3830">
      <c r="A3830" s="210" t="str">
        <f>IFERROR(__xludf.DUMMYFUNCTION("""COMPUTED_VALUE"""),"1261286")</f>
        <v>1261286</v>
      </c>
      <c r="B3830" s="210" t="str">
        <f>IFERROR(__xludf.DUMMYFUNCTION("""COMPUTED_VALUE"""),"1261286")</f>
        <v>1261286</v>
      </c>
      <c r="C3830" s="213">
        <f>IFERROR(__xludf.DUMMYFUNCTION("""COMPUTED_VALUE"""),46076.70144675926)</f>
        <v>46076.70145</v>
      </c>
      <c r="D3830" s="211" t="str">
        <f>IFERROR(__xludf.DUMMYFUNCTION("""COMPUTED_VALUE"""),"1d018c98")</f>
        <v>1d018c98</v>
      </c>
      <c r="E3830" s="211" t="str">
        <f>IFERROR(__xludf.DUMMYFUNCTION("""COMPUTED_VALUE"""),"Mbak Angel")</f>
        <v>Mbak Angel</v>
      </c>
      <c r="F3830" s="211" t="str">
        <f>IFERROR(__xludf.DUMMYFUNCTION("""COMPUTED_VALUE"""),"e8544a46")</f>
        <v>e8544a46</v>
      </c>
      <c r="G3830" s="211" t="str">
        <f>IFERROR(__xludf.DUMMYFUNCTION("""COMPUTED_VALUE"""),"Oksigen 1m3")</f>
        <v>Oksigen 1m3</v>
      </c>
      <c r="H3830" s="211" t="str">
        <f>IFERROR(__xludf.DUMMYFUNCTION("""COMPUTED_VALUE"""),"IN")</f>
        <v>IN</v>
      </c>
      <c r="I3830" s="211" t="str">
        <f>IFERROR(__xludf.DUMMYFUNCTION("""COMPUTED_VALUE"""),"EMPTY")</f>
        <v>EMPTY</v>
      </c>
      <c r="J3830" s="211">
        <f>IFERROR(__xludf.DUMMYFUNCTION("""COMPUTED_VALUE"""),1.0)</f>
        <v>1</v>
      </c>
      <c r="K3830" s="210" t="str">
        <f>IFERROR(__xludf.DUMMYFUNCTION("""COMPUTED_VALUE"""),"0003")</f>
        <v>0003</v>
      </c>
      <c r="L3830" s="211">
        <f>IFERROR(__xludf.DUMMYFUNCTION("""COMPUTED_VALUE"""),0.0)</f>
        <v>0</v>
      </c>
      <c r="M3830" s="211"/>
      <c r="N3830" s="211"/>
      <c r="O3830" s="211" t="b">
        <f>IFERROR(__xludf.DUMMYFUNCTION("""COMPUTED_VALUE"""),FALSE)</f>
        <v>0</v>
      </c>
    </row>
    <row r="3831">
      <c r="A3831" s="210" t="str">
        <f>IFERROR(__xludf.DUMMYFUNCTION("""COMPUTED_VALUE"""),"1261286")</f>
        <v>1261286</v>
      </c>
      <c r="B3831" s="210" t="str">
        <f>IFERROR(__xludf.DUMMYFUNCTION("""COMPUTED_VALUE"""),"1261286")</f>
        <v>1261286</v>
      </c>
      <c r="C3831" s="213">
        <f>IFERROR(__xludf.DUMMYFUNCTION("""COMPUTED_VALUE"""),46076.70144675926)</f>
        <v>46076.70145</v>
      </c>
      <c r="D3831" s="211" t="str">
        <f>IFERROR(__xludf.DUMMYFUNCTION("""COMPUTED_VALUE"""),"1d018c98")</f>
        <v>1d018c98</v>
      </c>
      <c r="E3831" s="211" t="str">
        <f>IFERROR(__xludf.DUMMYFUNCTION("""COMPUTED_VALUE"""),"Mbak Angel")</f>
        <v>Mbak Angel</v>
      </c>
      <c r="F3831" s="211" t="str">
        <f>IFERROR(__xludf.DUMMYFUNCTION("""COMPUTED_VALUE"""),"8bdbe149")</f>
        <v>8bdbe149</v>
      </c>
      <c r="G3831" s="211" t="str">
        <f>IFERROR(__xludf.DUMMYFUNCTION("""COMPUTED_VALUE"""),"Oksigen 6m3")</f>
        <v>Oksigen 6m3</v>
      </c>
      <c r="H3831" s="211" t="str">
        <f>IFERROR(__xludf.DUMMYFUNCTION("""COMPUTED_VALUE"""),"IN")</f>
        <v>IN</v>
      </c>
      <c r="I3831" s="211" t="str">
        <f>IFERROR(__xludf.DUMMYFUNCTION("""COMPUTED_VALUE"""),"EMPTY")</f>
        <v>EMPTY</v>
      </c>
      <c r="J3831" s="211">
        <f>IFERROR(__xludf.DUMMYFUNCTION("""COMPUTED_VALUE"""),1.0)</f>
        <v>1</v>
      </c>
      <c r="K3831" s="210" t="str">
        <f>IFERROR(__xludf.DUMMYFUNCTION("""COMPUTED_VALUE"""),"11129")</f>
        <v>11129</v>
      </c>
      <c r="L3831" s="211">
        <f>IFERROR(__xludf.DUMMYFUNCTION("""COMPUTED_VALUE"""),0.0)</f>
        <v>0</v>
      </c>
      <c r="M3831" s="211"/>
      <c r="N3831" s="211"/>
      <c r="O3831" s="211" t="b">
        <f>IFERROR(__xludf.DUMMYFUNCTION("""COMPUTED_VALUE"""),FALSE)</f>
        <v>0</v>
      </c>
    </row>
    <row r="3832">
      <c r="A3832" s="210" t="str">
        <f>IFERROR(__xludf.DUMMYFUNCTION("""COMPUTED_VALUE"""),"1261287")</f>
        <v>1261287</v>
      </c>
      <c r="B3832" s="210" t="str">
        <f>IFERROR(__xludf.DUMMYFUNCTION("""COMPUTED_VALUE"""),"1261287")</f>
        <v>1261287</v>
      </c>
      <c r="C3832" s="213">
        <f>IFERROR(__xludf.DUMMYFUNCTION("""COMPUTED_VALUE"""),46076.70214120371)</f>
        <v>46076.70214</v>
      </c>
      <c r="D3832" s="211" t="str">
        <f>IFERROR(__xludf.DUMMYFUNCTION("""COMPUTED_VALUE"""),"98c84274")</f>
        <v>98c84274</v>
      </c>
      <c r="E3832" s="211" t="str">
        <f>IFERROR(__xludf.DUMMYFUNCTION("""COMPUTED_VALUE"""),"Bengkel SBM (Pak Hari)")</f>
        <v>Bengkel SBM (Pak Hari)</v>
      </c>
      <c r="F3832" s="211" t="str">
        <f>IFERROR(__xludf.DUMMYFUNCTION("""COMPUTED_VALUE"""),"8bdbe149")</f>
        <v>8bdbe149</v>
      </c>
      <c r="G3832" s="211" t="str">
        <f>IFERROR(__xludf.DUMMYFUNCTION("""COMPUTED_VALUE"""),"Oksigen 6m3")</f>
        <v>Oksigen 6m3</v>
      </c>
      <c r="H3832" s="211" t="str">
        <f>IFERROR(__xludf.DUMMYFUNCTION("""COMPUTED_VALUE"""),"IN")</f>
        <v>IN</v>
      </c>
      <c r="I3832" s="211" t="str">
        <f>IFERROR(__xludf.DUMMYFUNCTION("""COMPUTED_VALUE"""),"EMPTY")</f>
        <v>EMPTY</v>
      </c>
      <c r="J3832" s="211">
        <f>IFERROR(__xludf.DUMMYFUNCTION("""COMPUTED_VALUE"""),7.0)</f>
        <v>7</v>
      </c>
      <c r="K3832" s="210" t="str">
        <f>IFERROR(__xludf.DUMMYFUNCTION("""COMPUTED_VALUE"""),"1199 1187 11266 11368 11364 11365 1137")</f>
        <v>1199 1187 11266 11368 11364 11365 1137</v>
      </c>
      <c r="L3832" s="211">
        <f>IFERROR(__xludf.DUMMYFUNCTION("""COMPUTED_VALUE"""),0.0)</f>
        <v>0</v>
      </c>
      <c r="M3832" s="211"/>
      <c r="N3832" s="211"/>
      <c r="O3832" s="211" t="b">
        <f>IFERROR(__xludf.DUMMYFUNCTION("""COMPUTED_VALUE"""),FALSE)</f>
        <v>0</v>
      </c>
    </row>
    <row r="3833">
      <c r="A3833" s="210" t="str">
        <f>IFERROR(__xludf.DUMMYFUNCTION("""COMPUTED_VALUE"""),"1261287")</f>
        <v>1261287</v>
      </c>
      <c r="B3833" s="210" t="str">
        <f>IFERROR(__xludf.DUMMYFUNCTION("""COMPUTED_VALUE"""),"1261287")</f>
        <v>1261287</v>
      </c>
      <c r="C3833" s="213">
        <f>IFERROR(__xludf.DUMMYFUNCTION("""COMPUTED_VALUE"""),46076.70214120371)</f>
        <v>46076.70214</v>
      </c>
      <c r="D3833" s="211" t="str">
        <f>IFERROR(__xludf.DUMMYFUNCTION("""COMPUTED_VALUE"""),"98c84274")</f>
        <v>98c84274</v>
      </c>
      <c r="E3833" s="211" t="str">
        <f>IFERROR(__xludf.DUMMYFUNCTION("""COMPUTED_VALUE"""),"Bengkel SBM (Pak Hari)")</f>
        <v>Bengkel SBM (Pak Hari)</v>
      </c>
      <c r="F3833" s="211" t="str">
        <f>IFERROR(__xludf.DUMMYFUNCTION("""COMPUTED_VALUE"""),"ef306e54")</f>
        <v>ef306e54</v>
      </c>
      <c r="G3833" s="211" t="str">
        <f>IFERROR(__xludf.DUMMYFUNCTION("""COMPUTED_VALUE"""),"Karbondioksida")</f>
        <v>Karbondioksida</v>
      </c>
      <c r="H3833" s="211" t="str">
        <f>IFERROR(__xludf.DUMMYFUNCTION("""COMPUTED_VALUE"""),"IN")</f>
        <v>IN</v>
      </c>
      <c r="I3833" s="211" t="str">
        <f>IFERROR(__xludf.DUMMYFUNCTION("""COMPUTED_VALUE"""),"EMPTY")</f>
        <v>EMPTY</v>
      </c>
      <c r="J3833" s="211">
        <f>IFERROR(__xludf.DUMMYFUNCTION("""COMPUTED_VALUE"""),1.0)</f>
        <v>1</v>
      </c>
      <c r="K3833" s="210" t="str">
        <f>IFERROR(__xludf.DUMMYFUNCTION("""COMPUTED_VALUE"""),"13067")</f>
        <v>13067</v>
      </c>
      <c r="L3833" s="211">
        <f>IFERROR(__xludf.DUMMYFUNCTION("""COMPUTED_VALUE"""),0.0)</f>
        <v>0</v>
      </c>
      <c r="M3833" s="211"/>
      <c r="N3833" s="211"/>
      <c r="O3833" s="211" t="b">
        <f>IFERROR(__xludf.DUMMYFUNCTION("""COMPUTED_VALUE"""),FALSE)</f>
        <v>0</v>
      </c>
    </row>
    <row r="3834">
      <c r="A3834" s="210" t="str">
        <f>IFERROR(__xludf.DUMMYFUNCTION("""COMPUTED_VALUE"""),"0226122646")</f>
        <v>0226122646</v>
      </c>
      <c r="B3834" s="210" t="str">
        <f>IFERROR(__xludf.DUMMYFUNCTION("""COMPUTED_VALUE"""),"0226122646")</f>
        <v>0226122646</v>
      </c>
      <c r="C3834" s="213">
        <f>IFERROR(__xludf.DUMMYFUNCTION("""COMPUTED_VALUE"""),46077.358298611114)</f>
        <v>46077.3583</v>
      </c>
      <c r="D3834" s="211" t="str">
        <f>IFERROR(__xludf.DUMMYFUNCTION("""COMPUTED_VALUE"""),"dcdf8b31")</f>
        <v>dcdf8b31</v>
      </c>
      <c r="E3834" s="211" t="str">
        <f>IFERROR(__xludf.DUMMYFUNCTION("""COMPUTED_VALUE"""),"Bpk. Samsul (Jetis)")</f>
        <v>Bpk. Samsul (Jetis)</v>
      </c>
      <c r="F3834" s="211" t="str">
        <f>IFERROR(__xludf.DUMMYFUNCTION("""COMPUTED_VALUE"""),"7d2764f1")</f>
        <v>7d2764f1</v>
      </c>
      <c r="G3834" s="211" t="str">
        <f>IFERROR(__xludf.DUMMYFUNCTION("""COMPUTED_VALUE"""),"Oksigen 7m3")</f>
        <v>Oksigen 7m3</v>
      </c>
      <c r="H3834" s="211" t="str">
        <f>IFERROR(__xludf.DUMMYFUNCTION("""COMPUTED_VALUE"""),"OUT")</f>
        <v>OUT</v>
      </c>
      <c r="I3834" s="211" t="str">
        <f>IFERROR(__xludf.DUMMYFUNCTION("""COMPUTED_VALUE"""),"NORMAL")</f>
        <v>NORMAL</v>
      </c>
      <c r="J3834" s="211">
        <f>IFERROR(__xludf.DUMMYFUNCTION("""COMPUTED_VALUE"""),2.0)</f>
        <v>2</v>
      </c>
      <c r="K3834" s="210" t="str">
        <f>IFERROR(__xludf.DUMMYFUNCTION("""COMPUTED_VALUE"""),"11136 11173")</f>
        <v>11136 11173</v>
      </c>
      <c r="L3834" s="211">
        <f>IFERROR(__xludf.DUMMYFUNCTION("""COMPUTED_VALUE"""),70000.0)</f>
        <v>70000</v>
      </c>
      <c r="M3834" s="211"/>
      <c r="N3834" s="211"/>
      <c r="O3834" s="211" t="b">
        <f>IFERROR(__xludf.DUMMYFUNCTION("""COMPUTED_VALUE"""),FALSE)</f>
        <v>0</v>
      </c>
    </row>
    <row r="3835">
      <c r="A3835" s="210" t="str">
        <f>IFERROR(__xludf.DUMMYFUNCTION("""COMPUTED_VALUE"""),"0226772651")</f>
        <v>0226772651</v>
      </c>
      <c r="B3835" s="210" t="str">
        <f>IFERROR(__xludf.DUMMYFUNCTION("""COMPUTED_VALUE"""),"0226772651")</f>
        <v>0226772651</v>
      </c>
      <c r="C3835" s="213">
        <f>IFERROR(__xludf.DUMMYFUNCTION("""COMPUTED_VALUE"""),46077.364375)</f>
        <v>46077.36438</v>
      </c>
      <c r="D3835" s="211" t="str">
        <f>IFERROR(__xludf.DUMMYFUNCTION("""COMPUTED_VALUE"""),"e86baf3b")</f>
        <v>e86baf3b</v>
      </c>
      <c r="E3835" s="211" t="str">
        <f>IFERROR(__xludf.DUMMYFUNCTION("""COMPUTED_VALUE"""),"PT GEMILANG CIPTA WAWASAN")</f>
        <v>PT GEMILANG CIPTA WAWASAN</v>
      </c>
      <c r="F3835" s="211" t="str">
        <f>IFERROR(__xludf.DUMMYFUNCTION("""COMPUTED_VALUE"""),"8bdbe149")</f>
        <v>8bdbe149</v>
      </c>
      <c r="G3835" s="211" t="str">
        <f>IFERROR(__xludf.DUMMYFUNCTION("""COMPUTED_VALUE"""),"Oksigen 6m3")</f>
        <v>Oksigen 6m3</v>
      </c>
      <c r="H3835" s="211" t="str">
        <f>IFERROR(__xludf.DUMMYFUNCTION("""COMPUTED_VALUE"""),"OUT")</f>
        <v>OUT</v>
      </c>
      <c r="I3835" s="211" t="str">
        <f>IFERROR(__xludf.DUMMYFUNCTION("""COMPUTED_VALUE"""),"NORMAL")</f>
        <v>NORMAL</v>
      </c>
      <c r="J3835" s="211">
        <f>IFERROR(__xludf.DUMMYFUNCTION("""COMPUTED_VALUE"""),5.0)</f>
        <v>5</v>
      </c>
      <c r="K3835" s="210" t="str">
        <f>IFERROR(__xludf.DUMMYFUNCTION("""COMPUTED_VALUE"""),"1142 1139 1186 1119 11274")</f>
        <v>1142 1139 1186 1119 11274</v>
      </c>
      <c r="L3835" s="211">
        <f>IFERROR(__xludf.DUMMYFUNCTION("""COMPUTED_VALUE"""),60000.0)</f>
        <v>60000</v>
      </c>
      <c r="M3835" s="211"/>
      <c r="N3835" s="211"/>
      <c r="O3835" s="211" t="b">
        <f>IFERROR(__xludf.DUMMYFUNCTION("""COMPUTED_VALUE"""),FALSE)</f>
        <v>0</v>
      </c>
    </row>
    <row r="3836">
      <c r="A3836" s="210" t="str">
        <f>IFERROR(__xludf.DUMMYFUNCTION("""COMPUTED_VALUE"""),"0226112652")</f>
        <v>0226112652</v>
      </c>
      <c r="B3836" s="210" t="str">
        <f>IFERROR(__xludf.DUMMYFUNCTION("""COMPUTED_VALUE"""),"0226112652")</f>
        <v>0226112652</v>
      </c>
      <c r="C3836" s="213">
        <f>IFERROR(__xludf.DUMMYFUNCTION("""COMPUTED_VALUE"""),46077.365381944444)</f>
        <v>46077.36538</v>
      </c>
      <c r="D3836" s="211" t="str">
        <f>IFERROR(__xludf.DUMMYFUNCTION("""COMPUTED_VALUE"""),"98c84274")</f>
        <v>98c84274</v>
      </c>
      <c r="E3836" s="211" t="str">
        <f>IFERROR(__xludf.DUMMYFUNCTION("""COMPUTED_VALUE"""),"Bengkel SBM (Pak Hari)")</f>
        <v>Bengkel SBM (Pak Hari)</v>
      </c>
      <c r="F3836" s="211" t="str">
        <f>IFERROR(__xludf.DUMMYFUNCTION("""COMPUTED_VALUE"""),"8bdbe149")</f>
        <v>8bdbe149</v>
      </c>
      <c r="G3836" s="211" t="str">
        <f>IFERROR(__xludf.DUMMYFUNCTION("""COMPUTED_VALUE"""),"Oksigen 6m3")</f>
        <v>Oksigen 6m3</v>
      </c>
      <c r="H3836" s="211" t="str">
        <f>IFERROR(__xludf.DUMMYFUNCTION("""COMPUTED_VALUE"""),"OUT")</f>
        <v>OUT</v>
      </c>
      <c r="I3836" s="211" t="str">
        <f>IFERROR(__xludf.DUMMYFUNCTION("""COMPUTED_VALUE"""),"NORMAL")</f>
        <v>NORMAL</v>
      </c>
      <c r="J3836" s="211">
        <f>IFERROR(__xludf.DUMMYFUNCTION("""COMPUTED_VALUE"""),5.0)</f>
        <v>5</v>
      </c>
      <c r="K3836" s="210" t="str">
        <f>IFERROR(__xludf.DUMMYFUNCTION("""COMPUTED_VALUE"""),"11371 11366 11191 11311 11373")</f>
        <v>11371 11366 11191 11311 11373</v>
      </c>
      <c r="L3836" s="211">
        <f>IFERROR(__xludf.DUMMYFUNCTION("""COMPUTED_VALUE"""),60000.0)</f>
        <v>60000</v>
      </c>
      <c r="M3836" s="211"/>
      <c r="N3836" s="211"/>
      <c r="O3836" s="211" t="b">
        <f>IFERROR(__xludf.DUMMYFUNCTION("""COMPUTED_VALUE"""),FALSE)</f>
        <v>0</v>
      </c>
    </row>
    <row r="3837">
      <c r="A3837" s="210" t="str">
        <f>IFERROR(__xludf.DUMMYFUNCTION("""COMPUTED_VALUE"""),"0226112652")</f>
        <v>0226112652</v>
      </c>
      <c r="B3837" s="210" t="str">
        <f>IFERROR(__xludf.DUMMYFUNCTION("""COMPUTED_VALUE"""),"0226112652")</f>
        <v>0226112652</v>
      </c>
      <c r="C3837" s="213">
        <f>IFERROR(__xludf.DUMMYFUNCTION("""COMPUTED_VALUE"""),46077.365381944444)</f>
        <v>46077.36538</v>
      </c>
      <c r="D3837" s="211" t="str">
        <f>IFERROR(__xludf.DUMMYFUNCTION("""COMPUTED_VALUE"""),"98c84274")</f>
        <v>98c84274</v>
      </c>
      <c r="E3837" s="211" t="str">
        <f>IFERROR(__xludf.DUMMYFUNCTION("""COMPUTED_VALUE"""),"Bengkel SBM (Pak Hari)")</f>
        <v>Bengkel SBM (Pak Hari)</v>
      </c>
      <c r="F3837" s="211" t="str">
        <f>IFERROR(__xludf.DUMMYFUNCTION("""COMPUTED_VALUE"""),"be525f3b")</f>
        <v>be525f3b</v>
      </c>
      <c r="G3837" s="211" t="str">
        <f>IFERROR(__xludf.DUMMYFUNCTION("""COMPUTED_VALUE"""),"LPG 12kg")</f>
        <v>LPG 12kg</v>
      </c>
      <c r="H3837" s="211" t="str">
        <f>IFERROR(__xludf.DUMMYFUNCTION("""COMPUTED_VALUE"""),"OUT")</f>
        <v>OUT</v>
      </c>
      <c r="I3837" s="211" t="str">
        <f>IFERROR(__xludf.DUMMYFUNCTION("""COMPUTED_VALUE"""),"NORMAL")</f>
        <v>NORMAL</v>
      </c>
      <c r="J3837" s="211">
        <f>IFERROR(__xludf.DUMMYFUNCTION("""COMPUTED_VALUE"""),1.0)</f>
        <v>1</v>
      </c>
      <c r="K3837" s="210" t="str">
        <f>IFERROR(__xludf.DUMMYFUNCTION("""COMPUTED_VALUE"""),"L005")</f>
        <v>L005</v>
      </c>
      <c r="L3837" s="211">
        <f>IFERROR(__xludf.DUMMYFUNCTION("""COMPUTED_VALUE"""),205000.0)</f>
        <v>205000</v>
      </c>
      <c r="M3837" s="211"/>
      <c r="N3837" s="211"/>
      <c r="O3837" s="211" t="b">
        <f>IFERROR(__xludf.DUMMYFUNCTION("""COMPUTED_VALUE"""),FALSE)</f>
        <v>0</v>
      </c>
    </row>
    <row r="3838">
      <c r="A3838" s="210" t="str">
        <f>IFERROR(__xludf.DUMMYFUNCTION("""COMPUTED_VALUE"""),"0226132653")</f>
        <v>0226132653</v>
      </c>
      <c r="B3838" s="210" t="str">
        <f>IFERROR(__xludf.DUMMYFUNCTION("""COMPUTED_VALUE"""),"0226132653")</f>
        <v>0226132653</v>
      </c>
      <c r="C3838" s="213">
        <f>IFERROR(__xludf.DUMMYFUNCTION("""COMPUTED_VALUE"""),46077.42931712963)</f>
        <v>46077.42932</v>
      </c>
      <c r="D3838" s="211" t="str">
        <f>IFERROR(__xludf.DUMMYFUNCTION("""COMPUTED_VALUE"""),"03ff52db")</f>
        <v>03ff52db</v>
      </c>
      <c r="E3838" s="211" t="str">
        <f>IFERROR(__xludf.DUMMYFUNCTION("""COMPUTED_VALUE"""),"Aneka Teknik Logam")</f>
        <v>Aneka Teknik Logam</v>
      </c>
      <c r="F3838" s="211" t="str">
        <f>IFERROR(__xludf.DUMMYFUNCTION("""COMPUTED_VALUE"""),"f6aab7a9")</f>
        <v>f6aab7a9</v>
      </c>
      <c r="G3838" s="211" t="str">
        <f>IFERROR(__xludf.DUMMYFUNCTION("""COMPUTED_VALUE"""),"Oksigen 6m3 MR")</f>
        <v>Oksigen 6m3 MR</v>
      </c>
      <c r="H3838" s="211" t="str">
        <f>IFERROR(__xludf.DUMMYFUNCTION("""COMPUTED_VALUE"""),"OUT")</f>
        <v>OUT</v>
      </c>
      <c r="I3838" s="211" t="str">
        <f>IFERROR(__xludf.DUMMYFUNCTION("""COMPUTED_VALUE"""),"NORMAL")</f>
        <v>NORMAL</v>
      </c>
      <c r="J3838" s="211">
        <f>IFERROR(__xludf.DUMMYFUNCTION("""COMPUTED_VALUE"""),1.0)</f>
        <v>1</v>
      </c>
      <c r="K3838" s="211"/>
      <c r="L3838" s="211">
        <f>IFERROR(__xludf.DUMMYFUNCTION("""COMPUTED_VALUE"""),55000.0)</f>
        <v>55000</v>
      </c>
      <c r="M3838" s="211"/>
      <c r="N3838" s="211"/>
      <c r="O3838" s="211" t="b">
        <f>IFERROR(__xludf.DUMMYFUNCTION("""COMPUTED_VALUE"""),FALSE)</f>
        <v>0</v>
      </c>
    </row>
    <row r="3839">
      <c r="A3839" s="210" t="str">
        <f>IFERROR(__xludf.DUMMYFUNCTION("""COMPUTED_VALUE"""),"022672654")</f>
        <v>022672654</v>
      </c>
      <c r="B3839" s="210" t="str">
        <f>IFERROR(__xludf.DUMMYFUNCTION("""COMPUTED_VALUE"""),"022672654")</f>
        <v>022672654</v>
      </c>
      <c r="C3839" s="213">
        <f>IFERROR(__xludf.DUMMYFUNCTION("""COMPUTED_VALUE"""),46077.43116898148)</f>
        <v>46077.43117</v>
      </c>
      <c r="D3839" s="211" t="str">
        <f>IFERROR(__xludf.DUMMYFUNCTION("""COMPUTED_VALUE"""),"9e5d8274")</f>
        <v>9e5d8274</v>
      </c>
      <c r="E3839" s="211" t="str">
        <f>IFERROR(__xludf.DUMMYFUNCTION("""COMPUTED_VALUE"""),"Bpk. Erry ( Lik Trosobo )")</f>
        <v>Bpk. Erry ( Lik Trosobo )</v>
      </c>
      <c r="F3839" s="211" t="str">
        <f>IFERROR(__xludf.DUMMYFUNCTION("""COMPUTED_VALUE"""),"8bdbe149")</f>
        <v>8bdbe149</v>
      </c>
      <c r="G3839" s="211" t="str">
        <f>IFERROR(__xludf.DUMMYFUNCTION("""COMPUTED_VALUE"""),"Oksigen 6m3")</f>
        <v>Oksigen 6m3</v>
      </c>
      <c r="H3839" s="211" t="str">
        <f>IFERROR(__xludf.DUMMYFUNCTION("""COMPUTED_VALUE"""),"OUT")</f>
        <v>OUT</v>
      </c>
      <c r="I3839" s="211" t="str">
        <f>IFERROR(__xludf.DUMMYFUNCTION("""COMPUTED_VALUE"""),"NORMAL")</f>
        <v>NORMAL</v>
      </c>
      <c r="J3839" s="211">
        <f>IFERROR(__xludf.DUMMYFUNCTION("""COMPUTED_VALUE"""),3.0)</f>
        <v>3</v>
      </c>
      <c r="K3839" s="210" t="str">
        <f>IFERROR(__xludf.DUMMYFUNCTION("""COMPUTED_VALUE"""),"11365 11364 11129")</f>
        <v>11365 11364 11129</v>
      </c>
      <c r="L3839" s="211">
        <f>IFERROR(__xludf.DUMMYFUNCTION("""COMPUTED_VALUE"""),65000.0)</f>
        <v>65000</v>
      </c>
      <c r="M3839" s="211"/>
      <c r="N3839" s="211"/>
      <c r="O3839" s="211" t="b">
        <f>IFERROR(__xludf.DUMMYFUNCTION("""COMPUTED_VALUE"""),FALSE)</f>
        <v>0</v>
      </c>
    </row>
    <row r="3840">
      <c r="A3840" s="210" t="str">
        <f>IFERROR(__xludf.DUMMYFUNCTION("""COMPUTED_VALUE"""),"022632655")</f>
        <v>022632655</v>
      </c>
      <c r="B3840" s="210" t="str">
        <f>IFERROR(__xludf.DUMMYFUNCTION("""COMPUTED_VALUE"""),"022632655")</f>
        <v>022632655</v>
      </c>
      <c r="C3840" s="213">
        <f>IFERROR(__xludf.DUMMYFUNCTION("""COMPUTED_VALUE"""),46077.43273148148)</f>
        <v>46077.43273</v>
      </c>
      <c r="D3840" s="211" t="str">
        <f>IFERROR(__xludf.DUMMYFUNCTION("""COMPUTED_VALUE"""),"8b765561")</f>
        <v>8b765561</v>
      </c>
      <c r="E3840" s="211" t="str">
        <f>IFERROR(__xludf.DUMMYFUNCTION("""COMPUTED_VALUE"""),"Bpk. Idris")</f>
        <v>Bpk. Idris</v>
      </c>
      <c r="F3840" s="211" t="str">
        <f>IFERROR(__xludf.DUMMYFUNCTION("""COMPUTED_VALUE"""),"8bdbe149")</f>
        <v>8bdbe149</v>
      </c>
      <c r="G3840" s="211" t="str">
        <f>IFERROR(__xludf.DUMMYFUNCTION("""COMPUTED_VALUE"""),"Oksigen 6m3")</f>
        <v>Oksigen 6m3</v>
      </c>
      <c r="H3840" s="211" t="str">
        <f>IFERROR(__xludf.DUMMYFUNCTION("""COMPUTED_VALUE"""),"OUT")</f>
        <v>OUT</v>
      </c>
      <c r="I3840" s="211" t="str">
        <f>IFERROR(__xludf.DUMMYFUNCTION("""COMPUTED_VALUE"""),"NORMAL")</f>
        <v>NORMAL</v>
      </c>
      <c r="J3840" s="211">
        <f>IFERROR(__xludf.DUMMYFUNCTION("""COMPUTED_VALUE"""),1.0)</f>
        <v>1</v>
      </c>
      <c r="K3840" s="210" t="str">
        <f>IFERROR(__xludf.DUMMYFUNCTION("""COMPUTED_VALUE"""),"1199")</f>
        <v>1199</v>
      </c>
      <c r="L3840" s="211">
        <f>IFERROR(__xludf.DUMMYFUNCTION("""COMPUTED_VALUE"""),60000.0)</f>
        <v>60000</v>
      </c>
      <c r="M3840" s="211"/>
      <c r="N3840" s="211"/>
      <c r="O3840" s="211" t="b">
        <f>IFERROR(__xludf.DUMMYFUNCTION("""COMPUTED_VALUE"""),FALSE)</f>
        <v>0</v>
      </c>
    </row>
    <row r="3841">
      <c r="A3841" s="210" t="str">
        <f>IFERROR(__xludf.DUMMYFUNCTION("""COMPUTED_VALUE"""),"1261288")</f>
        <v>1261288</v>
      </c>
      <c r="B3841" s="210" t="str">
        <f>IFERROR(__xludf.DUMMYFUNCTION("""COMPUTED_VALUE"""),"1261288")</f>
        <v>1261288</v>
      </c>
      <c r="C3841" s="213">
        <f>IFERROR(__xludf.DUMMYFUNCTION("""COMPUTED_VALUE"""),46077.44616898148)</f>
        <v>46077.44617</v>
      </c>
      <c r="D3841" s="211" t="str">
        <f>IFERROR(__xludf.DUMMYFUNCTION("""COMPUTED_VALUE"""),"98c84274")</f>
        <v>98c84274</v>
      </c>
      <c r="E3841" s="211" t="str">
        <f>IFERROR(__xludf.DUMMYFUNCTION("""COMPUTED_VALUE"""),"Bengkel SBM (Pak Hari)")</f>
        <v>Bengkel SBM (Pak Hari)</v>
      </c>
      <c r="F3841" s="211" t="str">
        <f>IFERROR(__xludf.DUMMYFUNCTION("""COMPUTED_VALUE"""),"8bdbe149")</f>
        <v>8bdbe149</v>
      </c>
      <c r="G3841" s="211" t="str">
        <f>IFERROR(__xludf.DUMMYFUNCTION("""COMPUTED_VALUE"""),"Oksigen 6m3")</f>
        <v>Oksigen 6m3</v>
      </c>
      <c r="H3841" s="211" t="str">
        <f>IFERROR(__xludf.DUMMYFUNCTION("""COMPUTED_VALUE"""),"IN")</f>
        <v>IN</v>
      </c>
      <c r="I3841" s="211" t="str">
        <f>IFERROR(__xludf.DUMMYFUNCTION("""COMPUTED_VALUE"""),"EMPTY")</f>
        <v>EMPTY</v>
      </c>
      <c r="J3841" s="211">
        <f>IFERROR(__xludf.DUMMYFUNCTION("""COMPUTED_VALUE"""),2.0)</f>
        <v>2</v>
      </c>
      <c r="K3841" s="210" t="str">
        <f>IFERROR(__xludf.DUMMYFUNCTION("""COMPUTED_VALUE"""),"11367 11186")</f>
        <v>11367 11186</v>
      </c>
      <c r="L3841" s="211">
        <f>IFERROR(__xludf.DUMMYFUNCTION("""COMPUTED_VALUE"""),0.0)</f>
        <v>0</v>
      </c>
      <c r="M3841" s="211"/>
      <c r="N3841" s="211"/>
      <c r="O3841" s="211" t="b">
        <f>IFERROR(__xludf.DUMMYFUNCTION("""COMPUTED_VALUE"""),FALSE)</f>
        <v>0</v>
      </c>
    </row>
    <row r="3842">
      <c r="A3842" s="210" t="str">
        <f>IFERROR(__xludf.DUMMYFUNCTION("""COMPUTED_VALUE"""),"1261288")</f>
        <v>1261288</v>
      </c>
      <c r="B3842" s="210" t="str">
        <f>IFERROR(__xludf.DUMMYFUNCTION("""COMPUTED_VALUE"""),"1261288")</f>
        <v>1261288</v>
      </c>
      <c r="C3842" s="213">
        <f>IFERROR(__xludf.DUMMYFUNCTION("""COMPUTED_VALUE"""),46077.44616898148)</f>
        <v>46077.44617</v>
      </c>
      <c r="D3842" s="211" t="str">
        <f>IFERROR(__xludf.DUMMYFUNCTION("""COMPUTED_VALUE"""),"98c84274")</f>
        <v>98c84274</v>
      </c>
      <c r="E3842" s="211" t="str">
        <f>IFERROR(__xludf.DUMMYFUNCTION("""COMPUTED_VALUE"""),"Bengkel SBM (Pak Hari)")</f>
        <v>Bengkel SBM (Pak Hari)</v>
      </c>
      <c r="F3842" s="211" t="str">
        <f>IFERROR(__xludf.DUMMYFUNCTION("""COMPUTED_VALUE"""),"ef306e54")</f>
        <v>ef306e54</v>
      </c>
      <c r="G3842" s="211" t="str">
        <f>IFERROR(__xludf.DUMMYFUNCTION("""COMPUTED_VALUE"""),"Karbondioksida")</f>
        <v>Karbondioksida</v>
      </c>
      <c r="H3842" s="211" t="str">
        <f>IFERROR(__xludf.DUMMYFUNCTION("""COMPUTED_VALUE"""),"IN")</f>
        <v>IN</v>
      </c>
      <c r="I3842" s="211" t="str">
        <f>IFERROR(__xludf.DUMMYFUNCTION("""COMPUTED_VALUE"""),"EMPTY")</f>
        <v>EMPTY</v>
      </c>
      <c r="J3842" s="211">
        <f>IFERROR(__xludf.DUMMYFUNCTION("""COMPUTED_VALUE"""),1.0)</f>
        <v>1</v>
      </c>
      <c r="K3842" s="210" t="str">
        <f>IFERROR(__xludf.DUMMYFUNCTION("""COMPUTED_VALUE"""),"13020")</f>
        <v>13020</v>
      </c>
      <c r="L3842" s="211">
        <f>IFERROR(__xludf.DUMMYFUNCTION("""COMPUTED_VALUE"""),0.0)</f>
        <v>0</v>
      </c>
      <c r="M3842" s="211"/>
      <c r="N3842" s="211"/>
      <c r="O3842" s="211" t="b">
        <f>IFERROR(__xludf.DUMMYFUNCTION("""COMPUTED_VALUE"""),FALSE)</f>
        <v>0</v>
      </c>
    </row>
    <row r="3843">
      <c r="A3843" s="210" t="str">
        <f>IFERROR(__xludf.DUMMYFUNCTION("""COMPUTED_VALUE"""),"1261288")</f>
        <v>1261288</v>
      </c>
      <c r="B3843" s="210" t="str">
        <f>IFERROR(__xludf.DUMMYFUNCTION("""COMPUTED_VALUE"""),"1261288")</f>
        <v>1261288</v>
      </c>
      <c r="C3843" s="213">
        <f>IFERROR(__xludf.DUMMYFUNCTION("""COMPUTED_VALUE"""),46077.44616898148)</f>
        <v>46077.44617</v>
      </c>
      <c r="D3843" s="211" t="str">
        <f>IFERROR(__xludf.DUMMYFUNCTION("""COMPUTED_VALUE"""),"98c84274")</f>
        <v>98c84274</v>
      </c>
      <c r="E3843" s="211" t="str">
        <f>IFERROR(__xludf.DUMMYFUNCTION("""COMPUTED_VALUE"""),"Bengkel SBM (Pak Hari)")</f>
        <v>Bengkel SBM (Pak Hari)</v>
      </c>
      <c r="F3843" s="211" t="str">
        <f>IFERROR(__xludf.DUMMYFUNCTION("""COMPUTED_VALUE"""),"be525f3b")</f>
        <v>be525f3b</v>
      </c>
      <c r="G3843" s="211" t="str">
        <f>IFERROR(__xludf.DUMMYFUNCTION("""COMPUTED_VALUE"""),"LPG 12kg")</f>
        <v>LPG 12kg</v>
      </c>
      <c r="H3843" s="211" t="str">
        <f>IFERROR(__xludf.DUMMYFUNCTION("""COMPUTED_VALUE"""),"IN")</f>
        <v>IN</v>
      </c>
      <c r="I3843" s="211" t="str">
        <f>IFERROR(__xludf.DUMMYFUNCTION("""COMPUTED_VALUE"""),"EMPTY")</f>
        <v>EMPTY</v>
      </c>
      <c r="J3843" s="211">
        <f>IFERROR(__xludf.DUMMYFUNCTION("""COMPUTED_VALUE"""),1.0)</f>
        <v>1</v>
      </c>
      <c r="K3843" s="210" t="str">
        <f>IFERROR(__xludf.DUMMYFUNCTION("""COMPUTED_VALUE"""),"L004")</f>
        <v>L004</v>
      </c>
      <c r="L3843" s="211">
        <f>IFERROR(__xludf.DUMMYFUNCTION("""COMPUTED_VALUE"""),0.0)</f>
        <v>0</v>
      </c>
      <c r="M3843" s="211"/>
      <c r="N3843" s="211"/>
      <c r="O3843" s="211" t="b">
        <f>IFERROR(__xludf.DUMMYFUNCTION("""COMPUTED_VALUE"""),FALSE)</f>
        <v>0</v>
      </c>
    </row>
    <row r="3844">
      <c r="A3844" s="210" t="str">
        <f>IFERROR(__xludf.DUMMYFUNCTION("""COMPUTED_VALUE"""),"1261296")</f>
        <v>1261296</v>
      </c>
      <c r="B3844" s="210" t="str">
        <f>IFERROR(__xludf.DUMMYFUNCTION("""COMPUTED_VALUE"""),"1261296")</f>
        <v>1261296</v>
      </c>
      <c r="C3844" s="213">
        <f>IFERROR(__xludf.DUMMYFUNCTION("""COMPUTED_VALUE"""),46077.6066087963)</f>
        <v>46077.60661</v>
      </c>
      <c r="D3844" s="211" t="str">
        <f>IFERROR(__xludf.DUMMYFUNCTION("""COMPUTED_VALUE"""),"dcdf8b31")</f>
        <v>dcdf8b31</v>
      </c>
      <c r="E3844" s="211" t="str">
        <f>IFERROR(__xludf.DUMMYFUNCTION("""COMPUTED_VALUE"""),"Bpk. Samsul (Jetis)")</f>
        <v>Bpk. Samsul (Jetis)</v>
      </c>
      <c r="F3844" s="211" t="str">
        <f>IFERROR(__xludf.DUMMYFUNCTION("""COMPUTED_VALUE"""),"7d2764f1")</f>
        <v>7d2764f1</v>
      </c>
      <c r="G3844" s="211" t="str">
        <f>IFERROR(__xludf.DUMMYFUNCTION("""COMPUTED_VALUE"""),"Oksigen 7m3")</f>
        <v>Oksigen 7m3</v>
      </c>
      <c r="H3844" s="211" t="str">
        <f>IFERROR(__xludf.DUMMYFUNCTION("""COMPUTED_VALUE"""),"IN")</f>
        <v>IN</v>
      </c>
      <c r="I3844" s="211" t="str">
        <f>IFERROR(__xludf.DUMMYFUNCTION("""COMPUTED_VALUE"""),"EMPTY")</f>
        <v>EMPTY</v>
      </c>
      <c r="J3844" s="211">
        <f>IFERROR(__xludf.DUMMYFUNCTION("""COMPUTED_VALUE"""),3.0)</f>
        <v>3</v>
      </c>
      <c r="K3844" s="210" t="str">
        <f>IFERROR(__xludf.DUMMYFUNCTION("""COMPUTED_VALUE"""),"11168 11174 11299")</f>
        <v>11168 11174 11299</v>
      </c>
      <c r="L3844" s="211">
        <f>IFERROR(__xludf.DUMMYFUNCTION("""COMPUTED_VALUE"""),0.0)</f>
        <v>0</v>
      </c>
      <c r="M3844" s="211"/>
      <c r="N3844" s="211"/>
      <c r="O3844" s="211" t="b">
        <f>IFERROR(__xludf.DUMMYFUNCTION("""COMPUTED_VALUE"""),FALSE)</f>
        <v>0</v>
      </c>
    </row>
    <row r="3845">
      <c r="A3845" s="210" t="str">
        <f>IFERROR(__xludf.DUMMYFUNCTION("""COMPUTED_VALUE"""),"1261297")</f>
        <v>1261297</v>
      </c>
      <c r="B3845" s="210" t="str">
        <f>IFERROR(__xludf.DUMMYFUNCTION("""COMPUTED_VALUE"""),"1261297")</f>
        <v>1261297</v>
      </c>
      <c r="C3845" s="213">
        <f>IFERROR(__xludf.DUMMYFUNCTION("""COMPUTED_VALUE"""),46077.607199074075)</f>
        <v>46077.6072</v>
      </c>
      <c r="D3845" s="211" t="str">
        <f>IFERROR(__xludf.DUMMYFUNCTION("""COMPUTED_VALUE"""),"f49860e4")</f>
        <v>f49860e4</v>
      </c>
      <c r="E3845" s="211" t="str">
        <f>IFERROR(__xludf.DUMMYFUNCTION("""COMPUTED_VALUE"""),"Mas Nur ( Jetis )")</f>
        <v>Mas Nur ( Jetis )</v>
      </c>
      <c r="F3845" s="211" t="str">
        <f>IFERROR(__xludf.DUMMYFUNCTION("""COMPUTED_VALUE"""),"8bdbe149")</f>
        <v>8bdbe149</v>
      </c>
      <c r="G3845" s="211" t="str">
        <f>IFERROR(__xludf.DUMMYFUNCTION("""COMPUTED_VALUE"""),"Oksigen 6m3")</f>
        <v>Oksigen 6m3</v>
      </c>
      <c r="H3845" s="211" t="str">
        <f>IFERROR(__xludf.DUMMYFUNCTION("""COMPUTED_VALUE"""),"IN")</f>
        <v>IN</v>
      </c>
      <c r="I3845" s="211" t="str">
        <f>IFERROR(__xludf.DUMMYFUNCTION("""COMPUTED_VALUE"""),"EMPTY")</f>
        <v>EMPTY</v>
      </c>
      <c r="J3845" s="211">
        <f>IFERROR(__xludf.DUMMYFUNCTION("""COMPUTED_VALUE"""),3.0)</f>
        <v>3</v>
      </c>
      <c r="K3845" s="210" t="str">
        <f>IFERROR(__xludf.DUMMYFUNCTION("""COMPUTED_VALUE"""),"11309 11106 11262")</f>
        <v>11309 11106 11262</v>
      </c>
      <c r="L3845" s="211">
        <f>IFERROR(__xludf.DUMMYFUNCTION("""COMPUTED_VALUE"""),0.0)</f>
        <v>0</v>
      </c>
      <c r="M3845" s="211"/>
      <c r="N3845" s="211"/>
      <c r="O3845" s="211" t="b">
        <f>IFERROR(__xludf.DUMMYFUNCTION("""COMPUTED_VALUE"""),FALSE)</f>
        <v>0</v>
      </c>
    </row>
    <row r="3846">
      <c r="A3846" s="210" t="str">
        <f>IFERROR(__xludf.DUMMYFUNCTION("""COMPUTED_VALUE"""),"1261289")</f>
        <v>1261289</v>
      </c>
      <c r="B3846" s="210" t="str">
        <f>IFERROR(__xludf.DUMMYFUNCTION("""COMPUTED_VALUE"""),"1261289")</f>
        <v>1261289</v>
      </c>
      <c r="C3846" s="213">
        <f>IFERROR(__xludf.DUMMYFUNCTION("""COMPUTED_VALUE"""),46077.60765046296)</f>
        <v>46077.60765</v>
      </c>
      <c r="D3846" s="211" t="str">
        <f>IFERROR(__xludf.DUMMYFUNCTION("""COMPUTED_VALUE"""),"8b765561")</f>
        <v>8b765561</v>
      </c>
      <c r="E3846" s="211" t="str">
        <f>IFERROR(__xludf.DUMMYFUNCTION("""COMPUTED_VALUE"""),"Bpk. Idris")</f>
        <v>Bpk. Idris</v>
      </c>
      <c r="F3846" s="211" t="str">
        <f>IFERROR(__xludf.DUMMYFUNCTION("""COMPUTED_VALUE"""),"8bdbe149")</f>
        <v>8bdbe149</v>
      </c>
      <c r="G3846" s="211" t="str">
        <f>IFERROR(__xludf.DUMMYFUNCTION("""COMPUTED_VALUE"""),"Oksigen 6m3")</f>
        <v>Oksigen 6m3</v>
      </c>
      <c r="H3846" s="211" t="str">
        <f>IFERROR(__xludf.DUMMYFUNCTION("""COMPUTED_VALUE"""),"IN")</f>
        <v>IN</v>
      </c>
      <c r="I3846" s="211" t="str">
        <f>IFERROR(__xludf.DUMMYFUNCTION("""COMPUTED_VALUE"""),"EMPTY")</f>
        <v>EMPTY</v>
      </c>
      <c r="J3846" s="211">
        <f>IFERROR(__xludf.DUMMYFUNCTION("""COMPUTED_VALUE"""),1.0)</f>
        <v>1</v>
      </c>
      <c r="K3846" s="210" t="str">
        <f>IFERROR(__xludf.DUMMYFUNCTION("""COMPUTED_VALUE"""),"11324")</f>
        <v>11324</v>
      </c>
      <c r="L3846" s="211">
        <f>IFERROR(__xludf.DUMMYFUNCTION("""COMPUTED_VALUE"""),0.0)</f>
        <v>0</v>
      </c>
      <c r="M3846" s="211"/>
      <c r="N3846" s="211"/>
      <c r="O3846" s="211" t="b">
        <f>IFERROR(__xludf.DUMMYFUNCTION("""COMPUTED_VALUE"""),FALSE)</f>
        <v>0</v>
      </c>
    </row>
    <row r="3847">
      <c r="A3847" s="210" t="str">
        <f>IFERROR(__xludf.DUMMYFUNCTION("""COMPUTED_VALUE"""),"1261302")</f>
        <v>1261302</v>
      </c>
      <c r="B3847" s="210" t="str">
        <f>IFERROR(__xludf.DUMMYFUNCTION("""COMPUTED_VALUE"""),"1261302")</f>
        <v>1261302</v>
      </c>
      <c r="C3847" s="213">
        <f>IFERROR(__xludf.DUMMYFUNCTION("""COMPUTED_VALUE"""),46077.60811342593)</f>
        <v>46077.60811</v>
      </c>
      <c r="D3847" s="211" t="str">
        <f>IFERROR(__xludf.DUMMYFUNCTION("""COMPUTED_VALUE"""),"9e5d8274")</f>
        <v>9e5d8274</v>
      </c>
      <c r="E3847" s="211" t="str">
        <f>IFERROR(__xludf.DUMMYFUNCTION("""COMPUTED_VALUE"""),"Bpk. Erry ( Lik Trosobo )")</f>
        <v>Bpk. Erry ( Lik Trosobo )</v>
      </c>
      <c r="F3847" s="211" t="str">
        <f>IFERROR(__xludf.DUMMYFUNCTION("""COMPUTED_VALUE"""),"8bdbe149")</f>
        <v>8bdbe149</v>
      </c>
      <c r="G3847" s="211" t="str">
        <f>IFERROR(__xludf.DUMMYFUNCTION("""COMPUTED_VALUE"""),"Oksigen 6m3")</f>
        <v>Oksigen 6m3</v>
      </c>
      <c r="H3847" s="211" t="str">
        <f>IFERROR(__xludf.DUMMYFUNCTION("""COMPUTED_VALUE"""),"IN")</f>
        <v>IN</v>
      </c>
      <c r="I3847" s="211" t="str">
        <f>IFERROR(__xludf.DUMMYFUNCTION("""COMPUTED_VALUE"""),"EMPTY")</f>
        <v>EMPTY</v>
      </c>
      <c r="J3847" s="211">
        <f>IFERROR(__xludf.DUMMYFUNCTION("""COMPUTED_VALUE"""),2.0)</f>
        <v>2</v>
      </c>
      <c r="K3847" s="210" t="str">
        <f>IFERROR(__xludf.DUMMYFUNCTION("""COMPUTED_VALUE"""),"11182 11319")</f>
        <v>11182 11319</v>
      </c>
      <c r="L3847" s="211">
        <f>IFERROR(__xludf.DUMMYFUNCTION("""COMPUTED_VALUE"""),0.0)</f>
        <v>0</v>
      </c>
      <c r="M3847" s="211"/>
      <c r="N3847" s="211"/>
      <c r="O3847" s="211" t="b">
        <f>IFERROR(__xludf.DUMMYFUNCTION("""COMPUTED_VALUE"""),FALSE)</f>
        <v>0</v>
      </c>
    </row>
    <row r="3848">
      <c r="A3848" s="210" t="str">
        <f>IFERROR(__xludf.DUMMYFUNCTION("""COMPUTED_VALUE"""),"1261290")</f>
        <v>1261290</v>
      </c>
      <c r="B3848" s="210" t="str">
        <f>IFERROR(__xludf.DUMMYFUNCTION("""COMPUTED_VALUE"""),"1261290")</f>
        <v>1261290</v>
      </c>
      <c r="C3848" s="213">
        <f>IFERROR(__xludf.DUMMYFUNCTION("""COMPUTED_VALUE"""),46077.608622685184)</f>
        <v>46077.60862</v>
      </c>
      <c r="D3848" s="211" t="str">
        <f>IFERROR(__xludf.DUMMYFUNCTION("""COMPUTED_VALUE"""),"d9b2fac5")</f>
        <v>d9b2fac5</v>
      </c>
      <c r="E3848" s="211" t="str">
        <f>IFERROR(__xludf.DUMMYFUNCTION("""COMPUTED_VALUE"""),"Dwi Riza ( Ponokawan)")</f>
        <v>Dwi Riza ( Ponokawan)</v>
      </c>
      <c r="F3848" s="211" t="str">
        <f>IFERROR(__xludf.DUMMYFUNCTION("""COMPUTED_VALUE"""),"a50ce892")</f>
        <v>a50ce892</v>
      </c>
      <c r="G3848" s="211" t="str">
        <f>IFERROR(__xludf.DUMMYFUNCTION("""COMPUTED_VALUE"""),"Nitrogen 6m3")</f>
        <v>Nitrogen 6m3</v>
      </c>
      <c r="H3848" s="211" t="str">
        <f>IFERROR(__xludf.DUMMYFUNCTION("""COMPUTED_VALUE"""),"IN")</f>
        <v>IN</v>
      </c>
      <c r="I3848" s="211" t="str">
        <f>IFERROR(__xludf.DUMMYFUNCTION("""COMPUTED_VALUE"""),"EMPTY")</f>
        <v>EMPTY</v>
      </c>
      <c r="J3848" s="211">
        <f>IFERROR(__xludf.DUMMYFUNCTION("""COMPUTED_VALUE"""),3.0)</f>
        <v>3</v>
      </c>
      <c r="K3848" s="210" t="str">
        <f>IFERROR(__xludf.DUMMYFUNCTION("""COMPUTED_VALUE"""),"14002 14004 14005")</f>
        <v>14002 14004 14005</v>
      </c>
      <c r="L3848" s="211">
        <f>IFERROR(__xludf.DUMMYFUNCTION("""COMPUTED_VALUE"""),0.0)</f>
        <v>0</v>
      </c>
      <c r="M3848" s="211"/>
      <c r="N3848" s="211"/>
      <c r="O3848" s="211" t="b">
        <f>IFERROR(__xludf.DUMMYFUNCTION("""COMPUTED_VALUE"""),FALSE)</f>
        <v>0</v>
      </c>
    </row>
    <row r="3849">
      <c r="A3849" s="210" t="str">
        <f>IFERROR(__xludf.DUMMYFUNCTION("""COMPUTED_VALUE"""),"1261290")</f>
        <v>1261290</v>
      </c>
      <c r="B3849" s="210" t="str">
        <f>IFERROR(__xludf.DUMMYFUNCTION("""COMPUTED_VALUE"""),"1261290")</f>
        <v>1261290</v>
      </c>
      <c r="C3849" s="213">
        <f>IFERROR(__xludf.DUMMYFUNCTION("""COMPUTED_VALUE"""),46077.608622685184)</f>
        <v>46077.60862</v>
      </c>
      <c r="D3849" s="211" t="str">
        <f>IFERROR(__xludf.DUMMYFUNCTION("""COMPUTED_VALUE"""),"d9b2fac5")</f>
        <v>d9b2fac5</v>
      </c>
      <c r="E3849" s="211" t="str">
        <f>IFERROR(__xludf.DUMMYFUNCTION("""COMPUTED_VALUE"""),"Dwi Riza ( Ponokawan)")</f>
        <v>Dwi Riza ( Ponokawan)</v>
      </c>
      <c r="F3849" s="211" t="str">
        <f>IFERROR(__xludf.DUMMYFUNCTION("""COMPUTED_VALUE"""),"8bdbe149")</f>
        <v>8bdbe149</v>
      </c>
      <c r="G3849" s="211" t="str">
        <f>IFERROR(__xludf.DUMMYFUNCTION("""COMPUTED_VALUE"""),"Oksigen 6m3")</f>
        <v>Oksigen 6m3</v>
      </c>
      <c r="H3849" s="211" t="str">
        <f>IFERROR(__xludf.DUMMYFUNCTION("""COMPUTED_VALUE"""),"IN")</f>
        <v>IN</v>
      </c>
      <c r="I3849" s="211" t="str">
        <f>IFERROR(__xludf.DUMMYFUNCTION("""COMPUTED_VALUE"""),"EMPTY")</f>
        <v>EMPTY</v>
      </c>
      <c r="J3849" s="211">
        <f>IFERROR(__xludf.DUMMYFUNCTION("""COMPUTED_VALUE"""),2.0)</f>
        <v>2</v>
      </c>
      <c r="K3849" s="210" t="str">
        <f>IFERROR(__xludf.DUMMYFUNCTION("""COMPUTED_VALUE"""),"11239 11351")</f>
        <v>11239 11351</v>
      </c>
      <c r="L3849" s="211">
        <f>IFERROR(__xludf.DUMMYFUNCTION("""COMPUTED_VALUE"""),0.0)</f>
        <v>0</v>
      </c>
      <c r="M3849" s="211"/>
      <c r="N3849" s="211"/>
      <c r="O3849" s="211" t="b">
        <f>IFERROR(__xludf.DUMMYFUNCTION("""COMPUTED_VALUE"""),FALSE)</f>
        <v>0</v>
      </c>
    </row>
    <row r="3850">
      <c r="A3850" s="210" t="str">
        <f>IFERROR(__xludf.DUMMYFUNCTION("""COMPUTED_VALUE"""),"1261290")</f>
        <v>1261290</v>
      </c>
      <c r="B3850" s="210" t="str">
        <f>IFERROR(__xludf.DUMMYFUNCTION("""COMPUTED_VALUE"""),"1261290")</f>
        <v>1261290</v>
      </c>
      <c r="C3850" s="213">
        <f>IFERROR(__xludf.DUMMYFUNCTION("""COMPUTED_VALUE"""),46077.608622685184)</f>
        <v>46077.60862</v>
      </c>
      <c r="D3850" s="211" t="str">
        <f>IFERROR(__xludf.DUMMYFUNCTION("""COMPUTED_VALUE"""),"d9b2fac5")</f>
        <v>d9b2fac5</v>
      </c>
      <c r="E3850" s="211" t="str">
        <f>IFERROR(__xludf.DUMMYFUNCTION("""COMPUTED_VALUE"""),"Dwi Riza ( Ponokawan)")</f>
        <v>Dwi Riza ( Ponokawan)</v>
      </c>
      <c r="F3850" s="211" t="str">
        <f>IFERROR(__xludf.DUMMYFUNCTION("""COMPUTED_VALUE"""),"8bdbe149")</f>
        <v>8bdbe149</v>
      </c>
      <c r="G3850" s="211" t="str">
        <f>IFERROR(__xludf.DUMMYFUNCTION("""COMPUTED_VALUE"""),"Oksigen 6m3")</f>
        <v>Oksigen 6m3</v>
      </c>
      <c r="H3850" s="211" t="str">
        <f>IFERROR(__xludf.DUMMYFUNCTION("""COMPUTED_VALUE"""),"IN")</f>
        <v>IN</v>
      </c>
      <c r="I3850" s="211" t="str">
        <f>IFERROR(__xludf.DUMMYFUNCTION("""COMPUTED_VALUE"""),"EMPTY")</f>
        <v>EMPTY</v>
      </c>
      <c r="J3850" s="211">
        <f>IFERROR(__xludf.DUMMYFUNCTION("""COMPUTED_VALUE"""),1.0)</f>
        <v>1</v>
      </c>
      <c r="K3850" s="210" t="str">
        <f>IFERROR(__xludf.DUMMYFUNCTION("""COMPUTED_VALUE"""),"11103")</f>
        <v>11103</v>
      </c>
      <c r="L3850" s="211">
        <f>IFERROR(__xludf.DUMMYFUNCTION("""COMPUTED_VALUE"""),0.0)</f>
        <v>0</v>
      </c>
      <c r="M3850" s="211"/>
      <c r="N3850" s="211"/>
      <c r="O3850" s="211" t="b">
        <f>IFERROR(__xludf.DUMMYFUNCTION("""COMPUTED_VALUE"""),TRUE)</f>
        <v>1</v>
      </c>
    </row>
    <row r="3851">
      <c r="A3851" s="210" t="str">
        <f>IFERROR(__xludf.DUMMYFUNCTION("""COMPUTED_VALUE"""),"1261298")</f>
        <v>1261298</v>
      </c>
      <c r="B3851" s="210" t="str">
        <f>IFERROR(__xludf.DUMMYFUNCTION("""COMPUTED_VALUE"""),"1261298")</f>
        <v>1261298</v>
      </c>
      <c r="C3851" s="213">
        <f>IFERROR(__xludf.DUMMYFUNCTION("""COMPUTED_VALUE"""),46078.34818287037)</f>
        <v>46078.34818</v>
      </c>
      <c r="D3851" s="211" t="str">
        <f>IFERROR(__xludf.DUMMYFUNCTION("""COMPUTED_VALUE"""),"e86baf3b")</f>
        <v>e86baf3b</v>
      </c>
      <c r="E3851" s="211" t="str">
        <f>IFERROR(__xludf.DUMMYFUNCTION("""COMPUTED_VALUE"""),"PT GEMILANG CIPTA WAWASAN")</f>
        <v>PT GEMILANG CIPTA WAWASAN</v>
      </c>
      <c r="F3851" s="211" t="str">
        <f>IFERROR(__xludf.DUMMYFUNCTION("""COMPUTED_VALUE"""),"8bdbe149")</f>
        <v>8bdbe149</v>
      </c>
      <c r="G3851" s="211" t="str">
        <f>IFERROR(__xludf.DUMMYFUNCTION("""COMPUTED_VALUE"""),"Oksigen 6m3")</f>
        <v>Oksigen 6m3</v>
      </c>
      <c r="H3851" s="211" t="str">
        <f>IFERROR(__xludf.DUMMYFUNCTION("""COMPUTED_VALUE"""),"IN")</f>
        <v>IN</v>
      </c>
      <c r="I3851" s="211" t="str">
        <f>IFERROR(__xludf.DUMMYFUNCTION("""COMPUTED_VALUE"""),"EMPTY")</f>
        <v>EMPTY</v>
      </c>
      <c r="J3851" s="211">
        <f>IFERROR(__xludf.DUMMYFUNCTION("""COMPUTED_VALUE"""),10.0)</f>
        <v>10</v>
      </c>
      <c r="K3851" s="210" t="str">
        <f>IFERROR(__xludf.DUMMYFUNCTION("""COMPUTED_VALUE"""),"1196 11251 11265 11295 1132 11244 11253 11341 11257 1185")</f>
        <v>1196 11251 11265 11295 1132 11244 11253 11341 11257 1185</v>
      </c>
      <c r="L3851" s="211">
        <f>IFERROR(__xludf.DUMMYFUNCTION("""COMPUTED_VALUE"""),0.0)</f>
        <v>0</v>
      </c>
      <c r="M3851" s="211"/>
      <c r="N3851" s="211"/>
      <c r="O3851" s="211" t="b">
        <f>IFERROR(__xludf.DUMMYFUNCTION("""COMPUTED_VALUE"""),FALSE)</f>
        <v>0</v>
      </c>
    </row>
    <row r="3852">
      <c r="A3852" s="210" t="str">
        <f>IFERROR(__xludf.DUMMYFUNCTION("""COMPUTED_VALUE"""),"1261298")</f>
        <v>1261298</v>
      </c>
      <c r="B3852" s="210" t="str">
        <f>IFERROR(__xludf.DUMMYFUNCTION("""COMPUTED_VALUE"""),"1261298")</f>
        <v>1261298</v>
      </c>
      <c r="C3852" s="213">
        <f>IFERROR(__xludf.DUMMYFUNCTION("""COMPUTED_VALUE"""),46078.34818287037)</f>
        <v>46078.34818</v>
      </c>
      <c r="D3852" s="211" t="str">
        <f>IFERROR(__xludf.DUMMYFUNCTION("""COMPUTED_VALUE"""),"e86baf3b")</f>
        <v>e86baf3b</v>
      </c>
      <c r="E3852" s="211" t="str">
        <f>IFERROR(__xludf.DUMMYFUNCTION("""COMPUTED_VALUE"""),"PT GEMILANG CIPTA WAWASAN")</f>
        <v>PT GEMILANG CIPTA WAWASAN</v>
      </c>
      <c r="F3852" s="211" t="str">
        <f>IFERROR(__xludf.DUMMYFUNCTION("""COMPUTED_VALUE"""),"7d2764f1")</f>
        <v>7d2764f1</v>
      </c>
      <c r="G3852" s="211" t="str">
        <f>IFERROR(__xludf.DUMMYFUNCTION("""COMPUTED_VALUE"""),"Oksigen 7m3")</f>
        <v>Oksigen 7m3</v>
      </c>
      <c r="H3852" s="211" t="str">
        <f>IFERROR(__xludf.DUMMYFUNCTION("""COMPUTED_VALUE"""),"IN")</f>
        <v>IN</v>
      </c>
      <c r="I3852" s="211" t="str">
        <f>IFERROR(__xludf.DUMMYFUNCTION("""COMPUTED_VALUE"""),"EMPTY")</f>
        <v>EMPTY</v>
      </c>
      <c r="J3852" s="211">
        <f>IFERROR(__xludf.DUMMYFUNCTION("""COMPUTED_VALUE"""),1.0)</f>
        <v>1</v>
      </c>
      <c r="K3852" s="210" t="str">
        <f>IFERROR(__xludf.DUMMYFUNCTION("""COMPUTED_VALUE"""),"11152")</f>
        <v>11152</v>
      </c>
      <c r="L3852" s="211">
        <f>IFERROR(__xludf.DUMMYFUNCTION("""COMPUTED_VALUE"""),0.0)</f>
        <v>0</v>
      </c>
      <c r="M3852" s="211"/>
      <c r="N3852" s="211"/>
      <c r="O3852" s="211" t="b">
        <f>IFERROR(__xludf.DUMMYFUNCTION("""COMPUTED_VALUE"""),FALSE)</f>
        <v>0</v>
      </c>
    </row>
    <row r="3853">
      <c r="A3853" s="210" t="str">
        <f>IFERROR(__xludf.DUMMYFUNCTION("""COMPUTED_VALUE"""),"1261298")</f>
        <v>1261298</v>
      </c>
      <c r="B3853" s="210" t="str">
        <f>IFERROR(__xludf.DUMMYFUNCTION("""COMPUTED_VALUE"""),"1261298")</f>
        <v>1261298</v>
      </c>
      <c r="C3853" s="213">
        <f>IFERROR(__xludf.DUMMYFUNCTION("""COMPUTED_VALUE"""),46078.34818287037)</f>
        <v>46078.34818</v>
      </c>
      <c r="D3853" s="211" t="str">
        <f>IFERROR(__xludf.DUMMYFUNCTION("""COMPUTED_VALUE"""),"e86baf3b")</f>
        <v>e86baf3b</v>
      </c>
      <c r="E3853" s="211" t="str">
        <f>IFERROR(__xludf.DUMMYFUNCTION("""COMPUTED_VALUE"""),"PT GEMILANG CIPTA WAWASAN")</f>
        <v>PT GEMILANG CIPTA WAWASAN</v>
      </c>
      <c r="F3853" s="211" t="str">
        <f>IFERROR(__xludf.DUMMYFUNCTION("""COMPUTED_VALUE"""),"8bdbe149")</f>
        <v>8bdbe149</v>
      </c>
      <c r="G3853" s="211" t="str">
        <f>IFERROR(__xludf.DUMMYFUNCTION("""COMPUTED_VALUE"""),"Oksigen 6m3")</f>
        <v>Oksigen 6m3</v>
      </c>
      <c r="H3853" s="211" t="str">
        <f>IFERROR(__xludf.DUMMYFUNCTION("""COMPUTED_VALUE"""),"IN")</f>
        <v>IN</v>
      </c>
      <c r="I3853" s="211" t="str">
        <f>IFERROR(__xludf.DUMMYFUNCTION("""COMPUTED_VALUE"""),"EMPTY")</f>
        <v>EMPTY</v>
      </c>
      <c r="J3853" s="211">
        <f>IFERROR(__xludf.DUMMYFUNCTION("""COMPUTED_VALUE"""),1.0)</f>
        <v>1</v>
      </c>
      <c r="K3853" s="210" t="str">
        <f>IFERROR(__xludf.DUMMYFUNCTION("""COMPUTED_VALUE"""),"1145")</f>
        <v>1145</v>
      </c>
      <c r="L3853" s="211">
        <f>IFERROR(__xludf.DUMMYFUNCTION("""COMPUTED_VALUE"""),0.0)</f>
        <v>0</v>
      </c>
      <c r="M3853" s="211"/>
      <c r="N3853" s="211"/>
      <c r="O3853" s="211" t="b">
        <f>IFERROR(__xludf.DUMMYFUNCTION("""COMPUTED_VALUE"""),TRUE)</f>
        <v>1</v>
      </c>
    </row>
    <row r="3854">
      <c r="A3854" s="210" t="str">
        <f>IFERROR(__xludf.DUMMYFUNCTION("""COMPUTED_VALUE"""),"1261298")</f>
        <v>1261298</v>
      </c>
      <c r="B3854" s="210" t="str">
        <f>IFERROR(__xludf.DUMMYFUNCTION("""COMPUTED_VALUE"""),"1261298")</f>
        <v>1261298</v>
      </c>
      <c r="C3854" s="213">
        <f>IFERROR(__xludf.DUMMYFUNCTION("""COMPUTED_VALUE"""),46078.34818287037)</f>
        <v>46078.34818</v>
      </c>
      <c r="D3854" s="211" t="str">
        <f>IFERROR(__xludf.DUMMYFUNCTION("""COMPUTED_VALUE"""),"e86baf3b")</f>
        <v>e86baf3b</v>
      </c>
      <c r="E3854" s="211" t="str">
        <f>IFERROR(__xludf.DUMMYFUNCTION("""COMPUTED_VALUE"""),"PT GEMILANG CIPTA WAWASAN")</f>
        <v>PT GEMILANG CIPTA WAWASAN</v>
      </c>
      <c r="F3854" s="211" t="str">
        <f>IFERROR(__xludf.DUMMYFUNCTION("""COMPUTED_VALUE"""),"66af7c72")</f>
        <v>66af7c72</v>
      </c>
      <c r="G3854" s="211" t="str">
        <f>IFERROR(__xludf.DUMMYFUNCTION("""COMPUTED_VALUE"""),"Argon 6m3")</f>
        <v>Argon 6m3</v>
      </c>
      <c r="H3854" s="211" t="str">
        <f>IFERROR(__xludf.DUMMYFUNCTION("""COMPUTED_VALUE"""),"IN")</f>
        <v>IN</v>
      </c>
      <c r="I3854" s="211" t="str">
        <f>IFERROR(__xludf.DUMMYFUNCTION("""COMPUTED_VALUE"""),"EMPTY")</f>
        <v>EMPTY</v>
      </c>
      <c r="J3854" s="211">
        <f>IFERROR(__xludf.DUMMYFUNCTION("""COMPUTED_VALUE"""),8.0)</f>
        <v>8</v>
      </c>
      <c r="K3854" s="210" t="str">
        <f>IFERROR(__xludf.DUMMYFUNCTION("""COMPUTED_VALUE"""),"12064 12015 12041 12038 12065 12006 12066 12073")</f>
        <v>12064 12015 12041 12038 12065 12006 12066 12073</v>
      </c>
      <c r="L3854" s="211">
        <f>IFERROR(__xludf.DUMMYFUNCTION("""COMPUTED_VALUE"""),0.0)</f>
        <v>0</v>
      </c>
      <c r="M3854" s="211"/>
      <c r="N3854" s="211"/>
      <c r="O3854" s="211" t="b">
        <f>IFERROR(__xludf.DUMMYFUNCTION("""COMPUTED_VALUE"""),FALSE)</f>
        <v>0</v>
      </c>
    </row>
    <row r="3855">
      <c r="A3855" s="210" t="str">
        <f>IFERROR(__xludf.DUMMYFUNCTION("""COMPUTED_VALUE"""),"0226252656")</f>
        <v>0226252656</v>
      </c>
      <c r="B3855" s="210" t="str">
        <f>IFERROR(__xludf.DUMMYFUNCTION("""COMPUTED_VALUE"""),"0226252656")</f>
        <v>0226252656</v>
      </c>
      <c r="C3855" s="213">
        <f>IFERROR(__xludf.DUMMYFUNCTION("""COMPUTED_VALUE"""),46078.39969907407)</f>
        <v>46078.3997</v>
      </c>
      <c r="D3855" s="211" t="str">
        <f>IFERROR(__xludf.DUMMYFUNCTION("""COMPUTED_VALUE"""),"8ea74d81")</f>
        <v>8ea74d81</v>
      </c>
      <c r="E3855" s="211" t="str">
        <f>IFERROR(__xludf.DUMMYFUNCTION("""COMPUTED_VALUE"""),"Bengkel Adi Putra")</f>
        <v>Bengkel Adi Putra</v>
      </c>
      <c r="F3855" s="211" t="str">
        <f>IFERROR(__xludf.DUMMYFUNCTION("""COMPUTED_VALUE"""),"ef306e54")</f>
        <v>ef306e54</v>
      </c>
      <c r="G3855" s="211" t="str">
        <f>IFERROR(__xludf.DUMMYFUNCTION("""COMPUTED_VALUE"""),"Karbondioksida")</f>
        <v>Karbondioksida</v>
      </c>
      <c r="H3855" s="211" t="str">
        <f>IFERROR(__xludf.DUMMYFUNCTION("""COMPUTED_VALUE"""),"OUT")</f>
        <v>OUT</v>
      </c>
      <c r="I3855" s="211" t="str">
        <f>IFERROR(__xludf.DUMMYFUNCTION("""COMPUTED_VALUE"""),"NORMAL")</f>
        <v>NORMAL</v>
      </c>
      <c r="J3855" s="211">
        <f>IFERROR(__xludf.DUMMYFUNCTION("""COMPUTED_VALUE"""),2.0)</f>
        <v>2</v>
      </c>
      <c r="K3855" s="210" t="str">
        <f>IFERROR(__xludf.DUMMYFUNCTION("""COMPUTED_VALUE"""),"13007 13014")</f>
        <v>13007 13014</v>
      </c>
      <c r="L3855" s="211">
        <f>IFERROR(__xludf.DUMMYFUNCTION("""COMPUTED_VALUE"""),190000.0)</f>
        <v>190000</v>
      </c>
      <c r="M3855" s="211"/>
      <c r="N3855" s="211"/>
      <c r="O3855" s="211" t="b">
        <f>IFERROR(__xludf.DUMMYFUNCTION("""COMPUTED_VALUE"""),FALSE)</f>
        <v>0</v>
      </c>
    </row>
    <row r="3856">
      <c r="A3856" s="210" t="str">
        <f>IFERROR(__xludf.DUMMYFUNCTION("""COMPUTED_VALUE"""),"0226232664")</f>
        <v>0226232664</v>
      </c>
      <c r="B3856" s="210" t="str">
        <f>IFERROR(__xludf.DUMMYFUNCTION("""COMPUTED_VALUE"""),"0226232664")</f>
        <v>0226232664</v>
      </c>
      <c r="C3856" s="213">
        <f>IFERROR(__xludf.DUMMYFUNCTION("""COMPUTED_VALUE"""),46078.41131944444)</f>
        <v>46078.41132</v>
      </c>
      <c r="D3856" s="211" t="str">
        <f>IFERROR(__xludf.DUMMYFUNCTION("""COMPUTED_VALUE"""),"63fc688a")</f>
        <v>63fc688a</v>
      </c>
      <c r="E3856" s="211" t="str">
        <f>IFERROR(__xludf.DUMMYFUNCTION("""COMPUTED_VALUE"""),"CV Malik Nusantara")</f>
        <v>CV Malik Nusantara</v>
      </c>
      <c r="F3856" s="211" t="str">
        <f>IFERROR(__xludf.DUMMYFUNCTION("""COMPUTED_VALUE"""),"8bdbe149")</f>
        <v>8bdbe149</v>
      </c>
      <c r="G3856" s="211" t="str">
        <f>IFERROR(__xludf.DUMMYFUNCTION("""COMPUTED_VALUE"""),"Oksigen 6m3")</f>
        <v>Oksigen 6m3</v>
      </c>
      <c r="H3856" s="211" t="str">
        <f>IFERROR(__xludf.DUMMYFUNCTION("""COMPUTED_VALUE"""),"OUT")</f>
        <v>OUT</v>
      </c>
      <c r="I3856" s="211" t="str">
        <f>IFERROR(__xludf.DUMMYFUNCTION("""COMPUTED_VALUE"""),"NORMAL")</f>
        <v>NORMAL</v>
      </c>
      <c r="J3856" s="211">
        <f>IFERROR(__xludf.DUMMYFUNCTION("""COMPUTED_VALUE"""),5.0)</f>
        <v>5</v>
      </c>
      <c r="K3856" s="210" t="str">
        <f>IFERROR(__xludf.DUMMYFUNCTION("""COMPUTED_VALUE"""),"1137 11324 11319 11309 11182")</f>
        <v>1137 11324 11319 11309 11182</v>
      </c>
      <c r="L3856" s="211">
        <f>IFERROR(__xludf.DUMMYFUNCTION("""COMPUTED_VALUE"""),65000.0)</f>
        <v>65000</v>
      </c>
      <c r="M3856" s="211"/>
      <c r="N3856" s="211"/>
      <c r="O3856" s="211" t="b">
        <f>IFERROR(__xludf.DUMMYFUNCTION("""COMPUTED_VALUE"""),FALSE)</f>
        <v>0</v>
      </c>
    </row>
    <row r="3857">
      <c r="A3857" s="210" t="str">
        <f>IFERROR(__xludf.DUMMYFUNCTION("""COMPUTED_VALUE"""),"1261303")</f>
        <v>1261303</v>
      </c>
      <c r="B3857" s="210" t="str">
        <f>IFERROR(__xludf.DUMMYFUNCTION("""COMPUTED_VALUE"""),"1261303")</f>
        <v>1261303</v>
      </c>
      <c r="C3857" s="213">
        <f>IFERROR(__xludf.DUMMYFUNCTION("""COMPUTED_VALUE"""),46078.46363425926)</f>
        <v>46078.46363</v>
      </c>
      <c r="D3857" s="211" t="str">
        <f>IFERROR(__xludf.DUMMYFUNCTION("""COMPUTED_VALUE"""),"7b9d8eba")</f>
        <v>7b9d8eba</v>
      </c>
      <c r="E3857" s="211" t="str">
        <f>IFERROR(__xludf.DUMMYFUNCTION("""COMPUTED_VALUE"""),"PT PELANGI INDOKARYA")</f>
        <v>PT PELANGI INDOKARYA</v>
      </c>
      <c r="F3857" s="211" t="str">
        <f>IFERROR(__xludf.DUMMYFUNCTION("""COMPUTED_VALUE"""),"8bdbe149")</f>
        <v>8bdbe149</v>
      </c>
      <c r="G3857" s="211" t="str">
        <f>IFERROR(__xludf.DUMMYFUNCTION("""COMPUTED_VALUE"""),"Oksigen 6m3")</f>
        <v>Oksigen 6m3</v>
      </c>
      <c r="H3857" s="211" t="str">
        <f>IFERROR(__xludf.DUMMYFUNCTION("""COMPUTED_VALUE"""),"IN")</f>
        <v>IN</v>
      </c>
      <c r="I3857" s="211" t="str">
        <f>IFERROR(__xludf.DUMMYFUNCTION("""COMPUTED_VALUE"""),"EMPTY")</f>
        <v>EMPTY</v>
      </c>
      <c r="J3857" s="211">
        <f>IFERROR(__xludf.DUMMYFUNCTION("""COMPUTED_VALUE"""),1.0)</f>
        <v>1</v>
      </c>
      <c r="K3857" s="210" t="str">
        <f>IFERROR(__xludf.DUMMYFUNCTION("""COMPUTED_VALUE"""),"1191")</f>
        <v>1191</v>
      </c>
      <c r="L3857" s="211">
        <f>IFERROR(__xludf.DUMMYFUNCTION("""COMPUTED_VALUE"""),0.0)</f>
        <v>0</v>
      </c>
      <c r="M3857" s="211"/>
      <c r="N3857" s="211"/>
      <c r="O3857" s="211" t="b">
        <f>IFERROR(__xludf.DUMMYFUNCTION("""COMPUTED_VALUE"""),FALSE)</f>
        <v>0</v>
      </c>
    </row>
    <row r="3858">
      <c r="A3858" s="210" t="str">
        <f>IFERROR(__xludf.DUMMYFUNCTION("""COMPUTED_VALUE"""),"1261303")</f>
        <v>1261303</v>
      </c>
      <c r="B3858" s="210" t="str">
        <f>IFERROR(__xludf.DUMMYFUNCTION("""COMPUTED_VALUE"""),"1261303")</f>
        <v>1261303</v>
      </c>
      <c r="C3858" s="213">
        <f>IFERROR(__xludf.DUMMYFUNCTION("""COMPUTED_VALUE"""),46078.46363425926)</f>
        <v>46078.46363</v>
      </c>
      <c r="D3858" s="211" t="str">
        <f>IFERROR(__xludf.DUMMYFUNCTION("""COMPUTED_VALUE"""),"7b9d8eba")</f>
        <v>7b9d8eba</v>
      </c>
      <c r="E3858" s="211" t="str">
        <f>IFERROR(__xludf.DUMMYFUNCTION("""COMPUTED_VALUE"""),"PT PELANGI INDOKARYA")</f>
        <v>PT PELANGI INDOKARYA</v>
      </c>
      <c r="F3858" s="211" t="str">
        <f>IFERROR(__xludf.DUMMYFUNCTION("""COMPUTED_VALUE"""),"ef306e54")</f>
        <v>ef306e54</v>
      </c>
      <c r="G3858" s="211" t="str">
        <f>IFERROR(__xludf.DUMMYFUNCTION("""COMPUTED_VALUE"""),"Karbondioksida")</f>
        <v>Karbondioksida</v>
      </c>
      <c r="H3858" s="211" t="str">
        <f>IFERROR(__xludf.DUMMYFUNCTION("""COMPUTED_VALUE"""),"IN")</f>
        <v>IN</v>
      </c>
      <c r="I3858" s="211" t="str">
        <f>IFERROR(__xludf.DUMMYFUNCTION("""COMPUTED_VALUE"""),"EMPTY")</f>
        <v>EMPTY</v>
      </c>
      <c r="J3858" s="211">
        <f>IFERROR(__xludf.DUMMYFUNCTION("""COMPUTED_VALUE"""),1.0)</f>
        <v>1</v>
      </c>
      <c r="K3858" s="210" t="str">
        <f>IFERROR(__xludf.DUMMYFUNCTION("""COMPUTED_VALUE"""),"13051")</f>
        <v>13051</v>
      </c>
      <c r="L3858" s="211">
        <f>IFERROR(__xludf.DUMMYFUNCTION("""COMPUTED_VALUE"""),0.0)</f>
        <v>0</v>
      </c>
      <c r="M3858" s="211"/>
      <c r="N3858" s="211"/>
      <c r="O3858" s="211" t="b">
        <f>IFERROR(__xludf.DUMMYFUNCTION("""COMPUTED_VALUE"""),FALSE)</f>
        <v>0</v>
      </c>
    </row>
    <row r="3859">
      <c r="A3859" s="210" t="str">
        <f>IFERROR(__xludf.DUMMYFUNCTION("""COMPUTED_VALUE"""),"1261303")</f>
        <v>1261303</v>
      </c>
      <c r="B3859" s="210" t="str">
        <f>IFERROR(__xludf.DUMMYFUNCTION("""COMPUTED_VALUE"""),"1261303")</f>
        <v>1261303</v>
      </c>
      <c r="C3859" s="213">
        <f>IFERROR(__xludf.DUMMYFUNCTION("""COMPUTED_VALUE"""),46078.46363425926)</f>
        <v>46078.46363</v>
      </c>
      <c r="D3859" s="211" t="str">
        <f>IFERROR(__xludf.DUMMYFUNCTION("""COMPUTED_VALUE"""),"7b9d8eba")</f>
        <v>7b9d8eba</v>
      </c>
      <c r="E3859" s="211" t="str">
        <f>IFERROR(__xludf.DUMMYFUNCTION("""COMPUTED_VALUE"""),"PT PELANGI INDOKARYA")</f>
        <v>PT PELANGI INDOKARYA</v>
      </c>
      <c r="F3859" s="211" t="str">
        <f>IFERROR(__xludf.DUMMYFUNCTION("""COMPUTED_VALUE"""),"8bdbe149")</f>
        <v>8bdbe149</v>
      </c>
      <c r="G3859" s="211" t="str">
        <f>IFERROR(__xludf.DUMMYFUNCTION("""COMPUTED_VALUE"""),"Oksigen 6m3")</f>
        <v>Oksigen 6m3</v>
      </c>
      <c r="H3859" s="211" t="str">
        <f>IFERROR(__xludf.DUMMYFUNCTION("""COMPUTED_VALUE"""),"IN")</f>
        <v>IN</v>
      </c>
      <c r="I3859" s="211" t="str">
        <f>IFERROR(__xludf.DUMMYFUNCTION("""COMPUTED_VALUE"""),"EMPTY")</f>
        <v>EMPTY</v>
      </c>
      <c r="J3859" s="211">
        <f>IFERROR(__xludf.DUMMYFUNCTION("""COMPUTED_VALUE"""),1.0)</f>
        <v>1</v>
      </c>
      <c r="K3859" s="210" t="str">
        <f>IFERROR(__xludf.DUMMYFUNCTION("""COMPUTED_VALUE"""),"11237")</f>
        <v>11237</v>
      </c>
      <c r="L3859" s="211">
        <f>IFERROR(__xludf.DUMMYFUNCTION("""COMPUTED_VALUE"""),0.0)</f>
        <v>0</v>
      </c>
      <c r="M3859" s="211"/>
      <c r="N3859" s="211"/>
      <c r="O3859" s="211" t="b">
        <f>IFERROR(__xludf.DUMMYFUNCTION("""COMPUTED_VALUE"""),TRUE)</f>
        <v>1</v>
      </c>
    </row>
    <row r="3860">
      <c r="A3860" s="210" t="str">
        <f>IFERROR(__xludf.DUMMYFUNCTION("""COMPUTED_VALUE"""),"1261300")</f>
        <v>1261300</v>
      </c>
      <c r="B3860" s="210" t="str">
        <f>IFERROR(__xludf.DUMMYFUNCTION("""COMPUTED_VALUE"""),"1261300")</f>
        <v>1261300</v>
      </c>
      <c r="C3860" s="213">
        <f>IFERROR(__xludf.DUMMYFUNCTION("""COMPUTED_VALUE"""),46078.464594907404)</f>
        <v>46078.46459</v>
      </c>
      <c r="D3860" s="211" t="str">
        <f>IFERROR(__xludf.DUMMYFUNCTION("""COMPUTED_VALUE"""),"8f5ebaea")</f>
        <v>8f5ebaea</v>
      </c>
      <c r="E3860" s="211" t="str">
        <f>IFERROR(__xludf.DUMMYFUNCTION("""COMPUTED_VALUE"""),"PT Hua Zong Mesindo")</f>
        <v>PT Hua Zong Mesindo</v>
      </c>
      <c r="F3860" s="211" t="str">
        <f>IFERROR(__xludf.DUMMYFUNCTION("""COMPUTED_VALUE"""),"8bdbe149")</f>
        <v>8bdbe149</v>
      </c>
      <c r="G3860" s="211" t="str">
        <f>IFERROR(__xludf.DUMMYFUNCTION("""COMPUTED_VALUE"""),"Oksigen 6m3")</f>
        <v>Oksigen 6m3</v>
      </c>
      <c r="H3860" s="211" t="str">
        <f>IFERROR(__xludf.DUMMYFUNCTION("""COMPUTED_VALUE"""),"IN")</f>
        <v>IN</v>
      </c>
      <c r="I3860" s="211" t="str">
        <f>IFERROR(__xludf.DUMMYFUNCTION("""COMPUTED_VALUE"""),"EMPTY")</f>
        <v>EMPTY</v>
      </c>
      <c r="J3860" s="211">
        <f>IFERROR(__xludf.DUMMYFUNCTION("""COMPUTED_VALUE"""),2.0)</f>
        <v>2</v>
      </c>
      <c r="K3860" s="210" t="str">
        <f>IFERROR(__xludf.DUMMYFUNCTION("""COMPUTED_VALUE"""),"11345 1193")</f>
        <v>11345 1193</v>
      </c>
      <c r="L3860" s="211">
        <f>IFERROR(__xludf.DUMMYFUNCTION("""COMPUTED_VALUE"""),0.0)</f>
        <v>0</v>
      </c>
      <c r="M3860" s="211"/>
      <c r="N3860" s="211"/>
      <c r="O3860" s="211" t="b">
        <f>IFERROR(__xludf.DUMMYFUNCTION("""COMPUTED_VALUE"""),FALSE)</f>
        <v>0</v>
      </c>
    </row>
    <row r="3861">
      <c r="A3861" s="210" t="str">
        <f>IFERROR(__xludf.DUMMYFUNCTION("""COMPUTED_VALUE"""),"1261300")</f>
        <v>1261300</v>
      </c>
      <c r="B3861" s="210" t="str">
        <f>IFERROR(__xludf.DUMMYFUNCTION("""COMPUTED_VALUE"""),"1261300")</f>
        <v>1261300</v>
      </c>
      <c r="C3861" s="213">
        <f>IFERROR(__xludf.DUMMYFUNCTION("""COMPUTED_VALUE"""),46078.464594907404)</f>
        <v>46078.46459</v>
      </c>
      <c r="D3861" s="211" t="str">
        <f>IFERROR(__xludf.DUMMYFUNCTION("""COMPUTED_VALUE"""),"8f5ebaea")</f>
        <v>8f5ebaea</v>
      </c>
      <c r="E3861" s="211" t="str">
        <f>IFERROR(__xludf.DUMMYFUNCTION("""COMPUTED_VALUE"""),"PT Hua Zong Mesindo")</f>
        <v>PT Hua Zong Mesindo</v>
      </c>
      <c r="F3861" s="211" t="str">
        <f>IFERROR(__xludf.DUMMYFUNCTION("""COMPUTED_VALUE"""),"66af7c72")</f>
        <v>66af7c72</v>
      </c>
      <c r="G3861" s="211" t="str">
        <f>IFERROR(__xludf.DUMMYFUNCTION("""COMPUTED_VALUE"""),"Argon 6m3")</f>
        <v>Argon 6m3</v>
      </c>
      <c r="H3861" s="211" t="str">
        <f>IFERROR(__xludf.DUMMYFUNCTION("""COMPUTED_VALUE"""),"IN")</f>
        <v>IN</v>
      </c>
      <c r="I3861" s="211" t="str">
        <f>IFERROR(__xludf.DUMMYFUNCTION("""COMPUTED_VALUE"""),"EMPTY")</f>
        <v>EMPTY</v>
      </c>
      <c r="J3861" s="211">
        <f>IFERROR(__xludf.DUMMYFUNCTION("""COMPUTED_VALUE"""),4.0)</f>
        <v>4</v>
      </c>
      <c r="K3861" s="210" t="str">
        <f>IFERROR(__xludf.DUMMYFUNCTION("""COMPUTED_VALUE"""),"12063 12077 12047 12016")</f>
        <v>12063 12077 12047 12016</v>
      </c>
      <c r="L3861" s="211">
        <f>IFERROR(__xludf.DUMMYFUNCTION("""COMPUTED_VALUE"""),0.0)</f>
        <v>0</v>
      </c>
      <c r="M3861" s="211"/>
      <c r="N3861" s="211"/>
      <c r="O3861" s="211" t="b">
        <f>IFERROR(__xludf.DUMMYFUNCTION("""COMPUTED_VALUE"""),FALSE)</f>
        <v>0</v>
      </c>
    </row>
    <row r="3862">
      <c r="A3862" s="210" t="str">
        <f>IFERROR(__xludf.DUMMYFUNCTION("""COMPUTED_VALUE"""),"1261299")</f>
        <v>1261299</v>
      </c>
      <c r="B3862" s="210" t="str">
        <f>IFERROR(__xludf.DUMMYFUNCTION("""COMPUTED_VALUE"""),"1261299")</f>
        <v>1261299</v>
      </c>
      <c r="C3862" s="213">
        <f>IFERROR(__xludf.DUMMYFUNCTION("""COMPUTED_VALUE"""),46078.46517361111)</f>
        <v>46078.46517</v>
      </c>
      <c r="D3862" s="211" t="str">
        <f>IFERROR(__xludf.DUMMYFUNCTION("""COMPUTED_VALUE"""),"8ea74d81")</f>
        <v>8ea74d81</v>
      </c>
      <c r="E3862" s="211" t="str">
        <f>IFERROR(__xludf.DUMMYFUNCTION("""COMPUTED_VALUE"""),"Bengkel Adi Putra")</f>
        <v>Bengkel Adi Putra</v>
      </c>
      <c r="F3862" s="211" t="str">
        <f>IFERROR(__xludf.DUMMYFUNCTION("""COMPUTED_VALUE"""),"8bdbe149")</f>
        <v>8bdbe149</v>
      </c>
      <c r="G3862" s="211" t="str">
        <f>IFERROR(__xludf.DUMMYFUNCTION("""COMPUTED_VALUE"""),"Oksigen 6m3")</f>
        <v>Oksigen 6m3</v>
      </c>
      <c r="H3862" s="211" t="str">
        <f>IFERROR(__xludf.DUMMYFUNCTION("""COMPUTED_VALUE"""),"IN")</f>
        <v>IN</v>
      </c>
      <c r="I3862" s="211" t="str">
        <f>IFERROR(__xludf.DUMMYFUNCTION("""COMPUTED_VALUE"""),"EMPTY")</f>
        <v>EMPTY</v>
      </c>
      <c r="J3862" s="211">
        <f>IFERROR(__xludf.DUMMYFUNCTION("""COMPUTED_VALUE"""),1.0)</f>
        <v>1</v>
      </c>
      <c r="K3862" s="210" t="str">
        <f>IFERROR(__xludf.DUMMYFUNCTION("""COMPUTED_VALUE"""),"11290")</f>
        <v>11290</v>
      </c>
      <c r="L3862" s="211">
        <f>IFERROR(__xludf.DUMMYFUNCTION("""COMPUTED_VALUE"""),0.0)</f>
        <v>0</v>
      </c>
      <c r="M3862" s="211"/>
      <c r="N3862" s="211"/>
      <c r="O3862" s="211" t="b">
        <f>IFERROR(__xludf.DUMMYFUNCTION("""COMPUTED_VALUE"""),FALSE)</f>
        <v>0</v>
      </c>
    </row>
    <row r="3863">
      <c r="A3863" s="210" t="str">
        <f>IFERROR(__xludf.DUMMYFUNCTION("""COMPUTED_VALUE"""),"1261299")</f>
        <v>1261299</v>
      </c>
      <c r="B3863" s="210" t="str">
        <f>IFERROR(__xludf.DUMMYFUNCTION("""COMPUTED_VALUE"""),"1261299")</f>
        <v>1261299</v>
      </c>
      <c r="C3863" s="213">
        <f>IFERROR(__xludf.DUMMYFUNCTION("""COMPUTED_VALUE"""),46078.46517361111)</f>
        <v>46078.46517</v>
      </c>
      <c r="D3863" s="211" t="str">
        <f>IFERROR(__xludf.DUMMYFUNCTION("""COMPUTED_VALUE"""),"8ea74d81")</f>
        <v>8ea74d81</v>
      </c>
      <c r="E3863" s="211" t="str">
        <f>IFERROR(__xludf.DUMMYFUNCTION("""COMPUTED_VALUE"""),"Bengkel Adi Putra")</f>
        <v>Bengkel Adi Putra</v>
      </c>
      <c r="F3863" s="211" t="str">
        <f>IFERROR(__xludf.DUMMYFUNCTION("""COMPUTED_VALUE"""),"ef306e54")</f>
        <v>ef306e54</v>
      </c>
      <c r="G3863" s="211" t="str">
        <f>IFERROR(__xludf.DUMMYFUNCTION("""COMPUTED_VALUE"""),"Karbondioksida")</f>
        <v>Karbondioksida</v>
      </c>
      <c r="H3863" s="211" t="str">
        <f>IFERROR(__xludf.DUMMYFUNCTION("""COMPUTED_VALUE"""),"IN")</f>
        <v>IN</v>
      </c>
      <c r="I3863" s="211" t="str">
        <f>IFERROR(__xludf.DUMMYFUNCTION("""COMPUTED_VALUE"""),"EMPTY")</f>
        <v>EMPTY</v>
      </c>
      <c r="J3863" s="211">
        <f>IFERROR(__xludf.DUMMYFUNCTION("""COMPUTED_VALUE"""),1.0)</f>
        <v>1</v>
      </c>
      <c r="K3863" s="210" t="str">
        <f>IFERROR(__xludf.DUMMYFUNCTION("""COMPUTED_VALUE"""),"13037")</f>
        <v>13037</v>
      </c>
      <c r="L3863" s="211">
        <f>IFERROR(__xludf.DUMMYFUNCTION("""COMPUTED_VALUE"""),0.0)</f>
        <v>0</v>
      </c>
      <c r="M3863" s="211"/>
      <c r="N3863" s="211"/>
      <c r="O3863" s="211" t="b">
        <f>IFERROR(__xludf.DUMMYFUNCTION("""COMPUTED_VALUE"""),FALSE)</f>
        <v>0</v>
      </c>
    </row>
    <row r="3864">
      <c r="A3864" s="210" t="str">
        <f>IFERROR(__xludf.DUMMYFUNCTION("""COMPUTED_VALUE"""),"1261304")</f>
        <v>1261304</v>
      </c>
      <c r="B3864" s="210" t="str">
        <f>IFERROR(__xludf.DUMMYFUNCTION("""COMPUTED_VALUE"""),"1261304")</f>
        <v>1261304</v>
      </c>
      <c r="C3864" s="213">
        <f>IFERROR(__xludf.DUMMYFUNCTION("""COMPUTED_VALUE"""),46078.465578703705)</f>
        <v>46078.46558</v>
      </c>
      <c r="D3864" s="211" t="str">
        <f>IFERROR(__xludf.DUMMYFUNCTION("""COMPUTED_VALUE"""),"734c6d17")</f>
        <v>734c6d17</v>
      </c>
      <c r="E3864" s="211" t="str">
        <f>IFERROR(__xludf.DUMMYFUNCTION("""COMPUTED_VALUE"""),"Bapak Ainol Yaqin ( Bpk. Ibnu )")</f>
        <v>Bapak Ainol Yaqin ( Bpk. Ibnu )</v>
      </c>
      <c r="F3864" s="211" t="str">
        <f>IFERROR(__xludf.DUMMYFUNCTION("""COMPUTED_VALUE"""),"8bdbe149")</f>
        <v>8bdbe149</v>
      </c>
      <c r="G3864" s="211" t="str">
        <f>IFERROR(__xludf.DUMMYFUNCTION("""COMPUTED_VALUE"""),"Oksigen 6m3")</f>
        <v>Oksigen 6m3</v>
      </c>
      <c r="H3864" s="211" t="str">
        <f>IFERROR(__xludf.DUMMYFUNCTION("""COMPUTED_VALUE"""),"IN")</f>
        <v>IN</v>
      </c>
      <c r="I3864" s="211" t="str">
        <f>IFERROR(__xludf.DUMMYFUNCTION("""COMPUTED_VALUE"""),"EMPTY")</f>
        <v>EMPTY</v>
      </c>
      <c r="J3864" s="211">
        <f>IFERROR(__xludf.DUMMYFUNCTION("""COMPUTED_VALUE"""),1.0)</f>
        <v>1</v>
      </c>
      <c r="K3864" s="210" t="str">
        <f>IFERROR(__xludf.DUMMYFUNCTION("""COMPUTED_VALUE"""),"11192")</f>
        <v>11192</v>
      </c>
      <c r="L3864" s="211">
        <f>IFERROR(__xludf.DUMMYFUNCTION("""COMPUTED_VALUE"""),0.0)</f>
        <v>0</v>
      </c>
      <c r="M3864" s="211"/>
      <c r="N3864" s="211"/>
      <c r="O3864" s="211" t="b">
        <f>IFERROR(__xludf.DUMMYFUNCTION("""COMPUTED_VALUE"""),FALSE)</f>
        <v>0</v>
      </c>
    </row>
    <row r="3865">
      <c r="A3865" s="210" t="str">
        <f>IFERROR(__xludf.DUMMYFUNCTION("""COMPUTED_VALUE"""),"0226182665")</f>
        <v>0226182665</v>
      </c>
      <c r="B3865" s="210" t="str">
        <f>IFERROR(__xludf.DUMMYFUNCTION("""COMPUTED_VALUE"""),"0226182665")</f>
        <v>0226182665</v>
      </c>
      <c r="C3865" s="213">
        <f>IFERROR(__xludf.DUMMYFUNCTION("""COMPUTED_VALUE"""),46078.475694444445)</f>
        <v>46078.47569</v>
      </c>
      <c r="D3865" s="211" t="str">
        <f>IFERROR(__xludf.DUMMYFUNCTION("""COMPUTED_VALUE"""),"a0f0ad2d")</f>
        <v>a0f0ad2d</v>
      </c>
      <c r="E3865" s="211" t="str">
        <f>IFERROR(__xludf.DUMMYFUNCTION("""COMPUTED_VALUE"""),"CV. Yulie Jaya")</f>
        <v>CV. Yulie Jaya</v>
      </c>
      <c r="F3865" s="211" t="str">
        <f>IFERROR(__xludf.DUMMYFUNCTION("""COMPUTED_VALUE"""),"8bdbe149")</f>
        <v>8bdbe149</v>
      </c>
      <c r="G3865" s="211" t="str">
        <f>IFERROR(__xludf.DUMMYFUNCTION("""COMPUTED_VALUE"""),"Oksigen 6m3")</f>
        <v>Oksigen 6m3</v>
      </c>
      <c r="H3865" s="211" t="str">
        <f>IFERROR(__xludf.DUMMYFUNCTION("""COMPUTED_VALUE"""),"OUT")</f>
        <v>OUT</v>
      </c>
      <c r="I3865" s="211" t="str">
        <f>IFERROR(__xludf.DUMMYFUNCTION("""COMPUTED_VALUE"""),"NORMAL")</f>
        <v>NORMAL</v>
      </c>
      <c r="J3865" s="211">
        <f>IFERROR(__xludf.DUMMYFUNCTION("""COMPUTED_VALUE"""),5.0)</f>
        <v>5</v>
      </c>
      <c r="K3865" s="210" t="str">
        <f>IFERROR(__xludf.DUMMYFUNCTION("""COMPUTED_VALUE"""),"11239 11351 11236 11103 11266")</f>
        <v>11239 11351 11236 11103 11266</v>
      </c>
      <c r="L3865" s="211">
        <f>IFERROR(__xludf.DUMMYFUNCTION("""COMPUTED_VALUE"""),60000.0)</f>
        <v>60000</v>
      </c>
      <c r="M3865" s="211"/>
      <c r="N3865" s="211"/>
      <c r="O3865" s="211" t="b">
        <f>IFERROR(__xludf.DUMMYFUNCTION("""COMPUTED_VALUE"""),FALSE)</f>
        <v>0</v>
      </c>
    </row>
    <row r="3866">
      <c r="A3866" s="210" t="str">
        <f>IFERROR(__xludf.DUMMYFUNCTION("""COMPUTED_VALUE"""),"0226182665")</f>
        <v>0226182665</v>
      </c>
      <c r="B3866" s="210" t="str">
        <f>IFERROR(__xludf.DUMMYFUNCTION("""COMPUTED_VALUE"""),"0226182665")</f>
        <v>0226182665</v>
      </c>
      <c r="C3866" s="213">
        <f>IFERROR(__xludf.DUMMYFUNCTION("""COMPUTED_VALUE"""),46078.475694444445)</f>
        <v>46078.47569</v>
      </c>
      <c r="D3866" s="211" t="str">
        <f>IFERROR(__xludf.DUMMYFUNCTION("""COMPUTED_VALUE"""),"a0f0ad2d")</f>
        <v>a0f0ad2d</v>
      </c>
      <c r="E3866" s="211" t="str">
        <f>IFERROR(__xludf.DUMMYFUNCTION("""COMPUTED_VALUE"""),"CV. Yulie Jaya")</f>
        <v>CV. Yulie Jaya</v>
      </c>
      <c r="F3866" s="211" t="str">
        <f>IFERROR(__xludf.DUMMYFUNCTION("""COMPUTED_VALUE"""),"be525f3b")</f>
        <v>be525f3b</v>
      </c>
      <c r="G3866" s="211" t="str">
        <f>IFERROR(__xludf.DUMMYFUNCTION("""COMPUTED_VALUE"""),"LPG 12kg")</f>
        <v>LPG 12kg</v>
      </c>
      <c r="H3866" s="211" t="str">
        <f>IFERROR(__xludf.DUMMYFUNCTION("""COMPUTED_VALUE"""),"OUT")</f>
        <v>OUT</v>
      </c>
      <c r="I3866" s="211" t="str">
        <f>IFERROR(__xludf.DUMMYFUNCTION("""COMPUTED_VALUE"""),"NORMAL")</f>
        <v>NORMAL</v>
      </c>
      <c r="J3866" s="211">
        <f>IFERROR(__xludf.DUMMYFUNCTION("""COMPUTED_VALUE"""),1.0)</f>
        <v>1</v>
      </c>
      <c r="K3866" s="210" t="str">
        <f>IFERROR(__xludf.DUMMYFUNCTION("""COMPUTED_VALUE"""),"L004")</f>
        <v>L004</v>
      </c>
      <c r="L3866" s="211">
        <f>IFERROR(__xludf.DUMMYFUNCTION("""COMPUTED_VALUE"""),215000.0)</f>
        <v>215000</v>
      </c>
      <c r="M3866" s="211"/>
      <c r="N3866" s="211"/>
      <c r="O3866" s="211" t="b">
        <f>IFERROR(__xludf.DUMMYFUNCTION("""COMPUTED_VALUE"""),FALSE)</f>
        <v>0</v>
      </c>
    </row>
    <row r="3867">
      <c r="A3867" s="210" t="str">
        <f>IFERROR(__xludf.DUMMYFUNCTION("""COMPUTED_VALUE"""),"1261305")</f>
        <v>1261305</v>
      </c>
      <c r="B3867" s="210" t="str">
        <f>IFERROR(__xludf.DUMMYFUNCTION("""COMPUTED_VALUE"""),"1261305")</f>
        <v>1261305</v>
      </c>
      <c r="C3867" s="213">
        <f>IFERROR(__xludf.DUMMYFUNCTION("""COMPUTED_VALUE"""),46078.59746527778)</f>
        <v>46078.59747</v>
      </c>
      <c r="D3867" s="211" t="str">
        <f>IFERROR(__xludf.DUMMYFUNCTION("""COMPUTED_VALUE"""),"a0f0ad2d")</f>
        <v>a0f0ad2d</v>
      </c>
      <c r="E3867" s="211" t="str">
        <f>IFERROR(__xludf.DUMMYFUNCTION("""COMPUTED_VALUE"""),"CV. Yulie Jaya")</f>
        <v>CV. Yulie Jaya</v>
      </c>
      <c r="F3867" s="211" t="str">
        <f>IFERROR(__xludf.DUMMYFUNCTION("""COMPUTED_VALUE"""),"8bdbe149")</f>
        <v>8bdbe149</v>
      </c>
      <c r="G3867" s="211" t="str">
        <f>IFERROR(__xludf.DUMMYFUNCTION("""COMPUTED_VALUE"""),"Oksigen 6m3")</f>
        <v>Oksigen 6m3</v>
      </c>
      <c r="H3867" s="211" t="str">
        <f>IFERROR(__xludf.DUMMYFUNCTION("""COMPUTED_VALUE"""),"IN")</f>
        <v>IN</v>
      </c>
      <c r="I3867" s="211" t="str">
        <f>IFERROR(__xludf.DUMMYFUNCTION("""COMPUTED_VALUE"""),"EMPTY")</f>
        <v>EMPTY</v>
      </c>
      <c r="J3867" s="211">
        <f>IFERROR(__xludf.DUMMYFUNCTION("""COMPUTED_VALUE"""),8.0)</f>
        <v>8</v>
      </c>
      <c r="K3867" s="210" t="str">
        <f>IFERROR(__xludf.DUMMYFUNCTION("""COMPUTED_VALUE"""),"1129 1135 11312 11207 1182 1183 1106 11109")</f>
        <v>1129 1135 11312 11207 1182 1183 1106 11109</v>
      </c>
      <c r="L3867" s="211">
        <f>IFERROR(__xludf.DUMMYFUNCTION("""COMPUTED_VALUE"""),0.0)</f>
        <v>0</v>
      </c>
      <c r="M3867" s="211"/>
      <c r="N3867" s="211"/>
      <c r="O3867" s="211" t="b">
        <f>IFERROR(__xludf.DUMMYFUNCTION("""COMPUTED_VALUE"""),FALSE)</f>
        <v>0</v>
      </c>
    </row>
    <row r="3868">
      <c r="A3868" s="210" t="str">
        <f>IFERROR(__xludf.DUMMYFUNCTION("""COMPUTED_VALUE"""),"1261305")</f>
        <v>1261305</v>
      </c>
      <c r="B3868" s="210" t="str">
        <f>IFERROR(__xludf.DUMMYFUNCTION("""COMPUTED_VALUE"""),"1261305")</f>
        <v>1261305</v>
      </c>
      <c r="C3868" s="213">
        <f>IFERROR(__xludf.DUMMYFUNCTION("""COMPUTED_VALUE"""),46078.59746527778)</f>
        <v>46078.59747</v>
      </c>
      <c r="D3868" s="211" t="str">
        <f>IFERROR(__xludf.DUMMYFUNCTION("""COMPUTED_VALUE"""),"a0f0ad2d")</f>
        <v>a0f0ad2d</v>
      </c>
      <c r="E3868" s="211" t="str">
        <f>IFERROR(__xludf.DUMMYFUNCTION("""COMPUTED_VALUE"""),"CV. Yulie Jaya")</f>
        <v>CV. Yulie Jaya</v>
      </c>
      <c r="F3868" s="211" t="str">
        <f>IFERROR(__xludf.DUMMYFUNCTION("""COMPUTED_VALUE"""),"7d2764f1")</f>
        <v>7d2764f1</v>
      </c>
      <c r="G3868" s="211" t="str">
        <f>IFERROR(__xludf.DUMMYFUNCTION("""COMPUTED_VALUE"""),"Oksigen 7m3")</f>
        <v>Oksigen 7m3</v>
      </c>
      <c r="H3868" s="211" t="str">
        <f>IFERROR(__xludf.DUMMYFUNCTION("""COMPUTED_VALUE"""),"IN")</f>
        <v>IN</v>
      </c>
      <c r="I3868" s="211" t="str">
        <f>IFERROR(__xludf.DUMMYFUNCTION("""COMPUTED_VALUE"""),"EMPTY")</f>
        <v>EMPTY</v>
      </c>
      <c r="J3868" s="211">
        <f>IFERROR(__xludf.DUMMYFUNCTION("""COMPUTED_VALUE"""),1.0)</f>
        <v>1</v>
      </c>
      <c r="K3868" s="210" t="str">
        <f>IFERROR(__xludf.DUMMYFUNCTION("""COMPUTED_VALUE"""),"11146")</f>
        <v>11146</v>
      </c>
      <c r="L3868" s="211">
        <f>IFERROR(__xludf.DUMMYFUNCTION("""COMPUTED_VALUE"""),0.0)</f>
        <v>0</v>
      </c>
      <c r="M3868" s="211"/>
      <c r="N3868" s="211"/>
      <c r="O3868" s="211" t="b">
        <f>IFERROR(__xludf.DUMMYFUNCTION("""COMPUTED_VALUE"""),TRUE)</f>
        <v>1</v>
      </c>
    </row>
    <row r="3869">
      <c r="A3869" s="210" t="str">
        <f>IFERROR(__xludf.DUMMYFUNCTION("""COMPUTED_VALUE"""),"1261305")</f>
        <v>1261305</v>
      </c>
      <c r="B3869" s="210" t="str">
        <f>IFERROR(__xludf.DUMMYFUNCTION("""COMPUTED_VALUE"""),"1261305")</f>
        <v>1261305</v>
      </c>
      <c r="C3869" s="213">
        <f>IFERROR(__xludf.DUMMYFUNCTION("""COMPUTED_VALUE"""),46078.59746527778)</f>
        <v>46078.59747</v>
      </c>
      <c r="D3869" s="211" t="str">
        <f>IFERROR(__xludf.DUMMYFUNCTION("""COMPUTED_VALUE"""),"a0f0ad2d")</f>
        <v>a0f0ad2d</v>
      </c>
      <c r="E3869" s="211" t="str">
        <f>IFERROR(__xludf.DUMMYFUNCTION("""COMPUTED_VALUE"""),"CV. Yulie Jaya")</f>
        <v>CV. Yulie Jaya</v>
      </c>
      <c r="F3869" s="211" t="str">
        <f>IFERROR(__xludf.DUMMYFUNCTION("""COMPUTED_VALUE"""),"be525f3b")</f>
        <v>be525f3b</v>
      </c>
      <c r="G3869" s="211" t="str">
        <f>IFERROR(__xludf.DUMMYFUNCTION("""COMPUTED_VALUE"""),"LPG 12kg")</f>
        <v>LPG 12kg</v>
      </c>
      <c r="H3869" s="211" t="str">
        <f>IFERROR(__xludf.DUMMYFUNCTION("""COMPUTED_VALUE"""),"IN")</f>
        <v>IN</v>
      </c>
      <c r="I3869" s="211" t="str">
        <f>IFERROR(__xludf.DUMMYFUNCTION("""COMPUTED_VALUE"""),"EMPTY")</f>
        <v>EMPTY</v>
      </c>
      <c r="J3869" s="211">
        <f>IFERROR(__xludf.DUMMYFUNCTION("""COMPUTED_VALUE"""),1.0)</f>
        <v>1</v>
      </c>
      <c r="K3869" s="210" t="str">
        <f>IFERROR(__xludf.DUMMYFUNCTION("""COMPUTED_VALUE"""),"L004")</f>
        <v>L004</v>
      </c>
      <c r="L3869" s="211">
        <f>IFERROR(__xludf.DUMMYFUNCTION("""COMPUTED_VALUE"""),0.0)</f>
        <v>0</v>
      </c>
      <c r="M3869" s="211"/>
      <c r="N3869" s="211"/>
      <c r="O3869" s="211" t="b">
        <f>IFERROR(__xludf.DUMMYFUNCTION("""COMPUTED_VALUE"""),FALSE)</f>
        <v>0</v>
      </c>
    </row>
    <row r="3870">
      <c r="A3870" s="210" t="str">
        <f>IFERROR(__xludf.DUMMYFUNCTION("""COMPUTED_VALUE"""),"022632670")</f>
        <v>022632670</v>
      </c>
      <c r="B3870" s="210" t="str">
        <f>IFERROR(__xludf.DUMMYFUNCTION("""COMPUTED_VALUE"""),"022632670")</f>
        <v>022632670</v>
      </c>
      <c r="C3870" s="213">
        <f>IFERROR(__xludf.DUMMYFUNCTION("""COMPUTED_VALUE"""),46079.359664351854)</f>
        <v>46079.35966</v>
      </c>
      <c r="D3870" s="211" t="str">
        <f>IFERROR(__xludf.DUMMYFUNCTION("""COMPUTED_VALUE"""),"d9b2fac5")</f>
        <v>d9b2fac5</v>
      </c>
      <c r="E3870" s="211" t="str">
        <f>IFERROR(__xludf.DUMMYFUNCTION("""COMPUTED_VALUE"""),"Dwi Riza ( Ponokawan)")</f>
        <v>Dwi Riza ( Ponokawan)</v>
      </c>
      <c r="F3870" s="211" t="str">
        <f>IFERROR(__xludf.DUMMYFUNCTION("""COMPUTED_VALUE"""),"8bdbe149")</f>
        <v>8bdbe149</v>
      </c>
      <c r="G3870" s="211" t="str">
        <f>IFERROR(__xludf.DUMMYFUNCTION("""COMPUTED_VALUE"""),"Oksigen 6m3")</f>
        <v>Oksigen 6m3</v>
      </c>
      <c r="H3870" s="211" t="str">
        <f>IFERROR(__xludf.DUMMYFUNCTION("""COMPUTED_VALUE"""),"OUT")</f>
        <v>OUT</v>
      </c>
      <c r="I3870" s="211" t="str">
        <f>IFERROR(__xludf.DUMMYFUNCTION("""COMPUTED_VALUE"""),"NORMAL")</f>
        <v>NORMAL</v>
      </c>
      <c r="J3870" s="211">
        <f>IFERROR(__xludf.DUMMYFUNCTION("""COMPUTED_VALUE"""),6.0)</f>
        <v>6</v>
      </c>
      <c r="K3870" s="210" t="str">
        <f>IFERROR(__xludf.DUMMYFUNCTION("""COMPUTED_VALUE"""),"11341 11253 11295 1145 1132 1196")</f>
        <v>11341 11253 11295 1145 1132 1196</v>
      </c>
      <c r="L3870" s="211">
        <f>IFERROR(__xludf.DUMMYFUNCTION("""COMPUTED_VALUE"""),50000.0)</f>
        <v>50000</v>
      </c>
      <c r="M3870" s="211"/>
      <c r="N3870" s="211"/>
      <c r="O3870" s="211" t="b">
        <f>IFERROR(__xludf.DUMMYFUNCTION("""COMPUTED_VALUE"""),FALSE)</f>
        <v>0</v>
      </c>
    </row>
    <row r="3871">
      <c r="A3871" s="210" t="str">
        <f>IFERROR(__xludf.DUMMYFUNCTION("""COMPUTED_VALUE"""),"0226882672")</f>
        <v>0226882672</v>
      </c>
      <c r="B3871" s="210" t="str">
        <f>IFERROR(__xludf.DUMMYFUNCTION("""COMPUTED_VALUE"""),"0226882672")</f>
        <v>0226882672</v>
      </c>
      <c r="C3871" s="213">
        <f>IFERROR(__xludf.DUMMYFUNCTION("""COMPUTED_VALUE"""),46079.35974537037)</f>
        <v>46079.35975</v>
      </c>
      <c r="D3871" s="211" t="str">
        <f>IFERROR(__xludf.DUMMYFUNCTION("""COMPUTED_VALUE"""),"b2b5f2c5")</f>
        <v>b2b5f2c5</v>
      </c>
      <c r="E3871" s="211" t="str">
        <f>IFERROR(__xludf.DUMMYFUNCTION("""COMPUTED_VALUE"""),"Bengkel Las Bpk. Ari")</f>
        <v>Bengkel Las Bpk. Ari</v>
      </c>
      <c r="F3871" s="211" t="str">
        <f>IFERROR(__xludf.DUMMYFUNCTION("""COMPUTED_VALUE"""),"8bdbe149")</f>
        <v>8bdbe149</v>
      </c>
      <c r="G3871" s="211" t="str">
        <f>IFERROR(__xludf.DUMMYFUNCTION("""COMPUTED_VALUE"""),"Oksigen 6m3")</f>
        <v>Oksigen 6m3</v>
      </c>
      <c r="H3871" s="211" t="str">
        <f>IFERROR(__xludf.DUMMYFUNCTION("""COMPUTED_VALUE"""),"OUT")</f>
        <v>OUT</v>
      </c>
      <c r="I3871" s="211" t="str">
        <f>IFERROR(__xludf.DUMMYFUNCTION("""COMPUTED_VALUE"""),"NORMAL")</f>
        <v>NORMAL</v>
      </c>
      <c r="J3871" s="211">
        <f>IFERROR(__xludf.DUMMYFUNCTION("""COMPUTED_VALUE"""),5.0)</f>
        <v>5</v>
      </c>
      <c r="K3871" s="210" t="str">
        <f>IFERROR(__xludf.DUMMYFUNCTION("""COMPUTED_VALUE"""),"11257 11193 1169 11262 11265")</f>
        <v>11257 11193 1169 11262 11265</v>
      </c>
      <c r="L3871" s="211">
        <f>IFERROR(__xludf.DUMMYFUNCTION("""COMPUTED_VALUE"""),60000.0)</f>
        <v>60000</v>
      </c>
      <c r="M3871" s="211"/>
      <c r="N3871" s="211"/>
      <c r="O3871" s="211" t="b">
        <f>IFERROR(__xludf.DUMMYFUNCTION("""COMPUTED_VALUE"""),FALSE)</f>
        <v>0</v>
      </c>
    </row>
    <row r="3872">
      <c r="A3872" s="210" t="str">
        <f>IFERROR(__xludf.DUMMYFUNCTION("""COMPUTED_VALUE"""),"0226122673")</f>
        <v>0226122673</v>
      </c>
      <c r="B3872" s="210" t="str">
        <f>IFERROR(__xludf.DUMMYFUNCTION("""COMPUTED_VALUE"""),"0226122673")</f>
        <v>0226122673</v>
      </c>
      <c r="C3872" s="213">
        <f>IFERROR(__xludf.DUMMYFUNCTION("""COMPUTED_VALUE"""),46079.36482638889)</f>
        <v>46079.36483</v>
      </c>
      <c r="D3872" s="211" t="str">
        <f>IFERROR(__xludf.DUMMYFUNCTION("""COMPUTED_VALUE"""),"98c84274")</f>
        <v>98c84274</v>
      </c>
      <c r="E3872" s="211" t="str">
        <f>IFERROR(__xludf.DUMMYFUNCTION("""COMPUTED_VALUE"""),"Bengkel SBM (Pak Hari)")</f>
        <v>Bengkel SBM (Pak Hari)</v>
      </c>
      <c r="F3872" s="211" t="str">
        <f>IFERROR(__xludf.DUMMYFUNCTION("""COMPUTED_VALUE"""),"ef306e54")</f>
        <v>ef306e54</v>
      </c>
      <c r="G3872" s="211" t="str">
        <f>IFERROR(__xludf.DUMMYFUNCTION("""COMPUTED_VALUE"""),"Karbondioksida")</f>
        <v>Karbondioksida</v>
      </c>
      <c r="H3872" s="211" t="str">
        <f>IFERROR(__xludf.DUMMYFUNCTION("""COMPUTED_VALUE"""),"OUT")</f>
        <v>OUT</v>
      </c>
      <c r="I3872" s="211" t="str">
        <f>IFERROR(__xludf.DUMMYFUNCTION("""COMPUTED_VALUE"""),"NORMAL")</f>
        <v>NORMAL</v>
      </c>
      <c r="J3872" s="211">
        <f>IFERROR(__xludf.DUMMYFUNCTION("""COMPUTED_VALUE"""),5.0)</f>
        <v>5</v>
      </c>
      <c r="K3872" s="210" t="str">
        <f>IFERROR(__xludf.DUMMYFUNCTION("""COMPUTED_VALUE"""),"13004 13020 13037 13067 13075")</f>
        <v>13004 13020 13037 13067 13075</v>
      </c>
      <c r="L3872" s="211">
        <f>IFERROR(__xludf.DUMMYFUNCTION("""COMPUTED_VALUE"""),190000.0)</f>
        <v>190000</v>
      </c>
      <c r="M3872" s="211"/>
      <c r="N3872" s="211"/>
      <c r="O3872" s="211" t="b">
        <f>IFERROR(__xludf.DUMMYFUNCTION("""COMPUTED_VALUE"""),FALSE)</f>
        <v>0</v>
      </c>
    </row>
    <row r="3873">
      <c r="A3873" s="210" t="str">
        <f>IFERROR(__xludf.DUMMYFUNCTION("""COMPUTED_VALUE"""),"0226122673")</f>
        <v>0226122673</v>
      </c>
      <c r="B3873" s="210" t="str">
        <f>IFERROR(__xludf.DUMMYFUNCTION("""COMPUTED_VALUE"""),"0226122673")</f>
        <v>0226122673</v>
      </c>
      <c r="C3873" s="213">
        <f>IFERROR(__xludf.DUMMYFUNCTION("""COMPUTED_VALUE"""),46079.36482638889)</f>
        <v>46079.36483</v>
      </c>
      <c r="D3873" s="211" t="str">
        <f>IFERROR(__xludf.DUMMYFUNCTION("""COMPUTED_VALUE"""),"98c84274")</f>
        <v>98c84274</v>
      </c>
      <c r="E3873" s="211" t="str">
        <f>IFERROR(__xludf.DUMMYFUNCTION("""COMPUTED_VALUE"""),"Bengkel SBM (Pak Hari)")</f>
        <v>Bengkel SBM (Pak Hari)</v>
      </c>
      <c r="F3873" s="211" t="str">
        <f>IFERROR(__xludf.DUMMYFUNCTION("""COMPUTED_VALUE"""),"8bdbe149")</f>
        <v>8bdbe149</v>
      </c>
      <c r="G3873" s="211" t="str">
        <f>IFERROR(__xludf.DUMMYFUNCTION("""COMPUTED_VALUE"""),"Oksigen 6m3")</f>
        <v>Oksigen 6m3</v>
      </c>
      <c r="H3873" s="211" t="str">
        <f>IFERROR(__xludf.DUMMYFUNCTION("""COMPUTED_VALUE"""),"OUT")</f>
        <v>OUT</v>
      </c>
      <c r="I3873" s="211" t="str">
        <f>IFERROR(__xludf.DUMMYFUNCTION("""COMPUTED_VALUE"""),"NORMAL")</f>
        <v>NORMAL</v>
      </c>
      <c r="J3873" s="211">
        <f>IFERROR(__xludf.DUMMYFUNCTION("""COMPUTED_VALUE"""),5.0)</f>
        <v>5</v>
      </c>
      <c r="K3873" s="210" t="str">
        <f>IFERROR(__xludf.DUMMYFUNCTION("""COMPUTED_VALUE"""),"11245 1187 1185 11251 11244")</f>
        <v>11245 1187 1185 11251 11244</v>
      </c>
      <c r="L3873" s="211">
        <f>IFERROR(__xludf.DUMMYFUNCTION("""COMPUTED_VALUE"""),60000.0)</f>
        <v>60000</v>
      </c>
      <c r="M3873" s="211"/>
      <c r="N3873" s="211"/>
      <c r="O3873" s="211" t="b">
        <f>IFERROR(__xludf.DUMMYFUNCTION("""COMPUTED_VALUE"""),FALSE)</f>
        <v>0</v>
      </c>
    </row>
    <row r="3874">
      <c r="A3874" s="210" t="str">
        <f>IFERROR(__xludf.DUMMYFUNCTION("""COMPUTED_VALUE"""),"022672674")</f>
        <v>022672674</v>
      </c>
      <c r="B3874" s="210" t="str">
        <f>IFERROR(__xludf.DUMMYFUNCTION("""COMPUTED_VALUE"""),"022672674")</f>
        <v>022672674</v>
      </c>
      <c r="C3874" s="213">
        <f>IFERROR(__xludf.DUMMYFUNCTION("""COMPUTED_VALUE"""),46079.39561342593)</f>
        <v>46079.39561</v>
      </c>
      <c r="D3874" s="211" t="str">
        <f>IFERROR(__xludf.DUMMYFUNCTION("""COMPUTED_VALUE"""),"ca4876e2")</f>
        <v>ca4876e2</v>
      </c>
      <c r="E3874" s="211" t="str">
        <f>IFERROR(__xludf.DUMMYFUNCTION("""COMPUTED_VALUE"""),"Bengkel Mustika Mojosari")</f>
        <v>Bengkel Mustika Mojosari</v>
      </c>
      <c r="F3874" s="211" t="str">
        <f>IFERROR(__xludf.DUMMYFUNCTION("""COMPUTED_VALUE"""),"7d2764f1")</f>
        <v>7d2764f1</v>
      </c>
      <c r="G3874" s="211" t="str">
        <f>IFERROR(__xludf.DUMMYFUNCTION("""COMPUTED_VALUE"""),"Oksigen 7m3")</f>
        <v>Oksigen 7m3</v>
      </c>
      <c r="H3874" s="211" t="str">
        <f>IFERROR(__xludf.DUMMYFUNCTION("""COMPUTED_VALUE"""),"OUT")</f>
        <v>OUT</v>
      </c>
      <c r="I3874" s="211" t="str">
        <f>IFERROR(__xludf.DUMMYFUNCTION("""COMPUTED_VALUE"""),"NORMAL")</f>
        <v>NORMAL</v>
      </c>
      <c r="J3874" s="211">
        <f>IFERROR(__xludf.DUMMYFUNCTION("""COMPUTED_VALUE"""),2.0)</f>
        <v>2</v>
      </c>
      <c r="K3874" s="210" t="str">
        <f>IFERROR(__xludf.DUMMYFUNCTION("""COMPUTED_VALUE"""),"11168 11174")</f>
        <v>11168 11174</v>
      </c>
      <c r="L3874" s="211">
        <f>IFERROR(__xludf.DUMMYFUNCTION("""COMPUTED_VALUE"""),65000.0)</f>
        <v>65000</v>
      </c>
      <c r="M3874" s="211"/>
      <c r="N3874" s="211"/>
      <c r="O3874" s="211" t="b">
        <f>IFERROR(__xludf.DUMMYFUNCTION("""COMPUTED_VALUE"""),FALSE)</f>
        <v>0</v>
      </c>
    </row>
    <row r="3875">
      <c r="A3875" s="210" t="str">
        <f>IFERROR(__xludf.DUMMYFUNCTION("""COMPUTED_VALUE"""),"1261309")</f>
        <v>1261309</v>
      </c>
      <c r="B3875" s="210" t="str">
        <f>IFERROR(__xludf.DUMMYFUNCTION("""COMPUTED_VALUE"""),"1261309")</f>
        <v>1261309</v>
      </c>
      <c r="C3875" s="213">
        <f>IFERROR(__xludf.DUMMYFUNCTION("""COMPUTED_VALUE"""),46079.41789351852)</f>
        <v>46079.41789</v>
      </c>
      <c r="D3875" s="211" t="str">
        <f>IFERROR(__xludf.DUMMYFUNCTION("""COMPUTED_VALUE"""),"1c4d5e93")</f>
        <v>1c4d5e93</v>
      </c>
      <c r="E3875" s="211" t="str">
        <f>IFERROR(__xludf.DUMMYFUNCTION("""COMPUTED_VALUE"""),"Karoseri Cipta Mitra Sukses")</f>
        <v>Karoseri Cipta Mitra Sukses</v>
      </c>
      <c r="F3875" s="211" t="str">
        <f>IFERROR(__xludf.DUMMYFUNCTION("""COMPUTED_VALUE"""),"8bdbe149")</f>
        <v>8bdbe149</v>
      </c>
      <c r="G3875" s="211" t="str">
        <f>IFERROR(__xludf.DUMMYFUNCTION("""COMPUTED_VALUE"""),"Oksigen 6m3")</f>
        <v>Oksigen 6m3</v>
      </c>
      <c r="H3875" s="211" t="str">
        <f>IFERROR(__xludf.DUMMYFUNCTION("""COMPUTED_VALUE"""),"IN")</f>
        <v>IN</v>
      </c>
      <c r="I3875" s="211" t="str">
        <f>IFERROR(__xludf.DUMMYFUNCTION("""COMPUTED_VALUE"""),"EMPTY")</f>
        <v>EMPTY</v>
      </c>
      <c r="J3875" s="211">
        <f>IFERROR(__xludf.DUMMYFUNCTION("""COMPUTED_VALUE"""),1.0)</f>
        <v>1</v>
      </c>
      <c r="K3875" s="210" t="str">
        <f>IFERROR(__xludf.DUMMYFUNCTION("""COMPUTED_VALUE"""),"1194")</f>
        <v>1194</v>
      </c>
      <c r="L3875" s="211">
        <f>IFERROR(__xludf.DUMMYFUNCTION("""COMPUTED_VALUE"""),0.0)</f>
        <v>0</v>
      </c>
      <c r="M3875" s="211"/>
      <c r="N3875" s="211"/>
      <c r="O3875" s="211" t="b">
        <f>IFERROR(__xludf.DUMMYFUNCTION("""COMPUTED_VALUE"""),FALSE)</f>
        <v>0</v>
      </c>
    </row>
    <row r="3876">
      <c r="A3876" s="210" t="str">
        <f>IFERROR(__xludf.DUMMYFUNCTION("""COMPUTED_VALUE"""),"1261309")</f>
        <v>1261309</v>
      </c>
      <c r="B3876" s="210" t="str">
        <f>IFERROR(__xludf.DUMMYFUNCTION("""COMPUTED_VALUE"""),"1261309")</f>
        <v>1261309</v>
      </c>
      <c r="C3876" s="213">
        <f>IFERROR(__xludf.DUMMYFUNCTION("""COMPUTED_VALUE"""),46079.41789351852)</f>
        <v>46079.41789</v>
      </c>
      <c r="D3876" s="211" t="str">
        <f>IFERROR(__xludf.DUMMYFUNCTION("""COMPUTED_VALUE"""),"1c4d5e93")</f>
        <v>1c4d5e93</v>
      </c>
      <c r="E3876" s="211" t="str">
        <f>IFERROR(__xludf.DUMMYFUNCTION("""COMPUTED_VALUE"""),"Karoseri Cipta Mitra Sukses")</f>
        <v>Karoseri Cipta Mitra Sukses</v>
      </c>
      <c r="F3876" s="211" t="str">
        <f>IFERROR(__xludf.DUMMYFUNCTION("""COMPUTED_VALUE"""),"ef306e54")</f>
        <v>ef306e54</v>
      </c>
      <c r="G3876" s="211" t="str">
        <f>IFERROR(__xludf.DUMMYFUNCTION("""COMPUTED_VALUE"""),"Karbondioksida")</f>
        <v>Karbondioksida</v>
      </c>
      <c r="H3876" s="211" t="str">
        <f>IFERROR(__xludf.DUMMYFUNCTION("""COMPUTED_VALUE"""),"IN")</f>
        <v>IN</v>
      </c>
      <c r="I3876" s="211" t="str">
        <f>IFERROR(__xludf.DUMMYFUNCTION("""COMPUTED_VALUE"""),"EMPTY")</f>
        <v>EMPTY</v>
      </c>
      <c r="J3876" s="211">
        <f>IFERROR(__xludf.DUMMYFUNCTION("""COMPUTED_VALUE"""),2.0)</f>
        <v>2</v>
      </c>
      <c r="K3876" s="210" t="str">
        <f>IFERROR(__xludf.DUMMYFUNCTION("""COMPUTED_VALUE"""),"13027 13053")</f>
        <v>13027 13053</v>
      </c>
      <c r="L3876" s="211">
        <f>IFERROR(__xludf.DUMMYFUNCTION("""COMPUTED_VALUE"""),0.0)</f>
        <v>0</v>
      </c>
      <c r="M3876" s="211"/>
      <c r="N3876" s="211"/>
      <c r="O3876" s="211" t="b">
        <f>IFERROR(__xludf.DUMMYFUNCTION("""COMPUTED_VALUE"""),FALSE)</f>
        <v>0</v>
      </c>
    </row>
    <row r="3877">
      <c r="A3877" s="210" t="str">
        <f>IFERROR(__xludf.DUMMYFUNCTION("""COMPUTED_VALUE"""),"1261307")</f>
        <v>1261307</v>
      </c>
      <c r="B3877" s="210" t="str">
        <f>IFERROR(__xludf.DUMMYFUNCTION("""COMPUTED_VALUE"""),"1261307")</f>
        <v>1261307</v>
      </c>
      <c r="C3877" s="213">
        <f>IFERROR(__xludf.DUMMYFUNCTION("""COMPUTED_VALUE"""),46079.41835648148)</f>
        <v>46079.41836</v>
      </c>
      <c r="D3877" s="211" t="str">
        <f>IFERROR(__xludf.DUMMYFUNCTION("""COMPUTED_VALUE"""),"ec231cc9")</f>
        <v>ec231cc9</v>
      </c>
      <c r="E3877" s="211" t="str">
        <f>IFERROR(__xludf.DUMMYFUNCTION("""COMPUTED_VALUE"""),"Bpk. Kohir (Maintenance Velg)")</f>
        <v>Bpk. Kohir (Maintenance Velg)</v>
      </c>
      <c r="F3877" s="211" t="str">
        <f>IFERROR(__xludf.DUMMYFUNCTION("""COMPUTED_VALUE"""),"8bdbe149")</f>
        <v>8bdbe149</v>
      </c>
      <c r="G3877" s="211" t="str">
        <f>IFERROR(__xludf.DUMMYFUNCTION("""COMPUTED_VALUE"""),"Oksigen 6m3")</f>
        <v>Oksigen 6m3</v>
      </c>
      <c r="H3877" s="211" t="str">
        <f>IFERROR(__xludf.DUMMYFUNCTION("""COMPUTED_VALUE"""),"IN")</f>
        <v>IN</v>
      </c>
      <c r="I3877" s="211" t="str">
        <f>IFERROR(__xludf.DUMMYFUNCTION("""COMPUTED_VALUE"""),"EMPTY")</f>
        <v>EMPTY</v>
      </c>
      <c r="J3877" s="211">
        <f>IFERROR(__xludf.DUMMYFUNCTION("""COMPUTED_VALUE"""),2.0)</f>
        <v>2</v>
      </c>
      <c r="K3877" s="210" t="str">
        <f>IFERROR(__xludf.DUMMYFUNCTION("""COMPUTED_VALUE"""),"11130 11286")</f>
        <v>11130 11286</v>
      </c>
      <c r="L3877" s="211">
        <f>IFERROR(__xludf.DUMMYFUNCTION("""COMPUTED_VALUE"""),0.0)</f>
        <v>0</v>
      </c>
      <c r="M3877" s="211"/>
      <c r="N3877" s="211"/>
      <c r="O3877" s="211" t="b">
        <f>IFERROR(__xludf.DUMMYFUNCTION("""COMPUTED_VALUE"""),FALSE)</f>
        <v>0</v>
      </c>
    </row>
    <row r="3878">
      <c r="A3878" s="210" t="str">
        <f>IFERROR(__xludf.DUMMYFUNCTION("""COMPUTED_VALUE"""),"1261307")</f>
        <v>1261307</v>
      </c>
      <c r="B3878" s="210" t="str">
        <f>IFERROR(__xludf.DUMMYFUNCTION("""COMPUTED_VALUE"""),"1261307")</f>
        <v>1261307</v>
      </c>
      <c r="C3878" s="213">
        <f>IFERROR(__xludf.DUMMYFUNCTION("""COMPUTED_VALUE"""),46079.41835648148)</f>
        <v>46079.41836</v>
      </c>
      <c r="D3878" s="211" t="str">
        <f>IFERROR(__xludf.DUMMYFUNCTION("""COMPUTED_VALUE"""),"ec231cc9")</f>
        <v>ec231cc9</v>
      </c>
      <c r="E3878" s="211" t="str">
        <f>IFERROR(__xludf.DUMMYFUNCTION("""COMPUTED_VALUE"""),"Bpk. Kohir (Maintenance Velg)")</f>
        <v>Bpk. Kohir (Maintenance Velg)</v>
      </c>
      <c r="F3878" s="211" t="str">
        <f>IFERROR(__xludf.DUMMYFUNCTION("""COMPUTED_VALUE"""),"ef306e54")</f>
        <v>ef306e54</v>
      </c>
      <c r="G3878" s="211" t="str">
        <f>IFERROR(__xludf.DUMMYFUNCTION("""COMPUTED_VALUE"""),"Karbondioksida")</f>
        <v>Karbondioksida</v>
      </c>
      <c r="H3878" s="211" t="str">
        <f>IFERROR(__xludf.DUMMYFUNCTION("""COMPUTED_VALUE"""),"IN")</f>
        <v>IN</v>
      </c>
      <c r="I3878" s="211" t="str">
        <f>IFERROR(__xludf.DUMMYFUNCTION("""COMPUTED_VALUE"""),"EMPTY")</f>
        <v>EMPTY</v>
      </c>
      <c r="J3878" s="211">
        <f>IFERROR(__xludf.DUMMYFUNCTION("""COMPUTED_VALUE"""),1.0)</f>
        <v>1</v>
      </c>
      <c r="K3878" s="210" t="str">
        <f>IFERROR(__xludf.DUMMYFUNCTION("""COMPUTED_VALUE"""),"13046")</f>
        <v>13046</v>
      </c>
      <c r="L3878" s="211">
        <f>IFERROR(__xludf.DUMMYFUNCTION("""COMPUTED_VALUE"""),0.0)</f>
        <v>0</v>
      </c>
      <c r="M3878" s="211"/>
      <c r="N3878" s="211"/>
      <c r="O3878" s="211" t="b">
        <f>IFERROR(__xludf.DUMMYFUNCTION("""COMPUTED_VALUE"""),FALSE)</f>
        <v>0</v>
      </c>
    </row>
    <row r="3879">
      <c r="A3879" s="210" t="str">
        <f>IFERROR(__xludf.DUMMYFUNCTION("""COMPUTED_VALUE"""),"1261307")</f>
        <v>1261307</v>
      </c>
      <c r="B3879" s="210" t="str">
        <f>IFERROR(__xludf.DUMMYFUNCTION("""COMPUTED_VALUE"""),"1261307")</f>
        <v>1261307</v>
      </c>
      <c r="C3879" s="213">
        <f>IFERROR(__xludf.DUMMYFUNCTION("""COMPUTED_VALUE"""),46079.41835648148)</f>
        <v>46079.41836</v>
      </c>
      <c r="D3879" s="211" t="str">
        <f>IFERROR(__xludf.DUMMYFUNCTION("""COMPUTED_VALUE"""),"ec231cc9")</f>
        <v>ec231cc9</v>
      </c>
      <c r="E3879" s="211" t="str">
        <f>IFERROR(__xludf.DUMMYFUNCTION("""COMPUTED_VALUE"""),"Bpk. Kohir (Maintenance Velg)")</f>
        <v>Bpk. Kohir (Maintenance Velg)</v>
      </c>
      <c r="F3879" s="211" t="str">
        <f>IFERROR(__xludf.DUMMYFUNCTION("""COMPUTED_VALUE"""),"8bdbe149")</f>
        <v>8bdbe149</v>
      </c>
      <c r="G3879" s="211" t="str">
        <f>IFERROR(__xludf.DUMMYFUNCTION("""COMPUTED_VALUE"""),"Oksigen 6m3")</f>
        <v>Oksigen 6m3</v>
      </c>
      <c r="H3879" s="211" t="str">
        <f>IFERROR(__xludf.DUMMYFUNCTION("""COMPUTED_VALUE"""),"IN")</f>
        <v>IN</v>
      </c>
      <c r="I3879" s="211" t="str">
        <f>IFERROR(__xludf.DUMMYFUNCTION("""COMPUTED_VALUE"""),"EMPTY")</f>
        <v>EMPTY</v>
      </c>
      <c r="J3879" s="211">
        <f>IFERROR(__xludf.DUMMYFUNCTION("""COMPUTED_VALUE"""),1.0)</f>
        <v>1</v>
      </c>
      <c r="K3879" s="210" t="str">
        <f>IFERROR(__xludf.DUMMYFUNCTION("""COMPUTED_VALUE"""),"11359")</f>
        <v>11359</v>
      </c>
      <c r="L3879" s="211">
        <f>IFERROR(__xludf.DUMMYFUNCTION("""COMPUTED_VALUE"""),0.0)</f>
        <v>0</v>
      </c>
      <c r="M3879" s="211"/>
      <c r="N3879" s="211"/>
      <c r="O3879" s="211" t="b">
        <f>IFERROR(__xludf.DUMMYFUNCTION("""COMPUTED_VALUE"""),TRUE)</f>
        <v>1</v>
      </c>
    </row>
    <row r="3880">
      <c r="A3880" s="210" t="str">
        <f>IFERROR(__xludf.DUMMYFUNCTION("""COMPUTED_VALUE"""),"1261306")</f>
        <v>1261306</v>
      </c>
      <c r="B3880" s="210" t="str">
        <f>IFERROR(__xludf.DUMMYFUNCTION("""COMPUTED_VALUE"""),"1261306")</f>
        <v>1261306</v>
      </c>
      <c r="C3880" s="213">
        <f>IFERROR(__xludf.DUMMYFUNCTION("""COMPUTED_VALUE"""),46079.42039351852)</f>
        <v>46079.42039</v>
      </c>
      <c r="D3880" s="211" t="str">
        <f>IFERROR(__xludf.DUMMYFUNCTION("""COMPUTED_VALUE"""),"4ec68cf6")</f>
        <v>4ec68cf6</v>
      </c>
      <c r="E3880" s="211" t="str">
        <f>IFERROR(__xludf.DUMMYFUNCTION("""COMPUTED_VALUE"""),"CV Sido Mukti Karya")</f>
        <v>CV Sido Mukti Karya</v>
      </c>
      <c r="F3880" s="211" t="str">
        <f>IFERROR(__xludf.DUMMYFUNCTION("""COMPUTED_VALUE"""),"ef306e54")</f>
        <v>ef306e54</v>
      </c>
      <c r="G3880" s="211" t="str">
        <f>IFERROR(__xludf.DUMMYFUNCTION("""COMPUTED_VALUE"""),"Karbondioksida")</f>
        <v>Karbondioksida</v>
      </c>
      <c r="H3880" s="211" t="str">
        <f>IFERROR(__xludf.DUMMYFUNCTION("""COMPUTED_VALUE"""),"IN")</f>
        <v>IN</v>
      </c>
      <c r="I3880" s="211" t="str">
        <f>IFERROR(__xludf.DUMMYFUNCTION("""COMPUTED_VALUE"""),"EMPTY")</f>
        <v>EMPTY</v>
      </c>
      <c r="J3880" s="211">
        <f>IFERROR(__xludf.DUMMYFUNCTION("""COMPUTED_VALUE"""),2.0)</f>
        <v>2</v>
      </c>
      <c r="K3880" s="210" t="str">
        <f>IFERROR(__xludf.DUMMYFUNCTION("""COMPUTED_VALUE"""),"13005 13073")</f>
        <v>13005 13073</v>
      </c>
      <c r="L3880" s="211">
        <f>IFERROR(__xludf.DUMMYFUNCTION("""COMPUTED_VALUE"""),0.0)</f>
        <v>0</v>
      </c>
      <c r="M3880" s="211"/>
      <c r="N3880" s="211"/>
      <c r="O3880" s="211" t="b">
        <f>IFERROR(__xludf.DUMMYFUNCTION("""COMPUTED_VALUE"""),FALSE)</f>
        <v>0</v>
      </c>
    </row>
    <row r="3881">
      <c r="A3881" s="210" t="str">
        <f>IFERROR(__xludf.DUMMYFUNCTION("""COMPUTED_VALUE"""),"1261311")</f>
        <v>1261311</v>
      </c>
      <c r="B3881" s="210" t="str">
        <f>IFERROR(__xludf.DUMMYFUNCTION("""COMPUTED_VALUE"""),"1261311")</f>
        <v>1261311</v>
      </c>
      <c r="C3881" s="213">
        <f>IFERROR(__xludf.DUMMYFUNCTION("""COMPUTED_VALUE"""),46079.440983796296)</f>
        <v>46079.44098</v>
      </c>
      <c r="D3881" s="211" t="str">
        <f>IFERROR(__xludf.DUMMYFUNCTION("""COMPUTED_VALUE"""),"98c84274")</f>
        <v>98c84274</v>
      </c>
      <c r="E3881" s="211" t="str">
        <f>IFERROR(__xludf.DUMMYFUNCTION("""COMPUTED_VALUE"""),"Bengkel SBM (Pak Hari)")</f>
        <v>Bengkel SBM (Pak Hari)</v>
      </c>
      <c r="F3881" s="211" t="str">
        <f>IFERROR(__xludf.DUMMYFUNCTION("""COMPUTED_VALUE"""),"8bdbe149")</f>
        <v>8bdbe149</v>
      </c>
      <c r="G3881" s="211" t="str">
        <f>IFERROR(__xludf.DUMMYFUNCTION("""COMPUTED_VALUE"""),"Oksigen 6m3")</f>
        <v>Oksigen 6m3</v>
      </c>
      <c r="H3881" s="211" t="str">
        <f>IFERROR(__xludf.DUMMYFUNCTION("""COMPUTED_VALUE"""),"IN")</f>
        <v>IN</v>
      </c>
      <c r="I3881" s="211" t="str">
        <f>IFERROR(__xludf.DUMMYFUNCTION("""COMPUTED_VALUE"""),"EMPTY")</f>
        <v>EMPTY</v>
      </c>
      <c r="J3881" s="211">
        <f>IFERROR(__xludf.DUMMYFUNCTION("""COMPUTED_VALUE"""),5.0)</f>
        <v>5</v>
      </c>
      <c r="K3881" s="210" t="str">
        <f>IFERROR(__xludf.DUMMYFUNCTION("""COMPUTED_VALUE"""),"1188 11354 11311 1136 11366")</f>
        <v>1188 11354 11311 1136 11366</v>
      </c>
      <c r="L3881" s="211">
        <f>IFERROR(__xludf.DUMMYFUNCTION("""COMPUTED_VALUE"""),0.0)</f>
        <v>0</v>
      </c>
      <c r="M3881" s="211"/>
      <c r="N3881" s="211"/>
      <c r="O3881" s="211" t="b">
        <f>IFERROR(__xludf.DUMMYFUNCTION("""COMPUTED_VALUE"""),FALSE)</f>
        <v>0</v>
      </c>
    </row>
    <row r="3882">
      <c r="A3882" s="210" t="str">
        <f>IFERROR(__xludf.DUMMYFUNCTION("""COMPUTED_VALUE"""),"1261311")</f>
        <v>1261311</v>
      </c>
      <c r="B3882" s="210" t="str">
        <f>IFERROR(__xludf.DUMMYFUNCTION("""COMPUTED_VALUE"""),"1261311")</f>
        <v>1261311</v>
      </c>
      <c r="C3882" s="213">
        <f>IFERROR(__xludf.DUMMYFUNCTION("""COMPUTED_VALUE"""),46079.440983796296)</f>
        <v>46079.44098</v>
      </c>
      <c r="D3882" s="211" t="str">
        <f>IFERROR(__xludf.DUMMYFUNCTION("""COMPUTED_VALUE"""),"98c84274")</f>
        <v>98c84274</v>
      </c>
      <c r="E3882" s="211" t="str">
        <f>IFERROR(__xludf.DUMMYFUNCTION("""COMPUTED_VALUE"""),"Bengkel SBM (Pak Hari)")</f>
        <v>Bengkel SBM (Pak Hari)</v>
      </c>
      <c r="F3882" s="211" t="str">
        <f>IFERROR(__xludf.DUMMYFUNCTION("""COMPUTED_VALUE"""),"ef306e54")</f>
        <v>ef306e54</v>
      </c>
      <c r="G3882" s="211" t="str">
        <f>IFERROR(__xludf.DUMMYFUNCTION("""COMPUTED_VALUE"""),"Karbondioksida")</f>
        <v>Karbondioksida</v>
      </c>
      <c r="H3882" s="211" t="str">
        <f>IFERROR(__xludf.DUMMYFUNCTION("""COMPUTED_VALUE"""),"IN")</f>
        <v>IN</v>
      </c>
      <c r="I3882" s="211" t="str">
        <f>IFERROR(__xludf.DUMMYFUNCTION("""COMPUTED_VALUE"""),"EMPTY")</f>
        <v>EMPTY</v>
      </c>
      <c r="J3882" s="211">
        <f>IFERROR(__xludf.DUMMYFUNCTION("""COMPUTED_VALUE"""),2.0)</f>
        <v>2</v>
      </c>
      <c r="K3882" s="210" t="str">
        <f>IFERROR(__xludf.DUMMYFUNCTION("""COMPUTED_VALUE"""),"13003 13064")</f>
        <v>13003 13064</v>
      </c>
      <c r="L3882" s="211">
        <f>IFERROR(__xludf.DUMMYFUNCTION("""COMPUTED_VALUE"""),0.0)</f>
        <v>0</v>
      </c>
      <c r="M3882" s="211"/>
      <c r="N3882" s="211"/>
      <c r="O3882" s="211" t="b">
        <f>IFERROR(__xludf.DUMMYFUNCTION("""COMPUTED_VALUE"""),FALSE)</f>
        <v>0</v>
      </c>
    </row>
    <row r="3883">
      <c r="A3883" s="210" t="str">
        <f>IFERROR(__xludf.DUMMYFUNCTION("""COMPUTED_VALUE"""),"1261312")</f>
        <v>1261312</v>
      </c>
      <c r="B3883" s="210" t="str">
        <f>IFERROR(__xludf.DUMMYFUNCTION("""COMPUTED_VALUE"""),"1261312")</f>
        <v>1261312</v>
      </c>
      <c r="C3883" s="213">
        <f>IFERROR(__xludf.DUMMYFUNCTION("""COMPUTED_VALUE"""),46079.441655092596)</f>
        <v>46079.44166</v>
      </c>
      <c r="D3883" s="211" t="str">
        <f>IFERROR(__xludf.DUMMYFUNCTION("""COMPUTED_VALUE"""),"d9b2fac5")</f>
        <v>d9b2fac5</v>
      </c>
      <c r="E3883" s="211" t="str">
        <f>IFERROR(__xludf.DUMMYFUNCTION("""COMPUTED_VALUE"""),"Dwi Riza ( Ponokawan)")</f>
        <v>Dwi Riza ( Ponokawan)</v>
      </c>
      <c r="F3883" s="211" t="str">
        <f>IFERROR(__xludf.DUMMYFUNCTION("""COMPUTED_VALUE"""),"8bdbe149")</f>
        <v>8bdbe149</v>
      </c>
      <c r="G3883" s="211" t="str">
        <f>IFERROR(__xludf.DUMMYFUNCTION("""COMPUTED_VALUE"""),"Oksigen 6m3")</f>
        <v>Oksigen 6m3</v>
      </c>
      <c r="H3883" s="211" t="str">
        <f>IFERROR(__xludf.DUMMYFUNCTION("""COMPUTED_VALUE"""),"IN")</f>
        <v>IN</v>
      </c>
      <c r="I3883" s="211" t="str">
        <f>IFERROR(__xludf.DUMMYFUNCTION("""COMPUTED_VALUE"""),"EMPTY")</f>
        <v>EMPTY</v>
      </c>
      <c r="J3883" s="211">
        <f>IFERROR(__xludf.DUMMYFUNCTION("""COMPUTED_VALUE"""),3.0)</f>
        <v>3</v>
      </c>
      <c r="K3883" s="210" t="str">
        <f>IFERROR(__xludf.DUMMYFUNCTION("""COMPUTED_VALUE"""),"11369 11370 1195")</f>
        <v>11369 11370 1195</v>
      </c>
      <c r="L3883" s="211">
        <f>IFERROR(__xludf.DUMMYFUNCTION("""COMPUTED_VALUE"""),0.0)</f>
        <v>0</v>
      </c>
      <c r="M3883" s="211"/>
      <c r="N3883" s="211"/>
      <c r="O3883" s="211" t="b">
        <f>IFERROR(__xludf.DUMMYFUNCTION("""COMPUTED_VALUE"""),FALSE)</f>
        <v>0</v>
      </c>
    </row>
    <row r="3884">
      <c r="A3884" s="210" t="str">
        <f>IFERROR(__xludf.DUMMYFUNCTION("""COMPUTED_VALUE"""),"022682675")</f>
        <v>022682675</v>
      </c>
      <c r="B3884" s="210" t="str">
        <f>IFERROR(__xludf.DUMMYFUNCTION("""COMPUTED_VALUE"""),"022682675")</f>
        <v>022682675</v>
      </c>
      <c r="C3884" s="213">
        <f>IFERROR(__xludf.DUMMYFUNCTION("""COMPUTED_VALUE"""),46079.49256944445)</f>
        <v>46079.49257</v>
      </c>
      <c r="D3884" s="211" t="str">
        <f>IFERROR(__xludf.DUMMYFUNCTION("""COMPUTED_VALUE"""),"1c4d5e93")</f>
        <v>1c4d5e93</v>
      </c>
      <c r="E3884" s="211" t="str">
        <f>IFERROR(__xludf.DUMMYFUNCTION("""COMPUTED_VALUE"""),"Karoseri Cipta Mitra Sukses")</f>
        <v>Karoseri Cipta Mitra Sukses</v>
      </c>
      <c r="F3884" s="211" t="str">
        <f>IFERROR(__xludf.DUMMYFUNCTION("""COMPUTED_VALUE"""),"ef306e54")</f>
        <v>ef306e54</v>
      </c>
      <c r="G3884" s="211" t="str">
        <f>IFERROR(__xludf.DUMMYFUNCTION("""COMPUTED_VALUE"""),"Karbondioksida")</f>
        <v>Karbondioksida</v>
      </c>
      <c r="H3884" s="211" t="str">
        <f>IFERROR(__xludf.DUMMYFUNCTION("""COMPUTED_VALUE"""),"OUT")</f>
        <v>OUT</v>
      </c>
      <c r="I3884" s="211" t="str">
        <f>IFERROR(__xludf.DUMMYFUNCTION("""COMPUTED_VALUE"""),"NORMAL")</f>
        <v>NORMAL</v>
      </c>
      <c r="J3884" s="211">
        <f>IFERROR(__xludf.DUMMYFUNCTION("""COMPUTED_VALUE"""),3.0)</f>
        <v>3</v>
      </c>
      <c r="K3884" s="210" t="str">
        <f>IFERROR(__xludf.DUMMYFUNCTION("""COMPUTED_VALUE"""),"13050 13065 13038")</f>
        <v>13050 13065 13038</v>
      </c>
      <c r="L3884" s="211">
        <f>IFERROR(__xludf.DUMMYFUNCTION("""COMPUTED_VALUE"""),190000.0)</f>
        <v>190000</v>
      </c>
      <c r="M3884" s="211"/>
      <c r="N3884" s="211"/>
      <c r="O3884" s="211" t="b">
        <f>IFERROR(__xludf.DUMMYFUNCTION("""COMPUTED_VALUE"""),FALSE)</f>
        <v>0</v>
      </c>
    </row>
    <row r="3885">
      <c r="A3885" s="210" t="str">
        <f>IFERROR(__xludf.DUMMYFUNCTION("""COMPUTED_VALUE"""),"022682675")</f>
        <v>022682675</v>
      </c>
      <c r="B3885" s="210" t="str">
        <f>IFERROR(__xludf.DUMMYFUNCTION("""COMPUTED_VALUE"""),"022682675")</f>
        <v>022682675</v>
      </c>
      <c r="C3885" s="213">
        <f>IFERROR(__xludf.DUMMYFUNCTION("""COMPUTED_VALUE"""),46079.49256944445)</f>
        <v>46079.49257</v>
      </c>
      <c r="D3885" s="211" t="str">
        <f>IFERROR(__xludf.DUMMYFUNCTION("""COMPUTED_VALUE"""),"1c4d5e93")</f>
        <v>1c4d5e93</v>
      </c>
      <c r="E3885" s="211" t="str">
        <f>IFERROR(__xludf.DUMMYFUNCTION("""COMPUTED_VALUE"""),"Karoseri Cipta Mitra Sukses")</f>
        <v>Karoseri Cipta Mitra Sukses</v>
      </c>
      <c r="F3885" s="211" t="str">
        <f>IFERROR(__xludf.DUMMYFUNCTION("""COMPUTED_VALUE"""),"3b9d6a30")</f>
        <v>3b9d6a30</v>
      </c>
      <c r="G3885" s="211" t="str">
        <f>IFERROR(__xludf.DUMMYFUNCTION("""COMPUTED_VALUE"""),"Acetyline")</f>
        <v>Acetyline</v>
      </c>
      <c r="H3885" s="211" t="str">
        <f>IFERROR(__xludf.DUMMYFUNCTION("""COMPUTED_VALUE"""),"OUT")</f>
        <v>OUT</v>
      </c>
      <c r="I3885" s="211" t="str">
        <f>IFERROR(__xludf.DUMMYFUNCTION("""COMPUTED_VALUE"""),"NORMAL")</f>
        <v>NORMAL</v>
      </c>
      <c r="J3885" s="211">
        <f>IFERROR(__xludf.DUMMYFUNCTION("""COMPUTED_VALUE"""),1.0)</f>
        <v>1</v>
      </c>
      <c r="K3885" s="210" t="str">
        <f>IFERROR(__xludf.DUMMYFUNCTION("""COMPUTED_VALUE"""),"7007")</f>
        <v>7007</v>
      </c>
      <c r="L3885" s="211">
        <f>IFERROR(__xludf.DUMMYFUNCTION("""COMPUTED_VALUE"""),485000.0)</f>
        <v>485000</v>
      </c>
      <c r="M3885" s="211"/>
      <c r="N3885" s="211"/>
      <c r="O3885" s="211" t="b">
        <f>IFERROR(__xludf.DUMMYFUNCTION("""COMPUTED_VALUE"""),FALSE)</f>
        <v>0</v>
      </c>
    </row>
    <row r="3886">
      <c r="A3886" s="210" t="str">
        <f>IFERROR(__xludf.DUMMYFUNCTION("""COMPUTED_VALUE"""),"1261321")</f>
        <v>1261321</v>
      </c>
      <c r="B3886" s="210" t="str">
        <f>IFERROR(__xludf.DUMMYFUNCTION("""COMPUTED_VALUE"""),"1261321")</f>
        <v>1261321</v>
      </c>
      <c r="C3886" s="213">
        <f>IFERROR(__xludf.DUMMYFUNCTION("""COMPUTED_VALUE"""),46079.51744212963)</f>
        <v>46079.51744</v>
      </c>
      <c r="D3886" s="211" t="str">
        <f>IFERROR(__xludf.DUMMYFUNCTION("""COMPUTED_VALUE"""),"a1508027")</f>
        <v>a1508027</v>
      </c>
      <c r="E3886" s="211" t="str">
        <f>IFERROR(__xludf.DUMMYFUNCTION("""COMPUTED_VALUE"""),"Agus Budiono")</f>
        <v>Agus Budiono</v>
      </c>
      <c r="F3886" s="211" t="str">
        <f>IFERROR(__xludf.DUMMYFUNCTION("""COMPUTED_VALUE"""),"e8544a46")</f>
        <v>e8544a46</v>
      </c>
      <c r="G3886" s="211" t="str">
        <f>IFERROR(__xludf.DUMMYFUNCTION("""COMPUTED_VALUE"""),"Oksigen 1m3")</f>
        <v>Oksigen 1m3</v>
      </c>
      <c r="H3886" s="211" t="str">
        <f>IFERROR(__xludf.DUMMYFUNCTION("""COMPUTED_VALUE"""),"IN")</f>
        <v>IN</v>
      </c>
      <c r="I3886" s="211" t="str">
        <f>IFERROR(__xludf.DUMMYFUNCTION("""COMPUTED_VALUE"""),"EMPTY")</f>
        <v>EMPTY</v>
      </c>
      <c r="J3886" s="211">
        <f>IFERROR(__xludf.DUMMYFUNCTION("""COMPUTED_VALUE"""),1.0)</f>
        <v>1</v>
      </c>
      <c r="K3886" s="210" t="str">
        <f>IFERROR(__xludf.DUMMYFUNCTION("""COMPUTED_VALUE"""),"0005")</f>
        <v>0005</v>
      </c>
      <c r="L3886" s="211">
        <f>IFERROR(__xludf.DUMMYFUNCTION("""COMPUTED_VALUE"""),0.0)</f>
        <v>0</v>
      </c>
      <c r="M3886" s="211"/>
      <c r="N3886" s="211"/>
      <c r="O3886" s="211" t="b">
        <f>IFERROR(__xludf.DUMMYFUNCTION("""COMPUTED_VALUE"""),FALSE)</f>
        <v>0</v>
      </c>
    </row>
    <row r="3887">
      <c r="A3887" s="210" t="str">
        <f>IFERROR(__xludf.DUMMYFUNCTION("""COMPUTED_VALUE"""),"022662681")</f>
        <v>022662681</v>
      </c>
      <c r="B3887" s="210" t="str">
        <f>IFERROR(__xludf.DUMMYFUNCTION("""COMPUTED_VALUE"""),"022662681")</f>
        <v>022662681</v>
      </c>
      <c r="C3887" s="213">
        <f>IFERROR(__xludf.DUMMYFUNCTION("""COMPUTED_VALUE"""),46079.51770833333)</f>
        <v>46079.51771</v>
      </c>
      <c r="D3887" s="211" t="str">
        <f>IFERROR(__xludf.DUMMYFUNCTION("""COMPUTED_VALUE"""),"a1508027")</f>
        <v>a1508027</v>
      </c>
      <c r="E3887" s="211" t="str">
        <f>IFERROR(__xludf.DUMMYFUNCTION("""COMPUTED_VALUE"""),"Agus Budiono")</f>
        <v>Agus Budiono</v>
      </c>
      <c r="F3887" s="211" t="str">
        <f>IFERROR(__xludf.DUMMYFUNCTION("""COMPUTED_VALUE"""),"2690846b")</f>
        <v>2690846b</v>
      </c>
      <c r="G3887" s="211" t="str">
        <f>IFERROR(__xludf.DUMMYFUNCTION("""COMPUTED_VALUE"""),"Oksigen 1m3 MR")</f>
        <v>Oksigen 1m3 MR</v>
      </c>
      <c r="H3887" s="211" t="str">
        <f>IFERROR(__xludf.DUMMYFUNCTION("""COMPUTED_VALUE"""),"OUT")</f>
        <v>OUT</v>
      </c>
      <c r="I3887" s="211" t="str">
        <f>IFERROR(__xludf.DUMMYFUNCTION("""COMPUTED_VALUE"""),"NORMAL")</f>
        <v>NORMAL</v>
      </c>
      <c r="J3887" s="211">
        <f>IFERROR(__xludf.DUMMYFUNCTION("""COMPUTED_VALUE"""),1.0)</f>
        <v>1</v>
      </c>
      <c r="K3887" s="211"/>
      <c r="L3887" s="211">
        <f>IFERROR(__xludf.DUMMYFUNCTION("""COMPUTED_VALUE"""),60000.0)</f>
        <v>60000</v>
      </c>
      <c r="M3887" s="211"/>
      <c r="N3887" s="211"/>
      <c r="O3887" s="211" t="b">
        <f>IFERROR(__xludf.DUMMYFUNCTION("""COMPUTED_VALUE"""),FALSE)</f>
        <v>0</v>
      </c>
    </row>
    <row r="3888">
      <c r="A3888" s="210" t="str">
        <f>IFERROR(__xludf.DUMMYFUNCTION("""COMPUTED_VALUE"""),"1261313")</f>
        <v>1261313</v>
      </c>
      <c r="B3888" s="210" t="str">
        <f>IFERROR(__xludf.DUMMYFUNCTION("""COMPUTED_VALUE"""),"1261313")</f>
        <v>1261313</v>
      </c>
      <c r="C3888" s="213">
        <f>IFERROR(__xludf.DUMMYFUNCTION("""COMPUTED_VALUE"""),46079.61856481482)</f>
        <v>46079.61856</v>
      </c>
      <c r="D3888" s="211" t="str">
        <f>IFERROR(__xludf.DUMMYFUNCTION("""COMPUTED_VALUE"""),"b2b5f2c5")</f>
        <v>b2b5f2c5</v>
      </c>
      <c r="E3888" s="211" t="str">
        <f>IFERROR(__xludf.DUMMYFUNCTION("""COMPUTED_VALUE"""),"Bengkel Las Bpk. Ari")</f>
        <v>Bengkel Las Bpk. Ari</v>
      </c>
      <c r="F3888" s="211" t="str">
        <f>IFERROR(__xludf.DUMMYFUNCTION("""COMPUTED_VALUE"""),"8bdbe149")</f>
        <v>8bdbe149</v>
      </c>
      <c r="G3888" s="211" t="str">
        <f>IFERROR(__xludf.DUMMYFUNCTION("""COMPUTED_VALUE"""),"Oksigen 6m3")</f>
        <v>Oksigen 6m3</v>
      </c>
      <c r="H3888" s="211" t="str">
        <f>IFERROR(__xludf.DUMMYFUNCTION("""COMPUTED_VALUE"""),"IN")</f>
        <v>IN</v>
      </c>
      <c r="I3888" s="211" t="str">
        <f>IFERROR(__xludf.DUMMYFUNCTION("""COMPUTED_VALUE"""),"EMPTY")</f>
        <v>EMPTY</v>
      </c>
      <c r="J3888" s="211">
        <f>IFERROR(__xludf.DUMMYFUNCTION("""COMPUTED_VALUE"""),4.0)</f>
        <v>4</v>
      </c>
      <c r="K3888" s="210" t="str">
        <f>IFERROR(__xludf.DUMMYFUNCTION("""COMPUTED_VALUE"""),"11362 1144 11117 11124")</f>
        <v>11362 1144 11117 11124</v>
      </c>
      <c r="L3888" s="211">
        <f>IFERROR(__xludf.DUMMYFUNCTION("""COMPUTED_VALUE"""),0.0)</f>
        <v>0</v>
      </c>
      <c r="M3888" s="211"/>
      <c r="N3888" s="211"/>
      <c r="O3888" s="211" t="b">
        <f>IFERROR(__xludf.DUMMYFUNCTION("""COMPUTED_VALUE"""),FALSE)</f>
        <v>0</v>
      </c>
    </row>
    <row r="3889">
      <c r="A3889" s="210" t="str">
        <f>IFERROR(__xludf.DUMMYFUNCTION("""COMPUTED_VALUE"""),"1261313")</f>
        <v>1261313</v>
      </c>
      <c r="B3889" s="210" t="str">
        <f>IFERROR(__xludf.DUMMYFUNCTION("""COMPUTED_VALUE"""),"1261313")</f>
        <v>1261313</v>
      </c>
      <c r="C3889" s="213">
        <f>IFERROR(__xludf.DUMMYFUNCTION("""COMPUTED_VALUE"""),46079.61856481482)</f>
        <v>46079.61856</v>
      </c>
      <c r="D3889" s="211" t="str">
        <f>IFERROR(__xludf.DUMMYFUNCTION("""COMPUTED_VALUE"""),"b2b5f2c5")</f>
        <v>b2b5f2c5</v>
      </c>
      <c r="E3889" s="211" t="str">
        <f>IFERROR(__xludf.DUMMYFUNCTION("""COMPUTED_VALUE"""),"Bengkel Las Bpk. Ari")</f>
        <v>Bengkel Las Bpk. Ari</v>
      </c>
      <c r="F3889" s="211" t="str">
        <f>IFERROR(__xludf.DUMMYFUNCTION("""COMPUTED_VALUE"""),"7d2764f1")</f>
        <v>7d2764f1</v>
      </c>
      <c r="G3889" s="211" t="str">
        <f>IFERROR(__xludf.DUMMYFUNCTION("""COMPUTED_VALUE"""),"Oksigen 7m3")</f>
        <v>Oksigen 7m3</v>
      </c>
      <c r="H3889" s="211" t="str">
        <f>IFERROR(__xludf.DUMMYFUNCTION("""COMPUTED_VALUE"""),"IN")</f>
        <v>IN</v>
      </c>
      <c r="I3889" s="211" t="str">
        <f>IFERROR(__xludf.DUMMYFUNCTION("""COMPUTED_VALUE"""),"EMPTY")</f>
        <v>EMPTY</v>
      </c>
      <c r="J3889" s="211">
        <f>IFERROR(__xludf.DUMMYFUNCTION("""COMPUTED_VALUE"""),1.0)</f>
        <v>1</v>
      </c>
      <c r="K3889" s="210" t="str">
        <f>IFERROR(__xludf.DUMMYFUNCTION("""COMPUTED_VALUE"""),"11167")</f>
        <v>11167</v>
      </c>
      <c r="L3889" s="211">
        <f>IFERROR(__xludf.DUMMYFUNCTION("""COMPUTED_VALUE"""),0.0)</f>
        <v>0</v>
      </c>
      <c r="M3889" s="211"/>
      <c r="N3889" s="211"/>
      <c r="O3889" s="211" t="b">
        <f>IFERROR(__xludf.DUMMYFUNCTION("""COMPUTED_VALUE"""),FALSE)</f>
        <v>0</v>
      </c>
    </row>
    <row r="3890">
      <c r="A3890" s="210" t="str">
        <f>IFERROR(__xludf.DUMMYFUNCTION("""COMPUTED_VALUE"""),"1261313")</f>
        <v>1261313</v>
      </c>
      <c r="B3890" s="210" t="str">
        <f>IFERROR(__xludf.DUMMYFUNCTION("""COMPUTED_VALUE"""),"1261313")</f>
        <v>1261313</v>
      </c>
      <c r="C3890" s="213">
        <f>IFERROR(__xludf.DUMMYFUNCTION("""COMPUTED_VALUE"""),46079.61856481482)</f>
        <v>46079.61856</v>
      </c>
      <c r="D3890" s="211" t="str">
        <f>IFERROR(__xludf.DUMMYFUNCTION("""COMPUTED_VALUE"""),"b2b5f2c5")</f>
        <v>b2b5f2c5</v>
      </c>
      <c r="E3890" s="211" t="str">
        <f>IFERROR(__xludf.DUMMYFUNCTION("""COMPUTED_VALUE"""),"Bengkel Las Bpk. Ari")</f>
        <v>Bengkel Las Bpk. Ari</v>
      </c>
      <c r="F3890" s="211" t="str">
        <f>IFERROR(__xludf.DUMMYFUNCTION("""COMPUTED_VALUE"""),"8bdbe149")</f>
        <v>8bdbe149</v>
      </c>
      <c r="G3890" s="211" t="str">
        <f>IFERROR(__xludf.DUMMYFUNCTION("""COMPUTED_VALUE"""),"Oksigen 6m3")</f>
        <v>Oksigen 6m3</v>
      </c>
      <c r="H3890" s="211" t="str">
        <f>IFERROR(__xludf.DUMMYFUNCTION("""COMPUTED_VALUE"""),"IN")</f>
        <v>IN</v>
      </c>
      <c r="I3890" s="211" t="str">
        <f>IFERROR(__xludf.DUMMYFUNCTION("""COMPUTED_VALUE"""),"EMPTY")</f>
        <v>EMPTY</v>
      </c>
      <c r="J3890" s="211">
        <f>IFERROR(__xludf.DUMMYFUNCTION("""COMPUTED_VALUE"""),1.0)</f>
        <v>1</v>
      </c>
      <c r="K3890" s="210" t="str">
        <f>IFERROR(__xludf.DUMMYFUNCTION("""COMPUTED_VALUE"""),"11272")</f>
        <v>11272</v>
      </c>
      <c r="L3890" s="211">
        <f>IFERROR(__xludf.DUMMYFUNCTION("""COMPUTED_VALUE"""),0.0)</f>
        <v>0</v>
      </c>
      <c r="M3890" s="211"/>
      <c r="N3890" s="211"/>
      <c r="O3890" s="211" t="b">
        <f>IFERROR(__xludf.DUMMYFUNCTION("""COMPUTED_VALUE"""),TRUE)</f>
        <v>1</v>
      </c>
    </row>
    <row r="3891">
      <c r="A3891" s="210" t="str">
        <f>IFERROR(__xludf.DUMMYFUNCTION("""COMPUTED_VALUE"""),"1261310")</f>
        <v>1261310</v>
      </c>
      <c r="B3891" s="210" t="str">
        <f>IFERROR(__xludf.DUMMYFUNCTION("""COMPUTED_VALUE"""),"1261310")</f>
        <v>1261310</v>
      </c>
      <c r="C3891" s="213">
        <f>IFERROR(__xludf.DUMMYFUNCTION("""COMPUTED_VALUE"""),46079.62079861111)</f>
        <v>46079.6208</v>
      </c>
      <c r="D3891" s="211" t="str">
        <f>IFERROR(__xludf.DUMMYFUNCTION("""COMPUTED_VALUE"""),"9828dfc5")</f>
        <v>9828dfc5</v>
      </c>
      <c r="E3891" s="211" t="str">
        <f>IFERROR(__xludf.DUMMYFUNCTION("""COMPUTED_VALUE"""),"Bpk. David")</f>
        <v>Bpk. David</v>
      </c>
      <c r="F3891" s="211" t="str">
        <f>IFERROR(__xludf.DUMMYFUNCTION("""COMPUTED_VALUE"""),"8bdbe149")</f>
        <v>8bdbe149</v>
      </c>
      <c r="G3891" s="211" t="str">
        <f>IFERROR(__xludf.DUMMYFUNCTION("""COMPUTED_VALUE"""),"Oksigen 6m3")</f>
        <v>Oksigen 6m3</v>
      </c>
      <c r="H3891" s="211" t="str">
        <f>IFERROR(__xludf.DUMMYFUNCTION("""COMPUTED_VALUE"""),"IN")</f>
        <v>IN</v>
      </c>
      <c r="I3891" s="211" t="str">
        <f>IFERROR(__xludf.DUMMYFUNCTION("""COMPUTED_VALUE"""),"EMPTY")</f>
        <v>EMPTY</v>
      </c>
      <c r="J3891" s="211">
        <f>IFERROR(__xludf.DUMMYFUNCTION("""COMPUTED_VALUE"""),3.0)</f>
        <v>3</v>
      </c>
      <c r="K3891" s="210" t="str">
        <f>IFERROR(__xludf.DUMMYFUNCTION("""COMPUTED_VALUE"""),"11180 11385 11287")</f>
        <v>11180 11385 11287</v>
      </c>
      <c r="L3891" s="211">
        <f>IFERROR(__xludf.DUMMYFUNCTION("""COMPUTED_VALUE"""),0.0)</f>
        <v>0</v>
      </c>
      <c r="M3891" s="211"/>
      <c r="N3891" s="211"/>
      <c r="O3891" s="211" t="b">
        <f>IFERROR(__xludf.DUMMYFUNCTION("""COMPUTED_VALUE"""),FALSE)</f>
        <v>0</v>
      </c>
    </row>
    <row r="3892">
      <c r="A3892" s="210" t="str">
        <f>IFERROR(__xludf.DUMMYFUNCTION("""COMPUTED_VALUE"""),"1261310")</f>
        <v>1261310</v>
      </c>
      <c r="B3892" s="210" t="str">
        <f>IFERROR(__xludf.DUMMYFUNCTION("""COMPUTED_VALUE"""),"1261310")</f>
        <v>1261310</v>
      </c>
      <c r="C3892" s="213">
        <f>IFERROR(__xludf.DUMMYFUNCTION("""COMPUTED_VALUE"""),46079.62079861111)</f>
        <v>46079.6208</v>
      </c>
      <c r="D3892" s="211" t="str">
        <f>IFERROR(__xludf.DUMMYFUNCTION("""COMPUTED_VALUE"""),"9828dfc5")</f>
        <v>9828dfc5</v>
      </c>
      <c r="E3892" s="211" t="str">
        <f>IFERROR(__xludf.DUMMYFUNCTION("""COMPUTED_VALUE"""),"Bpk. David")</f>
        <v>Bpk. David</v>
      </c>
      <c r="F3892" s="211" t="str">
        <f>IFERROR(__xludf.DUMMYFUNCTION("""COMPUTED_VALUE"""),"7d2764f1")</f>
        <v>7d2764f1</v>
      </c>
      <c r="G3892" s="211" t="str">
        <f>IFERROR(__xludf.DUMMYFUNCTION("""COMPUTED_VALUE"""),"Oksigen 7m3")</f>
        <v>Oksigen 7m3</v>
      </c>
      <c r="H3892" s="211" t="str">
        <f>IFERROR(__xludf.DUMMYFUNCTION("""COMPUTED_VALUE"""),"IN")</f>
        <v>IN</v>
      </c>
      <c r="I3892" s="211" t="str">
        <f>IFERROR(__xludf.DUMMYFUNCTION("""COMPUTED_VALUE"""),"EMPTY")</f>
        <v>EMPTY</v>
      </c>
      <c r="J3892" s="211">
        <f>IFERROR(__xludf.DUMMYFUNCTION("""COMPUTED_VALUE"""),2.0)</f>
        <v>2</v>
      </c>
      <c r="K3892" s="210" t="str">
        <f>IFERROR(__xludf.DUMMYFUNCTION("""COMPUTED_VALUE"""),"11163 11138")</f>
        <v>11163 11138</v>
      </c>
      <c r="L3892" s="211">
        <f>IFERROR(__xludf.DUMMYFUNCTION("""COMPUTED_VALUE"""),0.0)</f>
        <v>0</v>
      </c>
      <c r="M3892" s="211"/>
      <c r="N3892" s="211"/>
      <c r="O3892" s="211" t="b">
        <f>IFERROR(__xludf.DUMMYFUNCTION("""COMPUTED_VALUE"""),FALSE)</f>
        <v>0</v>
      </c>
    </row>
    <row r="3893">
      <c r="A3893" s="210" t="str">
        <f>IFERROR(__xludf.DUMMYFUNCTION("""COMPUTED_VALUE"""),"1261308")</f>
        <v>1261308</v>
      </c>
      <c r="B3893" s="210" t="str">
        <f>IFERROR(__xludf.DUMMYFUNCTION("""COMPUTED_VALUE"""),"1261308")</f>
        <v>1261308</v>
      </c>
      <c r="C3893" s="213">
        <f>IFERROR(__xludf.DUMMYFUNCTION("""COMPUTED_VALUE"""),46079.62186342593)</f>
        <v>46079.62186</v>
      </c>
      <c r="D3893" s="211" t="str">
        <f>IFERROR(__xludf.DUMMYFUNCTION("""COMPUTED_VALUE"""),"ca4876e2")</f>
        <v>ca4876e2</v>
      </c>
      <c r="E3893" s="211" t="str">
        <f>IFERROR(__xludf.DUMMYFUNCTION("""COMPUTED_VALUE"""),"Bengkel Mustika Mojosari")</f>
        <v>Bengkel Mustika Mojosari</v>
      </c>
      <c r="F3893" s="211" t="str">
        <f>IFERROR(__xludf.DUMMYFUNCTION("""COMPUTED_VALUE"""),"7d2764f1")</f>
        <v>7d2764f1</v>
      </c>
      <c r="G3893" s="211" t="str">
        <f>IFERROR(__xludf.DUMMYFUNCTION("""COMPUTED_VALUE"""),"Oksigen 7m3")</f>
        <v>Oksigen 7m3</v>
      </c>
      <c r="H3893" s="211" t="str">
        <f>IFERROR(__xludf.DUMMYFUNCTION("""COMPUTED_VALUE"""),"IN")</f>
        <v>IN</v>
      </c>
      <c r="I3893" s="211" t="str">
        <f>IFERROR(__xludf.DUMMYFUNCTION("""COMPUTED_VALUE"""),"EMPTY")</f>
        <v>EMPTY</v>
      </c>
      <c r="J3893" s="211">
        <f>IFERROR(__xludf.DUMMYFUNCTION("""COMPUTED_VALUE"""),2.0)</f>
        <v>2</v>
      </c>
      <c r="K3893" s="210" t="str">
        <f>IFERROR(__xludf.DUMMYFUNCTION("""COMPUTED_VALUE"""),"11151 11143")</f>
        <v>11151 11143</v>
      </c>
      <c r="L3893" s="211">
        <f>IFERROR(__xludf.DUMMYFUNCTION("""COMPUTED_VALUE"""),0.0)</f>
        <v>0</v>
      </c>
      <c r="M3893" s="211"/>
      <c r="N3893" s="211"/>
      <c r="O3893" s="211" t="b">
        <f>IFERROR(__xludf.DUMMYFUNCTION("""COMPUTED_VALUE"""),FALSE)</f>
        <v>0</v>
      </c>
    </row>
    <row r="3894">
      <c r="A3894" s="210" t="str">
        <f>IFERROR(__xludf.DUMMYFUNCTION("""COMPUTED_VALUE"""),"1261319")</f>
        <v>1261319</v>
      </c>
      <c r="B3894" s="210" t="str">
        <f>IFERROR(__xludf.DUMMYFUNCTION("""COMPUTED_VALUE"""),"1261319")</f>
        <v>1261319</v>
      </c>
      <c r="C3894" s="213">
        <f>IFERROR(__xludf.DUMMYFUNCTION("""COMPUTED_VALUE"""),46079.67333333333)</f>
        <v>46079.67333</v>
      </c>
      <c r="D3894" s="211" t="str">
        <f>IFERROR(__xludf.DUMMYFUNCTION("""COMPUTED_VALUE"""),"ce83e171")</f>
        <v>ce83e171</v>
      </c>
      <c r="E3894" s="211" t="str">
        <f>IFERROR(__xludf.DUMMYFUNCTION("""COMPUTED_VALUE"""),"Bpk. Sulaiman")</f>
        <v>Bpk. Sulaiman</v>
      </c>
      <c r="F3894" s="211" t="str">
        <f>IFERROR(__xludf.DUMMYFUNCTION("""COMPUTED_VALUE"""),"7d2764f1")</f>
        <v>7d2764f1</v>
      </c>
      <c r="G3894" s="211" t="str">
        <f>IFERROR(__xludf.DUMMYFUNCTION("""COMPUTED_VALUE"""),"Oksigen 7m3")</f>
        <v>Oksigen 7m3</v>
      </c>
      <c r="H3894" s="211" t="str">
        <f>IFERROR(__xludf.DUMMYFUNCTION("""COMPUTED_VALUE"""),"IN")</f>
        <v>IN</v>
      </c>
      <c r="I3894" s="211" t="str">
        <f>IFERROR(__xludf.DUMMYFUNCTION("""COMPUTED_VALUE"""),"EMPTY")</f>
        <v>EMPTY</v>
      </c>
      <c r="J3894" s="211">
        <f>IFERROR(__xludf.DUMMYFUNCTION("""COMPUTED_VALUE"""),2.0)</f>
        <v>2</v>
      </c>
      <c r="K3894" s="210" t="str">
        <f>IFERROR(__xludf.DUMMYFUNCTION("""COMPUTED_VALUE"""),"11307 11144")</f>
        <v>11307 11144</v>
      </c>
      <c r="L3894" s="211">
        <f>IFERROR(__xludf.DUMMYFUNCTION("""COMPUTED_VALUE"""),0.0)</f>
        <v>0</v>
      </c>
      <c r="M3894" s="211"/>
      <c r="N3894" s="211"/>
      <c r="O3894" s="211" t="b">
        <f>IFERROR(__xludf.DUMMYFUNCTION("""COMPUTED_VALUE"""),FALSE)</f>
        <v>0</v>
      </c>
    </row>
    <row r="3895">
      <c r="A3895" s="210" t="str">
        <f>IFERROR(__xludf.DUMMYFUNCTION("""COMPUTED_VALUE"""),"1261319")</f>
        <v>1261319</v>
      </c>
      <c r="B3895" s="210" t="str">
        <f>IFERROR(__xludf.DUMMYFUNCTION("""COMPUTED_VALUE"""),"1261319")</f>
        <v>1261319</v>
      </c>
      <c r="C3895" s="213">
        <f>IFERROR(__xludf.DUMMYFUNCTION("""COMPUTED_VALUE"""),46079.67333333333)</f>
        <v>46079.67333</v>
      </c>
      <c r="D3895" s="211" t="str">
        <f>IFERROR(__xludf.DUMMYFUNCTION("""COMPUTED_VALUE"""),"ce83e171")</f>
        <v>ce83e171</v>
      </c>
      <c r="E3895" s="211" t="str">
        <f>IFERROR(__xludf.DUMMYFUNCTION("""COMPUTED_VALUE"""),"Bpk. Sulaiman")</f>
        <v>Bpk. Sulaiman</v>
      </c>
      <c r="F3895" s="211" t="str">
        <f>IFERROR(__xludf.DUMMYFUNCTION("""COMPUTED_VALUE"""),"f6aab7a9")</f>
        <v>f6aab7a9</v>
      </c>
      <c r="G3895" s="211" t="str">
        <f>IFERROR(__xludf.DUMMYFUNCTION("""COMPUTED_VALUE"""),"Oksigen 6m3 MR")</f>
        <v>Oksigen 6m3 MR</v>
      </c>
      <c r="H3895" s="211" t="str">
        <f>IFERROR(__xludf.DUMMYFUNCTION("""COMPUTED_VALUE"""),"IN")</f>
        <v>IN</v>
      </c>
      <c r="I3895" s="211" t="str">
        <f>IFERROR(__xludf.DUMMYFUNCTION("""COMPUTED_VALUE"""),"EMPTY")</f>
        <v>EMPTY</v>
      </c>
      <c r="J3895" s="211">
        <f>IFERROR(__xludf.DUMMYFUNCTION("""COMPUTED_VALUE"""),2.0)</f>
        <v>2</v>
      </c>
      <c r="K3895" s="211"/>
      <c r="L3895" s="211">
        <f>IFERROR(__xludf.DUMMYFUNCTION("""COMPUTED_VALUE"""),0.0)</f>
        <v>0</v>
      </c>
      <c r="M3895" s="211"/>
      <c r="N3895" s="211"/>
      <c r="O3895" s="211" t="b">
        <f>IFERROR(__xludf.DUMMYFUNCTION("""COMPUTED_VALUE"""),FALSE)</f>
        <v>0</v>
      </c>
    </row>
    <row r="3896">
      <c r="A3896" s="210" t="str">
        <f>IFERROR(__xludf.DUMMYFUNCTION("""COMPUTED_VALUE"""),"1261319")</f>
        <v>1261319</v>
      </c>
      <c r="B3896" s="210" t="str">
        <f>IFERROR(__xludf.DUMMYFUNCTION("""COMPUTED_VALUE"""),"1261319")</f>
        <v>1261319</v>
      </c>
      <c r="C3896" s="213">
        <f>IFERROR(__xludf.DUMMYFUNCTION("""COMPUTED_VALUE"""),46079.67333333333)</f>
        <v>46079.67333</v>
      </c>
      <c r="D3896" s="211" t="str">
        <f>IFERROR(__xludf.DUMMYFUNCTION("""COMPUTED_VALUE"""),"ce83e171")</f>
        <v>ce83e171</v>
      </c>
      <c r="E3896" s="211" t="str">
        <f>IFERROR(__xludf.DUMMYFUNCTION("""COMPUTED_VALUE"""),"Bpk. Sulaiman")</f>
        <v>Bpk. Sulaiman</v>
      </c>
      <c r="F3896" s="211" t="str">
        <f>IFERROR(__xludf.DUMMYFUNCTION("""COMPUTED_VALUE"""),"be525f3b")</f>
        <v>be525f3b</v>
      </c>
      <c r="G3896" s="211" t="str">
        <f>IFERROR(__xludf.DUMMYFUNCTION("""COMPUTED_VALUE"""),"LPG 12kg")</f>
        <v>LPG 12kg</v>
      </c>
      <c r="H3896" s="211" t="str">
        <f>IFERROR(__xludf.DUMMYFUNCTION("""COMPUTED_VALUE"""),"IN")</f>
        <v>IN</v>
      </c>
      <c r="I3896" s="211" t="str">
        <f>IFERROR(__xludf.DUMMYFUNCTION("""COMPUTED_VALUE"""),"EMPTY")</f>
        <v>EMPTY</v>
      </c>
      <c r="J3896" s="211">
        <f>IFERROR(__xludf.DUMMYFUNCTION("""COMPUTED_VALUE"""),1.0)</f>
        <v>1</v>
      </c>
      <c r="K3896" s="211"/>
      <c r="L3896" s="211">
        <f>IFERROR(__xludf.DUMMYFUNCTION("""COMPUTED_VALUE"""),0.0)</f>
        <v>0</v>
      </c>
      <c r="M3896" s="211"/>
      <c r="N3896" s="211"/>
      <c r="O3896" s="211" t="b">
        <f>IFERROR(__xludf.DUMMYFUNCTION("""COMPUTED_VALUE"""),FALSE)</f>
        <v>0</v>
      </c>
    </row>
    <row r="3897">
      <c r="A3897" s="210" t="str">
        <f>IFERROR(__xludf.DUMMYFUNCTION("""COMPUTED_VALUE"""),"1261318")</f>
        <v>1261318</v>
      </c>
      <c r="B3897" s="210" t="str">
        <f>IFERROR(__xludf.DUMMYFUNCTION("""COMPUTED_VALUE"""),"1261318")</f>
        <v>1261318</v>
      </c>
      <c r="C3897" s="213">
        <f>IFERROR(__xludf.DUMMYFUNCTION("""COMPUTED_VALUE"""),46079.674097222225)</f>
        <v>46079.6741</v>
      </c>
      <c r="D3897" s="211" t="str">
        <f>IFERROR(__xludf.DUMMYFUNCTION("""COMPUTED_VALUE"""),"01158be1")</f>
        <v>01158be1</v>
      </c>
      <c r="E3897" s="211" t="str">
        <f>IFERROR(__xludf.DUMMYFUNCTION("""COMPUTED_VALUE"""),"GYF")</f>
        <v>GYF</v>
      </c>
      <c r="F3897" s="211" t="str">
        <f>IFERROR(__xludf.DUMMYFUNCTION("""COMPUTED_VALUE"""),"8bdbe149")</f>
        <v>8bdbe149</v>
      </c>
      <c r="G3897" s="211" t="str">
        <f>IFERROR(__xludf.DUMMYFUNCTION("""COMPUTED_VALUE"""),"Oksigen 6m3")</f>
        <v>Oksigen 6m3</v>
      </c>
      <c r="H3897" s="211" t="str">
        <f>IFERROR(__xludf.DUMMYFUNCTION("""COMPUTED_VALUE"""),"IN")</f>
        <v>IN</v>
      </c>
      <c r="I3897" s="211" t="str">
        <f>IFERROR(__xludf.DUMMYFUNCTION("""COMPUTED_VALUE"""),"EMPTY")</f>
        <v>EMPTY</v>
      </c>
      <c r="J3897" s="211">
        <f>IFERROR(__xludf.DUMMYFUNCTION("""COMPUTED_VALUE"""),3.0)</f>
        <v>3</v>
      </c>
      <c r="K3897" s="210" t="str">
        <f>IFERROR(__xludf.DUMMYFUNCTION("""COMPUTED_VALUE"""),"11104 11353 11356")</f>
        <v>11104 11353 11356</v>
      </c>
      <c r="L3897" s="211">
        <f>IFERROR(__xludf.DUMMYFUNCTION("""COMPUTED_VALUE"""),0.0)</f>
        <v>0</v>
      </c>
      <c r="M3897" s="211"/>
      <c r="N3897" s="211"/>
      <c r="O3897" s="211" t="b">
        <f>IFERROR(__xludf.DUMMYFUNCTION("""COMPUTED_VALUE"""),FALSE)</f>
        <v>0</v>
      </c>
    </row>
    <row r="3898">
      <c r="A3898" s="210" t="str">
        <f>IFERROR(__xludf.DUMMYFUNCTION("""COMPUTED_VALUE"""),"0226262683")</f>
        <v>0226262683</v>
      </c>
      <c r="B3898" s="210" t="str">
        <f>IFERROR(__xludf.DUMMYFUNCTION("""COMPUTED_VALUE"""),"0226262683")</f>
        <v>0226262683</v>
      </c>
      <c r="C3898" s="213">
        <f>IFERROR(__xludf.DUMMYFUNCTION("""COMPUTED_VALUE"""),46080.378287037034)</f>
        <v>46080.37829</v>
      </c>
      <c r="D3898" s="211" t="str">
        <f>IFERROR(__xludf.DUMMYFUNCTION("""COMPUTED_VALUE"""),"8ea74d81")</f>
        <v>8ea74d81</v>
      </c>
      <c r="E3898" s="211" t="str">
        <f>IFERROR(__xludf.DUMMYFUNCTION("""COMPUTED_VALUE"""),"Bengkel Adi Putra")</f>
        <v>Bengkel Adi Putra</v>
      </c>
      <c r="F3898" s="211" t="str">
        <f>IFERROR(__xludf.DUMMYFUNCTION("""COMPUTED_VALUE"""),"8bdbe149")</f>
        <v>8bdbe149</v>
      </c>
      <c r="G3898" s="211" t="str">
        <f>IFERROR(__xludf.DUMMYFUNCTION("""COMPUTED_VALUE"""),"Oksigen 6m3")</f>
        <v>Oksigen 6m3</v>
      </c>
      <c r="H3898" s="211" t="str">
        <f>IFERROR(__xludf.DUMMYFUNCTION("""COMPUTED_VALUE"""),"OUT")</f>
        <v>OUT</v>
      </c>
      <c r="I3898" s="211" t="str">
        <f>IFERROR(__xludf.DUMMYFUNCTION("""COMPUTED_VALUE"""),"NORMAL")</f>
        <v>NORMAL</v>
      </c>
      <c r="J3898" s="211">
        <f>IFERROR(__xludf.DUMMYFUNCTION("""COMPUTED_VALUE"""),2.0)</f>
        <v>2</v>
      </c>
      <c r="K3898" s="210" t="str">
        <f>IFERROR(__xludf.DUMMYFUNCTION("""COMPUTED_VALUE"""),"11385 11124")</f>
        <v>11385 11124</v>
      </c>
      <c r="L3898" s="211">
        <f>IFERROR(__xludf.DUMMYFUNCTION("""COMPUTED_VALUE"""),70000.0)</f>
        <v>70000</v>
      </c>
      <c r="M3898" s="211"/>
      <c r="N3898" s="211"/>
      <c r="O3898" s="211" t="b">
        <f>IFERROR(__xludf.DUMMYFUNCTION("""COMPUTED_VALUE"""),FALSE)</f>
        <v>0</v>
      </c>
    </row>
    <row r="3899">
      <c r="A3899" s="210" t="str">
        <f>IFERROR(__xludf.DUMMYFUNCTION("""COMPUTED_VALUE"""),"022652690")</f>
        <v>022652690</v>
      </c>
      <c r="B3899" s="210" t="str">
        <f>IFERROR(__xludf.DUMMYFUNCTION("""COMPUTED_VALUE"""),"022652690")</f>
        <v>022652690</v>
      </c>
      <c r="C3899" s="213">
        <f>IFERROR(__xludf.DUMMYFUNCTION("""COMPUTED_VALUE"""),46080.37844907407)</f>
        <v>46080.37845</v>
      </c>
      <c r="D3899" s="211" t="str">
        <f>IFERROR(__xludf.DUMMYFUNCTION("""COMPUTED_VALUE"""),"de41c3e8")</f>
        <v>de41c3e8</v>
      </c>
      <c r="E3899" s="211" t="str">
        <f>IFERROR(__xludf.DUMMYFUNCTION("""COMPUTED_VALUE"""),"Bpk. Eko Mianto")</f>
        <v>Bpk. Eko Mianto</v>
      </c>
      <c r="F3899" s="211" t="str">
        <f>IFERROR(__xludf.DUMMYFUNCTION("""COMPUTED_VALUE"""),"66af7c72")</f>
        <v>66af7c72</v>
      </c>
      <c r="G3899" s="211" t="str">
        <f>IFERROR(__xludf.DUMMYFUNCTION("""COMPUTED_VALUE"""),"Argon 6m3")</f>
        <v>Argon 6m3</v>
      </c>
      <c r="H3899" s="211" t="str">
        <f>IFERROR(__xludf.DUMMYFUNCTION("""COMPUTED_VALUE"""),"OUT")</f>
        <v>OUT</v>
      </c>
      <c r="I3899" s="211" t="str">
        <f>IFERROR(__xludf.DUMMYFUNCTION("""COMPUTED_VALUE"""),"NORMAL")</f>
        <v>NORMAL</v>
      </c>
      <c r="J3899" s="211">
        <f>IFERROR(__xludf.DUMMYFUNCTION("""COMPUTED_VALUE"""),2.0)</f>
        <v>2</v>
      </c>
      <c r="K3899" s="210" t="str">
        <f>IFERROR(__xludf.DUMMYFUNCTION("""COMPUTED_VALUE"""),"12006 12038")</f>
        <v>12006 12038</v>
      </c>
      <c r="L3899" s="211">
        <f>IFERROR(__xludf.DUMMYFUNCTION("""COMPUTED_VALUE"""),225000.0)</f>
        <v>225000</v>
      </c>
      <c r="M3899" s="211"/>
      <c r="N3899" s="211"/>
      <c r="O3899" s="211" t="b">
        <f>IFERROR(__xludf.DUMMYFUNCTION("""COMPUTED_VALUE"""),FALSE)</f>
        <v>0</v>
      </c>
    </row>
    <row r="3900">
      <c r="A3900" s="211"/>
      <c r="B3900" s="211"/>
      <c r="C3900" s="211"/>
      <c r="D3900" s="211"/>
      <c r="E3900" s="211"/>
      <c r="F3900" s="211"/>
      <c r="G3900" s="211"/>
      <c r="H3900" s="211"/>
      <c r="I3900" s="211"/>
      <c r="J3900" s="211"/>
      <c r="K3900" s="211"/>
      <c r="L3900" s="211"/>
      <c r="M3900" s="211"/>
      <c r="N3900" s="211"/>
      <c r="O3900" s="211"/>
    </row>
    <row r="3901">
      <c r="A3901" s="210" t="str">
        <f>IFERROR(__xludf.DUMMYFUNCTION("""COMPUTED_VALUE"""),"0226162691")</f>
        <v>0226162691</v>
      </c>
      <c r="B3901" s="210" t="str">
        <f>IFERROR(__xludf.DUMMYFUNCTION("""COMPUTED_VALUE"""),"0226162691")</f>
        <v>0226162691</v>
      </c>
      <c r="C3901" s="213">
        <f>IFERROR(__xludf.DUMMYFUNCTION("""COMPUTED_VALUE"""),46080.38028935185)</f>
        <v>46080.38029</v>
      </c>
      <c r="D3901" s="211" t="str">
        <f>IFERROR(__xludf.DUMMYFUNCTION("""COMPUTED_VALUE"""),"eec2e801")</f>
        <v>eec2e801</v>
      </c>
      <c r="E3901" s="211" t="str">
        <f>IFERROR(__xludf.DUMMYFUNCTION("""COMPUTED_VALUE"""),"Mitra Wood Sejahtera")</f>
        <v>Mitra Wood Sejahtera</v>
      </c>
      <c r="F3901" s="211" t="str">
        <f>IFERROR(__xludf.DUMMYFUNCTION("""COMPUTED_VALUE"""),"8bdbe149")</f>
        <v>8bdbe149</v>
      </c>
      <c r="G3901" s="211" t="str">
        <f>IFERROR(__xludf.DUMMYFUNCTION("""COMPUTED_VALUE"""),"Oksigen 6m3")</f>
        <v>Oksigen 6m3</v>
      </c>
      <c r="H3901" s="211" t="str">
        <f>IFERROR(__xludf.DUMMYFUNCTION("""COMPUTED_VALUE"""),"OUT")</f>
        <v>OUT</v>
      </c>
      <c r="I3901" s="211" t="str">
        <f>IFERROR(__xludf.DUMMYFUNCTION("""COMPUTED_VALUE"""),"NORMAL")</f>
        <v>NORMAL</v>
      </c>
      <c r="J3901" s="211">
        <f>IFERROR(__xludf.DUMMYFUNCTION("""COMPUTED_VALUE"""),5.0)</f>
        <v>5</v>
      </c>
      <c r="K3901" s="210" t="str">
        <f>IFERROR(__xludf.DUMMYFUNCTION("""COMPUTED_VALUE"""),"11272 11290 11180 11237 1193")</f>
        <v>11272 11290 11180 11237 1193</v>
      </c>
      <c r="L3901" s="211">
        <f>IFERROR(__xludf.DUMMYFUNCTION("""COMPUTED_VALUE"""),55000.0)</f>
        <v>55000</v>
      </c>
      <c r="M3901" s="211"/>
      <c r="N3901" s="211"/>
      <c r="O3901" s="211" t="b">
        <f>IFERROR(__xludf.DUMMYFUNCTION("""COMPUTED_VALUE"""),FALSE)</f>
        <v>0</v>
      </c>
    </row>
    <row r="3902">
      <c r="A3902" s="210" t="str">
        <f>IFERROR(__xludf.DUMMYFUNCTION("""COMPUTED_VALUE"""),"1261297")</f>
        <v>1261297</v>
      </c>
      <c r="B3902" s="210" t="str">
        <f>IFERROR(__xludf.DUMMYFUNCTION("""COMPUTED_VALUE"""),"1261297")</f>
        <v>1261297</v>
      </c>
      <c r="C3902" s="213">
        <f>IFERROR(__xludf.DUMMYFUNCTION("""COMPUTED_VALUE"""),46077.607199074075)</f>
        <v>46077.6072</v>
      </c>
      <c r="D3902" s="211" t="str">
        <f>IFERROR(__xludf.DUMMYFUNCTION("""COMPUTED_VALUE"""),"f49860e4")</f>
        <v>f49860e4</v>
      </c>
      <c r="E3902" s="211" t="str">
        <f>IFERROR(__xludf.DUMMYFUNCTION("""COMPUTED_VALUE"""),"Mas Nur ( Jetis )")</f>
        <v>Mas Nur ( Jetis )</v>
      </c>
      <c r="F3902" s="211" t="str">
        <f>IFERROR(__xludf.DUMMYFUNCTION("""COMPUTED_VALUE"""),"8bdbe149")</f>
        <v>8bdbe149</v>
      </c>
      <c r="G3902" s="211" t="str">
        <f>IFERROR(__xludf.DUMMYFUNCTION("""COMPUTED_VALUE"""),"Oksigen 6m3")</f>
        <v>Oksigen 6m3</v>
      </c>
      <c r="H3902" s="211" t="str">
        <f>IFERROR(__xludf.DUMMYFUNCTION("""COMPUTED_VALUE"""),"IN")</f>
        <v>IN</v>
      </c>
      <c r="I3902" s="211" t="str">
        <f>IFERROR(__xludf.DUMMYFUNCTION("""COMPUTED_VALUE"""),"EMPTY")</f>
        <v>EMPTY</v>
      </c>
      <c r="J3902" s="211">
        <f>IFERROR(__xludf.DUMMYFUNCTION("""COMPUTED_VALUE"""),1.0)</f>
        <v>1</v>
      </c>
      <c r="K3902" s="210" t="str">
        <f>IFERROR(__xludf.DUMMYFUNCTION("""COMPUTED_VALUE"""),"11328")</f>
        <v>11328</v>
      </c>
      <c r="L3902" s="211">
        <f>IFERROR(__xludf.DUMMYFUNCTION("""COMPUTED_VALUE"""),0.0)</f>
        <v>0</v>
      </c>
      <c r="M3902" s="211"/>
      <c r="N3902" s="211"/>
      <c r="O3902" s="211" t="b">
        <f>IFERROR(__xludf.DUMMYFUNCTION("""COMPUTED_VALUE"""),FALSE)</f>
        <v>0</v>
      </c>
    </row>
    <row r="3903">
      <c r="A3903" s="210" t="str">
        <f>IFERROR(__xludf.DUMMYFUNCTION("""COMPUTED_VALUE"""),"0226172692")</f>
        <v>0226172692</v>
      </c>
      <c r="B3903" s="210" t="str">
        <f>IFERROR(__xludf.DUMMYFUNCTION("""COMPUTED_VALUE"""),"0226172692")</f>
        <v>0226172692</v>
      </c>
      <c r="C3903" s="213">
        <f>IFERROR(__xludf.DUMMYFUNCTION("""COMPUTED_VALUE"""),46080.57131944445)</f>
        <v>46080.57132</v>
      </c>
      <c r="D3903" s="211" t="str">
        <f>IFERROR(__xludf.DUMMYFUNCTION("""COMPUTED_VALUE"""),"f8a982a4")</f>
        <v>f8a982a4</v>
      </c>
      <c r="E3903" s="211" t="str">
        <f>IFERROR(__xludf.DUMMYFUNCTION("""COMPUTED_VALUE"""),"Bpk. Nasir")</f>
        <v>Bpk. Nasir</v>
      </c>
      <c r="F3903" s="211" t="str">
        <f>IFERROR(__xludf.DUMMYFUNCTION("""COMPUTED_VALUE"""),"8bdbe149")</f>
        <v>8bdbe149</v>
      </c>
      <c r="G3903" s="211" t="str">
        <f>IFERROR(__xludf.DUMMYFUNCTION("""COMPUTED_VALUE"""),"Oksigen 6m3")</f>
        <v>Oksigen 6m3</v>
      </c>
      <c r="H3903" s="211" t="str">
        <f>IFERROR(__xludf.DUMMYFUNCTION("""COMPUTED_VALUE"""),"OUT")</f>
        <v>OUT</v>
      </c>
      <c r="I3903" s="211" t="str">
        <f>IFERROR(__xludf.DUMMYFUNCTION("""COMPUTED_VALUE"""),"NORMAL")</f>
        <v>NORMAL</v>
      </c>
      <c r="J3903" s="211">
        <f>IFERROR(__xludf.DUMMYFUNCTION("""COMPUTED_VALUE"""),1.0)</f>
        <v>1</v>
      </c>
      <c r="K3903" s="210" t="str">
        <f>IFERROR(__xludf.DUMMYFUNCTION("""COMPUTED_VALUE"""),"11328")</f>
        <v>11328</v>
      </c>
      <c r="L3903" s="211">
        <f>IFERROR(__xludf.DUMMYFUNCTION("""COMPUTED_VALUE"""),70000.0)</f>
        <v>70000</v>
      </c>
      <c r="M3903" s="211"/>
      <c r="N3903" s="211"/>
      <c r="O3903" s="211" t="b">
        <f>IFERROR(__xludf.DUMMYFUNCTION("""COMPUTED_VALUE"""),FALSE)</f>
        <v>0</v>
      </c>
    </row>
    <row r="3904">
      <c r="A3904" s="210" t="str">
        <f>IFERROR(__xludf.DUMMYFUNCTION("""COMPUTED_VALUE"""),"1261316")</f>
        <v>1261316</v>
      </c>
      <c r="B3904" s="210" t="str">
        <f>IFERROR(__xludf.DUMMYFUNCTION("""COMPUTED_VALUE"""),"1261316")</f>
        <v>1261316</v>
      </c>
      <c r="C3904" s="213">
        <f>IFERROR(__xludf.DUMMYFUNCTION("""COMPUTED_VALUE"""),46080.632835648146)</f>
        <v>46080.63284</v>
      </c>
      <c r="D3904" s="211" t="str">
        <f>IFERROR(__xludf.DUMMYFUNCTION("""COMPUTED_VALUE"""),"b2b5f2c5")</f>
        <v>b2b5f2c5</v>
      </c>
      <c r="E3904" s="211" t="str">
        <f>IFERROR(__xludf.DUMMYFUNCTION("""COMPUTED_VALUE"""),"Bengkel Las Bpk. Ari")</f>
        <v>Bengkel Las Bpk. Ari</v>
      </c>
      <c r="F3904" s="211" t="str">
        <f>IFERROR(__xludf.DUMMYFUNCTION("""COMPUTED_VALUE"""),"8bdbe149")</f>
        <v>8bdbe149</v>
      </c>
      <c r="G3904" s="211" t="str">
        <f>IFERROR(__xludf.DUMMYFUNCTION("""COMPUTED_VALUE"""),"Oksigen 6m3")</f>
        <v>Oksigen 6m3</v>
      </c>
      <c r="H3904" s="211" t="str">
        <f>IFERROR(__xludf.DUMMYFUNCTION("""COMPUTED_VALUE"""),"IN")</f>
        <v>IN</v>
      </c>
      <c r="I3904" s="211" t="str">
        <f>IFERROR(__xludf.DUMMYFUNCTION("""COMPUTED_VALUE"""),"EMPTY")</f>
        <v>EMPTY</v>
      </c>
      <c r="J3904" s="211">
        <f>IFERROR(__xludf.DUMMYFUNCTION("""COMPUTED_VALUE"""),1.0)</f>
        <v>1</v>
      </c>
      <c r="K3904" s="210" t="str">
        <f>IFERROR(__xludf.DUMMYFUNCTION("""COMPUTED_VALUE"""),"11201")</f>
        <v>11201</v>
      </c>
      <c r="L3904" s="211">
        <f>IFERROR(__xludf.DUMMYFUNCTION("""COMPUTED_VALUE"""),0.0)</f>
        <v>0</v>
      </c>
      <c r="M3904" s="211"/>
      <c r="N3904" s="211"/>
      <c r="O3904" s="211" t="b">
        <f>IFERROR(__xludf.DUMMYFUNCTION("""COMPUTED_VALUE"""),TRUE)</f>
        <v>1</v>
      </c>
    </row>
    <row r="3905">
      <c r="A3905" s="210" t="str">
        <f>IFERROR(__xludf.DUMMYFUNCTION("""COMPUTED_VALUE"""),"1261315")</f>
        <v>1261315</v>
      </c>
      <c r="B3905" s="210" t="str">
        <f>IFERROR(__xludf.DUMMYFUNCTION("""COMPUTED_VALUE"""),"1261315")</f>
        <v>1261315</v>
      </c>
      <c r="C3905" s="213">
        <f>IFERROR(__xludf.DUMMYFUNCTION("""COMPUTED_VALUE"""),46080.63392361111)</f>
        <v>46080.63392</v>
      </c>
      <c r="D3905" s="211" t="str">
        <f>IFERROR(__xludf.DUMMYFUNCTION("""COMPUTED_VALUE"""),"de41c3e8")</f>
        <v>de41c3e8</v>
      </c>
      <c r="E3905" s="211" t="str">
        <f>IFERROR(__xludf.DUMMYFUNCTION("""COMPUTED_VALUE"""),"Bpk. Eko Mianto")</f>
        <v>Bpk. Eko Mianto</v>
      </c>
      <c r="F3905" s="211" t="str">
        <f>IFERROR(__xludf.DUMMYFUNCTION("""COMPUTED_VALUE"""),"66af7c72")</f>
        <v>66af7c72</v>
      </c>
      <c r="G3905" s="211" t="str">
        <f>IFERROR(__xludf.DUMMYFUNCTION("""COMPUTED_VALUE"""),"Argon 6m3")</f>
        <v>Argon 6m3</v>
      </c>
      <c r="H3905" s="211" t="str">
        <f>IFERROR(__xludf.DUMMYFUNCTION("""COMPUTED_VALUE"""),"IN")</f>
        <v>IN</v>
      </c>
      <c r="I3905" s="211" t="str">
        <f>IFERROR(__xludf.DUMMYFUNCTION("""COMPUTED_VALUE"""),"EMPTY")</f>
        <v>EMPTY</v>
      </c>
      <c r="J3905" s="211">
        <f>IFERROR(__xludf.DUMMYFUNCTION("""COMPUTED_VALUE"""),1.0)</f>
        <v>1</v>
      </c>
      <c r="K3905" s="210" t="str">
        <f>IFERROR(__xludf.DUMMYFUNCTION("""COMPUTED_VALUE"""),"12069")</f>
        <v>12069</v>
      </c>
      <c r="L3905" s="211">
        <f>IFERROR(__xludf.DUMMYFUNCTION("""COMPUTED_VALUE"""),0.0)</f>
        <v>0</v>
      </c>
      <c r="M3905" s="211"/>
      <c r="N3905" s="211"/>
      <c r="O3905" s="211" t="b">
        <f>IFERROR(__xludf.DUMMYFUNCTION("""COMPUTED_VALUE"""),FALSE)</f>
        <v>0</v>
      </c>
    </row>
    <row r="3906">
      <c r="A3906" s="210" t="str">
        <f>IFERROR(__xludf.DUMMYFUNCTION("""COMPUTED_VALUE"""),"1261314")</f>
        <v>1261314</v>
      </c>
      <c r="B3906" s="210" t="str">
        <f>IFERROR(__xludf.DUMMYFUNCTION("""COMPUTED_VALUE"""),"1261314")</f>
        <v>1261314</v>
      </c>
      <c r="C3906" s="213">
        <f>IFERROR(__xludf.DUMMYFUNCTION("""COMPUTED_VALUE"""),46080.634201388886)</f>
        <v>46080.6342</v>
      </c>
      <c r="D3906" s="211" t="str">
        <f>IFERROR(__xludf.DUMMYFUNCTION("""COMPUTED_VALUE"""),"ba97d58d")</f>
        <v>ba97d58d</v>
      </c>
      <c r="E3906" s="211" t="str">
        <f>IFERROR(__xludf.DUMMYFUNCTION("""COMPUTED_VALUE"""),"Bengkel Citra Mojosari")</f>
        <v>Bengkel Citra Mojosari</v>
      </c>
      <c r="F3906" s="211" t="str">
        <f>IFERROR(__xludf.DUMMYFUNCTION("""COMPUTED_VALUE"""),"8bdbe149")</f>
        <v>8bdbe149</v>
      </c>
      <c r="G3906" s="211" t="str">
        <f>IFERROR(__xludf.DUMMYFUNCTION("""COMPUTED_VALUE"""),"Oksigen 6m3")</f>
        <v>Oksigen 6m3</v>
      </c>
      <c r="H3906" s="211" t="str">
        <f>IFERROR(__xludf.DUMMYFUNCTION("""COMPUTED_VALUE"""),"IN")</f>
        <v>IN</v>
      </c>
      <c r="I3906" s="211" t="str">
        <f>IFERROR(__xludf.DUMMYFUNCTION("""COMPUTED_VALUE"""),"EMPTY")</f>
        <v>EMPTY</v>
      </c>
      <c r="J3906" s="211">
        <f>IFERROR(__xludf.DUMMYFUNCTION("""COMPUTED_VALUE"""),5.0)</f>
        <v>5</v>
      </c>
      <c r="K3906" s="210" t="str">
        <f>IFERROR(__xludf.DUMMYFUNCTION("""COMPUTED_VALUE"""),"11258 11376 1115 11184 11260")</f>
        <v>11258 11376 1115 11184 11260</v>
      </c>
      <c r="L3906" s="211">
        <f>IFERROR(__xludf.DUMMYFUNCTION("""COMPUTED_VALUE"""),0.0)</f>
        <v>0</v>
      </c>
      <c r="M3906" s="211"/>
      <c r="N3906" s="211"/>
      <c r="O3906" s="211" t="b">
        <f>IFERROR(__xludf.DUMMYFUNCTION("""COMPUTED_VALUE"""),FALSE)</f>
        <v>0</v>
      </c>
    </row>
    <row r="3907">
      <c r="A3907" s="210" t="str">
        <f>IFERROR(__xludf.DUMMYFUNCTION("""COMPUTED_VALUE"""),"0226132693")</f>
        <v>0226132693</v>
      </c>
      <c r="B3907" s="210" t="str">
        <f>IFERROR(__xludf.DUMMYFUNCTION("""COMPUTED_VALUE"""),"0226132693")</f>
        <v>0226132693</v>
      </c>
      <c r="C3907" s="213">
        <f>IFERROR(__xludf.DUMMYFUNCTION("""COMPUTED_VALUE"""),46080.37835648148)</f>
        <v>46080.37836</v>
      </c>
      <c r="D3907" s="211" t="str">
        <f>IFERROR(__xludf.DUMMYFUNCTION("""COMPUTED_VALUE"""),"ba97d58d")</f>
        <v>ba97d58d</v>
      </c>
      <c r="E3907" s="211" t="str">
        <f>IFERROR(__xludf.DUMMYFUNCTION("""COMPUTED_VALUE"""),"Bengkel Citra Mojosari")</f>
        <v>Bengkel Citra Mojosari</v>
      </c>
      <c r="F3907" s="211" t="str">
        <f>IFERROR(__xludf.DUMMYFUNCTION("""COMPUTED_VALUE"""),"8bdbe149")</f>
        <v>8bdbe149</v>
      </c>
      <c r="G3907" s="211" t="str">
        <f>IFERROR(__xludf.DUMMYFUNCTION("""COMPUTED_VALUE"""),"Oksigen 6m3")</f>
        <v>Oksigen 6m3</v>
      </c>
      <c r="H3907" s="211" t="str">
        <f>IFERROR(__xludf.DUMMYFUNCTION("""COMPUTED_VALUE"""),"OUT")</f>
        <v>OUT</v>
      </c>
      <c r="I3907" s="211" t="str">
        <f>IFERROR(__xludf.DUMMYFUNCTION("""COMPUTED_VALUE"""),"NORMAL")</f>
        <v>NORMAL</v>
      </c>
      <c r="J3907" s="211">
        <f>IFERROR(__xludf.DUMMYFUNCTION("""COMPUTED_VALUE"""),4.0)</f>
        <v>4</v>
      </c>
      <c r="K3907" s="210" t="str">
        <f>IFERROR(__xludf.DUMMYFUNCTION("""COMPUTED_VALUE"""),"11368 11106 11192 1191")</f>
        <v>11368 11106 11192 1191</v>
      </c>
      <c r="L3907" s="211">
        <f>IFERROR(__xludf.DUMMYFUNCTION("""COMPUTED_VALUE"""),65000.0)</f>
        <v>65000</v>
      </c>
      <c r="M3907" s="211"/>
      <c r="N3907" s="211"/>
      <c r="O3907" s="211" t="b">
        <f>IFERROR(__xludf.DUMMYFUNCTION("""COMPUTED_VALUE"""),FALSE)</f>
        <v>0</v>
      </c>
    </row>
    <row r="3908">
      <c r="A3908" s="210" t="str">
        <f>IFERROR(__xludf.DUMMYFUNCTION("""COMPUTED_VALUE"""),"1261331")</f>
        <v>1261331</v>
      </c>
      <c r="B3908" s="210" t="str">
        <f>IFERROR(__xludf.DUMMYFUNCTION("""COMPUTED_VALUE"""),"1261331")</f>
        <v>1261331</v>
      </c>
      <c r="C3908" s="213">
        <f>IFERROR(__xludf.DUMMYFUNCTION("""COMPUTED_VALUE"""),46080.677511574075)</f>
        <v>46080.67751</v>
      </c>
      <c r="D3908" s="211" t="str">
        <f>IFERROR(__xludf.DUMMYFUNCTION("""COMPUTED_VALUE"""),"057b6b99")</f>
        <v>057b6b99</v>
      </c>
      <c r="E3908" s="211" t="str">
        <f>IFERROR(__xludf.DUMMYFUNCTION("""COMPUTED_VALUE"""),"PT Anuta Utama Transport")</f>
        <v>PT Anuta Utama Transport</v>
      </c>
      <c r="F3908" s="211" t="str">
        <f>IFERROR(__xludf.DUMMYFUNCTION("""COMPUTED_VALUE"""),"7d2764f1")</f>
        <v>7d2764f1</v>
      </c>
      <c r="G3908" s="211" t="str">
        <f>IFERROR(__xludf.DUMMYFUNCTION("""COMPUTED_VALUE"""),"Oksigen 7m3")</f>
        <v>Oksigen 7m3</v>
      </c>
      <c r="H3908" s="211" t="str">
        <f>IFERROR(__xludf.DUMMYFUNCTION("""COMPUTED_VALUE"""),"IN")</f>
        <v>IN</v>
      </c>
      <c r="I3908" s="211" t="str">
        <f>IFERROR(__xludf.DUMMYFUNCTION("""COMPUTED_VALUE"""),"EMPTY")</f>
        <v>EMPTY</v>
      </c>
      <c r="J3908" s="211">
        <f>IFERROR(__xludf.DUMMYFUNCTION("""COMPUTED_VALUE"""),5.0)</f>
        <v>5</v>
      </c>
      <c r="K3908" s="210" t="str">
        <f>IFERROR(__xludf.DUMMYFUNCTION("""COMPUTED_VALUE"""),"11223 11170 11330 11158 11166")</f>
        <v>11223 11170 11330 11158 11166</v>
      </c>
      <c r="L3908" s="211">
        <f>IFERROR(__xludf.DUMMYFUNCTION("""COMPUTED_VALUE"""),0.0)</f>
        <v>0</v>
      </c>
      <c r="M3908" s="211"/>
      <c r="N3908" s="211"/>
      <c r="O3908" s="211" t="b">
        <f>IFERROR(__xludf.DUMMYFUNCTION("""COMPUTED_VALUE"""),FALSE)</f>
        <v>0</v>
      </c>
    </row>
    <row r="3909">
      <c r="A3909" s="210" t="str">
        <f>IFERROR(__xludf.DUMMYFUNCTION("""COMPUTED_VALUE"""),"1261331")</f>
        <v>1261331</v>
      </c>
      <c r="B3909" s="210" t="str">
        <f>IFERROR(__xludf.DUMMYFUNCTION("""COMPUTED_VALUE"""),"1261331")</f>
        <v>1261331</v>
      </c>
      <c r="C3909" s="213">
        <f>IFERROR(__xludf.DUMMYFUNCTION("""COMPUTED_VALUE"""),46080.677511574075)</f>
        <v>46080.67751</v>
      </c>
      <c r="D3909" s="211" t="str">
        <f>IFERROR(__xludf.DUMMYFUNCTION("""COMPUTED_VALUE"""),"057b6b99")</f>
        <v>057b6b99</v>
      </c>
      <c r="E3909" s="211" t="str">
        <f>IFERROR(__xludf.DUMMYFUNCTION("""COMPUTED_VALUE"""),"PT Anuta Utama Transport")</f>
        <v>PT Anuta Utama Transport</v>
      </c>
      <c r="F3909" s="211" t="str">
        <f>IFERROR(__xludf.DUMMYFUNCTION("""COMPUTED_VALUE"""),"8bdbe149")</f>
        <v>8bdbe149</v>
      </c>
      <c r="G3909" s="211" t="str">
        <f>IFERROR(__xludf.DUMMYFUNCTION("""COMPUTED_VALUE"""),"Oksigen 6m3")</f>
        <v>Oksigen 6m3</v>
      </c>
      <c r="H3909" s="211" t="str">
        <f>IFERROR(__xludf.DUMMYFUNCTION("""COMPUTED_VALUE"""),"IN")</f>
        <v>IN</v>
      </c>
      <c r="I3909" s="211" t="str">
        <f>IFERROR(__xludf.DUMMYFUNCTION("""COMPUTED_VALUE"""),"EMPTY")</f>
        <v>EMPTY</v>
      </c>
      <c r="J3909" s="211">
        <f>IFERROR(__xludf.DUMMYFUNCTION("""COMPUTED_VALUE"""),2.0)</f>
        <v>2</v>
      </c>
      <c r="K3909" s="210" t="str">
        <f>IFERROR(__xludf.DUMMYFUNCTION("""COMPUTED_VALUE"""),"11327 1102")</f>
        <v>11327 1102</v>
      </c>
      <c r="L3909" s="211">
        <f>IFERROR(__xludf.DUMMYFUNCTION("""COMPUTED_VALUE"""),0.0)</f>
        <v>0</v>
      </c>
      <c r="M3909" s="211"/>
      <c r="N3909" s="211"/>
      <c r="O3909" s="211" t="b">
        <f>IFERROR(__xludf.DUMMYFUNCTION("""COMPUTED_VALUE"""),FALSE)</f>
        <v>0</v>
      </c>
    </row>
    <row r="3910">
      <c r="A3910" s="210" t="str">
        <f>IFERROR(__xludf.DUMMYFUNCTION("""COMPUTED_VALUE"""),"1261320")</f>
        <v>1261320</v>
      </c>
      <c r="B3910" s="210" t="str">
        <f>IFERROR(__xludf.DUMMYFUNCTION("""COMPUTED_VALUE"""),"1261320")</f>
        <v>1261320</v>
      </c>
      <c r="C3910" s="213">
        <f>IFERROR(__xludf.DUMMYFUNCTION("""COMPUTED_VALUE"""),46080.67851851852)</f>
        <v>46080.67852</v>
      </c>
      <c r="D3910" s="211" t="str">
        <f>IFERROR(__xludf.DUMMYFUNCTION("""COMPUTED_VALUE"""),"f8a982a4")</f>
        <v>f8a982a4</v>
      </c>
      <c r="E3910" s="211" t="str">
        <f>IFERROR(__xludf.DUMMYFUNCTION("""COMPUTED_VALUE"""),"Bpk. Nasir")</f>
        <v>Bpk. Nasir</v>
      </c>
      <c r="F3910" s="211" t="str">
        <f>IFERROR(__xludf.DUMMYFUNCTION("""COMPUTED_VALUE"""),"8bdbe149")</f>
        <v>8bdbe149</v>
      </c>
      <c r="G3910" s="211" t="str">
        <f>IFERROR(__xludf.DUMMYFUNCTION("""COMPUTED_VALUE"""),"Oksigen 6m3")</f>
        <v>Oksigen 6m3</v>
      </c>
      <c r="H3910" s="211" t="str">
        <f>IFERROR(__xludf.DUMMYFUNCTION("""COMPUTED_VALUE"""),"IN")</f>
        <v>IN</v>
      </c>
      <c r="I3910" s="211" t="str">
        <f>IFERROR(__xludf.DUMMYFUNCTION("""COMPUTED_VALUE"""),"EMPTY")</f>
        <v>EMPTY</v>
      </c>
      <c r="J3910" s="211">
        <f>IFERROR(__xludf.DUMMYFUNCTION("""COMPUTED_VALUE"""),4.0)</f>
        <v>4</v>
      </c>
      <c r="K3910" s="210" t="str">
        <f>IFERROR(__xludf.DUMMYFUNCTION("""COMPUTED_VALUE"""),"1126 11264 11282 1117")</f>
        <v>1126 11264 11282 1117</v>
      </c>
      <c r="L3910" s="211">
        <f>IFERROR(__xludf.DUMMYFUNCTION("""COMPUTED_VALUE"""),0.0)</f>
        <v>0</v>
      </c>
      <c r="M3910" s="211"/>
      <c r="N3910" s="211"/>
      <c r="O3910" s="211" t="b">
        <f>IFERROR(__xludf.DUMMYFUNCTION("""COMPUTED_VALUE"""),FALSE)</f>
        <v>0</v>
      </c>
    </row>
    <row r="3911">
      <c r="A3911" s="210" t="str">
        <f>IFERROR(__xludf.DUMMYFUNCTION("""COMPUTED_VALUE"""),"0226142697")</f>
        <v>0226142697</v>
      </c>
      <c r="B3911" s="210" t="str">
        <f>IFERROR(__xludf.DUMMYFUNCTION("""COMPUTED_VALUE"""),"0226142697")</f>
        <v>0226142697</v>
      </c>
      <c r="C3911" s="213">
        <f>IFERROR(__xludf.DUMMYFUNCTION("""COMPUTED_VALUE"""),46081.368125)</f>
        <v>46081.36813</v>
      </c>
      <c r="D3911" s="211" t="str">
        <f>IFERROR(__xludf.DUMMYFUNCTION("""COMPUTED_VALUE"""),"734c6d17")</f>
        <v>734c6d17</v>
      </c>
      <c r="E3911" s="211" t="str">
        <f>IFERROR(__xludf.DUMMYFUNCTION("""COMPUTED_VALUE"""),"Bapak Ainol Yaqin ( Bpk. Ibnu )")</f>
        <v>Bapak Ainol Yaqin ( Bpk. Ibnu )</v>
      </c>
      <c r="F3911" s="211" t="str">
        <f>IFERROR(__xludf.DUMMYFUNCTION("""COMPUTED_VALUE"""),"8bdbe149")</f>
        <v>8bdbe149</v>
      </c>
      <c r="G3911" s="211" t="str">
        <f>IFERROR(__xludf.DUMMYFUNCTION("""COMPUTED_VALUE"""),"Oksigen 6m3")</f>
        <v>Oksigen 6m3</v>
      </c>
      <c r="H3911" s="211" t="str">
        <f>IFERROR(__xludf.DUMMYFUNCTION("""COMPUTED_VALUE"""),"OUT")</f>
        <v>OUT</v>
      </c>
      <c r="I3911" s="211" t="str">
        <f>IFERROR(__xludf.DUMMYFUNCTION("""COMPUTED_VALUE"""),"NORMAL")</f>
        <v>NORMAL</v>
      </c>
      <c r="J3911" s="211">
        <f>IFERROR(__xludf.DUMMYFUNCTION("""COMPUTED_VALUE"""),1.0)</f>
        <v>1</v>
      </c>
      <c r="K3911" s="210" t="str">
        <f>IFERROR(__xludf.DUMMYFUNCTION("""COMPUTED_VALUE"""),"11280")</f>
        <v>11280</v>
      </c>
      <c r="L3911" s="211">
        <f>IFERROR(__xludf.DUMMYFUNCTION("""COMPUTED_VALUE"""),60000.0)</f>
        <v>60000</v>
      </c>
      <c r="M3911" s="211"/>
      <c r="N3911" s="211"/>
      <c r="O3911" s="211" t="b">
        <f>IFERROR(__xludf.DUMMYFUNCTION("""COMPUTED_VALUE"""),FALSE)</f>
        <v>0</v>
      </c>
    </row>
    <row r="3912">
      <c r="A3912" s="210" t="str">
        <f>IFERROR(__xludf.DUMMYFUNCTION("""COMPUTED_VALUE"""),"0226892700")</f>
        <v>0226892700</v>
      </c>
      <c r="B3912" s="210" t="str">
        <f>IFERROR(__xludf.DUMMYFUNCTION("""COMPUTED_VALUE"""),"0226892700")</f>
        <v>0226892700</v>
      </c>
      <c r="C3912" s="213">
        <f>IFERROR(__xludf.DUMMYFUNCTION("""COMPUTED_VALUE"""),46081.37037037037)</f>
        <v>46081.37037</v>
      </c>
      <c r="D3912" s="211" t="str">
        <f>IFERROR(__xludf.DUMMYFUNCTION("""COMPUTED_VALUE"""),"b2b5f2c5")</f>
        <v>b2b5f2c5</v>
      </c>
      <c r="E3912" s="211" t="str">
        <f>IFERROR(__xludf.DUMMYFUNCTION("""COMPUTED_VALUE"""),"Bengkel Las Bpk. Ari")</f>
        <v>Bengkel Las Bpk. Ari</v>
      </c>
      <c r="F3912" s="211" t="str">
        <f>IFERROR(__xludf.DUMMYFUNCTION("""COMPUTED_VALUE"""),"8bdbe149")</f>
        <v>8bdbe149</v>
      </c>
      <c r="G3912" s="211" t="str">
        <f>IFERROR(__xludf.DUMMYFUNCTION("""COMPUTED_VALUE"""),"Oksigen 6m3")</f>
        <v>Oksigen 6m3</v>
      </c>
      <c r="H3912" s="211" t="str">
        <f>IFERROR(__xludf.DUMMYFUNCTION("""COMPUTED_VALUE"""),"OUT")</f>
        <v>OUT</v>
      </c>
      <c r="I3912" s="211" t="str">
        <f>IFERROR(__xludf.DUMMYFUNCTION("""COMPUTED_VALUE"""),"NORMAL")</f>
        <v>NORMAL</v>
      </c>
      <c r="J3912" s="211">
        <f>IFERROR(__xludf.DUMMYFUNCTION("""COMPUTED_VALUE"""),5.0)</f>
        <v>5</v>
      </c>
      <c r="K3912" s="210" t="str">
        <f>IFERROR(__xludf.DUMMYFUNCTION("""COMPUTED_VALUE"""),"11345 11184 11186 11201 11362")</f>
        <v>11345 11184 11186 11201 11362</v>
      </c>
      <c r="L3912" s="211">
        <f>IFERROR(__xludf.DUMMYFUNCTION("""COMPUTED_VALUE"""),60000.0)</f>
        <v>60000</v>
      </c>
      <c r="M3912" s="211"/>
      <c r="N3912" s="211"/>
      <c r="O3912" s="211" t="b">
        <f>IFERROR(__xludf.DUMMYFUNCTION("""COMPUTED_VALUE"""),FALSE)</f>
        <v>0</v>
      </c>
    </row>
    <row r="3913">
      <c r="A3913" s="210" t="str">
        <f>IFERROR(__xludf.DUMMYFUNCTION("""COMPUTED_VALUE"""),"0226892700")</f>
        <v>0226892700</v>
      </c>
      <c r="B3913" s="210" t="str">
        <f>IFERROR(__xludf.DUMMYFUNCTION("""COMPUTED_VALUE"""),"0226892700")</f>
        <v>0226892700</v>
      </c>
      <c r="C3913" s="213">
        <f>IFERROR(__xludf.DUMMYFUNCTION("""COMPUTED_VALUE"""),46081.37037037037)</f>
        <v>46081.37037</v>
      </c>
      <c r="D3913" s="211" t="str">
        <f>IFERROR(__xludf.DUMMYFUNCTION("""COMPUTED_VALUE"""),"b2b5f2c5")</f>
        <v>b2b5f2c5</v>
      </c>
      <c r="E3913" s="211" t="str">
        <f>IFERROR(__xludf.DUMMYFUNCTION("""COMPUTED_VALUE"""),"Bengkel Las Bpk. Ari")</f>
        <v>Bengkel Las Bpk. Ari</v>
      </c>
      <c r="F3913" s="211" t="str">
        <f>IFERROR(__xludf.DUMMYFUNCTION("""COMPUTED_VALUE"""),"ef306e54")</f>
        <v>ef306e54</v>
      </c>
      <c r="G3913" s="211" t="str">
        <f>IFERROR(__xludf.DUMMYFUNCTION("""COMPUTED_VALUE"""),"Karbondioksida")</f>
        <v>Karbondioksida</v>
      </c>
      <c r="H3913" s="211" t="str">
        <f>IFERROR(__xludf.DUMMYFUNCTION("""COMPUTED_VALUE"""),"OUT")</f>
        <v>OUT</v>
      </c>
      <c r="I3913" s="211" t="str">
        <f>IFERROR(__xludf.DUMMYFUNCTION("""COMPUTED_VALUE"""),"NORMAL")</f>
        <v>NORMAL</v>
      </c>
      <c r="J3913" s="211">
        <f>IFERROR(__xludf.DUMMYFUNCTION("""COMPUTED_VALUE"""),2.0)</f>
        <v>2</v>
      </c>
      <c r="K3913" s="210" t="str">
        <f>IFERROR(__xludf.DUMMYFUNCTION("""COMPUTED_VALUE"""),"13003 13027")</f>
        <v>13003 13027</v>
      </c>
      <c r="L3913" s="211">
        <f>IFERROR(__xludf.DUMMYFUNCTION("""COMPUTED_VALUE"""),180000.0)</f>
        <v>180000</v>
      </c>
      <c r="M3913" s="211"/>
      <c r="N3913" s="211"/>
      <c r="O3913" s="211" t="b">
        <f>IFERROR(__xludf.DUMMYFUNCTION("""COMPUTED_VALUE"""),FALSE)</f>
        <v>0</v>
      </c>
    </row>
    <row r="3914">
      <c r="A3914" s="210" t="str">
        <f>IFERROR(__xludf.DUMMYFUNCTION("""COMPUTED_VALUE"""),"022642701")</f>
        <v>022642701</v>
      </c>
      <c r="B3914" s="210" t="str">
        <f>IFERROR(__xludf.DUMMYFUNCTION("""COMPUTED_VALUE"""),"022642701")</f>
        <v>022642701</v>
      </c>
      <c r="C3914" s="213">
        <f>IFERROR(__xludf.DUMMYFUNCTION("""COMPUTED_VALUE"""),46081.37091435185)</f>
        <v>46081.37091</v>
      </c>
      <c r="D3914" s="211" t="str">
        <f>IFERROR(__xludf.DUMMYFUNCTION("""COMPUTED_VALUE"""),"d9b2fac5")</f>
        <v>d9b2fac5</v>
      </c>
      <c r="E3914" s="211" t="str">
        <f>IFERROR(__xludf.DUMMYFUNCTION("""COMPUTED_VALUE"""),"Dwi Riza ( Ponokawan)")</f>
        <v>Dwi Riza ( Ponokawan)</v>
      </c>
      <c r="F3914" s="211" t="str">
        <f>IFERROR(__xludf.DUMMYFUNCTION("""COMPUTED_VALUE"""),"8bdbe149")</f>
        <v>8bdbe149</v>
      </c>
      <c r="G3914" s="211" t="str">
        <f>IFERROR(__xludf.DUMMYFUNCTION("""COMPUTED_VALUE"""),"Oksigen 6m3")</f>
        <v>Oksigen 6m3</v>
      </c>
      <c r="H3914" s="211" t="str">
        <f>IFERROR(__xludf.DUMMYFUNCTION("""COMPUTED_VALUE"""),"OUT")</f>
        <v>OUT</v>
      </c>
      <c r="I3914" s="211" t="str">
        <f>IFERROR(__xludf.DUMMYFUNCTION("""COMPUTED_VALUE"""),"NORMAL")</f>
        <v>NORMAL</v>
      </c>
      <c r="J3914" s="211">
        <f>IFERROR(__xludf.DUMMYFUNCTION("""COMPUTED_VALUE"""),7.0)</f>
        <v>7</v>
      </c>
      <c r="K3914" s="210" t="str">
        <f>IFERROR(__xludf.DUMMYFUNCTION("""COMPUTED_VALUE"""),"11260 1144 11376 11258 11367 11117 1115")</f>
        <v>11260 1144 11376 11258 11367 11117 1115</v>
      </c>
      <c r="L3914" s="211">
        <f>IFERROR(__xludf.DUMMYFUNCTION("""COMPUTED_VALUE"""),50000.0)</f>
        <v>50000</v>
      </c>
      <c r="M3914" s="211"/>
      <c r="N3914" s="211"/>
      <c r="O3914" s="211" t="b">
        <f>IFERROR(__xludf.DUMMYFUNCTION("""COMPUTED_VALUE"""),FALSE)</f>
        <v>0</v>
      </c>
    </row>
    <row r="3915">
      <c r="A3915" s="210" t="str">
        <f>IFERROR(__xludf.DUMMYFUNCTION("""COMPUTED_VALUE"""),"0226262702")</f>
        <v>0226262702</v>
      </c>
      <c r="B3915" s="210" t="str">
        <f>IFERROR(__xludf.DUMMYFUNCTION("""COMPUTED_VALUE"""),"0226262702")</f>
        <v>0226262702</v>
      </c>
      <c r="C3915" s="213">
        <f>IFERROR(__xludf.DUMMYFUNCTION("""COMPUTED_VALUE"""),46081.416666666664)</f>
        <v>46081.41667</v>
      </c>
      <c r="D3915" s="211" t="str">
        <f>IFERROR(__xludf.DUMMYFUNCTION("""COMPUTED_VALUE"""),"7b9d8eba")</f>
        <v>7b9d8eba</v>
      </c>
      <c r="E3915" s="211" t="str">
        <f>IFERROR(__xludf.DUMMYFUNCTION("""COMPUTED_VALUE"""),"PT PELANGI INDOKARYA")</f>
        <v>PT PELANGI INDOKARYA</v>
      </c>
      <c r="F3915" s="211" t="str">
        <f>IFERROR(__xludf.DUMMYFUNCTION("""COMPUTED_VALUE"""),"ef306e54")</f>
        <v>ef306e54</v>
      </c>
      <c r="G3915" s="211" t="str">
        <f>IFERROR(__xludf.DUMMYFUNCTION("""COMPUTED_VALUE"""),"Karbondioksida")</f>
        <v>Karbondioksida</v>
      </c>
      <c r="H3915" s="211" t="str">
        <f>IFERROR(__xludf.DUMMYFUNCTION("""COMPUTED_VALUE"""),"OUT")</f>
        <v>OUT</v>
      </c>
      <c r="I3915" s="211" t="str">
        <f>IFERROR(__xludf.DUMMYFUNCTION("""COMPUTED_VALUE"""),"NORMAL")</f>
        <v>NORMAL</v>
      </c>
      <c r="J3915" s="211">
        <f>IFERROR(__xludf.DUMMYFUNCTION("""COMPUTED_VALUE"""),3.0)</f>
        <v>3</v>
      </c>
      <c r="K3915" s="210" t="str">
        <f>IFERROR(__xludf.DUMMYFUNCTION("""COMPUTED_VALUE"""),"13005 13051 13053")</f>
        <v>13005 13051 13053</v>
      </c>
      <c r="L3915" s="211">
        <f>IFERROR(__xludf.DUMMYFUNCTION("""COMPUTED_VALUE"""),190000.0)</f>
        <v>190000</v>
      </c>
      <c r="M3915" s="211"/>
      <c r="N3915" s="211"/>
      <c r="O3915" s="211" t="b">
        <f>IFERROR(__xludf.DUMMYFUNCTION("""COMPUTED_VALUE"""),FALSE)</f>
        <v>0</v>
      </c>
    </row>
    <row r="3916">
      <c r="A3916" s="210" t="str">
        <f>IFERROR(__xludf.DUMMYFUNCTION("""COMPUTED_VALUE"""),"0226262702")</f>
        <v>0226262702</v>
      </c>
      <c r="B3916" s="210" t="str">
        <f>IFERROR(__xludf.DUMMYFUNCTION("""COMPUTED_VALUE"""),"0226262702")</f>
        <v>0226262702</v>
      </c>
      <c r="C3916" s="213">
        <f>IFERROR(__xludf.DUMMYFUNCTION("""COMPUTED_VALUE"""),46081.416666666664)</f>
        <v>46081.41667</v>
      </c>
      <c r="D3916" s="211" t="str">
        <f>IFERROR(__xludf.DUMMYFUNCTION("""COMPUTED_VALUE"""),"7b9d8eba")</f>
        <v>7b9d8eba</v>
      </c>
      <c r="E3916" s="211" t="str">
        <f>IFERROR(__xludf.DUMMYFUNCTION("""COMPUTED_VALUE"""),"PT PELANGI INDOKARYA")</f>
        <v>PT PELANGI INDOKARYA</v>
      </c>
      <c r="F3916" s="211" t="str">
        <f>IFERROR(__xludf.DUMMYFUNCTION("""COMPUTED_VALUE"""),"7d2764f1")</f>
        <v>7d2764f1</v>
      </c>
      <c r="G3916" s="211" t="str">
        <f>IFERROR(__xludf.DUMMYFUNCTION("""COMPUTED_VALUE"""),"Oksigen 7m3")</f>
        <v>Oksigen 7m3</v>
      </c>
      <c r="H3916" s="211" t="str">
        <f>IFERROR(__xludf.DUMMYFUNCTION("""COMPUTED_VALUE"""),"OUT")</f>
        <v>OUT</v>
      </c>
      <c r="I3916" s="211" t="str">
        <f>IFERROR(__xludf.DUMMYFUNCTION("""COMPUTED_VALUE"""),"NORMAL")</f>
        <v>NORMAL</v>
      </c>
      <c r="J3916" s="211">
        <f>IFERROR(__xludf.DUMMYFUNCTION("""COMPUTED_VALUE"""),1.0)</f>
        <v>1</v>
      </c>
      <c r="K3916" s="210" t="str">
        <f>IFERROR(__xludf.DUMMYFUNCTION("""COMPUTED_VALUE"""),"11135")</f>
        <v>11135</v>
      </c>
      <c r="L3916" s="211">
        <f>IFERROR(__xludf.DUMMYFUNCTION("""COMPUTED_VALUE"""),60000.0)</f>
        <v>60000</v>
      </c>
      <c r="M3916" s="211"/>
      <c r="N3916" s="211"/>
      <c r="O3916" s="211" t="b">
        <f>IFERROR(__xludf.DUMMYFUNCTION("""COMPUTED_VALUE"""),FALSE)</f>
        <v>0</v>
      </c>
    </row>
    <row r="3917">
      <c r="A3917" s="210" t="str">
        <f>IFERROR(__xludf.DUMMYFUNCTION("""COMPUTED_VALUE"""),"1261334")</f>
        <v>1261334</v>
      </c>
      <c r="B3917" s="210" t="str">
        <f>IFERROR(__xludf.DUMMYFUNCTION("""COMPUTED_VALUE"""),"1261334")</f>
        <v>1261334</v>
      </c>
      <c r="C3917" s="213">
        <f>IFERROR(__xludf.DUMMYFUNCTION("""COMPUTED_VALUE"""),46081.48181712963)</f>
        <v>46081.48182</v>
      </c>
      <c r="D3917" s="211" t="str">
        <f>IFERROR(__xludf.DUMMYFUNCTION("""COMPUTED_VALUE"""),"98c84274")</f>
        <v>98c84274</v>
      </c>
      <c r="E3917" s="211" t="str">
        <f>IFERROR(__xludf.DUMMYFUNCTION("""COMPUTED_VALUE"""),"Bengkel SBM (Pak Hari)")</f>
        <v>Bengkel SBM (Pak Hari)</v>
      </c>
      <c r="F3917" s="211" t="str">
        <f>IFERROR(__xludf.DUMMYFUNCTION("""COMPUTED_VALUE"""),"8bdbe149")</f>
        <v>8bdbe149</v>
      </c>
      <c r="G3917" s="211" t="str">
        <f>IFERROR(__xludf.DUMMYFUNCTION("""COMPUTED_VALUE"""),"Oksigen 6m3")</f>
        <v>Oksigen 6m3</v>
      </c>
      <c r="H3917" s="211" t="str">
        <f>IFERROR(__xludf.DUMMYFUNCTION("""COMPUTED_VALUE"""),"IN")</f>
        <v>IN</v>
      </c>
      <c r="I3917" s="211" t="str">
        <f>IFERROR(__xludf.DUMMYFUNCTION("""COMPUTED_VALUE"""),"EMPTY")</f>
        <v>EMPTY</v>
      </c>
      <c r="J3917" s="211">
        <f>IFERROR(__xludf.DUMMYFUNCTION("""COMPUTED_VALUE"""),2.0)</f>
        <v>2</v>
      </c>
      <c r="K3917" s="210" t="str">
        <f>IFERROR(__xludf.DUMMYFUNCTION("""COMPUTED_VALUE"""),"11245 11373")</f>
        <v>11245 11373</v>
      </c>
      <c r="L3917" s="211">
        <f>IFERROR(__xludf.DUMMYFUNCTION("""COMPUTED_VALUE"""),0.0)</f>
        <v>0</v>
      </c>
      <c r="M3917" s="211"/>
      <c r="N3917" s="211"/>
      <c r="O3917" s="211" t="b">
        <f>IFERROR(__xludf.DUMMYFUNCTION("""COMPUTED_VALUE"""),FALSE)</f>
        <v>0</v>
      </c>
    </row>
    <row r="3918">
      <c r="A3918" s="210" t="str">
        <f>IFERROR(__xludf.DUMMYFUNCTION("""COMPUTED_VALUE"""),"1261333")</f>
        <v>1261333</v>
      </c>
      <c r="B3918" s="210" t="str">
        <f>IFERROR(__xludf.DUMMYFUNCTION("""COMPUTED_VALUE"""),"1261333")</f>
        <v>1261333</v>
      </c>
      <c r="C3918" s="213">
        <f>IFERROR(__xludf.DUMMYFUNCTION("""COMPUTED_VALUE"""),46081.48224537037)</f>
        <v>46081.48225</v>
      </c>
      <c r="D3918" s="211" t="str">
        <f>IFERROR(__xludf.DUMMYFUNCTION("""COMPUTED_VALUE"""),"7b9d8eba")</f>
        <v>7b9d8eba</v>
      </c>
      <c r="E3918" s="211" t="str">
        <f>IFERROR(__xludf.DUMMYFUNCTION("""COMPUTED_VALUE"""),"PT PELANGI INDOKARYA")</f>
        <v>PT PELANGI INDOKARYA</v>
      </c>
      <c r="F3918" s="211" t="str">
        <f>IFERROR(__xludf.DUMMYFUNCTION("""COMPUTED_VALUE"""),"ef306e54")</f>
        <v>ef306e54</v>
      </c>
      <c r="G3918" s="211" t="str">
        <f>IFERROR(__xludf.DUMMYFUNCTION("""COMPUTED_VALUE"""),"Karbondioksida")</f>
        <v>Karbondioksida</v>
      </c>
      <c r="H3918" s="211" t="str">
        <f>IFERROR(__xludf.DUMMYFUNCTION("""COMPUTED_VALUE"""),"IN")</f>
        <v>IN</v>
      </c>
      <c r="I3918" s="211" t="str">
        <f>IFERROR(__xludf.DUMMYFUNCTION("""COMPUTED_VALUE"""),"EMPTY")</f>
        <v>EMPTY</v>
      </c>
      <c r="J3918" s="211">
        <f>IFERROR(__xludf.DUMMYFUNCTION("""COMPUTED_VALUE"""),2.0)</f>
        <v>2</v>
      </c>
      <c r="K3918" s="210" t="str">
        <f>IFERROR(__xludf.DUMMYFUNCTION("""COMPUTED_VALUE"""),"13047 13052")</f>
        <v>13047 13052</v>
      </c>
      <c r="L3918" s="211">
        <f>IFERROR(__xludf.DUMMYFUNCTION("""COMPUTED_VALUE"""),0.0)</f>
        <v>0</v>
      </c>
      <c r="M3918" s="211"/>
      <c r="N3918" s="211"/>
      <c r="O3918" s="211" t="b">
        <f>IFERROR(__xludf.DUMMYFUNCTION("""COMPUTED_VALUE"""),FALSE)</f>
        <v>0</v>
      </c>
    </row>
    <row r="3919">
      <c r="A3919" s="210" t="str">
        <f>IFERROR(__xludf.DUMMYFUNCTION("""COMPUTED_VALUE"""),"1261332")</f>
        <v>1261332</v>
      </c>
      <c r="B3919" s="210" t="str">
        <f>IFERROR(__xludf.DUMMYFUNCTION("""COMPUTED_VALUE"""),"1261332")</f>
        <v>1261332</v>
      </c>
      <c r="C3919" s="213">
        <f>IFERROR(__xludf.DUMMYFUNCTION("""COMPUTED_VALUE"""),46081.482615740744)</f>
        <v>46081.48262</v>
      </c>
      <c r="D3919" s="211" t="str">
        <f>IFERROR(__xludf.DUMMYFUNCTION("""COMPUTED_VALUE"""),"d9b2fac5")</f>
        <v>d9b2fac5</v>
      </c>
      <c r="E3919" s="211" t="str">
        <f>IFERROR(__xludf.DUMMYFUNCTION("""COMPUTED_VALUE"""),"Dwi Riza ( Ponokawan)")</f>
        <v>Dwi Riza ( Ponokawan)</v>
      </c>
      <c r="F3919" s="211" t="str">
        <f>IFERROR(__xludf.DUMMYFUNCTION("""COMPUTED_VALUE"""),"8bdbe149")</f>
        <v>8bdbe149</v>
      </c>
      <c r="G3919" s="211" t="str">
        <f>IFERROR(__xludf.DUMMYFUNCTION("""COMPUTED_VALUE"""),"Oksigen 6m3")</f>
        <v>Oksigen 6m3</v>
      </c>
      <c r="H3919" s="211" t="str">
        <f>IFERROR(__xludf.DUMMYFUNCTION("""COMPUTED_VALUE"""),"IN")</f>
        <v>IN</v>
      </c>
      <c r="I3919" s="211" t="str">
        <f>IFERROR(__xludf.DUMMYFUNCTION("""COMPUTED_VALUE"""),"EMPTY")</f>
        <v>EMPTY</v>
      </c>
      <c r="J3919" s="211">
        <f>IFERROR(__xludf.DUMMYFUNCTION("""COMPUTED_VALUE"""),6.0)</f>
        <v>6</v>
      </c>
      <c r="K3919" s="210" t="str">
        <f>IFERROR(__xludf.DUMMYFUNCTION("""COMPUTED_VALUE"""),"1127 1196 1110 11295 11253 1132")</f>
        <v>1127 1196 1110 11295 11253 1132</v>
      </c>
      <c r="L3919" s="211">
        <f>IFERROR(__xludf.DUMMYFUNCTION("""COMPUTED_VALUE"""),0.0)</f>
        <v>0</v>
      </c>
      <c r="M3919" s="211"/>
      <c r="N3919" s="211"/>
      <c r="O3919" s="211" t="b">
        <f>IFERROR(__xludf.DUMMYFUNCTION("""COMPUTED_VALUE"""),FALSE)</f>
        <v>0</v>
      </c>
    </row>
    <row r="3920">
      <c r="A3920" s="210" t="str">
        <f>IFERROR(__xludf.DUMMYFUNCTION("""COMPUTED_VALUE"""),"0226482703")</f>
        <v>0226482703</v>
      </c>
      <c r="B3920" s="210" t="str">
        <f>IFERROR(__xludf.DUMMYFUNCTION("""COMPUTED_VALUE"""),"0226482703")</f>
        <v>0226482703</v>
      </c>
      <c r="C3920" s="213">
        <f>IFERROR(__xludf.DUMMYFUNCTION("""COMPUTED_VALUE"""),46081.59123842593)</f>
        <v>46081.59124</v>
      </c>
      <c r="D3920" s="211" t="str">
        <f>IFERROR(__xludf.DUMMYFUNCTION("""COMPUTED_VALUE"""),"ec231cc9")</f>
        <v>ec231cc9</v>
      </c>
      <c r="E3920" s="211" t="str">
        <f>IFERROR(__xludf.DUMMYFUNCTION("""COMPUTED_VALUE"""),"Bpk. Kohir (Maintenance Velg)")</f>
        <v>Bpk. Kohir (Maintenance Velg)</v>
      </c>
      <c r="F3920" s="211" t="str">
        <f>IFERROR(__xludf.DUMMYFUNCTION("""COMPUTED_VALUE"""),"8bdbe149")</f>
        <v>8bdbe149</v>
      </c>
      <c r="G3920" s="211" t="str">
        <f>IFERROR(__xludf.DUMMYFUNCTION("""COMPUTED_VALUE"""),"Oksigen 6m3")</f>
        <v>Oksigen 6m3</v>
      </c>
      <c r="H3920" s="211" t="str">
        <f>IFERROR(__xludf.DUMMYFUNCTION("""COMPUTED_VALUE"""),"OUT")</f>
        <v>OUT</v>
      </c>
      <c r="I3920" s="211" t="str">
        <f>IFERROR(__xludf.DUMMYFUNCTION("""COMPUTED_VALUE"""),"NORMAL")</f>
        <v>NORMAL</v>
      </c>
      <c r="J3920" s="211">
        <f>IFERROR(__xludf.DUMMYFUNCTION("""COMPUTED_VALUE"""),5.0)</f>
        <v>5</v>
      </c>
      <c r="K3920" s="210" t="str">
        <f>IFERROR(__xludf.DUMMYFUNCTION("""COMPUTED_VALUE"""),"11354 11104 11366 1136 11370")</f>
        <v>11354 11104 11366 1136 11370</v>
      </c>
      <c r="L3920" s="211">
        <f>IFERROR(__xludf.DUMMYFUNCTION("""COMPUTED_VALUE"""),55000.0)</f>
        <v>55000</v>
      </c>
      <c r="M3920" s="211"/>
      <c r="N3920" s="211"/>
      <c r="O3920" s="211" t="b">
        <f>IFERROR(__xludf.DUMMYFUNCTION("""COMPUTED_VALUE"""),FALSE)</f>
        <v>0</v>
      </c>
    </row>
    <row r="3921">
      <c r="A3921" s="210" t="str">
        <f>IFERROR(__xludf.DUMMYFUNCTION("""COMPUTED_VALUE"""),"1261322")</f>
        <v>1261322</v>
      </c>
      <c r="B3921" s="210" t="str">
        <f>IFERROR(__xludf.DUMMYFUNCTION("""COMPUTED_VALUE"""),"1261322")</f>
        <v>1261322</v>
      </c>
      <c r="C3921" s="213">
        <f>IFERROR(__xludf.DUMMYFUNCTION("""COMPUTED_VALUE"""),46081.63217592592)</f>
        <v>46081.63218</v>
      </c>
      <c r="D3921" s="211" t="str">
        <f>IFERROR(__xludf.DUMMYFUNCTION("""COMPUTED_VALUE"""),"b218b89b")</f>
        <v>b218b89b</v>
      </c>
      <c r="E3921" s="211" t="str">
        <f>IFERROR(__xludf.DUMMYFUNCTION("""COMPUTED_VALUE"""),"PT Harapan Sentosa")</f>
        <v>PT Harapan Sentosa</v>
      </c>
      <c r="F3921" s="211" t="str">
        <f>IFERROR(__xludf.DUMMYFUNCTION("""COMPUTED_VALUE"""),"8bdbe149")</f>
        <v>8bdbe149</v>
      </c>
      <c r="G3921" s="211" t="str">
        <f>IFERROR(__xludf.DUMMYFUNCTION("""COMPUTED_VALUE"""),"Oksigen 6m3")</f>
        <v>Oksigen 6m3</v>
      </c>
      <c r="H3921" s="211" t="str">
        <f>IFERROR(__xludf.DUMMYFUNCTION("""COMPUTED_VALUE"""),"IN")</f>
        <v>IN</v>
      </c>
      <c r="I3921" s="211" t="str">
        <f>IFERROR(__xludf.DUMMYFUNCTION("""COMPUTED_VALUE"""),"EMPTY")</f>
        <v>EMPTY</v>
      </c>
      <c r="J3921" s="211">
        <f>IFERROR(__xludf.DUMMYFUNCTION("""COMPUTED_VALUE"""),5.0)</f>
        <v>5</v>
      </c>
      <c r="K3921" s="210" t="str">
        <f>IFERROR(__xludf.DUMMYFUNCTION("""COMPUTED_VALUE"""),"11209 11181 11271 1138 11105")</f>
        <v>11209 11181 11271 1138 11105</v>
      </c>
      <c r="L3921" s="211">
        <f>IFERROR(__xludf.DUMMYFUNCTION("""COMPUTED_VALUE"""),0.0)</f>
        <v>0</v>
      </c>
      <c r="M3921" s="211"/>
      <c r="N3921" s="211"/>
      <c r="O3921" s="211" t="b">
        <f>IFERROR(__xludf.DUMMYFUNCTION("""COMPUTED_VALUE"""),FALSE)</f>
        <v>0</v>
      </c>
    </row>
    <row r="3922">
      <c r="A3922" s="210" t="str">
        <f>IFERROR(__xludf.DUMMYFUNCTION("""COMPUTED_VALUE"""),"1261324")</f>
        <v>1261324</v>
      </c>
      <c r="B3922" s="210" t="str">
        <f>IFERROR(__xludf.DUMMYFUNCTION("""COMPUTED_VALUE"""),"1261324")</f>
        <v>1261324</v>
      </c>
      <c r="C3922" s="213">
        <f>IFERROR(__xludf.DUMMYFUNCTION("""COMPUTED_VALUE"""),46081.6328125)</f>
        <v>46081.63281</v>
      </c>
      <c r="D3922" s="211" t="str">
        <f>IFERROR(__xludf.DUMMYFUNCTION("""COMPUTED_VALUE"""),"b2b5f2c5")</f>
        <v>b2b5f2c5</v>
      </c>
      <c r="E3922" s="211" t="str">
        <f>IFERROR(__xludf.DUMMYFUNCTION("""COMPUTED_VALUE"""),"Bengkel Las Bpk. Ari")</f>
        <v>Bengkel Las Bpk. Ari</v>
      </c>
      <c r="F3922" s="211" t="str">
        <f>IFERROR(__xludf.DUMMYFUNCTION("""COMPUTED_VALUE"""),"8bdbe149")</f>
        <v>8bdbe149</v>
      </c>
      <c r="G3922" s="211" t="str">
        <f>IFERROR(__xludf.DUMMYFUNCTION("""COMPUTED_VALUE"""),"Oksigen 6m3")</f>
        <v>Oksigen 6m3</v>
      </c>
      <c r="H3922" s="211" t="str">
        <f>IFERROR(__xludf.DUMMYFUNCTION("""COMPUTED_VALUE"""),"IN")</f>
        <v>IN</v>
      </c>
      <c r="I3922" s="211" t="str">
        <f>IFERROR(__xludf.DUMMYFUNCTION("""COMPUTED_VALUE"""),"EMPTY")</f>
        <v>EMPTY</v>
      </c>
      <c r="J3922" s="211">
        <f>IFERROR(__xludf.DUMMYFUNCTION("""COMPUTED_VALUE"""),1.0)</f>
        <v>1</v>
      </c>
      <c r="K3922" s="210" t="str">
        <f>IFERROR(__xludf.DUMMYFUNCTION("""COMPUTED_VALUE"""),"11360")</f>
        <v>11360</v>
      </c>
      <c r="L3922" s="211">
        <f>IFERROR(__xludf.DUMMYFUNCTION("""COMPUTED_VALUE"""),0.0)</f>
        <v>0</v>
      </c>
      <c r="M3922" s="211"/>
      <c r="N3922" s="211"/>
      <c r="O3922" s="211" t="b">
        <f>IFERROR(__xludf.DUMMYFUNCTION("""COMPUTED_VALUE"""),FALSE)</f>
        <v>0</v>
      </c>
    </row>
    <row r="3923">
      <c r="A3923" s="210" t="str">
        <f>IFERROR(__xludf.DUMMYFUNCTION("""COMPUTED_VALUE"""),"1261324")</f>
        <v>1261324</v>
      </c>
      <c r="B3923" s="210" t="str">
        <f>IFERROR(__xludf.DUMMYFUNCTION("""COMPUTED_VALUE"""),"1261324")</f>
        <v>1261324</v>
      </c>
      <c r="C3923" s="213">
        <f>IFERROR(__xludf.DUMMYFUNCTION("""COMPUTED_VALUE"""),46081.6328125)</f>
        <v>46081.63281</v>
      </c>
      <c r="D3923" s="211" t="str">
        <f>IFERROR(__xludf.DUMMYFUNCTION("""COMPUTED_VALUE"""),"b2b5f2c5")</f>
        <v>b2b5f2c5</v>
      </c>
      <c r="E3923" s="211" t="str">
        <f>IFERROR(__xludf.DUMMYFUNCTION("""COMPUTED_VALUE"""),"Bengkel Las Bpk. Ari")</f>
        <v>Bengkel Las Bpk. Ari</v>
      </c>
      <c r="F3923" s="211" t="str">
        <f>IFERROR(__xludf.DUMMYFUNCTION("""COMPUTED_VALUE"""),"ef306e54")</f>
        <v>ef306e54</v>
      </c>
      <c r="G3923" s="211" t="str">
        <f>IFERROR(__xludf.DUMMYFUNCTION("""COMPUTED_VALUE"""),"Karbondioksida")</f>
        <v>Karbondioksida</v>
      </c>
      <c r="H3923" s="211" t="str">
        <f>IFERROR(__xludf.DUMMYFUNCTION("""COMPUTED_VALUE"""),"IN")</f>
        <v>IN</v>
      </c>
      <c r="I3923" s="211" t="str">
        <f>IFERROR(__xludf.DUMMYFUNCTION("""COMPUTED_VALUE"""),"EMPTY")</f>
        <v>EMPTY</v>
      </c>
      <c r="J3923" s="211">
        <f>IFERROR(__xludf.DUMMYFUNCTION("""COMPUTED_VALUE"""),1.0)</f>
        <v>1</v>
      </c>
      <c r="K3923" s="210" t="str">
        <f>IFERROR(__xludf.DUMMYFUNCTION("""COMPUTED_VALUE"""),"13021")</f>
        <v>13021</v>
      </c>
      <c r="L3923" s="211">
        <f>IFERROR(__xludf.DUMMYFUNCTION("""COMPUTED_VALUE"""),0.0)</f>
        <v>0</v>
      </c>
      <c r="M3923" s="211"/>
      <c r="N3923" s="211"/>
      <c r="O3923" s="211" t="b">
        <f>IFERROR(__xludf.DUMMYFUNCTION("""COMPUTED_VALUE"""),FALSE)</f>
        <v>0</v>
      </c>
    </row>
    <row r="3924">
      <c r="A3924" s="210" t="str">
        <f>IFERROR(__xludf.DUMMYFUNCTION("""COMPUTED_VALUE"""),"1261323")</f>
        <v>1261323</v>
      </c>
      <c r="B3924" s="210" t="str">
        <f>IFERROR(__xludf.DUMMYFUNCTION("""COMPUTED_VALUE"""),"1261323")</f>
        <v>1261323</v>
      </c>
      <c r="C3924" s="213">
        <f>IFERROR(__xludf.DUMMYFUNCTION("""COMPUTED_VALUE"""),46081.63319444445)</f>
        <v>46081.63319</v>
      </c>
      <c r="D3924" s="211" t="str">
        <f>IFERROR(__xludf.DUMMYFUNCTION("""COMPUTED_VALUE"""),"734c6d17")</f>
        <v>734c6d17</v>
      </c>
      <c r="E3924" s="211" t="str">
        <f>IFERROR(__xludf.DUMMYFUNCTION("""COMPUTED_VALUE"""),"Bapak Ainol Yaqin ( Bpk. Ibnu )")</f>
        <v>Bapak Ainol Yaqin ( Bpk. Ibnu )</v>
      </c>
      <c r="F3924" s="211" t="str">
        <f>IFERROR(__xludf.DUMMYFUNCTION("""COMPUTED_VALUE"""),"8bdbe149")</f>
        <v>8bdbe149</v>
      </c>
      <c r="G3924" s="211" t="str">
        <f>IFERROR(__xludf.DUMMYFUNCTION("""COMPUTED_VALUE"""),"Oksigen 6m3")</f>
        <v>Oksigen 6m3</v>
      </c>
      <c r="H3924" s="211" t="str">
        <f>IFERROR(__xludf.DUMMYFUNCTION("""COMPUTED_VALUE"""),"IN")</f>
        <v>IN</v>
      </c>
      <c r="I3924" s="211" t="str">
        <f>IFERROR(__xludf.DUMMYFUNCTION("""COMPUTED_VALUE"""),"EMPTY")</f>
        <v>EMPTY</v>
      </c>
      <c r="J3924" s="211">
        <f>IFERROR(__xludf.DUMMYFUNCTION("""COMPUTED_VALUE"""),1.0)</f>
        <v>1</v>
      </c>
      <c r="K3924" s="210" t="str">
        <f>IFERROR(__xludf.DUMMYFUNCTION("""COMPUTED_VALUE"""),"11317")</f>
        <v>11317</v>
      </c>
      <c r="L3924" s="211">
        <f>IFERROR(__xludf.DUMMYFUNCTION("""COMPUTED_VALUE"""),0.0)</f>
        <v>0</v>
      </c>
      <c r="M3924" s="211"/>
      <c r="N3924" s="211"/>
      <c r="O3924" s="211" t="b">
        <f>IFERROR(__xludf.DUMMYFUNCTION("""COMPUTED_VALUE"""),FALSE)</f>
        <v>0</v>
      </c>
    </row>
    <row r="3925">
      <c r="A3925" s="210" t="str">
        <f>IFERROR(__xludf.DUMMYFUNCTION("""COMPUTED_VALUE"""),"1261335")</f>
        <v>1261335</v>
      </c>
      <c r="B3925" s="210" t="str">
        <f>IFERROR(__xludf.DUMMYFUNCTION("""COMPUTED_VALUE"""),"1261335")</f>
        <v>1261335</v>
      </c>
      <c r="C3925" s="213">
        <f>IFERROR(__xludf.DUMMYFUNCTION("""COMPUTED_VALUE"""),46081.63350694445)</f>
        <v>46081.63351</v>
      </c>
      <c r="D3925" s="211" t="str">
        <f>IFERROR(__xludf.DUMMYFUNCTION("""COMPUTED_VALUE"""),"ec231cc9")</f>
        <v>ec231cc9</v>
      </c>
      <c r="E3925" s="211" t="str">
        <f>IFERROR(__xludf.DUMMYFUNCTION("""COMPUTED_VALUE"""),"Bpk. Kohir (Maintenance Velg)")</f>
        <v>Bpk. Kohir (Maintenance Velg)</v>
      </c>
      <c r="F3925" s="211" t="str">
        <f>IFERROR(__xludf.DUMMYFUNCTION("""COMPUTED_VALUE"""),"8bdbe149")</f>
        <v>8bdbe149</v>
      </c>
      <c r="G3925" s="211" t="str">
        <f>IFERROR(__xludf.DUMMYFUNCTION("""COMPUTED_VALUE"""),"Oksigen 6m3")</f>
        <v>Oksigen 6m3</v>
      </c>
      <c r="H3925" s="211" t="str">
        <f>IFERROR(__xludf.DUMMYFUNCTION("""COMPUTED_VALUE"""),"IN")</f>
        <v>IN</v>
      </c>
      <c r="I3925" s="211" t="str">
        <f>IFERROR(__xludf.DUMMYFUNCTION("""COMPUTED_VALUE"""),"EMPTY")</f>
        <v>EMPTY</v>
      </c>
      <c r="J3925" s="211">
        <f>IFERROR(__xludf.DUMMYFUNCTION("""COMPUTED_VALUE"""),2.0)</f>
        <v>2</v>
      </c>
      <c r="K3925" s="210" t="str">
        <f>IFERROR(__xludf.DUMMYFUNCTION("""COMPUTED_VALUE"""),"1141 11255")</f>
        <v>1141 11255</v>
      </c>
      <c r="L3925" s="211">
        <f>IFERROR(__xludf.DUMMYFUNCTION("""COMPUTED_VALUE"""),0.0)</f>
        <v>0</v>
      </c>
      <c r="M3925" s="211"/>
      <c r="N3925" s="211"/>
      <c r="O3925" s="211" t="b">
        <f>IFERROR(__xludf.DUMMYFUNCTION("""COMPUTED_VALUE"""),FALSE)</f>
        <v>0</v>
      </c>
    </row>
    <row r="3926">
      <c r="A3926" s="210" t="str">
        <f>IFERROR(__xludf.DUMMYFUNCTION("""COMPUTED_VALUE"""),"0326192707")</f>
        <v>0326192707</v>
      </c>
      <c r="B3926" s="210" t="str">
        <f>IFERROR(__xludf.DUMMYFUNCTION("""COMPUTED_VALUE"""),"0326192707")</f>
        <v>0326192707</v>
      </c>
      <c r="C3926" s="213">
        <f>IFERROR(__xludf.DUMMYFUNCTION("""COMPUTED_VALUE"""),46083.355671296296)</f>
        <v>46083.35567</v>
      </c>
      <c r="D3926" s="211" t="str">
        <f>IFERROR(__xludf.DUMMYFUNCTION("""COMPUTED_VALUE"""),"a0f0ad2d")</f>
        <v>a0f0ad2d</v>
      </c>
      <c r="E3926" s="211" t="str">
        <f>IFERROR(__xludf.DUMMYFUNCTION("""COMPUTED_VALUE"""),"CV. Yulie Jaya")</f>
        <v>CV. Yulie Jaya</v>
      </c>
      <c r="F3926" s="211" t="str">
        <f>IFERROR(__xludf.DUMMYFUNCTION("""COMPUTED_VALUE"""),"7d2764f1")</f>
        <v>7d2764f1</v>
      </c>
      <c r="G3926" s="211" t="str">
        <f>IFERROR(__xludf.DUMMYFUNCTION("""COMPUTED_VALUE"""),"Oksigen 7m3")</f>
        <v>Oksigen 7m3</v>
      </c>
      <c r="H3926" s="211" t="str">
        <f>IFERROR(__xludf.DUMMYFUNCTION("""COMPUTED_VALUE"""),"OUT")</f>
        <v>OUT</v>
      </c>
      <c r="I3926" s="211" t="str">
        <f>IFERROR(__xludf.DUMMYFUNCTION("""COMPUTED_VALUE"""),"NORMAL")</f>
        <v>NORMAL</v>
      </c>
      <c r="J3926" s="211">
        <f>IFERROR(__xludf.DUMMYFUNCTION("""COMPUTED_VALUE"""),10.0)</f>
        <v>10</v>
      </c>
      <c r="K3926" s="210" t="str">
        <f>IFERROR(__xludf.DUMMYFUNCTION("""COMPUTED_VALUE"""),"11167 11144 11143 11152 11151 11138 11195 11329 11299 11307")</f>
        <v>11167 11144 11143 11152 11151 11138 11195 11329 11299 11307</v>
      </c>
      <c r="L3926" s="211">
        <f>IFERROR(__xludf.DUMMYFUNCTION("""COMPUTED_VALUE"""),65000.0)</f>
        <v>65000</v>
      </c>
      <c r="M3926" s="211"/>
      <c r="N3926" s="211"/>
      <c r="O3926" s="211" t="b">
        <f>IFERROR(__xludf.DUMMYFUNCTION("""COMPUTED_VALUE"""),FALSE)</f>
        <v>0</v>
      </c>
    </row>
    <row r="3927">
      <c r="A3927" s="210" t="str">
        <f>IFERROR(__xludf.DUMMYFUNCTION("""COMPUTED_VALUE"""),"0326192707")</f>
        <v>0326192707</v>
      </c>
      <c r="B3927" s="210" t="str">
        <f>IFERROR(__xludf.DUMMYFUNCTION("""COMPUTED_VALUE"""),"0326192707")</f>
        <v>0326192707</v>
      </c>
      <c r="C3927" s="213">
        <f>IFERROR(__xludf.DUMMYFUNCTION("""COMPUTED_VALUE"""),46083.355671296296)</f>
        <v>46083.35567</v>
      </c>
      <c r="D3927" s="211" t="str">
        <f>IFERROR(__xludf.DUMMYFUNCTION("""COMPUTED_VALUE"""),"a0f0ad2d")</f>
        <v>a0f0ad2d</v>
      </c>
      <c r="E3927" s="211" t="str">
        <f>IFERROR(__xludf.DUMMYFUNCTION("""COMPUTED_VALUE"""),"CV. Yulie Jaya")</f>
        <v>CV. Yulie Jaya</v>
      </c>
      <c r="F3927" s="211" t="str">
        <f>IFERROR(__xludf.DUMMYFUNCTION("""COMPUTED_VALUE"""),"be525f3b")</f>
        <v>be525f3b</v>
      </c>
      <c r="G3927" s="211" t="str">
        <f>IFERROR(__xludf.DUMMYFUNCTION("""COMPUTED_VALUE"""),"LPG 12kg")</f>
        <v>LPG 12kg</v>
      </c>
      <c r="H3927" s="211" t="str">
        <f>IFERROR(__xludf.DUMMYFUNCTION("""COMPUTED_VALUE"""),"OUT")</f>
        <v>OUT</v>
      </c>
      <c r="I3927" s="211" t="str">
        <f>IFERROR(__xludf.DUMMYFUNCTION("""COMPUTED_VALUE"""),"NORMAL")</f>
        <v>NORMAL</v>
      </c>
      <c r="J3927" s="211">
        <f>IFERROR(__xludf.DUMMYFUNCTION("""COMPUTED_VALUE"""),2.0)</f>
        <v>2</v>
      </c>
      <c r="K3927" s="210" t="str">
        <f>IFERROR(__xludf.DUMMYFUNCTION("""COMPUTED_VALUE"""),"L0011 L0010")</f>
        <v>L0011 L0010</v>
      </c>
      <c r="L3927" s="211">
        <f>IFERROR(__xludf.DUMMYFUNCTION("""COMPUTED_VALUE"""),215000.0)</f>
        <v>215000</v>
      </c>
      <c r="M3927" s="211"/>
      <c r="N3927" s="211"/>
      <c r="O3927" s="211" t="b">
        <f>IFERROR(__xludf.DUMMYFUNCTION("""COMPUTED_VALUE"""),FALSE)</f>
        <v>0</v>
      </c>
    </row>
    <row r="3928">
      <c r="A3928" s="210" t="str">
        <f>IFERROR(__xludf.DUMMYFUNCTION("""COMPUTED_VALUE"""),"0326172712")</f>
        <v>0326172712</v>
      </c>
      <c r="B3928" s="210" t="str">
        <f>IFERROR(__xludf.DUMMYFUNCTION("""COMPUTED_VALUE"""),"0326172712")</f>
        <v>0326172712</v>
      </c>
      <c r="C3928" s="213">
        <f>IFERROR(__xludf.DUMMYFUNCTION("""COMPUTED_VALUE"""),46083.42190972222)</f>
        <v>46083.42191</v>
      </c>
      <c r="D3928" s="211" t="str">
        <f>IFERROR(__xludf.DUMMYFUNCTION("""COMPUTED_VALUE"""),"eec2e801")</f>
        <v>eec2e801</v>
      </c>
      <c r="E3928" s="211" t="str">
        <f>IFERROR(__xludf.DUMMYFUNCTION("""COMPUTED_VALUE"""),"Mitra Wood Sejahtera")</f>
        <v>Mitra Wood Sejahtera</v>
      </c>
      <c r="F3928" s="211" t="str">
        <f>IFERROR(__xludf.DUMMYFUNCTION("""COMPUTED_VALUE"""),"be525f3b")</f>
        <v>be525f3b</v>
      </c>
      <c r="G3928" s="211" t="str">
        <f>IFERROR(__xludf.DUMMYFUNCTION("""COMPUTED_VALUE"""),"LPG 12kg")</f>
        <v>LPG 12kg</v>
      </c>
      <c r="H3928" s="211" t="str">
        <f>IFERROR(__xludf.DUMMYFUNCTION("""COMPUTED_VALUE"""),"OUT")</f>
        <v>OUT</v>
      </c>
      <c r="I3928" s="211" t="str">
        <f>IFERROR(__xludf.DUMMYFUNCTION("""COMPUTED_VALUE"""),"NORMAL")</f>
        <v>NORMAL</v>
      </c>
      <c r="J3928" s="211">
        <f>IFERROR(__xludf.DUMMYFUNCTION("""COMPUTED_VALUE"""),1.0)</f>
        <v>1</v>
      </c>
      <c r="K3928" s="210" t="str">
        <f>IFERROR(__xludf.DUMMYFUNCTION("""COMPUTED_VALUE"""),"L004")</f>
        <v>L004</v>
      </c>
      <c r="L3928" s="211">
        <f>IFERROR(__xludf.DUMMYFUNCTION("""COMPUTED_VALUE"""),210000.0)</f>
        <v>210000</v>
      </c>
      <c r="M3928" s="211"/>
      <c r="N3928" s="211"/>
      <c r="O3928" s="211" t="b">
        <f>IFERROR(__xludf.DUMMYFUNCTION("""COMPUTED_VALUE"""),FALSE)</f>
        <v>0</v>
      </c>
    </row>
    <row r="3929">
      <c r="A3929" s="210" t="str">
        <f>IFERROR(__xludf.DUMMYFUNCTION("""COMPUTED_VALUE"""),"1261336")</f>
        <v>1261336</v>
      </c>
      <c r="B3929" s="210" t="str">
        <f>IFERROR(__xludf.DUMMYFUNCTION("""COMPUTED_VALUE"""),"1261336")</f>
        <v>1261336</v>
      </c>
      <c r="C3929" s="213">
        <f>IFERROR(__xludf.DUMMYFUNCTION("""COMPUTED_VALUE"""),46083.49466435185)</f>
        <v>46083.49466</v>
      </c>
      <c r="D3929" s="211" t="str">
        <f>IFERROR(__xludf.DUMMYFUNCTION("""COMPUTED_VALUE"""),"a0f0ad2d")</f>
        <v>a0f0ad2d</v>
      </c>
      <c r="E3929" s="211" t="str">
        <f>IFERROR(__xludf.DUMMYFUNCTION("""COMPUTED_VALUE"""),"CV. Yulie Jaya")</f>
        <v>CV. Yulie Jaya</v>
      </c>
      <c r="F3929" s="211" t="str">
        <f>IFERROR(__xludf.DUMMYFUNCTION("""COMPUTED_VALUE"""),"8bdbe149")</f>
        <v>8bdbe149</v>
      </c>
      <c r="G3929" s="211" t="str">
        <f>IFERROR(__xludf.DUMMYFUNCTION("""COMPUTED_VALUE"""),"Oksigen 6m3")</f>
        <v>Oksigen 6m3</v>
      </c>
      <c r="H3929" s="211" t="str">
        <f>IFERROR(__xludf.DUMMYFUNCTION("""COMPUTED_VALUE"""),"IN")</f>
        <v>IN</v>
      </c>
      <c r="I3929" s="211" t="str">
        <f>IFERROR(__xludf.DUMMYFUNCTION("""COMPUTED_VALUE"""),"EMPTY")</f>
        <v>EMPTY</v>
      </c>
      <c r="J3929" s="211">
        <f>IFERROR(__xludf.DUMMYFUNCTION("""COMPUTED_VALUE"""),2.0)</f>
        <v>2</v>
      </c>
      <c r="K3929" s="210" t="str">
        <f>IFERROR(__xludf.DUMMYFUNCTION("""COMPUTED_VALUE"""),"1170 11351")</f>
        <v>1170 11351</v>
      </c>
      <c r="L3929" s="211">
        <f>IFERROR(__xludf.DUMMYFUNCTION("""COMPUTED_VALUE"""),0.0)</f>
        <v>0</v>
      </c>
      <c r="M3929" s="211"/>
      <c r="N3929" s="211"/>
      <c r="O3929" s="211" t="b">
        <f>IFERROR(__xludf.DUMMYFUNCTION("""COMPUTED_VALUE"""),FALSE)</f>
        <v>0</v>
      </c>
    </row>
    <row r="3930">
      <c r="A3930" s="210" t="str">
        <f>IFERROR(__xludf.DUMMYFUNCTION("""COMPUTED_VALUE"""),"1261337")</f>
        <v>1261337</v>
      </c>
      <c r="B3930" s="210" t="str">
        <f>IFERROR(__xludf.DUMMYFUNCTION("""COMPUTED_VALUE"""),"1261337")</f>
        <v>1261337</v>
      </c>
      <c r="C3930" s="213">
        <f>IFERROR(__xludf.DUMMYFUNCTION("""COMPUTED_VALUE"""),46083.55143518518)</f>
        <v>46083.55144</v>
      </c>
      <c r="D3930" s="211" t="str">
        <f>IFERROR(__xludf.DUMMYFUNCTION("""COMPUTED_VALUE"""),"b2b5f2c5")</f>
        <v>b2b5f2c5</v>
      </c>
      <c r="E3930" s="211" t="str">
        <f>IFERROR(__xludf.DUMMYFUNCTION("""COMPUTED_VALUE"""),"Bengkel Las Bpk. Ari")</f>
        <v>Bengkel Las Bpk. Ari</v>
      </c>
      <c r="F3930" s="211" t="str">
        <f>IFERROR(__xludf.DUMMYFUNCTION("""COMPUTED_VALUE"""),"8bdbe149")</f>
        <v>8bdbe149</v>
      </c>
      <c r="G3930" s="211" t="str">
        <f>IFERROR(__xludf.DUMMYFUNCTION("""COMPUTED_VALUE"""),"Oksigen 6m3")</f>
        <v>Oksigen 6m3</v>
      </c>
      <c r="H3930" s="211" t="str">
        <f>IFERROR(__xludf.DUMMYFUNCTION("""COMPUTED_VALUE"""),"IN")</f>
        <v>IN</v>
      </c>
      <c r="I3930" s="211" t="str">
        <f>IFERROR(__xludf.DUMMYFUNCTION("""COMPUTED_VALUE"""),"EMPTY")</f>
        <v>EMPTY</v>
      </c>
      <c r="J3930" s="211">
        <f>IFERROR(__xludf.DUMMYFUNCTION("""COMPUTED_VALUE"""),2.0)</f>
        <v>2</v>
      </c>
      <c r="K3930" s="210" t="str">
        <f>IFERROR(__xludf.DUMMYFUNCTION("""COMPUTED_VALUE"""),"11193 1169")</f>
        <v>11193 1169</v>
      </c>
      <c r="L3930" s="211">
        <f>IFERROR(__xludf.DUMMYFUNCTION("""COMPUTED_VALUE"""),0.0)</f>
        <v>0</v>
      </c>
      <c r="M3930" s="211"/>
      <c r="N3930" s="211"/>
      <c r="O3930" s="211" t="b">
        <f>IFERROR(__xludf.DUMMYFUNCTION("""COMPUTED_VALUE"""),FALSE)</f>
        <v>0</v>
      </c>
    </row>
    <row r="3931">
      <c r="A3931" s="210" t="str">
        <f>IFERROR(__xludf.DUMMYFUNCTION("""COMPUTED_VALUE"""),"032662713")</f>
        <v>032662713</v>
      </c>
      <c r="B3931" s="210" t="str">
        <f>IFERROR(__xludf.DUMMYFUNCTION("""COMPUTED_VALUE"""),"032662713")</f>
        <v>032662713</v>
      </c>
      <c r="C3931" s="213">
        <f>IFERROR(__xludf.DUMMYFUNCTION("""COMPUTED_VALUE"""),46083.558020833334)</f>
        <v>46083.55802</v>
      </c>
      <c r="D3931" s="211" t="str">
        <f>IFERROR(__xludf.DUMMYFUNCTION("""COMPUTED_VALUE"""),"de41c3e8")</f>
        <v>de41c3e8</v>
      </c>
      <c r="E3931" s="211" t="str">
        <f>IFERROR(__xludf.DUMMYFUNCTION("""COMPUTED_VALUE"""),"Bpk. Eko Mianto")</f>
        <v>Bpk. Eko Mianto</v>
      </c>
      <c r="F3931" s="211" t="str">
        <f>IFERROR(__xludf.DUMMYFUNCTION("""COMPUTED_VALUE"""),"66af7c72")</f>
        <v>66af7c72</v>
      </c>
      <c r="G3931" s="211" t="str">
        <f>IFERROR(__xludf.DUMMYFUNCTION("""COMPUTED_VALUE"""),"Argon 6m3")</f>
        <v>Argon 6m3</v>
      </c>
      <c r="H3931" s="211" t="str">
        <f>IFERROR(__xludf.DUMMYFUNCTION("""COMPUTED_VALUE"""),"OUT")</f>
        <v>OUT</v>
      </c>
      <c r="I3931" s="211" t="str">
        <f>IFERROR(__xludf.DUMMYFUNCTION("""COMPUTED_VALUE"""),"NORMAL")</f>
        <v>NORMAL</v>
      </c>
      <c r="J3931" s="211">
        <f>IFERROR(__xludf.DUMMYFUNCTION("""COMPUTED_VALUE"""),3.0)</f>
        <v>3</v>
      </c>
      <c r="K3931" s="210" t="str">
        <f>IFERROR(__xludf.DUMMYFUNCTION("""COMPUTED_VALUE"""),"12069 12077 12016")</f>
        <v>12069 12077 12016</v>
      </c>
      <c r="L3931" s="211">
        <f>IFERROR(__xludf.DUMMYFUNCTION("""COMPUTED_VALUE"""),225000.0)</f>
        <v>225000</v>
      </c>
      <c r="M3931" s="211"/>
      <c r="N3931" s="211"/>
      <c r="O3931" s="211" t="b">
        <f>IFERROR(__xludf.DUMMYFUNCTION("""COMPUTED_VALUE"""),FALSE)</f>
        <v>0</v>
      </c>
    </row>
    <row r="3932">
      <c r="A3932" s="210" t="str">
        <f>IFERROR(__xludf.DUMMYFUNCTION("""COMPUTED_VALUE"""),"1261325")</f>
        <v>1261325</v>
      </c>
      <c r="B3932" s="210" t="str">
        <f>IFERROR(__xludf.DUMMYFUNCTION("""COMPUTED_VALUE"""),"1261325")</f>
        <v>1261325</v>
      </c>
      <c r="C3932" s="213">
        <f>IFERROR(__xludf.DUMMYFUNCTION("""COMPUTED_VALUE"""),46083.591944444444)</f>
        <v>46083.59194</v>
      </c>
      <c r="D3932" s="211" t="str">
        <f>IFERROR(__xludf.DUMMYFUNCTION("""COMPUTED_VALUE"""),"eec2e801")</f>
        <v>eec2e801</v>
      </c>
      <c r="E3932" s="211" t="str">
        <f>IFERROR(__xludf.DUMMYFUNCTION("""COMPUTED_VALUE"""),"Mitra Wood Sejahtera")</f>
        <v>Mitra Wood Sejahtera</v>
      </c>
      <c r="F3932" s="211" t="str">
        <f>IFERROR(__xludf.DUMMYFUNCTION("""COMPUTED_VALUE"""),"8bdbe149")</f>
        <v>8bdbe149</v>
      </c>
      <c r="G3932" s="211" t="str">
        <f>IFERROR(__xludf.DUMMYFUNCTION("""COMPUTED_VALUE"""),"Oksigen 6m3")</f>
        <v>Oksigen 6m3</v>
      </c>
      <c r="H3932" s="211" t="str">
        <f>IFERROR(__xludf.DUMMYFUNCTION("""COMPUTED_VALUE"""),"IN")</f>
        <v>IN</v>
      </c>
      <c r="I3932" s="211" t="str">
        <f>IFERROR(__xludf.DUMMYFUNCTION("""COMPUTED_VALUE"""),"EMPTY")</f>
        <v>EMPTY</v>
      </c>
      <c r="J3932" s="211">
        <f>IFERROR(__xludf.DUMMYFUNCTION("""COMPUTED_VALUE"""),6.0)</f>
        <v>6</v>
      </c>
      <c r="K3932" s="210" t="str">
        <f>IFERROR(__xludf.DUMMYFUNCTION("""COMPUTED_VALUE"""),"11308 1164 11112 1157 11288 11246")</f>
        <v>11308 1164 11112 1157 11288 11246</v>
      </c>
      <c r="L3932" s="211">
        <f>IFERROR(__xludf.DUMMYFUNCTION("""COMPUTED_VALUE"""),0.0)</f>
        <v>0</v>
      </c>
      <c r="M3932" s="211"/>
      <c r="N3932" s="211"/>
      <c r="O3932" s="211" t="b">
        <f>IFERROR(__xludf.DUMMYFUNCTION("""COMPUTED_VALUE"""),FALSE)</f>
        <v>0</v>
      </c>
    </row>
    <row r="3933">
      <c r="A3933" s="210" t="str">
        <f>IFERROR(__xludf.DUMMYFUNCTION("""COMPUTED_VALUE"""),"1261326")</f>
        <v>1261326</v>
      </c>
      <c r="B3933" s="210" t="str">
        <f>IFERROR(__xludf.DUMMYFUNCTION("""COMPUTED_VALUE"""),"1261326")</f>
        <v>1261326</v>
      </c>
      <c r="C3933" s="213">
        <f>IFERROR(__xludf.DUMMYFUNCTION("""COMPUTED_VALUE"""),46083.592523148145)</f>
        <v>46083.59252</v>
      </c>
      <c r="D3933" s="211" t="str">
        <f>IFERROR(__xludf.DUMMYFUNCTION("""COMPUTED_VALUE"""),"785e0e07")</f>
        <v>785e0e07</v>
      </c>
      <c r="E3933" s="211" t="str">
        <f>IFERROR(__xludf.DUMMYFUNCTION("""COMPUTED_VALUE"""),"Bpk. Sukirno (Bejo)")</f>
        <v>Bpk. Sukirno (Bejo)</v>
      </c>
      <c r="F3933" s="211" t="str">
        <f>IFERROR(__xludf.DUMMYFUNCTION("""COMPUTED_VALUE"""),"8bdbe149")</f>
        <v>8bdbe149</v>
      </c>
      <c r="G3933" s="211" t="str">
        <f>IFERROR(__xludf.DUMMYFUNCTION("""COMPUTED_VALUE"""),"Oksigen 6m3")</f>
        <v>Oksigen 6m3</v>
      </c>
      <c r="H3933" s="211" t="str">
        <f>IFERROR(__xludf.DUMMYFUNCTION("""COMPUTED_VALUE"""),"IN")</f>
        <v>IN</v>
      </c>
      <c r="I3933" s="211" t="str">
        <f>IFERROR(__xludf.DUMMYFUNCTION("""COMPUTED_VALUE"""),"EMPTY")</f>
        <v>EMPTY</v>
      </c>
      <c r="J3933" s="211">
        <f>IFERROR(__xludf.DUMMYFUNCTION("""COMPUTED_VALUE"""),3.0)</f>
        <v>3</v>
      </c>
      <c r="K3933" s="210" t="str">
        <f>IFERROR(__xludf.DUMMYFUNCTION("""COMPUTED_VALUE"""),"11268 11277 11100")</f>
        <v>11268 11277 11100</v>
      </c>
      <c r="L3933" s="211">
        <f>IFERROR(__xludf.DUMMYFUNCTION("""COMPUTED_VALUE"""),0.0)</f>
        <v>0</v>
      </c>
      <c r="M3933" s="211"/>
      <c r="N3933" s="211"/>
      <c r="O3933" s="211" t="b">
        <f>IFERROR(__xludf.DUMMYFUNCTION("""COMPUTED_VALUE"""),FALSE)</f>
        <v>0</v>
      </c>
    </row>
    <row r="3934">
      <c r="A3934" s="210" t="str">
        <f>IFERROR(__xludf.DUMMYFUNCTION("""COMPUTED_VALUE"""),"1261327")</f>
        <v>1261327</v>
      </c>
      <c r="B3934" s="210" t="str">
        <f>IFERROR(__xludf.DUMMYFUNCTION("""COMPUTED_VALUE"""),"1261327")</f>
        <v>1261327</v>
      </c>
      <c r="C3934" s="213">
        <f>IFERROR(__xludf.DUMMYFUNCTION("""COMPUTED_VALUE"""),46083.59295138889)</f>
        <v>46083.59295</v>
      </c>
      <c r="D3934" s="211" t="str">
        <f>IFERROR(__xludf.DUMMYFUNCTION("""COMPUTED_VALUE"""),"3b04351a")</f>
        <v>3b04351a</v>
      </c>
      <c r="E3934" s="211" t="str">
        <f>IFERROR(__xludf.DUMMYFUNCTION("""COMPUTED_VALUE"""),"CV Usaha Logam Jaya")</f>
        <v>CV Usaha Logam Jaya</v>
      </c>
      <c r="F3934" s="211" t="str">
        <f>IFERROR(__xludf.DUMMYFUNCTION("""COMPUTED_VALUE"""),"8bdbe149")</f>
        <v>8bdbe149</v>
      </c>
      <c r="G3934" s="211" t="str">
        <f>IFERROR(__xludf.DUMMYFUNCTION("""COMPUTED_VALUE"""),"Oksigen 6m3")</f>
        <v>Oksigen 6m3</v>
      </c>
      <c r="H3934" s="211" t="str">
        <f>IFERROR(__xludf.DUMMYFUNCTION("""COMPUTED_VALUE"""),"IN")</f>
        <v>IN</v>
      </c>
      <c r="I3934" s="211" t="str">
        <f>IFERROR(__xludf.DUMMYFUNCTION("""COMPUTED_VALUE"""),"EMPTY")</f>
        <v>EMPTY</v>
      </c>
      <c r="J3934" s="211">
        <f>IFERROR(__xludf.DUMMYFUNCTION("""COMPUTED_VALUE"""),1.0)</f>
        <v>1</v>
      </c>
      <c r="K3934" s="210" t="str">
        <f>IFERROR(__xludf.DUMMYFUNCTION("""COMPUTED_VALUE"""),"11115")</f>
        <v>11115</v>
      </c>
      <c r="L3934" s="211">
        <f>IFERROR(__xludf.DUMMYFUNCTION("""COMPUTED_VALUE"""),0.0)</f>
        <v>0</v>
      </c>
      <c r="M3934" s="211"/>
      <c r="N3934" s="211" t="str">
        <f>IFERROR(__xludf.DUMMYFUNCTION("""COMPUTED_VALUE"""),"Tabung Kosong")</f>
        <v>Tabung Kosong</v>
      </c>
      <c r="O3934" s="211" t="b">
        <f>IFERROR(__xludf.DUMMYFUNCTION("""COMPUTED_VALUE"""),FALSE)</f>
        <v>0</v>
      </c>
    </row>
    <row r="3935">
      <c r="A3935" s="210" t="str">
        <f>IFERROR(__xludf.DUMMYFUNCTION("""COMPUTED_VALUE"""),"1261327")</f>
        <v>1261327</v>
      </c>
      <c r="B3935" s="210" t="str">
        <f>IFERROR(__xludf.DUMMYFUNCTION("""COMPUTED_VALUE"""),"1261327")</f>
        <v>1261327</v>
      </c>
      <c r="C3935" s="213">
        <f>IFERROR(__xludf.DUMMYFUNCTION("""COMPUTED_VALUE"""),46083.59295138889)</f>
        <v>46083.59295</v>
      </c>
      <c r="D3935" s="211" t="str">
        <f>IFERROR(__xludf.DUMMYFUNCTION("""COMPUTED_VALUE"""),"3b04351a")</f>
        <v>3b04351a</v>
      </c>
      <c r="E3935" s="211" t="str">
        <f>IFERROR(__xludf.DUMMYFUNCTION("""COMPUTED_VALUE"""),"CV Usaha Logam Jaya")</f>
        <v>CV Usaha Logam Jaya</v>
      </c>
      <c r="F3935" s="211" t="str">
        <f>IFERROR(__xludf.DUMMYFUNCTION("""COMPUTED_VALUE"""),"8bdbe149")</f>
        <v>8bdbe149</v>
      </c>
      <c r="G3935" s="211" t="str">
        <f>IFERROR(__xludf.DUMMYFUNCTION("""COMPUTED_VALUE"""),"Oksigen 6m3")</f>
        <v>Oksigen 6m3</v>
      </c>
      <c r="H3935" s="211" t="str">
        <f>IFERROR(__xludf.DUMMYFUNCTION("""COMPUTED_VALUE"""),"IN")</f>
        <v>IN</v>
      </c>
      <c r="I3935" s="211" t="str">
        <f>IFERROR(__xludf.DUMMYFUNCTION("""COMPUTED_VALUE"""),"CLAIM")</f>
        <v>CLAIM</v>
      </c>
      <c r="J3935" s="211">
        <f>IFERROR(__xludf.DUMMYFUNCTION("""COMPUTED_VALUE"""),11.0)</f>
        <v>11</v>
      </c>
      <c r="K3935" s="210" t="str">
        <f>IFERROR(__xludf.DUMMYFUNCTION("""COMPUTED_VALUE"""),"11122 11358 11188 1130 1197 11357 11348 1116 11326 11242 1134")</f>
        <v>11122 11358 11188 1130 1197 11357 11348 1116 11326 11242 1134</v>
      </c>
      <c r="L3935" s="211">
        <f>IFERROR(__xludf.DUMMYFUNCTION("""COMPUTED_VALUE"""),0.0)</f>
        <v>0</v>
      </c>
      <c r="M3935" s="211"/>
      <c r="N3935" s="211" t="str">
        <f>IFERROR(__xludf.DUMMYFUNCTION("""COMPUTED_VALUE"""),"Tabung isi")</f>
        <v>Tabung isi</v>
      </c>
      <c r="O3935" s="211" t="b">
        <f>IFERROR(__xludf.DUMMYFUNCTION("""COMPUTED_VALUE"""),FALSE)</f>
        <v>0</v>
      </c>
    </row>
    <row r="3936">
      <c r="A3936" s="210" t="str">
        <f>IFERROR(__xludf.DUMMYFUNCTION("""COMPUTED_VALUE"""),"1261327")</f>
        <v>1261327</v>
      </c>
      <c r="B3936" s="210" t="str">
        <f>IFERROR(__xludf.DUMMYFUNCTION("""COMPUTED_VALUE"""),"1261327")</f>
        <v>1261327</v>
      </c>
      <c r="C3936" s="213">
        <f>IFERROR(__xludf.DUMMYFUNCTION("""COMPUTED_VALUE"""),46083.59295138889)</f>
        <v>46083.59295</v>
      </c>
      <c r="D3936" s="211" t="str">
        <f>IFERROR(__xludf.DUMMYFUNCTION("""COMPUTED_VALUE"""),"3b04351a")</f>
        <v>3b04351a</v>
      </c>
      <c r="E3936" s="211" t="str">
        <f>IFERROR(__xludf.DUMMYFUNCTION("""COMPUTED_VALUE"""),"CV Usaha Logam Jaya")</f>
        <v>CV Usaha Logam Jaya</v>
      </c>
      <c r="F3936" s="211" t="str">
        <f>IFERROR(__xludf.DUMMYFUNCTION("""COMPUTED_VALUE"""),"7d2764f1")</f>
        <v>7d2764f1</v>
      </c>
      <c r="G3936" s="211" t="str">
        <f>IFERROR(__xludf.DUMMYFUNCTION("""COMPUTED_VALUE"""),"Oksigen 7m3")</f>
        <v>Oksigen 7m3</v>
      </c>
      <c r="H3936" s="211" t="str">
        <f>IFERROR(__xludf.DUMMYFUNCTION("""COMPUTED_VALUE"""),"IN")</f>
        <v>IN</v>
      </c>
      <c r="I3936" s="211" t="str">
        <f>IFERROR(__xludf.DUMMYFUNCTION("""COMPUTED_VALUE"""),"CLAIM")</f>
        <v>CLAIM</v>
      </c>
      <c r="J3936" s="211">
        <f>IFERROR(__xludf.DUMMYFUNCTION("""COMPUTED_VALUE"""),12.0)</f>
        <v>12</v>
      </c>
      <c r="K3936" s="210" t="str">
        <f>IFERROR(__xludf.DUMMYFUNCTION("""COMPUTED_VALUE"""),"11222 11139 11169 11304 11337 11216 11298 11225 11153 11137 11145 11302")</f>
        <v>11222 11139 11169 11304 11337 11216 11298 11225 11153 11137 11145 11302</v>
      </c>
      <c r="L3936" s="211">
        <f>IFERROR(__xludf.DUMMYFUNCTION("""COMPUTED_VALUE"""),0.0)</f>
        <v>0</v>
      </c>
      <c r="M3936" s="211"/>
      <c r="N3936" s="211" t="str">
        <f>IFERROR(__xludf.DUMMYFUNCTION("""COMPUTED_VALUE"""),"Tabung Isi")</f>
        <v>Tabung Isi</v>
      </c>
      <c r="O3936" s="211" t="b">
        <f>IFERROR(__xludf.DUMMYFUNCTION("""COMPUTED_VALUE"""),FALSE)</f>
        <v>0</v>
      </c>
    </row>
    <row r="3937">
      <c r="A3937" s="210" t="str">
        <f>IFERROR(__xludf.DUMMYFUNCTION("""COMPUTED_VALUE"""),"1261327")</f>
        <v>1261327</v>
      </c>
      <c r="B3937" s="210" t="str">
        <f>IFERROR(__xludf.DUMMYFUNCTION("""COMPUTED_VALUE"""),"1261327")</f>
        <v>1261327</v>
      </c>
      <c r="C3937" s="213">
        <f>IFERROR(__xludf.DUMMYFUNCTION("""COMPUTED_VALUE"""),46083.59295138889)</f>
        <v>46083.59295</v>
      </c>
      <c r="D3937" s="211" t="str">
        <f>IFERROR(__xludf.DUMMYFUNCTION("""COMPUTED_VALUE"""),"3b04351a")</f>
        <v>3b04351a</v>
      </c>
      <c r="E3937" s="211" t="str">
        <f>IFERROR(__xludf.DUMMYFUNCTION("""COMPUTED_VALUE"""),"CV Usaha Logam Jaya")</f>
        <v>CV Usaha Logam Jaya</v>
      </c>
      <c r="F3937" s="211" t="str">
        <f>IFERROR(__xludf.DUMMYFUNCTION("""COMPUTED_VALUE"""),"7d2764f1")</f>
        <v>7d2764f1</v>
      </c>
      <c r="G3937" s="211" t="str">
        <f>IFERROR(__xludf.DUMMYFUNCTION("""COMPUTED_VALUE"""),"Oksigen 7m3")</f>
        <v>Oksigen 7m3</v>
      </c>
      <c r="H3937" s="211" t="str">
        <f>IFERROR(__xludf.DUMMYFUNCTION("""COMPUTED_VALUE"""),"IN")</f>
        <v>IN</v>
      </c>
      <c r="I3937" s="211" t="str">
        <f>IFERROR(__xludf.DUMMYFUNCTION("""COMPUTED_VALUE"""),"CLAIM")</f>
        <v>CLAIM</v>
      </c>
      <c r="J3937" s="211">
        <f>IFERROR(__xludf.DUMMYFUNCTION("""COMPUTED_VALUE"""),1.0)</f>
        <v>1</v>
      </c>
      <c r="K3937" s="210" t="str">
        <f>IFERROR(__xludf.DUMMYFUNCTION("""COMPUTED_VALUE"""),"11142")</f>
        <v>11142</v>
      </c>
      <c r="L3937" s="211">
        <f>IFERROR(__xludf.DUMMYFUNCTION("""COMPUTED_VALUE"""),0.0)</f>
        <v>0</v>
      </c>
      <c r="M3937" s="211"/>
      <c r="N3937" s="211" t="str">
        <f>IFERROR(__xludf.DUMMYFUNCTION("""COMPUTED_VALUE"""),"Tabung isi")</f>
        <v>Tabung isi</v>
      </c>
      <c r="O3937" s="211" t="b">
        <f>IFERROR(__xludf.DUMMYFUNCTION("""COMPUTED_VALUE"""),TRUE)</f>
        <v>1</v>
      </c>
    </row>
    <row r="3938">
      <c r="A3938" s="210" t="str">
        <f>IFERROR(__xludf.DUMMYFUNCTION("""COMPUTED_VALUE"""),"0326112716")</f>
        <v>0326112716</v>
      </c>
      <c r="B3938" s="210" t="str">
        <f>IFERROR(__xludf.DUMMYFUNCTION("""COMPUTED_VALUE"""),"0326112716")</f>
        <v>0326112716</v>
      </c>
      <c r="C3938" s="213">
        <f>IFERROR(__xludf.DUMMYFUNCTION("""COMPUTED_VALUE"""),46083.62048611111)</f>
        <v>46083.62049</v>
      </c>
      <c r="D3938" s="211" t="str">
        <f>IFERROR(__xludf.DUMMYFUNCTION("""COMPUTED_VALUE"""),"9828dfc5")</f>
        <v>9828dfc5</v>
      </c>
      <c r="E3938" s="211" t="str">
        <f>IFERROR(__xludf.DUMMYFUNCTION("""COMPUTED_VALUE"""),"Bpk. David")</f>
        <v>Bpk. David</v>
      </c>
      <c r="F3938" s="211" t="str">
        <f>IFERROR(__xludf.DUMMYFUNCTION("""COMPUTED_VALUE"""),"8bdbe149")</f>
        <v>8bdbe149</v>
      </c>
      <c r="G3938" s="211" t="str">
        <f>IFERROR(__xludf.DUMMYFUNCTION("""COMPUTED_VALUE"""),"Oksigen 6m3")</f>
        <v>Oksigen 6m3</v>
      </c>
      <c r="H3938" s="211" t="str">
        <f>IFERROR(__xludf.DUMMYFUNCTION("""COMPUTED_VALUE"""),"OUT")</f>
        <v>OUT</v>
      </c>
      <c r="I3938" s="211" t="str">
        <f>IFERROR(__xludf.DUMMYFUNCTION("""COMPUTED_VALUE"""),"NORMAL")</f>
        <v>NORMAL</v>
      </c>
      <c r="J3938" s="211">
        <f>IFERROR(__xludf.DUMMYFUNCTION("""COMPUTED_VALUE"""),8.0)</f>
        <v>8</v>
      </c>
      <c r="K3938" s="210" t="str">
        <f>IFERROR(__xludf.DUMMYFUNCTION("""COMPUTED_VALUE"""),"11373 1127 1126 1132 1102 11295 11264 11327")</f>
        <v>11373 1127 1126 1132 1102 11295 11264 11327</v>
      </c>
      <c r="L3938" s="211">
        <f>IFERROR(__xludf.DUMMYFUNCTION("""COMPUTED_VALUE"""),60000.0)</f>
        <v>60000</v>
      </c>
      <c r="M3938" s="211"/>
      <c r="N3938" s="211"/>
      <c r="O3938" s="211" t="b">
        <f>IFERROR(__xludf.DUMMYFUNCTION("""COMPUTED_VALUE"""),FALSE)</f>
        <v>0</v>
      </c>
    </row>
    <row r="3939">
      <c r="A3939" s="210" t="str">
        <f>IFERROR(__xludf.DUMMYFUNCTION("""COMPUTED_VALUE"""),"0326112716")</f>
        <v>0326112716</v>
      </c>
      <c r="B3939" s="210" t="str">
        <f>IFERROR(__xludf.DUMMYFUNCTION("""COMPUTED_VALUE"""),"0326112716")</f>
        <v>0326112716</v>
      </c>
      <c r="C3939" s="213">
        <f>IFERROR(__xludf.DUMMYFUNCTION("""COMPUTED_VALUE"""),46083.62048611111)</f>
        <v>46083.62049</v>
      </c>
      <c r="D3939" s="211" t="str">
        <f>IFERROR(__xludf.DUMMYFUNCTION("""COMPUTED_VALUE"""),"9828dfc5")</f>
        <v>9828dfc5</v>
      </c>
      <c r="E3939" s="211" t="str">
        <f>IFERROR(__xludf.DUMMYFUNCTION("""COMPUTED_VALUE"""),"Bpk. David")</f>
        <v>Bpk. David</v>
      </c>
      <c r="F3939" s="211" t="str">
        <f>IFERROR(__xludf.DUMMYFUNCTION("""COMPUTED_VALUE"""),"7d2764f1")</f>
        <v>7d2764f1</v>
      </c>
      <c r="G3939" s="211" t="str">
        <f>IFERROR(__xludf.DUMMYFUNCTION("""COMPUTED_VALUE"""),"Oksigen 7m3")</f>
        <v>Oksigen 7m3</v>
      </c>
      <c r="H3939" s="211" t="str">
        <f>IFERROR(__xludf.DUMMYFUNCTION("""COMPUTED_VALUE"""),"OUT")</f>
        <v>OUT</v>
      </c>
      <c r="I3939" s="211" t="str">
        <f>IFERROR(__xludf.DUMMYFUNCTION("""COMPUTED_VALUE"""),"NORMAL")</f>
        <v>NORMAL</v>
      </c>
      <c r="J3939" s="211">
        <f>IFERROR(__xludf.DUMMYFUNCTION("""COMPUTED_VALUE"""),2.0)</f>
        <v>2</v>
      </c>
      <c r="K3939" s="210" t="str">
        <f>IFERROR(__xludf.DUMMYFUNCTION("""COMPUTED_VALUE"""),"11158 11330")</f>
        <v>11158 11330</v>
      </c>
      <c r="L3939" s="211">
        <f>IFERROR(__xludf.DUMMYFUNCTION("""COMPUTED_VALUE"""),60000.0)</f>
        <v>60000</v>
      </c>
      <c r="M3939" s="211"/>
      <c r="N3939" s="211"/>
      <c r="O3939" s="211" t="b">
        <f>IFERROR(__xludf.DUMMYFUNCTION("""COMPUTED_VALUE"""),FALSE)</f>
        <v>0</v>
      </c>
    </row>
    <row r="3940">
      <c r="A3940" s="210" t="str">
        <f>IFERROR(__xludf.DUMMYFUNCTION("""COMPUTED_VALUE"""),"1261330")</f>
        <v>1261330</v>
      </c>
      <c r="B3940" s="210" t="str">
        <f>IFERROR(__xludf.DUMMYFUNCTION("""COMPUTED_VALUE"""),"1261330")</f>
        <v>1261330</v>
      </c>
      <c r="C3940" s="213">
        <f>IFERROR(__xludf.DUMMYFUNCTION("""COMPUTED_VALUE"""),46083.700590277775)</f>
        <v>46083.70059</v>
      </c>
      <c r="D3940" s="211" t="str">
        <f>IFERROR(__xludf.DUMMYFUNCTION("""COMPUTED_VALUE"""),"9828dfc5")</f>
        <v>9828dfc5</v>
      </c>
      <c r="E3940" s="211" t="str">
        <f>IFERROR(__xludf.DUMMYFUNCTION("""COMPUTED_VALUE"""),"Bpk. David")</f>
        <v>Bpk. David</v>
      </c>
      <c r="F3940" s="211" t="str">
        <f>IFERROR(__xludf.DUMMYFUNCTION("""COMPUTED_VALUE"""),"8bdbe149")</f>
        <v>8bdbe149</v>
      </c>
      <c r="G3940" s="211" t="str">
        <f>IFERROR(__xludf.DUMMYFUNCTION("""COMPUTED_VALUE"""),"Oksigen 6m3")</f>
        <v>Oksigen 6m3</v>
      </c>
      <c r="H3940" s="211" t="str">
        <f>IFERROR(__xludf.DUMMYFUNCTION("""COMPUTED_VALUE"""),"IN")</f>
        <v>IN</v>
      </c>
      <c r="I3940" s="211" t="str">
        <f>IFERROR(__xludf.DUMMYFUNCTION("""COMPUTED_VALUE"""),"EMPTY")</f>
        <v>EMPTY</v>
      </c>
      <c r="J3940" s="211">
        <f>IFERROR(__xludf.DUMMYFUNCTION("""COMPUTED_VALUE"""),6.0)</f>
        <v>6</v>
      </c>
      <c r="K3940" s="210" t="str">
        <f>IFERROR(__xludf.DUMMYFUNCTION("""COMPUTED_VALUE"""),"11134 1133 11123 11178 1131 11285")</f>
        <v>11134 1133 11123 11178 1131 11285</v>
      </c>
      <c r="L3940" s="211">
        <f>IFERROR(__xludf.DUMMYFUNCTION("""COMPUTED_VALUE"""),0.0)</f>
        <v>0</v>
      </c>
      <c r="M3940" s="211"/>
      <c r="N3940" s="211"/>
      <c r="O3940" s="211" t="b">
        <f>IFERROR(__xludf.DUMMYFUNCTION("""COMPUTED_VALUE"""),FALSE)</f>
        <v>0</v>
      </c>
    </row>
    <row r="3941">
      <c r="A3941" s="210" t="str">
        <f>IFERROR(__xludf.DUMMYFUNCTION("""COMPUTED_VALUE"""),"1261330")</f>
        <v>1261330</v>
      </c>
      <c r="B3941" s="210" t="str">
        <f>IFERROR(__xludf.DUMMYFUNCTION("""COMPUTED_VALUE"""),"1261330")</f>
        <v>1261330</v>
      </c>
      <c r="C3941" s="213">
        <f>IFERROR(__xludf.DUMMYFUNCTION("""COMPUTED_VALUE"""),46083.700590277775)</f>
        <v>46083.70059</v>
      </c>
      <c r="D3941" s="211" t="str">
        <f>IFERROR(__xludf.DUMMYFUNCTION("""COMPUTED_VALUE"""),"9828dfc5")</f>
        <v>9828dfc5</v>
      </c>
      <c r="E3941" s="211" t="str">
        <f>IFERROR(__xludf.DUMMYFUNCTION("""COMPUTED_VALUE"""),"Bpk. David")</f>
        <v>Bpk. David</v>
      </c>
      <c r="F3941" s="211" t="str">
        <f>IFERROR(__xludf.DUMMYFUNCTION("""COMPUTED_VALUE"""),"7d2764f1")</f>
        <v>7d2764f1</v>
      </c>
      <c r="G3941" s="211" t="str">
        <f>IFERROR(__xludf.DUMMYFUNCTION("""COMPUTED_VALUE"""),"Oksigen 7m3")</f>
        <v>Oksigen 7m3</v>
      </c>
      <c r="H3941" s="211" t="str">
        <f>IFERROR(__xludf.DUMMYFUNCTION("""COMPUTED_VALUE"""),"IN")</f>
        <v>IN</v>
      </c>
      <c r="I3941" s="211" t="str">
        <f>IFERROR(__xludf.DUMMYFUNCTION("""COMPUTED_VALUE"""),"EMPTY")</f>
        <v>EMPTY</v>
      </c>
      <c r="J3941" s="211">
        <f>IFERROR(__xludf.DUMMYFUNCTION("""COMPUTED_VALUE"""),3.0)</f>
        <v>3</v>
      </c>
      <c r="K3941" s="210" t="str">
        <f>IFERROR(__xludf.DUMMYFUNCTION("""COMPUTED_VALUE"""),"11301 11334 11141")</f>
        <v>11301 11334 11141</v>
      </c>
      <c r="L3941" s="211">
        <f>IFERROR(__xludf.DUMMYFUNCTION("""COMPUTED_VALUE"""),0.0)</f>
        <v>0</v>
      </c>
      <c r="M3941" s="211"/>
      <c r="N3941" s="211"/>
      <c r="O3941" s="211" t="b">
        <f>IFERROR(__xludf.DUMMYFUNCTION("""COMPUTED_VALUE"""),FALSE)</f>
        <v>0</v>
      </c>
    </row>
    <row r="3942">
      <c r="A3942" s="210" t="str">
        <f>IFERROR(__xludf.DUMMYFUNCTION("""COMPUTED_VALUE"""),"1261330")</f>
        <v>1261330</v>
      </c>
      <c r="B3942" s="210" t="str">
        <f>IFERROR(__xludf.DUMMYFUNCTION("""COMPUTED_VALUE"""),"1261330")</f>
        <v>1261330</v>
      </c>
      <c r="C3942" s="213">
        <f>IFERROR(__xludf.DUMMYFUNCTION("""COMPUTED_VALUE"""),46083.700590277775)</f>
        <v>46083.70059</v>
      </c>
      <c r="D3942" s="211" t="str">
        <f>IFERROR(__xludf.DUMMYFUNCTION("""COMPUTED_VALUE"""),"9828dfc5")</f>
        <v>9828dfc5</v>
      </c>
      <c r="E3942" s="211" t="str">
        <f>IFERROR(__xludf.DUMMYFUNCTION("""COMPUTED_VALUE"""),"Bpk. David")</f>
        <v>Bpk. David</v>
      </c>
      <c r="F3942" s="211" t="str">
        <f>IFERROR(__xludf.DUMMYFUNCTION("""COMPUTED_VALUE"""),"8bdbe149")</f>
        <v>8bdbe149</v>
      </c>
      <c r="G3942" s="211" t="str">
        <f>IFERROR(__xludf.DUMMYFUNCTION("""COMPUTED_VALUE"""),"Oksigen 6m3")</f>
        <v>Oksigen 6m3</v>
      </c>
      <c r="H3942" s="211" t="str">
        <f>IFERROR(__xludf.DUMMYFUNCTION("""COMPUTED_VALUE"""),"IN")</f>
        <v>IN</v>
      </c>
      <c r="I3942" s="211" t="str">
        <f>IFERROR(__xludf.DUMMYFUNCTION("""COMPUTED_VALUE"""),"EMPTY")</f>
        <v>EMPTY</v>
      </c>
      <c r="J3942" s="211">
        <f>IFERROR(__xludf.DUMMYFUNCTION("""COMPUTED_VALUE"""),1.0)</f>
        <v>1</v>
      </c>
      <c r="K3942" s="210" t="str">
        <f>IFERROR(__xludf.DUMMYFUNCTION("""COMPUTED_VALUE"""),"11287")</f>
        <v>11287</v>
      </c>
      <c r="L3942" s="211">
        <f>IFERROR(__xludf.DUMMYFUNCTION("""COMPUTED_VALUE"""),0.0)</f>
        <v>0</v>
      </c>
      <c r="M3942" s="211"/>
      <c r="N3942" s="211"/>
      <c r="O3942" s="211" t="b">
        <f>IFERROR(__xludf.DUMMYFUNCTION("""COMPUTED_VALUE"""),TRUE)</f>
        <v>1</v>
      </c>
    </row>
    <row r="3943">
      <c r="A3943" s="210" t="str">
        <f>IFERROR(__xludf.DUMMYFUNCTION("""COMPUTED_VALUE"""),"1261338")</f>
        <v>1261338</v>
      </c>
      <c r="B3943" s="210" t="str">
        <f>IFERROR(__xludf.DUMMYFUNCTION("""COMPUTED_VALUE"""),"1261338")</f>
        <v>1261338</v>
      </c>
      <c r="C3943" s="213">
        <f>IFERROR(__xludf.DUMMYFUNCTION("""COMPUTED_VALUE"""),46083.70888888889)</f>
        <v>46083.70889</v>
      </c>
      <c r="D3943" s="211" t="str">
        <f>IFERROR(__xludf.DUMMYFUNCTION("""COMPUTED_VALUE"""),"de41c3e8")</f>
        <v>de41c3e8</v>
      </c>
      <c r="E3943" s="211" t="str">
        <f>IFERROR(__xludf.DUMMYFUNCTION("""COMPUTED_VALUE"""),"Bpk. Eko Mianto")</f>
        <v>Bpk. Eko Mianto</v>
      </c>
      <c r="F3943" s="211" t="str">
        <f>IFERROR(__xludf.DUMMYFUNCTION("""COMPUTED_VALUE"""),"66af7c72")</f>
        <v>66af7c72</v>
      </c>
      <c r="G3943" s="211" t="str">
        <f>IFERROR(__xludf.DUMMYFUNCTION("""COMPUTED_VALUE"""),"Argon 6m3")</f>
        <v>Argon 6m3</v>
      </c>
      <c r="H3943" s="211" t="str">
        <f>IFERROR(__xludf.DUMMYFUNCTION("""COMPUTED_VALUE"""),"IN")</f>
        <v>IN</v>
      </c>
      <c r="I3943" s="211" t="str">
        <f>IFERROR(__xludf.DUMMYFUNCTION("""COMPUTED_VALUE"""),"EMPTY")</f>
        <v>EMPTY</v>
      </c>
      <c r="J3943" s="211">
        <f>IFERROR(__xludf.DUMMYFUNCTION("""COMPUTED_VALUE"""),2.0)</f>
        <v>2</v>
      </c>
      <c r="K3943" s="210" t="str">
        <f>IFERROR(__xludf.DUMMYFUNCTION("""COMPUTED_VALUE"""),"12012 12013")</f>
        <v>12012 12013</v>
      </c>
      <c r="L3943" s="211">
        <f>IFERROR(__xludf.DUMMYFUNCTION("""COMPUTED_VALUE"""),0.0)</f>
        <v>0</v>
      </c>
      <c r="M3943" s="211"/>
      <c r="N3943" s="211"/>
      <c r="O3943" s="211" t="b">
        <f>IFERROR(__xludf.DUMMYFUNCTION("""COMPUTED_VALUE"""),FALSE)</f>
        <v>0</v>
      </c>
    </row>
    <row r="3944">
      <c r="A3944" s="210" t="str">
        <f>IFERROR(__xludf.DUMMYFUNCTION("""COMPUTED_VALUE"""),"0326242720")</f>
        <v>0326242720</v>
      </c>
      <c r="B3944" s="210" t="str">
        <f>IFERROR(__xludf.DUMMYFUNCTION("""COMPUTED_VALUE"""),"0326242720")</f>
        <v>0326242720</v>
      </c>
      <c r="C3944" s="213">
        <f>IFERROR(__xludf.DUMMYFUNCTION("""COMPUTED_VALUE"""),46084.35869212963)</f>
        <v>46084.35869</v>
      </c>
      <c r="D3944" s="211" t="str">
        <f>IFERROR(__xludf.DUMMYFUNCTION("""COMPUTED_VALUE"""),"63fc688a")</f>
        <v>63fc688a</v>
      </c>
      <c r="E3944" s="211" t="str">
        <f>IFERROR(__xludf.DUMMYFUNCTION("""COMPUTED_VALUE"""),"CV Malik Nusantara")</f>
        <v>CV Malik Nusantara</v>
      </c>
      <c r="F3944" s="211" t="str">
        <f>IFERROR(__xludf.DUMMYFUNCTION("""COMPUTED_VALUE"""),"8bdbe149")</f>
        <v>8bdbe149</v>
      </c>
      <c r="G3944" s="211" t="str">
        <f>IFERROR(__xludf.DUMMYFUNCTION("""COMPUTED_VALUE"""),"Oksigen 6m3")</f>
        <v>Oksigen 6m3</v>
      </c>
      <c r="H3944" s="211" t="str">
        <f>IFERROR(__xludf.DUMMYFUNCTION("""COMPUTED_VALUE"""),"OUT")</f>
        <v>OUT</v>
      </c>
      <c r="I3944" s="211" t="str">
        <f>IFERROR(__xludf.DUMMYFUNCTION("""COMPUTED_VALUE"""),"NORMAL")</f>
        <v>NORMAL</v>
      </c>
      <c r="J3944" s="211">
        <f>IFERROR(__xludf.DUMMYFUNCTION("""COMPUTED_VALUE"""),10.0)</f>
        <v>10</v>
      </c>
      <c r="K3944" s="210" t="str">
        <f>IFERROR(__xludf.DUMMYFUNCTION("""COMPUTED_VALUE"""),"11131 11242 1117 1197 11358 11282 1110 1134 1196 11348")</f>
        <v>11131 11242 1117 1197 11358 11282 1110 1134 1196 11348</v>
      </c>
      <c r="L3944" s="211">
        <f>IFERROR(__xludf.DUMMYFUNCTION("""COMPUTED_VALUE"""),65000.0)</f>
        <v>65000</v>
      </c>
      <c r="M3944" s="211"/>
      <c r="N3944" s="211"/>
      <c r="O3944" s="211" t="b">
        <f>IFERROR(__xludf.DUMMYFUNCTION("""COMPUTED_VALUE"""),FALSE)</f>
        <v>0</v>
      </c>
    </row>
    <row r="3945">
      <c r="A3945" s="210" t="str">
        <f>IFERROR(__xludf.DUMMYFUNCTION("""COMPUTED_VALUE"""),"0326242720")</f>
        <v>0326242720</v>
      </c>
      <c r="B3945" s="210" t="str">
        <f>IFERROR(__xludf.DUMMYFUNCTION("""COMPUTED_VALUE"""),"0326242720")</f>
        <v>0326242720</v>
      </c>
      <c r="C3945" s="213">
        <f>IFERROR(__xludf.DUMMYFUNCTION("""COMPUTED_VALUE"""),46084.35869212963)</f>
        <v>46084.35869</v>
      </c>
      <c r="D3945" s="211" t="str">
        <f>IFERROR(__xludf.DUMMYFUNCTION("""COMPUTED_VALUE"""),"63fc688a")</f>
        <v>63fc688a</v>
      </c>
      <c r="E3945" s="211" t="str">
        <f>IFERROR(__xludf.DUMMYFUNCTION("""COMPUTED_VALUE"""),"CV Malik Nusantara")</f>
        <v>CV Malik Nusantara</v>
      </c>
      <c r="F3945" s="211" t="str">
        <f>IFERROR(__xludf.DUMMYFUNCTION("""COMPUTED_VALUE"""),"be525f3b")</f>
        <v>be525f3b</v>
      </c>
      <c r="G3945" s="211" t="str">
        <f>IFERROR(__xludf.DUMMYFUNCTION("""COMPUTED_VALUE"""),"LPG 12kg")</f>
        <v>LPG 12kg</v>
      </c>
      <c r="H3945" s="211" t="str">
        <f>IFERROR(__xludf.DUMMYFUNCTION("""COMPUTED_VALUE"""),"OUT")</f>
        <v>OUT</v>
      </c>
      <c r="I3945" s="211" t="str">
        <f>IFERROR(__xludf.DUMMYFUNCTION("""COMPUTED_VALUE"""),"NORMAL")</f>
        <v>NORMAL</v>
      </c>
      <c r="J3945" s="211">
        <f>IFERROR(__xludf.DUMMYFUNCTION("""COMPUTED_VALUE"""),3.0)</f>
        <v>3</v>
      </c>
      <c r="K3945" s="211"/>
      <c r="L3945" s="211">
        <f>IFERROR(__xludf.DUMMYFUNCTION("""COMPUTED_VALUE"""),200000.0)</f>
        <v>200000</v>
      </c>
      <c r="M3945" s="211"/>
      <c r="N3945" s="211"/>
      <c r="O3945" s="211" t="b">
        <f>IFERROR(__xludf.DUMMYFUNCTION("""COMPUTED_VALUE"""),FALSE)</f>
        <v>0</v>
      </c>
    </row>
    <row r="3946">
      <c r="A3946" s="210" t="str">
        <f>IFERROR(__xludf.DUMMYFUNCTION("""COMPUTED_VALUE"""),"032652723")</f>
        <v>032652723</v>
      </c>
      <c r="B3946" s="210" t="str">
        <f>IFERROR(__xludf.DUMMYFUNCTION("""COMPUTED_VALUE"""),"032652723")</f>
        <v>032652723</v>
      </c>
      <c r="C3946" s="213">
        <f>IFERROR(__xludf.DUMMYFUNCTION("""COMPUTED_VALUE"""),46084.37415509259)</f>
        <v>46084.37416</v>
      </c>
      <c r="D3946" s="211" t="str">
        <f>IFERROR(__xludf.DUMMYFUNCTION("""COMPUTED_VALUE"""),"d9b2fac5")</f>
        <v>d9b2fac5</v>
      </c>
      <c r="E3946" s="211" t="str">
        <f>IFERROR(__xludf.DUMMYFUNCTION("""COMPUTED_VALUE"""),"Dwi Riza ( Ponokawan)")</f>
        <v>Dwi Riza ( Ponokawan)</v>
      </c>
      <c r="F3946" s="211" t="str">
        <f>IFERROR(__xludf.DUMMYFUNCTION("""COMPUTED_VALUE"""),"8bdbe149")</f>
        <v>8bdbe149</v>
      </c>
      <c r="G3946" s="211" t="str">
        <f>IFERROR(__xludf.DUMMYFUNCTION("""COMPUTED_VALUE"""),"Oksigen 6m3")</f>
        <v>Oksigen 6m3</v>
      </c>
      <c r="H3946" s="211" t="str">
        <f>IFERROR(__xludf.DUMMYFUNCTION("""COMPUTED_VALUE"""),"OUT")</f>
        <v>OUT</v>
      </c>
      <c r="I3946" s="211" t="str">
        <f>IFERROR(__xludf.DUMMYFUNCTION("""COMPUTED_VALUE"""),"NORMAL")</f>
        <v>NORMAL</v>
      </c>
      <c r="J3946" s="211">
        <f>IFERROR(__xludf.DUMMYFUNCTION("""COMPUTED_VALUE"""),5.0)</f>
        <v>5</v>
      </c>
      <c r="K3946" s="210" t="str">
        <f>IFERROR(__xludf.DUMMYFUNCTION("""COMPUTED_VALUE"""),"11317 11326 11360 11369 1138")</f>
        <v>11317 11326 11360 11369 1138</v>
      </c>
      <c r="L3946" s="211">
        <f>IFERROR(__xludf.DUMMYFUNCTION("""COMPUTED_VALUE"""),50000.0)</f>
        <v>50000</v>
      </c>
      <c r="M3946" s="211"/>
      <c r="N3946" s="211"/>
      <c r="O3946" s="211" t="b">
        <f>IFERROR(__xludf.DUMMYFUNCTION("""COMPUTED_VALUE"""),FALSE)</f>
        <v>0</v>
      </c>
    </row>
    <row r="3947">
      <c r="A3947" s="210" t="str">
        <f>IFERROR(__xludf.DUMMYFUNCTION("""COMPUTED_VALUE"""),"032692724")</f>
        <v>032692724</v>
      </c>
      <c r="B3947" s="210" t="str">
        <f>IFERROR(__xludf.DUMMYFUNCTION("""COMPUTED_VALUE"""),"032692724")</f>
        <v>032692724</v>
      </c>
      <c r="C3947" s="213">
        <f>IFERROR(__xludf.DUMMYFUNCTION("""COMPUTED_VALUE"""),46084.374756944446)</f>
        <v>46084.37476</v>
      </c>
      <c r="D3947" s="211" t="str">
        <f>IFERROR(__xludf.DUMMYFUNCTION("""COMPUTED_VALUE"""),"1c4d5e93")</f>
        <v>1c4d5e93</v>
      </c>
      <c r="E3947" s="211" t="str">
        <f>IFERROR(__xludf.DUMMYFUNCTION("""COMPUTED_VALUE"""),"Karoseri Cipta Mitra Sukses")</f>
        <v>Karoseri Cipta Mitra Sukses</v>
      </c>
      <c r="F3947" s="211" t="str">
        <f>IFERROR(__xludf.DUMMYFUNCTION("""COMPUTED_VALUE"""),"8bdbe149")</f>
        <v>8bdbe149</v>
      </c>
      <c r="G3947" s="211" t="str">
        <f>IFERROR(__xludf.DUMMYFUNCTION("""COMPUTED_VALUE"""),"Oksigen 6m3")</f>
        <v>Oksigen 6m3</v>
      </c>
      <c r="H3947" s="211" t="str">
        <f>IFERROR(__xludf.DUMMYFUNCTION("""COMPUTED_VALUE"""),"OUT")</f>
        <v>OUT</v>
      </c>
      <c r="I3947" s="211" t="str">
        <f>IFERROR(__xludf.DUMMYFUNCTION("""COMPUTED_VALUE"""),"NORMAL")</f>
        <v>NORMAL</v>
      </c>
      <c r="J3947" s="211">
        <f>IFERROR(__xludf.DUMMYFUNCTION("""COMPUTED_VALUE"""),4.0)</f>
        <v>4</v>
      </c>
      <c r="K3947" s="210" t="str">
        <f>IFERROR(__xludf.DUMMYFUNCTION("""COMPUTED_VALUE"""),"1188 11357 11245 11253")</f>
        <v>1188 11357 11245 11253</v>
      </c>
      <c r="L3947" s="211">
        <f>IFERROR(__xludf.DUMMYFUNCTION("""COMPUTED_VALUE"""),60000.0)</f>
        <v>60000</v>
      </c>
      <c r="M3947" s="211"/>
      <c r="N3947" s="211"/>
      <c r="O3947" s="211" t="b">
        <f>IFERROR(__xludf.DUMMYFUNCTION("""COMPUTED_VALUE"""),FALSE)</f>
        <v>0</v>
      </c>
    </row>
    <row r="3948">
      <c r="A3948" s="210" t="str">
        <f>IFERROR(__xludf.DUMMYFUNCTION("""COMPUTED_VALUE"""),"0326902725")</f>
        <v>0326902725</v>
      </c>
      <c r="B3948" s="210" t="str">
        <f>IFERROR(__xludf.DUMMYFUNCTION("""COMPUTED_VALUE"""),"0326902725")</f>
        <v>0326902725</v>
      </c>
      <c r="C3948" s="213">
        <f>IFERROR(__xludf.DUMMYFUNCTION("""COMPUTED_VALUE"""),46084.38140046296)</f>
        <v>46084.3814</v>
      </c>
      <c r="D3948" s="211" t="str">
        <f>IFERROR(__xludf.DUMMYFUNCTION("""COMPUTED_VALUE"""),"b2b5f2c5")</f>
        <v>b2b5f2c5</v>
      </c>
      <c r="E3948" s="211" t="str">
        <f>IFERROR(__xludf.DUMMYFUNCTION("""COMPUTED_VALUE"""),"Bengkel Las Bpk. Ari")</f>
        <v>Bengkel Las Bpk. Ari</v>
      </c>
      <c r="F3948" s="211" t="str">
        <f>IFERROR(__xludf.DUMMYFUNCTION("""COMPUTED_VALUE"""),"8bdbe149")</f>
        <v>8bdbe149</v>
      </c>
      <c r="G3948" s="211" t="str">
        <f>IFERROR(__xludf.DUMMYFUNCTION("""COMPUTED_VALUE"""),"Oksigen 6m3")</f>
        <v>Oksigen 6m3</v>
      </c>
      <c r="H3948" s="211" t="str">
        <f>IFERROR(__xludf.DUMMYFUNCTION("""COMPUTED_VALUE"""),"OUT")</f>
        <v>OUT</v>
      </c>
      <c r="I3948" s="211" t="str">
        <f>IFERROR(__xludf.DUMMYFUNCTION("""COMPUTED_VALUE"""),"NORMAL")</f>
        <v>NORMAL</v>
      </c>
      <c r="J3948" s="211">
        <f>IFERROR(__xludf.DUMMYFUNCTION("""COMPUTED_VALUE"""),5.0)</f>
        <v>5</v>
      </c>
      <c r="K3948" s="210" t="str">
        <f>IFERROR(__xludf.DUMMYFUNCTION("""COMPUTED_VALUE"""),"11209 11105 1129 1135 1182")</f>
        <v>11209 11105 1129 1135 1182</v>
      </c>
      <c r="L3948" s="211">
        <f>IFERROR(__xludf.DUMMYFUNCTION("""COMPUTED_VALUE"""),60000.0)</f>
        <v>60000</v>
      </c>
      <c r="M3948" s="211"/>
      <c r="N3948" s="211"/>
      <c r="O3948" s="211" t="b">
        <f>IFERROR(__xludf.DUMMYFUNCTION("""COMPUTED_VALUE"""),FALSE)</f>
        <v>0</v>
      </c>
    </row>
    <row r="3949">
      <c r="A3949" s="210" t="str">
        <f>IFERROR(__xludf.DUMMYFUNCTION("""COMPUTED_VALUE"""),"0326902725")</f>
        <v>0326902725</v>
      </c>
      <c r="B3949" s="210" t="str">
        <f>IFERROR(__xludf.DUMMYFUNCTION("""COMPUTED_VALUE"""),"0326902725")</f>
        <v>0326902725</v>
      </c>
      <c r="C3949" s="213">
        <f>IFERROR(__xludf.DUMMYFUNCTION("""COMPUTED_VALUE"""),46084.38140046296)</f>
        <v>46084.3814</v>
      </c>
      <c r="D3949" s="211" t="str">
        <f>IFERROR(__xludf.DUMMYFUNCTION("""COMPUTED_VALUE"""),"b2b5f2c5")</f>
        <v>b2b5f2c5</v>
      </c>
      <c r="E3949" s="211" t="str">
        <f>IFERROR(__xludf.DUMMYFUNCTION("""COMPUTED_VALUE"""),"Bengkel Las Bpk. Ari")</f>
        <v>Bengkel Las Bpk. Ari</v>
      </c>
      <c r="F3949" s="211" t="str">
        <f>IFERROR(__xludf.DUMMYFUNCTION("""COMPUTED_VALUE"""),"ef306e54")</f>
        <v>ef306e54</v>
      </c>
      <c r="G3949" s="211" t="str">
        <f>IFERROR(__xludf.DUMMYFUNCTION("""COMPUTED_VALUE"""),"Karbondioksida")</f>
        <v>Karbondioksida</v>
      </c>
      <c r="H3949" s="211" t="str">
        <f>IFERROR(__xludf.DUMMYFUNCTION("""COMPUTED_VALUE"""),"OUT")</f>
        <v>OUT</v>
      </c>
      <c r="I3949" s="211" t="str">
        <f>IFERROR(__xludf.DUMMYFUNCTION("""COMPUTED_VALUE"""),"NORMAL")</f>
        <v>NORMAL</v>
      </c>
      <c r="J3949" s="211">
        <f>IFERROR(__xludf.DUMMYFUNCTION("""COMPUTED_VALUE"""),3.0)</f>
        <v>3</v>
      </c>
      <c r="K3949" s="210" t="str">
        <f>IFERROR(__xludf.DUMMYFUNCTION("""COMPUTED_VALUE"""),"13064 13073 13046")</f>
        <v>13064 13073 13046</v>
      </c>
      <c r="L3949" s="211">
        <f>IFERROR(__xludf.DUMMYFUNCTION("""COMPUTED_VALUE"""),180000.0)</f>
        <v>180000</v>
      </c>
      <c r="M3949" s="211"/>
      <c r="N3949" s="211"/>
      <c r="O3949" s="211" t="b">
        <f>IFERROR(__xludf.DUMMYFUNCTION("""COMPUTED_VALUE"""),FALSE)</f>
        <v>0</v>
      </c>
    </row>
    <row r="3950">
      <c r="A3950" s="210" t="str">
        <f>IFERROR(__xludf.DUMMYFUNCTION("""COMPUTED_VALUE"""),"0326102726")</f>
        <v>0326102726</v>
      </c>
      <c r="B3950" s="210" t="str">
        <f>IFERROR(__xludf.DUMMYFUNCTION("""COMPUTED_VALUE"""),"0326102726")</f>
        <v>0326102726</v>
      </c>
      <c r="C3950" s="213">
        <f>IFERROR(__xludf.DUMMYFUNCTION("""COMPUTED_VALUE"""),46084.477326388886)</f>
        <v>46084.47733</v>
      </c>
      <c r="D3950" s="211" t="str">
        <f>IFERROR(__xludf.DUMMYFUNCTION("""COMPUTED_VALUE"""),"1c4d5e93")</f>
        <v>1c4d5e93</v>
      </c>
      <c r="E3950" s="211" t="str">
        <f>IFERROR(__xludf.DUMMYFUNCTION("""COMPUTED_VALUE"""),"Karoseri Cipta Mitra Sukses")</f>
        <v>Karoseri Cipta Mitra Sukses</v>
      </c>
      <c r="F3950" s="211" t="str">
        <f>IFERROR(__xludf.DUMMYFUNCTION("""COMPUTED_VALUE"""),"ef306e54")</f>
        <v>ef306e54</v>
      </c>
      <c r="G3950" s="211" t="str">
        <f>IFERROR(__xludf.DUMMYFUNCTION("""COMPUTED_VALUE"""),"Karbondioksida")</f>
        <v>Karbondioksida</v>
      </c>
      <c r="H3950" s="211" t="str">
        <f>IFERROR(__xludf.DUMMYFUNCTION("""COMPUTED_VALUE"""),"OUT")</f>
        <v>OUT</v>
      </c>
      <c r="I3950" s="211" t="str">
        <f>IFERROR(__xludf.DUMMYFUNCTION("""COMPUTED_VALUE"""),"NORMAL")</f>
        <v>NORMAL</v>
      </c>
      <c r="J3950" s="211">
        <f>IFERROR(__xludf.DUMMYFUNCTION("""COMPUTED_VALUE"""),1.0)</f>
        <v>1</v>
      </c>
      <c r="K3950" s="210" t="str">
        <f>IFERROR(__xludf.DUMMYFUNCTION("""COMPUTED_VALUE"""),"13021")</f>
        <v>13021</v>
      </c>
      <c r="L3950" s="211">
        <f>IFERROR(__xludf.DUMMYFUNCTION("""COMPUTED_VALUE"""),190000.0)</f>
        <v>190000</v>
      </c>
      <c r="M3950" s="211"/>
      <c r="N3950" s="211"/>
      <c r="O3950" s="211" t="b">
        <f>IFERROR(__xludf.DUMMYFUNCTION("""COMPUTED_VALUE"""),FALSE)</f>
        <v>0</v>
      </c>
    </row>
    <row r="3951">
      <c r="A3951" s="210" t="str">
        <f>IFERROR(__xludf.DUMMYFUNCTION("""COMPUTED_VALUE"""),"032682727")</f>
        <v>032682727</v>
      </c>
      <c r="B3951" s="210" t="str">
        <f>IFERROR(__xludf.DUMMYFUNCTION("""COMPUTED_VALUE"""),"032682727")</f>
        <v>032682727</v>
      </c>
      <c r="C3951" s="213">
        <f>IFERROR(__xludf.DUMMYFUNCTION("""COMPUTED_VALUE"""),46084.58086805556)</f>
        <v>46084.58087</v>
      </c>
      <c r="D3951" s="211" t="str">
        <f>IFERROR(__xludf.DUMMYFUNCTION("""COMPUTED_VALUE"""),"9e5d8274")</f>
        <v>9e5d8274</v>
      </c>
      <c r="E3951" s="211" t="str">
        <f>IFERROR(__xludf.DUMMYFUNCTION("""COMPUTED_VALUE"""),"Bpk. Erry ( Lik Trosobo )")</f>
        <v>Bpk. Erry ( Lik Trosobo )</v>
      </c>
      <c r="F3951" s="211" t="str">
        <f>IFERROR(__xludf.DUMMYFUNCTION("""COMPUTED_VALUE"""),"8bdbe149")</f>
        <v>8bdbe149</v>
      </c>
      <c r="G3951" s="211" t="str">
        <f>IFERROR(__xludf.DUMMYFUNCTION("""COMPUTED_VALUE"""),"Oksigen 6m3")</f>
        <v>Oksigen 6m3</v>
      </c>
      <c r="H3951" s="211" t="str">
        <f>IFERROR(__xludf.DUMMYFUNCTION("""COMPUTED_VALUE"""),"OUT")</f>
        <v>OUT</v>
      </c>
      <c r="I3951" s="211" t="str">
        <f>IFERROR(__xludf.DUMMYFUNCTION("""COMPUTED_VALUE"""),"NORMAL")</f>
        <v>NORMAL</v>
      </c>
      <c r="J3951" s="211">
        <f>IFERROR(__xludf.DUMMYFUNCTION("""COMPUTED_VALUE"""),3.0)</f>
        <v>3</v>
      </c>
      <c r="K3951" s="210" t="str">
        <f>IFERROR(__xludf.DUMMYFUNCTION("""COMPUTED_VALUE"""),"1183 11286 11359")</f>
        <v>1183 11286 11359</v>
      </c>
      <c r="L3951" s="211">
        <f>IFERROR(__xludf.DUMMYFUNCTION("""COMPUTED_VALUE"""),65000.0)</f>
        <v>65000</v>
      </c>
      <c r="M3951" s="211"/>
      <c r="N3951" s="211"/>
      <c r="O3951" s="211" t="b">
        <f>IFERROR(__xludf.DUMMYFUNCTION("""COMPUTED_VALUE"""),FALSE)</f>
        <v>0</v>
      </c>
    </row>
    <row r="3952">
      <c r="A3952" s="210" t="str">
        <f>IFERROR(__xludf.DUMMYFUNCTION("""COMPUTED_VALUE"""),"032672728")</f>
        <v>032672728</v>
      </c>
      <c r="B3952" s="210" t="str">
        <f>IFERROR(__xludf.DUMMYFUNCTION("""COMPUTED_VALUE"""),"032672728")</f>
        <v>032672728</v>
      </c>
      <c r="C3952" s="213">
        <f>IFERROR(__xludf.DUMMYFUNCTION("""COMPUTED_VALUE"""),46084.58215277778)</f>
        <v>46084.58215</v>
      </c>
      <c r="D3952" s="211" t="str">
        <f>IFERROR(__xludf.DUMMYFUNCTION("""COMPUTED_VALUE"""),"9e66ced9")</f>
        <v>9e66ced9</v>
      </c>
      <c r="E3952" s="211" t="str">
        <f>IFERROR(__xludf.DUMMYFUNCTION("""COMPUTED_VALUE"""),"Bapak Angga")</f>
        <v>Bapak Angga</v>
      </c>
      <c r="F3952" s="211" t="str">
        <f>IFERROR(__xludf.DUMMYFUNCTION("""COMPUTED_VALUE"""),"7d2764f1")</f>
        <v>7d2764f1</v>
      </c>
      <c r="G3952" s="211" t="str">
        <f>IFERROR(__xludf.DUMMYFUNCTION("""COMPUTED_VALUE"""),"Oksigen 7m3")</f>
        <v>Oksigen 7m3</v>
      </c>
      <c r="H3952" s="211" t="str">
        <f>IFERROR(__xludf.DUMMYFUNCTION("""COMPUTED_VALUE"""),"OUT")</f>
        <v>OUT</v>
      </c>
      <c r="I3952" s="211" t="str">
        <f>IFERROR(__xludf.DUMMYFUNCTION("""COMPUTED_VALUE"""),"NORMAL")</f>
        <v>NORMAL</v>
      </c>
      <c r="J3952" s="211">
        <f>IFERROR(__xludf.DUMMYFUNCTION("""COMPUTED_VALUE"""),10.0)</f>
        <v>10</v>
      </c>
      <c r="K3952" s="210" t="str">
        <f>IFERROR(__xludf.DUMMYFUNCTION("""COMPUTED_VALUE"""),"11298 11302 11337 11304 11169 11137 11139 11145 11166 11170")</f>
        <v>11298 11302 11337 11304 11169 11137 11139 11145 11166 11170</v>
      </c>
      <c r="L3952" s="211">
        <f>IFERROR(__xludf.DUMMYFUNCTION("""COMPUTED_VALUE"""),50000.0)</f>
        <v>50000</v>
      </c>
      <c r="M3952" s="211"/>
      <c r="N3952" s="211"/>
      <c r="O3952" s="211" t="b">
        <f>IFERROR(__xludf.DUMMYFUNCTION("""COMPUTED_VALUE"""),FALSE)</f>
        <v>0</v>
      </c>
    </row>
    <row r="3953">
      <c r="A3953" s="210" t="str">
        <f>IFERROR(__xludf.DUMMYFUNCTION("""COMPUTED_VALUE"""),"032642730")</f>
        <v>032642730</v>
      </c>
      <c r="B3953" s="210" t="str">
        <f>IFERROR(__xludf.DUMMYFUNCTION("""COMPUTED_VALUE"""),"032642730")</f>
        <v>032642730</v>
      </c>
      <c r="C3953" s="213">
        <f>IFERROR(__xludf.DUMMYFUNCTION("""COMPUTED_VALUE"""),46085.38214120371)</f>
        <v>46085.38214</v>
      </c>
      <c r="D3953" s="211" t="str">
        <f>IFERROR(__xludf.DUMMYFUNCTION("""COMPUTED_VALUE"""),"057b6b99")</f>
        <v>057b6b99</v>
      </c>
      <c r="E3953" s="211" t="str">
        <f>IFERROR(__xludf.DUMMYFUNCTION("""COMPUTED_VALUE"""),"PT Anuta Utama Transport")</f>
        <v>PT Anuta Utama Transport</v>
      </c>
      <c r="F3953" s="211" t="str">
        <f>IFERROR(__xludf.DUMMYFUNCTION("""COMPUTED_VALUE"""),"7d2764f1")</f>
        <v>7d2764f1</v>
      </c>
      <c r="G3953" s="211" t="str">
        <f>IFERROR(__xludf.DUMMYFUNCTION("""COMPUTED_VALUE"""),"Oksigen 7m3")</f>
        <v>Oksigen 7m3</v>
      </c>
      <c r="H3953" s="211" t="str">
        <f>IFERROR(__xludf.DUMMYFUNCTION("""COMPUTED_VALUE"""),"OUT")</f>
        <v>OUT</v>
      </c>
      <c r="I3953" s="211" t="str">
        <f>IFERROR(__xludf.DUMMYFUNCTION("""COMPUTED_VALUE"""),"NORMAL")</f>
        <v>NORMAL</v>
      </c>
      <c r="J3953" s="211">
        <f>IFERROR(__xludf.DUMMYFUNCTION("""COMPUTED_VALUE"""),8.0)</f>
        <v>8</v>
      </c>
      <c r="K3953" s="210" t="str">
        <f>IFERROR(__xludf.DUMMYFUNCTION("""COMPUTED_VALUE"""),"11146 11142 11153 11216 11225 11223 11218 11222")</f>
        <v>11146 11142 11153 11216 11225 11223 11218 11222</v>
      </c>
      <c r="L3953" s="211">
        <f>IFERROR(__xludf.DUMMYFUNCTION("""COMPUTED_VALUE"""),58558.56)</f>
        <v>58558.56</v>
      </c>
      <c r="M3953" s="211"/>
      <c r="N3953" s="211"/>
      <c r="O3953" s="211" t="b">
        <f>IFERROR(__xludf.DUMMYFUNCTION("""COMPUTED_VALUE"""),FALSE)</f>
        <v>0</v>
      </c>
    </row>
    <row r="3954">
      <c r="A3954" s="210" t="str">
        <f>IFERROR(__xludf.DUMMYFUNCTION("""COMPUTED_VALUE"""),"032642730")</f>
        <v>032642730</v>
      </c>
      <c r="B3954" s="210" t="str">
        <f>IFERROR(__xludf.DUMMYFUNCTION("""COMPUTED_VALUE"""),"032642730")</f>
        <v>032642730</v>
      </c>
      <c r="C3954" s="213">
        <f>IFERROR(__xludf.DUMMYFUNCTION("""COMPUTED_VALUE"""),46085.38214120371)</f>
        <v>46085.38214</v>
      </c>
      <c r="D3954" s="211" t="str">
        <f>IFERROR(__xludf.DUMMYFUNCTION("""COMPUTED_VALUE"""),"057b6b99")</f>
        <v>057b6b99</v>
      </c>
      <c r="E3954" s="211" t="str">
        <f>IFERROR(__xludf.DUMMYFUNCTION("""COMPUTED_VALUE"""),"PT Anuta Utama Transport")</f>
        <v>PT Anuta Utama Transport</v>
      </c>
      <c r="F3954" s="211" t="str">
        <f>IFERROR(__xludf.DUMMYFUNCTION("""COMPUTED_VALUE"""),"7d2764f1")</f>
        <v>7d2764f1</v>
      </c>
      <c r="G3954" s="211" t="str">
        <f>IFERROR(__xludf.DUMMYFUNCTION("""COMPUTED_VALUE"""),"Oksigen 7m3")</f>
        <v>Oksigen 7m3</v>
      </c>
      <c r="H3954" s="211" t="str">
        <f>IFERROR(__xludf.DUMMYFUNCTION("""COMPUTED_VALUE"""),"OUT")</f>
        <v>OUT</v>
      </c>
      <c r="I3954" s="211" t="str">
        <f>IFERROR(__xludf.DUMMYFUNCTION("""COMPUTED_VALUE"""),"NORMAL")</f>
        <v>NORMAL</v>
      </c>
      <c r="J3954" s="211">
        <f>IFERROR(__xludf.DUMMYFUNCTION("""COMPUTED_VALUE"""),1.0)</f>
        <v>1</v>
      </c>
      <c r="K3954" s="210" t="str">
        <f>IFERROR(__xludf.DUMMYFUNCTION("""COMPUTED_VALUE"""),"11160")</f>
        <v>11160</v>
      </c>
      <c r="L3954" s="211">
        <f>IFERROR(__xludf.DUMMYFUNCTION("""COMPUTED_VALUE"""),58558.56)</f>
        <v>58558.56</v>
      </c>
      <c r="M3954" s="211"/>
      <c r="N3954" s="211"/>
      <c r="O3954" s="211" t="b">
        <f>IFERROR(__xludf.DUMMYFUNCTION("""COMPUTED_VALUE"""),TRUE)</f>
        <v>1</v>
      </c>
    </row>
    <row r="3955">
      <c r="A3955" s="210" t="str">
        <f>IFERROR(__xludf.DUMMYFUNCTION("""COMPUTED_VALUE"""),"032642730")</f>
        <v>032642730</v>
      </c>
      <c r="B3955" s="210" t="str">
        <f>IFERROR(__xludf.DUMMYFUNCTION("""COMPUTED_VALUE"""),"032642730")</f>
        <v>032642730</v>
      </c>
      <c r="C3955" s="213">
        <f>IFERROR(__xludf.DUMMYFUNCTION("""COMPUTED_VALUE"""),46085.38214120371)</f>
        <v>46085.38214</v>
      </c>
      <c r="D3955" s="211" t="str">
        <f>IFERROR(__xludf.DUMMYFUNCTION("""COMPUTED_VALUE"""),"057b6b99")</f>
        <v>057b6b99</v>
      </c>
      <c r="E3955" s="211" t="str">
        <f>IFERROR(__xludf.DUMMYFUNCTION("""COMPUTED_VALUE"""),"PT Anuta Utama Transport")</f>
        <v>PT Anuta Utama Transport</v>
      </c>
      <c r="F3955" s="211" t="str">
        <f>IFERROR(__xludf.DUMMYFUNCTION("""COMPUTED_VALUE"""),"8bdbe149")</f>
        <v>8bdbe149</v>
      </c>
      <c r="G3955" s="211" t="str">
        <f>IFERROR(__xludf.DUMMYFUNCTION("""COMPUTED_VALUE"""),"Oksigen 6m3")</f>
        <v>Oksigen 6m3</v>
      </c>
      <c r="H3955" s="211" t="str">
        <f>IFERROR(__xludf.DUMMYFUNCTION("""COMPUTED_VALUE"""),"OUT")</f>
        <v>OUT</v>
      </c>
      <c r="I3955" s="211" t="str">
        <f>IFERROR(__xludf.DUMMYFUNCTION("""COMPUTED_VALUE"""),"NORMAL")</f>
        <v>NORMAL</v>
      </c>
      <c r="J3955" s="211">
        <f>IFERROR(__xludf.DUMMYFUNCTION("""COMPUTED_VALUE"""),1.0)</f>
        <v>1</v>
      </c>
      <c r="K3955" s="210" t="str">
        <f>IFERROR(__xludf.DUMMYFUNCTION("""COMPUTED_VALUE"""),"11188")</f>
        <v>11188</v>
      </c>
      <c r="L3955" s="211">
        <f>IFERROR(__xludf.DUMMYFUNCTION("""COMPUTED_VALUE"""),58558.56)</f>
        <v>58558.56</v>
      </c>
      <c r="M3955" s="211"/>
      <c r="N3955" s="211"/>
      <c r="O3955" s="211" t="b">
        <f>IFERROR(__xludf.DUMMYFUNCTION("""COMPUTED_VALUE"""),FALSE)</f>
        <v>0</v>
      </c>
    </row>
    <row r="3956">
      <c r="A3956" s="210" t="str">
        <f>IFERROR(__xludf.DUMMYFUNCTION("""COMPUTED_VALUE"""),"032642729")</f>
        <v>032642729</v>
      </c>
      <c r="B3956" s="210" t="str">
        <f>IFERROR(__xludf.DUMMYFUNCTION("""COMPUTED_VALUE"""),"032642729")</f>
        <v>032642729</v>
      </c>
      <c r="C3956" s="213">
        <f>IFERROR(__xludf.DUMMYFUNCTION("""COMPUTED_VALUE"""),46085.379594907405)</f>
        <v>46085.37959</v>
      </c>
      <c r="D3956" s="211" t="str">
        <f>IFERROR(__xludf.DUMMYFUNCTION("""COMPUTED_VALUE"""),"58b72e0c")</f>
        <v>58b72e0c</v>
      </c>
      <c r="E3956" s="211" t="str">
        <f>IFERROR(__xludf.DUMMYFUNCTION("""COMPUTED_VALUE"""),"UD. Ais Jaya")</f>
        <v>UD. Ais Jaya</v>
      </c>
      <c r="F3956" s="211" t="str">
        <f>IFERROR(__xludf.DUMMYFUNCTION("""COMPUTED_VALUE"""),"8bdbe149")</f>
        <v>8bdbe149</v>
      </c>
      <c r="G3956" s="211" t="str">
        <f>IFERROR(__xludf.DUMMYFUNCTION("""COMPUTED_VALUE"""),"Oksigen 6m3")</f>
        <v>Oksigen 6m3</v>
      </c>
      <c r="H3956" s="211" t="str">
        <f>IFERROR(__xludf.DUMMYFUNCTION("""COMPUTED_VALUE"""),"OUT")</f>
        <v>OUT</v>
      </c>
      <c r="I3956" s="211" t="str">
        <f>IFERROR(__xludf.DUMMYFUNCTION("""COMPUTED_VALUE"""),"NORMAL")</f>
        <v>NORMAL</v>
      </c>
      <c r="J3956" s="211">
        <f>IFERROR(__xludf.DUMMYFUNCTION("""COMPUTED_VALUE"""),2.0)</f>
        <v>2</v>
      </c>
      <c r="K3956" s="210" t="str">
        <f>IFERROR(__xludf.DUMMYFUNCTION("""COMPUTED_VALUE"""),"1141 11120")</f>
        <v>1141 11120</v>
      </c>
      <c r="L3956" s="211">
        <f>IFERROR(__xludf.DUMMYFUNCTION("""COMPUTED_VALUE"""),60000.0)</f>
        <v>60000</v>
      </c>
      <c r="M3956" s="211"/>
      <c r="N3956" s="211"/>
      <c r="O3956" s="211" t="b">
        <f>IFERROR(__xludf.DUMMYFUNCTION("""COMPUTED_VALUE"""),TRUE)</f>
        <v>1</v>
      </c>
    </row>
    <row r="3957">
      <c r="A3957" s="210" t="str">
        <f>IFERROR(__xludf.DUMMYFUNCTION("""COMPUTED_VALUE"""),"032642731")</f>
        <v>032642731</v>
      </c>
      <c r="B3957" s="210" t="str">
        <f>IFERROR(__xludf.DUMMYFUNCTION("""COMPUTED_VALUE"""),"032642731")</f>
        <v>032642731</v>
      </c>
      <c r="C3957" s="213">
        <f>IFERROR(__xludf.DUMMYFUNCTION("""COMPUTED_VALUE"""),46085.389016203706)</f>
        <v>46085.38902</v>
      </c>
      <c r="D3957" s="211" t="str">
        <f>IFERROR(__xludf.DUMMYFUNCTION("""COMPUTED_VALUE"""),"8b765561")</f>
        <v>8b765561</v>
      </c>
      <c r="E3957" s="211" t="str">
        <f>IFERROR(__xludf.DUMMYFUNCTION("""COMPUTED_VALUE"""),"Bpk. Idris")</f>
        <v>Bpk. Idris</v>
      </c>
      <c r="F3957" s="211" t="str">
        <f>IFERROR(__xludf.DUMMYFUNCTION("""COMPUTED_VALUE"""),"8bdbe149")</f>
        <v>8bdbe149</v>
      </c>
      <c r="G3957" s="211" t="str">
        <f>IFERROR(__xludf.DUMMYFUNCTION("""COMPUTED_VALUE"""),"Oksigen 6m3")</f>
        <v>Oksigen 6m3</v>
      </c>
      <c r="H3957" s="211" t="str">
        <f>IFERROR(__xludf.DUMMYFUNCTION("""COMPUTED_VALUE"""),"OUT")</f>
        <v>OUT</v>
      </c>
      <c r="I3957" s="211" t="str">
        <f>IFERROR(__xludf.DUMMYFUNCTION("""COMPUTED_VALUE"""),"NORMAL")</f>
        <v>NORMAL</v>
      </c>
      <c r="J3957" s="211">
        <f>IFERROR(__xludf.DUMMYFUNCTION("""COMPUTED_VALUE"""),2.0)</f>
        <v>2</v>
      </c>
      <c r="K3957" s="210" t="str">
        <f>IFERROR(__xludf.DUMMYFUNCTION("""COMPUTED_VALUE"""),"11107 11296")</f>
        <v>11107 11296</v>
      </c>
      <c r="L3957" s="211">
        <f>IFERROR(__xludf.DUMMYFUNCTION("""COMPUTED_VALUE"""),60000.0)</f>
        <v>60000</v>
      </c>
      <c r="M3957" s="211"/>
      <c r="N3957" s="211"/>
      <c r="O3957" s="211" t="b">
        <f>IFERROR(__xludf.DUMMYFUNCTION("""COMPUTED_VALUE"""),FALSE)</f>
        <v>0</v>
      </c>
    </row>
    <row r="3958">
      <c r="A3958" s="210" t="str">
        <f>IFERROR(__xludf.DUMMYFUNCTION("""COMPUTED_VALUE"""),"0326782732")</f>
        <v>0326782732</v>
      </c>
      <c r="B3958" s="210" t="str">
        <f>IFERROR(__xludf.DUMMYFUNCTION("""COMPUTED_VALUE"""),"0326782732")</f>
        <v>0326782732</v>
      </c>
      <c r="C3958" s="213">
        <f>IFERROR(__xludf.DUMMYFUNCTION("""COMPUTED_VALUE"""),46085.40555555555)</f>
        <v>46085.40556</v>
      </c>
      <c r="D3958" s="211" t="str">
        <f>IFERROR(__xludf.DUMMYFUNCTION("""COMPUTED_VALUE"""),"e86baf3b")</f>
        <v>e86baf3b</v>
      </c>
      <c r="E3958" s="211" t="str">
        <f>IFERROR(__xludf.DUMMYFUNCTION("""COMPUTED_VALUE"""),"PT GEMILANG CIPTA WAWASAN")</f>
        <v>PT GEMILANG CIPTA WAWASAN</v>
      </c>
      <c r="F3958" s="211" t="str">
        <f>IFERROR(__xludf.DUMMYFUNCTION("""COMPUTED_VALUE"""),"66af7c72")</f>
        <v>66af7c72</v>
      </c>
      <c r="G3958" s="211" t="str">
        <f>IFERROR(__xludf.DUMMYFUNCTION("""COMPUTED_VALUE"""),"Argon 6m3")</f>
        <v>Argon 6m3</v>
      </c>
      <c r="H3958" s="211" t="str">
        <f>IFERROR(__xludf.DUMMYFUNCTION("""COMPUTED_VALUE"""),"OUT")</f>
        <v>OUT</v>
      </c>
      <c r="I3958" s="211" t="str">
        <f>IFERROR(__xludf.DUMMYFUNCTION("""COMPUTED_VALUE"""),"NORMAL")</f>
        <v>NORMAL</v>
      </c>
      <c r="J3958" s="211">
        <f>IFERROR(__xludf.DUMMYFUNCTION("""COMPUTED_VALUE"""),10.0)</f>
        <v>10</v>
      </c>
      <c r="K3958" s="210" t="str">
        <f>IFERROR(__xludf.DUMMYFUNCTION("""COMPUTED_VALUE"""),"12074 12015 12064 12047 12041 12003 12078 12066 12013 12012")</f>
        <v>12074 12015 12064 12047 12041 12003 12078 12066 12013 12012</v>
      </c>
      <c r="L3958" s="211">
        <f>IFERROR(__xludf.DUMMYFUNCTION("""COMPUTED_VALUE"""),200000.0)</f>
        <v>200000</v>
      </c>
      <c r="M3958" s="211"/>
      <c r="N3958" s="211"/>
      <c r="O3958" s="211" t="b">
        <f>IFERROR(__xludf.DUMMYFUNCTION("""COMPUTED_VALUE"""),FALSE)</f>
        <v>0</v>
      </c>
    </row>
    <row r="3959">
      <c r="A3959" s="210" t="str">
        <f>IFERROR(__xludf.DUMMYFUNCTION("""COMPUTED_VALUE"""),"0326782732")</f>
        <v>0326782732</v>
      </c>
      <c r="B3959" s="210" t="str">
        <f>IFERROR(__xludf.DUMMYFUNCTION("""COMPUTED_VALUE"""),"0326782732")</f>
        <v>0326782732</v>
      </c>
      <c r="C3959" s="213">
        <f>IFERROR(__xludf.DUMMYFUNCTION("""COMPUTED_VALUE"""),46085.40555555555)</f>
        <v>46085.40556</v>
      </c>
      <c r="D3959" s="211" t="str">
        <f>IFERROR(__xludf.DUMMYFUNCTION("""COMPUTED_VALUE"""),"e86baf3b")</f>
        <v>e86baf3b</v>
      </c>
      <c r="E3959" s="211" t="str">
        <f>IFERROR(__xludf.DUMMYFUNCTION("""COMPUTED_VALUE"""),"PT GEMILANG CIPTA WAWASAN")</f>
        <v>PT GEMILANG CIPTA WAWASAN</v>
      </c>
      <c r="F3959" s="211" t="str">
        <f>IFERROR(__xludf.DUMMYFUNCTION("""COMPUTED_VALUE"""),"8bdbe149")</f>
        <v>8bdbe149</v>
      </c>
      <c r="G3959" s="211" t="str">
        <f>IFERROR(__xludf.DUMMYFUNCTION("""COMPUTED_VALUE"""),"Oksigen 6m3")</f>
        <v>Oksigen 6m3</v>
      </c>
      <c r="H3959" s="211" t="str">
        <f>IFERROR(__xludf.DUMMYFUNCTION("""COMPUTED_VALUE"""),"OUT")</f>
        <v>OUT</v>
      </c>
      <c r="I3959" s="211" t="str">
        <f>IFERROR(__xludf.DUMMYFUNCTION("""COMPUTED_VALUE"""),"NORMAL")</f>
        <v>NORMAL</v>
      </c>
      <c r="J3959" s="211">
        <f>IFERROR(__xludf.DUMMYFUNCTION("""COMPUTED_VALUE"""),5.0)</f>
        <v>5</v>
      </c>
      <c r="K3959" s="210" t="str">
        <f>IFERROR(__xludf.DUMMYFUNCTION("""COMPUTED_VALUE"""),"11311 11312 11130 11181 11356")</f>
        <v>11311 11312 11130 11181 11356</v>
      </c>
      <c r="L3959" s="211">
        <f>IFERROR(__xludf.DUMMYFUNCTION("""COMPUTED_VALUE"""),60000.0)</f>
        <v>60000</v>
      </c>
      <c r="M3959" s="211"/>
      <c r="N3959" s="211"/>
      <c r="O3959" s="211" t="b">
        <f>IFERROR(__xludf.DUMMYFUNCTION("""COMPUTED_VALUE"""),FALSE)</f>
        <v>0</v>
      </c>
    </row>
    <row r="3960">
      <c r="A3960" s="210" t="str">
        <f>IFERROR(__xludf.DUMMYFUNCTION("""COMPUTED_VALUE"""),"032612733")</f>
        <v>032612733</v>
      </c>
      <c r="B3960" s="210" t="str">
        <f>IFERROR(__xludf.DUMMYFUNCTION("""COMPUTED_VALUE"""),"032612733")</f>
        <v>032612733</v>
      </c>
      <c r="C3960" s="213">
        <f>IFERROR(__xludf.DUMMYFUNCTION("""COMPUTED_VALUE"""),46085.414675925924)</f>
        <v>46085.41468</v>
      </c>
      <c r="D3960" s="211" t="str">
        <f>IFERROR(__xludf.DUMMYFUNCTION("""COMPUTED_VALUE"""),"3abcf4e3")</f>
        <v>3abcf4e3</v>
      </c>
      <c r="E3960" s="211" t="str">
        <f>IFERROR(__xludf.DUMMYFUNCTION("""COMPUTED_VALUE"""),"CV Mukaya Teknik")</f>
        <v>CV Mukaya Teknik</v>
      </c>
      <c r="F3960" s="211" t="str">
        <f>IFERROR(__xludf.DUMMYFUNCTION("""COMPUTED_VALUE"""),"8bdbe149")</f>
        <v>8bdbe149</v>
      </c>
      <c r="G3960" s="211" t="str">
        <f>IFERROR(__xludf.DUMMYFUNCTION("""COMPUTED_VALUE"""),"Oksigen 6m3")</f>
        <v>Oksigen 6m3</v>
      </c>
      <c r="H3960" s="211" t="str">
        <f>IFERROR(__xludf.DUMMYFUNCTION("""COMPUTED_VALUE"""),"OUT")</f>
        <v>OUT</v>
      </c>
      <c r="I3960" s="211" t="str">
        <f>IFERROR(__xludf.DUMMYFUNCTION("""COMPUTED_VALUE"""),"NORMAL")</f>
        <v>NORMAL</v>
      </c>
      <c r="J3960" s="211">
        <f>IFERROR(__xludf.DUMMYFUNCTION("""COMPUTED_VALUE"""),3.0)</f>
        <v>3</v>
      </c>
      <c r="K3960" s="210" t="str">
        <f>IFERROR(__xludf.DUMMYFUNCTION("""COMPUTED_VALUE"""),"1194 1130 1195")</f>
        <v>1194 1130 1195</v>
      </c>
      <c r="L3960" s="211">
        <f>IFERROR(__xludf.DUMMYFUNCTION("""COMPUTED_VALUE"""),70000.0)</f>
        <v>70000</v>
      </c>
      <c r="M3960" s="211"/>
      <c r="N3960" s="211"/>
      <c r="O3960" s="211" t="b">
        <f>IFERROR(__xludf.DUMMYFUNCTION("""COMPUTED_VALUE"""),FALSE)</f>
        <v>0</v>
      </c>
    </row>
    <row r="3961">
      <c r="A3961" s="210" t="str">
        <f>IFERROR(__xludf.DUMMYFUNCTION("""COMPUTED_VALUE"""),"0326132734")</f>
        <v>0326132734</v>
      </c>
      <c r="B3961" s="210" t="str">
        <f>IFERROR(__xludf.DUMMYFUNCTION("""COMPUTED_VALUE"""),"0326132734")</f>
        <v>0326132734</v>
      </c>
      <c r="C3961" s="213">
        <f>IFERROR(__xludf.DUMMYFUNCTION("""COMPUTED_VALUE"""),46085.42167824074)</f>
        <v>46085.42168</v>
      </c>
      <c r="D3961" s="211" t="str">
        <f>IFERROR(__xludf.DUMMYFUNCTION("""COMPUTED_VALUE"""),"98c84274")</f>
        <v>98c84274</v>
      </c>
      <c r="E3961" s="211" t="str">
        <f>IFERROR(__xludf.DUMMYFUNCTION("""COMPUTED_VALUE"""),"Bengkel SBM (Pak Hari)")</f>
        <v>Bengkel SBM (Pak Hari)</v>
      </c>
      <c r="F3961" s="211" t="str">
        <f>IFERROR(__xludf.DUMMYFUNCTION("""COMPUTED_VALUE"""),"8bdbe149")</f>
        <v>8bdbe149</v>
      </c>
      <c r="G3961" s="211" t="str">
        <f>IFERROR(__xludf.DUMMYFUNCTION("""COMPUTED_VALUE"""),"Oksigen 6m3")</f>
        <v>Oksigen 6m3</v>
      </c>
      <c r="H3961" s="211" t="str">
        <f>IFERROR(__xludf.DUMMYFUNCTION("""COMPUTED_VALUE"""),"OUT")</f>
        <v>OUT</v>
      </c>
      <c r="I3961" s="211" t="str">
        <f>IFERROR(__xludf.DUMMYFUNCTION("""COMPUTED_VALUE"""),"NORMAL")</f>
        <v>NORMAL</v>
      </c>
      <c r="J3961" s="211">
        <f>IFERROR(__xludf.DUMMYFUNCTION("""COMPUTED_VALUE"""),5.0)</f>
        <v>5</v>
      </c>
      <c r="K3961" s="210" t="str">
        <f>IFERROR(__xludf.DUMMYFUNCTION("""COMPUTED_VALUE"""),"11271 11255 1173 1106 11109")</f>
        <v>11271 11255 1173 1106 11109</v>
      </c>
      <c r="L3961" s="211">
        <f>IFERROR(__xludf.DUMMYFUNCTION("""COMPUTED_VALUE"""),60000.0)</f>
        <v>60000</v>
      </c>
      <c r="M3961" s="211"/>
      <c r="N3961" s="211"/>
      <c r="O3961" s="211" t="b">
        <f>IFERROR(__xludf.DUMMYFUNCTION("""COMPUTED_VALUE"""),FALSE)</f>
        <v>0</v>
      </c>
    </row>
    <row r="3962">
      <c r="A3962" s="210" t="str">
        <f>IFERROR(__xludf.DUMMYFUNCTION("""COMPUTED_VALUE"""),"032682735")</f>
        <v>032682735</v>
      </c>
      <c r="B3962" s="210" t="str">
        <f>IFERROR(__xludf.DUMMYFUNCTION("""COMPUTED_VALUE"""),"032682735")</f>
        <v>032682735</v>
      </c>
      <c r="C3962" s="213">
        <f>IFERROR(__xludf.DUMMYFUNCTION("""COMPUTED_VALUE"""),46085.53488425926)</f>
        <v>46085.53488</v>
      </c>
      <c r="D3962" s="211" t="str">
        <f>IFERROR(__xludf.DUMMYFUNCTION("""COMPUTED_VALUE"""),"9e66ced9")</f>
        <v>9e66ced9</v>
      </c>
      <c r="E3962" s="211" t="str">
        <f>IFERROR(__xludf.DUMMYFUNCTION("""COMPUTED_VALUE"""),"Bapak Angga")</f>
        <v>Bapak Angga</v>
      </c>
      <c r="F3962" s="211" t="str">
        <f>IFERROR(__xludf.DUMMYFUNCTION("""COMPUTED_VALUE"""),"ef306e54")</f>
        <v>ef306e54</v>
      </c>
      <c r="G3962" s="211" t="str">
        <f>IFERROR(__xludf.DUMMYFUNCTION("""COMPUTED_VALUE"""),"Karbondioksida")</f>
        <v>Karbondioksida</v>
      </c>
      <c r="H3962" s="211" t="str">
        <f>IFERROR(__xludf.DUMMYFUNCTION("""COMPUTED_VALUE"""),"OUT")</f>
        <v>OUT</v>
      </c>
      <c r="I3962" s="211" t="str">
        <f>IFERROR(__xludf.DUMMYFUNCTION("""COMPUTED_VALUE"""),"NORMAL")</f>
        <v>NORMAL</v>
      </c>
      <c r="J3962" s="211">
        <f>IFERROR(__xludf.DUMMYFUNCTION("""COMPUTED_VALUE"""),1.0)</f>
        <v>1</v>
      </c>
      <c r="K3962" s="210" t="str">
        <f>IFERROR(__xludf.DUMMYFUNCTION("""COMPUTED_VALUE"""),"13047")</f>
        <v>13047</v>
      </c>
      <c r="L3962" s="211">
        <f>IFERROR(__xludf.DUMMYFUNCTION("""COMPUTED_VALUE"""),165000.0)</f>
        <v>165000</v>
      </c>
      <c r="M3962" s="211"/>
      <c r="N3962" s="211"/>
      <c r="O3962" s="211" t="b">
        <f>IFERROR(__xludf.DUMMYFUNCTION("""COMPUTED_VALUE"""),FALSE)</f>
        <v>0</v>
      </c>
    </row>
    <row r="3963">
      <c r="A3963" s="210" t="str">
        <f>IFERROR(__xludf.DUMMYFUNCTION("""COMPUTED_VALUE"""),"032682735")</f>
        <v>032682735</v>
      </c>
      <c r="B3963" s="210" t="str">
        <f>IFERROR(__xludf.DUMMYFUNCTION("""COMPUTED_VALUE"""),"032682735")</f>
        <v>032682735</v>
      </c>
      <c r="C3963" s="213">
        <f>IFERROR(__xludf.DUMMYFUNCTION("""COMPUTED_VALUE"""),46085.53488425926)</f>
        <v>46085.53488</v>
      </c>
      <c r="D3963" s="211" t="str">
        <f>IFERROR(__xludf.DUMMYFUNCTION("""COMPUTED_VALUE"""),"9e66ced9")</f>
        <v>9e66ced9</v>
      </c>
      <c r="E3963" s="211" t="str">
        <f>IFERROR(__xludf.DUMMYFUNCTION("""COMPUTED_VALUE"""),"Bapak Angga")</f>
        <v>Bapak Angga</v>
      </c>
      <c r="F3963" s="211" t="str">
        <f>IFERROR(__xludf.DUMMYFUNCTION("""COMPUTED_VALUE"""),"ef306e54")</f>
        <v>ef306e54</v>
      </c>
      <c r="G3963" s="211" t="str">
        <f>IFERROR(__xludf.DUMMYFUNCTION("""COMPUTED_VALUE"""),"Karbondioksida")</f>
        <v>Karbondioksida</v>
      </c>
      <c r="H3963" s="211" t="str">
        <f>IFERROR(__xludf.DUMMYFUNCTION("""COMPUTED_VALUE"""),"OUT")</f>
        <v>OUT</v>
      </c>
      <c r="I3963" s="211" t="str">
        <f>IFERROR(__xludf.DUMMYFUNCTION("""COMPUTED_VALUE"""),"NORMAL")</f>
        <v>NORMAL</v>
      </c>
      <c r="J3963" s="211">
        <f>IFERROR(__xludf.DUMMYFUNCTION("""COMPUTED_VALUE"""),1.0)</f>
        <v>1</v>
      </c>
      <c r="K3963" s="210" t="str">
        <f>IFERROR(__xludf.DUMMYFUNCTION("""COMPUTED_VALUE"""),"13074")</f>
        <v>13074</v>
      </c>
      <c r="L3963" s="211">
        <f>IFERROR(__xludf.DUMMYFUNCTION("""COMPUTED_VALUE"""),165000.0)</f>
        <v>165000</v>
      </c>
      <c r="M3963" s="211"/>
      <c r="N3963" s="211"/>
      <c r="O3963" s="211" t="b">
        <f>IFERROR(__xludf.DUMMYFUNCTION("""COMPUTED_VALUE"""),TRUE)</f>
        <v>1</v>
      </c>
    </row>
    <row r="3964">
      <c r="A3964" s="210" t="str">
        <f>IFERROR(__xludf.DUMMYFUNCTION("""COMPUTED_VALUE"""),"0326252736")</f>
        <v>0326252736</v>
      </c>
      <c r="B3964" s="210" t="str">
        <f>IFERROR(__xludf.DUMMYFUNCTION("""COMPUTED_VALUE"""),"0326252736")</f>
        <v>0326252736</v>
      </c>
      <c r="C3964" s="213">
        <f>IFERROR(__xludf.DUMMYFUNCTION("""COMPUTED_VALUE"""),46085.58221064815)</f>
        <v>46085.58221</v>
      </c>
      <c r="D3964" s="211" t="str">
        <f>IFERROR(__xludf.DUMMYFUNCTION("""COMPUTED_VALUE"""),"63fc688a")</f>
        <v>63fc688a</v>
      </c>
      <c r="E3964" s="211" t="str">
        <f>IFERROR(__xludf.DUMMYFUNCTION("""COMPUTED_VALUE"""),"CV Malik Nusantara")</f>
        <v>CV Malik Nusantara</v>
      </c>
      <c r="F3964" s="211" t="str">
        <f>IFERROR(__xludf.DUMMYFUNCTION("""COMPUTED_VALUE"""),"8bdbe149")</f>
        <v>8bdbe149</v>
      </c>
      <c r="G3964" s="211" t="str">
        <f>IFERROR(__xludf.DUMMYFUNCTION("""COMPUTED_VALUE"""),"Oksigen 6m3")</f>
        <v>Oksigen 6m3</v>
      </c>
      <c r="H3964" s="211" t="str">
        <f>IFERROR(__xludf.DUMMYFUNCTION("""COMPUTED_VALUE"""),"OUT")</f>
        <v>OUT</v>
      </c>
      <c r="I3964" s="211" t="str">
        <f>IFERROR(__xludf.DUMMYFUNCTION("""COMPUTED_VALUE"""),"NORMAL")</f>
        <v>NORMAL</v>
      </c>
      <c r="J3964" s="211">
        <f>IFERROR(__xludf.DUMMYFUNCTION("""COMPUTED_VALUE"""),5.0)</f>
        <v>5</v>
      </c>
      <c r="K3964" s="210" t="str">
        <f>IFERROR(__xludf.DUMMYFUNCTION("""COMPUTED_VALUE"""),"11122 11288 11100 1157 11246")</f>
        <v>11122 11288 11100 1157 11246</v>
      </c>
      <c r="L3964" s="211">
        <f>IFERROR(__xludf.DUMMYFUNCTION("""COMPUTED_VALUE"""),65000.0)</f>
        <v>65000</v>
      </c>
      <c r="M3964" s="211"/>
      <c r="N3964" s="211"/>
      <c r="O3964" s="211" t="b">
        <f>IFERROR(__xludf.DUMMYFUNCTION("""COMPUTED_VALUE"""),FALSE)</f>
        <v>0</v>
      </c>
    </row>
    <row r="3965">
      <c r="A3965" s="210" t="str">
        <f>IFERROR(__xludf.DUMMYFUNCTION("""COMPUTED_VALUE"""),"0326912737")</f>
        <v>0326912737</v>
      </c>
      <c r="B3965" s="210" t="str">
        <f>IFERROR(__xludf.DUMMYFUNCTION("""COMPUTED_VALUE"""),"0326912737")</f>
        <v>0326912737</v>
      </c>
      <c r="C3965" s="213">
        <f>IFERROR(__xludf.DUMMYFUNCTION("""COMPUTED_VALUE"""),46086.35990740741)</f>
        <v>46086.35991</v>
      </c>
      <c r="D3965" s="211" t="str">
        <f>IFERROR(__xludf.DUMMYFUNCTION("""COMPUTED_VALUE"""),"b2b5f2c5")</f>
        <v>b2b5f2c5</v>
      </c>
      <c r="E3965" s="211" t="str">
        <f>IFERROR(__xludf.DUMMYFUNCTION("""COMPUTED_VALUE"""),"Bengkel Las Bpk. Ari")</f>
        <v>Bengkel Las Bpk. Ari</v>
      </c>
      <c r="F3965" s="211" t="str">
        <f>IFERROR(__xludf.DUMMYFUNCTION("""COMPUTED_VALUE"""),"8bdbe149")</f>
        <v>8bdbe149</v>
      </c>
      <c r="G3965" s="211" t="str">
        <f>IFERROR(__xludf.DUMMYFUNCTION("""COMPUTED_VALUE"""),"Oksigen 6m3")</f>
        <v>Oksigen 6m3</v>
      </c>
      <c r="H3965" s="211" t="str">
        <f>IFERROR(__xludf.DUMMYFUNCTION("""COMPUTED_VALUE"""),"OUT")</f>
        <v>OUT</v>
      </c>
      <c r="I3965" s="211" t="str">
        <f>IFERROR(__xludf.DUMMYFUNCTION("""COMPUTED_VALUE"""),"NORMAL")</f>
        <v>NORMAL</v>
      </c>
      <c r="J3965" s="211">
        <f>IFERROR(__xludf.DUMMYFUNCTION("""COMPUTED_VALUE"""),4.0)</f>
        <v>4</v>
      </c>
      <c r="K3965" s="210" t="str">
        <f>IFERROR(__xludf.DUMMYFUNCTION("""COMPUTED_VALUE"""),"1145 11287 11112 1115")</f>
        <v>1145 11287 11112 1115</v>
      </c>
      <c r="L3965" s="211">
        <f>IFERROR(__xludf.DUMMYFUNCTION("""COMPUTED_VALUE"""),60000.0)</f>
        <v>60000</v>
      </c>
      <c r="M3965" s="211"/>
      <c r="N3965" s="211"/>
      <c r="O3965" s="211" t="b">
        <f>IFERROR(__xludf.DUMMYFUNCTION("""COMPUTED_VALUE"""),FALSE)</f>
        <v>0</v>
      </c>
    </row>
    <row r="3966">
      <c r="A3966" s="210" t="str">
        <f>IFERROR(__xludf.DUMMYFUNCTION("""COMPUTED_VALUE"""),"1261348")</f>
        <v>1261348</v>
      </c>
      <c r="B3966" s="210" t="str">
        <f>IFERROR(__xludf.DUMMYFUNCTION("""COMPUTED_VALUE"""),"1261348")</f>
        <v>1261348</v>
      </c>
      <c r="C3966" s="213">
        <f>IFERROR(__xludf.DUMMYFUNCTION("""COMPUTED_VALUE"""),46084.3647337963)</f>
        <v>46084.36473</v>
      </c>
      <c r="D3966" s="211" t="str">
        <f>IFERROR(__xludf.DUMMYFUNCTION("""COMPUTED_VALUE"""),"9e5d8274")</f>
        <v>9e5d8274</v>
      </c>
      <c r="E3966" s="211" t="str">
        <f>IFERROR(__xludf.DUMMYFUNCTION("""COMPUTED_VALUE"""),"Bpk. Erry ( Lik Trosobo )")</f>
        <v>Bpk. Erry ( Lik Trosobo )</v>
      </c>
      <c r="F3966" s="211" t="str">
        <f>IFERROR(__xludf.DUMMYFUNCTION("""COMPUTED_VALUE"""),"8bdbe149")</f>
        <v>8bdbe149</v>
      </c>
      <c r="G3966" s="211" t="str">
        <f>IFERROR(__xludf.DUMMYFUNCTION("""COMPUTED_VALUE"""),"Oksigen 6m3")</f>
        <v>Oksigen 6m3</v>
      </c>
      <c r="H3966" s="211" t="str">
        <f>IFERROR(__xludf.DUMMYFUNCTION("""COMPUTED_VALUE"""),"IN")</f>
        <v>IN</v>
      </c>
      <c r="I3966" s="211" t="str">
        <f>IFERROR(__xludf.DUMMYFUNCTION("""COMPUTED_VALUE"""),"EMPTY")</f>
        <v>EMPTY</v>
      </c>
      <c r="J3966" s="211">
        <f>IFERROR(__xludf.DUMMYFUNCTION("""COMPUTED_VALUE"""),2.0)</f>
        <v>2</v>
      </c>
      <c r="K3966" s="210" t="str">
        <f>IFERROR(__xludf.DUMMYFUNCTION("""COMPUTED_VALUE"""),"11129 11365")</f>
        <v>11129 11365</v>
      </c>
      <c r="L3966" s="211">
        <f>IFERROR(__xludf.DUMMYFUNCTION("""COMPUTED_VALUE"""),0.0)</f>
        <v>0</v>
      </c>
      <c r="M3966" s="211"/>
      <c r="N3966" s="211"/>
      <c r="O3966" s="211" t="b">
        <f>IFERROR(__xludf.DUMMYFUNCTION("""COMPUTED_VALUE"""),FALSE)</f>
        <v>0</v>
      </c>
    </row>
    <row r="3967">
      <c r="A3967" s="210" t="str">
        <f>IFERROR(__xludf.DUMMYFUNCTION("""COMPUTED_VALUE"""),"1261348")</f>
        <v>1261348</v>
      </c>
      <c r="B3967" s="210" t="str">
        <f>IFERROR(__xludf.DUMMYFUNCTION("""COMPUTED_VALUE"""),"1261348")</f>
        <v>1261348</v>
      </c>
      <c r="C3967" s="213">
        <f>IFERROR(__xludf.DUMMYFUNCTION("""COMPUTED_VALUE"""),46084.3647337963)</f>
        <v>46084.36473</v>
      </c>
      <c r="D3967" s="211" t="str">
        <f>IFERROR(__xludf.DUMMYFUNCTION("""COMPUTED_VALUE"""),"9e5d8274")</f>
        <v>9e5d8274</v>
      </c>
      <c r="E3967" s="211" t="str">
        <f>IFERROR(__xludf.DUMMYFUNCTION("""COMPUTED_VALUE"""),"Bpk. Erry ( Lik Trosobo )")</f>
        <v>Bpk. Erry ( Lik Trosobo )</v>
      </c>
      <c r="F3967" s="211" t="str">
        <f>IFERROR(__xludf.DUMMYFUNCTION("""COMPUTED_VALUE"""),"f6aab7a9")</f>
        <v>f6aab7a9</v>
      </c>
      <c r="G3967" s="211" t="str">
        <f>IFERROR(__xludf.DUMMYFUNCTION("""COMPUTED_VALUE"""),"Oksigen 6m3 MR")</f>
        <v>Oksigen 6m3 MR</v>
      </c>
      <c r="H3967" s="211" t="str">
        <f>IFERROR(__xludf.DUMMYFUNCTION("""COMPUTED_VALUE"""),"IN")</f>
        <v>IN</v>
      </c>
      <c r="I3967" s="211" t="str">
        <f>IFERROR(__xludf.DUMMYFUNCTION("""COMPUTED_VALUE"""),"EMPTY")</f>
        <v>EMPTY</v>
      </c>
      <c r="J3967" s="211">
        <f>IFERROR(__xludf.DUMMYFUNCTION("""COMPUTED_VALUE"""),1.0)</f>
        <v>1</v>
      </c>
      <c r="K3967" s="211"/>
      <c r="L3967" s="211">
        <f>IFERROR(__xludf.DUMMYFUNCTION("""COMPUTED_VALUE"""),0.0)</f>
        <v>0</v>
      </c>
      <c r="M3967" s="211"/>
      <c r="N3967" s="211"/>
      <c r="O3967" s="211" t="b">
        <f>IFERROR(__xludf.DUMMYFUNCTION("""COMPUTED_VALUE"""),FALSE)</f>
        <v>0</v>
      </c>
    </row>
    <row r="3968">
      <c r="A3968" s="210" t="str">
        <f>IFERROR(__xludf.DUMMYFUNCTION("""COMPUTED_VALUE"""),"1261339")</f>
        <v>1261339</v>
      </c>
      <c r="B3968" s="210" t="str">
        <f>IFERROR(__xludf.DUMMYFUNCTION("""COMPUTED_VALUE"""),"1261339")</f>
        <v>1261339</v>
      </c>
      <c r="C3968" s="213">
        <f>IFERROR(__xludf.DUMMYFUNCTION("""COMPUTED_VALUE"""),46084.365798611114)</f>
        <v>46084.3658</v>
      </c>
      <c r="D3968" s="211" t="str">
        <f>IFERROR(__xludf.DUMMYFUNCTION("""COMPUTED_VALUE"""),"ec231cc9")</f>
        <v>ec231cc9</v>
      </c>
      <c r="E3968" s="211" t="str">
        <f>IFERROR(__xludf.DUMMYFUNCTION("""COMPUTED_VALUE"""),"Bpk. Kohir (Maintenance Velg)")</f>
        <v>Bpk. Kohir (Maintenance Velg)</v>
      </c>
      <c r="F3968" s="211" t="str">
        <f>IFERROR(__xludf.DUMMYFUNCTION("""COMPUTED_VALUE"""),"ef306e54")</f>
        <v>ef306e54</v>
      </c>
      <c r="G3968" s="211" t="str">
        <f>IFERROR(__xludf.DUMMYFUNCTION("""COMPUTED_VALUE"""),"Karbondioksida")</f>
        <v>Karbondioksida</v>
      </c>
      <c r="H3968" s="211" t="str">
        <f>IFERROR(__xludf.DUMMYFUNCTION("""COMPUTED_VALUE"""),"IN")</f>
        <v>IN</v>
      </c>
      <c r="I3968" s="211" t="str">
        <f>IFERROR(__xludf.DUMMYFUNCTION("""COMPUTED_VALUE"""),"EMPTY")</f>
        <v>EMPTY</v>
      </c>
      <c r="J3968" s="211">
        <f>IFERROR(__xludf.DUMMYFUNCTION("""COMPUTED_VALUE"""),1.0)</f>
        <v>1</v>
      </c>
      <c r="K3968" s="210" t="str">
        <f>IFERROR(__xludf.DUMMYFUNCTION("""COMPUTED_VALUE"""),"13070")</f>
        <v>13070</v>
      </c>
      <c r="L3968" s="211">
        <f>IFERROR(__xludf.DUMMYFUNCTION("""COMPUTED_VALUE"""),0.0)</f>
        <v>0</v>
      </c>
      <c r="M3968" s="211"/>
      <c r="N3968" s="211"/>
      <c r="O3968" s="211" t="b">
        <f>IFERROR(__xludf.DUMMYFUNCTION("""COMPUTED_VALUE"""),FALSE)</f>
        <v>0</v>
      </c>
    </row>
    <row r="3969">
      <c r="A3969" s="210" t="str">
        <f>IFERROR(__xludf.DUMMYFUNCTION("""COMPUTED_VALUE"""),"1261350")</f>
        <v>1261350</v>
      </c>
      <c r="B3969" s="210" t="str">
        <f>IFERROR(__xludf.DUMMYFUNCTION("""COMPUTED_VALUE"""),"1261350")</f>
        <v>1261350</v>
      </c>
      <c r="C3969" s="213">
        <f>IFERROR(__xludf.DUMMYFUNCTION("""COMPUTED_VALUE"""),46084.36623842592)</f>
        <v>46084.36624</v>
      </c>
      <c r="D3969" s="211" t="str">
        <f>IFERROR(__xludf.DUMMYFUNCTION("""COMPUTED_VALUE"""),"d9b2fac5")</f>
        <v>d9b2fac5</v>
      </c>
      <c r="E3969" s="211" t="str">
        <f>IFERROR(__xludf.DUMMYFUNCTION("""COMPUTED_VALUE"""),"Dwi Riza ( Ponokawan)")</f>
        <v>Dwi Riza ( Ponokawan)</v>
      </c>
      <c r="F3969" s="211" t="str">
        <f>IFERROR(__xludf.DUMMYFUNCTION("""COMPUTED_VALUE"""),"8bdbe149")</f>
        <v>8bdbe149</v>
      </c>
      <c r="G3969" s="211" t="str">
        <f>IFERROR(__xludf.DUMMYFUNCTION("""COMPUTED_VALUE"""),"Oksigen 6m3")</f>
        <v>Oksigen 6m3</v>
      </c>
      <c r="H3969" s="211" t="str">
        <f>IFERROR(__xludf.DUMMYFUNCTION("""COMPUTED_VALUE"""),"IN")</f>
        <v>IN</v>
      </c>
      <c r="I3969" s="211" t="str">
        <f>IFERROR(__xludf.DUMMYFUNCTION("""COMPUTED_VALUE"""),"EMPTY")</f>
        <v>EMPTY</v>
      </c>
      <c r="J3969" s="211">
        <f>IFERROR(__xludf.DUMMYFUNCTION("""COMPUTED_VALUE"""),6.0)</f>
        <v>6</v>
      </c>
      <c r="K3969" s="210" t="str">
        <f>IFERROR(__xludf.DUMMYFUNCTION("""COMPUTED_VALUE"""),"11258 11117 11260 1145 1115 11367")</f>
        <v>11258 11117 11260 1145 1115 11367</v>
      </c>
      <c r="L3969" s="211">
        <f>IFERROR(__xludf.DUMMYFUNCTION("""COMPUTED_VALUE"""),0.0)</f>
        <v>0</v>
      </c>
      <c r="M3969" s="211"/>
      <c r="N3969" s="211"/>
      <c r="O3969" s="211" t="b">
        <f>IFERROR(__xludf.DUMMYFUNCTION("""COMPUTED_VALUE"""),FALSE)</f>
        <v>0</v>
      </c>
    </row>
    <row r="3970">
      <c r="A3970" s="210" t="str">
        <f>IFERROR(__xludf.DUMMYFUNCTION("""COMPUTED_VALUE"""),"1261340")</f>
        <v>1261340</v>
      </c>
      <c r="B3970" s="210" t="str">
        <f>IFERROR(__xludf.DUMMYFUNCTION("""COMPUTED_VALUE"""),"1261340")</f>
        <v>1261340</v>
      </c>
      <c r="C3970" s="213">
        <f>IFERROR(__xludf.DUMMYFUNCTION("""COMPUTED_VALUE"""),46084.366956018515)</f>
        <v>46084.36696</v>
      </c>
      <c r="D3970" s="211" t="str">
        <f>IFERROR(__xludf.DUMMYFUNCTION("""COMPUTED_VALUE"""),"1c4d5e93")</f>
        <v>1c4d5e93</v>
      </c>
      <c r="E3970" s="211" t="str">
        <f>IFERROR(__xludf.DUMMYFUNCTION("""COMPUTED_VALUE"""),"Karoseri Cipta Mitra Sukses")</f>
        <v>Karoseri Cipta Mitra Sukses</v>
      </c>
      <c r="F3970" s="211" t="str">
        <f>IFERROR(__xludf.DUMMYFUNCTION("""COMPUTED_VALUE"""),"ef306e54")</f>
        <v>ef306e54</v>
      </c>
      <c r="G3970" s="211" t="str">
        <f>IFERROR(__xludf.DUMMYFUNCTION("""COMPUTED_VALUE"""),"Karbondioksida")</f>
        <v>Karbondioksida</v>
      </c>
      <c r="H3970" s="211" t="str">
        <f>IFERROR(__xludf.DUMMYFUNCTION("""COMPUTED_VALUE"""),"IN")</f>
        <v>IN</v>
      </c>
      <c r="I3970" s="211" t="str">
        <f>IFERROR(__xludf.DUMMYFUNCTION("""COMPUTED_VALUE"""),"EMPTY")</f>
        <v>EMPTY</v>
      </c>
      <c r="J3970" s="211">
        <f>IFERROR(__xludf.DUMMYFUNCTION("""COMPUTED_VALUE"""),3.0)</f>
        <v>3</v>
      </c>
      <c r="K3970" s="210" t="str">
        <f>IFERROR(__xludf.DUMMYFUNCTION("""COMPUTED_VALUE"""),"13028 13015 13041")</f>
        <v>13028 13015 13041</v>
      </c>
      <c r="L3970" s="211">
        <f>IFERROR(__xludf.DUMMYFUNCTION("""COMPUTED_VALUE"""),0.0)</f>
        <v>0</v>
      </c>
      <c r="M3970" s="211"/>
      <c r="N3970" s="211"/>
      <c r="O3970" s="211" t="b">
        <f>IFERROR(__xludf.DUMMYFUNCTION("""COMPUTED_VALUE"""),FALSE)</f>
        <v>0</v>
      </c>
    </row>
    <row r="3971">
      <c r="A3971" s="210" t="str">
        <f>IFERROR(__xludf.DUMMYFUNCTION("""COMPUTED_VALUE"""),"1261340")</f>
        <v>1261340</v>
      </c>
      <c r="B3971" s="210" t="str">
        <f>IFERROR(__xludf.DUMMYFUNCTION("""COMPUTED_VALUE"""),"1261340")</f>
        <v>1261340</v>
      </c>
      <c r="C3971" s="213">
        <f>IFERROR(__xludf.DUMMYFUNCTION("""COMPUTED_VALUE"""),46084.366956018515)</f>
        <v>46084.36696</v>
      </c>
      <c r="D3971" s="211" t="str">
        <f>IFERROR(__xludf.DUMMYFUNCTION("""COMPUTED_VALUE"""),"1c4d5e93")</f>
        <v>1c4d5e93</v>
      </c>
      <c r="E3971" s="211" t="str">
        <f>IFERROR(__xludf.DUMMYFUNCTION("""COMPUTED_VALUE"""),"Karoseri Cipta Mitra Sukses")</f>
        <v>Karoseri Cipta Mitra Sukses</v>
      </c>
      <c r="F3971" s="211" t="str">
        <f>IFERROR(__xludf.DUMMYFUNCTION("""COMPUTED_VALUE"""),"ef306e54")</f>
        <v>ef306e54</v>
      </c>
      <c r="G3971" s="211" t="str">
        <f>IFERROR(__xludf.DUMMYFUNCTION("""COMPUTED_VALUE"""),"Karbondioksida")</f>
        <v>Karbondioksida</v>
      </c>
      <c r="H3971" s="211" t="str">
        <f>IFERROR(__xludf.DUMMYFUNCTION("""COMPUTED_VALUE"""),"IN")</f>
        <v>IN</v>
      </c>
      <c r="I3971" s="211" t="str">
        <f>IFERROR(__xludf.DUMMYFUNCTION("""COMPUTED_VALUE"""),"EMPTY")</f>
        <v>EMPTY</v>
      </c>
      <c r="J3971" s="211">
        <f>IFERROR(__xludf.DUMMYFUNCTION("""COMPUTED_VALUE"""),1.0)</f>
        <v>1</v>
      </c>
      <c r="K3971" s="210" t="str">
        <f>IFERROR(__xludf.DUMMYFUNCTION("""COMPUTED_VALUE"""),"13074")</f>
        <v>13074</v>
      </c>
      <c r="L3971" s="211">
        <f>IFERROR(__xludf.DUMMYFUNCTION("""COMPUTED_VALUE"""),0.0)</f>
        <v>0</v>
      </c>
      <c r="M3971" s="211"/>
      <c r="N3971" s="211"/>
      <c r="O3971" s="211" t="b">
        <f>IFERROR(__xludf.DUMMYFUNCTION("""COMPUTED_VALUE"""),TRUE)</f>
        <v>1</v>
      </c>
    </row>
    <row r="3972">
      <c r="A3972" s="211"/>
      <c r="B3972" s="211"/>
      <c r="C3972" s="211"/>
      <c r="D3972" s="211"/>
      <c r="E3972" s="211"/>
      <c r="F3972" s="211"/>
      <c r="G3972" s="211"/>
      <c r="H3972" s="211"/>
      <c r="I3972" s="211"/>
      <c r="J3972" s="211"/>
      <c r="K3972" s="211"/>
      <c r="L3972" s="211"/>
      <c r="M3972" s="211"/>
      <c r="N3972" s="211"/>
      <c r="O3972" s="211"/>
    </row>
    <row r="3973">
      <c r="A3973" s="210" t="str">
        <f>IFERROR(__xludf.DUMMYFUNCTION("""COMPUTED_VALUE"""),"1261328")</f>
        <v>1261328</v>
      </c>
      <c r="B3973" s="210" t="str">
        <f>IFERROR(__xludf.DUMMYFUNCTION("""COMPUTED_VALUE"""),"1261328")</f>
        <v>1261328</v>
      </c>
      <c r="C3973" s="213">
        <f>IFERROR(__xludf.DUMMYFUNCTION("""COMPUTED_VALUE"""),46084.36818287037)</f>
        <v>46084.36818</v>
      </c>
      <c r="D3973" s="211" t="str">
        <f>IFERROR(__xludf.DUMMYFUNCTION("""COMPUTED_VALUE"""),"b2b5f2c5")</f>
        <v>b2b5f2c5</v>
      </c>
      <c r="E3973" s="211" t="str">
        <f>IFERROR(__xludf.DUMMYFUNCTION("""COMPUTED_VALUE"""),"Bengkel Las Bpk. Ari")</f>
        <v>Bengkel Las Bpk. Ari</v>
      </c>
      <c r="F3973" s="211" t="str">
        <f>IFERROR(__xludf.DUMMYFUNCTION("""COMPUTED_VALUE"""),"8bdbe149")</f>
        <v>8bdbe149</v>
      </c>
      <c r="G3973" s="211" t="str">
        <f>IFERROR(__xludf.DUMMYFUNCTION("""COMPUTED_VALUE"""),"Oksigen 6m3")</f>
        <v>Oksigen 6m3</v>
      </c>
      <c r="H3973" s="211" t="str">
        <f>IFERROR(__xludf.DUMMYFUNCTION("""COMPUTED_VALUE"""),"IN")</f>
        <v>IN</v>
      </c>
      <c r="I3973" s="211" t="str">
        <f>IFERROR(__xludf.DUMMYFUNCTION("""COMPUTED_VALUE"""),"EMPTY")</f>
        <v>EMPTY</v>
      </c>
      <c r="J3973" s="211">
        <f>IFERROR(__xludf.DUMMYFUNCTION("""COMPUTED_VALUE"""),1.0)</f>
        <v>1</v>
      </c>
      <c r="K3973" s="210" t="str">
        <f>IFERROR(__xludf.DUMMYFUNCTION("""COMPUTED_VALUE"""),"11184")</f>
        <v>11184</v>
      </c>
      <c r="L3973" s="211">
        <f>IFERROR(__xludf.DUMMYFUNCTION("""COMPUTED_VALUE"""),0.0)</f>
        <v>0</v>
      </c>
      <c r="M3973" s="211"/>
      <c r="N3973" s="211"/>
      <c r="O3973" s="211" t="b">
        <f>IFERROR(__xludf.DUMMYFUNCTION("""COMPUTED_VALUE"""),FALSE)</f>
        <v>0</v>
      </c>
    </row>
    <row r="3974">
      <c r="A3974" s="210" t="str">
        <f>IFERROR(__xludf.DUMMYFUNCTION("""COMPUTED_VALUE"""),"1261328")</f>
        <v>1261328</v>
      </c>
      <c r="B3974" s="210" t="str">
        <f>IFERROR(__xludf.DUMMYFUNCTION("""COMPUTED_VALUE"""),"1261328")</f>
        <v>1261328</v>
      </c>
      <c r="C3974" s="213">
        <f>IFERROR(__xludf.DUMMYFUNCTION("""COMPUTED_VALUE"""),46084.36818287037)</f>
        <v>46084.36818</v>
      </c>
      <c r="D3974" s="211" t="str">
        <f>IFERROR(__xludf.DUMMYFUNCTION("""COMPUTED_VALUE"""),"b2b5f2c5")</f>
        <v>b2b5f2c5</v>
      </c>
      <c r="E3974" s="211" t="str">
        <f>IFERROR(__xludf.DUMMYFUNCTION("""COMPUTED_VALUE"""),"Bengkel Las Bpk. Ari")</f>
        <v>Bengkel Las Bpk. Ari</v>
      </c>
      <c r="F3974" s="211" t="str">
        <f>IFERROR(__xludf.DUMMYFUNCTION("""COMPUTED_VALUE"""),"8bdbe149")</f>
        <v>8bdbe149</v>
      </c>
      <c r="G3974" s="211" t="str">
        <f>IFERROR(__xludf.DUMMYFUNCTION("""COMPUTED_VALUE"""),"Oksigen 6m3")</f>
        <v>Oksigen 6m3</v>
      </c>
      <c r="H3974" s="211" t="str">
        <f>IFERROR(__xludf.DUMMYFUNCTION("""COMPUTED_VALUE"""),"IN")</f>
        <v>IN</v>
      </c>
      <c r="I3974" s="211" t="str">
        <f>IFERROR(__xludf.DUMMYFUNCTION("""COMPUTED_VALUE"""),"EMPTY")</f>
        <v>EMPTY</v>
      </c>
      <c r="J3974" s="211">
        <f>IFERROR(__xludf.DUMMYFUNCTION("""COMPUTED_VALUE"""),3.0)</f>
        <v>3</v>
      </c>
      <c r="K3974" s="210" t="str">
        <f>IFERROR(__xludf.DUMMYFUNCTION("""COMPUTED_VALUE"""),"11107 11120 1173")</f>
        <v>11107 11120 1173</v>
      </c>
      <c r="L3974" s="211">
        <f>IFERROR(__xludf.DUMMYFUNCTION("""COMPUTED_VALUE"""),0.0)</f>
        <v>0</v>
      </c>
      <c r="M3974" s="211"/>
      <c r="N3974" s="211"/>
      <c r="O3974" s="211" t="b">
        <f>IFERROR(__xludf.DUMMYFUNCTION("""COMPUTED_VALUE"""),TRUE)</f>
        <v>1</v>
      </c>
    </row>
    <row r="3975">
      <c r="A3975" s="210" t="str">
        <f>IFERROR(__xludf.DUMMYFUNCTION("""COMPUTED_VALUE"""),"1261328")</f>
        <v>1261328</v>
      </c>
      <c r="B3975" s="210" t="str">
        <f>IFERROR(__xludf.DUMMYFUNCTION("""COMPUTED_VALUE"""),"1261328")</f>
        <v>1261328</v>
      </c>
      <c r="C3975" s="213">
        <f>IFERROR(__xludf.DUMMYFUNCTION("""COMPUTED_VALUE"""),46084.36818287037)</f>
        <v>46084.36818</v>
      </c>
      <c r="D3975" s="211" t="str">
        <f>IFERROR(__xludf.DUMMYFUNCTION("""COMPUTED_VALUE"""),"b2b5f2c5")</f>
        <v>b2b5f2c5</v>
      </c>
      <c r="E3975" s="211" t="str">
        <f>IFERROR(__xludf.DUMMYFUNCTION("""COMPUTED_VALUE"""),"Bengkel Las Bpk. Ari")</f>
        <v>Bengkel Las Bpk. Ari</v>
      </c>
      <c r="F3975" s="211" t="str">
        <f>IFERROR(__xludf.DUMMYFUNCTION("""COMPUTED_VALUE"""),"7d2764f1")</f>
        <v>7d2764f1</v>
      </c>
      <c r="G3975" s="211" t="str">
        <f>IFERROR(__xludf.DUMMYFUNCTION("""COMPUTED_VALUE"""),"Oksigen 7m3")</f>
        <v>Oksigen 7m3</v>
      </c>
      <c r="H3975" s="211" t="str">
        <f>IFERROR(__xludf.DUMMYFUNCTION("""COMPUTED_VALUE"""),"IN")</f>
        <v>IN</v>
      </c>
      <c r="I3975" s="211" t="str">
        <f>IFERROR(__xludf.DUMMYFUNCTION("""COMPUTED_VALUE"""),"EMPTY")</f>
        <v>EMPTY</v>
      </c>
      <c r="J3975" s="211">
        <f>IFERROR(__xludf.DUMMYFUNCTION("""COMPUTED_VALUE"""),1.0)</f>
        <v>1</v>
      </c>
      <c r="K3975" s="210" t="str">
        <f>IFERROR(__xludf.DUMMYFUNCTION("""COMPUTED_VALUE"""),"11160")</f>
        <v>11160</v>
      </c>
      <c r="L3975" s="211">
        <f>IFERROR(__xludf.DUMMYFUNCTION("""COMPUTED_VALUE"""),0.0)</f>
        <v>0</v>
      </c>
      <c r="M3975" s="211"/>
      <c r="N3975" s="211"/>
      <c r="O3975" s="211" t="b">
        <f>IFERROR(__xludf.DUMMYFUNCTION("""COMPUTED_VALUE"""),TRUE)</f>
        <v>1</v>
      </c>
    </row>
    <row r="3976">
      <c r="A3976" s="210" t="str">
        <f>IFERROR(__xludf.DUMMYFUNCTION("""COMPUTED_VALUE"""),"1261328")</f>
        <v>1261328</v>
      </c>
      <c r="B3976" s="210" t="str">
        <f>IFERROR(__xludf.DUMMYFUNCTION("""COMPUTED_VALUE"""),"1261328")</f>
        <v>1261328</v>
      </c>
      <c r="C3976" s="213">
        <f>IFERROR(__xludf.DUMMYFUNCTION("""COMPUTED_VALUE"""),46084.36818287037)</f>
        <v>46084.36818</v>
      </c>
      <c r="D3976" s="211" t="str">
        <f>IFERROR(__xludf.DUMMYFUNCTION("""COMPUTED_VALUE"""),"b2b5f2c5")</f>
        <v>b2b5f2c5</v>
      </c>
      <c r="E3976" s="211" t="str">
        <f>IFERROR(__xludf.DUMMYFUNCTION("""COMPUTED_VALUE"""),"Bengkel Las Bpk. Ari")</f>
        <v>Bengkel Las Bpk. Ari</v>
      </c>
      <c r="F3976" s="211" t="str">
        <f>IFERROR(__xludf.DUMMYFUNCTION("""COMPUTED_VALUE"""),"ef306e54")</f>
        <v>ef306e54</v>
      </c>
      <c r="G3976" s="211" t="str">
        <f>IFERROR(__xludf.DUMMYFUNCTION("""COMPUTED_VALUE"""),"Karbondioksida")</f>
        <v>Karbondioksida</v>
      </c>
      <c r="H3976" s="211" t="str">
        <f>IFERROR(__xludf.DUMMYFUNCTION("""COMPUTED_VALUE"""),"IN")</f>
        <v>IN</v>
      </c>
      <c r="I3976" s="211" t="str">
        <f>IFERROR(__xludf.DUMMYFUNCTION("""COMPUTED_VALUE"""),"EMPTY")</f>
        <v>EMPTY</v>
      </c>
      <c r="J3976" s="211">
        <f>IFERROR(__xludf.DUMMYFUNCTION("""COMPUTED_VALUE"""),1.0)</f>
        <v>1</v>
      </c>
      <c r="K3976" s="210" t="str">
        <f>IFERROR(__xludf.DUMMYFUNCTION("""COMPUTED_VALUE"""),"13023")</f>
        <v>13023</v>
      </c>
      <c r="L3976" s="211">
        <f>IFERROR(__xludf.DUMMYFUNCTION("""COMPUTED_VALUE"""),0.0)</f>
        <v>0</v>
      </c>
      <c r="M3976" s="211"/>
      <c r="N3976" s="211"/>
      <c r="O3976" s="211" t="b">
        <f>IFERROR(__xludf.DUMMYFUNCTION("""COMPUTED_VALUE"""),FALSE)</f>
        <v>0</v>
      </c>
    </row>
    <row r="3977">
      <c r="A3977" s="210" t="str">
        <f>IFERROR(__xludf.DUMMYFUNCTION("""COMPUTED_VALUE"""),"1261329")</f>
        <v>1261329</v>
      </c>
      <c r="B3977" s="210" t="str">
        <f>IFERROR(__xludf.DUMMYFUNCTION("""COMPUTED_VALUE"""),"1261329")</f>
        <v>1261329</v>
      </c>
      <c r="C3977" s="213">
        <f>IFERROR(__xludf.DUMMYFUNCTION("""COMPUTED_VALUE"""),46084.37099537037)</f>
        <v>46084.371</v>
      </c>
      <c r="D3977" s="211" t="str">
        <f>IFERROR(__xludf.DUMMYFUNCTION("""COMPUTED_VALUE"""),"63fc688a")</f>
        <v>63fc688a</v>
      </c>
      <c r="E3977" s="211" t="str">
        <f>IFERROR(__xludf.DUMMYFUNCTION("""COMPUTED_VALUE"""),"CV Malik Nusantara")</f>
        <v>CV Malik Nusantara</v>
      </c>
      <c r="F3977" s="211" t="str">
        <f>IFERROR(__xludf.DUMMYFUNCTION("""COMPUTED_VALUE"""),"8bdbe149")</f>
        <v>8bdbe149</v>
      </c>
      <c r="G3977" s="211" t="str">
        <f>IFERROR(__xludf.DUMMYFUNCTION("""COMPUTED_VALUE"""),"Oksigen 6m3")</f>
        <v>Oksigen 6m3</v>
      </c>
      <c r="H3977" s="211" t="str">
        <f>IFERROR(__xludf.DUMMYFUNCTION("""COMPUTED_VALUE"""),"IN")</f>
        <v>IN</v>
      </c>
      <c r="I3977" s="211" t="str">
        <f>IFERROR(__xludf.DUMMYFUNCTION("""COMPUTED_VALUE"""),"EMPTY")</f>
        <v>EMPTY</v>
      </c>
      <c r="J3977" s="211">
        <f>IFERROR(__xludf.DUMMYFUNCTION("""COMPUTED_VALUE"""),2.0)</f>
        <v>2</v>
      </c>
      <c r="K3977" s="210" t="str">
        <f>IFERROR(__xludf.DUMMYFUNCTION("""COMPUTED_VALUE"""),"11249 11377")</f>
        <v>11249 11377</v>
      </c>
      <c r="L3977" s="211">
        <f>IFERROR(__xludf.DUMMYFUNCTION("""COMPUTED_VALUE"""),0.0)</f>
        <v>0</v>
      </c>
      <c r="M3977" s="211"/>
      <c r="N3977" s="211"/>
      <c r="O3977" s="211" t="b">
        <f>IFERROR(__xludf.DUMMYFUNCTION("""COMPUTED_VALUE"""),FALSE)</f>
        <v>0</v>
      </c>
    </row>
    <row r="3978">
      <c r="A3978" s="210" t="str">
        <f>IFERROR(__xludf.DUMMYFUNCTION("""COMPUTED_VALUE"""),"1261329")</f>
        <v>1261329</v>
      </c>
      <c r="B3978" s="210" t="str">
        <f>IFERROR(__xludf.DUMMYFUNCTION("""COMPUTED_VALUE"""),"1261329")</f>
        <v>1261329</v>
      </c>
      <c r="C3978" s="213">
        <f>IFERROR(__xludf.DUMMYFUNCTION("""COMPUTED_VALUE"""),46084.37099537037)</f>
        <v>46084.371</v>
      </c>
      <c r="D3978" s="211" t="str">
        <f>IFERROR(__xludf.DUMMYFUNCTION("""COMPUTED_VALUE"""),"63fc688a")</f>
        <v>63fc688a</v>
      </c>
      <c r="E3978" s="211" t="str">
        <f>IFERROR(__xludf.DUMMYFUNCTION("""COMPUTED_VALUE"""),"CV Malik Nusantara")</f>
        <v>CV Malik Nusantara</v>
      </c>
      <c r="F3978" s="211" t="str">
        <f>IFERROR(__xludf.DUMMYFUNCTION("""COMPUTED_VALUE"""),"be525f3b")</f>
        <v>be525f3b</v>
      </c>
      <c r="G3978" s="211" t="str">
        <f>IFERROR(__xludf.DUMMYFUNCTION("""COMPUTED_VALUE"""),"LPG 12kg")</f>
        <v>LPG 12kg</v>
      </c>
      <c r="H3978" s="211" t="str">
        <f>IFERROR(__xludf.DUMMYFUNCTION("""COMPUTED_VALUE"""),"IN")</f>
        <v>IN</v>
      </c>
      <c r="I3978" s="211" t="str">
        <f>IFERROR(__xludf.DUMMYFUNCTION("""COMPUTED_VALUE"""),"EMPTY")</f>
        <v>EMPTY</v>
      </c>
      <c r="J3978" s="211">
        <f>IFERROR(__xludf.DUMMYFUNCTION("""COMPUTED_VALUE"""),2.0)</f>
        <v>2</v>
      </c>
      <c r="K3978" s="210" t="str">
        <f>IFERROR(__xludf.DUMMYFUNCTION("""COMPUTED_VALUE"""),"L006 L001")</f>
        <v>L006 L001</v>
      </c>
      <c r="L3978" s="211">
        <f>IFERROR(__xludf.DUMMYFUNCTION("""COMPUTED_VALUE"""),0.0)</f>
        <v>0</v>
      </c>
      <c r="M3978" s="211"/>
      <c r="N3978" s="211"/>
      <c r="O3978" s="211" t="b">
        <f>IFERROR(__xludf.DUMMYFUNCTION("""COMPUTED_VALUE"""),FALSE)</f>
        <v>0</v>
      </c>
    </row>
    <row r="3979">
      <c r="A3979" s="210" t="str">
        <f>IFERROR(__xludf.DUMMYFUNCTION("""COMPUTED_VALUE"""),"1261351")</f>
        <v>1261351</v>
      </c>
      <c r="B3979" s="210" t="str">
        <f>IFERROR(__xludf.DUMMYFUNCTION("""COMPUTED_VALUE"""),"1261351")</f>
        <v>1261351</v>
      </c>
      <c r="C3979" s="213">
        <f>IFERROR(__xludf.DUMMYFUNCTION("""COMPUTED_VALUE"""),46085.37152777778)</f>
        <v>46085.37153</v>
      </c>
      <c r="D3979" s="211" t="str">
        <f>IFERROR(__xludf.DUMMYFUNCTION("""COMPUTED_VALUE"""),"f98b1e81")</f>
        <v>f98b1e81</v>
      </c>
      <c r="E3979" s="211" t="str">
        <f>IFERROR(__xludf.DUMMYFUNCTION("""COMPUTED_VALUE"""),"Bpk. Agus Salim")</f>
        <v>Bpk. Agus Salim</v>
      </c>
      <c r="F3979" s="211" t="str">
        <f>IFERROR(__xludf.DUMMYFUNCTION("""COMPUTED_VALUE"""),"7d2764f1")</f>
        <v>7d2764f1</v>
      </c>
      <c r="G3979" s="211" t="str">
        <f>IFERROR(__xludf.DUMMYFUNCTION("""COMPUTED_VALUE"""),"Oksigen 7m3")</f>
        <v>Oksigen 7m3</v>
      </c>
      <c r="H3979" s="211" t="str">
        <f>IFERROR(__xludf.DUMMYFUNCTION("""COMPUTED_VALUE"""),"IN")</f>
        <v>IN</v>
      </c>
      <c r="I3979" s="211" t="str">
        <f>IFERROR(__xludf.DUMMYFUNCTION("""COMPUTED_VALUE"""),"EMPTY")</f>
        <v>EMPTY</v>
      </c>
      <c r="J3979" s="211">
        <f>IFERROR(__xludf.DUMMYFUNCTION("""COMPUTED_VALUE"""),1.0)</f>
        <v>1</v>
      </c>
      <c r="K3979" s="210" t="str">
        <f>IFERROR(__xludf.DUMMYFUNCTION("""COMPUTED_VALUE"""),"11221")</f>
        <v>11221</v>
      </c>
      <c r="L3979" s="211">
        <f>IFERROR(__xludf.DUMMYFUNCTION("""COMPUTED_VALUE"""),0.0)</f>
        <v>0</v>
      </c>
      <c r="M3979" s="211"/>
      <c r="N3979" s="211"/>
      <c r="O3979" s="211" t="b">
        <f>IFERROR(__xludf.DUMMYFUNCTION("""COMPUTED_VALUE"""),FALSE)</f>
        <v>0</v>
      </c>
    </row>
    <row r="3980">
      <c r="A3980" s="210" t="str">
        <f>IFERROR(__xludf.DUMMYFUNCTION("""COMPUTED_VALUE"""),"1261346")</f>
        <v>1261346</v>
      </c>
      <c r="B3980" s="210" t="str">
        <f>IFERROR(__xludf.DUMMYFUNCTION("""COMPUTED_VALUE"""),"1261346")</f>
        <v>1261346</v>
      </c>
      <c r="C3980" s="213">
        <f>IFERROR(__xludf.DUMMYFUNCTION("""COMPUTED_VALUE"""),46085.371886574074)</f>
        <v>46085.37189</v>
      </c>
      <c r="D3980" s="211" t="str">
        <f>IFERROR(__xludf.DUMMYFUNCTION("""COMPUTED_VALUE"""),"98c84274")</f>
        <v>98c84274</v>
      </c>
      <c r="E3980" s="211" t="str">
        <f>IFERROR(__xludf.DUMMYFUNCTION("""COMPUTED_VALUE"""),"Bengkel SBM (Pak Hari)")</f>
        <v>Bengkel SBM (Pak Hari)</v>
      </c>
      <c r="F3980" s="211" t="str">
        <f>IFERROR(__xludf.DUMMYFUNCTION("""COMPUTED_VALUE"""),"8bdbe149")</f>
        <v>8bdbe149</v>
      </c>
      <c r="G3980" s="211" t="str">
        <f>IFERROR(__xludf.DUMMYFUNCTION("""COMPUTED_VALUE"""),"Oksigen 6m3")</f>
        <v>Oksigen 6m3</v>
      </c>
      <c r="H3980" s="211" t="str">
        <f>IFERROR(__xludf.DUMMYFUNCTION("""COMPUTED_VALUE"""),"IN")</f>
        <v>IN</v>
      </c>
      <c r="I3980" s="211" t="str">
        <f>IFERROR(__xludf.DUMMYFUNCTION("""COMPUTED_VALUE"""),"EMPTY")</f>
        <v>EMPTY</v>
      </c>
      <c r="J3980" s="211">
        <f>IFERROR(__xludf.DUMMYFUNCTION("""COMPUTED_VALUE"""),1.0)</f>
        <v>1</v>
      </c>
      <c r="K3980" s="210" t="str">
        <f>IFERROR(__xludf.DUMMYFUNCTION("""COMPUTED_VALUE"""),"11371")</f>
        <v>11371</v>
      </c>
      <c r="L3980" s="211">
        <f>IFERROR(__xludf.DUMMYFUNCTION("""COMPUTED_VALUE"""),0.0)</f>
        <v>0</v>
      </c>
      <c r="M3980" s="211"/>
      <c r="N3980" s="211"/>
      <c r="O3980" s="211" t="b">
        <f>IFERROR(__xludf.DUMMYFUNCTION("""COMPUTED_VALUE"""),FALSE)</f>
        <v>0</v>
      </c>
    </row>
    <row r="3981">
      <c r="A3981" s="210" t="str">
        <f>IFERROR(__xludf.DUMMYFUNCTION("""COMPUTED_VALUE"""),"1261346")</f>
        <v>1261346</v>
      </c>
      <c r="B3981" s="210" t="str">
        <f>IFERROR(__xludf.DUMMYFUNCTION("""COMPUTED_VALUE"""),"1261346")</f>
        <v>1261346</v>
      </c>
      <c r="C3981" s="213">
        <f>IFERROR(__xludf.DUMMYFUNCTION("""COMPUTED_VALUE"""),46085.371886574074)</f>
        <v>46085.37189</v>
      </c>
      <c r="D3981" s="211" t="str">
        <f>IFERROR(__xludf.DUMMYFUNCTION("""COMPUTED_VALUE"""),"98c84274")</f>
        <v>98c84274</v>
      </c>
      <c r="E3981" s="211" t="str">
        <f>IFERROR(__xludf.DUMMYFUNCTION("""COMPUTED_VALUE"""),"Bengkel SBM (Pak Hari)")</f>
        <v>Bengkel SBM (Pak Hari)</v>
      </c>
      <c r="F3981" s="211" t="str">
        <f>IFERROR(__xludf.DUMMYFUNCTION("""COMPUTED_VALUE"""),"ef306e54")</f>
        <v>ef306e54</v>
      </c>
      <c r="G3981" s="211" t="str">
        <f>IFERROR(__xludf.DUMMYFUNCTION("""COMPUTED_VALUE"""),"Karbondioksida")</f>
        <v>Karbondioksida</v>
      </c>
      <c r="H3981" s="211" t="str">
        <f>IFERROR(__xludf.DUMMYFUNCTION("""COMPUTED_VALUE"""),"IN")</f>
        <v>IN</v>
      </c>
      <c r="I3981" s="211" t="str">
        <f>IFERROR(__xludf.DUMMYFUNCTION("""COMPUTED_VALUE"""),"EMPTY")</f>
        <v>EMPTY</v>
      </c>
      <c r="J3981" s="211">
        <f>IFERROR(__xludf.DUMMYFUNCTION("""COMPUTED_VALUE"""),2.0)</f>
        <v>2</v>
      </c>
      <c r="K3981" s="210" t="str">
        <f>IFERROR(__xludf.DUMMYFUNCTION("""COMPUTED_VALUE"""),"13043 13056")</f>
        <v>13043 13056</v>
      </c>
      <c r="L3981" s="211">
        <f>IFERROR(__xludf.DUMMYFUNCTION("""COMPUTED_VALUE"""),0.0)</f>
        <v>0</v>
      </c>
      <c r="M3981" s="211"/>
      <c r="N3981" s="211"/>
      <c r="O3981" s="211" t="b">
        <f>IFERROR(__xludf.DUMMYFUNCTION("""COMPUTED_VALUE"""),FALSE)</f>
        <v>0</v>
      </c>
    </row>
    <row r="3982">
      <c r="A3982" s="210" t="str">
        <f>IFERROR(__xludf.DUMMYFUNCTION("""COMPUTED_VALUE"""),"1261353")</f>
        <v>1261353</v>
      </c>
      <c r="B3982" s="210" t="str">
        <f>IFERROR(__xludf.DUMMYFUNCTION("""COMPUTED_VALUE"""),"1261353")</f>
        <v>1261353</v>
      </c>
      <c r="C3982" s="213">
        <f>IFERROR(__xludf.DUMMYFUNCTION("""COMPUTED_VALUE"""),46085.37275462963)</f>
        <v>46085.37275</v>
      </c>
      <c r="D3982" s="211" t="str">
        <f>IFERROR(__xludf.DUMMYFUNCTION("""COMPUTED_VALUE"""),"057b6b99")</f>
        <v>057b6b99</v>
      </c>
      <c r="E3982" s="211" t="str">
        <f>IFERROR(__xludf.DUMMYFUNCTION("""COMPUTED_VALUE"""),"PT Anuta Utama Transport")</f>
        <v>PT Anuta Utama Transport</v>
      </c>
      <c r="F3982" s="211" t="str">
        <f>IFERROR(__xludf.DUMMYFUNCTION("""COMPUTED_VALUE"""),"7d2764f1")</f>
        <v>7d2764f1</v>
      </c>
      <c r="G3982" s="211" t="str">
        <f>IFERROR(__xludf.DUMMYFUNCTION("""COMPUTED_VALUE"""),"Oksigen 7m3")</f>
        <v>Oksigen 7m3</v>
      </c>
      <c r="H3982" s="211" t="str">
        <f>IFERROR(__xludf.DUMMYFUNCTION("""COMPUTED_VALUE"""),"IN")</f>
        <v>IN</v>
      </c>
      <c r="I3982" s="211" t="str">
        <f>IFERROR(__xludf.DUMMYFUNCTION("""COMPUTED_VALUE"""),"EMPTY")</f>
        <v>EMPTY</v>
      </c>
      <c r="J3982" s="211">
        <f>IFERROR(__xludf.DUMMYFUNCTION("""COMPUTED_VALUE"""),2.0)</f>
        <v>2</v>
      </c>
      <c r="K3982" s="210" t="str">
        <f>IFERROR(__xludf.DUMMYFUNCTION("""COMPUTED_VALUE"""),"11305 11157")</f>
        <v>11305 11157</v>
      </c>
      <c r="L3982" s="211">
        <f>IFERROR(__xludf.DUMMYFUNCTION("""COMPUTED_VALUE"""),0.0)</f>
        <v>0</v>
      </c>
      <c r="M3982" s="211"/>
      <c r="N3982" s="211"/>
      <c r="O3982" s="211" t="b">
        <f>IFERROR(__xludf.DUMMYFUNCTION("""COMPUTED_VALUE"""),FALSE)</f>
        <v>0</v>
      </c>
    </row>
    <row r="3983">
      <c r="A3983" s="210" t="str">
        <f>IFERROR(__xludf.DUMMYFUNCTION("""COMPUTED_VALUE"""),"1261353")</f>
        <v>1261353</v>
      </c>
      <c r="B3983" s="210" t="str">
        <f>IFERROR(__xludf.DUMMYFUNCTION("""COMPUTED_VALUE"""),"1261353")</f>
        <v>1261353</v>
      </c>
      <c r="C3983" s="213">
        <f>IFERROR(__xludf.DUMMYFUNCTION("""COMPUTED_VALUE"""),46085.37275462963)</f>
        <v>46085.37275</v>
      </c>
      <c r="D3983" s="211" t="str">
        <f>IFERROR(__xludf.DUMMYFUNCTION("""COMPUTED_VALUE"""),"057b6b99")</f>
        <v>057b6b99</v>
      </c>
      <c r="E3983" s="211" t="str">
        <f>IFERROR(__xludf.DUMMYFUNCTION("""COMPUTED_VALUE"""),"PT Anuta Utama Transport")</f>
        <v>PT Anuta Utama Transport</v>
      </c>
      <c r="F3983" s="211" t="str">
        <f>IFERROR(__xludf.DUMMYFUNCTION("""COMPUTED_VALUE"""),"8bdbe149")</f>
        <v>8bdbe149</v>
      </c>
      <c r="G3983" s="211" t="str">
        <f>IFERROR(__xludf.DUMMYFUNCTION("""COMPUTED_VALUE"""),"Oksigen 6m3")</f>
        <v>Oksigen 6m3</v>
      </c>
      <c r="H3983" s="211" t="str">
        <f>IFERROR(__xludf.DUMMYFUNCTION("""COMPUTED_VALUE"""),"IN")</f>
        <v>IN</v>
      </c>
      <c r="I3983" s="211" t="str">
        <f>IFERROR(__xludf.DUMMYFUNCTION("""COMPUTED_VALUE"""),"EMPTY")</f>
        <v>EMPTY</v>
      </c>
      <c r="J3983" s="211">
        <f>IFERROR(__xludf.DUMMYFUNCTION("""COMPUTED_VALUE"""),2.0)</f>
        <v>2</v>
      </c>
      <c r="K3983" s="210" t="str">
        <f>IFERROR(__xludf.DUMMYFUNCTION("""COMPUTED_VALUE"""),"11344 11384")</f>
        <v>11344 11384</v>
      </c>
      <c r="L3983" s="211">
        <f>IFERROR(__xludf.DUMMYFUNCTION("""COMPUTED_VALUE"""),0.0)</f>
        <v>0</v>
      </c>
      <c r="M3983" s="211"/>
      <c r="N3983" s="211"/>
      <c r="O3983" s="211" t="b">
        <f>IFERROR(__xludf.DUMMYFUNCTION("""COMPUTED_VALUE"""),FALSE)</f>
        <v>0</v>
      </c>
    </row>
    <row r="3984">
      <c r="A3984" s="210" t="str">
        <f>IFERROR(__xludf.DUMMYFUNCTION("""COMPUTED_VALUE"""),"1261352")</f>
        <v>1261352</v>
      </c>
      <c r="B3984" s="210" t="str">
        <f>IFERROR(__xludf.DUMMYFUNCTION("""COMPUTED_VALUE"""),"1261352")</f>
        <v>1261352</v>
      </c>
      <c r="C3984" s="213">
        <f>IFERROR(__xludf.DUMMYFUNCTION("""COMPUTED_VALUE"""),46085.37355324074)</f>
        <v>46085.37355</v>
      </c>
      <c r="D3984" s="211" t="str">
        <f>IFERROR(__xludf.DUMMYFUNCTION("""COMPUTED_VALUE"""),"8b765561")</f>
        <v>8b765561</v>
      </c>
      <c r="E3984" s="211" t="str">
        <f>IFERROR(__xludf.DUMMYFUNCTION("""COMPUTED_VALUE"""),"Bpk. Idris")</f>
        <v>Bpk. Idris</v>
      </c>
      <c r="F3984" s="211" t="str">
        <f>IFERROR(__xludf.DUMMYFUNCTION("""COMPUTED_VALUE"""),"8bdbe149")</f>
        <v>8bdbe149</v>
      </c>
      <c r="G3984" s="211" t="str">
        <f>IFERROR(__xludf.DUMMYFUNCTION("""COMPUTED_VALUE"""),"Oksigen 6m3")</f>
        <v>Oksigen 6m3</v>
      </c>
      <c r="H3984" s="211" t="str">
        <f>IFERROR(__xludf.DUMMYFUNCTION("""COMPUTED_VALUE"""),"IN")</f>
        <v>IN</v>
      </c>
      <c r="I3984" s="211" t="str">
        <f>IFERROR(__xludf.DUMMYFUNCTION("""COMPUTED_VALUE"""),"EMPTY")</f>
        <v>EMPTY</v>
      </c>
      <c r="J3984" s="211">
        <f>IFERROR(__xludf.DUMMYFUNCTION("""COMPUTED_VALUE"""),1.0)</f>
        <v>1</v>
      </c>
      <c r="K3984" s="210" t="str">
        <f>IFERROR(__xludf.DUMMYFUNCTION("""COMPUTED_VALUE"""),"1199")</f>
        <v>1199</v>
      </c>
      <c r="L3984" s="211">
        <f>IFERROR(__xludf.DUMMYFUNCTION("""COMPUTED_VALUE"""),0.0)</f>
        <v>0</v>
      </c>
      <c r="M3984" s="211"/>
      <c r="N3984" s="211"/>
      <c r="O3984" s="211" t="b">
        <f>IFERROR(__xludf.DUMMYFUNCTION("""COMPUTED_VALUE"""),FALSE)</f>
        <v>0</v>
      </c>
    </row>
    <row r="3985">
      <c r="A3985" s="210" t="str">
        <f>IFERROR(__xludf.DUMMYFUNCTION("""COMPUTED_VALUE"""),"1261347")</f>
        <v>1261347</v>
      </c>
      <c r="B3985" s="210" t="str">
        <f>IFERROR(__xludf.DUMMYFUNCTION("""COMPUTED_VALUE"""),"1261347")</f>
        <v>1261347</v>
      </c>
      <c r="C3985" s="213">
        <f>IFERROR(__xludf.DUMMYFUNCTION("""COMPUTED_VALUE"""),46085.37384259259)</f>
        <v>46085.37384</v>
      </c>
      <c r="D3985" s="211" t="str">
        <f>IFERROR(__xludf.DUMMYFUNCTION("""COMPUTED_VALUE"""),"58b72e0c")</f>
        <v>58b72e0c</v>
      </c>
      <c r="E3985" s="211" t="str">
        <f>IFERROR(__xludf.DUMMYFUNCTION("""COMPUTED_VALUE"""),"UD. Ais Jaya")</f>
        <v>UD. Ais Jaya</v>
      </c>
      <c r="F3985" s="211" t="str">
        <f>IFERROR(__xludf.DUMMYFUNCTION("""COMPUTED_VALUE"""),"8bdbe149")</f>
        <v>8bdbe149</v>
      </c>
      <c r="G3985" s="211" t="str">
        <f>IFERROR(__xludf.DUMMYFUNCTION("""COMPUTED_VALUE"""),"Oksigen 6m3")</f>
        <v>Oksigen 6m3</v>
      </c>
      <c r="H3985" s="211" t="str">
        <f>IFERROR(__xludf.DUMMYFUNCTION("""COMPUTED_VALUE"""),"IN")</f>
        <v>IN</v>
      </c>
      <c r="I3985" s="211" t="str">
        <f>IFERROR(__xludf.DUMMYFUNCTION("""COMPUTED_VALUE"""),"EMPTY")</f>
        <v>EMPTY</v>
      </c>
      <c r="J3985" s="211">
        <f>IFERROR(__xludf.DUMMYFUNCTION("""COMPUTED_VALUE"""),2.0)</f>
        <v>2</v>
      </c>
      <c r="K3985" s="210" t="str">
        <f>IFERROR(__xludf.DUMMYFUNCTION("""COMPUTED_VALUE"""),"11320 11321")</f>
        <v>11320 11321</v>
      </c>
      <c r="L3985" s="211">
        <f>IFERROR(__xludf.DUMMYFUNCTION("""COMPUTED_VALUE"""),0.0)</f>
        <v>0</v>
      </c>
      <c r="M3985" s="211"/>
      <c r="N3985" s="211"/>
      <c r="O3985" s="211" t="b">
        <f>IFERROR(__xludf.DUMMYFUNCTION("""COMPUTED_VALUE"""),FALSE)</f>
        <v>0</v>
      </c>
    </row>
    <row r="3986">
      <c r="A3986" s="210" t="str">
        <f>IFERROR(__xludf.DUMMYFUNCTION("""COMPUTED_VALUE"""),"0326912737")</f>
        <v>0326912737</v>
      </c>
      <c r="B3986" s="210" t="str">
        <f>IFERROR(__xludf.DUMMYFUNCTION("""COMPUTED_VALUE"""),"0326912737")</f>
        <v>0326912737</v>
      </c>
      <c r="C3986" s="213">
        <f>IFERROR(__xludf.DUMMYFUNCTION("""COMPUTED_VALUE"""),46086.35990740741)</f>
        <v>46086.35991</v>
      </c>
      <c r="D3986" s="211" t="str">
        <f>IFERROR(__xludf.DUMMYFUNCTION("""COMPUTED_VALUE"""),"b2b5f2c5")</f>
        <v>b2b5f2c5</v>
      </c>
      <c r="E3986" s="211" t="str">
        <f>IFERROR(__xludf.DUMMYFUNCTION("""COMPUTED_VALUE"""),"Bengkel Las Bpk. Ari")</f>
        <v>Bengkel Las Bpk. Ari</v>
      </c>
      <c r="F3986" s="211" t="str">
        <f>IFERROR(__xludf.DUMMYFUNCTION("""COMPUTED_VALUE"""),"ef306e54")</f>
        <v>ef306e54</v>
      </c>
      <c r="G3986" s="211" t="str">
        <f>IFERROR(__xludf.DUMMYFUNCTION("""COMPUTED_VALUE"""),"Karbondioksida")</f>
        <v>Karbondioksida</v>
      </c>
      <c r="H3986" s="211" t="str">
        <f>IFERROR(__xludf.DUMMYFUNCTION("""COMPUTED_VALUE"""),"OUT")</f>
        <v>OUT</v>
      </c>
      <c r="I3986" s="211" t="str">
        <f>IFERROR(__xludf.DUMMYFUNCTION("""COMPUTED_VALUE"""),"NORMAL")</f>
        <v>NORMAL</v>
      </c>
      <c r="J3986" s="211">
        <f>IFERROR(__xludf.DUMMYFUNCTION("""COMPUTED_VALUE"""),2.0)</f>
        <v>2</v>
      </c>
      <c r="K3986" s="210" t="str">
        <f>IFERROR(__xludf.DUMMYFUNCTION("""COMPUTED_VALUE"""),"13015 13041")</f>
        <v>13015 13041</v>
      </c>
      <c r="L3986" s="211">
        <f>IFERROR(__xludf.DUMMYFUNCTION("""COMPUTED_VALUE"""),180000.0)</f>
        <v>180000</v>
      </c>
      <c r="M3986" s="211"/>
      <c r="N3986" s="211"/>
      <c r="O3986" s="211" t="b">
        <f>IFERROR(__xludf.DUMMYFUNCTION("""COMPUTED_VALUE"""),FALSE)</f>
        <v>0</v>
      </c>
    </row>
    <row r="3987">
      <c r="A3987" s="210" t="str">
        <f>IFERROR(__xludf.DUMMYFUNCTION("""COMPUTED_VALUE"""),"0326202738")</f>
        <v>0326202738</v>
      </c>
      <c r="B3987" s="210" t="str">
        <f>IFERROR(__xludf.DUMMYFUNCTION("""COMPUTED_VALUE"""),"0326202738")</f>
        <v>0326202738</v>
      </c>
      <c r="C3987" s="213">
        <f>IFERROR(__xludf.DUMMYFUNCTION("""COMPUTED_VALUE"""),46086.37599537037)</f>
        <v>46086.376</v>
      </c>
      <c r="D3987" s="211" t="str">
        <f>IFERROR(__xludf.DUMMYFUNCTION("""COMPUTED_VALUE"""),"a0f0ad2d")</f>
        <v>a0f0ad2d</v>
      </c>
      <c r="E3987" s="211" t="str">
        <f>IFERROR(__xludf.DUMMYFUNCTION("""COMPUTED_VALUE"""),"CV. Yulie Jaya")</f>
        <v>CV. Yulie Jaya</v>
      </c>
      <c r="F3987" s="211" t="str">
        <f>IFERROR(__xludf.DUMMYFUNCTION("""COMPUTED_VALUE"""),"8bdbe149")</f>
        <v>8bdbe149</v>
      </c>
      <c r="G3987" s="211" t="str">
        <f>IFERROR(__xludf.DUMMYFUNCTION("""COMPUTED_VALUE"""),"Oksigen 6m3")</f>
        <v>Oksigen 6m3</v>
      </c>
      <c r="H3987" s="211" t="str">
        <f>IFERROR(__xludf.DUMMYFUNCTION("""COMPUTED_VALUE"""),"OUT")</f>
        <v>OUT</v>
      </c>
      <c r="I3987" s="211" t="str">
        <f>IFERROR(__xludf.DUMMYFUNCTION("""COMPUTED_VALUE"""),"NORMAL")</f>
        <v>NORMAL</v>
      </c>
      <c r="J3987" s="211">
        <f>IFERROR(__xludf.DUMMYFUNCTION("""COMPUTED_VALUE"""),10.0)</f>
        <v>10</v>
      </c>
      <c r="K3987" s="210" t="str">
        <f>IFERROR(__xludf.DUMMYFUNCTION("""COMPUTED_VALUE"""),"11308 11277 11268 11258 1164 11123 11367 11134 11260 11115")</f>
        <v>11308 11277 11268 11258 1164 11123 11367 11134 11260 11115</v>
      </c>
      <c r="L3987" s="211">
        <f>IFERROR(__xludf.DUMMYFUNCTION("""COMPUTED_VALUE"""),60000.0)</f>
        <v>60000</v>
      </c>
      <c r="M3987" s="211"/>
      <c r="N3987" s="211"/>
      <c r="O3987" s="211" t="b">
        <f>IFERROR(__xludf.DUMMYFUNCTION("""COMPUTED_VALUE"""),FALSE)</f>
        <v>0</v>
      </c>
    </row>
    <row r="3988">
      <c r="A3988" s="210" t="str">
        <f>IFERROR(__xludf.DUMMYFUNCTION("""COMPUTED_VALUE"""),"0326202738")</f>
        <v>0326202738</v>
      </c>
      <c r="B3988" s="210" t="str">
        <f>IFERROR(__xludf.DUMMYFUNCTION("""COMPUTED_VALUE"""),"0326202738")</f>
        <v>0326202738</v>
      </c>
      <c r="C3988" s="213">
        <f>IFERROR(__xludf.DUMMYFUNCTION("""COMPUTED_VALUE"""),46086.37599537037)</f>
        <v>46086.376</v>
      </c>
      <c r="D3988" s="211" t="str">
        <f>IFERROR(__xludf.DUMMYFUNCTION("""COMPUTED_VALUE"""),"a0f0ad2d")</f>
        <v>a0f0ad2d</v>
      </c>
      <c r="E3988" s="211" t="str">
        <f>IFERROR(__xludf.DUMMYFUNCTION("""COMPUTED_VALUE"""),"CV. Yulie Jaya")</f>
        <v>CV. Yulie Jaya</v>
      </c>
      <c r="F3988" s="211" t="str">
        <f>IFERROR(__xludf.DUMMYFUNCTION("""COMPUTED_VALUE"""),"be525f3b")</f>
        <v>be525f3b</v>
      </c>
      <c r="G3988" s="211" t="str">
        <f>IFERROR(__xludf.DUMMYFUNCTION("""COMPUTED_VALUE"""),"LPG 12kg")</f>
        <v>LPG 12kg</v>
      </c>
      <c r="H3988" s="211" t="str">
        <f>IFERROR(__xludf.DUMMYFUNCTION("""COMPUTED_VALUE"""),"OUT")</f>
        <v>OUT</v>
      </c>
      <c r="I3988" s="211" t="str">
        <f>IFERROR(__xludf.DUMMYFUNCTION("""COMPUTED_VALUE"""),"NORMAL")</f>
        <v>NORMAL</v>
      </c>
      <c r="J3988" s="211">
        <f>IFERROR(__xludf.DUMMYFUNCTION("""COMPUTED_VALUE"""),2.0)</f>
        <v>2</v>
      </c>
      <c r="K3988" s="210" t="str">
        <f>IFERROR(__xludf.DUMMYFUNCTION("""COMPUTED_VALUE"""),"L009 L008")</f>
        <v>L009 L008</v>
      </c>
      <c r="L3988" s="211">
        <f>IFERROR(__xludf.DUMMYFUNCTION("""COMPUTED_VALUE"""),215000.0)</f>
        <v>215000</v>
      </c>
      <c r="M3988" s="211"/>
      <c r="N3988" s="211"/>
      <c r="O3988" s="211" t="b">
        <f>IFERROR(__xludf.DUMMYFUNCTION("""COMPUTED_VALUE"""),FALSE)</f>
        <v>0</v>
      </c>
    </row>
    <row r="3989">
      <c r="A3989" s="210" t="str">
        <f>IFERROR(__xludf.DUMMYFUNCTION("""COMPUTED_VALUE"""),"1261354")</f>
        <v>1261354</v>
      </c>
      <c r="B3989" s="210" t="str">
        <f>IFERROR(__xludf.DUMMYFUNCTION("""COMPUTED_VALUE"""),"1261354")</f>
        <v>1261354</v>
      </c>
      <c r="C3989" s="213">
        <f>IFERROR(__xludf.DUMMYFUNCTION("""COMPUTED_VALUE"""),46086.50802083333)</f>
        <v>46086.50802</v>
      </c>
      <c r="D3989" s="211" t="str">
        <f>IFERROR(__xludf.DUMMYFUNCTION("""COMPUTED_VALUE"""),"a0f0ad2d")</f>
        <v>a0f0ad2d</v>
      </c>
      <c r="E3989" s="211" t="str">
        <f>IFERROR(__xludf.DUMMYFUNCTION("""COMPUTED_VALUE"""),"CV. Yulie Jaya")</f>
        <v>CV. Yulie Jaya</v>
      </c>
      <c r="F3989" s="211" t="str">
        <f>IFERROR(__xludf.DUMMYFUNCTION("""COMPUTED_VALUE"""),"7d2764f1")</f>
        <v>7d2764f1</v>
      </c>
      <c r="G3989" s="211" t="str">
        <f>IFERROR(__xludf.DUMMYFUNCTION("""COMPUTED_VALUE"""),"Oksigen 7m3")</f>
        <v>Oksigen 7m3</v>
      </c>
      <c r="H3989" s="211" t="str">
        <f>IFERROR(__xludf.DUMMYFUNCTION("""COMPUTED_VALUE"""),"IN")</f>
        <v>IN</v>
      </c>
      <c r="I3989" s="211" t="str">
        <f>IFERROR(__xludf.DUMMYFUNCTION("""COMPUTED_VALUE"""),"EMPTY")</f>
        <v>EMPTY</v>
      </c>
      <c r="J3989" s="211">
        <f>IFERROR(__xludf.DUMMYFUNCTION("""COMPUTED_VALUE"""),6.0)</f>
        <v>6</v>
      </c>
      <c r="K3989" s="210" t="str">
        <f>IFERROR(__xludf.DUMMYFUNCTION("""COMPUTED_VALUE"""),"11167 11152 11307 11151 11329 11144")</f>
        <v>11167 11152 11307 11151 11329 11144</v>
      </c>
      <c r="L3989" s="211">
        <f>IFERROR(__xludf.DUMMYFUNCTION("""COMPUTED_VALUE"""),0.0)</f>
        <v>0</v>
      </c>
      <c r="M3989" s="211"/>
      <c r="N3989" s="211"/>
      <c r="O3989" s="211" t="b">
        <f>IFERROR(__xludf.DUMMYFUNCTION("""COMPUTED_VALUE"""),FALSE)</f>
        <v>0</v>
      </c>
    </row>
    <row r="3990">
      <c r="A3990" s="210" t="str">
        <f>IFERROR(__xludf.DUMMYFUNCTION("""COMPUTED_VALUE"""),"1261355")</f>
        <v>1261355</v>
      </c>
      <c r="B3990" s="210" t="str">
        <f>IFERROR(__xludf.DUMMYFUNCTION("""COMPUTED_VALUE"""),"1261355")</f>
        <v>1261355</v>
      </c>
      <c r="C3990" s="213">
        <f>IFERROR(__xludf.DUMMYFUNCTION("""COMPUTED_VALUE"""),46086.50896990741)</f>
        <v>46086.50897</v>
      </c>
      <c r="D3990" s="211" t="str">
        <f>IFERROR(__xludf.DUMMYFUNCTION("""COMPUTED_VALUE"""),"d9b2fac5")</f>
        <v>d9b2fac5</v>
      </c>
      <c r="E3990" s="211" t="str">
        <f>IFERROR(__xludf.DUMMYFUNCTION("""COMPUTED_VALUE"""),"Dwi Riza ( Ponokawan)")</f>
        <v>Dwi Riza ( Ponokawan)</v>
      </c>
      <c r="F3990" s="211" t="str">
        <f>IFERROR(__xludf.DUMMYFUNCTION("""COMPUTED_VALUE"""),"8bdbe149")</f>
        <v>8bdbe149</v>
      </c>
      <c r="G3990" s="211" t="str">
        <f>IFERROR(__xludf.DUMMYFUNCTION("""COMPUTED_VALUE"""),"Oksigen 6m3")</f>
        <v>Oksigen 6m3</v>
      </c>
      <c r="H3990" s="211" t="str">
        <f>IFERROR(__xludf.DUMMYFUNCTION("""COMPUTED_VALUE"""),"IN")</f>
        <v>IN</v>
      </c>
      <c r="I3990" s="211" t="str">
        <f>IFERROR(__xludf.DUMMYFUNCTION("""COMPUTED_VALUE"""),"EMPTY")</f>
        <v>EMPTY</v>
      </c>
      <c r="J3990" s="211">
        <f>IFERROR(__xludf.DUMMYFUNCTION("""COMPUTED_VALUE"""),4.0)</f>
        <v>4</v>
      </c>
      <c r="K3990" s="210" t="str">
        <f>IFERROR(__xludf.DUMMYFUNCTION("""COMPUTED_VALUE"""),"11360 1138 11341 11376")</f>
        <v>11360 1138 11341 11376</v>
      </c>
      <c r="L3990" s="211">
        <f>IFERROR(__xludf.DUMMYFUNCTION("""COMPUTED_VALUE"""),0.0)</f>
        <v>0</v>
      </c>
      <c r="M3990" s="211"/>
      <c r="N3990" s="211"/>
      <c r="O3990" s="211" t="b">
        <f>IFERROR(__xludf.DUMMYFUNCTION("""COMPUTED_VALUE"""),FALSE)</f>
        <v>0</v>
      </c>
    </row>
    <row r="3991">
      <c r="A3991" s="210" t="str">
        <f>IFERROR(__xludf.DUMMYFUNCTION("""COMPUTED_VALUE"""),"1261357")</f>
        <v>1261357</v>
      </c>
      <c r="B3991" s="210" t="str">
        <f>IFERROR(__xludf.DUMMYFUNCTION("""COMPUTED_VALUE"""),"1261357")</f>
        <v>1261357</v>
      </c>
      <c r="C3991" s="213">
        <f>IFERROR(__xludf.DUMMYFUNCTION("""COMPUTED_VALUE"""),46086.50954861111)</f>
        <v>46086.50955</v>
      </c>
      <c r="D3991" s="211" t="str">
        <f>IFERROR(__xludf.DUMMYFUNCTION("""COMPUTED_VALUE"""),"63fc688a")</f>
        <v>63fc688a</v>
      </c>
      <c r="E3991" s="211" t="str">
        <f>IFERROR(__xludf.DUMMYFUNCTION("""COMPUTED_VALUE"""),"CV Malik Nusantara")</f>
        <v>CV Malik Nusantara</v>
      </c>
      <c r="F3991" s="211" t="str">
        <f>IFERROR(__xludf.DUMMYFUNCTION("""COMPUTED_VALUE"""),"8bdbe149")</f>
        <v>8bdbe149</v>
      </c>
      <c r="G3991" s="211" t="str">
        <f>IFERROR(__xludf.DUMMYFUNCTION("""COMPUTED_VALUE"""),"Oksigen 6m3")</f>
        <v>Oksigen 6m3</v>
      </c>
      <c r="H3991" s="211" t="str">
        <f>IFERROR(__xludf.DUMMYFUNCTION("""COMPUTED_VALUE"""),"IN")</f>
        <v>IN</v>
      </c>
      <c r="I3991" s="211" t="str">
        <f>IFERROR(__xludf.DUMMYFUNCTION("""COMPUTED_VALUE"""),"EMPTY")</f>
        <v>EMPTY</v>
      </c>
      <c r="J3991" s="211">
        <f>IFERROR(__xludf.DUMMYFUNCTION("""COMPUTED_VALUE"""),10.0)</f>
        <v>10</v>
      </c>
      <c r="K3991" s="210" t="str">
        <f>IFERROR(__xludf.DUMMYFUNCTION("""COMPUTED_VALUE"""),"11319 11309 11282 11375 11379 11131 1197 1134 11348 11358")</f>
        <v>11319 11309 11282 11375 11379 11131 1197 1134 11348 11358</v>
      </c>
      <c r="L3991" s="211">
        <f>IFERROR(__xludf.DUMMYFUNCTION("""COMPUTED_VALUE"""),0.0)</f>
        <v>0</v>
      </c>
      <c r="M3991" s="211"/>
      <c r="N3991" s="211"/>
      <c r="O3991" s="211" t="b">
        <f>IFERROR(__xludf.DUMMYFUNCTION("""COMPUTED_VALUE"""),FALSE)</f>
        <v>0</v>
      </c>
    </row>
    <row r="3992">
      <c r="A3992" s="210" t="str">
        <f>IFERROR(__xludf.DUMMYFUNCTION("""COMPUTED_VALUE"""),"1261356")</f>
        <v>1261356</v>
      </c>
      <c r="B3992" s="210" t="str">
        <f>IFERROR(__xludf.DUMMYFUNCTION("""COMPUTED_VALUE"""),"1261356")</f>
        <v>1261356</v>
      </c>
      <c r="C3992" s="213">
        <f>IFERROR(__xludf.DUMMYFUNCTION("""COMPUTED_VALUE"""),46086.510659722226)</f>
        <v>46086.51066</v>
      </c>
      <c r="D3992" s="211" t="str">
        <f>IFERROR(__xludf.DUMMYFUNCTION("""COMPUTED_VALUE"""),"440df1db")</f>
        <v>440df1db</v>
      </c>
      <c r="E3992" s="211" t="str">
        <f>IFERROR(__xludf.DUMMYFUNCTION("""COMPUTED_VALUE"""),"PT. Mecca Abadi Sejahtera")</f>
        <v>PT. Mecca Abadi Sejahtera</v>
      </c>
      <c r="F3992" s="211" t="str">
        <f>IFERROR(__xludf.DUMMYFUNCTION("""COMPUTED_VALUE"""),"ef306e54")</f>
        <v>ef306e54</v>
      </c>
      <c r="G3992" s="211" t="str">
        <f>IFERROR(__xludf.DUMMYFUNCTION("""COMPUTED_VALUE"""),"Karbondioksida")</f>
        <v>Karbondioksida</v>
      </c>
      <c r="H3992" s="211" t="str">
        <f>IFERROR(__xludf.DUMMYFUNCTION("""COMPUTED_VALUE"""),"IN")</f>
        <v>IN</v>
      </c>
      <c r="I3992" s="211" t="str">
        <f>IFERROR(__xludf.DUMMYFUNCTION("""COMPUTED_VALUE"""),"EMPTY")</f>
        <v>EMPTY</v>
      </c>
      <c r="J3992" s="211">
        <f>IFERROR(__xludf.DUMMYFUNCTION("""COMPUTED_VALUE"""),2.0)</f>
        <v>2</v>
      </c>
      <c r="K3992" s="210" t="str">
        <f>IFERROR(__xludf.DUMMYFUNCTION("""COMPUTED_VALUE"""),"13045 13048")</f>
        <v>13045 13048</v>
      </c>
      <c r="L3992" s="211">
        <f>IFERROR(__xludf.DUMMYFUNCTION("""COMPUTED_VALUE"""),0.0)</f>
        <v>0</v>
      </c>
      <c r="M3992" s="211"/>
      <c r="N3992" s="211"/>
      <c r="O3992" s="211" t="b">
        <f>IFERROR(__xludf.DUMMYFUNCTION("""COMPUTED_VALUE"""),FALSE)</f>
        <v>0</v>
      </c>
    </row>
    <row r="3993">
      <c r="A3993" s="210" t="str">
        <f>IFERROR(__xludf.DUMMYFUNCTION("""COMPUTED_VALUE"""),"032662751")</f>
        <v>032662751</v>
      </c>
      <c r="B3993" s="210" t="str">
        <f>IFERROR(__xludf.DUMMYFUNCTION("""COMPUTED_VALUE"""),"032662751")</f>
        <v>032662751</v>
      </c>
      <c r="C3993" s="213">
        <f>IFERROR(__xludf.DUMMYFUNCTION("""COMPUTED_VALUE"""),46086.563252314816)</f>
        <v>46086.56325</v>
      </c>
      <c r="D3993" s="211" t="str">
        <f>IFERROR(__xludf.DUMMYFUNCTION("""COMPUTED_VALUE"""),"d9b2fac5")</f>
        <v>d9b2fac5</v>
      </c>
      <c r="E3993" s="211" t="str">
        <f>IFERROR(__xludf.DUMMYFUNCTION("""COMPUTED_VALUE"""),"Dwi Riza ( Ponokawan)")</f>
        <v>Dwi Riza ( Ponokawan)</v>
      </c>
      <c r="F3993" s="211" t="str">
        <f>IFERROR(__xludf.DUMMYFUNCTION("""COMPUTED_VALUE"""),"8bdbe149")</f>
        <v>8bdbe149</v>
      </c>
      <c r="G3993" s="211" t="str">
        <f>IFERROR(__xludf.DUMMYFUNCTION("""COMPUTED_VALUE"""),"Oksigen 6m3")</f>
        <v>Oksigen 6m3</v>
      </c>
      <c r="H3993" s="211" t="str">
        <f>IFERROR(__xludf.DUMMYFUNCTION("""COMPUTED_VALUE"""),"OUT")</f>
        <v>OUT</v>
      </c>
      <c r="I3993" s="211" t="str">
        <f>IFERROR(__xludf.DUMMYFUNCTION("""COMPUTED_VALUE"""),"NORMAL")</f>
        <v>NORMAL</v>
      </c>
      <c r="J3993" s="211">
        <f>IFERROR(__xludf.DUMMYFUNCTION("""COMPUTED_VALUE"""),5.0)</f>
        <v>5</v>
      </c>
      <c r="K3993" s="210" t="str">
        <f>IFERROR(__xludf.DUMMYFUNCTION("""COMPUTED_VALUE"""),"11377 1133 11117 1116 1199")</f>
        <v>11377 1133 11117 1116 1199</v>
      </c>
      <c r="L3993" s="211">
        <f>IFERROR(__xludf.DUMMYFUNCTION("""COMPUTED_VALUE"""),50000.0)</f>
        <v>50000</v>
      </c>
      <c r="M3993" s="211"/>
      <c r="N3993" s="211"/>
      <c r="O3993" s="211" t="b">
        <f>IFERROR(__xludf.DUMMYFUNCTION("""COMPUTED_VALUE"""),FALSE)</f>
        <v>0</v>
      </c>
    </row>
    <row r="3994">
      <c r="A3994" s="210" t="str">
        <f>IFERROR(__xludf.DUMMYFUNCTION("""COMPUTED_VALUE"""),"1261345")</f>
        <v>1261345</v>
      </c>
      <c r="B3994" s="210" t="str">
        <f>IFERROR(__xludf.DUMMYFUNCTION("""COMPUTED_VALUE"""),"1261345")</f>
        <v>1261345</v>
      </c>
      <c r="C3994" s="213">
        <f>IFERROR(__xludf.DUMMYFUNCTION("""COMPUTED_VALUE"""),46086.568553240744)</f>
        <v>46086.56855</v>
      </c>
      <c r="D3994" s="211" t="str">
        <f>IFERROR(__xludf.DUMMYFUNCTION("""COMPUTED_VALUE"""),"03ff52db")</f>
        <v>03ff52db</v>
      </c>
      <c r="E3994" s="211" t="str">
        <f>IFERROR(__xludf.DUMMYFUNCTION("""COMPUTED_VALUE"""),"Aneka Teknik Logam")</f>
        <v>Aneka Teknik Logam</v>
      </c>
      <c r="F3994" s="211" t="str">
        <f>IFERROR(__xludf.DUMMYFUNCTION("""COMPUTED_VALUE"""),"8bdbe149")</f>
        <v>8bdbe149</v>
      </c>
      <c r="G3994" s="211" t="str">
        <f>IFERROR(__xludf.DUMMYFUNCTION("""COMPUTED_VALUE"""),"Oksigen 6m3")</f>
        <v>Oksigen 6m3</v>
      </c>
      <c r="H3994" s="211" t="str">
        <f>IFERROR(__xludf.DUMMYFUNCTION("""COMPUTED_VALUE"""),"IN")</f>
        <v>IN</v>
      </c>
      <c r="I3994" s="211" t="str">
        <f>IFERROR(__xludf.DUMMYFUNCTION("""COMPUTED_VALUE"""),"EMPTY")</f>
        <v>EMPTY</v>
      </c>
      <c r="J3994" s="211">
        <f>IFERROR(__xludf.DUMMYFUNCTION("""COMPUTED_VALUE"""),1.0)</f>
        <v>1</v>
      </c>
      <c r="K3994" s="210" t="str">
        <f>IFERROR(__xludf.DUMMYFUNCTION("""COMPUTED_VALUE"""),"1120")</f>
        <v>1120</v>
      </c>
      <c r="L3994" s="211">
        <f>IFERROR(__xludf.DUMMYFUNCTION("""COMPUTED_VALUE"""),0.0)</f>
        <v>0</v>
      </c>
      <c r="M3994" s="211"/>
      <c r="N3994" s="211"/>
      <c r="O3994" s="211" t="b">
        <f>IFERROR(__xludf.DUMMYFUNCTION("""COMPUTED_VALUE"""),FALSE)</f>
        <v>0</v>
      </c>
    </row>
    <row r="3995">
      <c r="A3995" s="210" t="str">
        <f>IFERROR(__xludf.DUMMYFUNCTION("""COMPUTED_VALUE"""),"1261344")</f>
        <v>1261344</v>
      </c>
      <c r="B3995" s="210" t="str">
        <f>IFERROR(__xludf.DUMMYFUNCTION("""COMPUTED_VALUE"""),"1261344")</f>
        <v>1261344</v>
      </c>
      <c r="C3995" s="213">
        <f>IFERROR(__xludf.DUMMYFUNCTION("""COMPUTED_VALUE"""),46086.568877314814)</f>
        <v>46086.56888</v>
      </c>
      <c r="D3995" s="211" t="str">
        <f>IFERROR(__xludf.DUMMYFUNCTION("""COMPUTED_VALUE"""),"b2b5f2c5")</f>
        <v>b2b5f2c5</v>
      </c>
      <c r="E3995" s="211" t="str">
        <f>IFERROR(__xludf.DUMMYFUNCTION("""COMPUTED_VALUE"""),"Bengkel Las Bpk. Ari")</f>
        <v>Bengkel Las Bpk. Ari</v>
      </c>
      <c r="F3995" s="211" t="str">
        <f>IFERROR(__xludf.DUMMYFUNCTION("""COMPUTED_VALUE"""),"8bdbe149")</f>
        <v>8bdbe149</v>
      </c>
      <c r="G3995" s="211" t="str">
        <f>IFERROR(__xludf.DUMMYFUNCTION("""COMPUTED_VALUE"""),"Oksigen 6m3")</f>
        <v>Oksigen 6m3</v>
      </c>
      <c r="H3995" s="211" t="str">
        <f>IFERROR(__xludf.DUMMYFUNCTION("""COMPUTED_VALUE"""),"IN")</f>
        <v>IN</v>
      </c>
      <c r="I3995" s="211" t="str">
        <f>IFERROR(__xludf.DUMMYFUNCTION("""COMPUTED_VALUE"""),"EMPTY")</f>
        <v>EMPTY</v>
      </c>
      <c r="J3995" s="211">
        <f>IFERROR(__xludf.DUMMYFUNCTION("""COMPUTED_VALUE"""),1.0)</f>
        <v>1</v>
      </c>
      <c r="K3995" s="210" t="str">
        <f>IFERROR(__xludf.DUMMYFUNCTION("""COMPUTED_VALUE"""),"11186")</f>
        <v>11186</v>
      </c>
      <c r="L3995" s="211">
        <f>IFERROR(__xludf.DUMMYFUNCTION("""COMPUTED_VALUE"""),0.0)</f>
        <v>0</v>
      </c>
      <c r="M3995" s="211"/>
      <c r="N3995" s="211"/>
      <c r="O3995" s="211" t="b">
        <f>IFERROR(__xludf.DUMMYFUNCTION("""COMPUTED_VALUE"""),FALSE)</f>
        <v>0</v>
      </c>
    </row>
    <row r="3996">
      <c r="A3996" s="210" t="str">
        <f>IFERROR(__xludf.DUMMYFUNCTION("""COMPUTED_VALUE"""),"1261344")</f>
        <v>1261344</v>
      </c>
      <c r="B3996" s="210" t="str">
        <f>IFERROR(__xludf.DUMMYFUNCTION("""COMPUTED_VALUE"""),"1261344")</f>
        <v>1261344</v>
      </c>
      <c r="C3996" s="213">
        <f>IFERROR(__xludf.DUMMYFUNCTION("""COMPUTED_VALUE"""),46086.568877314814)</f>
        <v>46086.56888</v>
      </c>
      <c r="D3996" s="211" t="str">
        <f>IFERROR(__xludf.DUMMYFUNCTION("""COMPUTED_VALUE"""),"b2b5f2c5")</f>
        <v>b2b5f2c5</v>
      </c>
      <c r="E3996" s="211" t="str">
        <f>IFERROR(__xludf.DUMMYFUNCTION("""COMPUTED_VALUE"""),"Bengkel Las Bpk. Ari")</f>
        <v>Bengkel Las Bpk. Ari</v>
      </c>
      <c r="F3996" s="211" t="str">
        <f>IFERROR(__xludf.DUMMYFUNCTION("""COMPUTED_VALUE"""),"ef306e54")</f>
        <v>ef306e54</v>
      </c>
      <c r="G3996" s="211" t="str">
        <f>IFERROR(__xludf.DUMMYFUNCTION("""COMPUTED_VALUE"""),"Karbondioksida")</f>
        <v>Karbondioksida</v>
      </c>
      <c r="H3996" s="211" t="str">
        <f>IFERROR(__xludf.DUMMYFUNCTION("""COMPUTED_VALUE"""),"IN")</f>
        <v>IN</v>
      </c>
      <c r="I3996" s="211" t="str">
        <f>IFERROR(__xludf.DUMMYFUNCTION("""COMPUTED_VALUE"""),"EMPTY")</f>
        <v>EMPTY</v>
      </c>
      <c r="J3996" s="211">
        <f>IFERROR(__xludf.DUMMYFUNCTION("""COMPUTED_VALUE"""),2.0)</f>
        <v>2</v>
      </c>
      <c r="K3996" s="210" t="str">
        <f>IFERROR(__xludf.DUMMYFUNCTION("""COMPUTED_VALUE"""),"13027 13073")</f>
        <v>13027 13073</v>
      </c>
      <c r="L3996" s="211">
        <f>IFERROR(__xludf.DUMMYFUNCTION("""COMPUTED_VALUE"""),0.0)</f>
        <v>0</v>
      </c>
      <c r="M3996" s="211"/>
      <c r="N3996" s="211"/>
      <c r="O3996" s="211" t="b">
        <f>IFERROR(__xludf.DUMMYFUNCTION("""COMPUTED_VALUE"""),FALSE)</f>
        <v>0</v>
      </c>
    </row>
    <row r="3997">
      <c r="A3997" s="210" t="str">
        <f>IFERROR(__xludf.DUMMYFUNCTION("""COMPUTED_VALUE"""),"1261359")</f>
        <v>1261359</v>
      </c>
      <c r="B3997" s="210" t="str">
        <f>IFERROR(__xludf.DUMMYFUNCTION("""COMPUTED_VALUE"""),"1261359")</f>
        <v>1261359</v>
      </c>
      <c r="C3997" s="213">
        <f>IFERROR(__xludf.DUMMYFUNCTION("""COMPUTED_VALUE"""),46086.614212962966)</f>
        <v>46086.61421</v>
      </c>
      <c r="D3997" s="211" t="str">
        <f>IFERROR(__xludf.DUMMYFUNCTION("""COMPUTED_VALUE"""),"1c4d5e93")</f>
        <v>1c4d5e93</v>
      </c>
      <c r="E3997" s="211" t="str">
        <f>IFERROR(__xludf.DUMMYFUNCTION("""COMPUTED_VALUE"""),"Karoseri Cipta Mitra Sukses")</f>
        <v>Karoseri Cipta Mitra Sukses</v>
      </c>
      <c r="F3997" s="211" t="str">
        <f>IFERROR(__xludf.DUMMYFUNCTION("""COMPUTED_VALUE"""),"8bdbe149")</f>
        <v>8bdbe149</v>
      </c>
      <c r="G3997" s="211" t="str">
        <f>IFERROR(__xludf.DUMMYFUNCTION("""COMPUTED_VALUE"""),"Oksigen 6m3")</f>
        <v>Oksigen 6m3</v>
      </c>
      <c r="H3997" s="211" t="str">
        <f>IFERROR(__xludf.DUMMYFUNCTION("""COMPUTED_VALUE"""),"IN")</f>
        <v>IN</v>
      </c>
      <c r="I3997" s="211" t="str">
        <f>IFERROR(__xludf.DUMMYFUNCTION("""COMPUTED_VALUE"""),"EMPTY")</f>
        <v>EMPTY</v>
      </c>
      <c r="J3997" s="211">
        <f>IFERROR(__xludf.DUMMYFUNCTION("""COMPUTED_VALUE"""),2.0)</f>
        <v>2</v>
      </c>
      <c r="K3997" s="210" t="str">
        <f>IFERROR(__xludf.DUMMYFUNCTION("""COMPUTED_VALUE"""),"11372 11119")</f>
        <v>11372 11119</v>
      </c>
      <c r="L3997" s="211">
        <f>IFERROR(__xludf.DUMMYFUNCTION("""COMPUTED_VALUE"""),0.0)</f>
        <v>0</v>
      </c>
      <c r="M3997" s="211"/>
      <c r="N3997" s="211"/>
      <c r="O3997" s="211" t="b">
        <f>IFERROR(__xludf.DUMMYFUNCTION("""COMPUTED_VALUE"""),FALSE)</f>
        <v>0</v>
      </c>
    </row>
    <row r="3998">
      <c r="A3998" s="210" t="str">
        <f>IFERROR(__xludf.DUMMYFUNCTION("""COMPUTED_VALUE"""),"1261358")</f>
        <v>1261358</v>
      </c>
      <c r="B3998" s="210" t="str">
        <f>IFERROR(__xludf.DUMMYFUNCTION("""COMPUTED_VALUE"""),"1261358")</f>
        <v>1261358</v>
      </c>
      <c r="C3998" s="213">
        <f>IFERROR(__xludf.DUMMYFUNCTION("""COMPUTED_VALUE"""),46086.61456018518)</f>
        <v>46086.61456</v>
      </c>
      <c r="D3998" s="211" t="str">
        <f>IFERROR(__xludf.DUMMYFUNCTION("""COMPUTED_VALUE"""),"8ea74d81")</f>
        <v>8ea74d81</v>
      </c>
      <c r="E3998" s="211" t="str">
        <f>IFERROR(__xludf.DUMMYFUNCTION("""COMPUTED_VALUE"""),"Bengkel Adi Putra")</f>
        <v>Bengkel Adi Putra</v>
      </c>
      <c r="F3998" s="211" t="str">
        <f>IFERROR(__xludf.DUMMYFUNCTION("""COMPUTED_VALUE"""),"ef306e54")</f>
        <v>ef306e54</v>
      </c>
      <c r="G3998" s="211" t="str">
        <f>IFERROR(__xludf.DUMMYFUNCTION("""COMPUTED_VALUE"""),"Karbondioksida")</f>
        <v>Karbondioksida</v>
      </c>
      <c r="H3998" s="211" t="str">
        <f>IFERROR(__xludf.DUMMYFUNCTION("""COMPUTED_VALUE"""),"IN")</f>
        <v>IN</v>
      </c>
      <c r="I3998" s="211" t="str">
        <f>IFERROR(__xludf.DUMMYFUNCTION("""COMPUTED_VALUE"""),"EMPTY")</f>
        <v>EMPTY</v>
      </c>
      <c r="J3998" s="211">
        <f>IFERROR(__xludf.DUMMYFUNCTION("""COMPUTED_VALUE"""),3.0)</f>
        <v>3</v>
      </c>
      <c r="K3998" s="210" t="str">
        <f>IFERROR(__xludf.DUMMYFUNCTION("""COMPUTED_VALUE"""),"13007 13013 13014")</f>
        <v>13007 13013 13014</v>
      </c>
      <c r="L3998" s="211">
        <f>IFERROR(__xludf.DUMMYFUNCTION("""COMPUTED_VALUE"""),0.0)</f>
        <v>0</v>
      </c>
      <c r="M3998" s="211"/>
      <c r="N3998" s="211"/>
      <c r="O3998" s="211" t="b">
        <f>IFERROR(__xludf.DUMMYFUNCTION("""COMPUTED_VALUE"""),FALSE)</f>
        <v>0</v>
      </c>
    </row>
    <row r="3999">
      <c r="A3999" s="210" t="str">
        <f>IFERROR(__xludf.DUMMYFUNCTION("""COMPUTED_VALUE"""),"1261360")</f>
        <v>1261360</v>
      </c>
      <c r="B3999" s="210" t="str">
        <f>IFERROR(__xludf.DUMMYFUNCTION("""COMPUTED_VALUE"""),"1261360")</f>
        <v>1261360</v>
      </c>
      <c r="C3999" s="213">
        <f>IFERROR(__xludf.DUMMYFUNCTION("""COMPUTED_VALUE"""),46086.61493055556)</f>
        <v>46086.61493</v>
      </c>
      <c r="D3999" s="211" t="str">
        <f>IFERROR(__xludf.DUMMYFUNCTION("""COMPUTED_VALUE"""),"4ec68cf6")</f>
        <v>4ec68cf6</v>
      </c>
      <c r="E3999" s="211" t="str">
        <f>IFERROR(__xludf.DUMMYFUNCTION("""COMPUTED_VALUE"""),"CV Sido Mukti Karya")</f>
        <v>CV Sido Mukti Karya</v>
      </c>
      <c r="F3999" s="211" t="str">
        <f>IFERROR(__xludf.DUMMYFUNCTION("""COMPUTED_VALUE"""),"7d2764f1")</f>
        <v>7d2764f1</v>
      </c>
      <c r="G3999" s="211" t="str">
        <f>IFERROR(__xludf.DUMMYFUNCTION("""COMPUTED_VALUE"""),"Oksigen 7m3")</f>
        <v>Oksigen 7m3</v>
      </c>
      <c r="H3999" s="211" t="str">
        <f>IFERROR(__xludf.DUMMYFUNCTION("""COMPUTED_VALUE"""),"IN")</f>
        <v>IN</v>
      </c>
      <c r="I3999" s="211" t="str">
        <f>IFERROR(__xludf.DUMMYFUNCTION("""COMPUTED_VALUE"""),"EMPTY")</f>
        <v>EMPTY</v>
      </c>
      <c r="J3999" s="211">
        <f>IFERROR(__xludf.DUMMYFUNCTION("""COMPUTED_VALUE"""),2.0)</f>
        <v>2</v>
      </c>
      <c r="K3999" s="210" t="str">
        <f>IFERROR(__xludf.DUMMYFUNCTION("""COMPUTED_VALUE"""),"11269 11292")</f>
        <v>11269 11292</v>
      </c>
      <c r="L3999" s="211">
        <f>IFERROR(__xludf.DUMMYFUNCTION("""COMPUTED_VALUE"""),0.0)</f>
        <v>0</v>
      </c>
      <c r="M3999" s="211"/>
      <c r="N3999" s="211"/>
      <c r="O3999" s="211" t="b">
        <f>IFERROR(__xludf.DUMMYFUNCTION("""COMPUTED_VALUE"""),FALSE)</f>
        <v>0</v>
      </c>
    </row>
    <row r="4000">
      <c r="A4000" s="210" t="str">
        <f>IFERROR(__xludf.DUMMYFUNCTION("""COMPUTED_VALUE"""),"1261360")</f>
        <v>1261360</v>
      </c>
      <c r="B4000" s="210" t="str">
        <f>IFERROR(__xludf.DUMMYFUNCTION("""COMPUTED_VALUE"""),"1261360")</f>
        <v>1261360</v>
      </c>
      <c r="C4000" s="213">
        <f>IFERROR(__xludf.DUMMYFUNCTION("""COMPUTED_VALUE"""),46086.61493055556)</f>
        <v>46086.61493</v>
      </c>
      <c r="D4000" s="211" t="str">
        <f>IFERROR(__xludf.DUMMYFUNCTION("""COMPUTED_VALUE"""),"4ec68cf6")</f>
        <v>4ec68cf6</v>
      </c>
      <c r="E4000" s="211" t="str">
        <f>IFERROR(__xludf.DUMMYFUNCTION("""COMPUTED_VALUE"""),"CV Sido Mukti Karya")</f>
        <v>CV Sido Mukti Karya</v>
      </c>
      <c r="F4000" s="211" t="str">
        <f>IFERROR(__xludf.DUMMYFUNCTION("""COMPUTED_VALUE"""),"8bdbe149")</f>
        <v>8bdbe149</v>
      </c>
      <c r="G4000" s="211" t="str">
        <f>IFERROR(__xludf.DUMMYFUNCTION("""COMPUTED_VALUE"""),"Oksigen 6m3")</f>
        <v>Oksigen 6m3</v>
      </c>
      <c r="H4000" s="211" t="str">
        <f>IFERROR(__xludf.DUMMYFUNCTION("""COMPUTED_VALUE"""),"IN")</f>
        <v>IN</v>
      </c>
      <c r="I4000" s="211" t="str">
        <f>IFERROR(__xludf.DUMMYFUNCTION("""COMPUTED_VALUE"""),"EMPTY")</f>
        <v>EMPTY</v>
      </c>
      <c r="J4000" s="211">
        <f>IFERROR(__xludf.DUMMYFUNCTION("""COMPUTED_VALUE"""),2.0)</f>
        <v>2</v>
      </c>
      <c r="K4000" s="210" t="str">
        <f>IFERROR(__xludf.DUMMYFUNCTION("""COMPUTED_VALUE"""),"11316 1153")</f>
        <v>11316 1153</v>
      </c>
      <c r="L4000" s="211">
        <f>IFERROR(__xludf.DUMMYFUNCTION("""COMPUTED_VALUE"""),0.0)</f>
        <v>0</v>
      </c>
      <c r="M4000" s="211"/>
      <c r="N4000" s="211"/>
      <c r="O4000" s="211" t="b">
        <f>IFERROR(__xludf.DUMMYFUNCTION("""COMPUTED_VALUE"""),FALSE)</f>
        <v>0</v>
      </c>
    </row>
    <row r="4001">
      <c r="A4001" s="210" t="str">
        <f>IFERROR(__xludf.DUMMYFUNCTION("""COMPUTED_VALUE"""),"1261360")</f>
        <v>1261360</v>
      </c>
      <c r="B4001" s="210" t="str">
        <f>IFERROR(__xludf.DUMMYFUNCTION("""COMPUTED_VALUE"""),"1261360")</f>
        <v>1261360</v>
      </c>
      <c r="C4001" s="213">
        <f>IFERROR(__xludf.DUMMYFUNCTION("""COMPUTED_VALUE"""),46086.61493055556)</f>
        <v>46086.61493</v>
      </c>
      <c r="D4001" s="211" t="str">
        <f>IFERROR(__xludf.DUMMYFUNCTION("""COMPUTED_VALUE"""),"4ec68cf6")</f>
        <v>4ec68cf6</v>
      </c>
      <c r="E4001" s="211" t="str">
        <f>IFERROR(__xludf.DUMMYFUNCTION("""COMPUTED_VALUE"""),"CV Sido Mukti Karya")</f>
        <v>CV Sido Mukti Karya</v>
      </c>
      <c r="F4001" s="211" t="str">
        <f>IFERROR(__xludf.DUMMYFUNCTION("""COMPUTED_VALUE"""),"ef306e54")</f>
        <v>ef306e54</v>
      </c>
      <c r="G4001" s="211" t="str">
        <f>IFERROR(__xludf.DUMMYFUNCTION("""COMPUTED_VALUE"""),"Karbondioksida")</f>
        <v>Karbondioksida</v>
      </c>
      <c r="H4001" s="211" t="str">
        <f>IFERROR(__xludf.DUMMYFUNCTION("""COMPUTED_VALUE"""),"IN")</f>
        <v>IN</v>
      </c>
      <c r="I4001" s="211" t="str">
        <f>IFERROR(__xludf.DUMMYFUNCTION("""COMPUTED_VALUE"""),"EMPTY")</f>
        <v>EMPTY</v>
      </c>
      <c r="J4001" s="211">
        <f>IFERROR(__xludf.DUMMYFUNCTION("""COMPUTED_VALUE"""),1.0)</f>
        <v>1</v>
      </c>
      <c r="K4001" s="210" t="str">
        <f>IFERROR(__xludf.DUMMYFUNCTION("""COMPUTED_VALUE"""),"13035")</f>
        <v>13035</v>
      </c>
      <c r="L4001" s="211">
        <f>IFERROR(__xludf.DUMMYFUNCTION("""COMPUTED_VALUE"""),0.0)</f>
        <v>0</v>
      </c>
      <c r="M4001" s="211"/>
      <c r="N4001" s="211"/>
      <c r="O4001" s="211" t="b">
        <f>IFERROR(__xludf.DUMMYFUNCTION("""COMPUTED_VALUE"""),FALSE)</f>
        <v>0</v>
      </c>
    </row>
    <row r="4002">
      <c r="A4002" s="210" t="str">
        <f>IFERROR(__xludf.DUMMYFUNCTION("""COMPUTED_VALUE"""),"0326262756")</f>
        <v>0326262756</v>
      </c>
      <c r="B4002" s="210" t="str">
        <f>IFERROR(__xludf.DUMMYFUNCTION("""COMPUTED_VALUE"""),"0326262756")</f>
        <v>0326262756</v>
      </c>
      <c r="C4002" s="213">
        <f>IFERROR(__xludf.DUMMYFUNCTION("""COMPUTED_VALUE"""),46086.63920138889)</f>
        <v>46086.6392</v>
      </c>
      <c r="D4002" s="211" t="str">
        <f>IFERROR(__xludf.DUMMYFUNCTION("""COMPUTED_VALUE"""),"63fc688a")</f>
        <v>63fc688a</v>
      </c>
      <c r="E4002" s="211" t="str">
        <f>IFERROR(__xludf.DUMMYFUNCTION("""COMPUTED_VALUE"""),"CV Malik Nusantara")</f>
        <v>CV Malik Nusantara</v>
      </c>
      <c r="F4002" s="211" t="str">
        <f>IFERROR(__xludf.DUMMYFUNCTION("""COMPUTED_VALUE"""),"8bdbe149")</f>
        <v>8bdbe149</v>
      </c>
      <c r="G4002" s="211" t="str">
        <f>IFERROR(__xludf.DUMMYFUNCTION("""COMPUTED_VALUE"""),"Oksigen 6m3")</f>
        <v>Oksigen 6m3</v>
      </c>
      <c r="H4002" s="211" t="str">
        <f>IFERROR(__xludf.DUMMYFUNCTION("""COMPUTED_VALUE"""),"OUT")</f>
        <v>OUT</v>
      </c>
      <c r="I4002" s="211" t="str">
        <f>IFERROR(__xludf.DUMMYFUNCTION("""COMPUTED_VALUE"""),"NORMAL")</f>
        <v>NORMAL</v>
      </c>
      <c r="J4002" s="211">
        <f>IFERROR(__xludf.DUMMYFUNCTION("""COMPUTED_VALUE"""),5.0)</f>
        <v>5</v>
      </c>
      <c r="K4002" s="210" t="str">
        <f>IFERROR(__xludf.DUMMYFUNCTION("""COMPUTED_VALUE"""),"11365 11129 11344 11371 11384")</f>
        <v>11365 11129 11344 11371 11384</v>
      </c>
      <c r="L4002" s="211">
        <f>IFERROR(__xludf.DUMMYFUNCTION("""COMPUTED_VALUE"""),65000.0)</f>
        <v>65000</v>
      </c>
      <c r="M4002" s="211"/>
      <c r="N4002" s="211"/>
      <c r="O4002" s="211" t="b">
        <f>IFERROR(__xludf.DUMMYFUNCTION("""COMPUTED_VALUE"""),FALSE)</f>
        <v>0</v>
      </c>
    </row>
    <row r="4003">
      <c r="A4003" s="211"/>
      <c r="B4003" s="211"/>
      <c r="C4003" s="211"/>
      <c r="D4003" s="211"/>
      <c r="E4003" s="211"/>
      <c r="F4003" s="211"/>
      <c r="G4003" s="211"/>
      <c r="H4003" s="211"/>
      <c r="I4003" s="211"/>
      <c r="J4003" s="211"/>
      <c r="K4003" s="211"/>
      <c r="L4003" s="211"/>
      <c r="M4003" s="211"/>
      <c r="N4003" s="211"/>
      <c r="O4003" s="211"/>
    </row>
    <row r="4004">
      <c r="A4004" s="210" t="str">
        <f>IFERROR(__xludf.DUMMYFUNCTION("""COMPUTED_VALUE"""),"0326402764")</f>
        <v>0326402764</v>
      </c>
      <c r="B4004" s="210" t="str">
        <f>IFERROR(__xludf.DUMMYFUNCTION("""COMPUTED_VALUE"""),"0326402764")</f>
        <v>0326402764</v>
      </c>
      <c r="C4004" s="213">
        <f>IFERROR(__xludf.DUMMYFUNCTION("""COMPUTED_VALUE"""),46087.39318287037)</f>
        <v>46087.39318</v>
      </c>
      <c r="D4004" s="211" t="str">
        <f>IFERROR(__xludf.DUMMYFUNCTION("""COMPUTED_VALUE"""),"ce83e171")</f>
        <v>ce83e171</v>
      </c>
      <c r="E4004" s="211" t="str">
        <f>IFERROR(__xludf.DUMMYFUNCTION("""COMPUTED_VALUE"""),"Bpk. Sulaiman")</f>
        <v>Bpk. Sulaiman</v>
      </c>
      <c r="F4004" s="211" t="str">
        <f>IFERROR(__xludf.DUMMYFUNCTION("""COMPUTED_VALUE"""),"f6aab7a9")</f>
        <v>f6aab7a9</v>
      </c>
      <c r="G4004" s="211" t="str">
        <f>IFERROR(__xludf.DUMMYFUNCTION("""COMPUTED_VALUE"""),"Oksigen 6m3 MR")</f>
        <v>Oksigen 6m3 MR</v>
      </c>
      <c r="H4004" s="211" t="str">
        <f>IFERROR(__xludf.DUMMYFUNCTION("""COMPUTED_VALUE"""),"OUT")</f>
        <v>OUT</v>
      </c>
      <c r="I4004" s="211" t="str">
        <f>IFERROR(__xludf.DUMMYFUNCTION("""COMPUTED_VALUE"""),"NORMAL")</f>
        <v>NORMAL</v>
      </c>
      <c r="J4004" s="211">
        <f>IFERROR(__xludf.DUMMYFUNCTION("""COMPUTED_VALUE"""),2.0)</f>
        <v>2</v>
      </c>
      <c r="K4004" s="211"/>
      <c r="L4004" s="211">
        <f>IFERROR(__xludf.DUMMYFUNCTION("""COMPUTED_VALUE"""),55000.0)</f>
        <v>55000</v>
      </c>
      <c r="M4004" s="211"/>
      <c r="N4004" s="211"/>
      <c r="O4004" s="211" t="b">
        <f>IFERROR(__xludf.DUMMYFUNCTION("""COMPUTED_VALUE"""),FALSE)</f>
        <v>0</v>
      </c>
    </row>
    <row r="4005">
      <c r="A4005" s="211"/>
      <c r="B4005" s="211"/>
      <c r="C4005" s="211"/>
      <c r="D4005" s="211"/>
      <c r="E4005" s="211"/>
      <c r="F4005" s="211"/>
      <c r="G4005" s="211"/>
      <c r="H4005" s="211"/>
      <c r="I4005" s="211"/>
      <c r="J4005" s="211"/>
      <c r="K4005" s="211"/>
      <c r="L4005" s="211"/>
      <c r="M4005" s="211"/>
      <c r="N4005" s="211"/>
      <c r="O4005" s="211"/>
    </row>
    <row r="4006">
      <c r="A4006" s="210" t="str">
        <f>IFERROR(__xludf.DUMMYFUNCTION("""COMPUTED_VALUE"""),"0326132765")</f>
        <v>0326132765</v>
      </c>
      <c r="B4006" s="210" t="str">
        <f>IFERROR(__xludf.DUMMYFUNCTION("""COMPUTED_VALUE"""),"0326132765")</f>
        <v>0326132765</v>
      </c>
      <c r="C4006" s="213">
        <f>IFERROR(__xludf.DUMMYFUNCTION("""COMPUTED_VALUE"""),46087.41871527778)</f>
        <v>46087.41872</v>
      </c>
      <c r="D4006" s="211" t="str">
        <f>IFERROR(__xludf.DUMMYFUNCTION("""COMPUTED_VALUE"""),"3b04351a")</f>
        <v>3b04351a</v>
      </c>
      <c r="E4006" s="211" t="str">
        <f>IFERROR(__xludf.DUMMYFUNCTION("""COMPUTED_VALUE"""),"CV Usaha Logam Jaya")</f>
        <v>CV Usaha Logam Jaya</v>
      </c>
      <c r="F4006" s="211" t="str">
        <f>IFERROR(__xludf.DUMMYFUNCTION("""COMPUTED_VALUE"""),"8bdbe149")</f>
        <v>8bdbe149</v>
      </c>
      <c r="G4006" s="211" t="str">
        <f>IFERROR(__xludf.DUMMYFUNCTION("""COMPUTED_VALUE"""),"Oksigen 6m3")</f>
        <v>Oksigen 6m3</v>
      </c>
      <c r="H4006" s="211" t="str">
        <f>IFERROR(__xludf.DUMMYFUNCTION("""COMPUTED_VALUE"""),"OTHER")</f>
        <v>OTHER</v>
      </c>
      <c r="I4006" s="211" t="str">
        <f>IFERROR(__xludf.DUMMYFUNCTION("""COMPUTED_VALUE"""),"RETUR EQUIPMENT")</f>
        <v>RETUR EQUIPMENT</v>
      </c>
      <c r="J4006" s="211">
        <f>IFERROR(__xludf.DUMMYFUNCTION("""COMPUTED_VALUE"""),18.0)</f>
        <v>18</v>
      </c>
      <c r="K4006" s="210" t="str">
        <f>IFERROR(__xludf.DUMMYFUNCTION("""COMPUTED_VALUE"""),"11193 1170 11184 1169 11348 11353 11351 11207 11178 11285 11249 11131 1131 11372 11376 11358 11375 1189")</f>
        <v>11193 1170 11184 1169 11348 11353 11351 11207 11178 11285 11249 11131 1131 11372 11376 11358 11375 1189</v>
      </c>
      <c r="L4006" s="211">
        <f>IFERROR(__xludf.DUMMYFUNCTION("""COMPUTED_VALUE"""),60000.0)</f>
        <v>60000</v>
      </c>
      <c r="M4006" s="211"/>
      <c r="N4006" s="211"/>
      <c r="O4006" s="211" t="b">
        <f>IFERROR(__xludf.DUMMYFUNCTION("""COMPUTED_VALUE"""),FALSE)</f>
        <v>0</v>
      </c>
    </row>
    <row r="4007">
      <c r="A4007" s="210" t="str">
        <f>IFERROR(__xludf.DUMMYFUNCTION("""COMPUTED_VALUE"""),"0326132765")</f>
        <v>0326132765</v>
      </c>
      <c r="B4007" s="210" t="str">
        <f>IFERROR(__xludf.DUMMYFUNCTION("""COMPUTED_VALUE"""),"0326132765")</f>
        <v>0326132765</v>
      </c>
      <c r="C4007" s="213">
        <f>IFERROR(__xludf.DUMMYFUNCTION("""COMPUTED_VALUE"""),46087.41871527778)</f>
        <v>46087.41872</v>
      </c>
      <c r="D4007" s="211" t="str">
        <f>IFERROR(__xludf.DUMMYFUNCTION("""COMPUTED_VALUE"""),"3b04351a")</f>
        <v>3b04351a</v>
      </c>
      <c r="E4007" s="211" t="str">
        <f>IFERROR(__xludf.DUMMYFUNCTION("""COMPUTED_VALUE"""),"CV Usaha Logam Jaya")</f>
        <v>CV Usaha Logam Jaya</v>
      </c>
      <c r="F4007" s="211" t="str">
        <f>IFERROR(__xludf.DUMMYFUNCTION("""COMPUTED_VALUE"""),"8bdbe149")</f>
        <v>8bdbe149</v>
      </c>
      <c r="G4007" s="211" t="str">
        <f>IFERROR(__xludf.DUMMYFUNCTION("""COMPUTED_VALUE"""),"Oksigen 6m3")</f>
        <v>Oksigen 6m3</v>
      </c>
      <c r="H4007" s="211" t="str">
        <f>IFERROR(__xludf.DUMMYFUNCTION("""COMPUTED_VALUE"""),"OTHER")</f>
        <v>OTHER</v>
      </c>
      <c r="I4007" s="211" t="str">
        <f>IFERROR(__xludf.DUMMYFUNCTION("""COMPUTED_VALUE"""),"RETUR EQUIPMENT")</f>
        <v>RETUR EQUIPMENT</v>
      </c>
      <c r="J4007" s="211">
        <f>IFERROR(__xludf.DUMMYFUNCTION("""COMPUTED_VALUE"""),2.0)</f>
        <v>2</v>
      </c>
      <c r="K4007" s="210" t="str">
        <f>IFERROR(__xludf.DUMMYFUNCTION("""COMPUTED_VALUE"""),"11287 11289")</f>
        <v>11287 11289</v>
      </c>
      <c r="L4007" s="211">
        <f>IFERROR(__xludf.DUMMYFUNCTION("""COMPUTED_VALUE"""),60000.0)</f>
        <v>60000</v>
      </c>
      <c r="M4007" s="211"/>
      <c r="N4007" s="211"/>
      <c r="O4007" s="211" t="b">
        <f>IFERROR(__xludf.DUMMYFUNCTION("""COMPUTED_VALUE"""),TRUE)</f>
        <v>1</v>
      </c>
    </row>
    <row r="4008">
      <c r="A4008" s="210" t="str">
        <f>IFERROR(__xludf.DUMMYFUNCTION("""COMPUTED_VALUE"""),"0326102763")</f>
        <v>0326102763</v>
      </c>
      <c r="B4008" s="210" t="str">
        <f>IFERROR(__xludf.DUMMYFUNCTION("""COMPUTED_VALUE"""),"0326102763")</f>
        <v>0326102763</v>
      </c>
      <c r="C4008" s="213">
        <f>IFERROR(__xludf.DUMMYFUNCTION("""COMPUTED_VALUE"""),46087.357152777775)</f>
        <v>46087.35715</v>
      </c>
      <c r="D4008" s="211" t="str">
        <f>IFERROR(__xludf.DUMMYFUNCTION("""COMPUTED_VALUE"""),"9e66ced9")</f>
        <v>9e66ced9</v>
      </c>
      <c r="E4008" s="211" t="str">
        <f>IFERROR(__xludf.DUMMYFUNCTION("""COMPUTED_VALUE"""),"Bapak Angga")</f>
        <v>Bapak Angga</v>
      </c>
      <c r="F4008" s="211" t="str">
        <f>IFERROR(__xludf.DUMMYFUNCTION("""COMPUTED_VALUE"""),"7d2764f1")</f>
        <v>7d2764f1</v>
      </c>
      <c r="G4008" s="211" t="str">
        <f>IFERROR(__xludf.DUMMYFUNCTION("""COMPUTED_VALUE"""),"Oksigen 7m3")</f>
        <v>Oksigen 7m3</v>
      </c>
      <c r="H4008" s="211" t="str">
        <f>IFERROR(__xludf.DUMMYFUNCTION("""COMPUTED_VALUE"""),"OUT")</f>
        <v>OUT</v>
      </c>
      <c r="I4008" s="211" t="str">
        <f>IFERROR(__xludf.DUMMYFUNCTION("""COMPUTED_VALUE"""),"NORMAL")</f>
        <v>NORMAL</v>
      </c>
      <c r="J4008" s="211">
        <f>IFERROR(__xludf.DUMMYFUNCTION("""COMPUTED_VALUE"""),10.0)</f>
        <v>10</v>
      </c>
      <c r="K4008" s="210" t="str">
        <f>IFERROR(__xludf.DUMMYFUNCTION("""COMPUTED_VALUE"""),"11269 11307 11141 11152 11144 11334 11329 11151 11167 11157")</f>
        <v>11269 11307 11141 11152 11144 11334 11329 11151 11167 11157</v>
      </c>
      <c r="L4008" s="211">
        <f>IFERROR(__xludf.DUMMYFUNCTION("""COMPUTED_VALUE"""),50000.0)</f>
        <v>50000</v>
      </c>
      <c r="M4008" s="211"/>
      <c r="N4008" s="211"/>
      <c r="O4008" s="211" t="b">
        <f>IFERROR(__xludf.DUMMYFUNCTION("""COMPUTED_VALUE"""),FALSE)</f>
        <v>0</v>
      </c>
    </row>
    <row r="4009">
      <c r="A4009" s="210" t="str">
        <f>IFERROR(__xludf.DUMMYFUNCTION("""COMPUTED_VALUE"""),"0326102765")</f>
        <v>0326102765</v>
      </c>
      <c r="B4009" s="210" t="str">
        <f>IFERROR(__xludf.DUMMYFUNCTION("""COMPUTED_VALUE"""),"0326102765")</f>
        <v>0326102765</v>
      </c>
      <c r="C4009" s="213">
        <f>IFERROR(__xludf.DUMMYFUNCTION("""COMPUTED_VALUE"""),46087.42591435185)</f>
        <v>46087.42591</v>
      </c>
      <c r="D4009" s="211" t="str">
        <f>IFERROR(__xludf.DUMMYFUNCTION("""COMPUTED_VALUE"""),"9e66ced9")</f>
        <v>9e66ced9</v>
      </c>
      <c r="E4009" s="211" t="str">
        <f>IFERROR(__xludf.DUMMYFUNCTION("""COMPUTED_VALUE"""),"Bapak Angga")</f>
        <v>Bapak Angga</v>
      </c>
      <c r="F4009" s="211" t="str">
        <f>IFERROR(__xludf.DUMMYFUNCTION("""COMPUTED_VALUE"""),"8bdbe149")</f>
        <v>8bdbe149</v>
      </c>
      <c r="G4009" s="211" t="str">
        <f>IFERROR(__xludf.DUMMYFUNCTION("""COMPUTED_VALUE"""),"Oksigen 6m3")</f>
        <v>Oksigen 6m3</v>
      </c>
      <c r="H4009" s="211" t="str">
        <f>IFERROR(__xludf.DUMMYFUNCTION("""COMPUTED_VALUE"""),"OUT")</f>
        <v>OUT</v>
      </c>
      <c r="I4009" s="211" t="str">
        <f>IFERROR(__xludf.DUMMYFUNCTION("""COMPUTED_VALUE"""),"NORMAL")</f>
        <v>NORMAL</v>
      </c>
      <c r="J4009" s="211">
        <f>IFERROR(__xludf.DUMMYFUNCTION("""COMPUTED_VALUE"""),10.0)</f>
        <v>10</v>
      </c>
      <c r="K4009" s="210" t="str">
        <f>IFERROR(__xludf.DUMMYFUNCTION("""COMPUTED_VALUE"""),"1134 11360 1197 11319 11379 1138 11309 1153 11316 11119")</f>
        <v>1134 11360 1197 11319 11379 1138 11309 1153 11316 11119</v>
      </c>
      <c r="L4009" s="211">
        <f>IFERROR(__xludf.DUMMYFUNCTION("""COMPUTED_VALUE"""),50000.0)</f>
        <v>50000</v>
      </c>
      <c r="M4009" s="211"/>
      <c r="N4009" s="211"/>
      <c r="O4009" s="211" t="b">
        <f>IFERROR(__xludf.DUMMYFUNCTION("""COMPUTED_VALUE"""),FALSE)</f>
        <v>0</v>
      </c>
    </row>
    <row r="4010">
      <c r="A4010" s="210" t="str">
        <f>IFERROR(__xludf.DUMMYFUNCTION("""COMPUTED_VALUE"""),"1261361")</f>
        <v>1261361</v>
      </c>
      <c r="B4010" s="210" t="str">
        <f>IFERROR(__xludf.DUMMYFUNCTION("""COMPUTED_VALUE"""),"1261361")</f>
        <v>1261361</v>
      </c>
      <c r="C4010" s="213">
        <f>IFERROR(__xludf.DUMMYFUNCTION("""COMPUTED_VALUE"""),46087.46199074074)</f>
        <v>46087.46199</v>
      </c>
      <c r="D4010" s="211" t="str">
        <f>IFERROR(__xludf.DUMMYFUNCTION("""COMPUTED_VALUE"""),"b2b5f2c5")</f>
        <v>b2b5f2c5</v>
      </c>
      <c r="E4010" s="211" t="str">
        <f>IFERROR(__xludf.DUMMYFUNCTION("""COMPUTED_VALUE"""),"Bengkel Las Bpk. Ari")</f>
        <v>Bengkel Las Bpk. Ari</v>
      </c>
      <c r="F4010" s="211" t="str">
        <f>IFERROR(__xludf.DUMMYFUNCTION("""COMPUTED_VALUE"""),"8bdbe149")</f>
        <v>8bdbe149</v>
      </c>
      <c r="G4010" s="211" t="str">
        <f>IFERROR(__xludf.DUMMYFUNCTION("""COMPUTED_VALUE"""),"Oksigen 6m3")</f>
        <v>Oksigen 6m3</v>
      </c>
      <c r="H4010" s="211" t="str">
        <f>IFERROR(__xludf.DUMMYFUNCTION("""COMPUTED_VALUE"""),"IN")</f>
        <v>IN</v>
      </c>
      <c r="I4010" s="211" t="str">
        <f>IFERROR(__xludf.DUMMYFUNCTION("""COMPUTED_VALUE"""),"EMPTY")</f>
        <v>EMPTY</v>
      </c>
      <c r="J4010" s="211">
        <f>IFERROR(__xludf.DUMMYFUNCTION("""COMPUTED_VALUE"""),5.0)</f>
        <v>5</v>
      </c>
      <c r="K4010" s="210" t="str">
        <f>IFERROR(__xludf.DUMMYFUNCTION("""COMPUTED_VALUE"""),"11262 11265 11257 11362 1129")</f>
        <v>11262 11265 11257 11362 1129</v>
      </c>
      <c r="L4010" s="211">
        <f>IFERROR(__xludf.DUMMYFUNCTION("""COMPUTED_VALUE"""),0.0)</f>
        <v>0</v>
      </c>
      <c r="M4010" s="211"/>
      <c r="N4010" s="211"/>
      <c r="O4010" s="211" t="b">
        <f>IFERROR(__xludf.DUMMYFUNCTION("""COMPUTED_VALUE"""),FALSE)</f>
        <v>0</v>
      </c>
    </row>
    <row r="4011">
      <c r="A4011" s="210" t="str">
        <f>IFERROR(__xludf.DUMMYFUNCTION("""COMPUTED_VALUE"""),"1261361")</f>
        <v>1261361</v>
      </c>
      <c r="B4011" s="210" t="str">
        <f>IFERROR(__xludf.DUMMYFUNCTION("""COMPUTED_VALUE"""),"1261361")</f>
        <v>1261361</v>
      </c>
      <c r="C4011" s="213">
        <f>IFERROR(__xludf.DUMMYFUNCTION("""COMPUTED_VALUE"""),46087.46199074074)</f>
        <v>46087.46199</v>
      </c>
      <c r="D4011" s="211" t="str">
        <f>IFERROR(__xludf.DUMMYFUNCTION("""COMPUTED_VALUE"""),"b2b5f2c5")</f>
        <v>b2b5f2c5</v>
      </c>
      <c r="E4011" s="211" t="str">
        <f>IFERROR(__xludf.DUMMYFUNCTION("""COMPUTED_VALUE"""),"Bengkel Las Bpk. Ari")</f>
        <v>Bengkel Las Bpk. Ari</v>
      </c>
      <c r="F4011" s="211" t="str">
        <f>IFERROR(__xludf.DUMMYFUNCTION("""COMPUTED_VALUE"""),"ef306e54")</f>
        <v>ef306e54</v>
      </c>
      <c r="G4011" s="211" t="str">
        <f>IFERROR(__xludf.DUMMYFUNCTION("""COMPUTED_VALUE"""),"Karbondioksida")</f>
        <v>Karbondioksida</v>
      </c>
      <c r="H4011" s="211" t="str">
        <f>IFERROR(__xludf.DUMMYFUNCTION("""COMPUTED_VALUE"""),"IN")</f>
        <v>IN</v>
      </c>
      <c r="I4011" s="211" t="str">
        <f>IFERROR(__xludf.DUMMYFUNCTION("""COMPUTED_VALUE"""),"EMPTY")</f>
        <v>EMPTY</v>
      </c>
      <c r="J4011" s="211">
        <f>IFERROR(__xludf.DUMMYFUNCTION("""COMPUTED_VALUE"""),1.0)</f>
        <v>1</v>
      </c>
      <c r="K4011" s="210" t="str">
        <f>IFERROR(__xludf.DUMMYFUNCTION("""COMPUTED_VALUE"""),"13003")</f>
        <v>13003</v>
      </c>
      <c r="L4011" s="211">
        <f>IFERROR(__xludf.DUMMYFUNCTION("""COMPUTED_VALUE"""),0.0)</f>
        <v>0</v>
      </c>
      <c r="M4011" s="211"/>
      <c r="N4011" s="211"/>
      <c r="O4011" s="211" t="b">
        <f>IFERROR(__xludf.DUMMYFUNCTION("""COMPUTED_VALUE"""),FALSE)</f>
        <v>0</v>
      </c>
    </row>
    <row r="4012">
      <c r="A4012" s="210" t="str">
        <f>IFERROR(__xludf.DUMMYFUNCTION("""COMPUTED_VALUE"""),"0326272767")</f>
        <v>0326272767</v>
      </c>
      <c r="B4012" s="210" t="str">
        <f>IFERROR(__xludf.DUMMYFUNCTION("""COMPUTED_VALUE"""),"0326272767")</f>
        <v>0326272767</v>
      </c>
      <c r="C4012" s="213">
        <f>IFERROR(__xludf.DUMMYFUNCTION("""COMPUTED_VALUE"""),46087.484456018516)</f>
        <v>46087.48446</v>
      </c>
      <c r="D4012" s="211" t="str">
        <f>IFERROR(__xludf.DUMMYFUNCTION("""COMPUTED_VALUE"""),"63fc688a")</f>
        <v>63fc688a</v>
      </c>
      <c r="E4012" s="211" t="str">
        <f>IFERROR(__xludf.DUMMYFUNCTION("""COMPUTED_VALUE"""),"CV Malik Nusantara")</f>
        <v>CV Malik Nusantara</v>
      </c>
      <c r="F4012" s="211" t="str">
        <f>IFERROR(__xludf.DUMMYFUNCTION("""COMPUTED_VALUE"""),"7d2764f1")</f>
        <v>7d2764f1</v>
      </c>
      <c r="G4012" s="211" t="str">
        <f>IFERROR(__xludf.DUMMYFUNCTION("""COMPUTED_VALUE"""),"Oksigen 7m3")</f>
        <v>Oksigen 7m3</v>
      </c>
      <c r="H4012" s="211" t="str">
        <f>IFERROR(__xludf.DUMMYFUNCTION("""COMPUTED_VALUE"""),"OUT")</f>
        <v>OUT</v>
      </c>
      <c r="I4012" s="211" t="str">
        <f>IFERROR(__xludf.DUMMYFUNCTION("""COMPUTED_VALUE"""),"NORMAL")</f>
        <v>NORMAL</v>
      </c>
      <c r="J4012" s="211">
        <f>IFERROR(__xludf.DUMMYFUNCTION("""COMPUTED_VALUE"""),5.0)</f>
        <v>5</v>
      </c>
      <c r="K4012" s="210" t="str">
        <f>IFERROR(__xludf.DUMMYFUNCTION("""COMPUTED_VALUE"""),"11221 11305 11292 11301 741")</f>
        <v>11221 11305 11292 11301 741</v>
      </c>
      <c r="L4012" s="211">
        <f>IFERROR(__xludf.DUMMYFUNCTION("""COMPUTED_VALUE"""),65000.0)</f>
        <v>65000</v>
      </c>
      <c r="M4012" s="211"/>
      <c r="N4012" s="211"/>
      <c r="O4012" s="211" t="b">
        <f>IFERROR(__xludf.DUMMYFUNCTION("""COMPUTED_VALUE"""),FALSE)</f>
        <v>0</v>
      </c>
    </row>
    <row r="4013">
      <c r="A4013" s="210" t="str">
        <f>IFERROR(__xludf.DUMMYFUNCTION("""COMPUTED_VALUE"""),"0326272767")</f>
        <v>0326272767</v>
      </c>
      <c r="B4013" s="210" t="str">
        <f>IFERROR(__xludf.DUMMYFUNCTION("""COMPUTED_VALUE"""),"0326272767")</f>
        <v>0326272767</v>
      </c>
      <c r="C4013" s="213">
        <f>IFERROR(__xludf.DUMMYFUNCTION("""COMPUTED_VALUE"""),46087.484456018516)</f>
        <v>46087.48446</v>
      </c>
      <c r="D4013" s="211" t="str">
        <f>IFERROR(__xludf.DUMMYFUNCTION("""COMPUTED_VALUE"""),"63fc688a")</f>
        <v>63fc688a</v>
      </c>
      <c r="E4013" s="211" t="str">
        <f>IFERROR(__xludf.DUMMYFUNCTION("""COMPUTED_VALUE"""),"CV Malik Nusantara")</f>
        <v>CV Malik Nusantara</v>
      </c>
      <c r="F4013" s="211" t="str">
        <f>IFERROR(__xludf.DUMMYFUNCTION("""COMPUTED_VALUE"""),"ef306e54")</f>
        <v>ef306e54</v>
      </c>
      <c r="G4013" s="211" t="str">
        <f>IFERROR(__xludf.DUMMYFUNCTION("""COMPUTED_VALUE"""),"Karbondioksida")</f>
        <v>Karbondioksida</v>
      </c>
      <c r="H4013" s="211" t="str">
        <f>IFERROR(__xludf.DUMMYFUNCTION("""COMPUTED_VALUE"""),"OUT")</f>
        <v>OUT</v>
      </c>
      <c r="I4013" s="211" t="str">
        <f>IFERROR(__xludf.DUMMYFUNCTION("""COMPUTED_VALUE"""),"NORMAL")</f>
        <v>NORMAL</v>
      </c>
      <c r="J4013" s="211">
        <f>IFERROR(__xludf.DUMMYFUNCTION("""COMPUTED_VALUE"""),3.0)</f>
        <v>3</v>
      </c>
      <c r="K4013" s="210" t="str">
        <f>IFERROR(__xludf.DUMMYFUNCTION("""COMPUTED_VALUE"""),"13023 13028 13070")</f>
        <v>13023 13028 13070</v>
      </c>
      <c r="L4013" s="211">
        <f>IFERROR(__xludf.DUMMYFUNCTION("""COMPUTED_VALUE"""),190000.0)</f>
        <v>190000</v>
      </c>
      <c r="M4013" s="211"/>
      <c r="N4013" s="211"/>
      <c r="O4013" s="211" t="b">
        <f>IFERROR(__xludf.DUMMYFUNCTION("""COMPUTED_VALUE"""),FALSE)</f>
        <v>0</v>
      </c>
    </row>
    <row r="4014">
      <c r="A4014" s="210" t="str">
        <f>IFERROR(__xludf.DUMMYFUNCTION("""COMPUTED_VALUE"""),"0326272767")</f>
        <v>0326272767</v>
      </c>
      <c r="B4014" s="210" t="str">
        <f>IFERROR(__xludf.DUMMYFUNCTION("""COMPUTED_VALUE"""),"0326272767")</f>
        <v>0326272767</v>
      </c>
      <c r="C4014" s="213">
        <f>IFERROR(__xludf.DUMMYFUNCTION("""COMPUTED_VALUE"""),46087.484456018516)</f>
        <v>46087.48446</v>
      </c>
      <c r="D4014" s="211" t="str">
        <f>IFERROR(__xludf.DUMMYFUNCTION("""COMPUTED_VALUE"""),"63fc688a")</f>
        <v>63fc688a</v>
      </c>
      <c r="E4014" s="211" t="str">
        <f>IFERROR(__xludf.DUMMYFUNCTION("""COMPUTED_VALUE"""),"CV Malik Nusantara")</f>
        <v>CV Malik Nusantara</v>
      </c>
      <c r="F4014" s="211" t="str">
        <f>IFERROR(__xludf.DUMMYFUNCTION("""COMPUTED_VALUE"""),"be525f3b")</f>
        <v>be525f3b</v>
      </c>
      <c r="G4014" s="211" t="str">
        <f>IFERROR(__xludf.DUMMYFUNCTION("""COMPUTED_VALUE"""),"LPG 12kg")</f>
        <v>LPG 12kg</v>
      </c>
      <c r="H4014" s="211" t="str">
        <f>IFERROR(__xludf.DUMMYFUNCTION("""COMPUTED_VALUE"""),"OUT")</f>
        <v>OUT</v>
      </c>
      <c r="I4014" s="211" t="str">
        <f>IFERROR(__xludf.DUMMYFUNCTION("""COMPUTED_VALUE"""),"NORMAL")</f>
        <v>NORMAL</v>
      </c>
      <c r="J4014" s="211">
        <f>IFERROR(__xludf.DUMMYFUNCTION("""COMPUTED_VALUE"""),2.0)</f>
        <v>2</v>
      </c>
      <c r="K4014" s="210" t="str">
        <f>IFERROR(__xludf.DUMMYFUNCTION("""COMPUTED_VALUE"""),"L001 L006")</f>
        <v>L001 L006</v>
      </c>
      <c r="L4014" s="211">
        <f>IFERROR(__xludf.DUMMYFUNCTION("""COMPUTED_VALUE"""),200000.0)</f>
        <v>200000</v>
      </c>
      <c r="M4014" s="211"/>
      <c r="N4014" s="211"/>
      <c r="O4014" s="211" t="b">
        <f>IFERROR(__xludf.DUMMYFUNCTION("""COMPUTED_VALUE"""),FALSE)</f>
        <v>0</v>
      </c>
    </row>
    <row r="4015">
      <c r="A4015" s="210" t="str">
        <f>IFERROR(__xludf.DUMMYFUNCTION("""COMPUTED_VALUE"""),"0326112769")</f>
        <v>0326112769</v>
      </c>
      <c r="B4015" s="210" t="str">
        <f>IFERROR(__xludf.DUMMYFUNCTION("""COMPUTED_VALUE"""),"0326112769")</f>
        <v>0326112769</v>
      </c>
      <c r="C4015" s="213">
        <f>IFERROR(__xludf.DUMMYFUNCTION("""COMPUTED_VALUE"""),46087.485914351855)</f>
        <v>46087.48591</v>
      </c>
      <c r="D4015" s="211" t="str">
        <f>IFERROR(__xludf.DUMMYFUNCTION("""COMPUTED_VALUE"""),"1c4d5e93")</f>
        <v>1c4d5e93</v>
      </c>
      <c r="E4015" s="211" t="str">
        <f>IFERROR(__xludf.DUMMYFUNCTION("""COMPUTED_VALUE"""),"Karoseri Cipta Mitra Sukses")</f>
        <v>Karoseri Cipta Mitra Sukses</v>
      </c>
      <c r="F4015" s="211" t="str">
        <f>IFERROR(__xludf.DUMMYFUNCTION("""COMPUTED_VALUE"""),"8bdbe149")</f>
        <v>8bdbe149</v>
      </c>
      <c r="G4015" s="211" t="str">
        <f>IFERROR(__xludf.DUMMYFUNCTION("""COMPUTED_VALUE"""),"Oksigen 6m3")</f>
        <v>Oksigen 6m3</v>
      </c>
      <c r="H4015" s="211" t="str">
        <f>IFERROR(__xludf.DUMMYFUNCTION("""COMPUTED_VALUE"""),"OUT")</f>
        <v>OUT</v>
      </c>
      <c r="I4015" s="211" t="str">
        <f>IFERROR(__xludf.DUMMYFUNCTION("""COMPUTED_VALUE"""),"NORMAL")</f>
        <v>NORMAL</v>
      </c>
      <c r="J4015" s="211">
        <f>IFERROR(__xludf.DUMMYFUNCTION("""COMPUTED_VALUE"""),3.0)</f>
        <v>3</v>
      </c>
      <c r="K4015" s="210" t="str">
        <f>IFERROR(__xludf.DUMMYFUNCTION("""COMPUTED_VALUE"""),"11320 11321 11341")</f>
        <v>11320 11321 11341</v>
      </c>
      <c r="L4015" s="211">
        <f>IFERROR(__xludf.DUMMYFUNCTION("""COMPUTED_VALUE"""),60000.0)</f>
        <v>60000</v>
      </c>
      <c r="M4015" s="211"/>
      <c r="N4015" s="211"/>
      <c r="O4015" s="211" t="b">
        <f>IFERROR(__xludf.DUMMYFUNCTION("""COMPUTED_VALUE"""),FALSE)</f>
        <v>0</v>
      </c>
    </row>
    <row r="4016">
      <c r="A4016" s="210" t="str">
        <f>IFERROR(__xludf.DUMMYFUNCTION("""COMPUTED_VALUE"""),"0326112769")</f>
        <v>0326112769</v>
      </c>
      <c r="B4016" s="210" t="str">
        <f>IFERROR(__xludf.DUMMYFUNCTION("""COMPUTED_VALUE"""),"0326112769")</f>
        <v>0326112769</v>
      </c>
      <c r="C4016" s="213">
        <f>IFERROR(__xludf.DUMMYFUNCTION("""COMPUTED_VALUE"""),46087.485914351855)</f>
        <v>46087.48591</v>
      </c>
      <c r="D4016" s="211" t="str">
        <f>IFERROR(__xludf.DUMMYFUNCTION("""COMPUTED_VALUE"""),"1c4d5e93")</f>
        <v>1c4d5e93</v>
      </c>
      <c r="E4016" s="211" t="str">
        <f>IFERROR(__xludf.DUMMYFUNCTION("""COMPUTED_VALUE"""),"Karoseri Cipta Mitra Sukses")</f>
        <v>Karoseri Cipta Mitra Sukses</v>
      </c>
      <c r="F4016" s="211" t="str">
        <f>IFERROR(__xludf.DUMMYFUNCTION("""COMPUTED_VALUE"""),"ef306e54")</f>
        <v>ef306e54</v>
      </c>
      <c r="G4016" s="211" t="str">
        <f>IFERROR(__xludf.DUMMYFUNCTION("""COMPUTED_VALUE"""),"Karbondioksida")</f>
        <v>Karbondioksida</v>
      </c>
      <c r="H4016" s="211" t="str">
        <f>IFERROR(__xludf.DUMMYFUNCTION("""COMPUTED_VALUE"""),"OUT")</f>
        <v>OUT</v>
      </c>
      <c r="I4016" s="211" t="str">
        <f>IFERROR(__xludf.DUMMYFUNCTION("""COMPUTED_VALUE"""),"NORMAL")</f>
        <v>NORMAL</v>
      </c>
      <c r="J4016" s="211">
        <f>IFERROR(__xludf.DUMMYFUNCTION("""COMPUTED_VALUE"""),4.0)</f>
        <v>4</v>
      </c>
      <c r="K4016" s="210" t="str">
        <f>IFERROR(__xludf.DUMMYFUNCTION("""COMPUTED_VALUE"""),"13056 13027 13043 13073")</f>
        <v>13056 13027 13043 13073</v>
      </c>
      <c r="L4016" s="211">
        <f>IFERROR(__xludf.DUMMYFUNCTION("""COMPUTED_VALUE"""),190000.0)</f>
        <v>190000</v>
      </c>
      <c r="M4016" s="211"/>
      <c r="N4016" s="211"/>
      <c r="O4016" s="211" t="b">
        <f>IFERROR(__xludf.DUMMYFUNCTION("""COMPUTED_VALUE"""),FALSE)</f>
        <v>0</v>
      </c>
    </row>
    <row r="4017">
      <c r="A4017" s="210" t="str">
        <f>IFERROR(__xludf.DUMMYFUNCTION("""COMPUTED_VALUE"""),"1261362")</f>
        <v>1261362</v>
      </c>
      <c r="B4017" s="210" t="str">
        <f>IFERROR(__xludf.DUMMYFUNCTION("""COMPUTED_VALUE"""),"1261362")</f>
        <v>1261362</v>
      </c>
      <c r="C4017" s="213">
        <f>IFERROR(__xludf.DUMMYFUNCTION("""COMPUTED_VALUE"""),46087.52228009259)</f>
        <v>46087.52228</v>
      </c>
      <c r="D4017" s="211" t="str">
        <f>IFERROR(__xludf.DUMMYFUNCTION("""COMPUTED_VALUE"""),"9e66ced9")</f>
        <v>9e66ced9</v>
      </c>
      <c r="E4017" s="211" t="str">
        <f>IFERROR(__xludf.DUMMYFUNCTION("""COMPUTED_VALUE"""),"Bapak Angga")</f>
        <v>Bapak Angga</v>
      </c>
      <c r="F4017" s="211" t="str">
        <f>IFERROR(__xludf.DUMMYFUNCTION("""COMPUTED_VALUE"""),"7d2764f1")</f>
        <v>7d2764f1</v>
      </c>
      <c r="G4017" s="211" t="str">
        <f>IFERROR(__xludf.DUMMYFUNCTION("""COMPUTED_VALUE"""),"Oksigen 7m3")</f>
        <v>Oksigen 7m3</v>
      </c>
      <c r="H4017" s="211" t="str">
        <f>IFERROR(__xludf.DUMMYFUNCTION("""COMPUTED_VALUE"""),"IN")</f>
        <v>IN</v>
      </c>
      <c r="I4017" s="211" t="str">
        <f>IFERROR(__xludf.DUMMYFUNCTION("""COMPUTED_VALUE"""),"EMPTY")</f>
        <v>EMPTY</v>
      </c>
      <c r="J4017" s="211">
        <f>IFERROR(__xludf.DUMMYFUNCTION("""COMPUTED_VALUE"""),4.0)</f>
        <v>4</v>
      </c>
      <c r="K4017" s="210" t="str">
        <f>IFERROR(__xludf.DUMMYFUNCTION("""COMPUTED_VALUE"""),"11169 11137 11304 11302")</f>
        <v>11169 11137 11304 11302</v>
      </c>
      <c r="L4017" s="211">
        <f>IFERROR(__xludf.DUMMYFUNCTION("""COMPUTED_VALUE"""),0.0)</f>
        <v>0</v>
      </c>
      <c r="M4017" s="211"/>
      <c r="N4017" s="211"/>
      <c r="O4017" s="211" t="b">
        <f>IFERROR(__xludf.DUMMYFUNCTION("""COMPUTED_VALUE"""),FALSE)</f>
        <v>0</v>
      </c>
    </row>
    <row r="4018">
      <c r="A4018" s="210" t="str">
        <f>IFERROR(__xludf.DUMMYFUNCTION("""COMPUTED_VALUE"""),"1261364")</f>
        <v>1261364</v>
      </c>
      <c r="B4018" s="210" t="str">
        <f>IFERROR(__xludf.DUMMYFUNCTION("""COMPUTED_VALUE"""),"1261364")</f>
        <v>1261364</v>
      </c>
      <c r="C4018" s="213">
        <f>IFERROR(__xludf.DUMMYFUNCTION("""COMPUTED_VALUE"""),46087.64550925926)</f>
        <v>46087.64551</v>
      </c>
      <c r="D4018" s="211" t="str">
        <f>IFERROR(__xludf.DUMMYFUNCTION("""COMPUTED_VALUE"""),"1c4d5e93")</f>
        <v>1c4d5e93</v>
      </c>
      <c r="E4018" s="211" t="str">
        <f>IFERROR(__xludf.DUMMYFUNCTION("""COMPUTED_VALUE"""),"Karoseri Cipta Mitra Sukses")</f>
        <v>Karoseri Cipta Mitra Sukses</v>
      </c>
      <c r="F4018" s="211" t="str">
        <f>IFERROR(__xludf.DUMMYFUNCTION("""COMPUTED_VALUE"""),"8bdbe149")</f>
        <v>8bdbe149</v>
      </c>
      <c r="G4018" s="211" t="str">
        <f>IFERROR(__xludf.DUMMYFUNCTION("""COMPUTED_VALUE"""),"Oksigen 6m3")</f>
        <v>Oksigen 6m3</v>
      </c>
      <c r="H4018" s="211" t="str">
        <f>IFERROR(__xludf.DUMMYFUNCTION("""COMPUTED_VALUE"""),"IN")</f>
        <v>IN</v>
      </c>
      <c r="I4018" s="211" t="str">
        <f>IFERROR(__xludf.DUMMYFUNCTION("""COMPUTED_VALUE"""),"EMPTY")</f>
        <v>EMPTY</v>
      </c>
      <c r="J4018" s="211">
        <f>IFERROR(__xludf.DUMMYFUNCTION("""COMPUTED_VALUE"""),1.0)</f>
        <v>1</v>
      </c>
      <c r="K4018" s="210" t="str">
        <f>IFERROR(__xludf.DUMMYFUNCTION("""COMPUTED_VALUE"""),"11245")</f>
        <v>11245</v>
      </c>
      <c r="L4018" s="211">
        <f>IFERROR(__xludf.DUMMYFUNCTION("""COMPUTED_VALUE"""),0.0)</f>
        <v>0</v>
      </c>
      <c r="M4018" s="211"/>
      <c r="N4018" s="211"/>
      <c r="O4018" s="211" t="b">
        <f>IFERROR(__xludf.DUMMYFUNCTION("""COMPUTED_VALUE"""),FALSE)</f>
        <v>0</v>
      </c>
    </row>
    <row r="4019">
      <c r="A4019" s="210" t="str">
        <f>IFERROR(__xludf.DUMMYFUNCTION("""COMPUTED_VALUE"""),"1261365")</f>
        <v>1261365</v>
      </c>
      <c r="B4019" s="210" t="str">
        <f>IFERROR(__xludf.DUMMYFUNCTION("""COMPUTED_VALUE"""),"1261365")</f>
        <v>1261365</v>
      </c>
      <c r="C4019" s="213">
        <f>IFERROR(__xludf.DUMMYFUNCTION("""COMPUTED_VALUE"""),46087.64591435185)</f>
        <v>46087.64591</v>
      </c>
      <c r="D4019" s="211" t="str">
        <f>IFERROR(__xludf.DUMMYFUNCTION("""COMPUTED_VALUE"""),"a0f0ad2d")</f>
        <v>a0f0ad2d</v>
      </c>
      <c r="E4019" s="211" t="str">
        <f>IFERROR(__xludf.DUMMYFUNCTION("""COMPUTED_VALUE"""),"CV. Yulie Jaya")</f>
        <v>CV. Yulie Jaya</v>
      </c>
      <c r="F4019" s="211" t="str">
        <f>IFERROR(__xludf.DUMMYFUNCTION("""COMPUTED_VALUE"""),"8bdbe149")</f>
        <v>8bdbe149</v>
      </c>
      <c r="G4019" s="211" t="str">
        <f>IFERROR(__xludf.DUMMYFUNCTION("""COMPUTED_VALUE"""),"Oksigen 6m3")</f>
        <v>Oksigen 6m3</v>
      </c>
      <c r="H4019" s="211" t="str">
        <f>IFERROR(__xludf.DUMMYFUNCTION("""COMPUTED_VALUE"""),"IN")</f>
        <v>IN</v>
      </c>
      <c r="I4019" s="211" t="str">
        <f>IFERROR(__xludf.DUMMYFUNCTION("""COMPUTED_VALUE"""),"EMPTY")</f>
        <v>EMPTY</v>
      </c>
      <c r="J4019" s="211">
        <f>IFERROR(__xludf.DUMMYFUNCTION("""COMPUTED_VALUE"""),3.0)</f>
        <v>3</v>
      </c>
      <c r="K4019" s="210" t="str">
        <f>IFERROR(__xludf.DUMMYFUNCTION("""COMPUTED_VALUE"""),"11103 11239 11236")</f>
        <v>11103 11239 11236</v>
      </c>
      <c r="L4019" s="211">
        <f>IFERROR(__xludf.DUMMYFUNCTION("""COMPUTED_VALUE"""),0.0)</f>
        <v>0</v>
      </c>
      <c r="M4019" s="211"/>
      <c r="N4019" s="211"/>
      <c r="O4019" s="211" t="b">
        <f>IFERROR(__xludf.DUMMYFUNCTION("""COMPUTED_VALUE"""),FALSE)</f>
        <v>0</v>
      </c>
    </row>
    <row r="4020">
      <c r="A4020" s="210" t="str">
        <f>IFERROR(__xludf.DUMMYFUNCTION("""COMPUTED_VALUE"""),"1261365")</f>
        <v>1261365</v>
      </c>
      <c r="B4020" s="210" t="str">
        <f>IFERROR(__xludf.DUMMYFUNCTION("""COMPUTED_VALUE"""),"1261365")</f>
        <v>1261365</v>
      </c>
      <c r="C4020" s="213">
        <f>IFERROR(__xludf.DUMMYFUNCTION("""COMPUTED_VALUE"""),46087.64591435185)</f>
        <v>46087.64591</v>
      </c>
      <c r="D4020" s="211" t="str">
        <f>IFERROR(__xludf.DUMMYFUNCTION("""COMPUTED_VALUE"""),"a0f0ad2d")</f>
        <v>a0f0ad2d</v>
      </c>
      <c r="E4020" s="211" t="str">
        <f>IFERROR(__xludf.DUMMYFUNCTION("""COMPUTED_VALUE"""),"CV. Yulie Jaya")</f>
        <v>CV. Yulie Jaya</v>
      </c>
      <c r="F4020" s="211" t="str">
        <f>IFERROR(__xludf.DUMMYFUNCTION("""COMPUTED_VALUE"""),"7d2764f1")</f>
        <v>7d2764f1</v>
      </c>
      <c r="G4020" s="211" t="str">
        <f>IFERROR(__xludf.DUMMYFUNCTION("""COMPUTED_VALUE"""),"Oksigen 7m3")</f>
        <v>Oksigen 7m3</v>
      </c>
      <c r="H4020" s="211" t="str">
        <f>IFERROR(__xludf.DUMMYFUNCTION("""COMPUTED_VALUE"""),"IN")</f>
        <v>IN</v>
      </c>
      <c r="I4020" s="211" t="str">
        <f>IFERROR(__xludf.DUMMYFUNCTION("""COMPUTED_VALUE"""),"EMPTY")</f>
        <v>EMPTY</v>
      </c>
      <c r="J4020" s="211">
        <f>IFERROR(__xludf.DUMMYFUNCTION("""COMPUTED_VALUE"""),3.0)</f>
        <v>3</v>
      </c>
      <c r="K4020" s="210" t="str">
        <f>IFERROR(__xludf.DUMMYFUNCTION("""COMPUTED_VALUE"""),"11195 11143 11138")</f>
        <v>11195 11143 11138</v>
      </c>
      <c r="L4020" s="211">
        <f>IFERROR(__xludf.DUMMYFUNCTION("""COMPUTED_VALUE"""),0.0)</f>
        <v>0</v>
      </c>
      <c r="M4020" s="211"/>
      <c r="N4020" s="211"/>
      <c r="O4020" s="211" t="b">
        <f>IFERROR(__xludf.DUMMYFUNCTION("""COMPUTED_VALUE"""),FALSE)</f>
        <v>0</v>
      </c>
    </row>
    <row r="4021">
      <c r="A4021" s="210" t="str">
        <f>IFERROR(__xludf.DUMMYFUNCTION("""COMPUTED_VALUE"""),"1261363")</f>
        <v>1261363</v>
      </c>
      <c r="B4021" s="210" t="str">
        <f>IFERROR(__xludf.DUMMYFUNCTION("""COMPUTED_VALUE"""),"1261363")</f>
        <v>1261363</v>
      </c>
      <c r="C4021" s="213">
        <f>IFERROR(__xludf.DUMMYFUNCTION("""COMPUTED_VALUE"""),46087.64699074074)</f>
        <v>46087.64699</v>
      </c>
      <c r="D4021" s="211" t="str">
        <f>IFERROR(__xludf.DUMMYFUNCTION("""COMPUTED_VALUE"""),"63fc688a")</f>
        <v>63fc688a</v>
      </c>
      <c r="E4021" s="211" t="str">
        <f>IFERROR(__xludf.DUMMYFUNCTION("""COMPUTED_VALUE"""),"CV Malik Nusantara")</f>
        <v>CV Malik Nusantara</v>
      </c>
      <c r="F4021" s="211" t="str">
        <f>IFERROR(__xludf.DUMMYFUNCTION("""COMPUTED_VALUE"""),"8bdbe149")</f>
        <v>8bdbe149</v>
      </c>
      <c r="G4021" s="211" t="str">
        <f>IFERROR(__xludf.DUMMYFUNCTION("""COMPUTED_VALUE"""),"Oksigen 6m3")</f>
        <v>Oksigen 6m3</v>
      </c>
      <c r="H4021" s="211" t="str">
        <f>IFERROR(__xludf.DUMMYFUNCTION("""COMPUTED_VALUE"""),"IN")</f>
        <v>IN</v>
      </c>
      <c r="I4021" s="211" t="str">
        <f>IFERROR(__xludf.DUMMYFUNCTION("""COMPUTED_VALUE"""),"EMPTY")</f>
        <v>EMPTY</v>
      </c>
      <c r="J4021" s="211">
        <f>IFERROR(__xludf.DUMMYFUNCTION("""COMPUTED_VALUE"""),4.0)</f>
        <v>4</v>
      </c>
      <c r="K4021" s="210" t="str">
        <f>IFERROR(__xludf.DUMMYFUNCTION("""COMPUTED_VALUE"""),"1196 11246 1157 1117")</f>
        <v>1196 11246 1157 1117</v>
      </c>
      <c r="L4021" s="211">
        <f>IFERROR(__xludf.DUMMYFUNCTION("""COMPUTED_VALUE"""),0.0)</f>
        <v>0</v>
      </c>
      <c r="M4021" s="211"/>
      <c r="N4021" s="211"/>
      <c r="O4021" s="211" t="b">
        <f>IFERROR(__xludf.DUMMYFUNCTION("""COMPUTED_VALUE"""),FALSE)</f>
        <v>0</v>
      </c>
    </row>
    <row r="4022">
      <c r="A4022" s="210" t="str">
        <f>IFERROR(__xludf.DUMMYFUNCTION("""COMPUTED_VALUE"""),"1261363")</f>
        <v>1261363</v>
      </c>
      <c r="B4022" s="210" t="str">
        <f>IFERROR(__xludf.DUMMYFUNCTION("""COMPUTED_VALUE"""),"1261363")</f>
        <v>1261363</v>
      </c>
      <c r="C4022" s="213">
        <f>IFERROR(__xludf.DUMMYFUNCTION("""COMPUTED_VALUE"""),46087.64699074074)</f>
        <v>46087.64699</v>
      </c>
      <c r="D4022" s="211" t="str">
        <f>IFERROR(__xludf.DUMMYFUNCTION("""COMPUTED_VALUE"""),"63fc688a")</f>
        <v>63fc688a</v>
      </c>
      <c r="E4022" s="211" t="str">
        <f>IFERROR(__xludf.DUMMYFUNCTION("""COMPUTED_VALUE"""),"CV Malik Nusantara")</f>
        <v>CV Malik Nusantara</v>
      </c>
      <c r="F4022" s="211" t="str">
        <f>IFERROR(__xludf.DUMMYFUNCTION("""COMPUTED_VALUE"""),"ef306e54")</f>
        <v>ef306e54</v>
      </c>
      <c r="G4022" s="211" t="str">
        <f>IFERROR(__xludf.DUMMYFUNCTION("""COMPUTED_VALUE"""),"Karbondioksida")</f>
        <v>Karbondioksida</v>
      </c>
      <c r="H4022" s="211" t="str">
        <f>IFERROR(__xludf.DUMMYFUNCTION("""COMPUTED_VALUE"""),"IN")</f>
        <v>IN</v>
      </c>
      <c r="I4022" s="211" t="str">
        <f>IFERROR(__xludf.DUMMYFUNCTION("""COMPUTED_VALUE"""),"EMPTY")</f>
        <v>EMPTY</v>
      </c>
      <c r="J4022" s="211">
        <f>IFERROR(__xludf.DUMMYFUNCTION("""COMPUTED_VALUE"""),2.0)</f>
        <v>2</v>
      </c>
      <c r="K4022" s="210" t="str">
        <f>IFERROR(__xludf.DUMMYFUNCTION("""COMPUTED_VALUE"""),"13017 13062")</f>
        <v>13017 13062</v>
      </c>
      <c r="L4022" s="211">
        <f>IFERROR(__xludf.DUMMYFUNCTION("""COMPUTED_VALUE"""),0.0)</f>
        <v>0</v>
      </c>
      <c r="M4022" s="211"/>
      <c r="N4022" s="211"/>
      <c r="O4022" s="211" t="b">
        <f>IFERROR(__xludf.DUMMYFUNCTION("""COMPUTED_VALUE"""),FALSE)</f>
        <v>0</v>
      </c>
    </row>
    <row r="4023">
      <c r="A4023" s="210" t="str">
        <f>IFERROR(__xludf.DUMMYFUNCTION("""COMPUTED_VALUE"""),"1261343")</f>
        <v>1261343</v>
      </c>
      <c r="B4023" s="210" t="str">
        <f>IFERROR(__xludf.DUMMYFUNCTION("""COMPUTED_VALUE"""),"1261343")</f>
        <v>1261343</v>
      </c>
      <c r="C4023" s="213">
        <f>IFERROR(__xludf.DUMMYFUNCTION("""COMPUTED_VALUE"""),46087.65759259259)</f>
        <v>46087.65759</v>
      </c>
      <c r="D4023" s="211" t="str">
        <f>IFERROR(__xludf.DUMMYFUNCTION("""COMPUTED_VALUE"""),"ce83e171")</f>
        <v>ce83e171</v>
      </c>
      <c r="E4023" s="211" t="str">
        <f>IFERROR(__xludf.DUMMYFUNCTION("""COMPUTED_VALUE"""),"Bpk. Sulaiman")</f>
        <v>Bpk. Sulaiman</v>
      </c>
      <c r="F4023" s="211" t="str">
        <f>IFERROR(__xludf.DUMMYFUNCTION("""COMPUTED_VALUE"""),"f6aab7a9")</f>
        <v>f6aab7a9</v>
      </c>
      <c r="G4023" s="211" t="str">
        <f>IFERROR(__xludf.DUMMYFUNCTION("""COMPUTED_VALUE"""),"Oksigen 6m3 MR")</f>
        <v>Oksigen 6m3 MR</v>
      </c>
      <c r="H4023" s="211" t="str">
        <f>IFERROR(__xludf.DUMMYFUNCTION("""COMPUTED_VALUE"""),"IN")</f>
        <v>IN</v>
      </c>
      <c r="I4023" s="211" t="str">
        <f>IFERROR(__xludf.DUMMYFUNCTION("""COMPUTED_VALUE"""),"EMPTY")</f>
        <v>EMPTY</v>
      </c>
      <c r="J4023" s="211">
        <f>IFERROR(__xludf.DUMMYFUNCTION("""COMPUTED_VALUE"""),2.0)</f>
        <v>2</v>
      </c>
      <c r="K4023" s="211"/>
      <c r="L4023" s="211">
        <f>IFERROR(__xludf.DUMMYFUNCTION("""COMPUTED_VALUE"""),0.0)</f>
        <v>0</v>
      </c>
      <c r="M4023" s="211"/>
      <c r="N4023" s="211"/>
      <c r="O4023" s="211" t="b">
        <f>IFERROR(__xludf.DUMMYFUNCTION("""COMPUTED_VALUE"""),FALSE)</f>
        <v>0</v>
      </c>
    </row>
    <row r="4024">
      <c r="A4024" s="210" t="str">
        <f>IFERROR(__xludf.DUMMYFUNCTION("""COMPUTED_VALUE"""),"1261342")</f>
        <v>1261342</v>
      </c>
      <c r="B4024" s="210" t="str">
        <f>IFERROR(__xludf.DUMMYFUNCTION("""COMPUTED_VALUE"""),"1261342")</f>
        <v>1261342</v>
      </c>
      <c r="C4024" s="213">
        <f>IFERROR(__xludf.DUMMYFUNCTION("""COMPUTED_VALUE"""),46087.658009259256)</f>
        <v>46087.65801</v>
      </c>
      <c r="D4024" s="211" t="str">
        <f>IFERROR(__xludf.DUMMYFUNCTION("""COMPUTED_VALUE"""),"01158be1")</f>
        <v>01158be1</v>
      </c>
      <c r="E4024" s="211" t="str">
        <f>IFERROR(__xludf.DUMMYFUNCTION("""COMPUTED_VALUE"""),"GYF")</f>
        <v>GYF</v>
      </c>
      <c r="F4024" s="211" t="str">
        <f>IFERROR(__xludf.DUMMYFUNCTION("""COMPUTED_VALUE"""),"8bdbe149")</f>
        <v>8bdbe149</v>
      </c>
      <c r="G4024" s="211" t="str">
        <f>IFERROR(__xludf.DUMMYFUNCTION("""COMPUTED_VALUE"""),"Oksigen 6m3")</f>
        <v>Oksigen 6m3</v>
      </c>
      <c r="H4024" s="211" t="str">
        <f>IFERROR(__xludf.DUMMYFUNCTION("""COMPUTED_VALUE"""),"IN")</f>
        <v>IN</v>
      </c>
      <c r="I4024" s="211" t="str">
        <f>IFERROR(__xludf.DUMMYFUNCTION("""COMPUTED_VALUE"""),"EMPTY")</f>
        <v>EMPTY</v>
      </c>
      <c r="J4024" s="211">
        <f>IFERROR(__xludf.DUMMYFUNCTION("""COMPUTED_VALUE"""),4.0)</f>
        <v>4</v>
      </c>
      <c r="K4024" s="210" t="str">
        <f>IFERROR(__xludf.DUMMYFUNCTION("""COMPUTED_VALUE"""),"11199 1163 11349 11252")</f>
        <v>11199 1163 11349 11252</v>
      </c>
      <c r="L4024" s="211">
        <f>IFERROR(__xludf.DUMMYFUNCTION("""COMPUTED_VALUE"""),0.0)</f>
        <v>0</v>
      </c>
      <c r="M4024" s="211"/>
      <c r="N4024" s="211"/>
      <c r="O4024" s="211" t="b">
        <f>IFERROR(__xludf.DUMMYFUNCTION("""COMPUTED_VALUE"""),FALSE)</f>
        <v>0</v>
      </c>
    </row>
    <row r="4025">
      <c r="A4025" s="210" t="str">
        <f>IFERROR(__xludf.DUMMYFUNCTION("""COMPUTED_VALUE"""),"032672770")</f>
        <v>032672770</v>
      </c>
      <c r="B4025" s="210" t="str">
        <f>IFERROR(__xludf.DUMMYFUNCTION("""COMPUTED_VALUE"""),"032672770")</f>
        <v>032672770</v>
      </c>
      <c r="C4025" s="213">
        <f>IFERROR(__xludf.DUMMYFUNCTION("""COMPUTED_VALUE"""),46088.350486111114)</f>
        <v>46088.35049</v>
      </c>
      <c r="D4025" s="211" t="str">
        <f>IFERROR(__xludf.DUMMYFUNCTION("""COMPUTED_VALUE"""),"de41c3e8")</f>
        <v>de41c3e8</v>
      </c>
      <c r="E4025" s="211" t="str">
        <f>IFERROR(__xludf.DUMMYFUNCTION("""COMPUTED_VALUE"""),"Bpk. Eko Mianto")</f>
        <v>Bpk. Eko Mianto</v>
      </c>
      <c r="F4025" s="211" t="str">
        <f>IFERROR(__xludf.DUMMYFUNCTION("""COMPUTED_VALUE"""),"66af7c72")</f>
        <v>66af7c72</v>
      </c>
      <c r="G4025" s="211" t="str">
        <f>IFERROR(__xludf.DUMMYFUNCTION("""COMPUTED_VALUE"""),"Argon 6m3")</f>
        <v>Argon 6m3</v>
      </c>
      <c r="H4025" s="211" t="str">
        <f>IFERROR(__xludf.DUMMYFUNCTION("""COMPUTED_VALUE"""),"OUT")</f>
        <v>OUT</v>
      </c>
      <c r="I4025" s="211" t="str">
        <f>IFERROR(__xludf.DUMMYFUNCTION("""COMPUTED_VALUE"""),"NORMAL")</f>
        <v>NORMAL</v>
      </c>
      <c r="J4025" s="211">
        <f>IFERROR(__xludf.DUMMYFUNCTION("""COMPUTED_VALUE"""),2.0)</f>
        <v>2</v>
      </c>
      <c r="K4025" s="210" t="str">
        <f>IFERROR(__xludf.DUMMYFUNCTION("""COMPUTED_VALUE"""),"12042 12063")</f>
        <v>12042 12063</v>
      </c>
      <c r="L4025" s="211">
        <f>IFERROR(__xludf.DUMMYFUNCTION("""COMPUTED_VALUE"""),225000.0)</f>
        <v>225000</v>
      </c>
      <c r="M4025" s="211"/>
      <c r="N4025" s="211"/>
      <c r="O4025" s="211" t="b">
        <f>IFERROR(__xludf.DUMMYFUNCTION("""COMPUTED_VALUE"""),FALSE)</f>
        <v>0</v>
      </c>
    </row>
    <row r="4026">
      <c r="A4026" s="210" t="str">
        <f>IFERROR(__xludf.DUMMYFUNCTION("""COMPUTED_VALUE"""),"0326922777")</f>
        <v>0326922777</v>
      </c>
      <c r="B4026" s="210" t="str">
        <f>IFERROR(__xludf.DUMMYFUNCTION("""COMPUTED_VALUE"""),"0326922777")</f>
        <v>0326922777</v>
      </c>
      <c r="C4026" s="213">
        <f>IFERROR(__xludf.DUMMYFUNCTION("""COMPUTED_VALUE"""),46088.35086805555)</f>
        <v>46088.35087</v>
      </c>
      <c r="D4026" s="211" t="str">
        <f>IFERROR(__xludf.DUMMYFUNCTION("""COMPUTED_VALUE"""),"b2b5f2c5")</f>
        <v>b2b5f2c5</v>
      </c>
      <c r="E4026" s="211" t="str">
        <f>IFERROR(__xludf.DUMMYFUNCTION("""COMPUTED_VALUE"""),"Bengkel Las Bpk. Ari")</f>
        <v>Bengkel Las Bpk. Ari</v>
      </c>
      <c r="F4026" s="211" t="str">
        <f>IFERROR(__xludf.DUMMYFUNCTION("""COMPUTED_VALUE"""),"8bdbe149")</f>
        <v>8bdbe149</v>
      </c>
      <c r="G4026" s="211" t="str">
        <f>IFERROR(__xludf.DUMMYFUNCTION("""COMPUTED_VALUE"""),"Oksigen 6m3")</f>
        <v>Oksigen 6m3</v>
      </c>
      <c r="H4026" s="211" t="str">
        <f>IFERROR(__xludf.DUMMYFUNCTION("""COMPUTED_VALUE"""),"OUT")</f>
        <v>OUT</v>
      </c>
      <c r="I4026" s="211" t="str">
        <f>IFERROR(__xludf.DUMMYFUNCTION("""COMPUTED_VALUE"""),"NORMAL")</f>
        <v>NORMAL</v>
      </c>
      <c r="J4026" s="211">
        <f>IFERROR(__xludf.DUMMYFUNCTION("""COMPUTED_VALUE"""),4.0)</f>
        <v>4</v>
      </c>
      <c r="K4026" s="210" t="str">
        <f>IFERROR(__xludf.DUMMYFUNCTION("""COMPUTED_VALUE"""),"11262 1129 11265 11362")</f>
        <v>11262 1129 11265 11362</v>
      </c>
      <c r="L4026" s="211">
        <f>IFERROR(__xludf.DUMMYFUNCTION("""COMPUTED_VALUE"""),60000.0)</f>
        <v>60000</v>
      </c>
      <c r="M4026" s="211"/>
      <c r="N4026" s="211"/>
      <c r="O4026" s="211" t="b">
        <f>IFERROR(__xludf.DUMMYFUNCTION("""COMPUTED_VALUE"""),FALSE)</f>
        <v>0</v>
      </c>
    </row>
    <row r="4027">
      <c r="A4027" s="210" t="str">
        <f>IFERROR(__xludf.DUMMYFUNCTION("""COMPUTED_VALUE"""),"0326922777")</f>
        <v>0326922777</v>
      </c>
      <c r="B4027" s="210" t="str">
        <f>IFERROR(__xludf.DUMMYFUNCTION("""COMPUTED_VALUE"""),"0326922777")</f>
        <v>0326922777</v>
      </c>
      <c r="C4027" s="213">
        <f>IFERROR(__xludf.DUMMYFUNCTION("""COMPUTED_VALUE"""),46088.35086805555)</f>
        <v>46088.35087</v>
      </c>
      <c r="D4027" s="211" t="str">
        <f>IFERROR(__xludf.DUMMYFUNCTION("""COMPUTED_VALUE"""),"b2b5f2c5")</f>
        <v>b2b5f2c5</v>
      </c>
      <c r="E4027" s="211" t="str">
        <f>IFERROR(__xludf.DUMMYFUNCTION("""COMPUTED_VALUE"""),"Bengkel Las Bpk. Ari")</f>
        <v>Bengkel Las Bpk. Ari</v>
      </c>
      <c r="F4027" s="211" t="str">
        <f>IFERROR(__xludf.DUMMYFUNCTION("""COMPUTED_VALUE"""),"ef306e54")</f>
        <v>ef306e54</v>
      </c>
      <c r="G4027" s="211" t="str">
        <f>IFERROR(__xludf.DUMMYFUNCTION("""COMPUTED_VALUE"""),"Karbondioksida")</f>
        <v>Karbondioksida</v>
      </c>
      <c r="H4027" s="211" t="str">
        <f>IFERROR(__xludf.DUMMYFUNCTION("""COMPUTED_VALUE"""),"OUT")</f>
        <v>OUT</v>
      </c>
      <c r="I4027" s="211" t="str">
        <f>IFERROR(__xludf.DUMMYFUNCTION("""COMPUTED_VALUE"""),"NORMAL")</f>
        <v>NORMAL</v>
      </c>
      <c r="J4027" s="211">
        <f>IFERROR(__xludf.DUMMYFUNCTION("""COMPUTED_VALUE"""),2.0)</f>
        <v>2</v>
      </c>
      <c r="K4027" s="210" t="str">
        <f>IFERROR(__xludf.DUMMYFUNCTION("""COMPUTED_VALUE"""),"13003 13035")</f>
        <v>13003 13035</v>
      </c>
      <c r="L4027" s="211">
        <f>IFERROR(__xludf.DUMMYFUNCTION("""COMPUTED_VALUE"""),180000.0)</f>
        <v>180000</v>
      </c>
      <c r="M4027" s="211"/>
      <c r="N4027" s="211"/>
      <c r="O4027" s="211" t="b">
        <f>IFERROR(__xludf.DUMMYFUNCTION("""COMPUTED_VALUE"""),FALSE)</f>
        <v>0</v>
      </c>
    </row>
    <row r="4028">
      <c r="A4028" s="210" t="str">
        <f>IFERROR(__xludf.DUMMYFUNCTION("""COMPUTED_VALUE"""),"032672778")</f>
        <v>032672778</v>
      </c>
      <c r="B4028" s="210" t="str">
        <f>IFERROR(__xludf.DUMMYFUNCTION("""COMPUTED_VALUE"""),"032672778")</f>
        <v>032672778</v>
      </c>
      <c r="C4028" s="213">
        <f>IFERROR(__xludf.DUMMYFUNCTION("""COMPUTED_VALUE"""),46088.39173611111)</f>
        <v>46088.39174</v>
      </c>
      <c r="D4028" s="211" t="str">
        <f>IFERROR(__xludf.DUMMYFUNCTION("""COMPUTED_VALUE"""),"d9b2fac5")</f>
        <v>d9b2fac5</v>
      </c>
      <c r="E4028" s="211" t="str">
        <f>IFERROR(__xludf.DUMMYFUNCTION("""COMPUTED_VALUE"""),"Dwi Riza ( Ponokawan)")</f>
        <v>Dwi Riza ( Ponokawan)</v>
      </c>
      <c r="F4028" s="211" t="str">
        <f>IFERROR(__xludf.DUMMYFUNCTION("""COMPUTED_VALUE"""),"8bdbe149")</f>
        <v>8bdbe149</v>
      </c>
      <c r="G4028" s="211" t="str">
        <f>IFERROR(__xludf.DUMMYFUNCTION("""COMPUTED_VALUE"""),"Oksigen 6m3")</f>
        <v>Oksigen 6m3</v>
      </c>
      <c r="H4028" s="211" t="str">
        <f>IFERROR(__xludf.DUMMYFUNCTION("""COMPUTED_VALUE"""),"OUT")</f>
        <v>OUT</v>
      </c>
      <c r="I4028" s="211" t="str">
        <f>IFERROR(__xludf.DUMMYFUNCTION("""COMPUTED_VALUE"""),"NORMAL")</f>
        <v>NORMAL</v>
      </c>
      <c r="J4028" s="211">
        <f>IFERROR(__xludf.DUMMYFUNCTION("""COMPUTED_VALUE"""),5.0)</f>
        <v>5</v>
      </c>
      <c r="K4028" s="210" t="str">
        <f>IFERROR(__xludf.DUMMYFUNCTION("""COMPUTED_VALUE"""),"11246 11236 11103 11239 11245")</f>
        <v>11246 11236 11103 11239 11245</v>
      </c>
      <c r="L4028" s="211">
        <f>IFERROR(__xludf.DUMMYFUNCTION("""COMPUTED_VALUE"""),50000.0)</f>
        <v>50000</v>
      </c>
      <c r="M4028" s="211"/>
      <c r="N4028" s="211"/>
      <c r="O4028" s="211" t="b">
        <f>IFERROR(__xludf.DUMMYFUNCTION("""COMPUTED_VALUE"""),FALSE)</f>
        <v>0</v>
      </c>
    </row>
    <row r="4029">
      <c r="A4029" s="210" t="str">
        <f>IFERROR(__xludf.DUMMYFUNCTION("""COMPUTED_VALUE"""),"0326262779")</f>
        <v>0326262779</v>
      </c>
      <c r="B4029" s="210" t="str">
        <f>IFERROR(__xludf.DUMMYFUNCTION("""COMPUTED_VALUE"""),"0326262779")</f>
        <v>0326262779</v>
      </c>
      <c r="C4029" s="213">
        <f>IFERROR(__xludf.DUMMYFUNCTION("""COMPUTED_VALUE"""),46088.392013888886)</f>
        <v>46088.39201</v>
      </c>
      <c r="D4029" s="211" t="str">
        <f>IFERROR(__xludf.DUMMYFUNCTION("""COMPUTED_VALUE"""),"4ec68cf6")</f>
        <v>4ec68cf6</v>
      </c>
      <c r="E4029" s="211" t="str">
        <f>IFERROR(__xludf.DUMMYFUNCTION("""COMPUTED_VALUE"""),"CV Sido Mukti Karya")</f>
        <v>CV Sido Mukti Karya</v>
      </c>
      <c r="F4029" s="211" t="str">
        <f>IFERROR(__xludf.DUMMYFUNCTION("""COMPUTED_VALUE"""),"7d2764f1")</f>
        <v>7d2764f1</v>
      </c>
      <c r="G4029" s="211" t="str">
        <f>IFERROR(__xludf.DUMMYFUNCTION("""COMPUTED_VALUE"""),"Oksigen 7m3")</f>
        <v>Oksigen 7m3</v>
      </c>
      <c r="H4029" s="211" t="str">
        <f>IFERROR(__xludf.DUMMYFUNCTION("""COMPUTED_VALUE"""),"OUT")</f>
        <v>OUT</v>
      </c>
      <c r="I4029" s="211" t="str">
        <f>IFERROR(__xludf.DUMMYFUNCTION("""COMPUTED_VALUE"""),"NORMAL")</f>
        <v>NORMAL</v>
      </c>
      <c r="J4029" s="211">
        <f>IFERROR(__xludf.DUMMYFUNCTION("""COMPUTED_VALUE"""),6.0)</f>
        <v>6</v>
      </c>
      <c r="K4029" s="210" t="str">
        <f>IFERROR(__xludf.DUMMYFUNCTION("""COMPUTED_VALUE"""),"11137 11143 11169 11304 11302 11138")</f>
        <v>11137 11143 11169 11304 11302 11138</v>
      </c>
      <c r="L4029" s="211">
        <f>IFERROR(__xludf.DUMMYFUNCTION("""COMPUTED_VALUE"""),60000.0)</f>
        <v>60000</v>
      </c>
      <c r="M4029" s="211"/>
      <c r="N4029" s="211"/>
      <c r="O4029" s="211" t="b">
        <f>IFERROR(__xludf.DUMMYFUNCTION("""COMPUTED_VALUE"""),FALSE)</f>
        <v>0</v>
      </c>
    </row>
    <row r="4030">
      <c r="A4030" s="210" t="str">
        <f>IFERROR(__xludf.DUMMYFUNCTION("""COMPUTED_VALUE"""),"0326262779")</f>
        <v>0326262779</v>
      </c>
      <c r="B4030" s="210" t="str">
        <f>IFERROR(__xludf.DUMMYFUNCTION("""COMPUTED_VALUE"""),"0326262779")</f>
        <v>0326262779</v>
      </c>
      <c r="C4030" s="213">
        <f>IFERROR(__xludf.DUMMYFUNCTION("""COMPUTED_VALUE"""),46088.392013888886)</f>
        <v>46088.39201</v>
      </c>
      <c r="D4030" s="211" t="str">
        <f>IFERROR(__xludf.DUMMYFUNCTION("""COMPUTED_VALUE"""),"4ec68cf6")</f>
        <v>4ec68cf6</v>
      </c>
      <c r="E4030" s="211" t="str">
        <f>IFERROR(__xludf.DUMMYFUNCTION("""COMPUTED_VALUE"""),"CV Sido Mukti Karya")</f>
        <v>CV Sido Mukti Karya</v>
      </c>
      <c r="F4030" s="211" t="str">
        <f>IFERROR(__xludf.DUMMYFUNCTION("""COMPUTED_VALUE"""),"ef306e54")</f>
        <v>ef306e54</v>
      </c>
      <c r="G4030" s="211" t="str">
        <f>IFERROR(__xludf.DUMMYFUNCTION("""COMPUTED_VALUE"""),"Karbondioksida")</f>
        <v>Karbondioksida</v>
      </c>
      <c r="H4030" s="211" t="str">
        <f>IFERROR(__xludf.DUMMYFUNCTION("""COMPUTED_VALUE"""),"OUT")</f>
        <v>OUT</v>
      </c>
      <c r="I4030" s="211" t="str">
        <f>IFERROR(__xludf.DUMMYFUNCTION("""COMPUTED_VALUE"""),"NORMAL")</f>
        <v>NORMAL</v>
      </c>
      <c r="J4030" s="211">
        <f>IFERROR(__xludf.DUMMYFUNCTION("""COMPUTED_VALUE"""),2.0)</f>
        <v>2</v>
      </c>
      <c r="K4030" s="210" t="str">
        <f>IFERROR(__xludf.DUMMYFUNCTION("""COMPUTED_VALUE"""),"13048 13052")</f>
        <v>13048 13052</v>
      </c>
      <c r="L4030" s="211">
        <f>IFERROR(__xludf.DUMMYFUNCTION("""COMPUTED_VALUE"""),180000.0)</f>
        <v>180000</v>
      </c>
      <c r="M4030" s="211"/>
      <c r="N4030" s="211"/>
      <c r="O4030" s="211" t="b">
        <f>IFERROR(__xludf.DUMMYFUNCTION("""COMPUTED_VALUE"""),FALSE)</f>
        <v>0</v>
      </c>
    </row>
    <row r="4031">
      <c r="A4031" s="210" t="str">
        <f>IFERROR(__xludf.DUMMYFUNCTION("""COMPUTED_VALUE"""),"032622780")</f>
        <v>032622780</v>
      </c>
      <c r="B4031" s="210" t="str">
        <f>IFERROR(__xludf.DUMMYFUNCTION("""COMPUTED_VALUE"""),"032622780")</f>
        <v>032622780</v>
      </c>
      <c r="C4031" s="213">
        <f>IFERROR(__xludf.DUMMYFUNCTION("""COMPUTED_VALUE"""),46088.40530092592)</f>
        <v>46088.4053</v>
      </c>
      <c r="D4031" s="211" t="str">
        <f>IFERROR(__xludf.DUMMYFUNCTION("""COMPUTED_VALUE"""),"02c693f1")</f>
        <v>02c693f1</v>
      </c>
      <c r="E4031" s="211" t="str">
        <f>IFERROR(__xludf.DUMMYFUNCTION("""COMPUTED_VALUE"""),"Bpk. Rudi Jaya")</f>
        <v>Bpk. Rudi Jaya</v>
      </c>
      <c r="F4031" s="211" t="str">
        <f>IFERROR(__xludf.DUMMYFUNCTION("""COMPUTED_VALUE"""),"8bdbe149")</f>
        <v>8bdbe149</v>
      </c>
      <c r="G4031" s="211" t="str">
        <f>IFERROR(__xludf.DUMMYFUNCTION("""COMPUTED_VALUE"""),"Oksigen 6m3")</f>
        <v>Oksigen 6m3</v>
      </c>
      <c r="H4031" s="211" t="str">
        <f>IFERROR(__xludf.DUMMYFUNCTION("""COMPUTED_VALUE"""),"OUT")</f>
        <v>OUT</v>
      </c>
      <c r="I4031" s="211" t="str">
        <f>IFERROR(__xludf.DUMMYFUNCTION("""COMPUTED_VALUE"""),"NORMAL")</f>
        <v>NORMAL</v>
      </c>
      <c r="J4031" s="211">
        <f>IFERROR(__xludf.DUMMYFUNCTION("""COMPUTED_VALUE"""),4.0)</f>
        <v>4</v>
      </c>
      <c r="K4031" s="210" t="str">
        <f>IFERROR(__xludf.DUMMYFUNCTION("""COMPUTED_VALUE"""),"1196 1117 1157 11186")</f>
        <v>1196 1117 1157 11186</v>
      </c>
      <c r="L4031" s="211">
        <f>IFERROR(__xludf.DUMMYFUNCTION("""COMPUTED_VALUE"""),70000.0)</f>
        <v>70000</v>
      </c>
      <c r="M4031" s="211"/>
      <c r="N4031" s="211"/>
      <c r="O4031" s="211" t="b">
        <f>IFERROR(__xludf.DUMMYFUNCTION("""COMPUTED_VALUE"""),FALSE)</f>
        <v>0</v>
      </c>
    </row>
    <row r="4032">
      <c r="A4032" s="210" t="str">
        <f>IFERROR(__xludf.DUMMYFUNCTION("""COMPUTED_VALUE"""),"032652781")</f>
        <v>032652781</v>
      </c>
      <c r="B4032" s="210" t="str">
        <f>IFERROR(__xludf.DUMMYFUNCTION("""COMPUTED_VALUE"""),"032652781")</f>
        <v>032652781</v>
      </c>
      <c r="C4032" s="213">
        <f>IFERROR(__xludf.DUMMYFUNCTION("""COMPUTED_VALUE"""),46088.42587962963)</f>
        <v>46088.42588</v>
      </c>
      <c r="D4032" s="211" t="str">
        <f>IFERROR(__xludf.DUMMYFUNCTION("""COMPUTED_VALUE"""),"3a48ba8b")</f>
        <v>3a48ba8b</v>
      </c>
      <c r="E4032" s="211" t="str">
        <f>IFERROR(__xludf.DUMMYFUNCTION("""COMPUTED_VALUE"""),"Bpk. Kacung")</f>
        <v>Bpk. Kacung</v>
      </c>
      <c r="F4032" s="211" t="str">
        <f>IFERROR(__xludf.DUMMYFUNCTION("""COMPUTED_VALUE"""),"be525f3b")</f>
        <v>be525f3b</v>
      </c>
      <c r="G4032" s="211" t="str">
        <f>IFERROR(__xludf.DUMMYFUNCTION("""COMPUTED_VALUE"""),"LPG 12kg")</f>
        <v>LPG 12kg</v>
      </c>
      <c r="H4032" s="211" t="str">
        <f>IFERROR(__xludf.DUMMYFUNCTION("""COMPUTED_VALUE"""),"OUT")</f>
        <v>OUT</v>
      </c>
      <c r="I4032" s="211" t="str">
        <f>IFERROR(__xludf.DUMMYFUNCTION("""COMPUTED_VALUE"""),"NORMAL")</f>
        <v>NORMAL</v>
      </c>
      <c r="J4032" s="211">
        <f>IFERROR(__xludf.DUMMYFUNCTION("""COMPUTED_VALUE"""),2.0)</f>
        <v>2</v>
      </c>
      <c r="K4032" s="211"/>
      <c r="L4032" s="211">
        <f>IFERROR(__xludf.DUMMYFUNCTION("""COMPUTED_VALUE"""),215000.0)</f>
        <v>215000</v>
      </c>
      <c r="M4032" s="211"/>
      <c r="N4032" s="211"/>
      <c r="O4032" s="211" t="b">
        <f>IFERROR(__xludf.DUMMYFUNCTION("""COMPUTED_VALUE"""),FALSE)</f>
        <v>0</v>
      </c>
    </row>
    <row r="4033">
      <c r="A4033" s="210" t="str">
        <f>IFERROR(__xludf.DUMMYFUNCTION("""COMPUTED_VALUE"""),"1261381")</f>
        <v>1261381</v>
      </c>
      <c r="B4033" s="210" t="str">
        <f>IFERROR(__xludf.DUMMYFUNCTION("""COMPUTED_VALUE"""),"1261381")</f>
        <v>1261381</v>
      </c>
      <c r="C4033" s="213">
        <f>IFERROR(__xludf.DUMMYFUNCTION("""COMPUTED_VALUE"""),46088.429502314815)</f>
        <v>46088.4295</v>
      </c>
      <c r="D4033" s="211" t="str">
        <f>IFERROR(__xludf.DUMMYFUNCTION("""COMPUTED_VALUE"""),"9b941888")</f>
        <v>9b941888</v>
      </c>
      <c r="E4033" s="211" t="str">
        <f>IFERROR(__xludf.DUMMYFUNCTION("""COMPUTED_VALUE"""),"Mas Devi ( Parengan )")</f>
        <v>Mas Devi ( Parengan )</v>
      </c>
      <c r="F4033" s="211" t="str">
        <f>IFERROR(__xludf.DUMMYFUNCTION("""COMPUTED_VALUE"""),"be525f3b")</f>
        <v>be525f3b</v>
      </c>
      <c r="G4033" s="211" t="str">
        <f>IFERROR(__xludf.DUMMYFUNCTION("""COMPUTED_VALUE"""),"LPG 12kg")</f>
        <v>LPG 12kg</v>
      </c>
      <c r="H4033" s="211" t="str">
        <f>IFERROR(__xludf.DUMMYFUNCTION("""COMPUTED_VALUE"""),"IN")</f>
        <v>IN</v>
      </c>
      <c r="I4033" s="211" t="str">
        <f>IFERROR(__xludf.DUMMYFUNCTION("""COMPUTED_VALUE"""),"EMPTY")</f>
        <v>EMPTY</v>
      </c>
      <c r="J4033" s="211">
        <f>IFERROR(__xludf.DUMMYFUNCTION("""COMPUTED_VALUE"""),1.0)</f>
        <v>1</v>
      </c>
      <c r="K4033" s="210" t="str">
        <f>IFERROR(__xludf.DUMMYFUNCTION("""COMPUTED_VALUE"""),"L003")</f>
        <v>L003</v>
      </c>
      <c r="L4033" s="211">
        <f>IFERROR(__xludf.DUMMYFUNCTION("""COMPUTED_VALUE"""),0.0)</f>
        <v>0</v>
      </c>
      <c r="M4033" s="211"/>
      <c r="N4033" s="211"/>
      <c r="O4033" s="211" t="b">
        <f>IFERROR(__xludf.DUMMYFUNCTION("""COMPUTED_VALUE"""),FALSE)</f>
        <v>0</v>
      </c>
    </row>
    <row r="4034">
      <c r="A4034" s="210" t="str">
        <f>IFERROR(__xludf.DUMMYFUNCTION("""COMPUTED_VALUE"""),"1261366")</f>
        <v>1261366</v>
      </c>
      <c r="B4034" s="210" t="str">
        <f>IFERROR(__xludf.DUMMYFUNCTION("""COMPUTED_VALUE"""),"1261366")</f>
        <v>1261366</v>
      </c>
      <c r="C4034" s="213">
        <f>IFERROR(__xludf.DUMMYFUNCTION("""COMPUTED_VALUE"""),46088.44525462963)</f>
        <v>46088.44525</v>
      </c>
      <c r="D4034" s="211" t="str">
        <f>IFERROR(__xludf.DUMMYFUNCTION("""COMPUTED_VALUE"""),"4ec68cf6")</f>
        <v>4ec68cf6</v>
      </c>
      <c r="E4034" s="211" t="str">
        <f>IFERROR(__xludf.DUMMYFUNCTION("""COMPUTED_VALUE"""),"CV Sido Mukti Karya")</f>
        <v>CV Sido Mukti Karya</v>
      </c>
      <c r="F4034" s="211" t="str">
        <f>IFERROR(__xludf.DUMMYFUNCTION("""COMPUTED_VALUE"""),"ef306e54")</f>
        <v>ef306e54</v>
      </c>
      <c r="G4034" s="211" t="str">
        <f>IFERROR(__xludf.DUMMYFUNCTION("""COMPUTED_VALUE"""),"Karbondioksida")</f>
        <v>Karbondioksida</v>
      </c>
      <c r="H4034" s="211" t="str">
        <f>IFERROR(__xludf.DUMMYFUNCTION("""COMPUTED_VALUE"""),"IN")</f>
        <v>IN</v>
      </c>
      <c r="I4034" s="211" t="str">
        <f>IFERROR(__xludf.DUMMYFUNCTION("""COMPUTED_VALUE"""),"EMPTY")</f>
        <v>EMPTY</v>
      </c>
      <c r="J4034" s="211">
        <f>IFERROR(__xludf.DUMMYFUNCTION("""COMPUTED_VALUE"""),1.0)</f>
        <v>1</v>
      </c>
      <c r="K4034" s="210" t="str">
        <f>IFERROR(__xludf.DUMMYFUNCTION("""COMPUTED_VALUE"""),"13008")</f>
        <v>13008</v>
      </c>
      <c r="L4034" s="211">
        <f>IFERROR(__xludf.DUMMYFUNCTION("""COMPUTED_VALUE"""),0.0)</f>
        <v>0</v>
      </c>
      <c r="M4034" s="211"/>
      <c r="N4034" s="211"/>
      <c r="O4034" s="211" t="b">
        <f>IFERROR(__xludf.DUMMYFUNCTION("""COMPUTED_VALUE"""),FALSE)</f>
        <v>0</v>
      </c>
    </row>
    <row r="4035">
      <c r="A4035" s="210" t="str">
        <f>IFERROR(__xludf.DUMMYFUNCTION("""COMPUTED_VALUE"""),"1261367")</f>
        <v>1261367</v>
      </c>
      <c r="B4035" s="210" t="str">
        <f>IFERROR(__xludf.DUMMYFUNCTION("""COMPUTED_VALUE"""),"1261367")</f>
        <v>1261367</v>
      </c>
      <c r="C4035" s="213">
        <f>IFERROR(__xludf.DUMMYFUNCTION("""COMPUTED_VALUE"""),46088.44587962963)</f>
        <v>46088.44588</v>
      </c>
      <c r="D4035" s="211" t="str">
        <f>IFERROR(__xludf.DUMMYFUNCTION("""COMPUTED_VALUE"""),"d9b2fac5")</f>
        <v>d9b2fac5</v>
      </c>
      <c r="E4035" s="211" t="str">
        <f>IFERROR(__xludf.DUMMYFUNCTION("""COMPUTED_VALUE"""),"Dwi Riza ( Ponokawan)")</f>
        <v>Dwi Riza ( Ponokawan)</v>
      </c>
      <c r="F4035" s="211" t="str">
        <f>IFERROR(__xludf.DUMMYFUNCTION("""COMPUTED_VALUE"""),"8bdbe149")</f>
        <v>8bdbe149</v>
      </c>
      <c r="G4035" s="211" t="str">
        <f>IFERROR(__xludf.DUMMYFUNCTION("""COMPUTED_VALUE"""),"Oksigen 6m3")</f>
        <v>Oksigen 6m3</v>
      </c>
      <c r="H4035" s="211" t="str">
        <f>IFERROR(__xludf.DUMMYFUNCTION("""COMPUTED_VALUE"""),"IN")</f>
        <v>IN</v>
      </c>
      <c r="I4035" s="211" t="str">
        <f>IFERROR(__xludf.DUMMYFUNCTION("""COMPUTED_VALUE"""),"EMPTY")</f>
        <v>EMPTY</v>
      </c>
      <c r="J4035" s="211">
        <f>IFERROR(__xludf.DUMMYFUNCTION("""COMPUTED_VALUE"""),7.0)</f>
        <v>7</v>
      </c>
      <c r="K4035" s="210" t="str">
        <f>IFERROR(__xludf.DUMMYFUNCTION("""COMPUTED_VALUE"""),"11377 1199 1133 1144 11369 11317 11326")</f>
        <v>11377 1199 1133 1144 11369 11317 11326</v>
      </c>
      <c r="L4035" s="211">
        <f>IFERROR(__xludf.DUMMYFUNCTION("""COMPUTED_VALUE"""),0.0)</f>
        <v>0</v>
      </c>
      <c r="M4035" s="211"/>
      <c r="N4035" s="211"/>
      <c r="O4035" s="211" t="b">
        <f>IFERROR(__xludf.DUMMYFUNCTION("""COMPUTED_VALUE"""),FALSE)</f>
        <v>0</v>
      </c>
    </row>
    <row r="4036">
      <c r="A4036" s="210" t="str">
        <f>IFERROR(__xludf.DUMMYFUNCTION("""COMPUTED_VALUE"""),"1261372")</f>
        <v>1261372</v>
      </c>
      <c r="B4036" s="210" t="str">
        <f>IFERROR(__xludf.DUMMYFUNCTION("""COMPUTED_VALUE"""),"1261372")</f>
        <v>1261372</v>
      </c>
      <c r="C4036" s="213">
        <f>IFERROR(__xludf.DUMMYFUNCTION("""COMPUTED_VALUE"""),46088.60706018518)</f>
        <v>46088.60706</v>
      </c>
      <c r="D4036" s="211" t="str">
        <f>IFERROR(__xludf.DUMMYFUNCTION("""COMPUTED_VALUE"""),"b2b5f2c5")</f>
        <v>b2b5f2c5</v>
      </c>
      <c r="E4036" s="211" t="str">
        <f>IFERROR(__xludf.DUMMYFUNCTION("""COMPUTED_VALUE"""),"Bengkel Las Bpk. Ari")</f>
        <v>Bengkel Las Bpk. Ari</v>
      </c>
      <c r="F4036" s="211" t="str">
        <f>IFERROR(__xludf.DUMMYFUNCTION("""COMPUTED_VALUE"""),"8bdbe149")</f>
        <v>8bdbe149</v>
      </c>
      <c r="G4036" s="211" t="str">
        <f>IFERROR(__xludf.DUMMYFUNCTION("""COMPUTED_VALUE"""),"Oksigen 6m3")</f>
        <v>Oksigen 6m3</v>
      </c>
      <c r="H4036" s="211" t="str">
        <f>IFERROR(__xludf.DUMMYFUNCTION("""COMPUTED_VALUE"""),"IN")</f>
        <v>IN</v>
      </c>
      <c r="I4036" s="211" t="str">
        <f>IFERROR(__xludf.DUMMYFUNCTION("""COMPUTED_VALUE"""),"EMPTY")</f>
        <v>EMPTY</v>
      </c>
      <c r="J4036" s="211">
        <f>IFERROR(__xludf.DUMMYFUNCTION("""COMPUTED_VALUE"""),1.0)</f>
        <v>1</v>
      </c>
      <c r="K4036" s="210" t="str">
        <f>IFERROR(__xludf.DUMMYFUNCTION("""COMPUTED_VALUE"""),"11201")</f>
        <v>11201</v>
      </c>
      <c r="L4036" s="211">
        <f>IFERROR(__xludf.DUMMYFUNCTION("""COMPUTED_VALUE"""),0.0)</f>
        <v>0</v>
      </c>
      <c r="M4036" s="211"/>
      <c r="N4036" s="211"/>
      <c r="O4036" s="211" t="b">
        <f>IFERROR(__xludf.DUMMYFUNCTION("""COMPUTED_VALUE"""),FALSE)</f>
        <v>0</v>
      </c>
    </row>
    <row r="4037">
      <c r="A4037" s="210" t="str">
        <f>IFERROR(__xludf.DUMMYFUNCTION("""COMPUTED_VALUE"""),"1261372")</f>
        <v>1261372</v>
      </c>
      <c r="B4037" s="210" t="str">
        <f>IFERROR(__xludf.DUMMYFUNCTION("""COMPUTED_VALUE"""),"1261372")</f>
        <v>1261372</v>
      </c>
      <c r="C4037" s="213">
        <f>IFERROR(__xludf.DUMMYFUNCTION("""COMPUTED_VALUE"""),46088.60706018518)</f>
        <v>46088.60706</v>
      </c>
      <c r="D4037" s="211" t="str">
        <f>IFERROR(__xludf.DUMMYFUNCTION("""COMPUTED_VALUE"""),"b2b5f2c5")</f>
        <v>b2b5f2c5</v>
      </c>
      <c r="E4037" s="211" t="str">
        <f>IFERROR(__xludf.DUMMYFUNCTION("""COMPUTED_VALUE"""),"Bengkel Las Bpk. Ari")</f>
        <v>Bengkel Las Bpk. Ari</v>
      </c>
      <c r="F4037" s="211" t="str">
        <f>IFERROR(__xludf.DUMMYFUNCTION("""COMPUTED_VALUE"""),"ef306e54")</f>
        <v>ef306e54</v>
      </c>
      <c r="G4037" s="211" t="str">
        <f>IFERROR(__xludf.DUMMYFUNCTION("""COMPUTED_VALUE"""),"Karbondioksida")</f>
        <v>Karbondioksida</v>
      </c>
      <c r="H4037" s="211" t="str">
        <f>IFERROR(__xludf.DUMMYFUNCTION("""COMPUTED_VALUE"""),"IN")</f>
        <v>IN</v>
      </c>
      <c r="I4037" s="211" t="str">
        <f>IFERROR(__xludf.DUMMYFUNCTION("""COMPUTED_VALUE"""),"EMPTY")</f>
        <v>EMPTY</v>
      </c>
      <c r="J4037" s="211">
        <f>IFERROR(__xludf.DUMMYFUNCTION("""COMPUTED_VALUE"""),2.0)</f>
        <v>2</v>
      </c>
      <c r="K4037" s="210" t="str">
        <f>IFERROR(__xludf.DUMMYFUNCTION("""COMPUTED_VALUE"""),"13046 13064")</f>
        <v>13046 13064</v>
      </c>
      <c r="L4037" s="211">
        <f>IFERROR(__xludf.DUMMYFUNCTION("""COMPUTED_VALUE"""),0.0)</f>
        <v>0</v>
      </c>
      <c r="M4037" s="211"/>
      <c r="N4037" s="211"/>
      <c r="O4037" s="211" t="b">
        <f>IFERROR(__xludf.DUMMYFUNCTION("""COMPUTED_VALUE"""),FALSE)</f>
        <v>0</v>
      </c>
    </row>
    <row r="4038">
      <c r="A4038" s="210" t="str">
        <f>IFERROR(__xludf.DUMMYFUNCTION("""COMPUTED_VALUE"""),"1261341")</f>
        <v>1261341</v>
      </c>
      <c r="B4038" s="210" t="str">
        <f>IFERROR(__xludf.DUMMYFUNCTION("""COMPUTED_VALUE"""),"1261341")</f>
        <v>1261341</v>
      </c>
      <c r="C4038" s="213">
        <f>IFERROR(__xludf.DUMMYFUNCTION("""COMPUTED_VALUE"""),46088.607453703706)</f>
        <v>46088.60745</v>
      </c>
      <c r="D4038" s="211" t="str">
        <f>IFERROR(__xludf.DUMMYFUNCTION("""COMPUTED_VALUE"""),"9828dfc5")</f>
        <v>9828dfc5</v>
      </c>
      <c r="E4038" s="211" t="str">
        <f>IFERROR(__xludf.DUMMYFUNCTION("""COMPUTED_VALUE"""),"Bpk. David")</f>
        <v>Bpk. David</v>
      </c>
      <c r="F4038" s="211" t="str">
        <f>IFERROR(__xludf.DUMMYFUNCTION("""COMPUTED_VALUE"""),"8bdbe149")</f>
        <v>8bdbe149</v>
      </c>
      <c r="G4038" s="211" t="str">
        <f>IFERROR(__xludf.DUMMYFUNCTION("""COMPUTED_VALUE"""),"Oksigen 6m3")</f>
        <v>Oksigen 6m3</v>
      </c>
      <c r="H4038" s="211" t="str">
        <f>IFERROR(__xludf.DUMMYFUNCTION("""COMPUTED_VALUE"""),"IN")</f>
        <v>IN</v>
      </c>
      <c r="I4038" s="211" t="str">
        <f>IFERROR(__xludf.DUMMYFUNCTION("""COMPUTED_VALUE"""),"EMPTY")</f>
        <v>EMPTY</v>
      </c>
      <c r="J4038" s="211">
        <f>IFERROR(__xludf.DUMMYFUNCTION("""COMPUTED_VALUE"""),4.0)</f>
        <v>4</v>
      </c>
      <c r="K4038" s="210" t="str">
        <f>IFERROR(__xludf.DUMMYFUNCTION("""COMPUTED_VALUE"""),"11361 11373 11127 1184")</f>
        <v>11361 11373 11127 1184</v>
      </c>
      <c r="L4038" s="211">
        <f>IFERROR(__xludf.DUMMYFUNCTION("""COMPUTED_VALUE"""),0.0)</f>
        <v>0</v>
      </c>
      <c r="M4038" s="211"/>
      <c r="N4038" s="211"/>
      <c r="O4038" s="211" t="b">
        <f>IFERROR(__xludf.DUMMYFUNCTION("""COMPUTED_VALUE"""),FALSE)</f>
        <v>0</v>
      </c>
    </row>
    <row r="4039">
      <c r="A4039" s="210" t="str">
        <f>IFERROR(__xludf.DUMMYFUNCTION("""COMPUTED_VALUE"""),"1261341")</f>
        <v>1261341</v>
      </c>
      <c r="B4039" s="210" t="str">
        <f>IFERROR(__xludf.DUMMYFUNCTION("""COMPUTED_VALUE"""),"1261341")</f>
        <v>1261341</v>
      </c>
      <c r="C4039" s="213">
        <f>IFERROR(__xludf.DUMMYFUNCTION("""COMPUTED_VALUE"""),46088.607453703706)</f>
        <v>46088.60745</v>
      </c>
      <c r="D4039" s="211" t="str">
        <f>IFERROR(__xludf.DUMMYFUNCTION("""COMPUTED_VALUE"""),"9828dfc5")</f>
        <v>9828dfc5</v>
      </c>
      <c r="E4039" s="211" t="str">
        <f>IFERROR(__xludf.DUMMYFUNCTION("""COMPUTED_VALUE"""),"Bpk. David")</f>
        <v>Bpk. David</v>
      </c>
      <c r="F4039" s="211" t="str">
        <f>IFERROR(__xludf.DUMMYFUNCTION("""COMPUTED_VALUE"""),"7d2764f1")</f>
        <v>7d2764f1</v>
      </c>
      <c r="G4039" s="211" t="str">
        <f>IFERROR(__xludf.DUMMYFUNCTION("""COMPUTED_VALUE"""),"Oksigen 7m3")</f>
        <v>Oksigen 7m3</v>
      </c>
      <c r="H4039" s="211" t="str">
        <f>IFERROR(__xludf.DUMMYFUNCTION("""COMPUTED_VALUE"""),"IN")</f>
        <v>IN</v>
      </c>
      <c r="I4039" s="211" t="str">
        <f>IFERROR(__xludf.DUMMYFUNCTION("""COMPUTED_VALUE"""),"EMPTY")</f>
        <v>EMPTY</v>
      </c>
      <c r="J4039" s="211">
        <f>IFERROR(__xludf.DUMMYFUNCTION("""COMPUTED_VALUE"""),1.0)</f>
        <v>1</v>
      </c>
      <c r="K4039" s="210" t="str">
        <f>IFERROR(__xludf.DUMMYFUNCTION("""COMPUTED_VALUE"""),"11330")</f>
        <v>11330</v>
      </c>
      <c r="L4039" s="211">
        <f>IFERROR(__xludf.DUMMYFUNCTION("""COMPUTED_VALUE"""),0.0)</f>
        <v>0</v>
      </c>
      <c r="M4039" s="211"/>
      <c r="N4039" s="211"/>
      <c r="O4039" s="211" t="b">
        <f>IFERROR(__xludf.DUMMYFUNCTION("""COMPUTED_VALUE"""),FALSE)</f>
        <v>0</v>
      </c>
    </row>
    <row r="4040">
      <c r="A4040" s="210" t="str">
        <f>IFERROR(__xludf.DUMMYFUNCTION("""COMPUTED_VALUE"""),"1261371")</f>
        <v>1261371</v>
      </c>
      <c r="B4040" s="210" t="str">
        <f>IFERROR(__xludf.DUMMYFUNCTION("""COMPUTED_VALUE"""),"1261371")</f>
        <v>1261371</v>
      </c>
      <c r="C4040" s="213">
        <f>IFERROR(__xludf.DUMMYFUNCTION("""COMPUTED_VALUE"""),46088.60885416667)</f>
        <v>46088.60885</v>
      </c>
      <c r="D4040" s="211" t="str">
        <f>IFERROR(__xludf.DUMMYFUNCTION("""COMPUTED_VALUE"""),"de41c3e8")</f>
        <v>de41c3e8</v>
      </c>
      <c r="E4040" s="211" t="str">
        <f>IFERROR(__xludf.DUMMYFUNCTION("""COMPUTED_VALUE"""),"Bpk. Eko Mianto")</f>
        <v>Bpk. Eko Mianto</v>
      </c>
      <c r="F4040" s="211" t="str">
        <f>IFERROR(__xludf.DUMMYFUNCTION("""COMPUTED_VALUE"""),"66af7c72")</f>
        <v>66af7c72</v>
      </c>
      <c r="G4040" s="211" t="str">
        <f>IFERROR(__xludf.DUMMYFUNCTION("""COMPUTED_VALUE"""),"Argon 6m3")</f>
        <v>Argon 6m3</v>
      </c>
      <c r="H4040" s="211" t="str">
        <f>IFERROR(__xludf.DUMMYFUNCTION("""COMPUTED_VALUE"""),"IN")</f>
        <v>IN</v>
      </c>
      <c r="I4040" s="211" t="str">
        <f>IFERROR(__xludf.DUMMYFUNCTION("""COMPUTED_VALUE"""),"EMPTY")</f>
        <v>EMPTY</v>
      </c>
      <c r="J4040" s="211">
        <f>IFERROR(__xludf.DUMMYFUNCTION("""COMPUTED_VALUE"""),2.0)</f>
        <v>2</v>
      </c>
      <c r="K4040" s="210" t="str">
        <f>IFERROR(__xludf.DUMMYFUNCTION("""COMPUTED_VALUE"""),"12038 12069")</f>
        <v>12038 12069</v>
      </c>
      <c r="L4040" s="211">
        <f>IFERROR(__xludf.DUMMYFUNCTION("""COMPUTED_VALUE"""),0.0)</f>
        <v>0</v>
      </c>
      <c r="M4040" s="211"/>
      <c r="N4040" s="211"/>
      <c r="O4040" s="211" t="b">
        <f>IFERROR(__xludf.DUMMYFUNCTION("""COMPUTED_VALUE"""),FALSE)</f>
        <v>0</v>
      </c>
    </row>
    <row r="4041">
      <c r="A4041" s="210" t="str">
        <f>IFERROR(__xludf.DUMMYFUNCTION("""COMPUTED_VALUE"""),"0326212782")</f>
        <v>0326212782</v>
      </c>
      <c r="B4041" s="210" t="str">
        <f>IFERROR(__xludf.DUMMYFUNCTION("""COMPUTED_VALUE"""),"0326212782")</f>
        <v>0326212782</v>
      </c>
      <c r="C4041" s="213">
        <f>IFERROR(__xludf.DUMMYFUNCTION("""COMPUTED_VALUE"""),46088.609560185185)</f>
        <v>46088.60956</v>
      </c>
      <c r="D4041" s="211" t="str">
        <f>IFERROR(__xludf.DUMMYFUNCTION("""COMPUTED_VALUE"""),"b218b89b")</f>
        <v>b218b89b</v>
      </c>
      <c r="E4041" s="211" t="str">
        <f>IFERROR(__xludf.DUMMYFUNCTION("""COMPUTED_VALUE"""),"PT Harapan Sentosa")</f>
        <v>PT Harapan Sentosa</v>
      </c>
      <c r="F4041" s="211" t="str">
        <f>IFERROR(__xludf.DUMMYFUNCTION("""COMPUTED_VALUE"""),"8bdbe149")</f>
        <v>8bdbe149</v>
      </c>
      <c r="G4041" s="211" t="str">
        <f>IFERROR(__xludf.DUMMYFUNCTION("""COMPUTED_VALUE"""),"Oksigen 6m3")</f>
        <v>Oksigen 6m3</v>
      </c>
      <c r="H4041" s="211" t="str">
        <f>IFERROR(__xludf.DUMMYFUNCTION("""COMPUTED_VALUE"""),"OUT")</f>
        <v>OUT</v>
      </c>
      <c r="I4041" s="211" t="str">
        <f>IFERROR(__xludf.DUMMYFUNCTION("""COMPUTED_VALUE"""),"NORMAL")</f>
        <v>NORMAL</v>
      </c>
      <c r="J4041" s="211">
        <f>IFERROR(__xludf.DUMMYFUNCTION("""COMPUTED_VALUE"""),8.0)</f>
        <v>8</v>
      </c>
      <c r="K4041" s="210" t="str">
        <f>IFERROR(__xludf.DUMMYFUNCTION("""COMPUTED_VALUE"""),"1120 11201 11373 11361 1184 11127 1163 11252")</f>
        <v>1120 11201 11373 11361 1184 11127 1163 11252</v>
      </c>
      <c r="L4041" s="211">
        <f>IFERROR(__xludf.DUMMYFUNCTION("""COMPUTED_VALUE"""),60000.0)</f>
        <v>60000</v>
      </c>
      <c r="M4041" s="211"/>
      <c r="N4041" s="211"/>
      <c r="O4041" s="211" t="b">
        <f>IFERROR(__xludf.DUMMYFUNCTION("""COMPUTED_VALUE"""),FALSE)</f>
        <v>0</v>
      </c>
    </row>
    <row r="4042">
      <c r="A4042" s="210" t="str">
        <f>IFERROR(__xludf.DUMMYFUNCTION("""COMPUTED_VALUE"""),"0326212782")</f>
        <v>0326212782</v>
      </c>
      <c r="B4042" s="210" t="str">
        <f>IFERROR(__xludf.DUMMYFUNCTION("""COMPUTED_VALUE"""),"0326212782")</f>
        <v>0326212782</v>
      </c>
      <c r="C4042" s="213">
        <f>IFERROR(__xludf.DUMMYFUNCTION("""COMPUTED_VALUE"""),46088.609560185185)</f>
        <v>46088.60956</v>
      </c>
      <c r="D4042" s="211" t="str">
        <f>IFERROR(__xludf.DUMMYFUNCTION("""COMPUTED_VALUE"""),"b218b89b")</f>
        <v>b218b89b</v>
      </c>
      <c r="E4042" s="211" t="str">
        <f>IFERROR(__xludf.DUMMYFUNCTION("""COMPUTED_VALUE"""),"PT Harapan Sentosa")</f>
        <v>PT Harapan Sentosa</v>
      </c>
      <c r="F4042" s="211" t="str">
        <f>IFERROR(__xludf.DUMMYFUNCTION("""COMPUTED_VALUE"""),"7d2764f1")</f>
        <v>7d2764f1</v>
      </c>
      <c r="G4042" s="211" t="str">
        <f>IFERROR(__xludf.DUMMYFUNCTION("""COMPUTED_VALUE"""),"Oksigen 7m3")</f>
        <v>Oksigen 7m3</v>
      </c>
      <c r="H4042" s="211" t="str">
        <f>IFERROR(__xludf.DUMMYFUNCTION("""COMPUTED_VALUE"""),"OUT")</f>
        <v>OUT</v>
      </c>
      <c r="I4042" s="211" t="str">
        <f>IFERROR(__xludf.DUMMYFUNCTION("""COMPUTED_VALUE"""),"NORMAL")</f>
        <v>NORMAL</v>
      </c>
      <c r="J4042" s="211">
        <f>IFERROR(__xludf.DUMMYFUNCTION("""COMPUTED_VALUE"""),2.0)</f>
        <v>2</v>
      </c>
      <c r="K4042" s="210" t="str">
        <f>IFERROR(__xludf.DUMMYFUNCTION("""COMPUTED_VALUE"""),"11163 11330")</f>
        <v>11163 11330</v>
      </c>
      <c r="L4042" s="211">
        <f>IFERROR(__xludf.DUMMYFUNCTION("""COMPUTED_VALUE"""),70000.0)</f>
        <v>70000</v>
      </c>
      <c r="M4042" s="211"/>
      <c r="N4042" s="211"/>
      <c r="O4042" s="211" t="b">
        <f>IFERROR(__xludf.DUMMYFUNCTION("""COMPUTED_VALUE"""),FALSE)</f>
        <v>0</v>
      </c>
    </row>
    <row r="4043">
      <c r="A4043" s="210" t="str">
        <f>IFERROR(__xludf.DUMMYFUNCTION("""COMPUTED_VALUE"""),"1261370")</f>
        <v>1261370</v>
      </c>
      <c r="B4043" s="210" t="str">
        <f>IFERROR(__xludf.DUMMYFUNCTION("""COMPUTED_VALUE"""),"1261370")</f>
        <v>1261370</v>
      </c>
      <c r="C4043" s="213">
        <f>IFERROR(__xludf.DUMMYFUNCTION("""COMPUTED_VALUE"""),46088.638391203705)</f>
        <v>46088.63839</v>
      </c>
      <c r="D4043" s="211" t="str">
        <f>IFERROR(__xludf.DUMMYFUNCTION("""COMPUTED_VALUE"""),"63fc688a")</f>
        <v>63fc688a</v>
      </c>
      <c r="E4043" s="211" t="str">
        <f>IFERROR(__xludf.DUMMYFUNCTION("""COMPUTED_VALUE"""),"CV Malik Nusantara")</f>
        <v>CV Malik Nusantara</v>
      </c>
      <c r="F4043" s="211" t="str">
        <f>IFERROR(__xludf.DUMMYFUNCTION("""COMPUTED_VALUE"""),"8bdbe149")</f>
        <v>8bdbe149</v>
      </c>
      <c r="G4043" s="211" t="str">
        <f>IFERROR(__xludf.DUMMYFUNCTION("""COMPUTED_VALUE"""),"Oksigen 6m3")</f>
        <v>Oksigen 6m3</v>
      </c>
      <c r="H4043" s="211" t="str">
        <f>IFERROR(__xludf.DUMMYFUNCTION("""COMPUTED_VALUE"""),"IN")</f>
        <v>IN</v>
      </c>
      <c r="I4043" s="211" t="str">
        <f>IFERROR(__xludf.DUMMYFUNCTION("""COMPUTED_VALUE"""),"EMPTY")</f>
        <v>EMPTY</v>
      </c>
      <c r="J4043" s="211">
        <f>IFERROR(__xludf.DUMMYFUNCTION("""COMPUTED_VALUE"""),8.0)</f>
        <v>8</v>
      </c>
      <c r="K4043" s="210" t="str">
        <f>IFERROR(__xludf.DUMMYFUNCTION("""COMPUTED_VALUE"""),"11129 1110 11371 11384 11100 11324 11242 11288")</f>
        <v>11129 1110 11371 11384 11100 11324 11242 11288</v>
      </c>
      <c r="L4043" s="211">
        <f>IFERROR(__xludf.DUMMYFUNCTION("""COMPUTED_VALUE"""),0.0)</f>
        <v>0</v>
      </c>
      <c r="M4043" s="211"/>
      <c r="N4043" s="211"/>
      <c r="O4043" s="211" t="b">
        <f>IFERROR(__xludf.DUMMYFUNCTION("""COMPUTED_VALUE"""),FALSE)</f>
        <v>0</v>
      </c>
    </row>
    <row r="4044">
      <c r="A4044" s="210" t="str">
        <f>IFERROR(__xludf.DUMMYFUNCTION("""COMPUTED_VALUE"""),"1261370")</f>
        <v>1261370</v>
      </c>
      <c r="B4044" s="210" t="str">
        <f>IFERROR(__xludf.DUMMYFUNCTION("""COMPUTED_VALUE"""),"1261370")</f>
        <v>1261370</v>
      </c>
      <c r="C4044" s="213">
        <f>IFERROR(__xludf.DUMMYFUNCTION("""COMPUTED_VALUE"""),46088.638391203705)</f>
        <v>46088.63839</v>
      </c>
      <c r="D4044" s="211" t="str">
        <f>IFERROR(__xludf.DUMMYFUNCTION("""COMPUTED_VALUE"""),"63fc688a")</f>
        <v>63fc688a</v>
      </c>
      <c r="E4044" s="211" t="str">
        <f>IFERROR(__xludf.DUMMYFUNCTION("""COMPUTED_VALUE"""),"CV Malik Nusantara")</f>
        <v>CV Malik Nusantara</v>
      </c>
      <c r="F4044" s="211" t="str">
        <f>IFERROR(__xludf.DUMMYFUNCTION("""COMPUTED_VALUE"""),"ef306e54")</f>
        <v>ef306e54</v>
      </c>
      <c r="G4044" s="211" t="str">
        <f>IFERROR(__xludf.DUMMYFUNCTION("""COMPUTED_VALUE"""),"Karbondioksida")</f>
        <v>Karbondioksida</v>
      </c>
      <c r="H4044" s="211" t="str">
        <f>IFERROR(__xludf.DUMMYFUNCTION("""COMPUTED_VALUE"""),"IN")</f>
        <v>IN</v>
      </c>
      <c r="I4044" s="211" t="str">
        <f>IFERROR(__xludf.DUMMYFUNCTION("""COMPUTED_VALUE"""),"EMPTY")</f>
        <v>EMPTY</v>
      </c>
      <c r="J4044" s="211">
        <f>IFERROR(__xludf.DUMMYFUNCTION("""COMPUTED_VALUE"""),2.0)</f>
        <v>2</v>
      </c>
      <c r="K4044" s="210" t="str">
        <f>IFERROR(__xludf.DUMMYFUNCTION("""COMPUTED_VALUE"""),"13066 13058")</f>
        <v>13066 13058</v>
      </c>
      <c r="L4044" s="211">
        <f>IFERROR(__xludf.DUMMYFUNCTION("""COMPUTED_VALUE"""),0.0)</f>
        <v>0</v>
      </c>
      <c r="M4044" s="211"/>
      <c r="N4044" s="211"/>
      <c r="O4044" s="211" t="b">
        <f>IFERROR(__xludf.DUMMYFUNCTION("""COMPUTED_VALUE"""),FALSE)</f>
        <v>0</v>
      </c>
    </row>
    <row r="4045">
      <c r="A4045" s="210" t="str">
        <f>IFERROR(__xludf.DUMMYFUNCTION("""COMPUTED_VALUE"""),"1261369")</f>
        <v>1261369</v>
      </c>
      <c r="B4045" s="210" t="str">
        <f>IFERROR(__xludf.DUMMYFUNCTION("""COMPUTED_VALUE"""),"1261369")</f>
        <v>1261369</v>
      </c>
      <c r="C4045" s="213">
        <f>IFERROR(__xludf.DUMMYFUNCTION("""COMPUTED_VALUE"""),46088.63960648148)</f>
        <v>46088.63961</v>
      </c>
      <c r="D4045" s="211" t="str">
        <f>IFERROR(__xludf.DUMMYFUNCTION("""COMPUTED_VALUE"""),"02c693f1")</f>
        <v>02c693f1</v>
      </c>
      <c r="E4045" s="211" t="str">
        <f>IFERROR(__xludf.DUMMYFUNCTION("""COMPUTED_VALUE"""),"Bpk. Rudi Jaya")</f>
        <v>Bpk. Rudi Jaya</v>
      </c>
      <c r="F4045" s="211" t="str">
        <f>IFERROR(__xludf.DUMMYFUNCTION("""COMPUTED_VALUE"""),"8bdbe149")</f>
        <v>8bdbe149</v>
      </c>
      <c r="G4045" s="211" t="str">
        <f>IFERROR(__xludf.DUMMYFUNCTION("""COMPUTED_VALUE"""),"Oksigen 6m3")</f>
        <v>Oksigen 6m3</v>
      </c>
      <c r="H4045" s="211" t="str">
        <f>IFERROR(__xludf.DUMMYFUNCTION("""COMPUTED_VALUE"""),"IN")</f>
        <v>IN</v>
      </c>
      <c r="I4045" s="211" t="str">
        <f>IFERROR(__xludf.DUMMYFUNCTION("""COMPUTED_VALUE"""),"EMPTY")</f>
        <v>EMPTY</v>
      </c>
      <c r="J4045" s="211">
        <f>IFERROR(__xludf.DUMMYFUNCTION("""COMPUTED_VALUE"""),4.0)</f>
        <v>4</v>
      </c>
      <c r="K4045" s="210" t="str">
        <f>IFERROR(__xludf.DUMMYFUNCTION("""COMPUTED_VALUE"""),"11310 1108 1176 1124")</f>
        <v>11310 1108 1176 1124</v>
      </c>
      <c r="L4045" s="211">
        <f>IFERROR(__xludf.DUMMYFUNCTION("""COMPUTED_VALUE"""),0.0)</f>
        <v>0</v>
      </c>
      <c r="M4045" s="211"/>
      <c r="N4045" s="211"/>
      <c r="O4045" s="211" t="b">
        <f>IFERROR(__xludf.DUMMYFUNCTION("""COMPUTED_VALUE"""),FALSE)</f>
        <v>0</v>
      </c>
    </row>
    <row r="4046">
      <c r="A4046" s="210" t="str">
        <f>IFERROR(__xludf.DUMMYFUNCTION("""COMPUTED_VALUE"""),"1261368")</f>
        <v>1261368</v>
      </c>
      <c r="B4046" s="210" t="str">
        <f>IFERROR(__xludf.DUMMYFUNCTION("""COMPUTED_VALUE"""),"1261368")</f>
        <v>1261368</v>
      </c>
      <c r="C4046" s="213">
        <f>IFERROR(__xludf.DUMMYFUNCTION("""COMPUTED_VALUE"""),46088.640081018515)</f>
        <v>46088.64008</v>
      </c>
      <c r="D4046" s="211" t="str">
        <f>IFERROR(__xludf.DUMMYFUNCTION("""COMPUTED_VALUE"""),"3a48ba8b")</f>
        <v>3a48ba8b</v>
      </c>
      <c r="E4046" s="211" t="str">
        <f>IFERROR(__xludf.DUMMYFUNCTION("""COMPUTED_VALUE"""),"Bpk. Kacung")</f>
        <v>Bpk. Kacung</v>
      </c>
      <c r="F4046" s="211" t="str">
        <f>IFERROR(__xludf.DUMMYFUNCTION("""COMPUTED_VALUE"""),"be525f3b")</f>
        <v>be525f3b</v>
      </c>
      <c r="G4046" s="211" t="str">
        <f>IFERROR(__xludf.DUMMYFUNCTION("""COMPUTED_VALUE"""),"LPG 12kg")</f>
        <v>LPG 12kg</v>
      </c>
      <c r="H4046" s="211" t="str">
        <f>IFERROR(__xludf.DUMMYFUNCTION("""COMPUTED_VALUE"""),"IN")</f>
        <v>IN</v>
      </c>
      <c r="I4046" s="211" t="str">
        <f>IFERROR(__xludf.DUMMYFUNCTION("""COMPUTED_VALUE"""),"EMPTY")</f>
        <v>EMPTY</v>
      </c>
      <c r="J4046" s="211">
        <f>IFERROR(__xludf.DUMMYFUNCTION("""COMPUTED_VALUE"""),2.0)</f>
        <v>2</v>
      </c>
      <c r="K4046" s="211"/>
      <c r="L4046" s="211">
        <f>IFERROR(__xludf.DUMMYFUNCTION("""COMPUTED_VALUE"""),0.0)</f>
        <v>0</v>
      </c>
      <c r="M4046" s="211"/>
      <c r="N4046" s="211"/>
      <c r="O4046" s="211" t="b">
        <f>IFERROR(__xludf.DUMMYFUNCTION("""COMPUTED_VALUE"""),FALSE)</f>
        <v>0</v>
      </c>
    </row>
    <row r="4047">
      <c r="A4047" s="210" t="str">
        <f>IFERROR(__xludf.DUMMYFUNCTION("""COMPUTED_VALUE"""),"032612790")</f>
        <v>032612790</v>
      </c>
      <c r="B4047" s="210" t="str">
        <f>IFERROR(__xludf.DUMMYFUNCTION("""COMPUTED_VALUE"""),"032612790")</f>
        <v>032612790</v>
      </c>
      <c r="C4047" s="213">
        <f>IFERROR(__xludf.DUMMYFUNCTION("""COMPUTED_VALUE"""),46088.64165509259)</f>
        <v>46088.64166</v>
      </c>
      <c r="D4047" s="211" t="str">
        <f>IFERROR(__xludf.DUMMYFUNCTION("""COMPUTED_VALUE"""),"96254089")</f>
        <v>96254089</v>
      </c>
      <c r="E4047" s="211" t="str">
        <f>IFERROR(__xludf.DUMMYFUNCTION("""COMPUTED_VALUE"""),"Soni Baja")</f>
        <v>Soni Baja</v>
      </c>
      <c r="F4047" s="211" t="str">
        <f>IFERROR(__xludf.DUMMYFUNCTION("""COMPUTED_VALUE"""),"f6aab7a9")</f>
        <v>f6aab7a9</v>
      </c>
      <c r="G4047" s="211" t="str">
        <f>IFERROR(__xludf.DUMMYFUNCTION("""COMPUTED_VALUE"""),"Oksigen 6m3 MR")</f>
        <v>Oksigen 6m3 MR</v>
      </c>
      <c r="H4047" s="211" t="str">
        <f>IFERROR(__xludf.DUMMYFUNCTION("""COMPUTED_VALUE"""),"OUT")</f>
        <v>OUT</v>
      </c>
      <c r="I4047" s="211" t="str">
        <f>IFERROR(__xludf.DUMMYFUNCTION("""COMPUTED_VALUE"""),"NORMAL")</f>
        <v>NORMAL</v>
      </c>
      <c r="J4047" s="211">
        <f>IFERROR(__xludf.DUMMYFUNCTION("""COMPUTED_VALUE"""),1.0)</f>
        <v>1</v>
      </c>
      <c r="K4047" s="211"/>
      <c r="L4047" s="211">
        <f>IFERROR(__xludf.DUMMYFUNCTION("""COMPUTED_VALUE"""),70000.0)</f>
        <v>70000</v>
      </c>
      <c r="M4047" s="211"/>
      <c r="N4047" s="211"/>
      <c r="O4047" s="211" t="b">
        <f>IFERROR(__xludf.DUMMYFUNCTION("""COMPUTED_VALUE"""),FALSE)</f>
        <v>0</v>
      </c>
    </row>
    <row r="4048">
      <c r="A4048" s="210" t="str">
        <f>IFERROR(__xludf.DUMMYFUNCTION("""COMPUTED_VALUE"""),"0326282789")</f>
        <v>0326282789</v>
      </c>
      <c r="B4048" s="210" t="str">
        <f>IFERROR(__xludf.DUMMYFUNCTION("""COMPUTED_VALUE"""),"0326282789")</f>
        <v>0326282789</v>
      </c>
      <c r="C4048" s="213">
        <f>IFERROR(__xludf.DUMMYFUNCTION("""COMPUTED_VALUE"""),46088.642280092594)</f>
        <v>46088.64228</v>
      </c>
      <c r="D4048" s="211" t="str">
        <f>IFERROR(__xludf.DUMMYFUNCTION("""COMPUTED_VALUE"""),"63fc688a")</f>
        <v>63fc688a</v>
      </c>
      <c r="E4048" s="211" t="str">
        <f>IFERROR(__xludf.DUMMYFUNCTION("""COMPUTED_VALUE"""),"CV Malik Nusantara")</f>
        <v>CV Malik Nusantara</v>
      </c>
      <c r="F4048" s="211" t="str">
        <f>IFERROR(__xludf.DUMMYFUNCTION("""COMPUTED_VALUE"""),"8bdbe149")</f>
        <v>8bdbe149</v>
      </c>
      <c r="G4048" s="211" t="str">
        <f>IFERROR(__xludf.DUMMYFUNCTION("""COMPUTED_VALUE"""),"Oksigen 6m3")</f>
        <v>Oksigen 6m3</v>
      </c>
      <c r="H4048" s="211" t="str">
        <f>IFERROR(__xludf.DUMMYFUNCTION("""COMPUTED_VALUE"""),"OUT")</f>
        <v>OUT</v>
      </c>
      <c r="I4048" s="211" t="str">
        <f>IFERROR(__xludf.DUMMYFUNCTION("""COMPUTED_VALUE"""),"NORMAL")</f>
        <v>NORMAL</v>
      </c>
      <c r="J4048" s="211">
        <f>IFERROR(__xludf.DUMMYFUNCTION("""COMPUTED_VALUE"""),7.0)</f>
        <v>7</v>
      </c>
      <c r="K4048" s="210" t="str">
        <f>IFERROR(__xludf.DUMMYFUNCTION("""COMPUTED_VALUE"""),"11377 11288 11100 11242 11129 1144 1199")</f>
        <v>11377 11288 11100 11242 11129 1144 1199</v>
      </c>
      <c r="L4048" s="211">
        <f>IFERROR(__xludf.DUMMYFUNCTION("""COMPUTED_VALUE"""),65000.0)</f>
        <v>65000</v>
      </c>
      <c r="M4048" s="211"/>
      <c r="N4048" s="211"/>
      <c r="O4048" s="211" t="b">
        <f>IFERROR(__xludf.DUMMYFUNCTION("""COMPUTED_VALUE"""),FALSE)</f>
        <v>0</v>
      </c>
    </row>
    <row r="4049">
      <c r="A4049" s="210" t="str">
        <f>IFERROR(__xludf.DUMMYFUNCTION("""COMPUTED_VALUE"""),"0326282789")</f>
        <v>0326282789</v>
      </c>
      <c r="B4049" s="210" t="str">
        <f>IFERROR(__xludf.DUMMYFUNCTION("""COMPUTED_VALUE"""),"0326282789")</f>
        <v>0326282789</v>
      </c>
      <c r="C4049" s="213">
        <f>IFERROR(__xludf.DUMMYFUNCTION("""COMPUTED_VALUE"""),46088.642280092594)</f>
        <v>46088.64228</v>
      </c>
      <c r="D4049" s="211" t="str">
        <f>IFERROR(__xludf.DUMMYFUNCTION("""COMPUTED_VALUE"""),"63fc688a")</f>
        <v>63fc688a</v>
      </c>
      <c r="E4049" s="211" t="str">
        <f>IFERROR(__xludf.DUMMYFUNCTION("""COMPUTED_VALUE"""),"CV Malik Nusantara")</f>
        <v>CV Malik Nusantara</v>
      </c>
      <c r="F4049" s="211" t="str">
        <f>IFERROR(__xludf.DUMMYFUNCTION("""COMPUTED_VALUE"""),"ef306e54")</f>
        <v>ef306e54</v>
      </c>
      <c r="G4049" s="211" t="str">
        <f>IFERROR(__xludf.DUMMYFUNCTION("""COMPUTED_VALUE"""),"Karbondioksida")</f>
        <v>Karbondioksida</v>
      </c>
      <c r="H4049" s="211" t="str">
        <f>IFERROR(__xludf.DUMMYFUNCTION("""COMPUTED_VALUE"""),"OUT")</f>
        <v>OUT</v>
      </c>
      <c r="I4049" s="211" t="str">
        <f>IFERROR(__xludf.DUMMYFUNCTION("""COMPUTED_VALUE"""),"NORMAL")</f>
        <v>NORMAL</v>
      </c>
      <c r="J4049" s="211">
        <f>IFERROR(__xludf.DUMMYFUNCTION("""COMPUTED_VALUE"""),1.0)</f>
        <v>1</v>
      </c>
      <c r="K4049" s="210" t="str">
        <f>IFERROR(__xludf.DUMMYFUNCTION("""COMPUTED_VALUE"""),"13014")</f>
        <v>13014</v>
      </c>
      <c r="L4049" s="211">
        <f>IFERROR(__xludf.DUMMYFUNCTION("""COMPUTED_VALUE"""),190000.0)</f>
        <v>190000</v>
      </c>
      <c r="M4049" s="211"/>
      <c r="N4049" s="211"/>
      <c r="O4049" s="211" t="b">
        <f>IFERROR(__xludf.DUMMYFUNCTION("""COMPUTED_VALUE"""),FALSE)</f>
        <v>0</v>
      </c>
    </row>
    <row r="4050">
      <c r="A4050" s="210" t="str">
        <f>IFERROR(__xludf.DUMMYFUNCTION("""COMPUTED_VALUE"""),"1261373")</f>
        <v>1261373</v>
      </c>
      <c r="B4050" s="210" t="str">
        <f>IFERROR(__xludf.DUMMYFUNCTION("""COMPUTED_VALUE"""),"1261373")</f>
        <v>1261373</v>
      </c>
      <c r="C4050" s="213">
        <f>IFERROR(__xludf.DUMMYFUNCTION("""COMPUTED_VALUE"""),46088.66840277778)</f>
        <v>46088.6684</v>
      </c>
      <c r="D4050" s="211" t="str">
        <f>IFERROR(__xludf.DUMMYFUNCTION("""COMPUTED_VALUE"""),"b218b89b")</f>
        <v>b218b89b</v>
      </c>
      <c r="E4050" s="211" t="str">
        <f>IFERROR(__xludf.DUMMYFUNCTION("""COMPUTED_VALUE"""),"PT Harapan Sentosa")</f>
        <v>PT Harapan Sentosa</v>
      </c>
      <c r="F4050" s="211" t="str">
        <f>IFERROR(__xludf.DUMMYFUNCTION("""COMPUTED_VALUE"""),"8bdbe149")</f>
        <v>8bdbe149</v>
      </c>
      <c r="G4050" s="211" t="str">
        <f>IFERROR(__xludf.DUMMYFUNCTION("""COMPUTED_VALUE"""),"Oksigen 6m3")</f>
        <v>Oksigen 6m3</v>
      </c>
      <c r="H4050" s="211" t="str">
        <f>IFERROR(__xludf.DUMMYFUNCTION("""COMPUTED_VALUE"""),"IN")</f>
        <v>IN</v>
      </c>
      <c r="I4050" s="211" t="str">
        <f>IFERROR(__xludf.DUMMYFUNCTION("""COMPUTED_VALUE"""),"EMPTY")</f>
        <v>EMPTY</v>
      </c>
      <c r="J4050" s="211">
        <f>IFERROR(__xludf.DUMMYFUNCTION("""COMPUTED_VALUE"""),4.0)</f>
        <v>4</v>
      </c>
      <c r="K4050" s="210" t="str">
        <f>IFERROR(__xludf.DUMMYFUNCTION("""COMPUTED_VALUE"""),"11229 1150 1155 1181")</f>
        <v>11229 1150 1155 1181</v>
      </c>
      <c r="L4050" s="211">
        <f>IFERROR(__xludf.DUMMYFUNCTION("""COMPUTED_VALUE"""),0.0)</f>
        <v>0</v>
      </c>
      <c r="M4050" s="211"/>
      <c r="N4050" s="211"/>
      <c r="O4050" s="211" t="b">
        <f>IFERROR(__xludf.DUMMYFUNCTION("""COMPUTED_VALUE"""),FALSE)</f>
        <v>0</v>
      </c>
    </row>
    <row r="4051">
      <c r="A4051" s="210" t="str">
        <f>IFERROR(__xludf.DUMMYFUNCTION("""COMPUTED_VALUE"""),"1261373")</f>
        <v>1261373</v>
      </c>
      <c r="B4051" s="210" t="str">
        <f>IFERROR(__xludf.DUMMYFUNCTION("""COMPUTED_VALUE"""),"1261373")</f>
        <v>1261373</v>
      </c>
      <c r="C4051" s="213">
        <f>IFERROR(__xludf.DUMMYFUNCTION("""COMPUTED_VALUE"""),46088.66840277778)</f>
        <v>46088.6684</v>
      </c>
      <c r="D4051" s="211" t="str">
        <f>IFERROR(__xludf.DUMMYFUNCTION("""COMPUTED_VALUE"""),"b218b89b")</f>
        <v>b218b89b</v>
      </c>
      <c r="E4051" s="211" t="str">
        <f>IFERROR(__xludf.DUMMYFUNCTION("""COMPUTED_VALUE"""),"PT Harapan Sentosa")</f>
        <v>PT Harapan Sentosa</v>
      </c>
      <c r="F4051" s="211" t="str">
        <f>IFERROR(__xludf.DUMMYFUNCTION("""COMPUTED_VALUE"""),"ef306e54")</f>
        <v>ef306e54</v>
      </c>
      <c r="G4051" s="211" t="str">
        <f>IFERROR(__xludf.DUMMYFUNCTION("""COMPUTED_VALUE"""),"Karbondioksida")</f>
        <v>Karbondioksida</v>
      </c>
      <c r="H4051" s="211" t="str">
        <f>IFERROR(__xludf.DUMMYFUNCTION("""COMPUTED_VALUE"""),"IN")</f>
        <v>IN</v>
      </c>
      <c r="I4051" s="211" t="str">
        <f>IFERROR(__xludf.DUMMYFUNCTION("""COMPUTED_VALUE"""),"EMPTY")</f>
        <v>EMPTY</v>
      </c>
      <c r="J4051" s="211">
        <f>IFERROR(__xludf.DUMMYFUNCTION("""COMPUTED_VALUE"""),1.0)</f>
        <v>1</v>
      </c>
      <c r="K4051" s="210" t="str">
        <f>IFERROR(__xludf.DUMMYFUNCTION("""COMPUTED_VALUE"""),"13032")</f>
        <v>13032</v>
      </c>
      <c r="L4051" s="211">
        <f>IFERROR(__xludf.DUMMYFUNCTION("""COMPUTED_VALUE"""),0.0)</f>
        <v>0</v>
      </c>
      <c r="M4051" s="211"/>
      <c r="N4051" s="211"/>
      <c r="O4051" s="211" t="b">
        <f>IFERROR(__xludf.DUMMYFUNCTION("""COMPUTED_VALUE"""),FALSE)</f>
        <v>0</v>
      </c>
    </row>
    <row r="4052">
      <c r="A4052" s="210" t="str">
        <f>IFERROR(__xludf.DUMMYFUNCTION("""COMPUTED_VALUE"""),"1261373")</f>
        <v>1261373</v>
      </c>
      <c r="B4052" s="210" t="str">
        <f>IFERROR(__xludf.DUMMYFUNCTION("""COMPUTED_VALUE"""),"1261373")</f>
        <v>1261373</v>
      </c>
      <c r="C4052" s="213">
        <f>IFERROR(__xludf.DUMMYFUNCTION("""COMPUTED_VALUE"""),46088.66840277778)</f>
        <v>46088.6684</v>
      </c>
      <c r="D4052" s="211" t="str">
        <f>IFERROR(__xludf.DUMMYFUNCTION("""COMPUTED_VALUE"""),"b218b89b")</f>
        <v>b218b89b</v>
      </c>
      <c r="E4052" s="211" t="str">
        <f>IFERROR(__xludf.DUMMYFUNCTION("""COMPUTED_VALUE"""),"PT Harapan Sentosa")</f>
        <v>PT Harapan Sentosa</v>
      </c>
      <c r="F4052" s="211" t="str">
        <f>IFERROR(__xludf.DUMMYFUNCTION("""COMPUTED_VALUE"""),"7d2764f1")</f>
        <v>7d2764f1</v>
      </c>
      <c r="G4052" s="211" t="str">
        <f>IFERROR(__xludf.DUMMYFUNCTION("""COMPUTED_VALUE"""),"Oksigen 7m3")</f>
        <v>Oksigen 7m3</v>
      </c>
      <c r="H4052" s="211" t="str">
        <f>IFERROR(__xludf.DUMMYFUNCTION("""COMPUTED_VALUE"""),"IN")</f>
        <v>IN</v>
      </c>
      <c r="I4052" s="211" t="str">
        <f>IFERROR(__xludf.DUMMYFUNCTION("""COMPUTED_VALUE"""),"EMPTY")</f>
        <v>EMPTY</v>
      </c>
      <c r="J4052" s="211">
        <f>IFERROR(__xludf.DUMMYFUNCTION("""COMPUTED_VALUE"""),1.0)</f>
        <v>1</v>
      </c>
      <c r="K4052" s="210" t="str">
        <f>IFERROR(__xludf.DUMMYFUNCTION("""COMPUTED_VALUE"""),"11313")</f>
        <v>11313</v>
      </c>
      <c r="L4052" s="211">
        <f>IFERROR(__xludf.DUMMYFUNCTION("""COMPUTED_VALUE"""),0.0)</f>
        <v>0</v>
      </c>
      <c r="M4052" s="211"/>
      <c r="N4052" s="211"/>
      <c r="O4052" s="211" t="b">
        <f>IFERROR(__xludf.DUMMYFUNCTION("""COMPUTED_VALUE"""),FALSE)</f>
        <v>0</v>
      </c>
    </row>
    <row r="4053">
      <c r="A4053" s="210" t="str">
        <f>IFERROR(__xludf.DUMMYFUNCTION("""COMPUTED_VALUE"""),"0326132794")</f>
        <v>0326132794</v>
      </c>
      <c r="B4053" s="210" t="str">
        <f>IFERROR(__xludf.DUMMYFUNCTION("""COMPUTED_VALUE"""),"0326132794")</f>
        <v>0326132794</v>
      </c>
      <c r="C4053" s="213">
        <f>IFERROR(__xludf.DUMMYFUNCTION("""COMPUTED_VALUE"""),46090.36945601852)</f>
        <v>46090.36946</v>
      </c>
      <c r="D4053" s="211" t="str">
        <f>IFERROR(__xludf.DUMMYFUNCTION("""COMPUTED_VALUE"""),"dcdf8b31")</f>
        <v>dcdf8b31</v>
      </c>
      <c r="E4053" s="211" t="str">
        <f>IFERROR(__xludf.DUMMYFUNCTION("""COMPUTED_VALUE"""),"Bpk. Samsul (Jetis)")</f>
        <v>Bpk. Samsul (Jetis)</v>
      </c>
      <c r="F4053" s="211" t="str">
        <f>IFERROR(__xludf.DUMMYFUNCTION("""COMPUTED_VALUE"""),"8bdbe149")</f>
        <v>8bdbe149</v>
      </c>
      <c r="G4053" s="211" t="str">
        <f>IFERROR(__xludf.DUMMYFUNCTION("""COMPUTED_VALUE"""),"Oksigen 6m3")</f>
        <v>Oksigen 6m3</v>
      </c>
      <c r="H4053" s="211" t="str">
        <f>IFERROR(__xludf.DUMMYFUNCTION("""COMPUTED_VALUE"""),"OUT")</f>
        <v>OUT</v>
      </c>
      <c r="I4053" s="211" t="str">
        <f>IFERROR(__xludf.DUMMYFUNCTION("""COMPUTED_VALUE"""),"NORMAL")</f>
        <v>NORMAL</v>
      </c>
      <c r="J4053" s="211">
        <f>IFERROR(__xludf.DUMMYFUNCTION("""COMPUTED_VALUE"""),2.0)</f>
        <v>2</v>
      </c>
      <c r="K4053" s="210" t="str">
        <f>IFERROR(__xludf.DUMMYFUNCTION("""COMPUTED_VALUE"""),"11326 11324")</f>
        <v>11326 11324</v>
      </c>
      <c r="L4053" s="211">
        <f>IFERROR(__xludf.DUMMYFUNCTION("""COMPUTED_VALUE"""),70000.0)</f>
        <v>70000</v>
      </c>
      <c r="M4053" s="211"/>
      <c r="N4053" s="211"/>
      <c r="O4053" s="211" t="b">
        <f>IFERROR(__xludf.DUMMYFUNCTION("""COMPUTED_VALUE"""),FALSE)</f>
        <v>0</v>
      </c>
    </row>
    <row r="4054">
      <c r="A4054" s="210" t="str">
        <f>IFERROR(__xludf.DUMMYFUNCTION("""COMPUTED_VALUE"""),"0326132796")</f>
        <v>0326132796</v>
      </c>
      <c r="B4054" s="210" t="str">
        <f>IFERROR(__xludf.DUMMYFUNCTION("""COMPUTED_VALUE"""),"0326132796")</f>
        <v>0326132796</v>
      </c>
      <c r="C4054" s="213">
        <f>IFERROR(__xludf.DUMMYFUNCTION("""COMPUTED_VALUE"""),46090.36987268519)</f>
        <v>46090.36987</v>
      </c>
      <c r="D4054" s="211" t="str">
        <f>IFERROR(__xludf.DUMMYFUNCTION("""COMPUTED_VALUE"""),"3b04351a")</f>
        <v>3b04351a</v>
      </c>
      <c r="E4054" s="211" t="str">
        <f>IFERROR(__xludf.DUMMYFUNCTION("""COMPUTED_VALUE"""),"CV Usaha Logam Jaya")</f>
        <v>CV Usaha Logam Jaya</v>
      </c>
      <c r="F4054" s="211" t="str">
        <f>IFERROR(__xludf.DUMMYFUNCTION("""COMPUTED_VALUE"""),"8bdbe149")</f>
        <v>8bdbe149</v>
      </c>
      <c r="G4054" s="211" t="str">
        <f>IFERROR(__xludf.DUMMYFUNCTION("""COMPUTED_VALUE"""),"Oksigen 6m3")</f>
        <v>Oksigen 6m3</v>
      </c>
      <c r="H4054" s="211" t="str">
        <f>IFERROR(__xludf.DUMMYFUNCTION("""COMPUTED_VALUE"""),"OUT")</f>
        <v>OUT</v>
      </c>
      <c r="I4054" s="211" t="str">
        <f>IFERROR(__xludf.DUMMYFUNCTION("""COMPUTED_VALUE"""),"NORMAL")</f>
        <v>NORMAL</v>
      </c>
      <c r="J4054" s="211">
        <f>IFERROR(__xludf.DUMMYFUNCTION("""COMPUTED_VALUE"""),10.0)</f>
        <v>10</v>
      </c>
      <c r="K4054" s="210" t="str">
        <f>IFERROR(__xludf.DUMMYFUNCTION("""COMPUTED_VALUE"""),"1110 1124 11349 11257 11199 11369 11310 11371 1176 1133")</f>
        <v>1110 1124 11349 11257 11199 11369 11310 11371 1176 1133</v>
      </c>
      <c r="L4054" s="211">
        <f>IFERROR(__xludf.DUMMYFUNCTION("""COMPUTED_VALUE"""),60000.0)</f>
        <v>60000</v>
      </c>
      <c r="M4054" s="211"/>
      <c r="N4054" s="211"/>
      <c r="O4054" s="211" t="b">
        <f>IFERROR(__xludf.DUMMYFUNCTION("""COMPUTED_VALUE"""),FALSE)</f>
        <v>0</v>
      </c>
    </row>
    <row r="4055">
      <c r="A4055" s="210" t="str">
        <f>IFERROR(__xludf.DUMMYFUNCTION("""COMPUTED_VALUE"""),"0326132796")</f>
        <v>0326132796</v>
      </c>
      <c r="B4055" s="210" t="str">
        <f>IFERROR(__xludf.DUMMYFUNCTION("""COMPUTED_VALUE"""),"0326132796")</f>
        <v>0326132796</v>
      </c>
      <c r="C4055" s="213">
        <f>IFERROR(__xludf.DUMMYFUNCTION("""COMPUTED_VALUE"""),46090.36987268519)</f>
        <v>46090.36987</v>
      </c>
      <c r="D4055" s="211" t="str">
        <f>IFERROR(__xludf.DUMMYFUNCTION("""COMPUTED_VALUE"""),"3b04351a")</f>
        <v>3b04351a</v>
      </c>
      <c r="E4055" s="211" t="str">
        <f>IFERROR(__xludf.DUMMYFUNCTION("""COMPUTED_VALUE"""),"CV Usaha Logam Jaya")</f>
        <v>CV Usaha Logam Jaya</v>
      </c>
      <c r="F4055" s="211" t="str">
        <f>IFERROR(__xludf.DUMMYFUNCTION("""COMPUTED_VALUE"""),"be525f3b")</f>
        <v>be525f3b</v>
      </c>
      <c r="G4055" s="211" t="str">
        <f>IFERROR(__xludf.DUMMYFUNCTION("""COMPUTED_VALUE"""),"LPG 12kg")</f>
        <v>LPG 12kg</v>
      </c>
      <c r="H4055" s="211" t="str">
        <f>IFERROR(__xludf.DUMMYFUNCTION("""COMPUTED_VALUE"""),"OUT")</f>
        <v>OUT</v>
      </c>
      <c r="I4055" s="211" t="str">
        <f>IFERROR(__xludf.DUMMYFUNCTION("""COMPUTED_VALUE"""),"NORMAL")</f>
        <v>NORMAL</v>
      </c>
      <c r="J4055" s="211">
        <f>IFERROR(__xludf.DUMMYFUNCTION("""COMPUTED_VALUE"""),1.0)</f>
        <v>1</v>
      </c>
      <c r="K4055" s="210" t="str">
        <f>IFERROR(__xludf.DUMMYFUNCTION("""COMPUTED_VALUE"""),"L003")</f>
        <v>L003</v>
      </c>
      <c r="L4055" s="211">
        <f>IFERROR(__xludf.DUMMYFUNCTION("""COMPUTED_VALUE"""),210000.0)</f>
        <v>210000</v>
      </c>
      <c r="M4055" s="211"/>
      <c r="N4055" s="211"/>
      <c r="O4055" s="211" t="b">
        <f>IFERROR(__xludf.DUMMYFUNCTION("""COMPUTED_VALUE"""),FALSE)</f>
        <v>0</v>
      </c>
    </row>
    <row r="4056">
      <c r="A4056" s="210" t="str">
        <f>IFERROR(__xludf.DUMMYFUNCTION("""COMPUTED_VALUE"""),"0326152797")</f>
        <v>0326152797</v>
      </c>
      <c r="B4056" s="210" t="str">
        <f>IFERROR(__xludf.DUMMYFUNCTION("""COMPUTED_VALUE"""),"0326152797")</f>
        <v>0326152797</v>
      </c>
      <c r="C4056" s="213">
        <f>IFERROR(__xludf.DUMMYFUNCTION("""COMPUTED_VALUE"""),46090.40020833333)</f>
        <v>46090.40021</v>
      </c>
      <c r="D4056" s="211" t="str">
        <f>IFERROR(__xludf.DUMMYFUNCTION("""COMPUTED_VALUE"""),"734c6d17")</f>
        <v>734c6d17</v>
      </c>
      <c r="E4056" s="211" t="str">
        <f>IFERROR(__xludf.DUMMYFUNCTION("""COMPUTED_VALUE"""),"Bapak Ainol Yaqin ( Bpk. Ibnu )")</f>
        <v>Bapak Ainol Yaqin ( Bpk. Ibnu )</v>
      </c>
      <c r="F4056" s="211" t="str">
        <f>IFERROR(__xludf.DUMMYFUNCTION("""COMPUTED_VALUE"""),"8bdbe149")</f>
        <v>8bdbe149</v>
      </c>
      <c r="G4056" s="211" t="str">
        <f>IFERROR(__xludf.DUMMYFUNCTION("""COMPUTED_VALUE"""),"Oksigen 6m3")</f>
        <v>Oksigen 6m3</v>
      </c>
      <c r="H4056" s="211" t="str">
        <f>IFERROR(__xludf.DUMMYFUNCTION("""COMPUTED_VALUE"""),"OUT")</f>
        <v>OUT</v>
      </c>
      <c r="I4056" s="211" t="str">
        <f>IFERROR(__xludf.DUMMYFUNCTION("""COMPUTED_VALUE"""),"NORMAL")</f>
        <v>NORMAL</v>
      </c>
      <c r="J4056" s="211">
        <f>IFERROR(__xludf.DUMMYFUNCTION("""COMPUTED_VALUE"""),1.0)</f>
        <v>1</v>
      </c>
      <c r="K4056" s="210" t="str">
        <f>IFERROR(__xludf.DUMMYFUNCTION("""COMPUTED_VALUE"""),"11317")</f>
        <v>11317</v>
      </c>
      <c r="L4056" s="211">
        <f>IFERROR(__xludf.DUMMYFUNCTION("""COMPUTED_VALUE"""),60000.0)</f>
        <v>60000</v>
      </c>
      <c r="M4056" s="211"/>
      <c r="N4056" s="211" t="str">
        <f>IFERROR(__xludf.DUMMYFUNCTION("""COMPUTED_VALUE"""),"Kirim Tanggul")</f>
        <v>Kirim Tanggul</v>
      </c>
      <c r="O4056" s="211" t="b">
        <f>IFERROR(__xludf.DUMMYFUNCTION("""COMPUTED_VALUE"""),FALSE)</f>
        <v>0</v>
      </c>
    </row>
    <row r="4057">
      <c r="A4057" s="210" t="str">
        <f>IFERROR(__xludf.DUMMYFUNCTION("""COMPUTED_VALUE"""),"0326162798")</f>
        <v>0326162798</v>
      </c>
      <c r="B4057" s="210" t="str">
        <f>IFERROR(__xludf.DUMMYFUNCTION("""COMPUTED_VALUE"""),"0326162798")</f>
        <v>0326162798</v>
      </c>
      <c r="C4057" s="213">
        <f>IFERROR(__xludf.DUMMYFUNCTION("""COMPUTED_VALUE"""),46090.401400462964)</f>
        <v>46090.4014</v>
      </c>
      <c r="D4057" s="211" t="str">
        <f>IFERROR(__xludf.DUMMYFUNCTION("""COMPUTED_VALUE"""),"734c6d17")</f>
        <v>734c6d17</v>
      </c>
      <c r="E4057" s="211" t="str">
        <f>IFERROR(__xludf.DUMMYFUNCTION("""COMPUTED_VALUE"""),"Bapak Ainol Yaqin ( Bpk. Ibnu )")</f>
        <v>Bapak Ainol Yaqin ( Bpk. Ibnu )</v>
      </c>
      <c r="F4057" s="211" t="str">
        <f>IFERROR(__xludf.DUMMYFUNCTION("""COMPUTED_VALUE"""),"8bdbe149")</f>
        <v>8bdbe149</v>
      </c>
      <c r="G4057" s="211" t="str">
        <f>IFERROR(__xludf.DUMMYFUNCTION("""COMPUTED_VALUE"""),"Oksigen 6m3")</f>
        <v>Oksigen 6m3</v>
      </c>
      <c r="H4057" s="211" t="str">
        <f>IFERROR(__xludf.DUMMYFUNCTION("""COMPUTED_VALUE"""),"OUT")</f>
        <v>OUT</v>
      </c>
      <c r="I4057" s="211" t="str">
        <f>IFERROR(__xludf.DUMMYFUNCTION("""COMPUTED_VALUE"""),"NORMAL")</f>
        <v>NORMAL</v>
      </c>
      <c r="J4057" s="211">
        <f>IFERROR(__xludf.DUMMYFUNCTION("""COMPUTED_VALUE"""),1.0)</f>
        <v>1</v>
      </c>
      <c r="K4057" s="210" t="str">
        <f>IFERROR(__xludf.DUMMYFUNCTION("""COMPUTED_VALUE"""),"1108")</f>
        <v>1108</v>
      </c>
      <c r="L4057" s="211">
        <f>IFERROR(__xludf.DUMMYFUNCTION("""COMPUTED_VALUE"""),60000.0)</f>
        <v>60000</v>
      </c>
      <c r="M4057" s="211"/>
      <c r="N4057" s="211" t="str">
        <f>IFERROR(__xludf.DUMMYFUNCTION("""COMPUTED_VALUE"""),"Balongbendo Sebelah warkop Ashoka")</f>
        <v>Balongbendo Sebelah warkop Ashoka</v>
      </c>
      <c r="O4057" s="211" t="b">
        <f>IFERROR(__xludf.DUMMYFUNCTION("""COMPUTED_VALUE"""),FALSE)</f>
        <v>0</v>
      </c>
    </row>
    <row r="4058">
      <c r="A4058" s="210" t="str">
        <f>IFERROR(__xludf.DUMMYFUNCTION("""COMPUTED_VALUE"""),"0326172799")</f>
        <v>0326172799</v>
      </c>
      <c r="B4058" s="210" t="str">
        <f>IFERROR(__xludf.DUMMYFUNCTION("""COMPUTED_VALUE"""),"0326172799")</f>
        <v>0326172799</v>
      </c>
      <c r="C4058" s="213">
        <f>IFERROR(__xludf.DUMMYFUNCTION("""COMPUTED_VALUE"""),46090.40185185185)</f>
        <v>46090.40185</v>
      </c>
      <c r="D4058" s="211" t="str">
        <f>IFERROR(__xludf.DUMMYFUNCTION("""COMPUTED_VALUE"""),"734c6d17")</f>
        <v>734c6d17</v>
      </c>
      <c r="E4058" s="211" t="str">
        <f>IFERROR(__xludf.DUMMYFUNCTION("""COMPUTED_VALUE"""),"Bapak Ainol Yaqin ( Bpk. Ibnu )")</f>
        <v>Bapak Ainol Yaqin ( Bpk. Ibnu )</v>
      </c>
      <c r="F4058" s="211" t="str">
        <f>IFERROR(__xludf.DUMMYFUNCTION("""COMPUTED_VALUE"""),"8bdbe149")</f>
        <v>8bdbe149</v>
      </c>
      <c r="G4058" s="211" t="str">
        <f>IFERROR(__xludf.DUMMYFUNCTION("""COMPUTED_VALUE"""),"Oksigen 6m3")</f>
        <v>Oksigen 6m3</v>
      </c>
      <c r="H4058" s="211" t="str">
        <f>IFERROR(__xludf.DUMMYFUNCTION("""COMPUTED_VALUE"""),"OUT")</f>
        <v>OUT</v>
      </c>
      <c r="I4058" s="211" t="str">
        <f>IFERROR(__xludf.DUMMYFUNCTION("""COMPUTED_VALUE"""),"NORMAL")</f>
        <v>NORMAL</v>
      </c>
      <c r="J4058" s="211">
        <f>IFERROR(__xludf.DUMMYFUNCTION("""COMPUTED_VALUE"""),1.0)</f>
        <v>1</v>
      </c>
      <c r="K4058" s="210" t="str">
        <f>IFERROR(__xludf.DUMMYFUNCTION("""COMPUTED_VALUE"""),"11384")</f>
        <v>11384</v>
      </c>
      <c r="L4058" s="211">
        <f>IFERROR(__xludf.DUMMYFUNCTION("""COMPUTED_VALUE"""),60000.0)</f>
        <v>60000</v>
      </c>
      <c r="M4058" s="211"/>
      <c r="N4058" s="211" t="str">
        <f>IFERROR(__xludf.DUMMYFUNCTION("""COMPUTED_VALUE"""),"Batuar Krian")</f>
        <v>Batuar Krian</v>
      </c>
      <c r="O4058" s="211" t="b">
        <f>IFERROR(__xludf.DUMMYFUNCTION("""COMPUTED_VALUE"""),FALSE)</f>
        <v>0</v>
      </c>
    </row>
    <row r="4059">
      <c r="A4059" s="210" t="str">
        <f>IFERROR(__xludf.DUMMYFUNCTION("""COMPUTED_VALUE"""),"032682800")</f>
        <v>032682800</v>
      </c>
      <c r="B4059" s="210" t="str">
        <f>IFERROR(__xludf.DUMMYFUNCTION("""COMPUTED_VALUE"""),"032682800")</f>
        <v>032682800</v>
      </c>
      <c r="C4059" s="213">
        <f>IFERROR(__xludf.DUMMYFUNCTION("""COMPUTED_VALUE"""),46090.42612268519)</f>
        <v>46090.42612</v>
      </c>
      <c r="D4059" s="211" t="str">
        <f>IFERROR(__xludf.DUMMYFUNCTION("""COMPUTED_VALUE"""),"de41c3e8")</f>
        <v>de41c3e8</v>
      </c>
      <c r="E4059" s="211" t="str">
        <f>IFERROR(__xludf.DUMMYFUNCTION("""COMPUTED_VALUE"""),"Bpk. Eko Mianto")</f>
        <v>Bpk. Eko Mianto</v>
      </c>
      <c r="F4059" s="211" t="str">
        <f>IFERROR(__xludf.DUMMYFUNCTION("""COMPUTED_VALUE"""),"66af7c72")</f>
        <v>66af7c72</v>
      </c>
      <c r="G4059" s="211" t="str">
        <f>IFERROR(__xludf.DUMMYFUNCTION("""COMPUTED_VALUE"""),"Argon 6m3")</f>
        <v>Argon 6m3</v>
      </c>
      <c r="H4059" s="211" t="str">
        <f>IFERROR(__xludf.DUMMYFUNCTION("""COMPUTED_VALUE"""),"OUT")</f>
        <v>OUT</v>
      </c>
      <c r="I4059" s="211" t="str">
        <f>IFERROR(__xludf.DUMMYFUNCTION("""COMPUTED_VALUE"""),"NORMAL")</f>
        <v>NORMAL</v>
      </c>
      <c r="J4059" s="211">
        <f>IFERROR(__xludf.DUMMYFUNCTION("""COMPUTED_VALUE"""),2.0)</f>
        <v>2</v>
      </c>
      <c r="K4059" s="210" t="str">
        <f>IFERROR(__xludf.DUMMYFUNCTION("""COMPUTED_VALUE"""),"12069 12065")</f>
        <v>12069 12065</v>
      </c>
      <c r="L4059" s="211">
        <f>IFERROR(__xludf.DUMMYFUNCTION("""COMPUTED_VALUE"""),225000.0)</f>
        <v>225000</v>
      </c>
      <c r="M4059" s="211"/>
      <c r="N4059" s="211"/>
      <c r="O4059" s="211" t="b">
        <f>IFERROR(__xludf.DUMMYFUNCTION("""COMPUTED_VALUE"""),FALSE)</f>
        <v>0</v>
      </c>
    </row>
    <row r="4060">
      <c r="A4060" s="210" t="str">
        <f>IFERROR(__xludf.DUMMYFUNCTION("""COMPUTED_VALUE"""),"1261375")</f>
        <v>1261375</v>
      </c>
      <c r="B4060" s="210" t="str">
        <f>IFERROR(__xludf.DUMMYFUNCTION("""COMPUTED_VALUE"""),"1261375")</f>
        <v>1261375</v>
      </c>
      <c r="C4060" s="213">
        <f>IFERROR(__xludf.DUMMYFUNCTION("""COMPUTED_VALUE"""),46090.470509259256)</f>
        <v>46090.47051</v>
      </c>
      <c r="D4060" s="211" t="str">
        <f>IFERROR(__xludf.DUMMYFUNCTION("""COMPUTED_VALUE"""),"3b04351a")</f>
        <v>3b04351a</v>
      </c>
      <c r="E4060" s="211" t="str">
        <f>IFERROR(__xludf.DUMMYFUNCTION("""COMPUTED_VALUE"""),"CV Usaha Logam Jaya")</f>
        <v>CV Usaha Logam Jaya</v>
      </c>
      <c r="F4060" s="211" t="str">
        <f>IFERROR(__xludf.DUMMYFUNCTION("""COMPUTED_VALUE"""),"8bdbe149")</f>
        <v>8bdbe149</v>
      </c>
      <c r="G4060" s="211" t="str">
        <f>IFERROR(__xludf.DUMMYFUNCTION("""COMPUTED_VALUE"""),"Oksigen 6m3")</f>
        <v>Oksigen 6m3</v>
      </c>
      <c r="H4060" s="211" t="str">
        <f>IFERROR(__xludf.DUMMYFUNCTION("""COMPUTED_VALUE"""),"IN")</f>
        <v>IN</v>
      </c>
      <c r="I4060" s="211" t="str">
        <f>IFERROR(__xludf.DUMMYFUNCTION("""COMPUTED_VALUE"""),"EMPTY")</f>
        <v>EMPTY</v>
      </c>
      <c r="J4060" s="211">
        <f>IFERROR(__xludf.DUMMYFUNCTION("""COMPUTED_VALUE"""),4.0)</f>
        <v>4</v>
      </c>
      <c r="K4060" s="210" t="str">
        <f>IFERROR(__xludf.DUMMYFUNCTION("""COMPUTED_VALUE"""),"11184 11193 11178 11376")</f>
        <v>11184 11193 11178 11376</v>
      </c>
      <c r="L4060" s="211">
        <f>IFERROR(__xludf.DUMMYFUNCTION("""COMPUTED_VALUE"""),0.0)</f>
        <v>0</v>
      </c>
      <c r="M4060" s="211"/>
      <c r="N4060" s="211"/>
      <c r="O4060" s="211" t="b">
        <f>IFERROR(__xludf.DUMMYFUNCTION("""COMPUTED_VALUE"""),FALSE)</f>
        <v>0</v>
      </c>
    </row>
    <row r="4061">
      <c r="A4061" s="210" t="str">
        <f>IFERROR(__xludf.DUMMYFUNCTION("""COMPUTED_VALUE"""),"1261375")</f>
        <v>1261375</v>
      </c>
      <c r="B4061" s="210" t="str">
        <f>IFERROR(__xludf.DUMMYFUNCTION("""COMPUTED_VALUE"""),"1261375")</f>
        <v>1261375</v>
      </c>
      <c r="C4061" s="213">
        <f>IFERROR(__xludf.DUMMYFUNCTION("""COMPUTED_VALUE"""),46090.470509259256)</f>
        <v>46090.47051</v>
      </c>
      <c r="D4061" s="211" t="str">
        <f>IFERROR(__xludf.DUMMYFUNCTION("""COMPUTED_VALUE"""),"3b04351a")</f>
        <v>3b04351a</v>
      </c>
      <c r="E4061" s="211" t="str">
        <f>IFERROR(__xludf.DUMMYFUNCTION("""COMPUTED_VALUE"""),"CV Usaha Logam Jaya")</f>
        <v>CV Usaha Logam Jaya</v>
      </c>
      <c r="F4061" s="211" t="str">
        <f>IFERROR(__xludf.DUMMYFUNCTION("""COMPUTED_VALUE"""),"be525f3b")</f>
        <v>be525f3b</v>
      </c>
      <c r="G4061" s="211" t="str">
        <f>IFERROR(__xludf.DUMMYFUNCTION("""COMPUTED_VALUE"""),"LPG 12kg")</f>
        <v>LPG 12kg</v>
      </c>
      <c r="H4061" s="211" t="str">
        <f>IFERROR(__xludf.DUMMYFUNCTION("""COMPUTED_VALUE"""),"IN")</f>
        <v>IN</v>
      </c>
      <c r="I4061" s="211" t="str">
        <f>IFERROR(__xludf.DUMMYFUNCTION("""COMPUTED_VALUE"""),"EMPTY")</f>
        <v>EMPTY</v>
      </c>
      <c r="J4061" s="211">
        <f>IFERROR(__xludf.DUMMYFUNCTION("""COMPUTED_VALUE"""),1.0)</f>
        <v>1</v>
      </c>
      <c r="K4061" s="210" t="str">
        <f>IFERROR(__xludf.DUMMYFUNCTION("""COMPUTED_VALUE"""),"L003")</f>
        <v>L003</v>
      </c>
      <c r="L4061" s="211">
        <f>IFERROR(__xludf.DUMMYFUNCTION("""COMPUTED_VALUE"""),0.0)</f>
        <v>0</v>
      </c>
      <c r="M4061" s="211"/>
      <c r="N4061" s="211"/>
      <c r="O4061" s="211" t="b">
        <f>IFERROR(__xludf.DUMMYFUNCTION("""COMPUTED_VALUE"""),FALSE)</f>
        <v>0</v>
      </c>
    </row>
    <row r="4062">
      <c r="A4062" s="210" t="str">
        <f>IFERROR(__xludf.DUMMYFUNCTION("""COMPUTED_VALUE"""),"1261374")</f>
        <v>1261374</v>
      </c>
      <c r="B4062" s="210" t="str">
        <f>IFERROR(__xludf.DUMMYFUNCTION("""COMPUTED_VALUE"""),"1261374")</f>
        <v>1261374</v>
      </c>
      <c r="C4062" s="213">
        <f>IFERROR(__xludf.DUMMYFUNCTION("""COMPUTED_VALUE"""),46090.47122685185)</f>
        <v>46090.47123</v>
      </c>
      <c r="D4062" s="211" t="str">
        <f>IFERROR(__xludf.DUMMYFUNCTION("""COMPUTED_VALUE"""),"dcdf8b31")</f>
        <v>dcdf8b31</v>
      </c>
      <c r="E4062" s="211" t="str">
        <f>IFERROR(__xludf.DUMMYFUNCTION("""COMPUTED_VALUE"""),"Bpk. Samsul (Jetis)")</f>
        <v>Bpk. Samsul (Jetis)</v>
      </c>
      <c r="F4062" s="211" t="str">
        <f>IFERROR(__xludf.DUMMYFUNCTION("""COMPUTED_VALUE"""),"7d2764f1")</f>
        <v>7d2764f1</v>
      </c>
      <c r="G4062" s="211" t="str">
        <f>IFERROR(__xludf.DUMMYFUNCTION("""COMPUTED_VALUE"""),"Oksigen 7m3")</f>
        <v>Oksigen 7m3</v>
      </c>
      <c r="H4062" s="211" t="str">
        <f>IFERROR(__xludf.DUMMYFUNCTION("""COMPUTED_VALUE"""),"IN")</f>
        <v>IN</v>
      </c>
      <c r="I4062" s="211" t="str">
        <f>IFERROR(__xludf.DUMMYFUNCTION("""COMPUTED_VALUE"""),"EMPTY")</f>
        <v>EMPTY</v>
      </c>
      <c r="J4062" s="211">
        <f>IFERROR(__xludf.DUMMYFUNCTION("""COMPUTED_VALUE"""),2.0)</f>
        <v>2</v>
      </c>
      <c r="K4062" s="210" t="str">
        <f>IFERROR(__xludf.DUMMYFUNCTION("""COMPUTED_VALUE"""),"11342 11136")</f>
        <v>11342 11136</v>
      </c>
      <c r="L4062" s="211">
        <f>IFERROR(__xludf.DUMMYFUNCTION("""COMPUTED_VALUE"""),0.0)</f>
        <v>0</v>
      </c>
      <c r="M4062" s="211"/>
      <c r="N4062" s="211"/>
      <c r="O4062" s="211" t="b">
        <f>IFERROR(__xludf.DUMMYFUNCTION("""COMPUTED_VALUE"""),FALSE)</f>
        <v>0</v>
      </c>
    </row>
    <row r="4063">
      <c r="A4063" s="210" t="str">
        <f>IFERROR(__xludf.DUMMYFUNCTION("""COMPUTED_VALUE"""),"1261382")</f>
        <v>1261382</v>
      </c>
      <c r="B4063" s="210" t="str">
        <f>IFERROR(__xludf.DUMMYFUNCTION("""COMPUTED_VALUE"""),"1261382")</f>
        <v>1261382</v>
      </c>
      <c r="C4063" s="213">
        <f>IFERROR(__xludf.DUMMYFUNCTION("""COMPUTED_VALUE"""),46090.502071759256)</f>
        <v>46090.50207</v>
      </c>
      <c r="D4063" s="211" t="str">
        <f>IFERROR(__xludf.DUMMYFUNCTION("""COMPUTED_VALUE"""),"734c6d17")</f>
        <v>734c6d17</v>
      </c>
      <c r="E4063" s="211" t="str">
        <f>IFERROR(__xludf.DUMMYFUNCTION("""COMPUTED_VALUE"""),"Bapak Ainol Yaqin ( Bpk. Ibnu )")</f>
        <v>Bapak Ainol Yaqin ( Bpk. Ibnu )</v>
      </c>
      <c r="F4063" s="211" t="str">
        <f>IFERROR(__xludf.DUMMYFUNCTION("""COMPUTED_VALUE"""),"8bdbe149")</f>
        <v>8bdbe149</v>
      </c>
      <c r="G4063" s="211" t="str">
        <f>IFERROR(__xludf.DUMMYFUNCTION("""COMPUTED_VALUE"""),"Oksigen 6m3")</f>
        <v>Oksigen 6m3</v>
      </c>
      <c r="H4063" s="211" t="str">
        <f>IFERROR(__xludf.DUMMYFUNCTION("""COMPUTED_VALUE"""),"IN")</f>
        <v>IN</v>
      </c>
      <c r="I4063" s="211" t="str">
        <f>IFERROR(__xludf.DUMMYFUNCTION("""COMPUTED_VALUE"""),"EMPTY")</f>
        <v>EMPTY</v>
      </c>
      <c r="J4063" s="211">
        <f>IFERROR(__xludf.DUMMYFUNCTION("""COMPUTED_VALUE"""),1.0)</f>
        <v>1</v>
      </c>
      <c r="K4063" s="210" t="str">
        <f>IFERROR(__xludf.DUMMYFUNCTION("""COMPUTED_VALUE"""),"11280")</f>
        <v>11280</v>
      </c>
      <c r="L4063" s="211">
        <f>IFERROR(__xludf.DUMMYFUNCTION("""COMPUTED_VALUE"""),0.0)</f>
        <v>0</v>
      </c>
      <c r="M4063" s="211"/>
      <c r="N4063" s="211"/>
      <c r="O4063" s="211" t="b">
        <f>IFERROR(__xludf.DUMMYFUNCTION("""COMPUTED_VALUE"""),FALSE)</f>
        <v>0</v>
      </c>
    </row>
    <row r="4064">
      <c r="A4064" s="210" t="str">
        <f>IFERROR(__xludf.DUMMYFUNCTION("""COMPUTED_VALUE"""),"032692801")</f>
        <v>032692801</v>
      </c>
      <c r="B4064" s="210" t="str">
        <f>IFERROR(__xludf.DUMMYFUNCTION("""COMPUTED_VALUE"""),"032692801")</f>
        <v>032692801</v>
      </c>
      <c r="C4064" s="213">
        <f>IFERROR(__xludf.DUMMYFUNCTION("""COMPUTED_VALUE"""),46090.51435185185)</f>
        <v>46090.51435</v>
      </c>
      <c r="D4064" s="211" t="str">
        <f>IFERROR(__xludf.DUMMYFUNCTION("""COMPUTED_VALUE"""),"9e5d8274")</f>
        <v>9e5d8274</v>
      </c>
      <c r="E4064" s="211" t="str">
        <f>IFERROR(__xludf.DUMMYFUNCTION("""COMPUTED_VALUE"""),"Bpk. Erry ( Lik Trosobo )")</f>
        <v>Bpk. Erry ( Lik Trosobo )</v>
      </c>
      <c r="F4064" s="211" t="str">
        <f>IFERROR(__xludf.DUMMYFUNCTION("""COMPUTED_VALUE"""),"f6aab7a9")</f>
        <v>f6aab7a9</v>
      </c>
      <c r="G4064" s="211" t="str">
        <f>IFERROR(__xludf.DUMMYFUNCTION("""COMPUTED_VALUE"""),"Oksigen 6m3 MR")</f>
        <v>Oksigen 6m3 MR</v>
      </c>
      <c r="H4064" s="211" t="str">
        <f>IFERROR(__xludf.DUMMYFUNCTION("""COMPUTED_VALUE"""),"OUT")</f>
        <v>OUT</v>
      </c>
      <c r="I4064" s="211" t="str">
        <f>IFERROR(__xludf.DUMMYFUNCTION("""COMPUTED_VALUE"""),"NORMAL")</f>
        <v>NORMAL</v>
      </c>
      <c r="J4064" s="211">
        <f>IFERROR(__xludf.DUMMYFUNCTION("""COMPUTED_VALUE"""),1.0)</f>
        <v>1</v>
      </c>
      <c r="K4064" s="211"/>
      <c r="L4064" s="211">
        <f>IFERROR(__xludf.DUMMYFUNCTION("""COMPUTED_VALUE"""),60000.0)</f>
        <v>60000</v>
      </c>
      <c r="M4064" s="211"/>
      <c r="N4064" s="211"/>
      <c r="O4064" s="211" t="b">
        <f>IFERROR(__xludf.DUMMYFUNCTION("""COMPUTED_VALUE"""),FALSE)</f>
        <v>0</v>
      </c>
    </row>
    <row r="4065">
      <c r="A4065" s="210" t="str">
        <f>IFERROR(__xludf.DUMMYFUNCTION("""COMPUTED_VALUE"""),"032692801")</f>
        <v>032692801</v>
      </c>
      <c r="B4065" s="210" t="str">
        <f>IFERROR(__xludf.DUMMYFUNCTION("""COMPUTED_VALUE"""),"032692801")</f>
        <v>032692801</v>
      </c>
      <c r="C4065" s="213">
        <f>IFERROR(__xludf.DUMMYFUNCTION("""COMPUTED_VALUE"""),46090.51435185185)</f>
        <v>46090.51435</v>
      </c>
      <c r="D4065" s="211" t="str">
        <f>IFERROR(__xludf.DUMMYFUNCTION("""COMPUTED_VALUE"""),"9e5d8274")</f>
        <v>9e5d8274</v>
      </c>
      <c r="E4065" s="211" t="str">
        <f>IFERROR(__xludf.DUMMYFUNCTION("""COMPUTED_VALUE"""),"Bpk. Erry ( Lik Trosobo )")</f>
        <v>Bpk. Erry ( Lik Trosobo )</v>
      </c>
      <c r="F4065" s="211" t="str">
        <f>IFERROR(__xludf.DUMMYFUNCTION("""COMPUTED_VALUE"""),"66af7c72")</f>
        <v>66af7c72</v>
      </c>
      <c r="G4065" s="211" t="str">
        <f>IFERROR(__xludf.DUMMYFUNCTION("""COMPUTED_VALUE"""),"Argon 6m3")</f>
        <v>Argon 6m3</v>
      </c>
      <c r="H4065" s="211" t="str">
        <f>IFERROR(__xludf.DUMMYFUNCTION("""COMPUTED_VALUE"""),"OUT")</f>
        <v>OUT</v>
      </c>
      <c r="I4065" s="211" t="str">
        <f>IFERROR(__xludf.DUMMYFUNCTION("""COMPUTED_VALUE"""),"NORMAL")</f>
        <v>NORMAL</v>
      </c>
      <c r="J4065" s="211">
        <f>IFERROR(__xludf.DUMMYFUNCTION("""COMPUTED_VALUE"""),1.0)</f>
        <v>1</v>
      </c>
      <c r="K4065" s="210" t="str">
        <f>IFERROR(__xludf.DUMMYFUNCTION("""COMPUTED_VALUE"""),"12038")</f>
        <v>12038</v>
      </c>
      <c r="L4065" s="211">
        <f>IFERROR(__xludf.DUMMYFUNCTION("""COMPUTED_VALUE"""),250000.0)</f>
        <v>250000</v>
      </c>
      <c r="M4065" s="211"/>
      <c r="N4065" s="211"/>
      <c r="O4065" s="211" t="b">
        <f>IFERROR(__xludf.DUMMYFUNCTION("""COMPUTED_VALUE"""),FALSE)</f>
        <v>0</v>
      </c>
    </row>
    <row r="4066">
      <c r="A4066" s="210" t="str">
        <f>IFERROR(__xludf.DUMMYFUNCTION("""COMPUTED_VALUE"""),"1261383")</f>
        <v>1261383</v>
      </c>
      <c r="B4066" s="210" t="str">
        <f>IFERROR(__xludf.DUMMYFUNCTION("""COMPUTED_VALUE"""),"1261383")</f>
        <v>1261383</v>
      </c>
      <c r="C4066" s="213">
        <f>IFERROR(__xludf.DUMMYFUNCTION("""COMPUTED_VALUE"""),46090.658368055556)</f>
        <v>46090.65837</v>
      </c>
      <c r="D4066" s="211" t="str">
        <f>IFERROR(__xludf.DUMMYFUNCTION("""COMPUTED_VALUE"""),"1c4d5e93")</f>
        <v>1c4d5e93</v>
      </c>
      <c r="E4066" s="211" t="str">
        <f>IFERROR(__xludf.DUMMYFUNCTION("""COMPUTED_VALUE"""),"Karoseri Cipta Mitra Sukses")</f>
        <v>Karoseri Cipta Mitra Sukses</v>
      </c>
      <c r="F4066" s="211" t="str">
        <f>IFERROR(__xludf.DUMMYFUNCTION("""COMPUTED_VALUE"""),"8bdbe149")</f>
        <v>8bdbe149</v>
      </c>
      <c r="G4066" s="211" t="str">
        <f>IFERROR(__xludf.DUMMYFUNCTION("""COMPUTED_VALUE"""),"Oksigen 6m3")</f>
        <v>Oksigen 6m3</v>
      </c>
      <c r="H4066" s="211" t="str">
        <f>IFERROR(__xludf.DUMMYFUNCTION("""COMPUTED_VALUE"""),"IN")</f>
        <v>IN</v>
      </c>
      <c r="I4066" s="211" t="str">
        <f>IFERROR(__xludf.DUMMYFUNCTION("""COMPUTED_VALUE"""),"EMPTY")</f>
        <v>EMPTY</v>
      </c>
      <c r="J4066" s="211">
        <f>IFERROR(__xludf.DUMMYFUNCTION("""COMPUTED_VALUE"""),1.0)</f>
        <v>1</v>
      </c>
      <c r="K4066" s="210" t="str">
        <f>IFERROR(__xludf.DUMMYFUNCTION("""COMPUTED_VALUE"""),"1111")</f>
        <v>1111</v>
      </c>
      <c r="L4066" s="211">
        <f>IFERROR(__xludf.DUMMYFUNCTION("""COMPUTED_VALUE"""),0.0)</f>
        <v>0</v>
      </c>
      <c r="M4066" s="211"/>
      <c r="N4066" s="211"/>
      <c r="O4066" s="211" t="b">
        <f>IFERROR(__xludf.DUMMYFUNCTION("""COMPUTED_VALUE"""),FALSE)</f>
        <v>0</v>
      </c>
    </row>
    <row r="4067">
      <c r="A4067" s="210" t="str">
        <f>IFERROR(__xludf.DUMMYFUNCTION("""COMPUTED_VALUE"""),"1261383")</f>
        <v>1261383</v>
      </c>
      <c r="B4067" s="210" t="str">
        <f>IFERROR(__xludf.DUMMYFUNCTION("""COMPUTED_VALUE"""),"1261383")</f>
        <v>1261383</v>
      </c>
      <c r="C4067" s="213">
        <f>IFERROR(__xludf.DUMMYFUNCTION("""COMPUTED_VALUE"""),46090.658368055556)</f>
        <v>46090.65837</v>
      </c>
      <c r="D4067" s="211" t="str">
        <f>IFERROR(__xludf.DUMMYFUNCTION("""COMPUTED_VALUE"""),"1c4d5e93")</f>
        <v>1c4d5e93</v>
      </c>
      <c r="E4067" s="211" t="str">
        <f>IFERROR(__xludf.DUMMYFUNCTION("""COMPUTED_VALUE"""),"Karoseri Cipta Mitra Sukses")</f>
        <v>Karoseri Cipta Mitra Sukses</v>
      </c>
      <c r="F4067" s="211" t="str">
        <f>IFERROR(__xludf.DUMMYFUNCTION("""COMPUTED_VALUE"""),"ef306e54")</f>
        <v>ef306e54</v>
      </c>
      <c r="G4067" s="211" t="str">
        <f>IFERROR(__xludf.DUMMYFUNCTION("""COMPUTED_VALUE"""),"Karbondioksida")</f>
        <v>Karbondioksida</v>
      </c>
      <c r="H4067" s="211" t="str">
        <f>IFERROR(__xludf.DUMMYFUNCTION("""COMPUTED_VALUE"""),"IN")</f>
        <v>IN</v>
      </c>
      <c r="I4067" s="211" t="str">
        <f>IFERROR(__xludf.DUMMYFUNCTION("""COMPUTED_VALUE"""),"EMPTY")</f>
        <v>EMPTY</v>
      </c>
      <c r="J4067" s="211">
        <f>IFERROR(__xludf.DUMMYFUNCTION("""COMPUTED_VALUE"""),2.0)</f>
        <v>2</v>
      </c>
      <c r="K4067" s="210" t="str">
        <f>IFERROR(__xludf.DUMMYFUNCTION("""COMPUTED_VALUE"""),"13038 13050")</f>
        <v>13038 13050</v>
      </c>
      <c r="L4067" s="211">
        <f>IFERROR(__xludf.DUMMYFUNCTION("""COMPUTED_VALUE"""),0.0)</f>
        <v>0</v>
      </c>
      <c r="M4067" s="211"/>
      <c r="N4067" s="211"/>
      <c r="O4067" s="211" t="b">
        <f>IFERROR(__xludf.DUMMYFUNCTION("""COMPUTED_VALUE"""),FALSE)</f>
        <v>0</v>
      </c>
    </row>
    <row r="4068">
      <c r="A4068" s="210" t="str">
        <f>IFERROR(__xludf.DUMMYFUNCTION("""COMPUTED_VALUE"""),"1261384")</f>
        <v>1261384</v>
      </c>
      <c r="B4068" s="210" t="str">
        <f>IFERROR(__xludf.DUMMYFUNCTION("""COMPUTED_VALUE"""),"1261384")</f>
        <v>1261384</v>
      </c>
      <c r="C4068" s="213">
        <f>IFERROR(__xludf.DUMMYFUNCTION("""COMPUTED_VALUE"""),46090.65888888889)</f>
        <v>46090.65889</v>
      </c>
      <c r="D4068" s="211" t="str">
        <f>IFERROR(__xludf.DUMMYFUNCTION("""COMPUTED_VALUE"""),"a0f0ad2d")</f>
        <v>a0f0ad2d</v>
      </c>
      <c r="E4068" s="211" t="str">
        <f>IFERROR(__xludf.DUMMYFUNCTION("""COMPUTED_VALUE"""),"CV. Yulie Jaya")</f>
        <v>CV. Yulie Jaya</v>
      </c>
      <c r="F4068" s="211" t="str">
        <f>IFERROR(__xludf.DUMMYFUNCTION("""COMPUTED_VALUE"""),"8bdbe149")</f>
        <v>8bdbe149</v>
      </c>
      <c r="G4068" s="211" t="str">
        <f>IFERROR(__xludf.DUMMYFUNCTION("""COMPUTED_VALUE"""),"Oksigen 6m3")</f>
        <v>Oksigen 6m3</v>
      </c>
      <c r="H4068" s="211" t="str">
        <f>IFERROR(__xludf.DUMMYFUNCTION("""COMPUTED_VALUE"""),"IN")</f>
        <v>IN</v>
      </c>
      <c r="I4068" s="211" t="str">
        <f>IFERROR(__xludf.DUMMYFUNCTION("""COMPUTED_VALUE"""),"EMPTY")</f>
        <v>EMPTY</v>
      </c>
      <c r="J4068" s="211">
        <f>IFERROR(__xludf.DUMMYFUNCTION("""COMPUTED_VALUE"""),6.0)</f>
        <v>6</v>
      </c>
      <c r="K4068" s="210" t="str">
        <f>IFERROR(__xludf.DUMMYFUNCTION("""COMPUTED_VALUE"""),"11308 11134 11258 1164 11277 11260")</f>
        <v>11308 11134 11258 1164 11277 11260</v>
      </c>
      <c r="L4068" s="211">
        <f>IFERROR(__xludf.DUMMYFUNCTION("""COMPUTED_VALUE"""),0.0)</f>
        <v>0</v>
      </c>
      <c r="M4068" s="211"/>
      <c r="N4068" s="211"/>
      <c r="O4068" s="211" t="b">
        <f>IFERROR(__xludf.DUMMYFUNCTION("""COMPUTED_VALUE"""),FALSE)</f>
        <v>0</v>
      </c>
    </row>
    <row r="4069">
      <c r="A4069" s="210" t="str">
        <f>IFERROR(__xludf.DUMMYFUNCTION("""COMPUTED_VALUE"""),"1261384")</f>
        <v>1261384</v>
      </c>
      <c r="B4069" s="210" t="str">
        <f>IFERROR(__xludf.DUMMYFUNCTION("""COMPUTED_VALUE"""),"1261384")</f>
        <v>1261384</v>
      </c>
      <c r="C4069" s="213">
        <f>IFERROR(__xludf.DUMMYFUNCTION("""COMPUTED_VALUE"""),46090.65888888889)</f>
        <v>46090.65889</v>
      </c>
      <c r="D4069" s="211" t="str">
        <f>IFERROR(__xludf.DUMMYFUNCTION("""COMPUTED_VALUE"""),"a0f0ad2d")</f>
        <v>a0f0ad2d</v>
      </c>
      <c r="E4069" s="211" t="str">
        <f>IFERROR(__xludf.DUMMYFUNCTION("""COMPUTED_VALUE"""),"CV. Yulie Jaya")</f>
        <v>CV. Yulie Jaya</v>
      </c>
      <c r="F4069" s="211" t="str">
        <f>IFERROR(__xludf.DUMMYFUNCTION("""COMPUTED_VALUE"""),"be525f3b")</f>
        <v>be525f3b</v>
      </c>
      <c r="G4069" s="211" t="str">
        <f>IFERROR(__xludf.DUMMYFUNCTION("""COMPUTED_VALUE"""),"LPG 12kg")</f>
        <v>LPG 12kg</v>
      </c>
      <c r="H4069" s="211" t="str">
        <f>IFERROR(__xludf.DUMMYFUNCTION("""COMPUTED_VALUE"""),"IN")</f>
        <v>IN</v>
      </c>
      <c r="I4069" s="211" t="str">
        <f>IFERROR(__xludf.DUMMYFUNCTION("""COMPUTED_VALUE"""),"EMPTY")</f>
        <v>EMPTY</v>
      </c>
      <c r="J4069" s="211">
        <f>IFERROR(__xludf.DUMMYFUNCTION("""COMPUTED_VALUE"""),1.0)</f>
        <v>1</v>
      </c>
      <c r="K4069" s="210" t="str">
        <f>IFERROR(__xludf.DUMMYFUNCTION("""COMPUTED_VALUE"""),"L008")</f>
        <v>L008</v>
      </c>
      <c r="L4069" s="211">
        <f>IFERROR(__xludf.DUMMYFUNCTION("""COMPUTED_VALUE"""),0.0)</f>
        <v>0</v>
      </c>
      <c r="M4069" s="211"/>
      <c r="N4069" s="211"/>
      <c r="O4069" s="211" t="b">
        <f>IFERROR(__xludf.DUMMYFUNCTION("""COMPUTED_VALUE"""),FALSE)</f>
        <v>0</v>
      </c>
    </row>
    <row r="4070">
      <c r="A4070" s="210" t="str">
        <f>IFERROR(__xludf.DUMMYFUNCTION("""COMPUTED_VALUE"""),"1261376")</f>
        <v>1261376</v>
      </c>
      <c r="B4070" s="210" t="str">
        <f>IFERROR(__xludf.DUMMYFUNCTION("""COMPUTED_VALUE"""),"1261376")</f>
        <v>1261376</v>
      </c>
      <c r="C4070" s="213">
        <f>IFERROR(__xludf.DUMMYFUNCTION("""COMPUTED_VALUE"""),46090.680185185185)</f>
        <v>46090.68019</v>
      </c>
      <c r="D4070" s="211" t="str">
        <f>IFERROR(__xludf.DUMMYFUNCTION("""COMPUTED_VALUE"""),"de41c3e8")</f>
        <v>de41c3e8</v>
      </c>
      <c r="E4070" s="211" t="str">
        <f>IFERROR(__xludf.DUMMYFUNCTION("""COMPUTED_VALUE"""),"Bpk. Eko Mianto")</f>
        <v>Bpk. Eko Mianto</v>
      </c>
      <c r="F4070" s="211" t="str">
        <f>IFERROR(__xludf.DUMMYFUNCTION("""COMPUTED_VALUE"""),"66af7c72")</f>
        <v>66af7c72</v>
      </c>
      <c r="G4070" s="211" t="str">
        <f>IFERROR(__xludf.DUMMYFUNCTION("""COMPUTED_VALUE"""),"Argon 6m3")</f>
        <v>Argon 6m3</v>
      </c>
      <c r="H4070" s="211" t="str">
        <f>IFERROR(__xludf.DUMMYFUNCTION("""COMPUTED_VALUE"""),"IN")</f>
        <v>IN</v>
      </c>
      <c r="I4070" s="211" t="str">
        <f>IFERROR(__xludf.DUMMYFUNCTION("""COMPUTED_VALUE"""),"EMPTY")</f>
        <v>EMPTY</v>
      </c>
      <c r="J4070" s="211">
        <f>IFERROR(__xludf.DUMMYFUNCTION("""COMPUTED_VALUE"""),1.0)</f>
        <v>1</v>
      </c>
      <c r="K4070" s="210" t="str">
        <f>IFERROR(__xludf.DUMMYFUNCTION("""COMPUTED_VALUE"""),"12016")</f>
        <v>12016</v>
      </c>
      <c r="L4070" s="211">
        <f>IFERROR(__xludf.DUMMYFUNCTION("""COMPUTED_VALUE"""),0.0)</f>
        <v>0</v>
      </c>
      <c r="M4070" s="211"/>
      <c r="N4070" s="211"/>
      <c r="O4070" s="211" t="b">
        <f>IFERROR(__xludf.DUMMYFUNCTION("""COMPUTED_VALUE"""),FALSE)</f>
        <v>0</v>
      </c>
    </row>
    <row r="4071">
      <c r="A4071" s="210" t="str">
        <f>IFERROR(__xludf.DUMMYFUNCTION("""COMPUTED_VALUE"""),"1261376")</f>
        <v>1261376</v>
      </c>
      <c r="B4071" s="210" t="str">
        <f>IFERROR(__xludf.DUMMYFUNCTION("""COMPUTED_VALUE"""),"1261376")</f>
        <v>1261376</v>
      </c>
      <c r="C4071" s="213">
        <f>IFERROR(__xludf.DUMMYFUNCTION("""COMPUTED_VALUE"""),46090.680185185185)</f>
        <v>46090.68019</v>
      </c>
      <c r="D4071" s="211" t="str">
        <f>IFERROR(__xludf.DUMMYFUNCTION("""COMPUTED_VALUE"""),"de41c3e8")</f>
        <v>de41c3e8</v>
      </c>
      <c r="E4071" s="211" t="str">
        <f>IFERROR(__xludf.DUMMYFUNCTION("""COMPUTED_VALUE"""),"Bpk. Eko Mianto")</f>
        <v>Bpk. Eko Mianto</v>
      </c>
      <c r="F4071" s="211" t="str">
        <f>IFERROR(__xludf.DUMMYFUNCTION("""COMPUTED_VALUE"""),"66af7c72")</f>
        <v>66af7c72</v>
      </c>
      <c r="G4071" s="211" t="str">
        <f>IFERROR(__xludf.DUMMYFUNCTION("""COMPUTED_VALUE"""),"Argon 6m3")</f>
        <v>Argon 6m3</v>
      </c>
      <c r="H4071" s="211" t="str">
        <f>IFERROR(__xludf.DUMMYFUNCTION("""COMPUTED_VALUE"""),"IN")</f>
        <v>IN</v>
      </c>
      <c r="I4071" s="211" t="str">
        <f>IFERROR(__xludf.DUMMYFUNCTION("""COMPUTED_VALUE"""),"EMPTY")</f>
        <v>EMPTY</v>
      </c>
      <c r="J4071" s="211">
        <f>IFERROR(__xludf.DUMMYFUNCTION("""COMPUTED_VALUE"""),1.0)</f>
        <v>1</v>
      </c>
      <c r="K4071" s="210" t="str">
        <f>IFERROR(__xludf.DUMMYFUNCTION("""COMPUTED_VALUE"""),"12006")</f>
        <v>12006</v>
      </c>
      <c r="L4071" s="211">
        <f>IFERROR(__xludf.DUMMYFUNCTION("""COMPUTED_VALUE"""),0.0)</f>
        <v>0</v>
      </c>
      <c r="M4071" s="211"/>
      <c r="N4071" s="211" t="str">
        <f>IFERROR(__xludf.DUMMYFUNCTION("""COMPUTED_VALUE"""),"Masih ada isi tapi jelek isinya")</f>
        <v>Masih ada isi tapi jelek isinya</v>
      </c>
      <c r="O4071" s="211" t="b">
        <f>IFERROR(__xludf.DUMMYFUNCTION("""COMPUTED_VALUE"""),FALSE)</f>
        <v>0</v>
      </c>
    </row>
    <row r="4072">
      <c r="A4072" s="210" t="str">
        <f>IFERROR(__xludf.DUMMYFUNCTION("""COMPUTED_VALUE"""),"0326292805")</f>
        <v>0326292805</v>
      </c>
      <c r="B4072" s="210" t="str">
        <f>IFERROR(__xludf.DUMMYFUNCTION("""COMPUTED_VALUE"""),"0326292805")</f>
        <v>0326292805</v>
      </c>
      <c r="C4072" s="213">
        <f>IFERROR(__xludf.DUMMYFUNCTION("""COMPUTED_VALUE"""),46091.34033564815)</f>
        <v>46091.34034</v>
      </c>
      <c r="D4072" s="211" t="str">
        <f>IFERROR(__xludf.DUMMYFUNCTION("""COMPUTED_VALUE"""),"63fc688a")</f>
        <v>63fc688a</v>
      </c>
      <c r="E4072" s="211" t="str">
        <f>IFERROR(__xludf.DUMMYFUNCTION("""COMPUTED_VALUE"""),"CV Malik Nusantara")</f>
        <v>CV Malik Nusantara</v>
      </c>
      <c r="F4072" s="211" t="str">
        <f>IFERROR(__xludf.DUMMYFUNCTION("""COMPUTED_VALUE"""),"8bdbe149")</f>
        <v>8bdbe149</v>
      </c>
      <c r="G4072" s="211" t="str">
        <f>IFERROR(__xludf.DUMMYFUNCTION("""COMPUTED_VALUE"""),"Oksigen 6m3")</f>
        <v>Oksigen 6m3</v>
      </c>
      <c r="H4072" s="211" t="str">
        <f>IFERROR(__xludf.DUMMYFUNCTION("""COMPUTED_VALUE"""),"OUT")</f>
        <v>OUT</v>
      </c>
      <c r="I4072" s="211" t="str">
        <f>IFERROR(__xludf.DUMMYFUNCTION("""COMPUTED_VALUE"""),"NORMAL")</f>
        <v>NORMAL</v>
      </c>
      <c r="J4072" s="211">
        <f>IFERROR(__xludf.DUMMYFUNCTION("""COMPUTED_VALUE"""),5.0)</f>
        <v>5</v>
      </c>
      <c r="K4072" s="210" t="str">
        <f>IFERROR(__xludf.DUMMYFUNCTION("""COMPUTED_VALUE"""),"11134 11376 11229 11258 1155")</f>
        <v>11134 11376 11229 11258 1155</v>
      </c>
      <c r="L4072" s="211">
        <f>IFERROR(__xludf.DUMMYFUNCTION("""COMPUTED_VALUE"""),65000.0)</f>
        <v>65000</v>
      </c>
      <c r="M4072" s="211"/>
      <c r="N4072" s="211"/>
      <c r="O4072" s="211" t="b">
        <f>IFERROR(__xludf.DUMMYFUNCTION("""COMPUTED_VALUE"""),FALSE)</f>
        <v>0</v>
      </c>
    </row>
    <row r="4073">
      <c r="A4073" s="210" t="str">
        <f>IFERROR(__xludf.DUMMYFUNCTION("""COMPUTED_VALUE"""),"0326292805")</f>
        <v>0326292805</v>
      </c>
      <c r="B4073" s="210" t="str">
        <f>IFERROR(__xludf.DUMMYFUNCTION("""COMPUTED_VALUE"""),"0326292805")</f>
        <v>0326292805</v>
      </c>
      <c r="C4073" s="213">
        <f>IFERROR(__xludf.DUMMYFUNCTION("""COMPUTED_VALUE"""),46091.34033564815)</f>
        <v>46091.34034</v>
      </c>
      <c r="D4073" s="211" t="str">
        <f>IFERROR(__xludf.DUMMYFUNCTION("""COMPUTED_VALUE"""),"63fc688a")</f>
        <v>63fc688a</v>
      </c>
      <c r="E4073" s="211" t="str">
        <f>IFERROR(__xludf.DUMMYFUNCTION("""COMPUTED_VALUE"""),"CV Malik Nusantara")</f>
        <v>CV Malik Nusantara</v>
      </c>
      <c r="F4073" s="211" t="str">
        <f>IFERROR(__xludf.DUMMYFUNCTION("""COMPUTED_VALUE"""),"ef306e54")</f>
        <v>ef306e54</v>
      </c>
      <c r="G4073" s="211" t="str">
        <f>IFERROR(__xludf.DUMMYFUNCTION("""COMPUTED_VALUE"""),"Karbondioksida")</f>
        <v>Karbondioksida</v>
      </c>
      <c r="H4073" s="211" t="str">
        <f>IFERROR(__xludf.DUMMYFUNCTION("""COMPUTED_VALUE"""),"OUT")</f>
        <v>OUT</v>
      </c>
      <c r="I4073" s="211" t="str">
        <f>IFERROR(__xludf.DUMMYFUNCTION("""COMPUTED_VALUE"""),"NORMAL")</f>
        <v>NORMAL</v>
      </c>
      <c r="J4073" s="211">
        <f>IFERROR(__xludf.DUMMYFUNCTION("""COMPUTED_VALUE"""),2.0)</f>
        <v>2</v>
      </c>
      <c r="K4073" s="210" t="str">
        <f>IFERROR(__xludf.DUMMYFUNCTION("""COMPUTED_VALUE"""),"13017 13064")</f>
        <v>13017 13064</v>
      </c>
      <c r="L4073" s="211">
        <f>IFERROR(__xludf.DUMMYFUNCTION("""COMPUTED_VALUE"""),190000.0)</f>
        <v>190000</v>
      </c>
      <c r="M4073" s="211"/>
      <c r="N4073" s="211"/>
      <c r="O4073" s="211" t="b">
        <f>IFERROR(__xludf.DUMMYFUNCTION("""COMPUTED_VALUE"""),FALSE)</f>
        <v>0</v>
      </c>
    </row>
    <row r="4074">
      <c r="A4074" s="210" t="str">
        <f>IFERROR(__xludf.DUMMYFUNCTION("""COMPUTED_VALUE"""),"032652809")</f>
        <v>032652809</v>
      </c>
      <c r="B4074" s="210" t="str">
        <f>IFERROR(__xludf.DUMMYFUNCTION("""COMPUTED_VALUE"""),"032652809")</f>
        <v>032652809</v>
      </c>
      <c r="C4074" s="213">
        <f>IFERROR(__xludf.DUMMYFUNCTION("""COMPUTED_VALUE"""),46091.34085648148)</f>
        <v>46091.34086</v>
      </c>
      <c r="D4074" s="211" t="str">
        <f>IFERROR(__xludf.DUMMYFUNCTION("""COMPUTED_VALUE"""),"1a1efff9")</f>
        <v>1a1efff9</v>
      </c>
      <c r="E4074" s="211" t="str">
        <f>IFERROR(__xludf.DUMMYFUNCTION("""COMPUTED_VALUE"""),"Bpk. Gito Mjs")</f>
        <v>Bpk. Gito Mjs</v>
      </c>
      <c r="F4074" s="211" t="str">
        <f>IFERROR(__xludf.DUMMYFUNCTION("""COMPUTED_VALUE"""),"7d2764f1")</f>
        <v>7d2764f1</v>
      </c>
      <c r="G4074" s="211" t="str">
        <f>IFERROR(__xludf.DUMMYFUNCTION("""COMPUTED_VALUE"""),"Oksigen 7m3")</f>
        <v>Oksigen 7m3</v>
      </c>
      <c r="H4074" s="211" t="str">
        <f>IFERROR(__xludf.DUMMYFUNCTION("""COMPUTED_VALUE"""),"OUT")</f>
        <v>OUT</v>
      </c>
      <c r="I4074" s="211" t="str">
        <f>IFERROR(__xludf.DUMMYFUNCTION("""COMPUTED_VALUE"""),"NORMAL")</f>
        <v>NORMAL</v>
      </c>
      <c r="J4074" s="211">
        <f>IFERROR(__xludf.DUMMYFUNCTION("""COMPUTED_VALUE"""),1.0)</f>
        <v>1</v>
      </c>
      <c r="K4074" s="210" t="str">
        <f>IFERROR(__xludf.DUMMYFUNCTION("""COMPUTED_VALUE"""),"11195")</f>
        <v>11195</v>
      </c>
      <c r="L4074" s="211">
        <f>IFERROR(__xludf.DUMMYFUNCTION("""COMPUTED_VALUE"""),75000.0)</f>
        <v>75000</v>
      </c>
      <c r="M4074" s="211"/>
      <c r="N4074" s="211"/>
      <c r="O4074" s="211" t="b">
        <f>IFERROR(__xludf.DUMMYFUNCTION("""COMPUTED_VALUE"""),FALSE)</f>
        <v>0</v>
      </c>
    </row>
    <row r="4075">
      <c r="A4075" s="210" t="str">
        <f>IFERROR(__xludf.DUMMYFUNCTION("""COMPUTED_VALUE"""),"0326932810")</f>
        <v>0326932810</v>
      </c>
      <c r="B4075" s="210" t="str">
        <f>IFERROR(__xludf.DUMMYFUNCTION("""COMPUTED_VALUE"""),"0326932810")</f>
        <v>0326932810</v>
      </c>
      <c r="C4075" s="213">
        <f>IFERROR(__xludf.DUMMYFUNCTION("""COMPUTED_VALUE"""),46091.34050925926)</f>
        <v>46091.34051</v>
      </c>
      <c r="D4075" s="211" t="str">
        <f>IFERROR(__xludf.DUMMYFUNCTION("""COMPUTED_VALUE"""),"b2b5f2c5")</f>
        <v>b2b5f2c5</v>
      </c>
      <c r="E4075" s="211" t="str">
        <f>IFERROR(__xludf.DUMMYFUNCTION("""COMPUTED_VALUE"""),"Bengkel Las Bpk. Ari")</f>
        <v>Bengkel Las Bpk. Ari</v>
      </c>
      <c r="F4075" s="211" t="str">
        <f>IFERROR(__xludf.DUMMYFUNCTION("""COMPUTED_VALUE"""),"8bdbe149")</f>
        <v>8bdbe149</v>
      </c>
      <c r="G4075" s="211" t="str">
        <f>IFERROR(__xludf.DUMMYFUNCTION("""COMPUTED_VALUE"""),"Oksigen 6m3")</f>
        <v>Oksigen 6m3</v>
      </c>
      <c r="H4075" s="211" t="str">
        <f>IFERROR(__xludf.DUMMYFUNCTION("""COMPUTED_VALUE"""),"OUT")</f>
        <v>OUT</v>
      </c>
      <c r="I4075" s="211" t="str">
        <f>IFERROR(__xludf.DUMMYFUNCTION("""COMPUTED_VALUE"""),"NORMAL")</f>
        <v>NORMAL</v>
      </c>
      <c r="J4075" s="211">
        <f>IFERROR(__xludf.DUMMYFUNCTION("""COMPUTED_VALUE"""),4.0)</f>
        <v>4</v>
      </c>
      <c r="K4075" s="210" t="str">
        <f>IFERROR(__xludf.DUMMYFUNCTION("""COMPUTED_VALUE"""),"1181 11277 1164 1111")</f>
        <v>1181 11277 1164 1111</v>
      </c>
      <c r="L4075" s="211">
        <f>IFERROR(__xludf.DUMMYFUNCTION("""COMPUTED_VALUE"""),60000.0)</f>
        <v>60000</v>
      </c>
      <c r="M4075" s="211"/>
      <c r="N4075" s="211"/>
      <c r="O4075" s="211" t="b">
        <f>IFERROR(__xludf.DUMMYFUNCTION("""COMPUTED_VALUE"""),FALSE)</f>
        <v>0</v>
      </c>
    </row>
    <row r="4076">
      <c r="A4076" s="210" t="str">
        <f>IFERROR(__xludf.DUMMYFUNCTION("""COMPUTED_VALUE"""),"0326932810")</f>
        <v>0326932810</v>
      </c>
      <c r="B4076" s="210" t="str">
        <f>IFERROR(__xludf.DUMMYFUNCTION("""COMPUTED_VALUE"""),"0326932810")</f>
        <v>0326932810</v>
      </c>
      <c r="C4076" s="213">
        <f>IFERROR(__xludf.DUMMYFUNCTION("""COMPUTED_VALUE"""),46091.34050925926)</f>
        <v>46091.34051</v>
      </c>
      <c r="D4076" s="211" t="str">
        <f>IFERROR(__xludf.DUMMYFUNCTION("""COMPUTED_VALUE"""),"b2b5f2c5")</f>
        <v>b2b5f2c5</v>
      </c>
      <c r="E4076" s="211" t="str">
        <f>IFERROR(__xludf.DUMMYFUNCTION("""COMPUTED_VALUE"""),"Bengkel Las Bpk. Ari")</f>
        <v>Bengkel Las Bpk. Ari</v>
      </c>
      <c r="F4076" s="211" t="str">
        <f>IFERROR(__xludf.DUMMYFUNCTION("""COMPUTED_VALUE"""),"ef306e54")</f>
        <v>ef306e54</v>
      </c>
      <c r="G4076" s="211" t="str">
        <f>IFERROR(__xludf.DUMMYFUNCTION("""COMPUTED_VALUE"""),"Karbondioksida")</f>
        <v>Karbondioksida</v>
      </c>
      <c r="H4076" s="211" t="str">
        <f>IFERROR(__xludf.DUMMYFUNCTION("""COMPUTED_VALUE"""),"OUT")</f>
        <v>OUT</v>
      </c>
      <c r="I4076" s="211" t="str">
        <f>IFERROR(__xludf.DUMMYFUNCTION("""COMPUTED_VALUE"""),"NORMAL")</f>
        <v>NORMAL</v>
      </c>
      <c r="J4076" s="211">
        <f>IFERROR(__xludf.DUMMYFUNCTION("""COMPUTED_VALUE"""),2.0)</f>
        <v>2</v>
      </c>
      <c r="K4076" s="210" t="str">
        <f>IFERROR(__xludf.DUMMYFUNCTION("""COMPUTED_VALUE"""),"13013 13046")</f>
        <v>13013 13046</v>
      </c>
      <c r="L4076" s="211">
        <f>IFERROR(__xludf.DUMMYFUNCTION("""COMPUTED_VALUE"""),180000.0)</f>
        <v>180000</v>
      </c>
      <c r="M4076" s="211"/>
      <c r="N4076" s="211"/>
      <c r="O4076" s="211" t="b">
        <f>IFERROR(__xludf.DUMMYFUNCTION("""COMPUTED_VALUE"""),FALSE)</f>
        <v>0</v>
      </c>
    </row>
    <row r="4077">
      <c r="A4077" s="210" t="str">
        <f>IFERROR(__xludf.DUMMYFUNCTION("""COMPUTED_VALUE"""),"0326142811")</f>
        <v>0326142811</v>
      </c>
      <c r="B4077" s="210" t="str">
        <f>IFERROR(__xludf.DUMMYFUNCTION("""COMPUTED_VALUE"""),"0326142811")</f>
        <v>0326142811</v>
      </c>
      <c r="C4077" s="213">
        <f>IFERROR(__xludf.DUMMYFUNCTION("""COMPUTED_VALUE"""),46091.37516203704)</f>
        <v>46091.37516</v>
      </c>
      <c r="D4077" s="211" t="str">
        <f>IFERROR(__xludf.DUMMYFUNCTION("""COMPUTED_VALUE"""),"98c84274")</f>
        <v>98c84274</v>
      </c>
      <c r="E4077" s="211" t="str">
        <f>IFERROR(__xludf.DUMMYFUNCTION("""COMPUTED_VALUE"""),"Bengkel SBM (Pak Hari)")</f>
        <v>Bengkel SBM (Pak Hari)</v>
      </c>
      <c r="F4077" s="211" t="str">
        <f>IFERROR(__xludf.DUMMYFUNCTION("""COMPUTED_VALUE"""),"ef306e54")</f>
        <v>ef306e54</v>
      </c>
      <c r="G4077" s="211" t="str">
        <f>IFERROR(__xludf.DUMMYFUNCTION("""COMPUTED_VALUE"""),"Karbondioksida")</f>
        <v>Karbondioksida</v>
      </c>
      <c r="H4077" s="211" t="str">
        <f>IFERROR(__xludf.DUMMYFUNCTION("""COMPUTED_VALUE"""),"OUT")</f>
        <v>OUT</v>
      </c>
      <c r="I4077" s="211" t="str">
        <f>IFERROR(__xludf.DUMMYFUNCTION("""COMPUTED_VALUE"""),"NORMAL")</f>
        <v>NORMAL</v>
      </c>
      <c r="J4077" s="211">
        <f>IFERROR(__xludf.DUMMYFUNCTION("""COMPUTED_VALUE"""),4.0)</f>
        <v>4</v>
      </c>
      <c r="K4077" s="210" t="str">
        <f>IFERROR(__xludf.DUMMYFUNCTION("""COMPUTED_VALUE"""),"13066 13058 13008 13032")</f>
        <v>13066 13058 13008 13032</v>
      </c>
      <c r="L4077" s="211">
        <f>IFERROR(__xludf.DUMMYFUNCTION("""COMPUTED_VALUE"""),190000.0)</f>
        <v>190000</v>
      </c>
      <c r="M4077" s="211"/>
      <c r="N4077" s="211"/>
      <c r="O4077" s="211" t="b">
        <f>IFERROR(__xludf.DUMMYFUNCTION("""COMPUTED_VALUE"""),FALSE)</f>
        <v>0</v>
      </c>
    </row>
    <row r="4078">
      <c r="A4078" s="210" t="str">
        <f>IFERROR(__xludf.DUMMYFUNCTION("""COMPUTED_VALUE"""),"0326142812")</f>
        <v>0326142812</v>
      </c>
      <c r="B4078" s="210" t="str">
        <f>IFERROR(__xludf.DUMMYFUNCTION("""COMPUTED_VALUE"""),"0326142812")</f>
        <v>0326142812</v>
      </c>
      <c r="C4078" s="213">
        <f>IFERROR(__xludf.DUMMYFUNCTION("""COMPUTED_VALUE"""),46091.398935185185)</f>
        <v>46091.39894</v>
      </c>
      <c r="D4078" s="211" t="str">
        <f>IFERROR(__xludf.DUMMYFUNCTION("""COMPUTED_VALUE"""),"ba97d58d")</f>
        <v>ba97d58d</v>
      </c>
      <c r="E4078" s="211" t="str">
        <f>IFERROR(__xludf.DUMMYFUNCTION("""COMPUTED_VALUE"""),"Bengkel Citra Mojosari")</f>
        <v>Bengkel Citra Mojosari</v>
      </c>
      <c r="F4078" s="211" t="str">
        <f>IFERROR(__xludf.DUMMYFUNCTION("""COMPUTED_VALUE"""),"8bdbe149")</f>
        <v>8bdbe149</v>
      </c>
      <c r="G4078" s="211" t="str">
        <f>IFERROR(__xludf.DUMMYFUNCTION("""COMPUTED_VALUE"""),"Oksigen 6m3")</f>
        <v>Oksigen 6m3</v>
      </c>
      <c r="H4078" s="211" t="str">
        <f>IFERROR(__xludf.DUMMYFUNCTION("""COMPUTED_VALUE"""),"OUT")</f>
        <v>OUT</v>
      </c>
      <c r="I4078" s="211" t="str">
        <f>IFERROR(__xludf.DUMMYFUNCTION("""COMPUTED_VALUE"""),"NORMAL")</f>
        <v>NORMAL</v>
      </c>
      <c r="J4078" s="211">
        <f>IFERROR(__xludf.DUMMYFUNCTION("""COMPUTED_VALUE"""),4.0)</f>
        <v>4</v>
      </c>
      <c r="K4078" s="210" t="str">
        <f>IFERROR(__xludf.DUMMYFUNCTION("""COMPUTED_VALUE"""),"11308 1150 11184 11260")</f>
        <v>11308 1150 11184 11260</v>
      </c>
      <c r="L4078" s="211">
        <f>IFERROR(__xludf.DUMMYFUNCTION("""COMPUTED_VALUE"""),65000.0)</f>
        <v>65000</v>
      </c>
      <c r="M4078" s="211"/>
      <c r="N4078" s="211"/>
      <c r="O4078" s="211" t="b">
        <f>IFERROR(__xludf.DUMMYFUNCTION("""COMPUTED_VALUE"""),FALSE)</f>
        <v>0</v>
      </c>
    </row>
    <row r="4079">
      <c r="A4079" s="210" t="str">
        <f>IFERROR(__xludf.DUMMYFUNCTION("""COMPUTED_VALUE"""),"1261390")</f>
        <v>1261390</v>
      </c>
      <c r="B4079" s="210" t="str">
        <f>IFERROR(__xludf.DUMMYFUNCTION("""COMPUTED_VALUE"""),"1261390")</f>
        <v>1261390</v>
      </c>
      <c r="C4079" s="213">
        <f>IFERROR(__xludf.DUMMYFUNCTION("""COMPUTED_VALUE"""),46066.603321759256)</f>
        <v>46066.60332</v>
      </c>
      <c r="D4079" s="211" t="str">
        <f>IFERROR(__xludf.DUMMYFUNCTION("""COMPUTED_VALUE"""),"98c84274")</f>
        <v>98c84274</v>
      </c>
      <c r="E4079" s="211" t="str">
        <f>IFERROR(__xludf.DUMMYFUNCTION("""COMPUTED_VALUE"""),"Bengkel SBM (Pak Hari)")</f>
        <v>Bengkel SBM (Pak Hari)</v>
      </c>
      <c r="F4079" s="211" t="str">
        <f>IFERROR(__xludf.DUMMYFUNCTION("""COMPUTED_VALUE"""),"be525f3b")</f>
        <v>be525f3b</v>
      </c>
      <c r="G4079" s="211" t="str">
        <f>IFERROR(__xludf.DUMMYFUNCTION("""COMPUTED_VALUE"""),"LPG 12kg")</f>
        <v>LPG 12kg</v>
      </c>
      <c r="H4079" s="211" t="str">
        <f>IFERROR(__xludf.DUMMYFUNCTION("""COMPUTED_VALUE"""),"IN")</f>
        <v>IN</v>
      </c>
      <c r="I4079" s="211" t="str">
        <f>IFERROR(__xludf.DUMMYFUNCTION("""COMPUTED_VALUE"""),"EMPTY")</f>
        <v>EMPTY</v>
      </c>
      <c r="J4079" s="211">
        <f>IFERROR(__xludf.DUMMYFUNCTION("""COMPUTED_VALUE"""),1.0)</f>
        <v>1</v>
      </c>
      <c r="K4079" s="210" t="str">
        <f>IFERROR(__xludf.DUMMYFUNCTION("""COMPUTED_VALUE"""),"L005")</f>
        <v>L005</v>
      </c>
      <c r="L4079" s="211">
        <f>IFERROR(__xludf.DUMMYFUNCTION("""COMPUTED_VALUE"""),0.0)</f>
        <v>0</v>
      </c>
      <c r="M4079" s="211"/>
      <c r="N4079" s="211"/>
      <c r="O4079" s="211" t="b">
        <f>IFERROR(__xludf.DUMMYFUNCTION("""COMPUTED_VALUE"""),FALSE)</f>
        <v>0</v>
      </c>
    </row>
    <row r="4080">
      <c r="A4080" s="210" t="str">
        <f>IFERROR(__xludf.DUMMYFUNCTION("""COMPUTED_VALUE"""),"1261377")</f>
        <v>1261377</v>
      </c>
      <c r="B4080" s="210" t="str">
        <f>IFERROR(__xludf.DUMMYFUNCTION("""COMPUTED_VALUE"""),"1261377")</f>
        <v>1261377</v>
      </c>
      <c r="C4080" s="213">
        <f>IFERROR(__xludf.DUMMYFUNCTION("""COMPUTED_VALUE"""),46091.450636574074)</f>
        <v>46091.45064</v>
      </c>
      <c r="D4080" s="211" t="str">
        <f>IFERROR(__xludf.DUMMYFUNCTION("""COMPUTED_VALUE"""),"63fc688a")</f>
        <v>63fc688a</v>
      </c>
      <c r="E4080" s="211" t="str">
        <f>IFERROR(__xludf.DUMMYFUNCTION("""COMPUTED_VALUE"""),"CV Malik Nusantara")</f>
        <v>CV Malik Nusantara</v>
      </c>
      <c r="F4080" s="211" t="str">
        <f>IFERROR(__xludf.DUMMYFUNCTION("""COMPUTED_VALUE"""),"8bdbe149")</f>
        <v>8bdbe149</v>
      </c>
      <c r="G4080" s="211" t="str">
        <f>IFERROR(__xludf.DUMMYFUNCTION("""COMPUTED_VALUE"""),"Oksigen 6m3")</f>
        <v>Oksigen 6m3</v>
      </c>
      <c r="H4080" s="211" t="str">
        <f>IFERROR(__xludf.DUMMYFUNCTION("""COMPUTED_VALUE"""),"IN")</f>
        <v>IN</v>
      </c>
      <c r="I4080" s="211" t="str">
        <f>IFERROR(__xludf.DUMMYFUNCTION("""COMPUTED_VALUE"""),"EMPTY")</f>
        <v>EMPTY</v>
      </c>
      <c r="J4080" s="211">
        <f>IFERROR(__xludf.DUMMYFUNCTION("""COMPUTED_VALUE"""),1.0)</f>
        <v>1</v>
      </c>
      <c r="K4080" s="210" t="str">
        <f>IFERROR(__xludf.DUMMYFUNCTION("""COMPUTED_VALUE"""),"11129")</f>
        <v>11129</v>
      </c>
      <c r="L4080" s="211">
        <f>IFERROR(__xludf.DUMMYFUNCTION("""COMPUTED_VALUE"""),0.0)</f>
        <v>0</v>
      </c>
      <c r="M4080" s="211"/>
      <c r="N4080" s="211"/>
      <c r="O4080" s="211" t="b">
        <f>IFERROR(__xludf.DUMMYFUNCTION("""COMPUTED_VALUE"""),FALSE)</f>
        <v>0</v>
      </c>
    </row>
    <row r="4081">
      <c r="A4081" s="210" t="str">
        <f>IFERROR(__xludf.DUMMYFUNCTION("""COMPUTED_VALUE"""),"1261377")</f>
        <v>1261377</v>
      </c>
      <c r="B4081" s="210" t="str">
        <f>IFERROR(__xludf.DUMMYFUNCTION("""COMPUTED_VALUE"""),"1261377")</f>
        <v>1261377</v>
      </c>
      <c r="C4081" s="213">
        <f>IFERROR(__xludf.DUMMYFUNCTION("""COMPUTED_VALUE"""),46091.450636574074)</f>
        <v>46091.45064</v>
      </c>
      <c r="D4081" s="211" t="str">
        <f>IFERROR(__xludf.DUMMYFUNCTION("""COMPUTED_VALUE"""),"63fc688a")</f>
        <v>63fc688a</v>
      </c>
      <c r="E4081" s="211" t="str">
        <f>IFERROR(__xludf.DUMMYFUNCTION("""COMPUTED_VALUE"""),"CV Malik Nusantara")</f>
        <v>CV Malik Nusantara</v>
      </c>
      <c r="F4081" s="211" t="str">
        <f>IFERROR(__xludf.DUMMYFUNCTION("""COMPUTED_VALUE"""),"7d2764f1")</f>
        <v>7d2764f1</v>
      </c>
      <c r="G4081" s="211" t="str">
        <f>IFERROR(__xludf.DUMMYFUNCTION("""COMPUTED_VALUE"""),"Oksigen 7m3")</f>
        <v>Oksigen 7m3</v>
      </c>
      <c r="H4081" s="211" t="str">
        <f>IFERROR(__xludf.DUMMYFUNCTION("""COMPUTED_VALUE"""),"IN")</f>
        <v>IN</v>
      </c>
      <c r="I4081" s="211" t="str">
        <f>IFERROR(__xludf.DUMMYFUNCTION("""COMPUTED_VALUE"""),"EMPTY")</f>
        <v>EMPTY</v>
      </c>
      <c r="J4081" s="211">
        <f>IFERROR(__xludf.DUMMYFUNCTION("""COMPUTED_VALUE"""),3.0)</f>
        <v>3</v>
      </c>
      <c r="K4081" s="210" t="str">
        <f>IFERROR(__xludf.DUMMYFUNCTION("""COMPUTED_VALUE"""),"11301 11221 11305")</f>
        <v>11301 11221 11305</v>
      </c>
      <c r="L4081" s="211">
        <f>IFERROR(__xludf.DUMMYFUNCTION("""COMPUTED_VALUE"""),0.0)</f>
        <v>0</v>
      </c>
      <c r="M4081" s="211"/>
      <c r="N4081" s="211"/>
      <c r="O4081" s="211" t="b">
        <f>IFERROR(__xludf.DUMMYFUNCTION("""COMPUTED_VALUE"""),FALSE)</f>
        <v>0</v>
      </c>
    </row>
    <row r="4082">
      <c r="A4082" s="210" t="str">
        <f>IFERROR(__xludf.DUMMYFUNCTION("""COMPUTED_VALUE"""),"1261377")</f>
        <v>1261377</v>
      </c>
      <c r="B4082" s="210" t="str">
        <f>IFERROR(__xludf.DUMMYFUNCTION("""COMPUTED_VALUE"""),"1261377")</f>
        <v>1261377</v>
      </c>
      <c r="C4082" s="213">
        <f>IFERROR(__xludf.DUMMYFUNCTION("""COMPUTED_VALUE"""),46091.450636574074)</f>
        <v>46091.45064</v>
      </c>
      <c r="D4082" s="211" t="str">
        <f>IFERROR(__xludf.DUMMYFUNCTION("""COMPUTED_VALUE"""),"63fc688a")</f>
        <v>63fc688a</v>
      </c>
      <c r="E4082" s="211" t="str">
        <f>IFERROR(__xludf.DUMMYFUNCTION("""COMPUTED_VALUE"""),"CV Malik Nusantara")</f>
        <v>CV Malik Nusantara</v>
      </c>
      <c r="F4082" s="211" t="str">
        <f>IFERROR(__xludf.DUMMYFUNCTION("""COMPUTED_VALUE"""),"ef306e54")</f>
        <v>ef306e54</v>
      </c>
      <c r="G4082" s="211" t="str">
        <f>IFERROR(__xludf.DUMMYFUNCTION("""COMPUTED_VALUE"""),"Karbondioksida")</f>
        <v>Karbondioksida</v>
      </c>
      <c r="H4082" s="211" t="str">
        <f>IFERROR(__xludf.DUMMYFUNCTION("""COMPUTED_VALUE"""),"IN")</f>
        <v>IN</v>
      </c>
      <c r="I4082" s="211" t="str">
        <f>IFERROR(__xludf.DUMMYFUNCTION("""COMPUTED_VALUE"""),"EMPTY")</f>
        <v>EMPTY</v>
      </c>
      <c r="J4082" s="211">
        <f>IFERROR(__xludf.DUMMYFUNCTION("""COMPUTED_VALUE"""),1.0)</f>
        <v>1</v>
      </c>
      <c r="K4082" s="210" t="str">
        <f>IFERROR(__xludf.DUMMYFUNCTION("""COMPUTED_VALUE"""),"13023")</f>
        <v>13023</v>
      </c>
      <c r="L4082" s="211">
        <f>IFERROR(__xludf.DUMMYFUNCTION("""COMPUTED_VALUE"""),0.0)</f>
        <v>0</v>
      </c>
      <c r="M4082" s="211"/>
      <c r="N4082" s="211"/>
      <c r="O4082" s="211" t="b">
        <f>IFERROR(__xludf.DUMMYFUNCTION("""COMPUTED_VALUE"""),FALSE)</f>
        <v>0</v>
      </c>
    </row>
    <row r="4083">
      <c r="A4083" s="210" t="str">
        <f>IFERROR(__xludf.DUMMYFUNCTION("""COMPUTED_VALUE"""),"1261378")</f>
        <v>1261378</v>
      </c>
      <c r="B4083" s="210" t="str">
        <f>IFERROR(__xludf.DUMMYFUNCTION("""COMPUTED_VALUE"""),"1261378")</f>
        <v>1261378</v>
      </c>
      <c r="C4083" s="213">
        <f>IFERROR(__xludf.DUMMYFUNCTION("""COMPUTED_VALUE"""),46091.451886574076)</f>
        <v>46091.45189</v>
      </c>
      <c r="D4083" s="211" t="str">
        <f>IFERROR(__xludf.DUMMYFUNCTION("""COMPUTED_VALUE"""),"d9b2fac5")</f>
        <v>d9b2fac5</v>
      </c>
      <c r="E4083" s="211" t="str">
        <f>IFERROR(__xludf.DUMMYFUNCTION("""COMPUTED_VALUE"""),"Dwi Riza ( Ponokawan)")</f>
        <v>Dwi Riza ( Ponokawan)</v>
      </c>
      <c r="F4083" s="211" t="str">
        <f>IFERROR(__xludf.DUMMYFUNCTION("""COMPUTED_VALUE"""),"8bdbe149")</f>
        <v>8bdbe149</v>
      </c>
      <c r="G4083" s="211" t="str">
        <f>IFERROR(__xludf.DUMMYFUNCTION("""COMPUTED_VALUE"""),"Oksigen 6m3")</f>
        <v>Oksigen 6m3</v>
      </c>
      <c r="H4083" s="211" t="str">
        <f>IFERROR(__xludf.DUMMYFUNCTION("""COMPUTED_VALUE"""),"IN")</f>
        <v>IN</v>
      </c>
      <c r="I4083" s="211" t="str">
        <f>IFERROR(__xludf.DUMMYFUNCTION("""COMPUTED_VALUE"""),"EMPTY")</f>
        <v>EMPTY</v>
      </c>
      <c r="J4083" s="211">
        <f>IFERROR(__xludf.DUMMYFUNCTION("""COMPUTED_VALUE"""),3.0)</f>
        <v>3</v>
      </c>
      <c r="K4083" s="210" t="str">
        <f>IFERROR(__xludf.DUMMYFUNCTION("""COMPUTED_VALUE"""),"11239 1116 11117")</f>
        <v>11239 1116 11117</v>
      </c>
      <c r="L4083" s="211">
        <f>IFERROR(__xludf.DUMMYFUNCTION("""COMPUTED_VALUE"""),0.0)</f>
        <v>0</v>
      </c>
      <c r="M4083" s="211"/>
      <c r="N4083" s="211"/>
      <c r="O4083" s="211" t="b">
        <f>IFERROR(__xludf.DUMMYFUNCTION("""COMPUTED_VALUE"""),FALSE)</f>
        <v>0</v>
      </c>
    </row>
    <row r="4084">
      <c r="A4084" s="210" t="str">
        <f>IFERROR(__xludf.DUMMYFUNCTION("""COMPUTED_VALUE"""),"1261386")</f>
        <v>1261386</v>
      </c>
      <c r="B4084" s="210" t="str">
        <f>IFERROR(__xludf.DUMMYFUNCTION("""COMPUTED_VALUE"""),"1261386")</f>
        <v>1261386</v>
      </c>
      <c r="C4084" s="213">
        <f>IFERROR(__xludf.DUMMYFUNCTION("""COMPUTED_VALUE"""),46091.60041666667)</f>
        <v>46091.60042</v>
      </c>
      <c r="D4084" s="211" t="str">
        <f>IFERROR(__xludf.DUMMYFUNCTION("""COMPUTED_VALUE"""),"ba97d58d")</f>
        <v>ba97d58d</v>
      </c>
      <c r="E4084" s="211" t="str">
        <f>IFERROR(__xludf.DUMMYFUNCTION("""COMPUTED_VALUE"""),"Bengkel Citra Mojosari")</f>
        <v>Bengkel Citra Mojosari</v>
      </c>
      <c r="F4084" s="211" t="str">
        <f>IFERROR(__xludf.DUMMYFUNCTION("""COMPUTED_VALUE"""),"8bdbe149")</f>
        <v>8bdbe149</v>
      </c>
      <c r="G4084" s="211" t="str">
        <f>IFERROR(__xludf.DUMMYFUNCTION("""COMPUTED_VALUE"""),"Oksigen 6m3")</f>
        <v>Oksigen 6m3</v>
      </c>
      <c r="H4084" s="211" t="str">
        <f>IFERROR(__xludf.DUMMYFUNCTION("""COMPUTED_VALUE"""),"IN")</f>
        <v>IN</v>
      </c>
      <c r="I4084" s="211" t="str">
        <f>IFERROR(__xludf.DUMMYFUNCTION("""COMPUTED_VALUE"""),"EMPTY")</f>
        <v>EMPTY</v>
      </c>
      <c r="J4084" s="211">
        <f>IFERROR(__xludf.DUMMYFUNCTION("""COMPUTED_VALUE"""),2.0)</f>
        <v>2</v>
      </c>
      <c r="K4084" s="210" t="str">
        <f>IFERROR(__xludf.DUMMYFUNCTION("""COMPUTED_VALUE"""),"11323 1146")</f>
        <v>11323 1146</v>
      </c>
      <c r="L4084" s="211">
        <f>IFERROR(__xludf.DUMMYFUNCTION("""COMPUTED_VALUE"""),0.0)</f>
        <v>0</v>
      </c>
      <c r="M4084" s="211"/>
      <c r="N4084" s="211"/>
      <c r="O4084" s="211" t="b">
        <f>IFERROR(__xludf.DUMMYFUNCTION("""COMPUTED_VALUE"""),FALSE)</f>
        <v>0</v>
      </c>
    </row>
    <row r="4085">
      <c r="A4085" s="210" t="str">
        <f>IFERROR(__xludf.DUMMYFUNCTION("""COMPUTED_VALUE"""),"1261386")</f>
        <v>1261386</v>
      </c>
      <c r="B4085" s="210" t="str">
        <f>IFERROR(__xludf.DUMMYFUNCTION("""COMPUTED_VALUE"""),"1261386")</f>
        <v>1261386</v>
      </c>
      <c r="C4085" s="213">
        <f>IFERROR(__xludf.DUMMYFUNCTION("""COMPUTED_VALUE"""),46091.60041666667)</f>
        <v>46091.60042</v>
      </c>
      <c r="D4085" s="211" t="str">
        <f>IFERROR(__xludf.DUMMYFUNCTION("""COMPUTED_VALUE"""),"ba97d58d")</f>
        <v>ba97d58d</v>
      </c>
      <c r="E4085" s="211" t="str">
        <f>IFERROR(__xludf.DUMMYFUNCTION("""COMPUTED_VALUE"""),"Bengkel Citra Mojosari")</f>
        <v>Bengkel Citra Mojosari</v>
      </c>
      <c r="F4085" s="211" t="str">
        <f>IFERROR(__xludf.DUMMYFUNCTION("""COMPUTED_VALUE"""),"8bdbe149")</f>
        <v>8bdbe149</v>
      </c>
      <c r="G4085" s="211" t="str">
        <f>IFERROR(__xludf.DUMMYFUNCTION("""COMPUTED_VALUE"""),"Oksigen 6m3")</f>
        <v>Oksigen 6m3</v>
      </c>
      <c r="H4085" s="211" t="str">
        <f>IFERROR(__xludf.DUMMYFUNCTION("""COMPUTED_VALUE"""),"IN")</f>
        <v>IN</v>
      </c>
      <c r="I4085" s="211" t="str">
        <f>IFERROR(__xludf.DUMMYFUNCTION("""COMPUTED_VALUE"""),"EMPTY")</f>
        <v>EMPTY</v>
      </c>
      <c r="J4085" s="211">
        <f>IFERROR(__xludf.DUMMYFUNCTION("""COMPUTED_VALUE"""),2.0)</f>
        <v>2</v>
      </c>
      <c r="K4085" s="210" t="str">
        <f>IFERROR(__xludf.DUMMYFUNCTION("""COMPUTED_VALUE"""),"11203 1105")</f>
        <v>11203 1105</v>
      </c>
      <c r="L4085" s="211">
        <f>IFERROR(__xludf.DUMMYFUNCTION("""COMPUTED_VALUE"""),0.0)</f>
        <v>0</v>
      </c>
      <c r="M4085" s="211"/>
      <c r="N4085" s="211"/>
      <c r="O4085" s="211" t="b">
        <f>IFERROR(__xludf.DUMMYFUNCTION("""COMPUTED_VALUE"""),TRUE)</f>
        <v>1</v>
      </c>
    </row>
    <row r="4086">
      <c r="A4086" s="210" t="str">
        <f>IFERROR(__xludf.DUMMYFUNCTION("""COMPUTED_VALUE"""),"1261387")</f>
        <v>1261387</v>
      </c>
      <c r="B4086" s="210" t="str">
        <f>IFERROR(__xludf.DUMMYFUNCTION("""COMPUTED_VALUE"""),"1261387")</f>
        <v>1261387</v>
      </c>
      <c r="C4086" s="213">
        <f>IFERROR(__xludf.DUMMYFUNCTION("""COMPUTED_VALUE"""),46091.60173611111)</f>
        <v>46091.60174</v>
      </c>
      <c r="D4086" s="211" t="str">
        <f>IFERROR(__xludf.DUMMYFUNCTION("""COMPUTED_VALUE"""),"1a1efff9")</f>
        <v>1a1efff9</v>
      </c>
      <c r="E4086" s="211" t="str">
        <f>IFERROR(__xludf.DUMMYFUNCTION("""COMPUTED_VALUE"""),"Bpk. Gito Mjs")</f>
        <v>Bpk. Gito Mjs</v>
      </c>
      <c r="F4086" s="211" t="str">
        <f>IFERROR(__xludf.DUMMYFUNCTION("""COMPUTED_VALUE"""),"7d2764f1")</f>
        <v>7d2764f1</v>
      </c>
      <c r="G4086" s="211" t="str">
        <f>IFERROR(__xludf.DUMMYFUNCTION("""COMPUTED_VALUE"""),"Oksigen 7m3")</f>
        <v>Oksigen 7m3</v>
      </c>
      <c r="H4086" s="211" t="str">
        <f>IFERROR(__xludf.DUMMYFUNCTION("""COMPUTED_VALUE"""),"IN")</f>
        <v>IN</v>
      </c>
      <c r="I4086" s="211" t="str">
        <f>IFERROR(__xludf.DUMMYFUNCTION("""COMPUTED_VALUE"""),"EMPTY")</f>
        <v>EMPTY</v>
      </c>
      <c r="J4086" s="211">
        <f>IFERROR(__xludf.DUMMYFUNCTION("""COMPUTED_VALUE"""),1.0)</f>
        <v>1</v>
      </c>
      <c r="K4086" s="210" t="str">
        <f>IFERROR(__xludf.DUMMYFUNCTION("""COMPUTED_VALUE"""),"11219")</f>
        <v>11219</v>
      </c>
      <c r="L4086" s="211">
        <f>IFERROR(__xludf.DUMMYFUNCTION("""COMPUTED_VALUE"""),0.0)</f>
        <v>0</v>
      </c>
      <c r="M4086" s="211"/>
      <c r="N4086" s="211"/>
      <c r="O4086" s="211" t="b">
        <f>IFERROR(__xludf.DUMMYFUNCTION("""COMPUTED_VALUE"""),FALSE)</f>
        <v>0</v>
      </c>
    </row>
    <row r="4087">
      <c r="A4087" s="210" t="str">
        <f>IFERROR(__xludf.DUMMYFUNCTION("""COMPUTED_VALUE"""),"1261388")</f>
        <v>1261388</v>
      </c>
      <c r="B4087" s="210" t="str">
        <f>IFERROR(__xludf.DUMMYFUNCTION("""COMPUTED_VALUE"""),"1261388")</f>
        <v>1261388</v>
      </c>
      <c r="C4087" s="213">
        <f>IFERROR(__xludf.DUMMYFUNCTION("""COMPUTED_VALUE"""),46091.602638888886)</f>
        <v>46091.60264</v>
      </c>
      <c r="D4087" s="211" t="str">
        <f>IFERROR(__xludf.DUMMYFUNCTION("""COMPUTED_VALUE"""),"b2b5f2c5")</f>
        <v>b2b5f2c5</v>
      </c>
      <c r="E4087" s="211" t="str">
        <f>IFERROR(__xludf.DUMMYFUNCTION("""COMPUTED_VALUE"""),"Bengkel Las Bpk. Ari")</f>
        <v>Bengkel Las Bpk. Ari</v>
      </c>
      <c r="F4087" s="211" t="str">
        <f>IFERROR(__xludf.DUMMYFUNCTION("""COMPUTED_VALUE"""),"8bdbe149")</f>
        <v>8bdbe149</v>
      </c>
      <c r="G4087" s="211" t="str">
        <f>IFERROR(__xludf.DUMMYFUNCTION("""COMPUTED_VALUE"""),"Oksigen 6m3")</f>
        <v>Oksigen 6m3</v>
      </c>
      <c r="H4087" s="211" t="str">
        <f>IFERROR(__xludf.DUMMYFUNCTION("""COMPUTED_VALUE"""),"IN")</f>
        <v>IN</v>
      </c>
      <c r="I4087" s="211" t="str">
        <f>IFERROR(__xludf.DUMMYFUNCTION("""COMPUTED_VALUE"""),"EMPTY")</f>
        <v>EMPTY</v>
      </c>
      <c r="J4087" s="211">
        <f>IFERROR(__xludf.DUMMYFUNCTION("""COMPUTED_VALUE"""),1.0)</f>
        <v>1</v>
      </c>
      <c r="K4087" s="210" t="str">
        <f>IFERROR(__xludf.DUMMYFUNCTION("""COMPUTED_VALUE"""),"1182")</f>
        <v>1182</v>
      </c>
      <c r="L4087" s="211">
        <f>IFERROR(__xludf.DUMMYFUNCTION("""COMPUTED_VALUE"""),0.0)</f>
        <v>0</v>
      </c>
      <c r="M4087" s="211"/>
      <c r="N4087" s="211"/>
      <c r="O4087" s="211" t="b">
        <f>IFERROR(__xludf.DUMMYFUNCTION("""COMPUTED_VALUE"""),FALSE)</f>
        <v>0</v>
      </c>
    </row>
    <row r="4088">
      <c r="A4088" s="210" t="str">
        <f>IFERROR(__xludf.DUMMYFUNCTION("""COMPUTED_VALUE"""),"1261388")</f>
        <v>1261388</v>
      </c>
      <c r="B4088" s="210" t="str">
        <f>IFERROR(__xludf.DUMMYFUNCTION("""COMPUTED_VALUE"""),"1261388")</f>
        <v>1261388</v>
      </c>
      <c r="C4088" s="213">
        <f>IFERROR(__xludf.DUMMYFUNCTION("""COMPUTED_VALUE"""),46091.602638888886)</f>
        <v>46091.60264</v>
      </c>
      <c r="D4088" s="211" t="str">
        <f>IFERROR(__xludf.DUMMYFUNCTION("""COMPUTED_VALUE"""),"b2b5f2c5")</f>
        <v>b2b5f2c5</v>
      </c>
      <c r="E4088" s="211" t="str">
        <f>IFERROR(__xludf.DUMMYFUNCTION("""COMPUTED_VALUE"""),"Bengkel Las Bpk. Ari")</f>
        <v>Bengkel Las Bpk. Ari</v>
      </c>
      <c r="F4088" s="211" t="str">
        <f>IFERROR(__xludf.DUMMYFUNCTION("""COMPUTED_VALUE"""),"ef306e54")</f>
        <v>ef306e54</v>
      </c>
      <c r="G4088" s="211" t="str">
        <f>IFERROR(__xludf.DUMMYFUNCTION("""COMPUTED_VALUE"""),"Karbondioksida")</f>
        <v>Karbondioksida</v>
      </c>
      <c r="H4088" s="211" t="str">
        <f>IFERROR(__xludf.DUMMYFUNCTION("""COMPUTED_VALUE"""),"IN")</f>
        <v>IN</v>
      </c>
      <c r="I4088" s="211" t="str">
        <f>IFERROR(__xludf.DUMMYFUNCTION("""COMPUTED_VALUE"""),"EMPTY")</f>
        <v>EMPTY</v>
      </c>
      <c r="J4088" s="211">
        <f>IFERROR(__xludf.DUMMYFUNCTION("""COMPUTED_VALUE"""),2.0)</f>
        <v>2</v>
      </c>
      <c r="K4088" s="210" t="str">
        <f>IFERROR(__xludf.DUMMYFUNCTION("""COMPUTED_VALUE"""),"13041 13035")</f>
        <v>13041 13035</v>
      </c>
      <c r="L4088" s="211">
        <f>IFERROR(__xludf.DUMMYFUNCTION("""COMPUTED_VALUE"""),0.0)</f>
        <v>0</v>
      </c>
      <c r="M4088" s="211"/>
      <c r="N4088" s="211"/>
      <c r="O4088" s="211" t="b">
        <f>IFERROR(__xludf.DUMMYFUNCTION("""COMPUTED_VALUE"""),FALSE)</f>
        <v>0</v>
      </c>
    </row>
    <row r="4089">
      <c r="A4089" s="210" t="str">
        <f>IFERROR(__xludf.DUMMYFUNCTION("""COMPUTED_VALUE"""),"1261385")</f>
        <v>1261385</v>
      </c>
      <c r="B4089" s="210" t="str">
        <f>IFERROR(__xludf.DUMMYFUNCTION("""COMPUTED_VALUE"""),"1261385")</f>
        <v>1261385</v>
      </c>
      <c r="C4089" s="213">
        <f>IFERROR(__xludf.DUMMYFUNCTION("""COMPUTED_VALUE"""),46091.603414351855)</f>
        <v>46091.60341</v>
      </c>
      <c r="D4089" s="211" t="str">
        <f>IFERROR(__xludf.DUMMYFUNCTION("""COMPUTED_VALUE"""),"98c84274")</f>
        <v>98c84274</v>
      </c>
      <c r="E4089" s="211" t="str">
        <f>IFERROR(__xludf.DUMMYFUNCTION("""COMPUTED_VALUE"""),"Bengkel SBM (Pak Hari)")</f>
        <v>Bengkel SBM (Pak Hari)</v>
      </c>
      <c r="F4089" s="211" t="str">
        <f>IFERROR(__xludf.DUMMYFUNCTION("""COMPUTED_VALUE"""),"8bdbe149")</f>
        <v>8bdbe149</v>
      </c>
      <c r="G4089" s="211" t="str">
        <f>IFERROR(__xludf.DUMMYFUNCTION("""COMPUTED_VALUE"""),"Oksigen 6m3")</f>
        <v>Oksigen 6m3</v>
      </c>
      <c r="H4089" s="211" t="str">
        <f>IFERROR(__xludf.DUMMYFUNCTION("""COMPUTED_VALUE"""),"IN")</f>
        <v>IN</v>
      </c>
      <c r="I4089" s="211" t="str">
        <f>IFERROR(__xludf.DUMMYFUNCTION("""COMPUTED_VALUE"""),"EMPTY")</f>
        <v>EMPTY</v>
      </c>
      <c r="J4089" s="211">
        <f>IFERROR(__xludf.DUMMYFUNCTION("""COMPUTED_VALUE"""),3.0)</f>
        <v>3</v>
      </c>
      <c r="K4089" s="210" t="str">
        <f>IFERROR(__xludf.DUMMYFUNCTION("""COMPUTED_VALUE"""),"11244 11251 1187")</f>
        <v>11244 11251 1187</v>
      </c>
      <c r="L4089" s="211">
        <f>IFERROR(__xludf.DUMMYFUNCTION("""COMPUTED_VALUE"""),0.0)</f>
        <v>0</v>
      </c>
      <c r="M4089" s="211"/>
      <c r="N4089" s="211"/>
      <c r="O4089" s="211" t="b">
        <f>IFERROR(__xludf.DUMMYFUNCTION("""COMPUTED_VALUE"""),FALSE)</f>
        <v>0</v>
      </c>
    </row>
    <row r="4090">
      <c r="A4090" s="210" t="str">
        <f>IFERROR(__xludf.DUMMYFUNCTION("""COMPUTED_VALUE"""),"1261385")</f>
        <v>1261385</v>
      </c>
      <c r="B4090" s="210" t="str">
        <f>IFERROR(__xludf.DUMMYFUNCTION("""COMPUTED_VALUE"""),"1261385")</f>
        <v>1261385</v>
      </c>
      <c r="C4090" s="213">
        <f>IFERROR(__xludf.DUMMYFUNCTION("""COMPUTED_VALUE"""),46091.603414351855)</f>
        <v>46091.60341</v>
      </c>
      <c r="D4090" s="211" t="str">
        <f>IFERROR(__xludf.DUMMYFUNCTION("""COMPUTED_VALUE"""),"98c84274")</f>
        <v>98c84274</v>
      </c>
      <c r="E4090" s="211" t="str">
        <f>IFERROR(__xludf.DUMMYFUNCTION("""COMPUTED_VALUE"""),"Bengkel SBM (Pak Hari)")</f>
        <v>Bengkel SBM (Pak Hari)</v>
      </c>
      <c r="F4090" s="211" t="str">
        <f>IFERROR(__xludf.DUMMYFUNCTION("""COMPUTED_VALUE"""),"ef306e54")</f>
        <v>ef306e54</v>
      </c>
      <c r="G4090" s="211" t="str">
        <f>IFERROR(__xludf.DUMMYFUNCTION("""COMPUTED_VALUE"""),"Karbondioksida")</f>
        <v>Karbondioksida</v>
      </c>
      <c r="H4090" s="211" t="str">
        <f>IFERROR(__xludf.DUMMYFUNCTION("""COMPUTED_VALUE"""),"IN")</f>
        <v>IN</v>
      </c>
      <c r="I4090" s="211" t="str">
        <f>IFERROR(__xludf.DUMMYFUNCTION("""COMPUTED_VALUE"""),"EMPTY")</f>
        <v>EMPTY</v>
      </c>
      <c r="J4090" s="211">
        <f>IFERROR(__xludf.DUMMYFUNCTION("""COMPUTED_VALUE"""),3.0)</f>
        <v>3</v>
      </c>
      <c r="K4090" s="210" t="str">
        <f>IFERROR(__xludf.DUMMYFUNCTION("""COMPUTED_VALUE"""),"13004 13020 13075")</f>
        <v>13004 13020 13075</v>
      </c>
      <c r="L4090" s="211">
        <f>IFERROR(__xludf.DUMMYFUNCTION("""COMPUTED_VALUE"""),0.0)</f>
        <v>0</v>
      </c>
      <c r="M4090" s="211"/>
      <c r="N4090" s="211"/>
      <c r="O4090" s="211" t="b">
        <f>IFERROR(__xludf.DUMMYFUNCTION("""COMPUTED_VALUE"""),FALSE)</f>
        <v>0</v>
      </c>
    </row>
    <row r="4091">
      <c r="A4091" s="210" t="str">
        <f>IFERROR(__xludf.DUMMYFUNCTION("""COMPUTED_VALUE"""),"1261380")</f>
        <v>1261380</v>
      </c>
      <c r="B4091" s="210" t="str">
        <f>IFERROR(__xludf.DUMMYFUNCTION("""COMPUTED_VALUE"""),"1261380")</f>
        <v>1261380</v>
      </c>
      <c r="C4091" s="213">
        <f>IFERROR(__xludf.DUMMYFUNCTION("""COMPUTED_VALUE"""),46091.6340162037)</f>
        <v>46091.63402</v>
      </c>
      <c r="D4091" s="211" t="str">
        <f>IFERROR(__xludf.DUMMYFUNCTION("""COMPUTED_VALUE"""),"9e66ced9")</f>
        <v>9e66ced9</v>
      </c>
      <c r="E4091" s="211" t="str">
        <f>IFERROR(__xludf.DUMMYFUNCTION("""COMPUTED_VALUE"""),"Bapak Angga")</f>
        <v>Bapak Angga</v>
      </c>
      <c r="F4091" s="211" t="str">
        <f>IFERROR(__xludf.DUMMYFUNCTION("""COMPUTED_VALUE"""),"7d2764f1")</f>
        <v>7d2764f1</v>
      </c>
      <c r="G4091" s="211" t="str">
        <f>IFERROR(__xludf.DUMMYFUNCTION("""COMPUTED_VALUE"""),"Oksigen 7m3")</f>
        <v>Oksigen 7m3</v>
      </c>
      <c r="H4091" s="211" t="str">
        <f>IFERROR(__xludf.DUMMYFUNCTION("""COMPUTED_VALUE"""),"IN")</f>
        <v>IN</v>
      </c>
      <c r="I4091" s="211" t="str">
        <f>IFERROR(__xludf.DUMMYFUNCTION("""COMPUTED_VALUE"""),"EMPTY")</f>
        <v>EMPTY</v>
      </c>
      <c r="J4091" s="211">
        <f>IFERROR(__xludf.DUMMYFUNCTION("""COMPUTED_VALUE"""),5.0)</f>
        <v>5</v>
      </c>
      <c r="K4091" s="210" t="str">
        <f>IFERROR(__xludf.DUMMYFUNCTION("""COMPUTED_VALUE"""),"11166 11139 11170 11307 11337")</f>
        <v>11166 11139 11170 11307 11337</v>
      </c>
      <c r="L4091" s="211">
        <f>IFERROR(__xludf.DUMMYFUNCTION("""COMPUTED_VALUE"""),0.0)</f>
        <v>0</v>
      </c>
      <c r="M4091" s="211"/>
      <c r="N4091" s="211"/>
      <c r="O4091" s="211" t="b">
        <f>IFERROR(__xludf.DUMMYFUNCTION("""COMPUTED_VALUE"""),FALSE)</f>
        <v>0</v>
      </c>
    </row>
    <row r="4092">
      <c r="A4092" s="210" t="str">
        <f>IFERROR(__xludf.DUMMYFUNCTION("""COMPUTED_VALUE"""),"1261379")</f>
        <v>1261379</v>
      </c>
      <c r="B4092" s="210" t="str">
        <f>IFERROR(__xludf.DUMMYFUNCTION("""COMPUTED_VALUE"""),"1261379")</f>
        <v>1261379</v>
      </c>
      <c r="C4092" s="213">
        <f>IFERROR(__xludf.DUMMYFUNCTION("""COMPUTED_VALUE"""),46091.63506944444)</f>
        <v>46091.63507</v>
      </c>
      <c r="D4092" s="211" t="str">
        <f>IFERROR(__xludf.DUMMYFUNCTION("""COMPUTED_VALUE"""),"2d88931c")</f>
        <v>2d88931c</v>
      </c>
      <c r="E4092" s="211" t="str">
        <f>IFERROR(__xludf.DUMMYFUNCTION("""COMPUTED_VALUE"""),"PT Dunia Berkat Marga Mulya")</f>
        <v>PT Dunia Berkat Marga Mulya</v>
      </c>
      <c r="F4092" s="211" t="str">
        <f>IFERROR(__xludf.DUMMYFUNCTION("""COMPUTED_VALUE"""),"8bdbe149")</f>
        <v>8bdbe149</v>
      </c>
      <c r="G4092" s="211" t="str">
        <f>IFERROR(__xludf.DUMMYFUNCTION("""COMPUTED_VALUE"""),"Oksigen 6m3")</f>
        <v>Oksigen 6m3</v>
      </c>
      <c r="H4092" s="211" t="str">
        <f>IFERROR(__xludf.DUMMYFUNCTION("""COMPUTED_VALUE"""),"IN")</f>
        <v>IN</v>
      </c>
      <c r="I4092" s="211" t="str">
        <f>IFERROR(__xludf.DUMMYFUNCTION("""COMPUTED_VALUE"""),"EMPTY")</f>
        <v>EMPTY</v>
      </c>
      <c r="J4092" s="211">
        <f>IFERROR(__xludf.DUMMYFUNCTION("""COMPUTED_VALUE"""),2.0)</f>
        <v>2</v>
      </c>
      <c r="K4092" s="210" t="str">
        <f>IFERROR(__xludf.DUMMYFUNCTION("""COMPUTED_VALUE"""),"11380 11382")</f>
        <v>11380 11382</v>
      </c>
      <c r="L4092" s="211">
        <f>IFERROR(__xludf.DUMMYFUNCTION("""COMPUTED_VALUE"""),0.0)</f>
        <v>0</v>
      </c>
      <c r="M4092" s="211"/>
      <c r="N4092" s="211"/>
      <c r="O4092" s="211" t="b">
        <f>IFERROR(__xludf.DUMMYFUNCTION("""COMPUTED_VALUE"""),FALSE)</f>
        <v>0</v>
      </c>
    </row>
    <row r="4093">
      <c r="A4093" s="210" t="str">
        <f>IFERROR(__xludf.DUMMYFUNCTION("""COMPUTED_VALUE"""),"0326182813")</f>
        <v>0326182813</v>
      </c>
      <c r="B4093" s="210" t="str">
        <f>IFERROR(__xludf.DUMMYFUNCTION("""COMPUTED_VALUE"""),"0326182813")</f>
        <v>0326182813</v>
      </c>
      <c r="C4093" s="213">
        <f>IFERROR(__xludf.DUMMYFUNCTION("""COMPUTED_VALUE"""),46092.3809375)</f>
        <v>46092.38094</v>
      </c>
      <c r="D4093" s="211" t="str">
        <f>IFERROR(__xludf.DUMMYFUNCTION("""COMPUTED_VALUE"""),"eec2e801")</f>
        <v>eec2e801</v>
      </c>
      <c r="E4093" s="211" t="str">
        <f>IFERROR(__xludf.DUMMYFUNCTION("""COMPUTED_VALUE"""),"Mitra Wood Sejahtera")</f>
        <v>Mitra Wood Sejahtera</v>
      </c>
      <c r="F4093" s="211" t="str">
        <f>IFERROR(__xludf.DUMMYFUNCTION("""COMPUTED_VALUE"""),"8bdbe149")</f>
        <v>8bdbe149</v>
      </c>
      <c r="G4093" s="211" t="str">
        <f>IFERROR(__xludf.DUMMYFUNCTION("""COMPUTED_VALUE"""),"Oksigen 6m3")</f>
        <v>Oksigen 6m3</v>
      </c>
      <c r="H4093" s="211" t="str">
        <f>IFERROR(__xludf.DUMMYFUNCTION("""COMPUTED_VALUE"""),"OUT")</f>
        <v>OUT</v>
      </c>
      <c r="I4093" s="211" t="str">
        <f>IFERROR(__xludf.DUMMYFUNCTION("""COMPUTED_VALUE"""),"NORMAL")</f>
        <v>NORMAL</v>
      </c>
      <c r="J4093" s="211">
        <f>IFERROR(__xludf.DUMMYFUNCTION("""COMPUTED_VALUE"""),10.0)</f>
        <v>10</v>
      </c>
      <c r="K4093" s="210" t="str">
        <f>IFERROR(__xludf.DUMMYFUNCTION("""COMPUTED_VALUE"""),"11203 1105 11251 11244 1187 1146 11323 1182 11178 11193")</f>
        <v>11203 1105 11251 11244 1187 1146 11323 1182 11178 11193</v>
      </c>
      <c r="L4093" s="211">
        <f>IFERROR(__xludf.DUMMYFUNCTION("""COMPUTED_VALUE"""),55000.0)</f>
        <v>55000</v>
      </c>
      <c r="M4093" s="211"/>
      <c r="N4093" s="211"/>
      <c r="O4093" s="211" t="b">
        <f>IFERROR(__xludf.DUMMYFUNCTION("""COMPUTED_VALUE"""),FALSE)</f>
        <v>0</v>
      </c>
    </row>
    <row r="4094">
      <c r="A4094" s="210" t="str">
        <f>IFERROR(__xludf.DUMMYFUNCTION("""COMPUTED_VALUE"""),"0326122823")</f>
        <v>0326122823</v>
      </c>
      <c r="B4094" s="210" t="str">
        <f>IFERROR(__xludf.DUMMYFUNCTION("""COMPUTED_VALUE"""),"0326122823")</f>
        <v>0326122823</v>
      </c>
      <c r="C4094" s="213">
        <f>IFERROR(__xludf.DUMMYFUNCTION("""COMPUTED_VALUE"""),46092.40855324074)</f>
        <v>46092.40855</v>
      </c>
      <c r="D4094" s="211" t="str">
        <f>IFERROR(__xludf.DUMMYFUNCTION("""COMPUTED_VALUE"""),"9828dfc5")</f>
        <v>9828dfc5</v>
      </c>
      <c r="E4094" s="211" t="str">
        <f>IFERROR(__xludf.DUMMYFUNCTION("""COMPUTED_VALUE"""),"Bpk. David")</f>
        <v>Bpk. David</v>
      </c>
      <c r="F4094" s="211" t="str">
        <f>IFERROR(__xludf.DUMMYFUNCTION("""COMPUTED_VALUE"""),"8bdbe149")</f>
        <v>8bdbe149</v>
      </c>
      <c r="G4094" s="211" t="str">
        <f>IFERROR(__xludf.DUMMYFUNCTION("""COMPUTED_VALUE"""),"Oksigen 6m3")</f>
        <v>Oksigen 6m3</v>
      </c>
      <c r="H4094" s="211" t="str">
        <f>IFERROR(__xludf.DUMMYFUNCTION("""COMPUTED_VALUE"""),"OUT")</f>
        <v>OUT</v>
      </c>
      <c r="I4094" s="211" t="str">
        <f>IFERROR(__xludf.DUMMYFUNCTION("""COMPUTED_VALUE"""),"NORMAL")</f>
        <v>NORMAL</v>
      </c>
      <c r="J4094" s="211">
        <f>IFERROR(__xludf.DUMMYFUNCTION("""COMPUTED_VALUE"""),6.0)</f>
        <v>6</v>
      </c>
      <c r="K4094" s="210" t="str">
        <f>IFERROR(__xludf.DUMMYFUNCTION("""COMPUTED_VALUE"""),"1116 11380 11382 11239 11129 11117")</f>
        <v>1116 11380 11382 11239 11129 11117</v>
      </c>
      <c r="L4094" s="211">
        <f>IFERROR(__xludf.DUMMYFUNCTION("""COMPUTED_VALUE"""),60000.0)</f>
        <v>60000</v>
      </c>
      <c r="M4094" s="211"/>
      <c r="N4094" s="211"/>
      <c r="O4094" s="211" t="b">
        <f>IFERROR(__xludf.DUMMYFUNCTION("""COMPUTED_VALUE"""),FALSE)</f>
        <v>0</v>
      </c>
    </row>
    <row r="4095">
      <c r="A4095" s="210" t="str">
        <f>IFERROR(__xludf.DUMMYFUNCTION("""COMPUTED_VALUE"""),"0326122823")</f>
        <v>0326122823</v>
      </c>
      <c r="B4095" s="210" t="str">
        <f>IFERROR(__xludf.DUMMYFUNCTION("""COMPUTED_VALUE"""),"0326122823")</f>
        <v>0326122823</v>
      </c>
      <c r="C4095" s="213">
        <f>IFERROR(__xludf.DUMMYFUNCTION("""COMPUTED_VALUE"""),46092.40855324074)</f>
        <v>46092.40855</v>
      </c>
      <c r="D4095" s="211" t="str">
        <f>IFERROR(__xludf.DUMMYFUNCTION("""COMPUTED_VALUE"""),"9828dfc5")</f>
        <v>9828dfc5</v>
      </c>
      <c r="E4095" s="211" t="str">
        <f>IFERROR(__xludf.DUMMYFUNCTION("""COMPUTED_VALUE"""),"Bpk. David")</f>
        <v>Bpk. David</v>
      </c>
      <c r="F4095" s="211" t="str">
        <f>IFERROR(__xludf.DUMMYFUNCTION("""COMPUTED_VALUE"""),"7d2764f1")</f>
        <v>7d2764f1</v>
      </c>
      <c r="G4095" s="211" t="str">
        <f>IFERROR(__xludf.DUMMYFUNCTION("""COMPUTED_VALUE"""),"Oksigen 7m3")</f>
        <v>Oksigen 7m3</v>
      </c>
      <c r="H4095" s="211" t="str">
        <f>IFERROR(__xludf.DUMMYFUNCTION("""COMPUTED_VALUE"""),"OUT")</f>
        <v>OUT</v>
      </c>
      <c r="I4095" s="211" t="str">
        <f>IFERROR(__xludf.DUMMYFUNCTION("""COMPUTED_VALUE"""),"NORMAL")</f>
        <v>NORMAL</v>
      </c>
      <c r="J4095" s="211">
        <f>IFERROR(__xludf.DUMMYFUNCTION("""COMPUTED_VALUE"""),14.0)</f>
        <v>14</v>
      </c>
      <c r="K4095" s="210" t="str">
        <f>IFERROR(__xludf.DUMMYFUNCTION("""COMPUTED_VALUE"""),"11301 11337 11307 11139 11166 11170 11221 11305 11136 11313 11219 11342 11386 11387")</f>
        <v>11301 11337 11307 11139 11166 11170 11221 11305 11136 11313 11219 11342 11386 11387</v>
      </c>
      <c r="L4095" s="211">
        <f>IFERROR(__xludf.DUMMYFUNCTION("""COMPUTED_VALUE"""),60000.0)</f>
        <v>60000</v>
      </c>
      <c r="M4095" s="211"/>
      <c r="N4095" s="211"/>
      <c r="O4095" s="211" t="b">
        <f>IFERROR(__xludf.DUMMYFUNCTION("""COMPUTED_VALUE"""),FALSE)</f>
        <v>0</v>
      </c>
    </row>
    <row r="4096">
      <c r="A4096" s="210" t="str">
        <f>IFERROR(__xludf.DUMMYFUNCTION("""COMPUTED_VALUE"""),"1261391")</f>
        <v>1261391</v>
      </c>
      <c r="B4096" s="210" t="str">
        <f>IFERROR(__xludf.DUMMYFUNCTION("""COMPUTED_VALUE"""),"1261391")</f>
        <v>1261391</v>
      </c>
      <c r="C4096" s="213">
        <f>IFERROR(__xludf.DUMMYFUNCTION("""COMPUTED_VALUE"""),46092.5621875)</f>
        <v>46092.56219</v>
      </c>
      <c r="D4096" s="211" t="str">
        <f>IFERROR(__xludf.DUMMYFUNCTION("""COMPUTED_VALUE"""),"9828dfc5")</f>
        <v>9828dfc5</v>
      </c>
      <c r="E4096" s="211" t="str">
        <f>IFERROR(__xludf.DUMMYFUNCTION("""COMPUTED_VALUE"""),"Bpk. David")</f>
        <v>Bpk. David</v>
      </c>
      <c r="F4096" s="211" t="str">
        <f>IFERROR(__xludf.DUMMYFUNCTION("""COMPUTED_VALUE"""),"8bdbe149")</f>
        <v>8bdbe149</v>
      </c>
      <c r="G4096" s="211" t="str">
        <f>IFERROR(__xludf.DUMMYFUNCTION("""COMPUTED_VALUE"""),"Oksigen 6m3")</f>
        <v>Oksigen 6m3</v>
      </c>
      <c r="H4096" s="211" t="str">
        <f>IFERROR(__xludf.DUMMYFUNCTION("""COMPUTED_VALUE"""),"IN")</f>
        <v>IN</v>
      </c>
      <c r="I4096" s="211" t="str">
        <f>IFERROR(__xludf.DUMMYFUNCTION("""COMPUTED_VALUE"""),"EMPTY")</f>
        <v>EMPTY</v>
      </c>
      <c r="J4096" s="211">
        <f>IFERROR(__xludf.DUMMYFUNCTION("""COMPUTED_VALUE"""),4.0)</f>
        <v>4</v>
      </c>
      <c r="K4096" s="210" t="str">
        <f>IFERROR(__xludf.DUMMYFUNCTION("""COMPUTED_VALUE"""),"1127 11327 11264 11295")</f>
        <v>1127 11327 11264 11295</v>
      </c>
      <c r="L4096" s="211">
        <f>IFERROR(__xludf.DUMMYFUNCTION("""COMPUTED_VALUE"""),0.0)</f>
        <v>0</v>
      </c>
      <c r="M4096" s="211"/>
      <c r="N4096" s="211"/>
      <c r="O4096" s="211" t="b">
        <f>IFERROR(__xludf.DUMMYFUNCTION("""COMPUTED_VALUE"""),FALSE)</f>
        <v>0</v>
      </c>
    </row>
    <row r="4097">
      <c r="A4097" s="210" t="str">
        <f>IFERROR(__xludf.DUMMYFUNCTION("""COMPUTED_VALUE"""),"4032612766")</f>
        <v>4032612766</v>
      </c>
      <c r="B4097" s="210" t="str">
        <f>IFERROR(__xludf.DUMMYFUNCTION("""COMPUTED_VALUE"""),"4032612766")</f>
        <v>4032612766</v>
      </c>
      <c r="C4097" s="213">
        <f>IFERROR(__xludf.DUMMYFUNCTION("""COMPUTED_VALUE"""),46093.69027777778)</f>
        <v>46093.69028</v>
      </c>
      <c r="D4097" s="211" t="str">
        <f>IFERROR(__xludf.DUMMYFUNCTION("""COMPUTED_VALUE"""),"8ec7a1d6")</f>
        <v>8ec7a1d6</v>
      </c>
      <c r="E4097" s="211" t="str">
        <f>IFERROR(__xludf.DUMMYFUNCTION("""COMPUTED_VALUE"""),"CV Bumi Anugerah Sentosa")</f>
        <v>CV Bumi Anugerah Sentosa</v>
      </c>
      <c r="F4097" s="211" t="str">
        <f>IFERROR(__xludf.DUMMYFUNCTION("""COMPUTED_VALUE"""),"3b9d6a30")</f>
        <v>3b9d6a30</v>
      </c>
      <c r="G4097" s="211" t="str">
        <f>IFERROR(__xludf.DUMMYFUNCTION("""COMPUTED_VALUE"""),"Acetyline")</f>
        <v>Acetyline</v>
      </c>
      <c r="H4097" s="211" t="str">
        <f>IFERROR(__xludf.DUMMYFUNCTION("""COMPUTED_VALUE"""),"OTHER")</f>
        <v>OTHER</v>
      </c>
      <c r="I4097" s="211" t="str">
        <f>IFERROR(__xludf.DUMMYFUNCTION("""COMPUTED_VALUE"""),"RETUR EQUIPMENT")</f>
        <v>RETUR EQUIPMENT</v>
      </c>
      <c r="J4097" s="211">
        <f>IFERROR(__xludf.DUMMYFUNCTION("""COMPUTED_VALUE"""),2.0)</f>
        <v>2</v>
      </c>
      <c r="K4097" s="210" t="str">
        <f>IFERROR(__xludf.DUMMYFUNCTION("""COMPUTED_VALUE"""),"7814 7956")</f>
        <v>7814 7956</v>
      </c>
      <c r="L4097" s="211">
        <f>IFERROR(__xludf.DUMMYFUNCTION("""COMPUTED_VALUE"""),0.0)</f>
        <v>0</v>
      </c>
      <c r="M4097" s="211"/>
      <c r="N4097" s="211"/>
      <c r="O4097" s="211" t="b">
        <f>IFERROR(__xludf.DUMMYFUNCTION("""COMPUTED_VALUE"""),TRUE)</f>
        <v>1</v>
      </c>
    </row>
    <row r="4098">
      <c r="A4098" s="210" t="str">
        <f>IFERROR(__xludf.DUMMYFUNCTION("""COMPUTED_VALUE"""),"1261389")</f>
        <v>1261389</v>
      </c>
      <c r="B4098" s="210" t="str">
        <f>IFERROR(__xludf.DUMMYFUNCTION("""COMPUTED_VALUE"""),"1261389")</f>
        <v>1261389</v>
      </c>
      <c r="C4098" s="213">
        <f>IFERROR(__xludf.DUMMYFUNCTION("""COMPUTED_VALUE"""),46092.62332175926)</f>
        <v>46092.62332</v>
      </c>
      <c r="D4098" s="211" t="str">
        <f>IFERROR(__xludf.DUMMYFUNCTION("""COMPUTED_VALUE"""),"f49860e4")</f>
        <v>f49860e4</v>
      </c>
      <c r="E4098" s="211" t="str">
        <f>IFERROR(__xludf.DUMMYFUNCTION("""COMPUTED_VALUE"""),"Mas Nur ( Jetis )")</f>
        <v>Mas Nur ( Jetis )</v>
      </c>
      <c r="F4098" s="211" t="str">
        <f>IFERROR(__xludf.DUMMYFUNCTION("""COMPUTED_VALUE"""),"8bdbe149")</f>
        <v>8bdbe149</v>
      </c>
      <c r="G4098" s="211" t="str">
        <f>IFERROR(__xludf.DUMMYFUNCTION("""COMPUTED_VALUE"""),"Oksigen 6m3")</f>
        <v>Oksigen 6m3</v>
      </c>
      <c r="H4098" s="211" t="str">
        <f>IFERROR(__xludf.DUMMYFUNCTION("""COMPUTED_VALUE"""),"IN")</f>
        <v>IN</v>
      </c>
      <c r="I4098" s="211" t="str">
        <f>IFERROR(__xludf.DUMMYFUNCTION("""COMPUTED_VALUE"""),"EMPTY")</f>
        <v>EMPTY</v>
      </c>
      <c r="J4098" s="211">
        <f>IFERROR(__xludf.DUMMYFUNCTION("""COMPUTED_VALUE"""),2.0)</f>
        <v>2</v>
      </c>
      <c r="K4098" s="210" t="str">
        <f>IFERROR(__xludf.DUMMYFUNCTION("""COMPUTED_VALUE"""),"11232 1171")</f>
        <v>11232 1171</v>
      </c>
      <c r="L4098" s="211">
        <f>IFERROR(__xludf.DUMMYFUNCTION("""COMPUTED_VALUE"""),0.0)</f>
        <v>0</v>
      </c>
      <c r="M4098" s="211"/>
      <c r="N4098" s="211"/>
      <c r="O4098" s="211" t="b">
        <f>IFERROR(__xludf.DUMMYFUNCTION("""COMPUTED_VALUE"""),FALSE)</f>
        <v>0</v>
      </c>
    </row>
    <row r="4099">
      <c r="A4099" s="210" t="str">
        <f>IFERROR(__xludf.DUMMYFUNCTION("""COMPUTED_VALUE"""),"1261392")</f>
        <v>1261392</v>
      </c>
      <c r="B4099" s="210" t="str">
        <f>IFERROR(__xludf.DUMMYFUNCTION("""COMPUTED_VALUE"""),"1261392")</f>
        <v>1261392</v>
      </c>
      <c r="C4099" s="213">
        <f>IFERROR(__xludf.DUMMYFUNCTION("""COMPUTED_VALUE"""),46092.623773148145)</f>
        <v>46092.62377</v>
      </c>
      <c r="D4099" s="211" t="str">
        <f>IFERROR(__xludf.DUMMYFUNCTION("""COMPUTED_VALUE"""),"01158be1")</f>
        <v>01158be1</v>
      </c>
      <c r="E4099" s="211" t="str">
        <f>IFERROR(__xludf.DUMMYFUNCTION("""COMPUTED_VALUE"""),"GYF")</f>
        <v>GYF</v>
      </c>
      <c r="F4099" s="211" t="str">
        <f>IFERROR(__xludf.DUMMYFUNCTION("""COMPUTED_VALUE"""),"8bdbe149")</f>
        <v>8bdbe149</v>
      </c>
      <c r="G4099" s="211" t="str">
        <f>IFERROR(__xludf.DUMMYFUNCTION("""COMPUTED_VALUE"""),"Oksigen 6m3")</f>
        <v>Oksigen 6m3</v>
      </c>
      <c r="H4099" s="211" t="str">
        <f>IFERROR(__xludf.DUMMYFUNCTION("""COMPUTED_VALUE"""),"IN")</f>
        <v>IN</v>
      </c>
      <c r="I4099" s="211" t="str">
        <f>IFERROR(__xludf.DUMMYFUNCTION("""COMPUTED_VALUE"""),"EMPTY")</f>
        <v>EMPTY</v>
      </c>
      <c r="J4099" s="211">
        <f>IFERROR(__xludf.DUMMYFUNCTION("""COMPUTED_VALUE"""),5.0)</f>
        <v>5</v>
      </c>
      <c r="K4099" s="210" t="str">
        <f>IFERROR(__xludf.DUMMYFUNCTION("""COMPUTED_VALUE"""),"1168 11350 1158 1113 11238")</f>
        <v>1168 11350 1158 1113 11238</v>
      </c>
      <c r="L4099" s="211">
        <f>IFERROR(__xludf.DUMMYFUNCTION("""COMPUTED_VALUE"""),0.0)</f>
        <v>0</v>
      </c>
      <c r="M4099" s="211"/>
      <c r="N4099" s="211"/>
      <c r="O4099" s="211" t="b">
        <f>IFERROR(__xludf.DUMMYFUNCTION("""COMPUTED_VALUE"""),FALSE)</f>
        <v>0</v>
      </c>
    </row>
    <row r="4100">
      <c r="A4100" s="211"/>
      <c r="B4100" s="211"/>
      <c r="C4100" s="211"/>
      <c r="D4100" s="211"/>
      <c r="E4100" s="211"/>
      <c r="F4100" s="211"/>
      <c r="G4100" s="211"/>
      <c r="H4100" s="211"/>
      <c r="I4100" s="211"/>
      <c r="J4100" s="211"/>
      <c r="K4100" s="211"/>
      <c r="L4100" s="211"/>
      <c r="M4100" s="211"/>
      <c r="N4100" s="211"/>
      <c r="O4100" s="211"/>
    </row>
    <row r="4101">
      <c r="A4101" s="211"/>
      <c r="B4101" s="211"/>
      <c r="C4101" s="211"/>
      <c r="D4101" s="211"/>
      <c r="E4101" s="211"/>
      <c r="F4101" s="211"/>
      <c r="G4101" s="211"/>
      <c r="H4101" s="211"/>
      <c r="I4101" s="211"/>
      <c r="J4101" s="211"/>
      <c r="K4101" s="211"/>
      <c r="L4101" s="211"/>
      <c r="M4101" s="211"/>
      <c r="N4101" s="211"/>
      <c r="O4101" s="211"/>
    </row>
    <row r="4102">
      <c r="A4102" s="210" t="str">
        <f>IFERROR(__xludf.DUMMYFUNCTION("""COMPUTED_VALUE"""),"0326222824")</f>
        <v>0326222824</v>
      </c>
      <c r="B4102" s="210" t="str">
        <f>IFERROR(__xludf.DUMMYFUNCTION("""COMPUTED_VALUE"""),"0326222824")</f>
        <v>0326222824</v>
      </c>
      <c r="C4102" s="213">
        <f>IFERROR(__xludf.DUMMYFUNCTION("""COMPUTED_VALUE"""),46092.632372685184)</f>
        <v>46092.63237</v>
      </c>
      <c r="D4102" s="211" t="str">
        <f>IFERROR(__xludf.DUMMYFUNCTION("""COMPUTED_VALUE"""),"b218b89b")</f>
        <v>b218b89b</v>
      </c>
      <c r="E4102" s="211" t="str">
        <f>IFERROR(__xludf.DUMMYFUNCTION("""COMPUTED_VALUE"""),"PT Harapan Sentosa")</f>
        <v>PT Harapan Sentosa</v>
      </c>
      <c r="F4102" s="211" t="str">
        <f>IFERROR(__xludf.DUMMYFUNCTION("""COMPUTED_VALUE"""),"8bdbe149")</f>
        <v>8bdbe149</v>
      </c>
      <c r="G4102" s="211" t="str">
        <f>IFERROR(__xludf.DUMMYFUNCTION("""COMPUTED_VALUE"""),"Oksigen 6m3")</f>
        <v>Oksigen 6m3</v>
      </c>
      <c r="H4102" s="211" t="str">
        <f>IFERROR(__xludf.DUMMYFUNCTION("""COMPUTED_VALUE"""),"OUT")</f>
        <v>OUT</v>
      </c>
      <c r="I4102" s="211" t="str">
        <f>IFERROR(__xludf.DUMMYFUNCTION("""COMPUTED_VALUE"""),"NORMAL")</f>
        <v>NORMAL</v>
      </c>
      <c r="J4102" s="211">
        <f>IFERROR(__xludf.DUMMYFUNCTION("""COMPUTED_VALUE"""),16.0)</f>
        <v>16</v>
      </c>
      <c r="K4102" s="210" t="str">
        <f>IFERROR(__xludf.DUMMYFUNCTION("""COMPUTED_VALUE"""),"11295 11264 1113 11350 11205 11232 11238 1171 1168 11237 11327 11180 1158 11196 11280 1127")</f>
        <v>11295 11264 1113 11350 11205 11232 11238 1171 1168 11237 11327 11180 1158 11196 11280 1127</v>
      </c>
      <c r="L4102" s="211">
        <f>IFERROR(__xludf.DUMMYFUNCTION("""COMPUTED_VALUE"""),60000.0)</f>
        <v>60000</v>
      </c>
      <c r="M4102" s="211"/>
      <c r="N4102" s="211"/>
      <c r="O4102" s="211" t="b">
        <f>IFERROR(__xludf.DUMMYFUNCTION("""COMPUTED_VALUE"""),FALSE)</f>
        <v>0</v>
      </c>
    </row>
    <row r="4103">
      <c r="A4103" s="210" t="str">
        <f>IFERROR(__xludf.DUMMYFUNCTION("""COMPUTED_VALUE"""),"0326222824")</f>
        <v>0326222824</v>
      </c>
      <c r="B4103" s="210" t="str">
        <f>IFERROR(__xludf.DUMMYFUNCTION("""COMPUTED_VALUE"""),"0326222824")</f>
        <v>0326222824</v>
      </c>
      <c r="C4103" s="213">
        <f>IFERROR(__xludf.DUMMYFUNCTION("""COMPUTED_VALUE"""),46092.632372685184)</f>
        <v>46092.63237</v>
      </c>
      <c r="D4103" s="211" t="str">
        <f>IFERROR(__xludf.DUMMYFUNCTION("""COMPUTED_VALUE"""),"b218b89b")</f>
        <v>b218b89b</v>
      </c>
      <c r="E4103" s="211" t="str">
        <f>IFERROR(__xludf.DUMMYFUNCTION("""COMPUTED_VALUE"""),"PT Harapan Sentosa")</f>
        <v>PT Harapan Sentosa</v>
      </c>
      <c r="F4103" s="211" t="str">
        <f>IFERROR(__xludf.DUMMYFUNCTION("""COMPUTED_VALUE"""),"7d2764f1")</f>
        <v>7d2764f1</v>
      </c>
      <c r="G4103" s="211" t="str">
        <f>IFERROR(__xludf.DUMMYFUNCTION("""COMPUTED_VALUE"""),"Oksigen 7m3")</f>
        <v>Oksigen 7m3</v>
      </c>
      <c r="H4103" s="211" t="str">
        <f>IFERROR(__xludf.DUMMYFUNCTION("""COMPUTED_VALUE"""),"OUT")</f>
        <v>OUT</v>
      </c>
      <c r="I4103" s="211" t="str">
        <f>IFERROR(__xludf.DUMMYFUNCTION("""COMPUTED_VALUE"""),"NORMAL")</f>
        <v>NORMAL</v>
      </c>
      <c r="J4103" s="211">
        <f>IFERROR(__xludf.DUMMYFUNCTION("""COMPUTED_VALUE"""),4.0)</f>
        <v>4</v>
      </c>
      <c r="K4103" s="210" t="str">
        <f>IFERROR(__xludf.DUMMYFUNCTION("""COMPUTED_VALUE"""),"11331 11306 11392 11391")</f>
        <v>11331 11306 11392 11391</v>
      </c>
      <c r="L4103" s="211">
        <f>IFERROR(__xludf.DUMMYFUNCTION("""COMPUTED_VALUE"""),70000.0)</f>
        <v>70000</v>
      </c>
      <c r="M4103" s="211"/>
      <c r="N4103" s="211"/>
      <c r="O4103" s="211" t="b">
        <f>IFERROR(__xludf.DUMMYFUNCTION("""COMPUTED_VALUE"""),FALSE)</f>
        <v>0</v>
      </c>
    </row>
    <row r="4104">
      <c r="A4104" s="210" t="str">
        <f>IFERROR(__xludf.DUMMYFUNCTION("""COMPUTED_VALUE"""),"032622826")</f>
        <v>032622826</v>
      </c>
      <c r="B4104" s="210" t="str">
        <f>IFERROR(__xludf.DUMMYFUNCTION("""COMPUTED_VALUE"""),"032622826")</f>
        <v>032622826</v>
      </c>
      <c r="C4104" s="213">
        <f>IFERROR(__xludf.DUMMYFUNCTION("""COMPUTED_VALUE"""),46092.63710648148)</f>
        <v>46092.63711</v>
      </c>
      <c r="D4104" s="211" t="str">
        <f>IFERROR(__xludf.DUMMYFUNCTION("""COMPUTED_VALUE"""),"96254089")</f>
        <v>96254089</v>
      </c>
      <c r="E4104" s="211" t="str">
        <f>IFERROR(__xludf.DUMMYFUNCTION("""COMPUTED_VALUE"""),"Soni Baja")</f>
        <v>Soni Baja</v>
      </c>
      <c r="F4104" s="211" t="str">
        <f>IFERROR(__xludf.DUMMYFUNCTION("""COMPUTED_VALUE"""),"f6aab7a9")</f>
        <v>f6aab7a9</v>
      </c>
      <c r="G4104" s="211" t="str">
        <f>IFERROR(__xludf.DUMMYFUNCTION("""COMPUTED_VALUE"""),"Oksigen 6m3 MR")</f>
        <v>Oksigen 6m3 MR</v>
      </c>
      <c r="H4104" s="211" t="str">
        <f>IFERROR(__xludf.DUMMYFUNCTION("""COMPUTED_VALUE"""),"OUT")</f>
        <v>OUT</v>
      </c>
      <c r="I4104" s="211" t="str">
        <f>IFERROR(__xludf.DUMMYFUNCTION("""COMPUTED_VALUE"""),"NORMAL")</f>
        <v>NORMAL</v>
      </c>
      <c r="J4104" s="211">
        <f>IFERROR(__xludf.DUMMYFUNCTION("""COMPUTED_VALUE"""),1.0)</f>
        <v>1</v>
      </c>
      <c r="K4104" s="211"/>
      <c r="L4104" s="211">
        <f>IFERROR(__xludf.DUMMYFUNCTION("""COMPUTED_VALUE"""),70000.0)</f>
        <v>70000</v>
      </c>
      <c r="M4104" s="211"/>
      <c r="N4104" s="211"/>
      <c r="O4104" s="211" t="b">
        <f>IFERROR(__xludf.DUMMYFUNCTION("""COMPUTED_VALUE"""),FALSE)</f>
        <v>0</v>
      </c>
    </row>
    <row r="4105">
      <c r="A4105" s="210" t="str">
        <f>IFERROR(__xludf.DUMMYFUNCTION("""COMPUTED_VALUE"""),"1261402")</f>
        <v>1261402</v>
      </c>
      <c r="B4105" s="210" t="str">
        <f>IFERROR(__xludf.DUMMYFUNCTION("""COMPUTED_VALUE"""),"1261402")</f>
        <v>1261402</v>
      </c>
      <c r="C4105" s="213">
        <f>IFERROR(__xludf.DUMMYFUNCTION("""COMPUTED_VALUE"""),46092.65185185185)</f>
        <v>46092.65185</v>
      </c>
      <c r="D4105" s="211" t="str">
        <f>IFERROR(__xludf.DUMMYFUNCTION("""COMPUTED_VALUE"""),"8ea74d81")</f>
        <v>8ea74d81</v>
      </c>
      <c r="E4105" s="211" t="str">
        <f>IFERROR(__xludf.DUMMYFUNCTION("""COMPUTED_VALUE"""),"Bengkel Adi Putra")</f>
        <v>Bengkel Adi Putra</v>
      </c>
      <c r="F4105" s="211" t="str">
        <f>IFERROR(__xludf.DUMMYFUNCTION("""COMPUTED_VALUE"""),"3b9d6a30")</f>
        <v>3b9d6a30</v>
      </c>
      <c r="G4105" s="211" t="str">
        <f>IFERROR(__xludf.DUMMYFUNCTION("""COMPUTED_VALUE"""),"Acetyline")</f>
        <v>Acetyline</v>
      </c>
      <c r="H4105" s="211" t="str">
        <f>IFERROR(__xludf.DUMMYFUNCTION("""COMPUTED_VALUE"""),"IN")</f>
        <v>IN</v>
      </c>
      <c r="I4105" s="211" t="str">
        <f>IFERROR(__xludf.DUMMYFUNCTION("""COMPUTED_VALUE"""),"EMPTY")</f>
        <v>EMPTY</v>
      </c>
      <c r="J4105" s="211">
        <f>IFERROR(__xludf.DUMMYFUNCTION("""COMPUTED_VALUE"""),1.0)</f>
        <v>1</v>
      </c>
      <c r="K4105" s="211"/>
      <c r="L4105" s="211">
        <f>IFERROR(__xludf.DUMMYFUNCTION("""COMPUTED_VALUE"""),0.0)</f>
        <v>0</v>
      </c>
      <c r="M4105" s="211"/>
      <c r="N4105" s="211"/>
      <c r="O4105" s="211" t="b">
        <f>IFERROR(__xludf.DUMMYFUNCTION("""COMPUTED_VALUE"""),FALSE)</f>
        <v>0</v>
      </c>
    </row>
    <row r="4106">
      <c r="A4106" s="210" t="str">
        <f>IFERROR(__xludf.DUMMYFUNCTION("""COMPUTED_VALUE"""),"1261401")</f>
        <v>1261401</v>
      </c>
      <c r="B4106" s="210" t="str">
        <f>IFERROR(__xludf.DUMMYFUNCTION("""COMPUTED_VALUE"""),"1261401")</f>
        <v>1261401</v>
      </c>
      <c r="C4106" s="213">
        <f>IFERROR(__xludf.DUMMYFUNCTION("""COMPUTED_VALUE"""),46092.6574537037)</f>
        <v>46092.65745</v>
      </c>
      <c r="D4106" s="211" t="str">
        <f>IFERROR(__xludf.DUMMYFUNCTION("""COMPUTED_VALUE"""),"8f5ebaea")</f>
        <v>8f5ebaea</v>
      </c>
      <c r="E4106" s="211" t="str">
        <f>IFERROR(__xludf.DUMMYFUNCTION("""COMPUTED_VALUE"""),"PT Hua Zong Mesindo")</f>
        <v>PT Hua Zong Mesindo</v>
      </c>
      <c r="F4106" s="211" t="str">
        <f>IFERROR(__xludf.DUMMYFUNCTION("""COMPUTED_VALUE"""),"8bdbe149")</f>
        <v>8bdbe149</v>
      </c>
      <c r="G4106" s="211" t="str">
        <f>IFERROR(__xludf.DUMMYFUNCTION("""COMPUTED_VALUE"""),"Oksigen 6m3")</f>
        <v>Oksigen 6m3</v>
      </c>
      <c r="H4106" s="211" t="str">
        <f>IFERROR(__xludf.DUMMYFUNCTION("""COMPUTED_VALUE"""),"IN")</f>
        <v>IN</v>
      </c>
      <c r="I4106" s="211" t="str">
        <f>IFERROR(__xludf.DUMMYFUNCTION("""COMPUTED_VALUE"""),"EMPTY")</f>
        <v>EMPTY</v>
      </c>
      <c r="J4106" s="211">
        <f>IFERROR(__xludf.DUMMYFUNCTION("""COMPUTED_VALUE"""),1.0)</f>
        <v>1</v>
      </c>
      <c r="K4106" s="210" t="str">
        <f>IFERROR(__xludf.DUMMYFUNCTION("""COMPUTED_VALUE"""),"11346")</f>
        <v>11346</v>
      </c>
      <c r="L4106" s="211">
        <f>IFERROR(__xludf.DUMMYFUNCTION("""COMPUTED_VALUE"""),0.0)</f>
        <v>0</v>
      </c>
      <c r="M4106" s="211"/>
      <c r="N4106" s="211"/>
      <c r="O4106" s="211" t="b">
        <f>IFERROR(__xludf.DUMMYFUNCTION("""COMPUTED_VALUE"""),FALSE)</f>
        <v>0</v>
      </c>
    </row>
    <row r="4107">
      <c r="A4107" s="210" t="str">
        <f>IFERROR(__xludf.DUMMYFUNCTION("""COMPUTED_VALUE"""),"1261401")</f>
        <v>1261401</v>
      </c>
      <c r="B4107" s="210" t="str">
        <f>IFERROR(__xludf.DUMMYFUNCTION("""COMPUTED_VALUE"""),"1261401")</f>
        <v>1261401</v>
      </c>
      <c r="C4107" s="213">
        <f>IFERROR(__xludf.DUMMYFUNCTION("""COMPUTED_VALUE"""),46092.6574537037)</f>
        <v>46092.65745</v>
      </c>
      <c r="D4107" s="211" t="str">
        <f>IFERROR(__xludf.DUMMYFUNCTION("""COMPUTED_VALUE"""),"8f5ebaea")</f>
        <v>8f5ebaea</v>
      </c>
      <c r="E4107" s="211" t="str">
        <f>IFERROR(__xludf.DUMMYFUNCTION("""COMPUTED_VALUE"""),"PT Hua Zong Mesindo")</f>
        <v>PT Hua Zong Mesindo</v>
      </c>
      <c r="F4107" s="211" t="str">
        <f>IFERROR(__xludf.DUMMYFUNCTION("""COMPUTED_VALUE"""),"66af7c72")</f>
        <v>66af7c72</v>
      </c>
      <c r="G4107" s="211" t="str">
        <f>IFERROR(__xludf.DUMMYFUNCTION("""COMPUTED_VALUE"""),"Argon 6m3")</f>
        <v>Argon 6m3</v>
      </c>
      <c r="H4107" s="211" t="str">
        <f>IFERROR(__xludf.DUMMYFUNCTION("""COMPUTED_VALUE"""),"IN")</f>
        <v>IN</v>
      </c>
      <c r="I4107" s="211" t="str">
        <f>IFERROR(__xludf.DUMMYFUNCTION("""COMPUTED_VALUE"""),"EMPTY")</f>
        <v>EMPTY</v>
      </c>
      <c r="J4107" s="211">
        <f>IFERROR(__xludf.DUMMYFUNCTION("""COMPUTED_VALUE"""),2.0)</f>
        <v>2</v>
      </c>
      <c r="K4107" s="210" t="str">
        <f>IFERROR(__xludf.DUMMYFUNCTION("""COMPUTED_VALUE"""),"12028 12033")</f>
        <v>12028 12033</v>
      </c>
      <c r="L4107" s="211">
        <f>IFERROR(__xludf.DUMMYFUNCTION("""COMPUTED_VALUE"""),0.0)</f>
        <v>0</v>
      </c>
      <c r="M4107" s="211"/>
      <c r="N4107" s="211"/>
      <c r="O4107" s="211" t="b">
        <f>IFERROR(__xludf.DUMMYFUNCTION("""COMPUTED_VALUE"""),FALSE)</f>
        <v>0</v>
      </c>
    </row>
    <row r="4108">
      <c r="A4108" s="210" t="str">
        <f>IFERROR(__xludf.DUMMYFUNCTION("""COMPUTED_VALUE"""),"12061390")</f>
        <v>12061390</v>
      </c>
      <c r="B4108" s="210" t="str">
        <f>IFERROR(__xludf.DUMMYFUNCTION("""COMPUTED_VALUE"""),"12061390")</f>
        <v>12061390</v>
      </c>
      <c r="C4108" s="213">
        <f>IFERROR(__xludf.DUMMYFUNCTION("""COMPUTED_VALUE"""),46092.623078703706)</f>
        <v>46092.62308</v>
      </c>
      <c r="D4108" s="211" t="str">
        <f>IFERROR(__xludf.DUMMYFUNCTION("""COMPUTED_VALUE"""),"eec2e801")</f>
        <v>eec2e801</v>
      </c>
      <c r="E4108" s="211" t="str">
        <f>IFERROR(__xludf.DUMMYFUNCTION("""COMPUTED_VALUE"""),"Mitra Wood Sejahtera")</f>
        <v>Mitra Wood Sejahtera</v>
      </c>
      <c r="F4108" s="211" t="str">
        <f>IFERROR(__xludf.DUMMYFUNCTION("""COMPUTED_VALUE"""),"8bdbe149")</f>
        <v>8bdbe149</v>
      </c>
      <c r="G4108" s="211" t="str">
        <f>IFERROR(__xludf.DUMMYFUNCTION("""COMPUTED_VALUE"""),"Oksigen 6m3")</f>
        <v>Oksigen 6m3</v>
      </c>
      <c r="H4108" s="211" t="str">
        <f>IFERROR(__xludf.DUMMYFUNCTION("""COMPUTED_VALUE"""),"IN")</f>
        <v>IN</v>
      </c>
      <c r="I4108" s="211" t="str">
        <f>IFERROR(__xludf.DUMMYFUNCTION("""COMPUTED_VALUE"""),"EMPTY")</f>
        <v>EMPTY</v>
      </c>
      <c r="J4108" s="211">
        <f>IFERROR(__xludf.DUMMYFUNCTION("""COMPUTED_VALUE"""),4.0)</f>
        <v>4</v>
      </c>
      <c r="K4108" s="210" t="str">
        <f>IFERROR(__xludf.DUMMYFUNCTION("""COMPUTED_VALUE"""),"11180 11237 11205 11196")</f>
        <v>11180 11237 11205 11196</v>
      </c>
      <c r="L4108" s="211">
        <f>IFERROR(__xludf.DUMMYFUNCTION("""COMPUTED_VALUE"""),0.0)</f>
        <v>0</v>
      </c>
      <c r="M4108" s="211"/>
      <c r="N4108" s="211"/>
      <c r="O4108" s="211" t="b">
        <f>IFERROR(__xludf.DUMMYFUNCTION("""COMPUTED_VALUE"""),TRUE)</f>
        <v>1</v>
      </c>
    </row>
    <row r="4109">
      <c r="A4109" s="210" t="str">
        <f>IFERROR(__xludf.DUMMYFUNCTION("""COMPUTED_VALUE"""),"1261412")</f>
        <v>1261412</v>
      </c>
      <c r="B4109" s="210" t="str">
        <f>IFERROR(__xludf.DUMMYFUNCTION("""COMPUTED_VALUE"""),"1261412")</f>
        <v>1261412</v>
      </c>
      <c r="C4109" s="213">
        <f>IFERROR(__xludf.DUMMYFUNCTION("""COMPUTED_VALUE"""),46092.61908564815)</f>
        <v>46092.61909</v>
      </c>
      <c r="D4109" s="211" t="str">
        <f>IFERROR(__xludf.DUMMYFUNCTION("""COMPUTED_VALUE"""),"96254089")</f>
        <v>96254089</v>
      </c>
      <c r="E4109" s="211" t="str">
        <f>IFERROR(__xludf.DUMMYFUNCTION("""COMPUTED_VALUE"""),"Soni Baja")</f>
        <v>Soni Baja</v>
      </c>
      <c r="F4109" s="211" t="str">
        <f>IFERROR(__xludf.DUMMYFUNCTION("""COMPUTED_VALUE"""),"f6aab7a9")</f>
        <v>f6aab7a9</v>
      </c>
      <c r="G4109" s="211" t="str">
        <f>IFERROR(__xludf.DUMMYFUNCTION("""COMPUTED_VALUE"""),"Oksigen 6m3 MR")</f>
        <v>Oksigen 6m3 MR</v>
      </c>
      <c r="H4109" s="211" t="str">
        <f>IFERROR(__xludf.DUMMYFUNCTION("""COMPUTED_VALUE"""),"IN")</f>
        <v>IN</v>
      </c>
      <c r="I4109" s="211" t="str">
        <f>IFERROR(__xludf.DUMMYFUNCTION("""COMPUTED_VALUE"""),"EMPTY")</f>
        <v>EMPTY</v>
      </c>
      <c r="J4109" s="211">
        <f>IFERROR(__xludf.DUMMYFUNCTION("""COMPUTED_VALUE"""),1.0)</f>
        <v>1</v>
      </c>
      <c r="K4109" s="211"/>
      <c r="L4109" s="211">
        <f>IFERROR(__xludf.DUMMYFUNCTION("""COMPUTED_VALUE"""),0.0)</f>
        <v>0</v>
      </c>
      <c r="M4109" s="211"/>
      <c r="N4109" s="211"/>
      <c r="O4109" s="211" t="b">
        <f>IFERROR(__xludf.DUMMYFUNCTION("""COMPUTED_VALUE"""),FALSE)</f>
        <v>0</v>
      </c>
    </row>
    <row r="4110">
      <c r="A4110" s="210" t="str">
        <f>IFERROR(__xludf.DUMMYFUNCTION("""COMPUTED_VALUE"""),"032692830")</f>
        <v>032692830</v>
      </c>
      <c r="B4110" s="210" t="str">
        <f>IFERROR(__xludf.DUMMYFUNCTION("""COMPUTED_VALUE"""),"032692830")</f>
        <v>032692830</v>
      </c>
      <c r="C4110" s="213">
        <f>IFERROR(__xludf.DUMMYFUNCTION("""COMPUTED_VALUE"""),46093.340891203705)</f>
        <v>46093.34089</v>
      </c>
      <c r="D4110" s="211" t="str">
        <f>IFERROR(__xludf.DUMMYFUNCTION("""COMPUTED_VALUE"""),"de41c3e8")</f>
        <v>de41c3e8</v>
      </c>
      <c r="E4110" s="211" t="str">
        <f>IFERROR(__xludf.DUMMYFUNCTION("""COMPUTED_VALUE"""),"Bpk. Eko Mianto")</f>
        <v>Bpk. Eko Mianto</v>
      </c>
      <c r="F4110" s="211" t="str">
        <f>IFERROR(__xludf.DUMMYFUNCTION("""COMPUTED_VALUE"""),"66af7c72")</f>
        <v>66af7c72</v>
      </c>
      <c r="G4110" s="211" t="str">
        <f>IFERROR(__xludf.DUMMYFUNCTION("""COMPUTED_VALUE"""),"Argon 6m3")</f>
        <v>Argon 6m3</v>
      </c>
      <c r="H4110" s="211" t="str">
        <f>IFERROR(__xludf.DUMMYFUNCTION("""COMPUTED_VALUE"""),"OUT")</f>
        <v>OUT</v>
      </c>
      <c r="I4110" s="211" t="str">
        <f>IFERROR(__xludf.DUMMYFUNCTION("""COMPUTED_VALUE"""),"NORMAL")</f>
        <v>NORMAL</v>
      </c>
      <c r="J4110" s="211">
        <f>IFERROR(__xludf.DUMMYFUNCTION("""COMPUTED_VALUE"""),2.0)</f>
        <v>2</v>
      </c>
      <c r="K4110" s="210" t="str">
        <f>IFERROR(__xludf.DUMMYFUNCTION("""COMPUTED_VALUE"""),"12016 12077")</f>
        <v>12016 12077</v>
      </c>
      <c r="L4110" s="211">
        <f>IFERROR(__xludf.DUMMYFUNCTION("""COMPUTED_VALUE"""),225000.0)</f>
        <v>225000</v>
      </c>
      <c r="M4110" s="211"/>
      <c r="N4110" s="211"/>
      <c r="O4110" s="211" t="b">
        <f>IFERROR(__xludf.DUMMYFUNCTION("""COMPUTED_VALUE"""),FALSE)</f>
        <v>0</v>
      </c>
    </row>
    <row r="4111">
      <c r="A4111" s="210" t="str">
        <f>IFERROR(__xludf.DUMMYFUNCTION("""COMPUTED_VALUE"""),"1261393")</f>
        <v>1261393</v>
      </c>
      <c r="B4111" s="210" t="str">
        <f>IFERROR(__xludf.DUMMYFUNCTION("""COMPUTED_VALUE"""),"1261393")</f>
        <v>1261393</v>
      </c>
      <c r="C4111" s="213">
        <f>IFERROR(__xludf.DUMMYFUNCTION("""COMPUTED_VALUE"""),46092.68716435185)</f>
        <v>46092.68716</v>
      </c>
      <c r="D4111" s="211" t="str">
        <f>IFERROR(__xludf.DUMMYFUNCTION("""COMPUTED_VALUE"""),"b218b89b")</f>
        <v>b218b89b</v>
      </c>
      <c r="E4111" s="211" t="str">
        <f>IFERROR(__xludf.DUMMYFUNCTION("""COMPUTED_VALUE"""),"PT Harapan Sentosa")</f>
        <v>PT Harapan Sentosa</v>
      </c>
      <c r="F4111" s="211" t="str">
        <f>IFERROR(__xludf.DUMMYFUNCTION("""COMPUTED_VALUE"""),"8bdbe149")</f>
        <v>8bdbe149</v>
      </c>
      <c r="G4111" s="211" t="str">
        <f>IFERROR(__xludf.DUMMYFUNCTION("""COMPUTED_VALUE"""),"Oksigen 6m3")</f>
        <v>Oksigen 6m3</v>
      </c>
      <c r="H4111" s="211" t="str">
        <f>IFERROR(__xludf.DUMMYFUNCTION("""COMPUTED_VALUE"""),"IN")</f>
        <v>IN</v>
      </c>
      <c r="I4111" s="211" t="str">
        <f>IFERROR(__xludf.DUMMYFUNCTION("""COMPUTED_VALUE"""),"EMPTY")</f>
        <v>EMPTY</v>
      </c>
      <c r="J4111" s="211">
        <f>IFERROR(__xludf.DUMMYFUNCTION("""COMPUTED_VALUE"""),8.0)</f>
        <v>8</v>
      </c>
      <c r="K4111" s="210" t="str">
        <f>IFERROR(__xludf.DUMMYFUNCTION("""COMPUTED_VALUE"""),"11261 1184 11127 11201 1163 11252 11361 11241")</f>
        <v>11261 1184 11127 11201 1163 11252 11361 11241</v>
      </c>
      <c r="L4111" s="211">
        <f>IFERROR(__xludf.DUMMYFUNCTION("""COMPUTED_VALUE"""),0.0)</f>
        <v>0</v>
      </c>
      <c r="M4111" s="211"/>
      <c r="N4111" s="211"/>
      <c r="O4111" s="211" t="b">
        <f>IFERROR(__xludf.DUMMYFUNCTION("""COMPUTED_VALUE"""),FALSE)</f>
        <v>0</v>
      </c>
    </row>
    <row r="4112">
      <c r="A4112" s="210" t="str">
        <f>IFERROR(__xludf.DUMMYFUNCTION("""COMPUTED_VALUE"""),"1261393")</f>
        <v>1261393</v>
      </c>
      <c r="B4112" s="210" t="str">
        <f>IFERROR(__xludf.DUMMYFUNCTION("""COMPUTED_VALUE"""),"1261393")</f>
        <v>1261393</v>
      </c>
      <c r="C4112" s="213">
        <f>IFERROR(__xludf.DUMMYFUNCTION("""COMPUTED_VALUE"""),46092.68716435185)</f>
        <v>46092.68716</v>
      </c>
      <c r="D4112" s="211" t="str">
        <f>IFERROR(__xludf.DUMMYFUNCTION("""COMPUTED_VALUE"""),"b218b89b")</f>
        <v>b218b89b</v>
      </c>
      <c r="E4112" s="211" t="str">
        <f>IFERROR(__xludf.DUMMYFUNCTION("""COMPUTED_VALUE"""),"PT Harapan Sentosa")</f>
        <v>PT Harapan Sentosa</v>
      </c>
      <c r="F4112" s="211" t="str">
        <f>IFERROR(__xludf.DUMMYFUNCTION("""COMPUTED_VALUE"""),"7d2764f1")</f>
        <v>7d2764f1</v>
      </c>
      <c r="G4112" s="211" t="str">
        <f>IFERROR(__xludf.DUMMYFUNCTION("""COMPUTED_VALUE"""),"Oksigen 7m3")</f>
        <v>Oksigen 7m3</v>
      </c>
      <c r="H4112" s="211" t="str">
        <f>IFERROR(__xludf.DUMMYFUNCTION("""COMPUTED_VALUE"""),"IN")</f>
        <v>IN</v>
      </c>
      <c r="I4112" s="211" t="str">
        <f>IFERROR(__xludf.DUMMYFUNCTION("""COMPUTED_VALUE"""),"EMPTY")</f>
        <v>EMPTY</v>
      </c>
      <c r="J4112" s="211">
        <f>IFERROR(__xludf.DUMMYFUNCTION("""COMPUTED_VALUE"""),1.0)</f>
        <v>1</v>
      </c>
      <c r="K4112" s="210" t="str">
        <f>IFERROR(__xludf.DUMMYFUNCTION("""COMPUTED_VALUE"""),"11163")</f>
        <v>11163</v>
      </c>
      <c r="L4112" s="211">
        <f>IFERROR(__xludf.DUMMYFUNCTION("""COMPUTED_VALUE"""),0.0)</f>
        <v>0</v>
      </c>
      <c r="M4112" s="211"/>
      <c r="N4112" s="211"/>
      <c r="O4112" s="211" t="b">
        <f>IFERROR(__xludf.DUMMYFUNCTION("""COMPUTED_VALUE"""),FALSE)</f>
        <v>0</v>
      </c>
    </row>
    <row r="4113">
      <c r="A4113" s="210" t="str">
        <f>IFERROR(__xludf.DUMMYFUNCTION("""COMPUTED_VALUE"""),"0326302835")</f>
        <v>0326302835</v>
      </c>
      <c r="B4113" s="210" t="str">
        <f>IFERROR(__xludf.DUMMYFUNCTION("""COMPUTED_VALUE"""),"0326302835")</f>
        <v>0326302835</v>
      </c>
      <c r="C4113" s="213">
        <f>IFERROR(__xludf.DUMMYFUNCTION("""COMPUTED_VALUE"""),46093.35859953704)</f>
        <v>46093.3586</v>
      </c>
      <c r="D4113" s="211" t="str">
        <f>IFERROR(__xludf.DUMMYFUNCTION("""COMPUTED_VALUE"""),"63fc688a")</f>
        <v>63fc688a</v>
      </c>
      <c r="E4113" s="211" t="str">
        <f>IFERROR(__xludf.DUMMYFUNCTION("""COMPUTED_VALUE"""),"CV Malik Nusantara")</f>
        <v>CV Malik Nusantara</v>
      </c>
      <c r="F4113" s="211" t="str">
        <f>IFERROR(__xludf.DUMMYFUNCTION("""COMPUTED_VALUE"""),"7d2764f1")</f>
        <v>7d2764f1</v>
      </c>
      <c r="G4113" s="211" t="str">
        <f>IFERROR(__xludf.DUMMYFUNCTION("""COMPUTED_VALUE"""),"Oksigen 7m3")</f>
        <v>Oksigen 7m3</v>
      </c>
      <c r="H4113" s="211" t="str">
        <f>IFERROR(__xludf.DUMMYFUNCTION("""COMPUTED_VALUE"""),"OUT")</f>
        <v>OUT</v>
      </c>
      <c r="I4113" s="211" t="str">
        <f>IFERROR(__xludf.DUMMYFUNCTION("""COMPUTED_VALUE"""),"NORMAL")</f>
        <v>NORMAL</v>
      </c>
      <c r="J4113" s="211">
        <f>IFERROR(__xludf.DUMMYFUNCTION("""COMPUTED_VALUE"""),6.0)</f>
        <v>6</v>
      </c>
      <c r="K4113" s="210" t="str">
        <f>IFERROR(__xludf.DUMMYFUNCTION("""COMPUTED_VALUE"""),"11393 11395 11394 11390 11389 11388")</f>
        <v>11393 11395 11394 11390 11389 11388</v>
      </c>
      <c r="L4113" s="211">
        <f>IFERROR(__xludf.DUMMYFUNCTION("""COMPUTED_VALUE"""),65000.0)</f>
        <v>65000</v>
      </c>
      <c r="M4113" s="211"/>
      <c r="N4113" s="211"/>
      <c r="O4113" s="211" t="b">
        <f>IFERROR(__xludf.DUMMYFUNCTION("""COMPUTED_VALUE"""),FALSE)</f>
        <v>0</v>
      </c>
    </row>
    <row r="4114">
      <c r="A4114" s="210" t="str">
        <f>IFERROR(__xludf.DUMMYFUNCTION("""COMPUTED_VALUE"""),"0326302835")</f>
        <v>0326302835</v>
      </c>
      <c r="B4114" s="210" t="str">
        <f>IFERROR(__xludf.DUMMYFUNCTION("""COMPUTED_VALUE"""),"0326302835")</f>
        <v>0326302835</v>
      </c>
      <c r="C4114" s="213">
        <f>IFERROR(__xludf.DUMMYFUNCTION("""COMPUTED_VALUE"""),46093.35859953704)</f>
        <v>46093.3586</v>
      </c>
      <c r="D4114" s="211" t="str">
        <f>IFERROR(__xludf.DUMMYFUNCTION("""COMPUTED_VALUE"""),"63fc688a")</f>
        <v>63fc688a</v>
      </c>
      <c r="E4114" s="211" t="str">
        <f>IFERROR(__xludf.DUMMYFUNCTION("""COMPUTED_VALUE"""),"CV Malik Nusantara")</f>
        <v>CV Malik Nusantara</v>
      </c>
      <c r="F4114" s="211" t="str">
        <f>IFERROR(__xludf.DUMMYFUNCTION("""COMPUTED_VALUE"""),"ef306e54")</f>
        <v>ef306e54</v>
      </c>
      <c r="G4114" s="211" t="str">
        <f>IFERROR(__xludf.DUMMYFUNCTION("""COMPUTED_VALUE"""),"Karbondioksida")</f>
        <v>Karbondioksida</v>
      </c>
      <c r="H4114" s="211" t="str">
        <f>IFERROR(__xludf.DUMMYFUNCTION("""COMPUTED_VALUE"""),"OUT")</f>
        <v>OUT</v>
      </c>
      <c r="I4114" s="211" t="str">
        <f>IFERROR(__xludf.DUMMYFUNCTION("""COMPUTED_VALUE"""),"NORMAL")</f>
        <v>NORMAL</v>
      </c>
      <c r="J4114" s="211">
        <f>IFERROR(__xludf.DUMMYFUNCTION("""COMPUTED_VALUE"""),1.0)</f>
        <v>1</v>
      </c>
      <c r="K4114" s="210" t="str">
        <f>IFERROR(__xludf.DUMMYFUNCTION("""COMPUTED_VALUE"""),"13004")</f>
        <v>13004</v>
      </c>
      <c r="L4114" s="211">
        <f>IFERROR(__xludf.DUMMYFUNCTION("""COMPUTED_VALUE"""),190000.0)</f>
        <v>190000</v>
      </c>
      <c r="M4114" s="211"/>
      <c r="N4114" s="211"/>
      <c r="O4114" s="211" t="b">
        <f>IFERROR(__xludf.DUMMYFUNCTION("""COMPUTED_VALUE"""),FALSE)</f>
        <v>0</v>
      </c>
    </row>
    <row r="4115">
      <c r="A4115" s="210" t="str">
        <f>IFERROR(__xludf.DUMMYFUNCTION("""COMPUTED_VALUE"""),"1261394")</f>
        <v>1261394</v>
      </c>
      <c r="B4115" s="210" t="str">
        <f>IFERROR(__xludf.DUMMYFUNCTION("""COMPUTED_VALUE"""),"1261394")</f>
        <v>1261394</v>
      </c>
      <c r="C4115" s="213">
        <f>IFERROR(__xludf.DUMMYFUNCTION("""COMPUTED_VALUE"""),46093.49789351852)</f>
        <v>46093.49789</v>
      </c>
      <c r="D4115" s="211" t="str">
        <f>IFERROR(__xludf.DUMMYFUNCTION("""COMPUTED_VALUE"""),"7b9d8eba")</f>
        <v>7b9d8eba</v>
      </c>
      <c r="E4115" s="211" t="str">
        <f>IFERROR(__xludf.DUMMYFUNCTION("""COMPUTED_VALUE"""),"PT PELANGI INDOKARYA")</f>
        <v>PT PELANGI INDOKARYA</v>
      </c>
      <c r="F4115" s="211" t="str">
        <f>IFERROR(__xludf.DUMMYFUNCTION("""COMPUTED_VALUE"""),"8bdbe149")</f>
        <v>8bdbe149</v>
      </c>
      <c r="G4115" s="211" t="str">
        <f>IFERROR(__xludf.DUMMYFUNCTION("""COMPUTED_VALUE"""),"Oksigen 6m3")</f>
        <v>Oksigen 6m3</v>
      </c>
      <c r="H4115" s="211" t="str">
        <f>IFERROR(__xludf.DUMMYFUNCTION("""COMPUTED_VALUE"""),"IN")</f>
        <v>IN</v>
      </c>
      <c r="I4115" s="211" t="str">
        <f>IFERROR(__xludf.DUMMYFUNCTION("""COMPUTED_VALUE"""),"EMPTY")</f>
        <v>EMPTY</v>
      </c>
      <c r="J4115" s="211">
        <f>IFERROR(__xludf.DUMMYFUNCTION("""COMPUTED_VALUE"""),2.0)</f>
        <v>2</v>
      </c>
      <c r="K4115" s="210" t="str">
        <f>IFERROR(__xludf.DUMMYFUNCTION("""COMPUTED_VALUE"""),"1121 11133")</f>
        <v>1121 11133</v>
      </c>
      <c r="L4115" s="211">
        <f>IFERROR(__xludf.DUMMYFUNCTION("""COMPUTED_VALUE"""),0.0)</f>
        <v>0</v>
      </c>
      <c r="M4115" s="211"/>
      <c r="N4115" s="211"/>
      <c r="O4115" s="211" t="b">
        <f>IFERROR(__xludf.DUMMYFUNCTION("""COMPUTED_VALUE"""),FALSE)</f>
        <v>0</v>
      </c>
    </row>
    <row r="4116">
      <c r="A4116" s="210" t="str">
        <f>IFERROR(__xludf.DUMMYFUNCTION("""COMPUTED_VALUE"""),"1261395")</f>
        <v>1261395</v>
      </c>
      <c r="B4116" s="210" t="str">
        <f>IFERROR(__xludf.DUMMYFUNCTION("""COMPUTED_VALUE"""),"1261395")</f>
        <v>1261395</v>
      </c>
      <c r="C4116" s="213">
        <f>IFERROR(__xludf.DUMMYFUNCTION("""COMPUTED_VALUE"""),46093.50048611111)</f>
        <v>46093.50049</v>
      </c>
      <c r="D4116" s="211" t="str">
        <f>IFERROR(__xludf.DUMMYFUNCTION("""COMPUTED_VALUE"""),"63fc688a")</f>
        <v>63fc688a</v>
      </c>
      <c r="E4116" s="211" t="str">
        <f>IFERROR(__xludf.DUMMYFUNCTION("""COMPUTED_VALUE"""),"CV Malik Nusantara")</f>
        <v>CV Malik Nusantara</v>
      </c>
      <c r="F4116" s="211" t="str">
        <f>IFERROR(__xludf.DUMMYFUNCTION("""COMPUTED_VALUE"""),"8bdbe149")</f>
        <v>8bdbe149</v>
      </c>
      <c r="G4116" s="211" t="str">
        <f>IFERROR(__xludf.DUMMYFUNCTION("""COMPUTED_VALUE"""),"Oksigen 6m3")</f>
        <v>Oksigen 6m3</v>
      </c>
      <c r="H4116" s="211" t="str">
        <f>IFERROR(__xludf.DUMMYFUNCTION("""COMPUTED_VALUE"""),"IN")</f>
        <v>IN</v>
      </c>
      <c r="I4116" s="211" t="str">
        <f>IFERROR(__xludf.DUMMYFUNCTION("""COMPUTED_VALUE"""),"EMPTY")</f>
        <v>EMPTY</v>
      </c>
      <c r="J4116" s="211">
        <f>IFERROR(__xludf.DUMMYFUNCTION("""COMPUTED_VALUE"""),7.0)</f>
        <v>7</v>
      </c>
      <c r="K4116" s="210" t="str">
        <f>IFERROR(__xludf.DUMMYFUNCTION("""COMPUTED_VALUE"""),"1199 11134 11344 1144 11100 11365 11258")</f>
        <v>1199 11134 11344 1144 11100 11365 11258</v>
      </c>
      <c r="L4116" s="211">
        <f>IFERROR(__xludf.DUMMYFUNCTION("""COMPUTED_VALUE"""),0.0)</f>
        <v>0</v>
      </c>
      <c r="M4116" s="211"/>
      <c r="N4116" s="211"/>
      <c r="O4116" s="211" t="b">
        <f>IFERROR(__xludf.DUMMYFUNCTION("""COMPUTED_VALUE"""),FALSE)</f>
        <v>0</v>
      </c>
    </row>
    <row r="4117">
      <c r="A4117" s="210" t="str">
        <f>IFERROR(__xludf.DUMMYFUNCTION("""COMPUTED_VALUE"""),"1261395")</f>
        <v>1261395</v>
      </c>
      <c r="B4117" s="210" t="str">
        <f>IFERROR(__xludf.DUMMYFUNCTION("""COMPUTED_VALUE"""),"1261395")</f>
        <v>1261395</v>
      </c>
      <c r="C4117" s="213">
        <f>IFERROR(__xludf.DUMMYFUNCTION("""COMPUTED_VALUE"""),46093.50048611111)</f>
        <v>46093.50049</v>
      </c>
      <c r="D4117" s="211" t="str">
        <f>IFERROR(__xludf.DUMMYFUNCTION("""COMPUTED_VALUE"""),"63fc688a")</f>
        <v>63fc688a</v>
      </c>
      <c r="E4117" s="211" t="str">
        <f>IFERROR(__xludf.DUMMYFUNCTION("""COMPUTED_VALUE"""),"CV Malik Nusantara")</f>
        <v>CV Malik Nusantara</v>
      </c>
      <c r="F4117" s="211" t="str">
        <f>IFERROR(__xludf.DUMMYFUNCTION("""COMPUTED_VALUE"""),"7d2764f1")</f>
        <v>7d2764f1</v>
      </c>
      <c r="G4117" s="211" t="str">
        <f>IFERROR(__xludf.DUMMYFUNCTION("""COMPUTED_VALUE"""),"Oksigen 7m3")</f>
        <v>Oksigen 7m3</v>
      </c>
      <c r="H4117" s="211" t="str">
        <f>IFERROR(__xludf.DUMMYFUNCTION("""COMPUTED_VALUE"""),"IN")</f>
        <v>IN</v>
      </c>
      <c r="I4117" s="211" t="str">
        <f>IFERROR(__xludf.DUMMYFUNCTION("""COMPUTED_VALUE"""),"EMPTY")</f>
        <v>EMPTY</v>
      </c>
      <c r="J4117" s="211">
        <f>IFERROR(__xludf.DUMMYFUNCTION("""COMPUTED_VALUE"""),2.0)</f>
        <v>2</v>
      </c>
      <c r="K4117" s="210" t="str">
        <f>IFERROR(__xludf.DUMMYFUNCTION("""COMPUTED_VALUE"""),"11292 741")</f>
        <v>11292 741</v>
      </c>
      <c r="L4117" s="211">
        <f>IFERROR(__xludf.DUMMYFUNCTION("""COMPUTED_VALUE"""),0.0)</f>
        <v>0</v>
      </c>
      <c r="M4117" s="211"/>
      <c r="N4117" s="211"/>
      <c r="O4117" s="211" t="b">
        <f>IFERROR(__xludf.DUMMYFUNCTION("""COMPUTED_VALUE"""),FALSE)</f>
        <v>0</v>
      </c>
    </row>
    <row r="4118">
      <c r="A4118" s="210" t="str">
        <f>IFERROR(__xludf.DUMMYFUNCTION("""COMPUTED_VALUE"""),"1261395")</f>
        <v>1261395</v>
      </c>
      <c r="B4118" s="210" t="str">
        <f>IFERROR(__xludf.DUMMYFUNCTION("""COMPUTED_VALUE"""),"1261395")</f>
        <v>1261395</v>
      </c>
      <c r="C4118" s="213">
        <f>IFERROR(__xludf.DUMMYFUNCTION("""COMPUTED_VALUE"""),46093.50048611111)</f>
        <v>46093.50049</v>
      </c>
      <c r="D4118" s="211" t="str">
        <f>IFERROR(__xludf.DUMMYFUNCTION("""COMPUTED_VALUE"""),"63fc688a")</f>
        <v>63fc688a</v>
      </c>
      <c r="E4118" s="211" t="str">
        <f>IFERROR(__xludf.DUMMYFUNCTION("""COMPUTED_VALUE"""),"CV Malik Nusantara")</f>
        <v>CV Malik Nusantara</v>
      </c>
      <c r="F4118" s="211" t="str">
        <f>IFERROR(__xludf.DUMMYFUNCTION("""COMPUTED_VALUE"""),"ef306e54")</f>
        <v>ef306e54</v>
      </c>
      <c r="G4118" s="211" t="str">
        <f>IFERROR(__xludf.DUMMYFUNCTION("""COMPUTED_VALUE"""),"Karbondioksida")</f>
        <v>Karbondioksida</v>
      </c>
      <c r="H4118" s="211" t="str">
        <f>IFERROR(__xludf.DUMMYFUNCTION("""COMPUTED_VALUE"""),"IN")</f>
        <v>IN</v>
      </c>
      <c r="I4118" s="211" t="str">
        <f>IFERROR(__xludf.DUMMYFUNCTION("""COMPUTED_VALUE"""),"EMPTY")</f>
        <v>EMPTY</v>
      </c>
      <c r="J4118" s="211">
        <f>IFERROR(__xludf.DUMMYFUNCTION("""COMPUTED_VALUE"""),1.0)</f>
        <v>1</v>
      </c>
      <c r="K4118" s="210" t="str">
        <f>IFERROR(__xludf.DUMMYFUNCTION("""COMPUTED_VALUE"""),"13034")</f>
        <v>13034</v>
      </c>
      <c r="L4118" s="211">
        <f>IFERROR(__xludf.DUMMYFUNCTION("""COMPUTED_VALUE"""),0.0)</f>
        <v>0</v>
      </c>
      <c r="M4118" s="211"/>
      <c r="N4118" s="211"/>
      <c r="O4118" s="211" t="b">
        <f>IFERROR(__xludf.DUMMYFUNCTION("""COMPUTED_VALUE"""),FALSE)</f>
        <v>0</v>
      </c>
    </row>
    <row r="4119">
      <c r="A4119" s="210" t="str">
        <f>IFERROR(__xludf.DUMMYFUNCTION("""COMPUTED_VALUE"""),"1261396")</f>
        <v>1261396</v>
      </c>
      <c r="B4119" s="210" t="str">
        <f>IFERROR(__xludf.DUMMYFUNCTION("""COMPUTED_VALUE"""),"1261396")</f>
        <v>1261396</v>
      </c>
      <c r="C4119" s="213">
        <f>IFERROR(__xludf.DUMMYFUNCTION("""COMPUTED_VALUE"""),46093.50234953704)</f>
        <v>46093.50235</v>
      </c>
      <c r="D4119" s="211" t="str">
        <f>IFERROR(__xludf.DUMMYFUNCTION("""COMPUTED_VALUE"""),"98c84274")</f>
        <v>98c84274</v>
      </c>
      <c r="E4119" s="211" t="str">
        <f>IFERROR(__xludf.DUMMYFUNCTION("""COMPUTED_VALUE"""),"Bengkel SBM (Pak Hari)")</f>
        <v>Bengkel SBM (Pak Hari)</v>
      </c>
      <c r="F4119" s="211" t="str">
        <f>IFERROR(__xludf.DUMMYFUNCTION("""COMPUTED_VALUE"""),"ef306e54")</f>
        <v>ef306e54</v>
      </c>
      <c r="G4119" s="211" t="str">
        <f>IFERROR(__xludf.DUMMYFUNCTION("""COMPUTED_VALUE"""),"Karbondioksida")</f>
        <v>Karbondioksida</v>
      </c>
      <c r="H4119" s="211" t="str">
        <f>IFERROR(__xludf.DUMMYFUNCTION("""COMPUTED_VALUE"""),"IN")</f>
        <v>IN</v>
      </c>
      <c r="I4119" s="211" t="str">
        <f>IFERROR(__xludf.DUMMYFUNCTION("""COMPUTED_VALUE"""),"EMPTY")</f>
        <v>EMPTY</v>
      </c>
      <c r="J4119" s="211">
        <f>IFERROR(__xludf.DUMMYFUNCTION("""COMPUTED_VALUE"""),2.0)</f>
        <v>2</v>
      </c>
      <c r="K4119" s="210" t="str">
        <f>IFERROR(__xludf.DUMMYFUNCTION("""COMPUTED_VALUE"""),"13037 13067")</f>
        <v>13037 13067</v>
      </c>
      <c r="L4119" s="211">
        <f>IFERROR(__xludf.DUMMYFUNCTION("""COMPUTED_VALUE"""),0.0)</f>
        <v>0</v>
      </c>
      <c r="M4119" s="211"/>
      <c r="N4119" s="211"/>
      <c r="O4119" s="211" t="b">
        <f>IFERROR(__xludf.DUMMYFUNCTION("""COMPUTED_VALUE"""),FALSE)</f>
        <v>0</v>
      </c>
    </row>
    <row r="4120">
      <c r="A4120" s="210" t="str">
        <f>IFERROR(__xludf.DUMMYFUNCTION("""COMPUTED_VALUE"""),"0326272838")</f>
        <v>0326272838</v>
      </c>
      <c r="B4120" s="210" t="str">
        <f>IFERROR(__xludf.DUMMYFUNCTION("""COMPUTED_VALUE"""),"0326272838")</f>
        <v>0326272838</v>
      </c>
      <c r="C4120" s="213">
        <f>IFERROR(__xludf.DUMMYFUNCTION("""COMPUTED_VALUE"""),46093.50443287037)</f>
        <v>46093.50443</v>
      </c>
      <c r="D4120" s="211" t="str">
        <f>IFERROR(__xludf.DUMMYFUNCTION("""COMPUTED_VALUE"""),"8ea74d81")</f>
        <v>8ea74d81</v>
      </c>
      <c r="E4120" s="211" t="str">
        <f>IFERROR(__xludf.DUMMYFUNCTION("""COMPUTED_VALUE"""),"Bengkel Adi Putra")</f>
        <v>Bengkel Adi Putra</v>
      </c>
      <c r="F4120" s="211" t="str">
        <f>IFERROR(__xludf.DUMMYFUNCTION("""COMPUTED_VALUE"""),"ef306e54")</f>
        <v>ef306e54</v>
      </c>
      <c r="G4120" s="211" t="str">
        <f>IFERROR(__xludf.DUMMYFUNCTION("""COMPUTED_VALUE"""),"Karbondioksida")</f>
        <v>Karbondioksida</v>
      </c>
      <c r="H4120" s="211" t="str">
        <f>IFERROR(__xludf.DUMMYFUNCTION("""COMPUTED_VALUE"""),"OUT")</f>
        <v>OUT</v>
      </c>
      <c r="I4120" s="211" t="str">
        <f>IFERROR(__xludf.DUMMYFUNCTION("""COMPUTED_VALUE"""),"NORMAL")</f>
        <v>NORMAL</v>
      </c>
      <c r="J4120" s="211">
        <f>IFERROR(__xludf.DUMMYFUNCTION("""COMPUTED_VALUE"""),2.0)</f>
        <v>2</v>
      </c>
      <c r="K4120" s="210" t="str">
        <f>IFERROR(__xludf.DUMMYFUNCTION("""COMPUTED_VALUE"""),"13020 13075")</f>
        <v>13020 13075</v>
      </c>
      <c r="L4120" s="211">
        <f>IFERROR(__xludf.DUMMYFUNCTION("""COMPUTED_VALUE"""),190000.0)</f>
        <v>190000</v>
      </c>
      <c r="M4120" s="211"/>
      <c r="N4120" s="211"/>
      <c r="O4120" s="211" t="b">
        <f>IFERROR(__xludf.DUMMYFUNCTION("""COMPUTED_VALUE"""),FALSE)</f>
        <v>0</v>
      </c>
    </row>
    <row r="4121">
      <c r="A4121" s="210" t="str">
        <f>IFERROR(__xludf.DUMMYFUNCTION("""COMPUTED_VALUE"""),"1261403")</f>
        <v>1261403</v>
      </c>
      <c r="B4121" s="210" t="str">
        <f>IFERROR(__xludf.DUMMYFUNCTION("""COMPUTED_VALUE"""),"1261403")</f>
        <v>1261403</v>
      </c>
      <c r="C4121" s="213">
        <f>IFERROR(__xludf.DUMMYFUNCTION("""COMPUTED_VALUE"""),46093.54340277778)</f>
        <v>46093.5434</v>
      </c>
      <c r="D4121" s="211" t="str">
        <f>IFERROR(__xludf.DUMMYFUNCTION("""COMPUTED_VALUE"""),"de41c3e8")</f>
        <v>de41c3e8</v>
      </c>
      <c r="E4121" s="211" t="str">
        <f>IFERROR(__xludf.DUMMYFUNCTION("""COMPUTED_VALUE"""),"Bpk. Eko Mianto")</f>
        <v>Bpk. Eko Mianto</v>
      </c>
      <c r="F4121" s="211" t="str">
        <f>IFERROR(__xludf.DUMMYFUNCTION("""COMPUTED_VALUE"""),"66af7c72")</f>
        <v>66af7c72</v>
      </c>
      <c r="G4121" s="211" t="str">
        <f>IFERROR(__xludf.DUMMYFUNCTION("""COMPUTED_VALUE"""),"Argon 6m3")</f>
        <v>Argon 6m3</v>
      </c>
      <c r="H4121" s="211" t="str">
        <f>IFERROR(__xludf.DUMMYFUNCTION("""COMPUTED_VALUE"""),"IN")</f>
        <v>IN</v>
      </c>
      <c r="I4121" s="211" t="str">
        <f>IFERROR(__xludf.DUMMYFUNCTION("""COMPUTED_VALUE"""),"EMPTY")</f>
        <v>EMPTY</v>
      </c>
      <c r="J4121" s="211">
        <f>IFERROR(__xludf.DUMMYFUNCTION("""COMPUTED_VALUE"""),3.0)</f>
        <v>3</v>
      </c>
      <c r="K4121" s="210" t="str">
        <f>IFERROR(__xludf.DUMMYFUNCTION("""COMPUTED_VALUE"""),"12069 12063 12073")</f>
        <v>12069 12063 12073</v>
      </c>
      <c r="L4121" s="211">
        <f>IFERROR(__xludf.DUMMYFUNCTION("""COMPUTED_VALUE"""),0.0)</f>
        <v>0</v>
      </c>
      <c r="M4121" s="211"/>
      <c r="N4121" s="211"/>
      <c r="O4121" s="211" t="b">
        <f>IFERROR(__xludf.DUMMYFUNCTION("""COMPUTED_VALUE"""),FALSE)</f>
        <v>0</v>
      </c>
    </row>
    <row r="4122">
      <c r="A4122" s="210" t="str">
        <f>IFERROR(__xludf.DUMMYFUNCTION("""COMPUTED_VALUE"""),"1261403")</f>
        <v>1261403</v>
      </c>
      <c r="B4122" s="210" t="str">
        <f>IFERROR(__xludf.DUMMYFUNCTION("""COMPUTED_VALUE"""),"1261403")</f>
        <v>1261403</v>
      </c>
      <c r="C4122" s="213">
        <f>IFERROR(__xludf.DUMMYFUNCTION("""COMPUTED_VALUE"""),46093.54340277778)</f>
        <v>46093.5434</v>
      </c>
      <c r="D4122" s="211" t="str">
        <f>IFERROR(__xludf.DUMMYFUNCTION("""COMPUTED_VALUE"""),"de41c3e8")</f>
        <v>de41c3e8</v>
      </c>
      <c r="E4122" s="211" t="str">
        <f>IFERROR(__xludf.DUMMYFUNCTION("""COMPUTED_VALUE"""),"Bpk. Eko Mianto")</f>
        <v>Bpk. Eko Mianto</v>
      </c>
      <c r="F4122" s="211" t="str">
        <f>IFERROR(__xludf.DUMMYFUNCTION("""COMPUTED_VALUE"""),"66af7c72")</f>
        <v>66af7c72</v>
      </c>
      <c r="G4122" s="211" t="str">
        <f>IFERROR(__xludf.DUMMYFUNCTION("""COMPUTED_VALUE"""),"Argon 6m3")</f>
        <v>Argon 6m3</v>
      </c>
      <c r="H4122" s="211" t="str">
        <f>IFERROR(__xludf.DUMMYFUNCTION("""COMPUTED_VALUE"""),"IN")</f>
        <v>IN</v>
      </c>
      <c r="I4122" s="211" t="str">
        <f>IFERROR(__xludf.DUMMYFUNCTION("""COMPUTED_VALUE"""),"CLAIM")</f>
        <v>CLAIM</v>
      </c>
      <c r="J4122" s="211">
        <f>IFERROR(__xludf.DUMMYFUNCTION("""COMPUTED_VALUE"""),2.0)</f>
        <v>2</v>
      </c>
      <c r="K4122" s="210" t="str">
        <f>IFERROR(__xludf.DUMMYFUNCTION("""COMPUTED_VALUE"""),"12042 12065")</f>
        <v>12042 12065</v>
      </c>
      <c r="L4122" s="211">
        <f>IFERROR(__xludf.DUMMYFUNCTION("""COMPUTED_VALUE"""),0.0)</f>
        <v>0</v>
      </c>
      <c r="M4122" s="211"/>
      <c r="N4122" s="211"/>
      <c r="O4122" s="211" t="b">
        <f>IFERROR(__xludf.DUMMYFUNCTION("""COMPUTED_VALUE"""),FALSE)</f>
        <v>0</v>
      </c>
    </row>
    <row r="4123">
      <c r="A4123" s="210" t="str">
        <f>IFERROR(__xludf.DUMMYFUNCTION("""COMPUTED_VALUE"""),"1261404")</f>
        <v>1261404</v>
      </c>
      <c r="B4123" s="210" t="str">
        <f>IFERROR(__xludf.DUMMYFUNCTION("""COMPUTED_VALUE"""),"1261404")</f>
        <v>1261404</v>
      </c>
      <c r="C4123" s="213">
        <f>IFERROR(__xludf.DUMMYFUNCTION("""COMPUTED_VALUE"""),46093.54789351852)</f>
        <v>46093.54789</v>
      </c>
      <c r="D4123" s="211" t="str">
        <f>IFERROR(__xludf.DUMMYFUNCTION("""COMPUTED_VALUE"""),"b2b5f2c5")</f>
        <v>b2b5f2c5</v>
      </c>
      <c r="E4123" s="211" t="str">
        <f>IFERROR(__xludf.DUMMYFUNCTION("""COMPUTED_VALUE"""),"Bengkel Las Bpk. Ari")</f>
        <v>Bengkel Las Bpk. Ari</v>
      </c>
      <c r="F4123" s="211" t="str">
        <f>IFERROR(__xludf.DUMMYFUNCTION("""COMPUTED_VALUE"""),"8bdbe149")</f>
        <v>8bdbe149</v>
      </c>
      <c r="G4123" s="211" t="str">
        <f>IFERROR(__xludf.DUMMYFUNCTION("""COMPUTED_VALUE"""),"Oksigen 6m3")</f>
        <v>Oksigen 6m3</v>
      </c>
      <c r="H4123" s="211" t="str">
        <f>IFERROR(__xludf.DUMMYFUNCTION("""COMPUTED_VALUE"""),"IN")</f>
        <v>IN</v>
      </c>
      <c r="I4123" s="211" t="str">
        <f>IFERROR(__xludf.DUMMYFUNCTION("""COMPUTED_VALUE"""),"EMPTY")</f>
        <v>EMPTY</v>
      </c>
      <c r="J4123" s="211">
        <f>IFERROR(__xludf.DUMMYFUNCTION("""COMPUTED_VALUE"""),3.0)</f>
        <v>3</v>
      </c>
      <c r="K4123" s="210" t="str">
        <f>IFERROR(__xludf.DUMMYFUNCTION("""COMPUTED_VALUE"""),"1164 11345 1115")</f>
        <v>1164 11345 1115</v>
      </c>
      <c r="L4123" s="211">
        <f>IFERROR(__xludf.DUMMYFUNCTION("""COMPUTED_VALUE"""),0.0)</f>
        <v>0</v>
      </c>
      <c r="M4123" s="211"/>
      <c r="N4123" s="211"/>
      <c r="O4123" s="211" t="b">
        <f>IFERROR(__xludf.DUMMYFUNCTION("""COMPUTED_VALUE"""),FALSE)</f>
        <v>0</v>
      </c>
    </row>
    <row r="4124">
      <c r="A4124" s="210" t="str">
        <f>IFERROR(__xludf.DUMMYFUNCTION("""COMPUTED_VALUE"""),"1261404")</f>
        <v>1261404</v>
      </c>
      <c r="B4124" s="210" t="str">
        <f>IFERROR(__xludf.DUMMYFUNCTION("""COMPUTED_VALUE"""),"1261404")</f>
        <v>1261404</v>
      </c>
      <c r="C4124" s="213">
        <f>IFERROR(__xludf.DUMMYFUNCTION("""COMPUTED_VALUE"""),46093.54789351852)</f>
        <v>46093.54789</v>
      </c>
      <c r="D4124" s="211" t="str">
        <f>IFERROR(__xludf.DUMMYFUNCTION("""COMPUTED_VALUE"""),"b2b5f2c5")</f>
        <v>b2b5f2c5</v>
      </c>
      <c r="E4124" s="211" t="str">
        <f>IFERROR(__xludf.DUMMYFUNCTION("""COMPUTED_VALUE"""),"Bengkel Las Bpk. Ari")</f>
        <v>Bengkel Las Bpk. Ari</v>
      </c>
      <c r="F4124" s="211" t="str">
        <f>IFERROR(__xludf.DUMMYFUNCTION("""COMPUTED_VALUE"""),"ef306e54")</f>
        <v>ef306e54</v>
      </c>
      <c r="G4124" s="211" t="str">
        <f>IFERROR(__xludf.DUMMYFUNCTION("""COMPUTED_VALUE"""),"Karbondioksida")</f>
        <v>Karbondioksida</v>
      </c>
      <c r="H4124" s="211" t="str">
        <f>IFERROR(__xludf.DUMMYFUNCTION("""COMPUTED_VALUE"""),"IN")</f>
        <v>IN</v>
      </c>
      <c r="I4124" s="211" t="str">
        <f>IFERROR(__xludf.DUMMYFUNCTION("""COMPUTED_VALUE"""),"EMPTY")</f>
        <v>EMPTY</v>
      </c>
      <c r="J4124" s="211">
        <f>IFERROR(__xludf.DUMMYFUNCTION("""COMPUTED_VALUE"""),1.0)</f>
        <v>1</v>
      </c>
      <c r="K4124" s="210" t="str">
        <f>IFERROR(__xludf.DUMMYFUNCTION("""COMPUTED_VALUE"""),"13003")</f>
        <v>13003</v>
      </c>
      <c r="L4124" s="211">
        <f>IFERROR(__xludf.DUMMYFUNCTION("""COMPUTED_VALUE"""),0.0)</f>
        <v>0</v>
      </c>
      <c r="M4124" s="211"/>
      <c r="N4124" s="211"/>
      <c r="O4124" s="211" t="b">
        <f>IFERROR(__xludf.DUMMYFUNCTION("""COMPUTED_VALUE"""),FALSE)</f>
        <v>0</v>
      </c>
    </row>
    <row r="4125">
      <c r="A4125" s="210" t="str">
        <f>IFERROR(__xludf.DUMMYFUNCTION("""COMPUTED_VALUE"""),"1261376")</f>
        <v>1261376</v>
      </c>
      <c r="B4125" s="210" t="str">
        <f>IFERROR(__xludf.DUMMYFUNCTION("""COMPUTED_VALUE"""),"1261376")</f>
        <v>1261376</v>
      </c>
      <c r="C4125" s="213">
        <f>IFERROR(__xludf.DUMMYFUNCTION("""COMPUTED_VALUE"""),46090.680185185185)</f>
        <v>46090.68019</v>
      </c>
      <c r="D4125" s="211" t="str">
        <f>IFERROR(__xludf.DUMMYFUNCTION("""COMPUTED_VALUE"""),"de41c3e8")</f>
        <v>de41c3e8</v>
      </c>
      <c r="E4125" s="211" t="str">
        <f>IFERROR(__xludf.DUMMYFUNCTION("""COMPUTED_VALUE"""),"Bpk. Eko Mianto")</f>
        <v>Bpk. Eko Mianto</v>
      </c>
      <c r="F4125" s="211" t="str">
        <f>IFERROR(__xludf.DUMMYFUNCTION("""COMPUTED_VALUE"""),"66af7c72")</f>
        <v>66af7c72</v>
      </c>
      <c r="G4125" s="211" t="str">
        <f>IFERROR(__xludf.DUMMYFUNCTION("""COMPUTED_VALUE"""),"Argon 6m3")</f>
        <v>Argon 6m3</v>
      </c>
      <c r="H4125" s="211" t="str">
        <f>IFERROR(__xludf.DUMMYFUNCTION("""COMPUTED_VALUE"""),"IN")</f>
        <v>IN</v>
      </c>
      <c r="I4125" s="211" t="str">
        <f>IFERROR(__xludf.DUMMYFUNCTION("""COMPUTED_VALUE"""),"EMPTY")</f>
        <v>EMPTY</v>
      </c>
      <c r="J4125" s="211">
        <f>IFERROR(__xludf.DUMMYFUNCTION("""COMPUTED_VALUE"""),1.0)</f>
        <v>1</v>
      </c>
      <c r="K4125" s="210" t="str">
        <f>IFERROR(__xludf.DUMMYFUNCTION("""COMPUTED_VALUE"""),"12077")</f>
        <v>12077</v>
      </c>
      <c r="L4125" s="211">
        <f>IFERROR(__xludf.DUMMYFUNCTION("""COMPUTED_VALUE"""),0.0)</f>
        <v>0</v>
      </c>
      <c r="M4125" s="211"/>
      <c r="N4125" s="211"/>
      <c r="O4125" s="211" t="b">
        <f>IFERROR(__xludf.DUMMYFUNCTION("""COMPUTED_VALUE"""),TRUE)</f>
        <v>1</v>
      </c>
    </row>
    <row r="4126">
      <c r="A4126" s="210" t="str">
        <f>IFERROR(__xludf.DUMMYFUNCTION("""COMPUTED_VALUE"""),"032682800")</f>
        <v>032682800</v>
      </c>
      <c r="B4126" s="210" t="str">
        <f>IFERROR(__xludf.DUMMYFUNCTION("""COMPUTED_VALUE"""),"032682800")</f>
        <v>032682800</v>
      </c>
      <c r="C4126" s="213">
        <f>IFERROR(__xludf.DUMMYFUNCTION("""COMPUTED_VALUE"""),46090.42612268519)</f>
        <v>46090.42612</v>
      </c>
      <c r="D4126" s="211" t="str">
        <f>IFERROR(__xludf.DUMMYFUNCTION("""COMPUTED_VALUE"""),"de41c3e8")</f>
        <v>de41c3e8</v>
      </c>
      <c r="E4126" s="211" t="str">
        <f>IFERROR(__xludf.DUMMYFUNCTION("""COMPUTED_VALUE"""),"Bpk. Eko Mianto")</f>
        <v>Bpk. Eko Mianto</v>
      </c>
      <c r="F4126" s="211" t="str">
        <f>IFERROR(__xludf.DUMMYFUNCTION("""COMPUTED_VALUE"""),"66af7c72")</f>
        <v>66af7c72</v>
      </c>
      <c r="G4126" s="211" t="str">
        <f>IFERROR(__xludf.DUMMYFUNCTION("""COMPUTED_VALUE"""),"Argon 6m3")</f>
        <v>Argon 6m3</v>
      </c>
      <c r="H4126" s="211" t="str">
        <f>IFERROR(__xludf.DUMMYFUNCTION("""COMPUTED_VALUE"""),"OUT")</f>
        <v>OUT</v>
      </c>
      <c r="I4126" s="211" t="str">
        <f>IFERROR(__xludf.DUMMYFUNCTION("""COMPUTED_VALUE"""),"NORMAL")</f>
        <v>NORMAL</v>
      </c>
      <c r="J4126" s="211">
        <f>IFERROR(__xludf.DUMMYFUNCTION("""COMPUTED_VALUE"""),1.0)</f>
        <v>1</v>
      </c>
      <c r="K4126" s="210" t="str">
        <f>IFERROR(__xludf.DUMMYFUNCTION("""COMPUTED_VALUE"""),"12073")</f>
        <v>12073</v>
      </c>
      <c r="L4126" s="211">
        <f>IFERROR(__xludf.DUMMYFUNCTION("""COMPUTED_VALUE"""),225000.0)</f>
        <v>225000</v>
      </c>
      <c r="M4126" s="211"/>
      <c r="N4126" s="211"/>
      <c r="O4126" s="211" t="b">
        <f>IFERROR(__xludf.DUMMYFUNCTION("""COMPUTED_VALUE"""),TRUE)</f>
        <v>1</v>
      </c>
    </row>
    <row r="4127">
      <c r="A4127" s="210" t="str">
        <f>IFERROR(__xludf.DUMMYFUNCTION("""COMPUTED_VALUE"""),"0326462842")</f>
        <v>0326462842</v>
      </c>
      <c r="B4127" s="210" t="str">
        <f>IFERROR(__xludf.DUMMYFUNCTION("""COMPUTED_VALUE"""),"0326462842")</f>
        <v>0326462842</v>
      </c>
      <c r="C4127" s="213">
        <f>IFERROR(__xludf.DUMMYFUNCTION("""COMPUTED_VALUE"""),46093.55886574074)</f>
        <v>46093.55887</v>
      </c>
      <c r="D4127" s="211" t="str">
        <f>IFERROR(__xludf.DUMMYFUNCTION("""COMPUTED_VALUE"""),"01158be1")</f>
        <v>01158be1</v>
      </c>
      <c r="E4127" s="211" t="str">
        <f>IFERROR(__xludf.DUMMYFUNCTION("""COMPUTED_VALUE"""),"GYF")</f>
        <v>GYF</v>
      </c>
      <c r="F4127" s="211" t="str">
        <f>IFERROR(__xludf.DUMMYFUNCTION("""COMPUTED_VALUE"""),"8bdbe149")</f>
        <v>8bdbe149</v>
      </c>
      <c r="G4127" s="211" t="str">
        <f>IFERROR(__xludf.DUMMYFUNCTION("""COMPUTED_VALUE"""),"Oksigen 6m3")</f>
        <v>Oksigen 6m3</v>
      </c>
      <c r="H4127" s="211" t="str">
        <f>IFERROR(__xludf.DUMMYFUNCTION("""COMPUTED_VALUE"""),"OUT")</f>
        <v>OUT</v>
      </c>
      <c r="I4127" s="211" t="str">
        <f>IFERROR(__xludf.DUMMYFUNCTION("""COMPUTED_VALUE"""),"NORMAL")</f>
        <v>NORMAL</v>
      </c>
      <c r="J4127" s="211">
        <f>IFERROR(__xludf.DUMMYFUNCTION("""COMPUTED_VALUE"""),10.0)</f>
        <v>10</v>
      </c>
      <c r="K4127" s="210" t="str">
        <f>IFERROR(__xludf.DUMMYFUNCTION("""COMPUTED_VALUE"""),"11346 11344 11365 11241 11261 11252 11258 11361 11100 1163")</f>
        <v>11346 11344 11365 11241 11261 11252 11258 11361 11100 1163</v>
      </c>
      <c r="L4127" s="211">
        <f>IFERROR(__xludf.DUMMYFUNCTION("""COMPUTED_VALUE"""),45000.0)</f>
        <v>45000</v>
      </c>
      <c r="M4127" s="211"/>
      <c r="N4127" s="211"/>
      <c r="O4127" s="211" t="b">
        <f>IFERROR(__xludf.DUMMYFUNCTION("""COMPUTED_VALUE"""),FALSE)</f>
        <v>0</v>
      </c>
    </row>
    <row r="4128">
      <c r="A4128" s="210" t="str">
        <f>IFERROR(__xludf.DUMMYFUNCTION("""COMPUTED_VALUE"""),"0326212845")</f>
        <v>0326212845</v>
      </c>
      <c r="B4128" s="210" t="str">
        <f>IFERROR(__xludf.DUMMYFUNCTION("""COMPUTED_VALUE"""),"0326212845")</f>
        <v>0326212845</v>
      </c>
      <c r="C4128" s="213">
        <f>IFERROR(__xludf.DUMMYFUNCTION("""COMPUTED_VALUE"""),46093.560648148145)</f>
        <v>46093.56065</v>
      </c>
      <c r="D4128" s="211" t="str">
        <f>IFERROR(__xludf.DUMMYFUNCTION("""COMPUTED_VALUE"""),"a0f0ad2d")</f>
        <v>a0f0ad2d</v>
      </c>
      <c r="E4128" s="211" t="str">
        <f>IFERROR(__xludf.DUMMYFUNCTION("""COMPUTED_VALUE"""),"CV. Yulie Jaya")</f>
        <v>CV. Yulie Jaya</v>
      </c>
      <c r="F4128" s="211" t="str">
        <f>IFERROR(__xludf.DUMMYFUNCTION("""COMPUTED_VALUE"""),"8bdbe149")</f>
        <v>8bdbe149</v>
      </c>
      <c r="G4128" s="211" t="str">
        <f>IFERROR(__xludf.DUMMYFUNCTION("""COMPUTED_VALUE"""),"Oksigen 6m3")</f>
        <v>Oksigen 6m3</v>
      </c>
      <c r="H4128" s="211" t="str">
        <f>IFERROR(__xludf.DUMMYFUNCTION("""COMPUTED_VALUE"""),"OUT")</f>
        <v>OUT</v>
      </c>
      <c r="I4128" s="211" t="str">
        <f>IFERROR(__xludf.DUMMYFUNCTION("""COMPUTED_VALUE"""),"NORMAL")</f>
        <v>NORMAL</v>
      </c>
      <c r="J4128" s="211">
        <f>IFERROR(__xludf.DUMMYFUNCTION("""COMPUTED_VALUE"""),8.0)</f>
        <v>8</v>
      </c>
      <c r="K4128" s="210" t="str">
        <f>IFERROR(__xludf.DUMMYFUNCTION("""COMPUTED_VALUE"""),"11133 1121 11127 1184 11134 1144 1199 11201")</f>
        <v>11133 1121 11127 1184 11134 1144 1199 11201</v>
      </c>
      <c r="L4128" s="211">
        <f>IFERROR(__xludf.DUMMYFUNCTION("""COMPUTED_VALUE"""),60000.0)</f>
        <v>60000</v>
      </c>
      <c r="M4128" s="211"/>
      <c r="N4128" s="211"/>
      <c r="O4128" s="211" t="b">
        <f>IFERROR(__xludf.DUMMYFUNCTION("""COMPUTED_VALUE"""),FALSE)</f>
        <v>0</v>
      </c>
    </row>
    <row r="4129">
      <c r="A4129" s="210" t="str">
        <f>IFERROR(__xludf.DUMMYFUNCTION("""COMPUTED_VALUE"""),"0326212845")</f>
        <v>0326212845</v>
      </c>
      <c r="B4129" s="210" t="str">
        <f>IFERROR(__xludf.DUMMYFUNCTION("""COMPUTED_VALUE"""),"0326212845")</f>
        <v>0326212845</v>
      </c>
      <c r="C4129" s="213">
        <f>IFERROR(__xludf.DUMMYFUNCTION("""COMPUTED_VALUE"""),46093.560648148145)</f>
        <v>46093.56065</v>
      </c>
      <c r="D4129" s="211" t="str">
        <f>IFERROR(__xludf.DUMMYFUNCTION("""COMPUTED_VALUE"""),"a0f0ad2d")</f>
        <v>a0f0ad2d</v>
      </c>
      <c r="E4129" s="211" t="str">
        <f>IFERROR(__xludf.DUMMYFUNCTION("""COMPUTED_VALUE"""),"CV. Yulie Jaya")</f>
        <v>CV. Yulie Jaya</v>
      </c>
      <c r="F4129" s="211" t="str">
        <f>IFERROR(__xludf.DUMMYFUNCTION("""COMPUTED_VALUE"""),"7d2764f1")</f>
        <v>7d2764f1</v>
      </c>
      <c r="G4129" s="211" t="str">
        <f>IFERROR(__xludf.DUMMYFUNCTION("""COMPUTED_VALUE"""),"Oksigen 7m3")</f>
        <v>Oksigen 7m3</v>
      </c>
      <c r="H4129" s="211" t="str">
        <f>IFERROR(__xludf.DUMMYFUNCTION("""COMPUTED_VALUE"""),"OUT")</f>
        <v>OUT</v>
      </c>
      <c r="I4129" s="211" t="str">
        <f>IFERROR(__xludf.DUMMYFUNCTION("""COMPUTED_VALUE"""),"NORMAL")</f>
        <v>NORMAL</v>
      </c>
      <c r="J4129" s="211">
        <f>IFERROR(__xludf.DUMMYFUNCTION("""COMPUTED_VALUE"""),2.0)</f>
        <v>2</v>
      </c>
      <c r="K4129" s="210" t="str">
        <f>IFERROR(__xludf.DUMMYFUNCTION("""COMPUTED_VALUE"""),"11163 11292")</f>
        <v>11163 11292</v>
      </c>
      <c r="L4129" s="211">
        <f>IFERROR(__xludf.DUMMYFUNCTION("""COMPUTED_VALUE"""),65000.0)</f>
        <v>65000</v>
      </c>
      <c r="M4129" s="211"/>
      <c r="N4129" s="211"/>
      <c r="O4129" s="211" t="b">
        <f>IFERROR(__xludf.DUMMYFUNCTION("""COMPUTED_VALUE"""),FALSE)</f>
        <v>0</v>
      </c>
    </row>
    <row r="4130">
      <c r="A4130" s="210" t="str">
        <f>IFERROR(__xludf.DUMMYFUNCTION("""COMPUTED_VALUE"""),"0326212845")</f>
        <v>0326212845</v>
      </c>
      <c r="B4130" s="210" t="str">
        <f>IFERROR(__xludf.DUMMYFUNCTION("""COMPUTED_VALUE"""),"0326212845")</f>
        <v>0326212845</v>
      </c>
      <c r="C4130" s="213">
        <f>IFERROR(__xludf.DUMMYFUNCTION("""COMPUTED_VALUE"""),46093.560648148145)</f>
        <v>46093.56065</v>
      </c>
      <c r="D4130" s="211" t="str">
        <f>IFERROR(__xludf.DUMMYFUNCTION("""COMPUTED_VALUE"""),"a0f0ad2d")</f>
        <v>a0f0ad2d</v>
      </c>
      <c r="E4130" s="211" t="str">
        <f>IFERROR(__xludf.DUMMYFUNCTION("""COMPUTED_VALUE"""),"CV. Yulie Jaya")</f>
        <v>CV. Yulie Jaya</v>
      </c>
      <c r="F4130" s="211" t="str">
        <f>IFERROR(__xludf.DUMMYFUNCTION("""COMPUTED_VALUE"""),"be525f3b")</f>
        <v>be525f3b</v>
      </c>
      <c r="G4130" s="211" t="str">
        <f>IFERROR(__xludf.DUMMYFUNCTION("""COMPUTED_VALUE"""),"LPG 12kg")</f>
        <v>LPG 12kg</v>
      </c>
      <c r="H4130" s="211" t="str">
        <f>IFERROR(__xludf.DUMMYFUNCTION("""COMPUTED_VALUE"""),"OUT")</f>
        <v>OUT</v>
      </c>
      <c r="I4130" s="211" t="str">
        <f>IFERROR(__xludf.DUMMYFUNCTION("""COMPUTED_VALUE"""),"NORMAL")</f>
        <v>NORMAL</v>
      </c>
      <c r="J4130" s="211">
        <f>IFERROR(__xludf.DUMMYFUNCTION("""COMPUTED_VALUE"""),2.0)</f>
        <v>2</v>
      </c>
      <c r="K4130" s="210" t="str">
        <f>IFERROR(__xludf.DUMMYFUNCTION("""COMPUTED_VALUE"""),"L003 L008")</f>
        <v>L003 L008</v>
      </c>
      <c r="L4130" s="211">
        <f>IFERROR(__xludf.DUMMYFUNCTION("""COMPUTED_VALUE"""),215000.0)</f>
        <v>215000</v>
      </c>
      <c r="M4130" s="211"/>
      <c r="N4130" s="211"/>
      <c r="O4130" s="211" t="b">
        <f>IFERROR(__xludf.DUMMYFUNCTION("""COMPUTED_VALUE"""),FALSE)</f>
        <v>0</v>
      </c>
    </row>
    <row r="4131">
      <c r="A4131" s="210" t="str">
        <f>IFERROR(__xludf.DUMMYFUNCTION("""COMPUTED_VALUE"""),"1261397")</f>
        <v>1261397</v>
      </c>
      <c r="B4131" s="210" t="str">
        <f>IFERROR(__xludf.DUMMYFUNCTION("""COMPUTED_VALUE"""),"1261397")</f>
        <v>1261397</v>
      </c>
      <c r="C4131" s="213">
        <f>IFERROR(__xludf.DUMMYFUNCTION("""COMPUTED_VALUE"""),46093.65510416667)</f>
        <v>46093.6551</v>
      </c>
      <c r="D4131" s="211" t="str">
        <f>IFERROR(__xludf.DUMMYFUNCTION("""COMPUTED_VALUE"""),"4ec68cf6")</f>
        <v>4ec68cf6</v>
      </c>
      <c r="E4131" s="211" t="str">
        <f>IFERROR(__xludf.DUMMYFUNCTION("""COMPUTED_VALUE"""),"CV Sido Mukti Karya")</f>
        <v>CV Sido Mukti Karya</v>
      </c>
      <c r="F4131" s="211" t="str">
        <f>IFERROR(__xludf.DUMMYFUNCTION("""COMPUTED_VALUE"""),"ef306e54")</f>
        <v>ef306e54</v>
      </c>
      <c r="G4131" s="211" t="str">
        <f>IFERROR(__xludf.DUMMYFUNCTION("""COMPUTED_VALUE"""),"Karbondioksida")</f>
        <v>Karbondioksida</v>
      </c>
      <c r="H4131" s="211" t="str">
        <f>IFERROR(__xludf.DUMMYFUNCTION("""COMPUTED_VALUE"""),"IN")</f>
        <v>IN</v>
      </c>
      <c r="I4131" s="211" t="str">
        <f>IFERROR(__xludf.DUMMYFUNCTION("""COMPUTED_VALUE"""),"EMPTY")</f>
        <v>EMPTY</v>
      </c>
      <c r="J4131" s="211">
        <f>IFERROR(__xludf.DUMMYFUNCTION("""COMPUTED_VALUE"""),2.0)</f>
        <v>2</v>
      </c>
      <c r="K4131" s="210" t="str">
        <f>IFERROR(__xludf.DUMMYFUNCTION("""COMPUTED_VALUE"""),"13072 13048")</f>
        <v>13072 13048</v>
      </c>
      <c r="L4131" s="211">
        <f>IFERROR(__xludf.DUMMYFUNCTION("""COMPUTED_VALUE"""),0.0)</f>
        <v>0</v>
      </c>
      <c r="M4131" s="211"/>
      <c r="N4131" s="211"/>
      <c r="O4131" s="211" t="b">
        <f>IFERROR(__xludf.DUMMYFUNCTION("""COMPUTED_VALUE"""),FALSE)</f>
        <v>0</v>
      </c>
    </row>
    <row r="4132">
      <c r="A4132" s="210" t="str">
        <f>IFERROR(__xludf.DUMMYFUNCTION("""COMPUTED_VALUE"""),"1261398")</f>
        <v>1261398</v>
      </c>
      <c r="B4132" s="210" t="str">
        <f>IFERROR(__xludf.DUMMYFUNCTION("""COMPUTED_VALUE"""),"1261398")</f>
        <v>1261398</v>
      </c>
      <c r="C4132" s="213">
        <f>IFERROR(__xludf.DUMMYFUNCTION("""COMPUTED_VALUE"""),46093.65545138889)</f>
        <v>46093.65545</v>
      </c>
      <c r="D4132" s="211" t="str">
        <f>IFERROR(__xludf.DUMMYFUNCTION("""COMPUTED_VALUE"""),"a0f0ad2d")</f>
        <v>a0f0ad2d</v>
      </c>
      <c r="E4132" s="211" t="str">
        <f>IFERROR(__xludf.DUMMYFUNCTION("""COMPUTED_VALUE"""),"CV. Yulie Jaya")</f>
        <v>CV. Yulie Jaya</v>
      </c>
      <c r="F4132" s="211" t="str">
        <f>IFERROR(__xludf.DUMMYFUNCTION("""COMPUTED_VALUE"""),"7d2764f1")</f>
        <v>7d2764f1</v>
      </c>
      <c r="G4132" s="211" t="str">
        <f>IFERROR(__xludf.DUMMYFUNCTION("""COMPUTED_VALUE"""),"Oksigen 7m3")</f>
        <v>Oksigen 7m3</v>
      </c>
      <c r="H4132" s="211" t="str">
        <f>IFERROR(__xludf.DUMMYFUNCTION("""COMPUTED_VALUE"""),"IN")</f>
        <v>IN</v>
      </c>
      <c r="I4132" s="211" t="str">
        <f>IFERROR(__xludf.DUMMYFUNCTION("""COMPUTED_VALUE"""),"EMPTY")</f>
        <v>EMPTY</v>
      </c>
      <c r="J4132" s="211">
        <f>IFERROR(__xludf.DUMMYFUNCTION("""COMPUTED_VALUE"""),1.0)</f>
        <v>1</v>
      </c>
      <c r="K4132" s="210" t="str">
        <f>IFERROR(__xludf.DUMMYFUNCTION("""COMPUTED_VALUE"""),"11299")</f>
        <v>11299</v>
      </c>
      <c r="L4132" s="211">
        <f>IFERROR(__xludf.DUMMYFUNCTION("""COMPUTED_VALUE"""),0.0)</f>
        <v>0</v>
      </c>
      <c r="M4132" s="211"/>
      <c r="N4132" s="211"/>
      <c r="O4132" s="211" t="b">
        <f>IFERROR(__xludf.DUMMYFUNCTION("""COMPUTED_VALUE"""),FALSE)</f>
        <v>0</v>
      </c>
    </row>
    <row r="4133">
      <c r="A4133" s="210" t="str">
        <f>IFERROR(__xludf.DUMMYFUNCTION("""COMPUTED_VALUE"""),"1261398")</f>
        <v>1261398</v>
      </c>
      <c r="B4133" s="210" t="str">
        <f>IFERROR(__xludf.DUMMYFUNCTION("""COMPUTED_VALUE"""),"1261398")</f>
        <v>1261398</v>
      </c>
      <c r="C4133" s="213">
        <f>IFERROR(__xludf.DUMMYFUNCTION("""COMPUTED_VALUE"""),46093.65545138889)</f>
        <v>46093.65545</v>
      </c>
      <c r="D4133" s="211" t="str">
        <f>IFERROR(__xludf.DUMMYFUNCTION("""COMPUTED_VALUE"""),"a0f0ad2d")</f>
        <v>a0f0ad2d</v>
      </c>
      <c r="E4133" s="211" t="str">
        <f>IFERROR(__xludf.DUMMYFUNCTION("""COMPUTED_VALUE"""),"CV. Yulie Jaya")</f>
        <v>CV. Yulie Jaya</v>
      </c>
      <c r="F4133" s="211" t="str">
        <f>IFERROR(__xludf.DUMMYFUNCTION("""COMPUTED_VALUE"""),"8bdbe149")</f>
        <v>8bdbe149</v>
      </c>
      <c r="G4133" s="211" t="str">
        <f>IFERROR(__xludf.DUMMYFUNCTION("""COMPUTED_VALUE"""),"Oksigen 6m3")</f>
        <v>Oksigen 6m3</v>
      </c>
      <c r="H4133" s="211" t="str">
        <f>IFERROR(__xludf.DUMMYFUNCTION("""COMPUTED_VALUE"""),"IN")</f>
        <v>IN</v>
      </c>
      <c r="I4133" s="211" t="str">
        <f>IFERROR(__xludf.DUMMYFUNCTION("""COMPUTED_VALUE"""),"EMPTY")</f>
        <v>EMPTY</v>
      </c>
      <c r="J4133" s="211">
        <f>IFERROR(__xludf.DUMMYFUNCTION("""COMPUTED_VALUE"""),3.0)</f>
        <v>3</v>
      </c>
      <c r="K4133" s="210" t="str">
        <f>IFERROR(__xludf.DUMMYFUNCTION("""COMPUTED_VALUE"""),"11367 11123 11115")</f>
        <v>11367 11123 11115</v>
      </c>
      <c r="L4133" s="211">
        <f>IFERROR(__xludf.DUMMYFUNCTION("""COMPUTED_VALUE"""),0.0)</f>
        <v>0</v>
      </c>
      <c r="M4133" s="211"/>
      <c r="N4133" s="211"/>
      <c r="O4133" s="211" t="b">
        <f>IFERROR(__xludf.DUMMYFUNCTION("""COMPUTED_VALUE"""),FALSE)</f>
        <v>0</v>
      </c>
    </row>
    <row r="4134">
      <c r="A4134" s="210" t="str">
        <f>IFERROR(__xludf.DUMMYFUNCTION("""COMPUTED_VALUE"""),"1261398")</f>
        <v>1261398</v>
      </c>
      <c r="B4134" s="210" t="str">
        <f>IFERROR(__xludf.DUMMYFUNCTION("""COMPUTED_VALUE"""),"1261398")</f>
        <v>1261398</v>
      </c>
      <c r="C4134" s="213">
        <f>IFERROR(__xludf.DUMMYFUNCTION("""COMPUTED_VALUE"""),46093.65545138889)</f>
        <v>46093.65545</v>
      </c>
      <c r="D4134" s="211" t="str">
        <f>IFERROR(__xludf.DUMMYFUNCTION("""COMPUTED_VALUE"""),"a0f0ad2d")</f>
        <v>a0f0ad2d</v>
      </c>
      <c r="E4134" s="211" t="str">
        <f>IFERROR(__xludf.DUMMYFUNCTION("""COMPUTED_VALUE"""),"CV. Yulie Jaya")</f>
        <v>CV. Yulie Jaya</v>
      </c>
      <c r="F4134" s="211" t="str">
        <f>IFERROR(__xludf.DUMMYFUNCTION("""COMPUTED_VALUE"""),"be525f3b")</f>
        <v>be525f3b</v>
      </c>
      <c r="G4134" s="211" t="str">
        <f>IFERROR(__xludf.DUMMYFUNCTION("""COMPUTED_VALUE"""),"LPG 12kg")</f>
        <v>LPG 12kg</v>
      </c>
      <c r="H4134" s="211" t="str">
        <f>IFERROR(__xludf.DUMMYFUNCTION("""COMPUTED_VALUE"""),"IN")</f>
        <v>IN</v>
      </c>
      <c r="I4134" s="211" t="str">
        <f>IFERROR(__xludf.DUMMYFUNCTION("""COMPUTED_VALUE"""),"EMPTY")</f>
        <v>EMPTY</v>
      </c>
      <c r="J4134" s="211">
        <f>IFERROR(__xludf.DUMMYFUNCTION("""COMPUTED_VALUE"""),2.0)</f>
        <v>2</v>
      </c>
      <c r="K4134" s="210" t="str">
        <f>IFERROR(__xludf.DUMMYFUNCTION("""COMPUTED_VALUE"""),"L0011 L0010")</f>
        <v>L0011 L0010</v>
      </c>
      <c r="L4134" s="211">
        <f>IFERROR(__xludf.DUMMYFUNCTION("""COMPUTED_VALUE"""),0.0)</f>
        <v>0</v>
      </c>
      <c r="M4134" s="211"/>
      <c r="N4134" s="211"/>
      <c r="O4134" s="211" t="b">
        <f>IFERROR(__xludf.DUMMYFUNCTION("""COMPUTED_VALUE"""),FALSE)</f>
        <v>0</v>
      </c>
    </row>
    <row r="4135">
      <c r="A4135" s="210" t="str">
        <f>IFERROR(__xludf.DUMMYFUNCTION("""COMPUTED_VALUE"""),"032632846")</f>
        <v>032632846</v>
      </c>
      <c r="B4135" s="210" t="str">
        <f>IFERROR(__xludf.DUMMYFUNCTION("""COMPUTED_VALUE"""),"032632846")</f>
        <v>032632846</v>
      </c>
      <c r="C4135" s="213">
        <f>IFERROR(__xludf.DUMMYFUNCTION("""COMPUTED_VALUE"""),46094.34043981481)</f>
        <v>46094.34044</v>
      </c>
      <c r="D4135" s="211" t="str">
        <f>IFERROR(__xludf.DUMMYFUNCTION("""COMPUTED_VALUE"""),"02c693f1")</f>
        <v>02c693f1</v>
      </c>
      <c r="E4135" s="211" t="str">
        <f>IFERROR(__xludf.DUMMYFUNCTION("""COMPUTED_VALUE"""),"Bpk. Rudi Jaya")</f>
        <v>Bpk. Rudi Jaya</v>
      </c>
      <c r="F4135" s="211" t="str">
        <f>IFERROR(__xludf.DUMMYFUNCTION("""COMPUTED_VALUE"""),"8bdbe149")</f>
        <v>8bdbe149</v>
      </c>
      <c r="G4135" s="211" t="str">
        <f>IFERROR(__xludf.DUMMYFUNCTION("""COMPUTED_VALUE"""),"Oksigen 6m3")</f>
        <v>Oksigen 6m3</v>
      </c>
      <c r="H4135" s="211" t="str">
        <f>IFERROR(__xludf.DUMMYFUNCTION("""COMPUTED_VALUE"""),"OUT")</f>
        <v>OUT</v>
      </c>
      <c r="I4135" s="211" t="str">
        <f>IFERROR(__xludf.DUMMYFUNCTION("""COMPUTED_VALUE"""),"NORMAL")</f>
        <v>NORMAL</v>
      </c>
      <c r="J4135" s="211">
        <f>IFERROR(__xludf.DUMMYFUNCTION("""COMPUTED_VALUE"""),3.0)</f>
        <v>3</v>
      </c>
      <c r="K4135" s="210" t="str">
        <f>IFERROR(__xludf.DUMMYFUNCTION("""COMPUTED_VALUE"""),"11115 11367 11123")</f>
        <v>11115 11367 11123</v>
      </c>
      <c r="L4135" s="211">
        <f>IFERROR(__xludf.DUMMYFUNCTION("""COMPUTED_VALUE"""),70000.0)</f>
        <v>70000</v>
      </c>
      <c r="M4135" s="211"/>
      <c r="N4135" s="211"/>
      <c r="O4135" s="211" t="b">
        <f>IFERROR(__xludf.DUMMYFUNCTION("""COMPUTED_VALUE"""),FALSE)</f>
        <v>0</v>
      </c>
    </row>
    <row r="4136">
      <c r="A4136" s="210" t="str">
        <f>IFERROR(__xludf.DUMMYFUNCTION("""COMPUTED_VALUE"""),"032632846")</f>
        <v>032632846</v>
      </c>
      <c r="B4136" s="210" t="str">
        <f>IFERROR(__xludf.DUMMYFUNCTION("""COMPUTED_VALUE"""),"032632846")</f>
        <v>032632846</v>
      </c>
      <c r="C4136" s="213">
        <f>IFERROR(__xludf.DUMMYFUNCTION("""COMPUTED_VALUE"""),46094.34043981481)</f>
        <v>46094.34044</v>
      </c>
      <c r="D4136" s="211" t="str">
        <f>IFERROR(__xludf.DUMMYFUNCTION("""COMPUTED_VALUE"""),"02c693f1")</f>
        <v>02c693f1</v>
      </c>
      <c r="E4136" s="211" t="str">
        <f>IFERROR(__xludf.DUMMYFUNCTION("""COMPUTED_VALUE"""),"Bpk. Rudi Jaya")</f>
        <v>Bpk. Rudi Jaya</v>
      </c>
      <c r="F4136" s="211" t="str">
        <f>IFERROR(__xludf.DUMMYFUNCTION("""COMPUTED_VALUE"""),"7d2764f1")</f>
        <v>7d2764f1</v>
      </c>
      <c r="G4136" s="211" t="str">
        <f>IFERROR(__xludf.DUMMYFUNCTION("""COMPUTED_VALUE"""),"Oksigen 7m3")</f>
        <v>Oksigen 7m3</v>
      </c>
      <c r="H4136" s="211" t="str">
        <f>IFERROR(__xludf.DUMMYFUNCTION("""COMPUTED_VALUE"""),"OUT")</f>
        <v>OUT</v>
      </c>
      <c r="I4136" s="211" t="str">
        <f>IFERROR(__xludf.DUMMYFUNCTION("""COMPUTED_VALUE"""),"NORMAL")</f>
        <v>NORMAL</v>
      </c>
      <c r="J4136" s="211">
        <f>IFERROR(__xludf.DUMMYFUNCTION("""COMPUTED_VALUE"""),1.0)</f>
        <v>1</v>
      </c>
      <c r="K4136" s="210" t="str">
        <f>IFERROR(__xludf.DUMMYFUNCTION("""COMPUTED_VALUE"""),"11299")</f>
        <v>11299</v>
      </c>
      <c r="L4136" s="211">
        <f>IFERROR(__xludf.DUMMYFUNCTION("""COMPUTED_VALUE"""),70000.0)</f>
        <v>70000</v>
      </c>
      <c r="M4136" s="211"/>
      <c r="N4136" s="211"/>
      <c r="O4136" s="211" t="b">
        <f>IFERROR(__xludf.DUMMYFUNCTION("""COMPUTED_VALUE"""),FALSE)</f>
        <v>0</v>
      </c>
    </row>
    <row r="4137">
      <c r="A4137" s="210" t="str">
        <f>IFERROR(__xludf.DUMMYFUNCTION("""COMPUTED_VALUE"""),"1261399")</f>
        <v>1261399</v>
      </c>
      <c r="B4137" s="210" t="str">
        <f>IFERROR(__xludf.DUMMYFUNCTION("""COMPUTED_VALUE"""),"1261399")</f>
        <v>1261399</v>
      </c>
      <c r="C4137" s="213">
        <f>IFERROR(__xludf.DUMMYFUNCTION("""COMPUTED_VALUE"""),46094.57670138889)</f>
        <v>46094.5767</v>
      </c>
      <c r="D4137" s="211" t="str">
        <f>IFERROR(__xludf.DUMMYFUNCTION("""COMPUTED_VALUE"""),"02c693f1")</f>
        <v>02c693f1</v>
      </c>
      <c r="E4137" s="211" t="str">
        <f>IFERROR(__xludf.DUMMYFUNCTION("""COMPUTED_VALUE"""),"Bpk. Rudi Jaya")</f>
        <v>Bpk. Rudi Jaya</v>
      </c>
      <c r="F4137" s="211" t="str">
        <f>IFERROR(__xludf.DUMMYFUNCTION("""COMPUTED_VALUE"""),"8bdbe149")</f>
        <v>8bdbe149</v>
      </c>
      <c r="G4137" s="211" t="str">
        <f>IFERROR(__xludf.DUMMYFUNCTION("""COMPUTED_VALUE"""),"Oksigen 6m3")</f>
        <v>Oksigen 6m3</v>
      </c>
      <c r="H4137" s="211" t="str">
        <f>IFERROR(__xludf.DUMMYFUNCTION("""COMPUTED_VALUE"""),"IN")</f>
        <v>IN</v>
      </c>
      <c r="I4137" s="211" t="str">
        <f>IFERROR(__xludf.DUMMYFUNCTION("""COMPUTED_VALUE"""),"EMPTY")</f>
        <v>EMPTY</v>
      </c>
      <c r="J4137" s="211">
        <f>IFERROR(__xludf.DUMMYFUNCTION("""COMPUTED_VALUE"""),4.0)</f>
        <v>4</v>
      </c>
      <c r="K4137" s="210" t="str">
        <f>IFERROR(__xludf.DUMMYFUNCTION("""COMPUTED_VALUE"""),"1196 1117 1157 11186")</f>
        <v>1196 1117 1157 11186</v>
      </c>
      <c r="L4137" s="211">
        <f>IFERROR(__xludf.DUMMYFUNCTION("""COMPUTED_VALUE"""),0.0)</f>
        <v>0</v>
      </c>
      <c r="M4137" s="211"/>
      <c r="N4137" s="211"/>
      <c r="O4137" s="211" t="b">
        <f>IFERROR(__xludf.DUMMYFUNCTION("""COMPUTED_VALUE"""),FALSE)</f>
        <v>0</v>
      </c>
    </row>
    <row r="4138">
      <c r="A4138" s="210" t="str">
        <f>IFERROR(__xludf.DUMMYFUNCTION("""COMPUTED_VALUE"""),"032682849")</f>
        <v>032682849</v>
      </c>
      <c r="B4138" s="210" t="str">
        <f>IFERROR(__xludf.DUMMYFUNCTION("""COMPUTED_VALUE"""),"032682849")</f>
        <v>032682849</v>
      </c>
      <c r="C4138" s="213">
        <f>IFERROR(__xludf.DUMMYFUNCTION("""COMPUTED_VALUE"""),46094.57302083333)</f>
        <v>46094.57302</v>
      </c>
      <c r="D4138" s="211" t="str">
        <f>IFERROR(__xludf.DUMMYFUNCTION("""COMPUTED_VALUE"""),"d9b2fac5")</f>
        <v>d9b2fac5</v>
      </c>
      <c r="E4138" s="211" t="str">
        <f>IFERROR(__xludf.DUMMYFUNCTION("""COMPUTED_VALUE"""),"Dwi Riza ( Ponokawan)")</f>
        <v>Dwi Riza ( Ponokawan)</v>
      </c>
      <c r="F4138" s="211" t="str">
        <f>IFERROR(__xludf.DUMMYFUNCTION("""COMPUTED_VALUE"""),"8bdbe149")</f>
        <v>8bdbe149</v>
      </c>
      <c r="G4138" s="211" t="str">
        <f>IFERROR(__xludf.DUMMYFUNCTION("""COMPUTED_VALUE"""),"Oksigen 6m3")</f>
        <v>Oksigen 6m3</v>
      </c>
      <c r="H4138" s="211" t="str">
        <f>IFERROR(__xludf.DUMMYFUNCTION("""COMPUTED_VALUE"""),"OUT")</f>
        <v>OUT</v>
      </c>
      <c r="I4138" s="211" t="str">
        <f>IFERROR(__xludf.DUMMYFUNCTION("""COMPUTED_VALUE"""),"NORMAL")</f>
        <v>NORMAL</v>
      </c>
      <c r="J4138" s="211">
        <f>IFERROR(__xludf.DUMMYFUNCTION("""COMPUTED_VALUE"""),3.0)</f>
        <v>3</v>
      </c>
      <c r="K4138" s="210" t="str">
        <f>IFERROR(__xludf.DUMMYFUNCTION("""COMPUTED_VALUE"""),"11186 1164 1207")</f>
        <v>11186 1164 1207</v>
      </c>
      <c r="L4138" s="211">
        <f>IFERROR(__xludf.DUMMYFUNCTION("""COMPUTED_VALUE"""),50000.0)</f>
        <v>50000</v>
      </c>
      <c r="M4138" s="211"/>
      <c r="N4138" s="211"/>
      <c r="O4138" s="211" t="b">
        <f>IFERROR(__xludf.DUMMYFUNCTION("""COMPUTED_VALUE"""),FALSE)</f>
        <v>0</v>
      </c>
    </row>
    <row r="4139">
      <c r="A4139" s="210" t="str">
        <f>IFERROR(__xludf.DUMMYFUNCTION("""COMPUTED_VALUE"""),"1261400")</f>
        <v>1261400</v>
      </c>
      <c r="B4139" s="210" t="str">
        <f>IFERROR(__xludf.DUMMYFUNCTION("""COMPUTED_VALUE"""),"1261400")</f>
        <v>1261400</v>
      </c>
      <c r="C4139" s="213">
        <f>IFERROR(__xludf.DUMMYFUNCTION("""COMPUTED_VALUE"""),46094.577199074076)</f>
        <v>46094.5772</v>
      </c>
      <c r="D4139" s="211" t="str">
        <f>IFERROR(__xludf.DUMMYFUNCTION("""COMPUTED_VALUE"""),"ba97d58d")</f>
        <v>ba97d58d</v>
      </c>
      <c r="E4139" s="211" t="str">
        <f>IFERROR(__xludf.DUMMYFUNCTION("""COMPUTED_VALUE"""),"Bengkel Citra Mojosari")</f>
        <v>Bengkel Citra Mojosari</v>
      </c>
      <c r="F4139" s="211" t="str">
        <f>IFERROR(__xludf.DUMMYFUNCTION("""COMPUTED_VALUE"""),"8bdbe149")</f>
        <v>8bdbe149</v>
      </c>
      <c r="G4139" s="211" t="str">
        <f>IFERROR(__xludf.DUMMYFUNCTION("""COMPUTED_VALUE"""),"Oksigen 6m3")</f>
        <v>Oksigen 6m3</v>
      </c>
      <c r="H4139" s="211" t="str">
        <f>IFERROR(__xludf.DUMMYFUNCTION("""COMPUTED_VALUE"""),"IN")</f>
        <v>IN</v>
      </c>
      <c r="I4139" s="211" t="str">
        <f>IFERROR(__xludf.DUMMYFUNCTION("""COMPUTED_VALUE"""),"EMPTY")</f>
        <v>EMPTY</v>
      </c>
      <c r="J4139" s="211">
        <f>IFERROR(__xludf.DUMMYFUNCTION("""COMPUTED_VALUE"""),1.0)</f>
        <v>1</v>
      </c>
      <c r="K4139" s="210" t="str">
        <f>IFERROR(__xludf.DUMMYFUNCTION("""COMPUTED_VALUE"""),"11192")</f>
        <v>11192</v>
      </c>
      <c r="L4139" s="211">
        <f>IFERROR(__xludf.DUMMYFUNCTION("""COMPUTED_VALUE"""),0.0)</f>
        <v>0</v>
      </c>
      <c r="M4139" s="211"/>
      <c r="N4139" s="211"/>
      <c r="O4139" s="211" t="b">
        <f>IFERROR(__xludf.DUMMYFUNCTION("""COMPUTED_VALUE"""),FALSE)</f>
        <v>0</v>
      </c>
    </row>
    <row r="4140">
      <c r="A4140" s="210" t="str">
        <f>IFERROR(__xludf.DUMMYFUNCTION("""COMPUTED_VALUE"""),"1261400")</f>
        <v>1261400</v>
      </c>
      <c r="B4140" s="210" t="str">
        <f>IFERROR(__xludf.DUMMYFUNCTION("""COMPUTED_VALUE"""),"1261400")</f>
        <v>1261400</v>
      </c>
      <c r="C4140" s="213">
        <f>IFERROR(__xludf.DUMMYFUNCTION("""COMPUTED_VALUE"""),46094.577199074076)</f>
        <v>46094.5772</v>
      </c>
      <c r="D4140" s="211" t="str">
        <f>IFERROR(__xludf.DUMMYFUNCTION("""COMPUTED_VALUE"""),"ba97d58d")</f>
        <v>ba97d58d</v>
      </c>
      <c r="E4140" s="211" t="str">
        <f>IFERROR(__xludf.DUMMYFUNCTION("""COMPUTED_VALUE"""),"Bengkel Citra Mojosari")</f>
        <v>Bengkel Citra Mojosari</v>
      </c>
      <c r="F4140" s="211" t="str">
        <f>IFERROR(__xludf.DUMMYFUNCTION("""COMPUTED_VALUE"""),"8bdbe149")</f>
        <v>8bdbe149</v>
      </c>
      <c r="G4140" s="211" t="str">
        <f>IFERROR(__xludf.DUMMYFUNCTION("""COMPUTED_VALUE"""),"Oksigen 6m3")</f>
        <v>Oksigen 6m3</v>
      </c>
      <c r="H4140" s="211" t="str">
        <f>IFERROR(__xludf.DUMMYFUNCTION("""COMPUTED_VALUE"""),"IN")</f>
        <v>IN</v>
      </c>
      <c r="I4140" s="211" t="str">
        <f>IFERROR(__xludf.DUMMYFUNCTION("""COMPUTED_VALUE"""),"EMPTY")</f>
        <v>EMPTY</v>
      </c>
      <c r="J4140" s="211">
        <f>IFERROR(__xludf.DUMMYFUNCTION("""COMPUTED_VALUE"""),1.0)</f>
        <v>1</v>
      </c>
      <c r="K4140" s="210" t="str">
        <f>IFERROR(__xludf.DUMMYFUNCTION("""COMPUTED_VALUE"""),"11126")</f>
        <v>11126</v>
      </c>
      <c r="L4140" s="211">
        <f>IFERROR(__xludf.DUMMYFUNCTION("""COMPUTED_VALUE"""),0.0)</f>
        <v>0</v>
      </c>
      <c r="M4140" s="211"/>
      <c r="N4140" s="211"/>
      <c r="O4140" s="211" t="b">
        <f>IFERROR(__xludf.DUMMYFUNCTION("""COMPUTED_VALUE"""),TRUE)</f>
        <v>1</v>
      </c>
    </row>
    <row r="4141">
      <c r="A4141" s="210" t="str">
        <f>IFERROR(__xludf.DUMMYFUNCTION("""COMPUTED_VALUE"""),"0326122850")</f>
        <v>0326122850</v>
      </c>
      <c r="B4141" s="210" t="str">
        <f>IFERROR(__xludf.DUMMYFUNCTION("""COMPUTED_VALUE"""),"0326122850")</f>
        <v>0326122850</v>
      </c>
      <c r="C4141" s="213">
        <f>IFERROR(__xludf.DUMMYFUNCTION("""COMPUTED_VALUE"""),46094.5787037037)</f>
        <v>46094.5787</v>
      </c>
      <c r="D4141" s="211" t="str">
        <f>IFERROR(__xludf.DUMMYFUNCTION("""COMPUTED_VALUE"""),"1c4d5e93")</f>
        <v>1c4d5e93</v>
      </c>
      <c r="E4141" s="211" t="str">
        <f>IFERROR(__xludf.DUMMYFUNCTION("""COMPUTED_VALUE"""),"Karoseri Cipta Mitra Sukses")</f>
        <v>Karoseri Cipta Mitra Sukses</v>
      </c>
      <c r="F4141" s="211" t="str">
        <f>IFERROR(__xludf.DUMMYFUNCTION("""COMPUTED_VALUE"""),"8bdbe149")</f>
        <v>8bdbe149</v>
      </c>
      <c r="G4141" s="211" t="str">
        <f>IFERROR(__xludf.DUMMYFUNCTION("""COMPUTED_VALUE"""),"Oksigen 6m3")</f>
        <v>Oksigen 6m3</v>
      </c>
      <c r="H4141" s="211" t="str">
        <f>IFERROR(__xludf.DUMMYFUNCTION("""COMPUTED_VALUE"""),"OUT")</f>
        <v>OUT</v>
      </c>
      <c r="I4141" s="211" t="str">
        <f>IFERROR(__xludf.DUMMYFUNCTION("""COMPUTED_VALUE"""),"NORMAL")</f>
        <v>NORMAL</v>
      </c>
      <c r="J4141" s="211">
        <f>IFERROR(__xludf.DUMMYFUNCTION("""COMPUTED_VALUE"""),3.0)</f>
        <v>3</v>
      </c>
      <c r="K4141" s="210" t="str">
        <f>IFERROR(__xludf.DUMMYFUNCTION("""COMPUTED_VALUE"""),"1115 1157 11345")</f>
        <v>1115 1157 11345</v>
      </c>
      <c r="L4141" s="211">
        <f>IFERROR(__xludf.DUMMYFUNCTION("""COMPUTED_VALUE"""),60000.0)</f>
        <v>60000</v>
      </c>
      <c r="M4141" s="211"/>
      <c r="N4141" s="211"/>
      <c r="O4141" s="211" t="b">
        <f>IFERROR(__xludf.DUMMYFUNCTION("""COMPUTED_VALUE"""),FALSE)</f>
        <v>0</v>
      </c>
    </row>
    <row r="4142">
      <c r="A4142" s="210" t="str">
        <f>IFERROR(__xludf.DUMMYFUNCTION("""COMPUTED_VALUE"""),"0326122850")</f>
        <v>0326122850</v>
      </c>
      <c r="B4142" s="210" t="str">
        <f>IFERROR(__xludf.DUMMYFUNCTION("""COMPUTED_VALUE"""),"0326122850")</f>
        <v>0326122850</v>
      </c>
      <c r="C4142" s="213">
        <f>IFERROR(__xludf.DUMMYFUNCTION("""COMPUTED_VALUE"""),46094.5787037037)</f>
        <v>46094.5787</v>
      </c>
      <c r="D4142" s="211" t="str">
        <f>IFERROR(__xludf.DUMMYFUNCTION("""COMPUTED_VALUE"""),"1c4d5e93")</f>
        <v>1c4d5e93</v>
      </c>
      <c r="E4142" s="211" t="str">
        <f>IFERROR(__xludf.DUMMYFUNCTION("""COMPUTED_VALUE"""),"Karoseri Cipta Mitra Sukses")</f>
        <v>Karoseri Cipta Mitra Sukses</v>
      </c>
      <c r="F4142" s="211" t="str">
        <f>IFERROR(__xludf.DUMMYFUNCTION("""COMPUTED_VALUE"""),"ef306e54")</f>
        <v>ef306e54</v>
      </c>
      <c r="G4142" s="211" t="str">
        <f>IFERROR(__xludf.DUMMYFUNCTION("""COMPUTED_VALUE"""),"Karbondioksida")</f>
        <v>Karbondioksida</v>
      </c>
      <c r="H4142" s="211" t="str">
        <f>IFERROR(__xludf.DUMMYFUNCTION("""COMPUTED_VALUE"""),"OUT")</f>
        <v>OUT</v>
      </c>
      <c r="I4142" s="211" t="str">
        <f>IFERROR(__xludf.DUMMYFUNCTION("""COMPUTED_VALUE"""),"NORMAL")</f>
        <v>NORMAL</v>
      </c>
      <c r="J4142" s="211">
        <f>IFERROR(__xludf.DUMMYFUNCTION("""COMPUTED_VALUE"""),4.0)</f>
        <v>4</v>
      </c>
      <c r="K4142" s="210" t="str">
        <f>IFERROR(__xludf.DUMMYFUNCTION("""COMPUTED_VALUE"""),"13037 13003 13034 13023")</f>
        <v>13037 13003 13034 13023</v>
      </c>
      <c r="L4142" s="211">
        <f>IFERROR(__xludf.DUMMYFUNCTION("""COMPUTED_VALUE"""),190000.0)</f>
        <v>190000</v>
      </c>
      <c r="M4142" s="211"/>
      <c r="N4142" s="211"/>
      <c r="O4142" s="211" t="b">
        <f>IFERROR(__xludf.DUMMYFUNCTION("""COMPUTED_VALUE"""),FALSE)</f>
        <v>0</v>
      </c>
    </row>
    <row r="4143">
      <c r="A4143" s="211"/>
      <c r="B4143" s="211"/>
      <c r="C4143" s="211"/>
      <c r="D4143" s="211"/>
      <c r="E4143" s="211"/>
      <c r="F4143" s="211"/>
      <c r="G4143" s="211"/>
      <c r="H4143" s="211"/>
      <c r="I4143" s="211"/>
      <c r="J4143" s="211"/>
      <c r="K4143" s="211"/>
      <c r="L4143" s="211"/>
      <c r="M4143" s="211"/>
      <c r="N4143" s="211"/>
      <c r="O4143" s="211"/>
    </row>
    <row r="4144">
      <c r="A4144" s="211"/>
      <c r="B4144" s="211"/>
      <c r="C4144" s="211"/>
      <c r="D4144" s="211"/>
      <c r="E4144" s="211"/>
      <c r="F4144" s="211"/>
      <c r="G4144" s="211"/>
      <c r="H4144" s="211"/>
      <c r="I4144" s="211"/>
      <c r="J4144" s="211"/>
      <c r="K4144" s="211"/>
      <c r="L4144" s="211"/>
      <c r="M4144" s="211"/>
      <c r="N4144" s="211"/>
      <c r="O4144" s="211"/>
    </row>
    <row r="4145">
      <c r="A4145" s="210" t="str">
        <f>IFERROR(__xludf.DUMMYFUNCTION("""COMPUTED_VALUE"""),"0326102853")</f>
        <v>0326102853</v>
      </c>
      <c r="B4145" s="210" t="str">
        <f>IFERROR(__xludf.DUMMYFUNCTION("""COMPUTED_VALUE"""),"0326102853")</f>
        <v>0326102853</v>
      </c>
      <c r="C4145" s="213">
        <f>IFERROR(__xludf.DUMMYFUNCTION("""COMPUTED_VALUE"""),46094.58085648148)</f>
        <v>46094.58086</v>
      </c>
      <c r="D4145" s="211" t="str">
        <f>IFERROR(__xludf.DUMMYFUNCTION("""COMPUTED_VALUE"""),"de41c3e8")</f>
        <v>de41c3e8</v>
      </c>
      <c r="E4145" s="211" t="str">
        <f>IFERROR(__xludf.DUMMYFUNCTION("""COMPUTED_VALUE"""),"Bpk. Eko Mianto")</f>
        <v>Bpk. Eko Mianto</v>
      </c>
      <c r="F4145" s="211" t="str">
        <f>IFERROR(__xludf.DUMMYFUNCTION("""COMPUTED_VALUE"""),"66af7c72")</f>
        <v>66af7c72</v>
      </c>
      <c r="G4145" s="211" t="str">
        <f>IFERROR(__xludf.DUMMYFUNCTION("""COMPUTED_VALUE"""),"Argon 6m3")</f>
        <v>Argon 6m3</v>
      </c>
      <c r="H4145" s="211" t="str">
        <f>IFERROR(__xludf.DUMMYFUNCTION("""COMPUTED_VALUE"""),"OUT")</f>
        <v>OUT</v>
      </c>
      <c r="I4145" s="211" t="str">
        <f>IFERROR(__xludf.DUMMYFUNCTION("""COMPUTED_VALUE"""),"NORMAL")</f>
        <v>NORMAL</v>
      </c>
      <c r="J4145" s="211">
        <f>IFERROR(__xludf.DUMMYFUNCTION("""COMPUTED_VALUE"""),2.0)</f>
        <v>2</v>
      </c>
      <c r="K4145" s="210" t="str">
        <f>IFERROR(__xludf.DUMMYFUNCTION("""COMPUTED_VALUE"""),"12028 12069")</f>
        <v>12028 12069</v>
      </c>
      <c r="L4145" s="211">
        <f>IFERROR(__xludf.DUMMYFUNCTION("""COMPUTED_VALUE"""),225000.0)</f>
        <v>225000</v>
      </c>
      <c r="M4145" s="211"/>
      <c r="N4145" s="211"/>
      <c r="O4145" s="211" t="b">
        <f>IFERROR(__xludf.DUMMYFUNCTION("""COMPUTED_VALUE"""),FALSE)</f>
        <v>0</v>
      </c>
    </row>
    <row r="4146">
      <c r="A4146" s="210" t="str">
        <f>IFERROR(__xludf.DUMMYFUNCTION("""COMPUTED_VALUE"""),"4032612837")</f>
        <v>4032612837</v>
      </c>
      <c r="B4146" s="210" t="str">
        <f>IFERROR(__xludf.DUMMYFUNCTION("""COMPUTED_VALUE"""),"4032612837")</f>
        <v>4032612837</v>
      </c>
      <c r="C4146" s="213">
        <f>IFERROR(__xludf.DUMMYFUNCTION("""COMPUTED_VALUE"""),46094.58181712963)</f>
        <v>46094.58182</v>
      </c>
      <c r="D4146" s="211" t="str">
        <f>IFERROR(__xludf.DUMMYFUNCTION("""COMPUTED_VALUE"""),"de41c3e8")</f>
        <v>de41c3e8</v>
      </c>
      <c r="E4146" s="211" t="str">
        <f>IFERROR(__xludf.DUMMYFUNCTION("""COMPUTED_VALUE"""),"Bpk. Eko Mianto")</f>
        <v>Bpk. Eko Mianto</v>
      </c>
      <c r="F4146" s="211" t="str">
        <f>IFERROR(__xludf.DUMMYFUNCTION("""COMPUTED_VALUE"""),"66af7c72")</f>
        <v>66af7c72</v>
      </c>
      <c r="G4146" s="211" t="str">
        <f>IFERROR(__xludf.DUMMYFUNCTION("""COMPUTED_VALUE"""),"Argon 6m3")</f>
        <v>Argon 6m3</v>
      </c>
      <c r="H4146" s="211" t="str">
        <f>IFERROR(__xludf.DUMMYFUNCTION("""COMPUTED_VALUE"""),"OTHER")</f>
        <v>OTHER</v>
      </c>
      <c r="I4146" s="211" t="str">
        <f>IFERROR(__xludf.DUMMYFUNCTION("""COMPUTED_VALUE"""),"EMPTY")</f>
        <v>EMPTY</v>
      </c>
      <c r="J4146" s="211">
        <f>IFERROR(__xludf.DUMMYFUNCTION("""COMPUTED_VALUE"""),1.0)</f>
        <v>1</v>
      </c>
      <c r="K4146" s="210" t="str">
        <f>IFERROR(__xludf.DUMMYFUNCTION("""COMPUTED_VALUE"""),"12042")</f>
        <v>12042</v>
      </c>
      <c r="L4146" s="211">
        <f>IFERROR(__xludf.DUMMYFUNCTION("""COMPUTED_VALUE"""),0.0)</f>
        <v>0</v>
      </c>
      <c r="M4146" s="211"/>
      <c r="N4146" s="211"/>
      <c r="O4146" s="211" t="b">
        <f>IFERROR(__xludf.DUMMYFUNCTION("""COMPUTED_VALUE"""),FALSE)</f>
        <v>0</v>
      </c>
    </row>
    <row r="4147">
      <c r="A4147" s="210" t="str">
        <f>IFERROR(__xludf.DUMMYFUNCTION("""COMPUTED_VALUE"""),"0326152854")</f>
        <v>0326152854</v>
      </c>
      <c r="B4147" s="210" t="str">
        <f>IFERROR(__xludf.DUMMYFUNCTION("""COMPUTED_VALUE"""),"0326152854")</f>
        <v>0326152854</v>
      </c>
      <c r="C4147" s="213">
        <f>IFERROR(__xludf.DUMMYFUNCTION("""COMPUTED_VALUE"""),46094.420011574075)</f>
        <v>46094.42001</v>
      </c>
      <c r="D4147" s="211" t="str">
        <f>IFERROR(__xludf.DUMMYFUNCTION("""COMPUTED_VALUE"""),"ba97d58d")</f>
        <v>ba97d58d</v>
      </c>
      <c r="E4147" s="211" t="str">
        <f>IFERROR(__xludf.DUMMYFUNCTION("""COMPUTED_VALUE"""),"Bengkel Citra Mojosari")</f>
        <v>Bengkel Citra Mojosari</v>
      </c>
      <c r="F4147" s="211" t="str">
        <f>IFERROR(__xludf.DUMMYFUNCTION("""COMPUTED_VALUE"""),"8bdbe149")</f>
        <v>8bdbe149</v>
      </c>
      <c r="G4147" s="211" t="str">
        <f>IFERROR(__xludf.DUMMYFUNCTION("""COMPUTED_VALUE"""),"Oksigen 6m3")</f>
        <v>Oksigen 6m3</v>
      </c>
      <c r="H4147" s="211" t="str">
        <f>IFERROR(__xludf.DUMMYFUNCTION("""COMPUTED_VALUE"""),"OUT")</f>
        <v>OUT</v>
      </c>
      <c r="I4147" s="211" t="str">
        <f>IFERROR(__xludf.DUMMYFUNCTION("""COMPUTED_VALUE"""),"NORMAL")</f>
        <v>NORMAL</v>
      </c>
      <c r="J4147" s="211">
        <f>IFERROR(__xludf.DUMMYFUNCTION("""COMPUTED_VALUE"""),2.0)</f>
        <v>2</v>
      </c>
      <c r="K4147" s="210" t="str">
        <f>IFERROR(__xludf.DUMMYFUNCTION("""COMPUTED_VALUE"""),"1117 1196")</f>
        <v>1117 1196</v>
      </c>
      <c r="L4147" s="211">
        <f>IFERROR(__xludf.DUMMYFUNCTION("""COMPUTED_VALUE"""),65000.0)</f>
        <v>65000</v>
      </c>
      <c r="M4147" s="211"/>
      <c r="N4147" s="211"/>
      <c r="O4147" s="211" t="b">
        <f>IFERROR(__xludf.DUMMYFUNCTION("""COMPUTED_VALUE"""),FALSE)</f>
        <v>0</v>
      </c>
    </row>
    <row r="4148">
      <c r="A4148" s="210" t="str">
        <f>IFERROR(__xludf.DUMMYFUNCTION("""COMPUTED_VALUE"""),"032682849")</f>
        <v>032682849</v>
      </c>
      <c r="B4148" s="210" t="str">
        <f>IFERROR(__xludf.DUMMYFUNCTION("""COMPUTED_VALUE"""),"032682849")</f>
        <v>032682849</v>
      </c>
      <c r="C4148" s="213">
        <f>IFERROR(__xludf.DUMMYFUNCTION("""COMPUTED_VALUE"""),46094.57302083333)</f>
        <v>46094.57302</v>
      </c>
      <c r="D4148" s="211" t="str">
        <f>IFERROR(__xludf.DUMMYFUNCTION("""COMPUTED_VALUE"""),"d9b2fac5")</f>
        <v>d9b2fac5</v>
      </c>
      <c r="E4148" s="211" t="str">
        <f>IFERROR(__xludf.DUMMYFUNCTION("""COMPUTED_VALUE"""),"Dwi Riza ( Ponokawan)")</f>
        <v>Dwi Riza ( Ponokawan)</v>
      </c>
      <c r="F4148" s="211" t="str">
        <f>IFERROR(__xludf.DUMMYFUNCTION("""COMPUTED_VALUE"""),"7d2764f1")</f>
        <v>7d2764f1</v>
      </c>
      <c r="G4148" s="211" t="str">
        <f>IFERROR(__xludf.DUMMYFUNCTION("""COMPUTED_VALUE"""),"Oksigen 7m3")</f>
        <v>Oksigen 7m3</v>
      </c>
      <c r="H4148" s="211" t="str">
        <f>IFERROR(__xludf.DUMMYFUNCTION("""COMPUTED_VALUE"""),"OUT")</f>
        <v>OUT</v>
      </c>
      <c r="I4148" s="211" t="str">
        <f>IFERROR(__xludf.DUMMYFUNCTION("""COMPUTED_VALUE"""),"NORMAL")</f>
        <v>NORMAL</v>
      </c>
      <c r="J4148" s="211">
        <f>IFERROR(__xludf.DUMMYFUNCTION("""COMPUTED_VALUE"""),1.0)</f>
        <v>1</v>
      </c>
      <c r="K4148" s="210" t="str">
        <f>IFERROR(__xludf.DUMMYFUNCTION("""COMPUTED_VALUE"""),"741")</f>
        <v>741</v>
      </c>
      <c r="L4148" s="211">
        <f>IFERROR(__xludf.DUMMYFUNCTION("""COMPUTED_VALUE"""),50000.0)</f>
        <v>50000</v>
      </c>
      <c r="M4148" s="211"/>
      <c r="N4148" s="211"/>
      <c r="O4148" s="211" t="b">
        <f>IFERROR(__xludf.DUMMYFUNCTION("""COMPUTED_VALUE"""),FALSE)</f>
        <v>0</v>
      </c>
    </row>
    <row r="4149">
      <c r="A4149" s="210" t="str">
        <f>IFERROR(__xludf.DUMMYFUNCTION("""COMPUTED_VALUE"""),"0326122850")</f>
        <v>0326122850</v>
      </c>
      <c r="B4149" s="210" t="str">
        <f>IFERROR(__xludf.DUMMYFUNCTION("""COMPUTED_VALUE"""),"0326122850")</f>
        <v>0326122850</v>
      </c>
      <c r="C4149" s="213">
        <f>IFERROR(__xludf.DUMMYFUNCTION("""COMPUTED_VALUE"""),46094.5787037037)</f>
        <v>46094.5787</v>
      </c>
      <c r="D4149" s="211" t="str">
        <f>IFERROR(__xludf.DUMMYFUNCTION("""COMPUTED_VALUE"""),"1c4d5e93")</f>
        <v>1c4d5e93</v>
      </c>
      <c r="E4149" s="211" t="str">
        <f>IFERROR(__xludf.DUMMYFUNCTION("""COMPUTED_VALUE"""),"Karoseri Cipta Mitra Sukses")</f>
        <v>Karoseri Cipta Mitra Sukses</v>
      </c>
      <c r="F4149" s="211" t="str">
        <f>IFERROR(__xludf.DUMMYFUNCTION("""COMPUTED_VALUE"""),"3b9d6a30")</f>
        <v>3b9d6a30</v>
      </c>
      <c r="G4149" s="211" t="str">
        <f>IFERROR(__xludf.DUMMYFUNCTION("""COMPUTED_VALUE"""),"Acetyline")</f>
        <v>Acetyline</v>
      </c>
      <c r="H4149" s="211" t="str">
        <f>IFERROR(__xludf.DUMMYFUNCTION("""COMPUTED_VALUE"""),"OUT")</f>
        <v>OUT</v>
      </c>
      <c r="I4149" s="211" t="str">
        <f>IFERROR(__xludf.DUMMYFUNCTION("""COMPUTED_VALUE"""),"NORMAL")</f>
        <v>NORMAL</v>
      </c>
      <c r="J4149" s="211">
        <f>IFERROR(__xludf.DUMMYFUNCTION("""COMPUTED_VALUE"""),1.0)</f>
        <v>1</v>
      </c>
      <c r="K4149" s="210" t="str">
        <f>IFERROR(__xludf.DUMMYFUNCTION("""COMPUTED_VALUE"""),"7002")</f>
        <v>7002</v>
      </c>
      <c r="L4149" s="211">
        <f>IFERROR(__xludf.DUMMYFUNCTION("""COMPUTED_VALUE"""),485000.0)</f>
        <v>485000</v>
      </c>
      <c r="M4149" s="211"/>
      <c r="N4149" s="211"/>
      <c r="O4149" s="211" t="b">
        <f>IFERROR(__xludf.DUMMYFUNCTION("""COMPUTED_VALUE"""),FALSE)</f>
        <v>0</v>
      </c>
    </row>
    <row r="4150">
      <c r="A4150" s="210" t="str">
        <f>IFERROR(__xludf.DUMMYFUNCTION("""COMPUTED_VALUE"""),"1261405")</f>
        <v>1261405</v>
      </c>
      <c r="B4150" s="210" t="str">
        <f>IFERROR(__xludf.DUMMYFUNCTION("""COMPUTED_VALUE"""),"1261405")</f>
        <v>1261405</v>
      </c>
      <c r="C4150" s="213">
        <f>IFERROR(__xludf.DUMMYFUNCTION("""COMPUTED_VALUE"""),46094.66028935185)</f>
        <v>46094.66029</v>
      </c>
      <c r="D4150" s="211" t="str">
        <f>IFERROR(__xludf.DUMMYFUNCTION("""COMPUTED_VALUE"""),"ce83e171")</f>
        <v>ce83e171</v>
      </c>
      <c r="E4150" s="211" t="str">
        <f>IFERROR(__xludf.DUMMYFUNCTION("""COMPUTED_VALUE"""),"Bpk. Sulaiman")</f>
        <v>Bpk. Sulaiman</v>
      </c>
      <c r="F4150" s="211" t="str">
        <f>IFERROR(__xludf.DUMMYFUNCTION("""COMPUTED_VALUE"""),"7d2764f1")</f>
        <v>7d2764f1</v>
      </c>
      <c r="G4150" s="211" t="str">
        <f>IFERROR(__xludf.DUMMYFUNCTION("""COMPUTED_VALUE"""),"Oksigen 7m3")</f>
        <v>Oksigen 7m3</v>
      </c>
      <c r="H4150" s="211" t="str">
        <f>IFERROR(__xludf.DUMMYFUNCTION("""COMPUTED_VALUE"""),"IN")</f>
        <v>IN</v>
      </c>
      <c r="I4150" s="211" t="str">
        <f>IFERROR(__xludf.DUMMYFUNCTION("""COMPUTED_VALUE"""),"EMPTY")</f>
        <v>EMPTY</v>
      </c>
      <c r="J4150" s="211">
        <f>IFERROR(__xludf.DUMMYFUNCTION("""COMPUTED_VALUE"""),1.0)</f>
        <v>1</v>
      </c>
      <c r="K4150" s="210" t="str">
        <f>IFERROR(__xludf.DUMMYFUNCTION("""COMPUTED_VALUE"""),"11333")</f>
        <v>11333</v>
      </c>
      <c r="L4150" s="211">
        <f>IFERROR(__xludf.DUMMYFUNCTION("""COMPUTED_VALUE"""),0.0)</f>
        <v>0</v>
      </c>
      <c r="M4150" s="211"/>
      <c r="N4150" s="211"/>
      <c r="O4150" s="211" t="b">
        <f>IFERROR(__xludf.DUMMYFUNCTION("""COMPUTED_VALUE"""),FALSE)</f>
        <v>0</v>
      </c>
    </row>
    <row r="4151">
      <c r="A4151" s="210" t="str">
        <f>IFERROR(__xludf.DUMMYFUNCTION("""COMPUTED_VALUE"""),"1261405")</f>
        <v>1261405</v>
      </c>
      <c r="B4151" s="210" t="str">
        <f>IFERROR(__xludf.DUMMYFUNCTION("""COMPUTED_VALUE"""),"1261405")</f>
        <v>1261405</v>
      </c>
      <c r="C4151" s="213">
        <f>IFERROR(__xludf.DUMMYFUNCTION("""COMPUTED_VALUE"""),46094.66028935185)</f>
        <v>46094.66029</v>
      </c>
      <c r="D4151" s="211" t="str">
        <f>IFERROR(__xludf.DUMMYFUNCTION("""COMPUTED_VALUE"""),"ce83e171")</f>
        <v>ce83e171</v>
      </c>
      <c r="E4151" s="211" t="str">
        <f>IFERROR(__xludf.DUMMYFUNCTION("""COMPUTED_VALUE"""),"Bpk. Sulaiman")</f>
        <v>Bpk. Sulaiman</v>
      </c>
      <c r="F4151" s="211" t="str">
        <f>IFERROR(__xludf.DUMMYFUNCTION("""COMPUTED_VALUE"""),"f6aab7a9")</f>
        <v>f6aab7a9</v>
      </c>
      <c r="G4151" s="211" t="str">
        <f>IFERROR(__xludf.DUMMYFUNCTION("""COMPUTED_VALUE"""),"Oksigen 6m3 MR")</f>
        <v>Oksigen 6m3 MR</v>
      </c>
      <c r="H4151" s="211" t="str">
        <f>IFERROR(__xludf.DUMMYFUNCTION("""COMPUTED_VALUE"""),"IN")</f>
        <v>IN</v>
      </c>
      <c r="I4151" s="211" t="str">
        <f>IFERROR(__xludf.DUMMYFUNCTION("""COMPUTED_VALUE"""),"EMPTY")</f>
        <v>EMPTY</v>
      </c>
      <c r="J4151" s="211">
        <f>IFERROR(__xludf.DUMMYFUNCTION("""COMPUTED_VALUE"""),1.0)</f>
        <v>1</v>
      </c>
      <c r="K4151" s="211"/>
      <c r="L4151" s="211">
        <f>IFERROR(__xludf.DUMMYFUNCTION("""COMPUTED_VALUE"""),0.0)</f>
        <v>0</v>
      </c>
      <c r="M4151" s="211"/>
      <c r="N4151" s="211"/>
      <c r="O4151" s="211" t="b">
        <f>IFERROR(__xludf.DUMMYFUNCTION("""COMPUTED_VALUE"""),FALSE)</f>
        <v>0</v>
      </c>
    </row>
    <row r="4152">
      <c r="A4152" s="210" t="str">
        <f>IFERROR(__xludf.DUMMYFUNCTION("""COMPUTED_VALUE"""),"1261406")</f>
        <v>1261406</v>
      </c>
      <c r="B4152" s="210" t="str">
        <f>IFERROR(__xludf.DUMMYFUNCTION("""COMPUTED_VALUE"""),"1261406")</f>
        <v>1261406</v>
      </c>
      <c r="C4152" s="213">
        <f>IFERROR(__xludf.DUMMYFUNCTION("""COMPUTED_VALUE"""),46094.66090277778)</f>
        <v>46094.6609</v>
      </c>
      <c r="D4152" s="211" t="str">
        <f>IFERROR(__xludf.DUMMYFUNCTION("""COMPUTED_VALUE"""),"eec2e801")</f>
        <v>eec2e801</v>
      </c>
      <c r="E4152" s="211" t="str">
        <f>IFERROR(__xludf.DUMMYFUNCTION("""COMPUTED_VALUE"""),"Mitra Wood Sejahtera")</f>
        <v>Mitra Wood Sejahtera</v>
      </c>
      <c r="F4152" s="211" t="str">
        <f>IFERROR(__xludf.DUMMYFUNCTION("""COMPUTED_VALUE"""),"8bdbe149")</f>
        <v>8bdbe149</v>
      </c>
      <c r="G4152" s="211" t="str">
        <f>IFERROR(__xludf.DUMMYFUNCTION("""COMPUTED_VALUE"""),"Oksigen 6m3")</f>
        <v>Oksigen 6m3</v>
      </c>
      <c r="H4152" s="211" t="str">
        <f>IFERROR(__xludf.DUMMYFUNCTION("""COMPUTED_VALUE"""),"IN")</f>
        <v>IN</v>
      </c>
      <c r="I4152" s="211" t="str">
        <f>IFERROR(__xludf.DUMMYFUNCTION("""COMPUTED_VALUE"""),"EMPTY")</f>
        <v>EMPTY</v>
      </c>
      <c r="J4152" s="211">
        <f>IFERROR(__xludf.DUMMYFUNCTION("""COMPUTED_VALUE"""),3.0)</f>
        <v>3</v>
      </c>
      <c r="K4152" s="210" t="str">
        <f>IFERROR(__xludf.DUMMYFUNCTION("""COMPUTED_VALUE"""),"11290 11206 11272")</f>
        <v>11290 11206 11272</v>
      </c>
      <c r="L4152" s="211">
        <f>IFERROR(__xludf.DUMMYFUNCTION("""COMPUTED_VALUE"""),0.0)</f>
        <v>0</v>
      </c>
      <c r="M4152" s="211"/>
      <c r="N4152" s="211"/>
      <c r="O4152" s="211" t="b">
        <f>IFERROR(__xludf.DUMMYFUNCTION("""COMPUTED_VALUE"""),FALSE)</f>
        <v>0</v>
      </c>
    </row>
    <row r="4153">
      <c r="A4153" s="210" t="str">
        <f>IFERROR(__xludf.DUMMYFUNCTION("""COMPUTED_VALUE"""),"1261414")</f>
        <v>1261414</v>
      </c>
      <c r="B4153" s="210" t="str">
        <f>IFERROR(__xludf.DUMMYFUNCTION("""COMPUTED_VALUE"""),"1261414")</f>
        <v>1261414</v>
      </c>
      <c r="C4153" s="213">
        <f>IFERROR(__xludf.DUMMYFUNCTION("""COMPUTED_VALUE"""),46094.66605324074)</f>
        <v>46094.66605</v>
      </c>
      <c r="D4153" s="211" t="str">
        <f>IFERROR(__xludf.DUMMYFUNCTION("""COMPUTED_VALUE"""),"d9b2fac5")</f>
        <v>d9b2fac5</v>
      </c>
      <c r="E4153" s="211" t="str">
        <f>IFERROR(__xludf.DUMMYFUNCTION("""COMPUTED_VALUE"""),"Dwi Riza ( Ponokawan)")</f>
        <v>Dwi Riza ( Ponokawan)</v>
      </c>
      <c r="F4153" s="211" t="str">
        <f>IFERROR(__xludf.DUMMYFUNCTION("""COMPUTED_VALUE"""),"8bdbe149")</f>
        <v>8bdbe149</v>
      </c>
      <c r="G4153" s="211" t="str">
        <f>IFERROR(__xludf.DUMMYFUNCTION("""COMPUTED_VALUE"""),"Oksigen 6m3")</f>
        <v>Oksigen 6m3</v>
      </c>
      <c r="H4153" s="211" t="str">
        <f>IFERROR(__xludf.DUMMYFUNCTION("""COMPUTED_VALUE"""),"IN")</f>
        <v>IN</v>
      </c>
      <c r="I4153" s="211" t="str">
        <f>IFERROR(__xludf.DUMMYFUNCTION("""COMPUTED_VALUE"""),"EMPTY")</f>
        <v>EMPTY</v>
      </c>
      <c r="J4153" s="211">
        <f>IFERROR(__xludf.DUMMYFUNCTION("""COMPUTED_VALUE"""),2.0)</f>
        <v>2</v>
      </c>
      <c r="K4153" s="210" t="str">
        <f>IFERROR(__xludf.DUMMYFUNCTION("""COMPUTED_VALUE"""),"11245 11246")</f>
        <v>11245 11246</v>
      </c>
      <c r="L4153" s="211">
        <f>IFERROR(__xludf.DUMMYFUNCTION("""COMPUTED_VALUE"""),0.0)</f>
        <v>0</v>
      </c>
      <c r="M4153" s="211"/>
      <c r="N4153" s="211"/>
      <c r="O4153" s="211" t="b">
        <f>IFERROR(__xludf.DUMMYFUNCTION("""COMPUTED_VALUE"""),FALSE)</f>
        <v>0</v>
      </c>
    </row>
    <row r="4154">
      <c r="A4154" s="210" t="str">
        <f>IFERROR(__xludf.DUMMYFUNCTION("""COMPUTED_VALUE"""),"1261413")</f>
        <v>1261413</v>
      </c>
      <c r="B4154" s="210" t="str">
        <f>IFERROR(__xludf.DUMMYFUNCTION("""COMPUTED_VALUE"""),"1261413")</f>
        <v>1261413</v>
      </c>
      <c r="C4154" s="213">
        <f>IFERROR(__xludf.DUMMYFUNCTION("""COMPUTED_VALUE"""),46094.6665625)</f>
        <v>46094.66656</v>
      </c>
      <c r="D4154" s="211" t="str">
        <f>IFERROR(__xludf.DUMMYFUNCTION("""COMPUTED_VALUE"""),"1c4d5e93")</f>
        <v>1c4d5e93</v>
      </c>
      <c r="E4154" s="211" t="str">
        <f>IFERROR(__xludf.DUMMYFUNCTION("""COMPUTED_VALUE"""),"Karoseri Cipta Mitra Sukses")</f>
        <v>Karoseri Cipta Mitra Sukses</v>
      </c>
      <c r="F4154" s="211" t="str">
        <f>IFERROR(__xludf.DUMMYFUNCTION("""COMPUTED_VALUE"""),"8bdbe149")</f>
        <v>8bdbe149</v>
      </c>
      <c r="G4154" s="211" t="str">
        <f>IFERROR(__xludf.DUMMYFUNCTION("""COMPUTED_VALUE"""),"Oksigen 6m3")</f>
        <v>Oksigen 6m3</v>
      </c>
      <c r="H4154" s="211" t="str">
        <f>IFERROR(__xludf.DUMMYFUNCTION("""COMPUTED_VALUE"""),"IN")</f>
        <v>IN</v>
      </c>
      <c r="I4154" s="211" t="str">
        <f>IFERROR(__xludf.DUMMYFUNCTION("""COMPUTED_VALUE"""),"EMPTY")</f>
        <v>EMPTY</v>
      </c>
      <c r="J4154" s="211">
        <f>IFERROR(__xludf.DUMMYFUNCTION("""COMPUTED_VALUE"""),4.0)</f>
        <v>4</v>
      </c>
      <c r="K4154" s="210" t="str">
        <f>IFERROR(__xludf.DUMMYFUNCTION("""COMPUTED_VALUE"""),"1192 11294 11357 1188")</f>
        <v>1192 11294 11357 1188</v>
      </c>
      <c r="L4154" s="211">
        <f>IFERROR(__xludf.DUMMYFUNCTION("""COMPUTED_VALUE"""),0.0)</f>
        <v>0</v>
      </c>
      <c r="M4154" s="211"/>
      <c r="N4154" s="211"/>
      <c r="O4154" s="211" t="b">
        <f>IFERROR(__xludf.DUMMYFUNCTION("""COMPUTED_VALUE"""),FALSE)</f>
        <v>0</v>
      </c>
    </row>
    <row r="4155">
      <c r="A4155" s="210" t="str">
        <f>IFERROR(__xludf.DUMMYFUNCTION("""COMPUTED_VALUE"""),"1261413")</f>
        <v>1261413</v>
      </c>
      <c r="B4155" s="210" t="str">
        <f>IFERROR(__xludf.DUMMYFUNCTION("""COMPUTED_VALUE"""),"1261413")</f>
        <v>1261413</v>
      </c>
      <c r="C4155" s="213">
        <f>IFERROR(__xludf.DUMMYFUNCTION("""COMPUTED_VALUE"""),46094.6665625)</f>
        <v>46094.66656</v>
      </c>
      <c r="D4155" s="211" t="str">
        <f>IFERROR(__xludf.DUMMYFUNCTION("""COMPUTED_VALUE"""),"1c4d5e93")</f>
        <v>1c4d5e93</v>
      </c>
      <c r="E4155" s="211" t="str">
        <f>IFERROR(__xludf.DUMMYFUNCTION("""COMPUTED_VALUE"""),"Karoseri Cipta Mitra Sukses")</f>
        <v>Karoseri Cipta Mitra Sukses</v>
      </c>
      <c r="F4155" s="211" t="str">
        <f>IFERROR(__xludf.DUMMYFUNCTION("""COMPUTED_VALUE"""),"ef306e54")</f>
        <v>ef306e54</v>
      </c>
      <c r="G4155" s="211" t="str">
        <f>IFERROR(__xludf.DUMMYFUNCTION("""COMPUTED_VALUE"""),"Karbondioksida")</f>
        <v>Karbondioksida</v>
      </c>
      <c r="H4155" s="211" t="str">
        <f>IFERROR(__xludf.DUMMYFUNCTION("""COMPUTED_VALUE"""),"IN")</f>
        <v>IN</v>
      </c>
      <c r="I4155" s="211" t="str">
        <f>IFERROR(__xludf.DUMMYFUNCTION("""COMPUTED_VALUE"""),"EMPTY")</f>
        <v>EMPTY</v>
      </c>
      <c r="J4155" s="211">
        <f>IFERROR(__xludf.DUMMYFUNCTION("""COMPUTED_VALUE"""),3.0)</f>
        <v>3</v>
      </c>
      <c r="K4155" s="210" t="str">
        <f>IFERROR(__xludf.DUMMYFUNCTION("""COMPUTED_VALUE"""),"13010 13006 13065")</f>
        <v>13010 13006 13065</v>
      </c>
      <c r="L4155" s="211">
        <f>IFERROR(__xludf.DUMMYFUNCTION("""COMPUTED_VALUE"""),0.0)</f>
        <v>0</v>
      </c>
      <c r="M4155" s="211"/>
      <c r="N4155" s="211"/>
      <c r="O4155" s="211" t="b">
        <f>IFERROR(__xludf.DUMMYFUNCTION("""COMPUTED_VALUE"""),FALSE)</f>
        <v>0</v>
      </c>
    </row>
    <row r="4156">
      <c r="A4156" s="210" t="str">
        <f>IFERROR(__xludf.DUMMYFUNCTION("""COMPUTED_VALUE"""),"1261413")</f>
        <v>1261413</v>
      </c>
      <c r="B4156" s="210" t="str">
        <f>IFERROR(__xludf.DUMMYFUNCTION("""COMPUTED_VALUE"""),"1261413")</f>
        <v>1261413</v>
      </c>
      <c r="C4156" s="213">
        <f>IFERROR(__xludf.DUMMYFUNCTION("""COMPUTED_VALUE"""),46094.6665625)</f>
        <v>46094.66656</v>
      </c>
      <c r="D4156" s="211" t="str">
        <f>IFERROR(__xludf.DUMMYFUNCTION("""COMPUTED_VALUE"""),"1c4d5e93")</f>
        <v>1c4d5e93</v>
      </c>
      <c r="E4156" s="211" t="str">
        <f>IFERROR(__xludf.DUMMYFUNCTION("""COMPUTED_VALUE"""),"Karoseri Cipta Mitra Sukses")</f>
        <v>Karoseri Cipta Mitra Sukses</v>
      </c>
      <c r="F4156" s="211" t="str">
        <f>IFERROR(__xludf.DUMMYFUNCTION("""COMPUTED_VALUE"""),"3b9d6a30")</f>
        <v>3b9d6a30</v>
      </c>
      <c r="G4156" s="211" t="str">
        <f>IFERROR(__xludf.DUMMYFUNCTION("""COMPUTED_VALUE"""),"Acetyline")</f>
        <v>Acetyline</v>
      </c>
      <c r="H4156" s="211" t="str">
        <f>IFERROR(__xludf.DUMMYFUNCTION("""COMPUTED_VALUE"""),"IN")</f>
        <v>IN</v>
      </c>
      <c r="I4156" s="211" t="str">
        <f>IFERROR(__xludf.DUMMYFUNCTION("""COMPUTED_VALUE"""),"EMPTY")</f>
        <v>EMPTY</v>
      </c>
      <c r="J4156" s="211">
        <f>IFERROR(__xludf.DUMMYFUNCTION("""COMPUTED_VALUE"""),1.0)</f>
        <v>1</v>
      </c>
      <c r="K4156" s="210" t="str">
        <f>IFERROR(__xludf.DUMMYFUNCTION("""COMPUTED_VALUE"""),"7004")</f>
        <v>7004</v>
      </c>
      <c r="L4156" s="211">
        <f>IFERROR(__xludf.DUMMYFUNCTION("""COMPUTED_VALUE"""),0.0)</f>
        <v>0</v>
      </c>
      <c r="M4156" s="211"/>
      <c r="N4156" s="211"/>
      <c r="O4156" s="211" t="b">
        <f>IFERROR(__xludf.DUMMYFUNCTION("""COMPUTED_VALUE"""),FALSE)</f>
        <v>0</v>
      </c>
    </row>
    <row r="4157">
      <c r="A4157" s="210" t="str">
        <f>IFERROR(__xludf.DUMMYFUNCTION("""COMPUTED_VALUE"""),"0326312856")</f>
        <v>0326312856</v>
      </c>
      <c r="B4157" s="210" t="str">
        <f>IFERROR(__xludf.DUMMYFUNCTION("""COMPUTED_VALUE"""),"0326312856")</f>
        <v>0326312856</v>
      </c>
      <c r="C4157" s="213">
        <f>IFERROR(__xludf.DUMMYFUNCTION("""COMPUTED_VALUE"""),46095.39371527778)</f>
        <v>46095.39372</v>
      </c>
      <c r="D4157" s="211" t="str">
        <f>IFERROR(__xludf.DUMMYFUNCTION("""COMPUTED_VALUE"""),"63fc688a")</f>
        <v>63fc688a</v>
      </c>
      <c r="E4157" s="211" t="str">
        <f>IFERROR(__xludf.DUMMYFUNCTION("""COMPUTED_VALUE"""),"CV Malik Nusantara")</f>
        <v>CV Malik Nusantara</v>
      </c>
      <c r="F4157" s="211" t="str">
        <f>IFERROR(__xludf.DUMMYFUNCTION("""COMPUTED_VALUE"""),"8bdbe149")</f>
        <v>8bdbe149</v>
      </c>
      <c r="G4157" s="211" t="str">
        <f>IFERROR(__xludf.DUMMYFUNCTION("""COMPUTED_VALUE"""),"Oksigen 6m3")</f>
        <v>Oksigen 6m3</v>
      </c>
      <c r="H4157" s="211" t="str">
        <f>IFERROR(__xludf.DUMMYFUNCTION("""COMPUTED_VALUE"""),"OUT")</f>
        <v>OUT</v>
      </c>
      <c r="I4157" s="211" t="str">
        <f>IFERROR(__xludf.DUMMYFUNCTION("""COMPUTED_VALUE"""),"NORMAL")</f>
        <v>NORMAL</v>
      </c>
      <c r="J4157" s="211">
        <f>IFERROR(__xludf.DUMMYFUNCTION("""COMPUTED_VALUE"""),5.0)</f>
        <v>5</v>
      </c>
      <c r="K4157" s="210" t="str">
        <f>IFERROR(__xludf.DUMMYFUNCTION("""COMPUTED_VALUE"""),"11206 11272 11192 11246 11294")</f>
        <v>11206 11272 11192 11246 11294</v>
      </c>
      <c r="L4157" s="211">
        <f>IFERROR(__xludf.DUMMYFUNCTION("""COMPUTED_VALUE"""),65000.0)</f>
        <v>65000</v>
      </c>
      <c r="M4157" s="211"/>
      <c r="N4157" s="211"/>
      <c r="O4157" s="211" t="b">
        <f>IFERROR(__xludf.DUMMYFUNCTION("""COMPUTED_VALUE"""),FALSE)</f>
        <v>0</v>
      </c>
    </row>
    <row r="4158">
      <c r="A4158" s="210" t="str">
        <f>IFERROR(__xludf.DUMMYFUNCTION("""COMPUTED_VALUE"""),"0326492861")</f>
        <v>0326492861</v>
      </c>
      <c r="B4158" s="210" t="str">
        <f>IFERROR(__xludf.DUMMYFUNCTION("""COMPUTED_VALUE"""),"0326492861")</f>
        <v>0326492861</v>
      </c>
      <c r="C4158" s="213">
        <f>IFERROR(__xludf.DUMMYFUNCTION("""COMPUTED_VALUE"""),46095.39873842592)</f>
        <v>46095.39874</v>
      </c>
      <c r="D4158" s="211" t="str">
        <f>IFERROR(__xludf.DUMMYFUNCTION("""COMPUTED_VALUE"""),"ec231cc9")</f>
        <v>ec231cc9</v>
      </c>
      <c r="E4158" s="211" t="str">
        <f>IFERROR(__xludf.DUMMYFUNCTION("""COMPUTED_VALUE"""),"Bpk. Kohir (Maintenance Velg)")</f>
        <v>Bpk. Kohir (Maintenance Velg)</v>
      </c>
      <c r="F4158" s="211" t="str">
        <f>IFERROR(__xludf.DUMMYFUNCTION("""COMPUTED_VALUE"""),"8bdbe149")</f>
        <v>8bdbe149</v>
      </c>
      <c r="G4158" s="211" t="str">
        <f>IFERROR(__xludf.DUMMYFUNCTION("""COMPUTED_VALUE"""),"Oksigen 6m3")</f>
        <v>Oksigen 6m3</v>
      </c>
      <c r="H4158" s="211" t="str">
        <f>IFERROR(__xludf.DUMMYFUNCTION("""COMPUTED_VALUE"""),"OUT")</f>
        <v>OUT</v>
      </c>
      <c r="I4158" s="211" t="str">
        <f>IFERROR(__xludf.DUMMYFUNCTION("""COMPUTED_VALUE"""),"NORMAL")</f>
        <v>NORMAL</v>
      </c>
      <c r="J4158" s="211">
        <f>IFERROR(__xludf.DUMMYFUNCTION("""COMPUTED_VALUE"""),5.0)</f>
        <v>5</v>
      </c>
      <c r="K4158" s="210" t="str">
        <f>IFERROR(__xludf.DUMMYFUNCTION("""COMPUTED_VALUE"""),"11245 1188 11357 1192 11290")</f>
        <v>11245 1188 11357 1192 11290</v>
      </c>
      <c r="L4158" s="211">
        <f>IFERROR(__xludf.DUMMYFUNCTION("""COMPUTED_VALUE"""),55000.0)</f>
        <v>55000</v>
      </c>
      <c r="M4158" s="211"/>
      <c r="N4158" s="211"/>
      <c r="O4158" s="211" t="b">
        <f>IFERROR(__xludf.DUMMYFUNCTION("""COMPUTED_VALUE"""),FALSE)</f>
        <v>0</v>
      </c>
    </row>
    <row r="4159">
      <c r="A4159" s="210" t="str">
        <f>IFERROR(__xludf.DUMMYFUNCTION("""COMPUTED_VALUE"""),"0326492861")</f>
        <v>0326492861</v>
      </c>
      <c r="B4159" s="210" t="str">
        <f>IFERROR(__xludf.DUMMYFUNCTION("""COMPUTED_VALUE"""),"0326492861")</f>
        <v>0326492861</v>
      </c>
      <c r="C4159" s="213">
        <f>IFERROR(__xludf.DUMMYFUNCTION("""COMPUTED_VALUE"""),46095.39873842592)</f>
        <v>46095.39874</v>
      </c>
      <c r="D4159" s="211" t="str">
        <f>IFERROR(__xludf.DUMMYFUNCTION("""COMPUTED_VALUE"""),"ec231cc9")</f>
        <v>ec231cc9</v>
      </c>
      <c r="E4159" s="211" t="str">
        <f>IFERROR(__xludf.DUMMYFUNCTION("""COMPUTED_VALUE"""),"Bpk. Kohir (Maintenance Velg)")</f>
        <v>Bpk. Kohir (Maintenance Velg)</v>
      </c>
      <c r="F4159" s="211" t="str">
        <f>IFERROR(__xludf.DUMMYFUNCTION("""COMPUTED_VALUE"""),"ef306e54")</f>
        <v>ef306e54</v>
      </c>
      <c r="G4159" s="211" t="str">
        <f>IFERROR(__xludf.DUMMYFUNCTION("""COMPUTED_VALUE"""),"Karbondioksida")</f>
        <v>Karbondioksida</v>
      </c>
      <c r="H4159" s="211" t="str">
        <f>IFERROR(__xludf.DUMMYFUNCTION("""COMPUTED_VALUE"""),"OUT")</f>
        <v>OUT</v>
      </c>
      <c r="I4159" s="211" t="str">
        <f>IFERROR(__xludf.DUMMYFUNCTION("""COMPUTED_VALUE"""),"NORMAL")</f>
        <v>NORMAL</v>
      </c>
      <c r="J4159" s="211">
        <f>IFERROR(__xludf.DUMMYFUNCTION("""COMPUTED_VALUE"""),2.0)</f>
        <v>2</v>
      </c>
      <c r="K4159" s="210" t="str">
        <f>IFERROR(__xludf.DUMMYFUNCTION("""COMPUTED_VALUE"""),"13062 13067")</f>
        <v>13062 13067</v>
      </c>
      <c r="L4159" s="211">
        <f>IFERROR(__xludf.DUMMYFUNCTION("""COMPUTED_VALUE"""),175000.0)</f>
        <v>175000</v>
      </c>
      <c r="M4159" s="211"/>
      <c r="N4159" s="211"/>
      <c r="O4159" s="211" t="b">
        <f>IFERROR(__xludf.DUMMYFUNCTION("""COMPUTED_VALUE"""),FALSE)</f>
        <v>0</v>
      </c>
    </row>
    <row r="4160">
      <c r="A4160" s="210" t="str">
        <f>IFERROR(__xludf.DUMMYFUNCTION("""COMPUTED_VALUE"""),"0326122862")</f>
        <v>0326122862</v>
      </c>
      <c r="B4160" s="210" t="str">
        <f>IFERROR(__xludf.DUMMYFUNCTION("""COMPUTED_VALUE"""),"0326122862")</f>
        <v>0326122862</v>
      </c>
      <c r="C4160" s="213">
        <f>IFERROR(__xludf.DUMMYFUNCTION("""COMPUTED_VALUE"""),46095.4587962963)</f>
        <v>46095.4588</v>
      </c>
      <c r="D4160" s="211" t="str">
        <f>IFERROR(__xludf.DUMMYFUNCTION("""COMPUTED_VALUE"""),"17a8e612")</f>
        <v>17a8e612</v>
      </c>
      <c r="E4160" s="211" t="str">
        <f>IFERROR(__xludf.DUMMYFUNCTION("""COMPUTED_VALUE"""),"Flashtech Machinery")</f>
        <v>Flashtech Machinery</v>
      </c>
      <c r="F4160" s="211" t="str">
        <f>IFERROR(__xludf.DUMMYFUNCTION("""COMPUTED_VALUE"""),"a50ce892")</f>
        <v>a50ce892</v>
      </c>
      <c r="G4160" s="211" t="str">
        <f>IFERROR(__xludf.DUMMYFUNCTION("""COMPUTED_VALUE"""),"Nitrogen 6m3")</f>
        <v>Nitrogen 6m3</v>
      </c>
      <c r="H4160" s="211" t="str">
        <f>IFERROR(__xludf.DUMMYFUNCTION("""COMPUTED_VALUE"""),"OUT")</f>
        <v>OUT</v>
      </c>
      <c r="I4160" s="211" t="str">
        <f>IFERROR(__xludf.DUMMYFUNCTION("""COMPUTED_VALUE"""),"NORMAL")</f>
        <v>NORMAL</v>
      </c>
      <c r="J4160" s="211">
        <f>IFERROR(__xludf.DUMMYFUNCTION("""COMPUTED_VALUE"""),3.0)</f>
        <v>3</v>
      </c>
      <c r="K4160" s="210" t="str">
        <f>IFERROR(__xludf.DUMMYFUNCTION("""COMPUTED_VALUE"""),"14010 14012 14015")</f>
        <v>14010 14012 14015</v>
      </c>
      <c r="L4160" s="211">
        <f>IFERROR(__xludf.DUMMYFUNCTION("""COMPUTED_VALUE"""),70000.0)</f>
        <v>70000</v>
      </c>
      <c r="M4160" s="211"/>
      <c r="N4160" s="211"/>
      <c r="O4160" s="211" t="b">
        <f>IFERROR(__xludf.DUMMYFUNCTION("""COMPUTED_VALUE"""),FALSE)</f>
        <v>0</v>
      </c>
    </row>
    <row r="4161">
      <c r="A4161" s="210" t="str">
        <f>IFERROR(__xludf.DUMMYFUNCTION("""COMPUTED_VALUE"""),"1261407")</f>
        <v>1261407</v>
      </c>
      <c r="B4161" s="210" t="str">
        <f>IFERROR(__xludf.DUMMYFUNCTION("""COMPUTED_VALUE"""),"1261407")</f>
        <v>1261407</v>
      </c>
      <c r="C4161" s="213">
        <f>IFERROR(__xludf.DUMMYFUNCTION("""COMPUTED_VALUE"""),46095.47052083333)</f>
        <v>46095.47052</v>
      </c>
      <c r="D4161" s="211" t="str">
        <f>IFERROR(__xludf.DUMMYFUNCTION("""COMPUTED_VALUE"""),"63fc688a")</f>
        <v>63fc688a</v>
      </c>
      <c r="E4161" s="211" t="str">
        <f>IFERROR(__xludf.DUMMYFUNCTION("""COMPUTED_VALUE"""),"CV Malik Nusantara")</f>
        <v>CV Malik Nusantara</v>
      </c>
      <c r="F4161" s="211" t="str">
        <f>IFERROR(__xludf.DUMMYFUNCTION("""COMPUTED_VALUE"""),"8bdbe149")</f>
        <v>8bdbe149</v>
      </c>
      <c r="G4161" s="211" t="str">
        <f>IFERROR(__xludf.DUMMYFUNCTION("""COMPUTED_VALUE"""),"Oksigen 6m3")</f>
        <v>Oksigen 6m3</v>
      </c>
      <c r="H4161" s="211" t="str">
        <f>IFERROR(__xludf.DUMMYFUNCTION("""COMPUTED_VALUE"""),"IN")</f>
        <v>IN</v>
      </c>
      <c r="I4161" s="211" t="str">
        <f>IFERROR(__xludf.DUMMYFUNCTION("""COMPUTED_VALUE"""),"EMPTY")</f>
        <v>EMPTY</v>
      </c>
      <c r="J4161" s="211">
        <f>IFERROR(__xludf.DUMMYFUNCTION("""COMPUTED_VALUE"""),4.0)</f>
        <v>4</v>
      </c>
      <c r="K4161" s="210" t="str">
        <f>IFERROR(__xludf.DUMMYFUNCTION("""COMPUTED_VALUE"""),"11376 1155 11242 11229")</f>
        <v>11376 1155 11242 11229</v>
      </c>
      <c r="L4161" s="211">
        <f>IFERROR(__xludf.DUMMYFUNCTION("""COMPUTED_VALUE"""),0.0)</f>
        <v>0</v>
      </c>
      <c r="M4161" s="211"/>
      <c r="N4161" s="211"/>
      <c r="O4161" s="211" t="b">
        <f>IFERROR(__xludf.DUMMYFUNCTION("""COMPUTED_VALUE"""),FALSE)</f>
        <v>0</v>
      </c>
    </row>
    <row r="4162">
      <c r="A4162" s="210" t="str">
        <f>IFERROR(__xludf.DUMMYFUNCTION("""COMPUTED_VALUE"""),"1261407")</f>
        <v>1261407</v>
      </c>
      <c r="B4162" s="210" t="str">
        <f>IFERROR(__xludf.DUMMYFUNCTION("""COMPUTED_VALUE"""),"1261407")</f>
        <v>1261407</v>
      </c>
      <c r="C4162" s="213">
        <f>IFERROR(__xludf.DUMMYFUNCTION("""COMPUTED_VALUE"""),46095.47052083333)</f>
        <v>46095.47052</v>
      </c>
      <c r="D4162" s="211" t="str">
        <f>IFERROR(__xludf.DUMMYFUNCTION("""COMPUTED_VALUE"""),"63fc688a")</f>
        <v>63fc688a</v>
      </c>
      <c r="E4162" s="211" t="str">
        <f>IFERROR(__xludf.DUMMYFUNCTION("""COMPUTED_VALUE"""),"CV Malik Nusantara")</f>
        <v>CV Malik Nusantara</v>
      </c>
      <c r="F4162" s="211" t="str">
        <f>IFERROR(__xludf.DUMMYFUNCTION("""COMPUTED_VALUE"""),"7d2764f1")</f>
        <v>7d2764f1</v>
      </c>
      <c r="G4162" s="211" t="str">
        <f>IFERROR(__xludf.DUMMYFUNCTION("""COMPUTED_VALUE"""),"Oksigen 7m3")</f>
        <v>Oksigen 7m3</v>
      </c>
      <c r="H4162" s="211" t="str">
        <f>IFERROR(__xludf.DUMMYFUNCTION("""COMPUTED_VALUE"""),"IN")</f>
        <v>IN</v>
      </c>
      <c r="I4162" s="211" t="str">
        <f>IFERROR(__xludf.DUMMYFUNCTION("""COMPUTED_VALUE"""),"EMPTY")</f>
        <v>EMPTY</v>
      </c>
      <c r="J4162" s="211">
        <f>IFERROR(__xludf.DUMMYFUNCTION("""COMPUTED_VALUE"""),1.0)</f>
        <v>1</v>
      </c>
      <c r="K4162" s="210" t="str">
        <f>IFERROR(__xludf.DUMMYFUNCTION("""COMPUTED_VALUE"""),"11389")</f>
        <v>11389</v>
      </c>
      <c r="L4162" s="211">
        <f>IFERROR(__xludf.DUMMYFUNCTION("""COMPUTED_VALUE"""),0.0)</f>
        <v>0</v>
      </c>
      <c r="M4162" s="211"/>
      <c r="N4162" s="211"/>
      <c r="O4162" s="211" t="b">
        <f>IFERROR(__xludf.DUMMYFUNCTION("""COMPUTED_VALUE"""),FALSE)</f>
        <v>0</v>
      </c>
    </row>
    <row r="4163">
      <c r="A4163" s="210" t="str">
        <f>IFERROR(__xludf.DUMMYFUNCTION("""COMPUTED_VALUE"""),"1261407")</f>
        <v>1261407</v>
      </c>
      <c r="B4163" s="210" t="str">
        <f>IFERROR(__xludf.DUMMYFUNCTION("""COMPUTED_VALUE"""),"1261407")</f>
        <v>1261407</v>
      </c>
      <c r="C4163" s="213">
        <f>IFERROR(__xludf.DUMMYFUNCTION("""COMPUTED_VALUE"""),46095.47052083333)</f>
        <v>46095.47052</v>
      </c>
      <c r="D4163" s="211" t="str">
        <f>IFERROR(__xludf.DUMMYFUNCTION("""COMPUTED_VALUE"""),"63fc688a")</f>
        <v>63fc688a</v>
      </c>
      <c r="E4163" s="211" t="str">
        <f>IFERROR(__xludf.DUMMYFUNCTION("""COMPUTED_VALUE"""),"CV Malik Nusantara")</f>
        <v>CV Malik Nusantara</v>
      </c>
      <c r="F4163" s="211" t="str">
        <f>IFERROR(__xludf.DUMMYFUNCTION("""COMPUTED_VALUE"""),"ef306e54")</f>
        <v>ef306e54</v>
      </c>
      <c r="G4163" s="211" t="str">
        <f>IFERROR(__xludf.DUMMYFUNCTION("""COMPUTED_VALUE"""),"Karbondioksida")</f>
        <v>Karbondioksida</v>
      </c>
      <c r="H4163" s="211" t="str">
        <f>IFERROR(__xludf.DUMMYFUNCTION("""COMPUTED_VALUE"""),"IN")</f>
        <v>IN</v>
      </c>
      <c r="I4163" s="211" t="str">
        <f>IFERROR(__xludf.DUMMYFUNCTION("""COMPUTED_VALUE"""),"EMPTY")</f>
        <v>EMPTY</v>
      </c>
      <c r="J4163" s="211">
        <f>IFERROR(__xludf.DUMMYFUNCTION("""COMPUTED_VALUE"""),1.0)</f>
        <v>1</v>
      </c>
      <c r="K4163" s="210" t="str">
        <f>IFERROR(__xludf.DUMMYFUNCTION("""COMPUTED_VALUE"""),"13014")</f>
        <v>13014</v>
      </c>
      <c r="L4163" s="211">
        <f>IFERROR(__xludf.DUMMYFUNCTION("""COMPUTED_VALUE"""),0.0)</f>
        <v>0</v>
      </c>
      <c r="M4163" s="211"/>
      <c r="N4163" s="211"/>
      <c r="O4163" s="211" t="b">
        <f>IFERROR(__xludf.DUMMYFUNCTION("""COMPUTED_VALUE"""),FALSE)</f>
        <v>0</v>
      </c>
    </row>
    <row r="4164">
      <c r="A4164" s="210" t="str">
        <f>IFERROR(__xludf.DUMMYFUNCTION("""COMPUTED_VALUE"""),"1261408")</f>
        <v>1261408</v>
      </c>
      <c r="B4164" s="210" t="str">
        <f>IFERROR(__xludf.DUMMYFUNCTION("""COMPUTED_VALUE"""),"1261408")</f>
        <v>1261408</v>
      </c>
      <c r="C4164" s="213">
        <f>IFERROR(__xludf.DUMMYFUNCTION("""COMPUTED_VALUE"""),46095.47164351852)</f>
        <v>46095.47164</v>
      </c>
      <c r="D4164" s="211" t="str">
        <f>IFERROR(__xludf.DUMMYFUNCTION("""COMPUTED_VALUE"""),"ec231cc9")</f>
        <v>ec231cc9</v>
      </c>
      <c r="E4164" s="211" t="str">
        <f>IFERROR(__xludf.DUMMYFUNCTION("""COMPUTED_VALUE"""),"Bpk. Kohir (Maintenance Velg)")</f>
        <v>Bpk. Kohir (Maintenance Velg)</v>
      </c>
      <c r="F4164" s="211" t="str">
        <f>IFERROR(__xludf.DUMMYFUNCTION("""COMPUTED_VALUE"""),"8bdbe149")</f>
        <v>8bdbe149</v>
      </c>
      <c r="G4164" s="211" t="str">
        <f>IFERROR(__xludf.DUMMYFUNCTION("""COMPUTED_VALUE"""),"Oksigen 6m3")</f>
        <v>Oksigen 6m3</v>
      </c>
      <c r="H4164" s="211" t="str">
        <f>IFERROR(__xludf.DUMMYFUNCTION("""COMPUTED_VALUE"""),"IN")</f>
        <v>IN</v>
      </c>
      <c r="I4164" s="211" t="str">
        <f>IFERROR(__xludf.DUMMYFUNCTION("""COMPUTED_VALUE"""),"EMPTY")</f>
        <v>EMPTY</v>
      </c>
      <c r="J4164" s="211">
        <f>IFERROR(__xludf.DUMMYFUNCTION("""COMPUTED_VALUE"""),4.0)</f>
        <v>4</v>
      </c>
      <c r="K4164" s="210" t="str">
        <f>IFERROR(__xludf.DUMMYFUNCTION("""COMPUTED_VALUE"""),"11354 11366 1136 11370")</f>
        <v>11354 11366 1136 11370</v>
      </c>
      <c r="L4164" s="211">
        <f>IFERROR(__xludf.DUMMYFUNCTION("""COMPUTED_VALUE"""),0.0)</f>
        <v>0</v>
      </c>
      <c r="M4164" s="211"/>
      <c r="N4164" s="211"/>
      <c r="O4164" s="211" t="b">
        <f>IFERROR(__xludf.DUMMYFUNCTION("""COMPUTED_VALUE"""),FALSE)</f>
        <v>0</v>
      </c>
    </row>
    <row r="4165">
      <c r="A4165" s="210" t="str">
        <f>IFERROR(__xludf.DUMMYFUNCTION("""COMPUTED_VALUE"""),"1261408")</f>
        <v>1261408</v>
      </c>
      <c r="B4165" s="210" t="str">
        <f>IFERROR(__xludf.DUMMYFUNCTION("""COMPUTED_VALUE"""),"1261408")</f>
        <v>1261408</v>
      </c>
      <c r="C4165" s="213">
        <f>IFERROR(__xludf.DUMMYFUNCTION("""COMPUTED_VALUE"""),46095.47164351852)</f>
        <v>46095.47164</v>
      </c>
      <c r="D4165" s="211" t="str">
        <f>IFERROR(__xludf.DUMMYFUNCTION("""COMPUTED_VALUE"""),"ec231cc9")</f>
        <v>ec231cc9</v>
      </c>
      <c r="E4165" s="211" t="str">
        <f>IFERROR(__xludf.DUMMYFUNCTION("""COMPUTED_VALUE"""),"Bpk. Kohir (Maintenance Velg)")</f>
        <v>Bpk. Kohir (Maintenance Velg)</v>
      </c>
      <c r="F4165" s="211" t="str">
        <f>IFERROR(__xludf.DUMMYFUNCTION("""COMPUTED_VALUE"""),"ef306e54")</f>
        <v>ef306e54</v>
      </c>
      <c r="G4165" s="211" t="str">
        <f>IFERROR(__xludf.DUMMYFUNCTION("""COMPUTED_VALUE"""),"Karbondioksida")</f>
        <v>Karbondioksida</v>
      </c>
      <c r="H4165" s="211" t="str">
        <f>IFERROR(__xludf.DUMMYFUNCTION("""COMPUTED_VALUE"""),"IN")</f>
        <v>IN</v>
      </c>
      <c r="I4165" s="211" t="str">
        <f>IFERROR(__xludf.DUMMYFUNCTION("""COMPUTED_VALUE"""),"EMPTY")</f>
        <v>EMPTY</v>
      </c>
      <c r="J4165" s="211">
        <f>IFERROR(__xludf.DUMMYFUNCTION("""COMPUTED_VALUE"""),1.0)</f>
        <v>1</v>
      </c>
      <c r="K4165" s="210" t="str">
        <f>IFERROR(__xludf.DUMMYFUNCTION("""COMPUTED_VALUE"""),"13018")</f>
        <v>13018</v>
      </c>
      <c r="L4165" s="211">
        <f>IFERROR(__xludf.DUMMYFUNCTION("""COMPUTED_VALUE"""),0.0)</f>
        <v>0</v>
      </c>
      <c r="M4165" s="211"/>
      <c r="N4165" s="211"/>
      <c r="O4165" s="211" t="b">
        <f>IFERROR(__xludf.DUMMYFUNCTION("""COMPUTED_VALUE"""),FALSE)</f>
        <v>0</v>
      </c>
    </row>
    <row r="4166">
      <c r="A4166" s="210" t="str">
        <f>IFERROR(__xludf.DUMMYFUNCTION("""COMPUTED_VALUE"""),"1261408")</f>
        <v>1261408</v>
      </c>
      <c r="B4166" s="210" t="str">
        <f>IFERROR(__xludf.DUMMYFUNCTION("""COMPUTED_VALUE"""),"1261408")</f>
        <v>1261408</v>
      </c>
      <c r="C4166" s="213">
        <f>IFERROR(__xludf.DUMMYFUNCTION("""COMPUTED_VALUE"""),46095.47164351852)</f>
        <v>46095.47164</v>
      </c>
      <c r="D4166" s="211" t="str">
        <f>IFERROR(__xludf.DUMMYFUNCTION("""COMPUTED_VALUE"""),"ec231cc9")</f>
        <v>ec231cc9</v>
      </c>
      <c r="E4166" s="211" t="str">
        <f>IFERROR(__xludf.DUMMYFUNCTION("""COMPUTED_VALUE"""),"Bpk. Kohir (Maintenance Velg)")</f>
        <v>Bpk. Kohir (Maintenance Velg)</v>
      </c>
      <c r="F4166" s="211" t="str">
        <f>IFERROR(__xludf.DUMMYFUNCTION("""COMPUTED_VALUE"""),"8bdbe149")</f>
        <v>8bdbe149</v>
      </c>
      <c r="G4166" s="211" t="str">
        <f>IFERROR(__xludf.DUMMYFUNCTION("""COMPUTED_VALUE"""),"Oksigen 6m3")</f>
        <v>Oksigen 6m3</v>
      </c>
      <c r="H4166" s="211" t="str">
        <f>IFERROR(__xludf.DUMMYFUNCTION("""COMPUTED_VALUE"""),"IN")</f>
        <v>IN</v>
      </c>
      <c r="I4166" s="211" t="str">
        <f>IFERROR(__xludf.DUMMYFUNCTION("""COMPUTED_VALUE"""),"EMPTY")</f>
        <v>EMPTY</v>
      </c>
      <c r="J4166" s="211">
        <f>IFERROR(__xludf.DUMMYFUNCTION("""COMPUTED_VALUE"""),1.0)</f>
        <v>1</v>
      </c>
      <c r="K4166" s="210" t="str">
        <f>IFERROR(__xludf.DUMMYFUNCTION("""COMPUTED_VALUE"""),"11104")</f>
        <v>11104</v>
      </c>
      <c r="L4166" s="211">
        <f>IFERROR(__xludf.DUMMYFUNCTION("""COMPUTED_VALUE"""),0.0)</f>
        <v>0</v>
      </c>
      <c r="M4166" s="211"/>
      <c r="N4166" s="211"/>
      <c r="O4166" s="211" t="b">
        <f>IFERROR(__xludf.DUMMYFUNCTION("""COMPUTED_VALUE"""),TRUE)</f>
        <v>1</v>
      </c>
    </row>
    <row r="4167">
      <c r="A4167" s="210" t="str">
        <f>IFERROR(__xludf.DUMMYFUNCTION("""COMPUTED_VALUE"""),"1261335")</f>
        <v>1261335</v>
      </c>
      <c r="B4167" s="210" t="str">
        <f>IFERROR(__xludf.DUMMYFUNCTION("""COMPUTED_VALUE"""),"1261335")</f>
        <v>1261335</v>
      </c>
      <c r="C4167" s="213">
        <f>IFERROR(__xludf.DUMMYFUNCTION("""COMPUTED_VALUE"""),46081.63350694445)</f>
        <v>46081.63351</v>
      </c>
      <c r="D4167" s="211" t="str">
        <f>IFERROR(__xludf.DUMMYFUNCTION("""COMPUTED_VALUE"""),"ec231cc9")</f>
        <v>ec231cc9</v>
      </c>
      <c r="E4167" s="211" t="str">
        <f>IFERROR(__xludf.DUMMYFUNCTION("""COMPUTED_VALUE"""),"Bpk. Kohir (Maintenance Velg)")</f>
        <v>Bpk. Kohir (Maintenance Velg)</v>
      </c>
      <c r="F4167" s="211" t="str">
        <f>IFERROR(__xludf.DUMMYFUNCTION("""COMPUTED_VALUE"""),"8bdbe149")</f>
        <v>8bdbe149</v>
      </c>
      <c r="G4167" s="211" t="str">
        <f>IFERROR(__xludf.DUMMYFUNCTION("""COMPUTED_VALUE"""),"Oksigen 6m3")</f>
        <v>Oksigen 6m3</v>
      </c>
      <c r="H4167" s="211" t="str">
        <f>IFERROR(__xludf.DUMMYFUNCTION("""COMPUTED_VALUE"""),"IN")</f>
        <v>IN</v>
      </c>
      <c r="I4167" s="211" t="str">
        <f>IFERROR(__xludf.DUMMYFUNCTION("""COMPUTED_VALUE"""),"EMPTY")</f>
        <v>EMPTY</v>
      </c>
      <c r="J4167" s="211">
        <f>IFERROR(__xludf.DUMMYFUNCTION("""COMPUTED_VALUE"""),1.0)</f>
        <v>1</v>
      </c>
      <c r="K4167" s="210" t="str">
        <f>IFERROR(__xludf.DUMMYFUNCTION("""COMPUTED_VALUE"""),"11295")</f>
        <v>11295</v>
      </c>
      <c r="L4167" s="211">
        <f>IFERROR(__xludf.DUMMYFUNCTION("""COMPUTED_VALUE"""),0.0)</f>
        <v>0</v>
      </c>
      <c r="M4167" s="211"/>
      <c r="N4167" s="211"/>
      <c r="O4167" s="211" t="b">
        <f>IFERROR(__xludf.DUMMYFUNCTION("""COMPUTED_VALUE"""),TRUE)</f>
        <v>1</v>
      </c>
    </row>
    <row r="4168">
      <c r="A4168" s="210" t="str">
        <f>IFERROR(__xludf.DUMMYFUNCTION("""COMPUTED_VALUE"""),"1261415")</f>
        <v>1261415</v>
      </c>
      <c r="B4168" s="210" t="str">
        <f>IFERROR(__xludf.DUMMYFUNCTION("""COMPUTED_VALUE"""),"1261415")</f>
        <v>1261415</v>
      </c>
      <c r="C4168" s="213">
        <f>IFERROR(__xludf.DUMMYFUNCTION("""COMPUTED_VALUE"""),46095.61451388889)</f>
        <v>46095.61451</v>
      </c>
      <c r="D4168" s="211" t="str">
        <f>IFERROR(__xludf.DUMMYFUNCTION("""COMPUTED_VALUE"""),"9828dfc5")</f>
        <v>9828dfc5</v>
      </c>
      <c r="E4168" s="211" t="str">
        <f>IFERROR(__xludf.DUMMYFUNCTION("""COMPUTED_VALUE"""),"Bpk. David")</f>
        <v>Bpk. David</v>
      </c>
      <c r="F4168" s="211" t="str">
        <f>IFERROR(__xludf.DUMMYFUNCTION("""COMPUTED_VALUE"""),"8bdbe149")</f>
        <v>8bdbe149</v>
      </c>
      <c r="G4168" s="211" t="str">
        <f>IFERROR(__xludf.DUMMYFUNCTION("""COMPUTED_VALUE"""),"Oksigen 6m3")</f>
        <v>Oksigen 6m3</v>
      </c>
      <c r="H4168" s="211" t="str">
        <f>IFERROR(__xludf.DUMMYFUNCTION("""COMPUTED_VALUE"""),"IN")</f>
        <v>IN</v>
      </c>
      <c r="I4168" s="211" t="str">
        <f>IFERROR(__xludf.DUMMYFUNCTION("""COMPUTED_VALUE"""),"EMPTY")</f>
        <v>EMPTY</v>
      </c>
      <c r="J4168" s="211">
        <f>IFERROR(__xludf.DUMMYFUNCTION("""COMPUTED_VALUE"""),3.0)</f>
        <v>3</v>
      </c>
      <c r="K4168" s="210" t="str">
        <f>IFERROR(__xludf.DUMMYFUNCTION("""COMPUTED_VALUE"""),"1132 1126 11380")</f>
        <v>1132 1126 11380</v>
      </c>
      <c r="L4168" s="211">
        <f>IFERROR(__xludf.DUMMYFUNCTION("""COMPUTED_VALUE"""),0.0)</f>
        <v>0</v>
      </c>
      <c r="M4168" s="211"/>
      <c r="N4168" s="211"/>
      <c r="O4168" s="211" t="b">
        <f>IFERROR(__xludf.DUMMYFUNCTION("""COMPUTED_VALUE"""),FALSE)</f>
        <v>0</v>
      </c>
    </row>
    <row r="4169">
      <c r="A4169" s="210" t="str">
        <f>IFERROR(__xludf.DUMMYFUNCTION("""COMPUTED_VALUE"""),"1261415")</f>
        <v>1261415</v>
      </c>
      <c r="B4169" s="210" t="str">
        <f>IFERROR(__xludf.DUMMYFUNCTION("""COMPUTED_VALUE"""),"1261415")</f>
        <v>1261415</v>
      </c>
      <c r="C4169" s="213">
        <f>IFERROR(__xludf.DUMMYFUNCTION("""COMPUTED_VALUE"""),46095.61451388889)</f>
        <v>46095.61451</v>
      </c>
      <c r="D4169" s="211" t="str">
        <f>IFERROR(__xludf.DUMMYFUNCTION("""COMPUTED_VALUE"""),"9828dfc5")</f>
        <v>9828dfc5</v>
      </c>
      <c r="E4169" s="211" t="str">
        <f>IFERROR(__xludf.DUMMYFUNCTION("""COMPUTED_VALUE"""),"Bpk. David")</f>
        <v>Bpk. David</v>
      </c>
      <c r="F4169" s="211" t="str">
        <f>IFERROR(__xludf.DUMMYFUNCTION("""COMPUTED_VALUE"""),"7d2764f1")</f>
        <v>7d2764f1</v>
      </c>
      <c r="G4169" s="211" t="str">
        <f>IFERROR(__xludf.DUMMYFUNCTION("""COMPUTED_VALUE"""),"Oksigen 7m3")</f>
        <v>Oksigen 7m3</v>
      </c>
      <c r="H4169" s="211" t="str">
        <f>IFERROR(__xludf.DUMMYFUNCTION("""COMPUTED_VALUE"""),"IN")</f>
        <v>IN</v>
      </c>
      <c r="I4169" s="211" t="str">
        <f>IFERROR(__xludf.DUMMYFUNCTION("""COMPUTED_VALUE"""),"EMPTY")</f>
        <v>EMPTY</v>
      </c>
      <c r="J4169" s="211">
        <f>IFERROR(__xludf.DUMMYFUNCTION("""COMPUTED_VALUE"""),1.0)</f>
        <v>1</v>
      </c>
      <c r="K4169" s="210" t="str">
        <f>IFERROR(__xludf.DUMMYFUNCTION("""COMPUTED_VALUE"""),"11221")</f>
        <v>11221</v>
      </c>
      <c r="L4169" s="211">
        <f>IFERROR(__xludf.DUMMYFUNCTION("""COMPUTED_VALUE"""),0.0)</f>
        <v>0</v>
      </c>
      <c r="M4169" s="211"/>
      <c r="N4169" s="211"/>
      <c r="O4169" s="211" t="b">
        <f>IFERROR(__xludf.DUMMYFUNCTION("""COMPUTED_VALUE"""),FALSE)</f>
        <v>0</v>
      </c>
    </row>
    <row r="4170">
      <c r="A4170" s="210" t="str">
        <f>IFERROR(__xludf.DUMMYFUNCTION("""COMPUTED_VALUE"""),"1261416")</f>
        <v>1261416</v>
      </c>
      <c r="B4170" s="210" t="str">
        <f>IFERROR(__xludf.DUMMYFUNCTION("""COMPUTED_VALUE"""),"1261416")</f>
        <v>1261416</v>
      </c>
      <c r="C4170" s="213">
        <f>IFERROR(__xludf.DUMMYFUNCTION("""COMPUTED_VALUE"""),46095.61503472222)</f>
        <v>46095.61503</v>
      </c>
      <c r="D4170" s="211" t="str">
        <f>IFERROR(__xludf.DUMMYFUNCTION("""COMPUTED_VALUE"""),"b2b5f2c5")</f>
        <v>b2b5f2c5</v>
      </c>
      <c r="E4170" s="211" t="str">
        <f>IFERROR(__xludf.DUMMYFUNCTION("""COMPUTED_VALUE"""),"Bengkel Las Bpk. Ari")</f>
        <v>Bengkel Las Bpk. Ari</v>
      </c>
      <c r="F4170" s="211" t="str">
        <f>IFERROR(__xludf.DUMMYFUNCTION("""COMPUTED_VALUE"""),"8bdbe149")</f>
        <v>8bdbe149</v>
      </c>
      <c r="G4170" s="211" t="str">
        <f>IFERROR(__xludf.DUMMYFUNCTION("""COMPUTED_VALUE"""),"Oksigen 6m3")</f>
        <v>Oksigen 6m3</v>
      </c>
      <c r="H4170" s="211" t="str">
        <f>IFERROR(__xludf.DUMMYFUNCTION("""COMPUTED_VALUE"""),"IN")</f>
        <v>IN</v>
      </c>
      <c r="I4170" s="211" t="str">
        <f>IFERROR(__xludf.DUMMYFUNCTION("""COMPUTED_VALUE"""),"EMPTY")</f>
        <v>EMPTY</v>
      </c>
      <c r="J4170" s="211">
        <f>IFERROR(__xludf.DUMMYFUNCTION("""COMPUTED_VALUE"""),2.0)</f>
        <v>2</v>
      </c>
      <c r="K4170" s="210" t="str">
        <f>IFERROR(__xludf.DUMMYFUNCTION("""COMPUTED_VALUE"""),"1111 1129")</f>
        <v>1111 1129</v>
      </c>
      <c r="L4170" s="211">
        <f>IFERROR(__xludf.DUMMYFUNCTION("""COMPUTED_VALUE"""),0.0)</f>
        <v>0</v>
      </c>
      <c r="M4170" s="211"/>
      <c r="N4170" s="211"/>
      <c r="O4170" s="211" t="b">
        <f>IFERROR(__xludf.DUMMYFUNCTION("""COMPUTED_VALUE"""),FALSE)</f>
        <v>0</v>
      </c>
    </row>
    <row r="4171">
      <c r="A4171" s="210" t="str">
        <f>IFERROR(__xludf.DUMMYFUNCTION("""COMPUTED_VALUE"""),"0326322863")</f>
        <v>0326322863</v>
      </c>
      <c r="B4171" s="210" t="str">
        <f>IFERROR(__xludf.DUMMYFUNCTION("""COMPUTED_VALUE"""),"0326322863")</f>
        <v>0326322863</v>
      </c>
      <c r="C4171" s="213">
        <f>IFERROR(__xludf.DUMMYFUNCTION("""COMPUTED_VALUE"""),46095.61319444444)</f>
        <v>46095.61319</v>
      </c>
      <c r="D4171" s="211" t="str">
        <f>IFERROR(__xludf.DUMMYFUNCTION("""COMPUTED_VALUE"""),"63fc688a")</f>
        <v>63fc688a</v>
      </c>
      <c r="E4171" s="211" t="str">
        <f>IFERROR(__xludf.DUMMYFUNCTION("""COMPUTED_VALUE"""),"CV Malik Nusantara")</f>
        <v>CV Malik Nusantara</v>
      </c>
      <c r="F4171" s="211" t="str">
        <f>IFERROR(__xludf.DUMMYFUNCTION("""COMPUTED_VALUE"""),"8bdbe149")</f>
        <v>8bdbe149</v>
      </c>
      <c r="G4171" s="211" t="str">
        <f>IFERROR(__xludf.DUMMYFUNCTION("""COMPUTED_VALUE"""),"Oksigen 6m3")</f>
        <v>Oksigen 6m3</v>
      </c>
      <c r="H4171" s="211" t="str">
        <f>IFERROR(__xludf.DUMMYFUNCTION("""COMPUTED_VALUE"""),"OUT")</f>
        <v>OUT</v>
      </c>
      <c r="I4171" s="211" t="str">
        <f>IFERROR(__xludf.DUMMYFUNCTION("""COMPUTED_VALUE"""),"NORMAL")</f>
        <v>NORMAL</v>
      </c>
      <c r="J4171" s="211">
        <f>IFERROR(__xludf.DUMMYFUNCTION("""COMPUTED_VALUE"""),5.0)</f>
        <v>5</v>
      </c>
      <c r="K4171" s="210" t="str">
        <f>IFERROR(__xludf.DUMMYFUNCTION("""COMPUTED_VALUE"""),"1111 1129 11380 1132 1126")</f>
        <v>1111 1129 11380 1132 1126</v>
      </c>
      <c r="L4171" s="211">
        <f>IFERROR(__xludf.DUMMYFUNCTION("""COMPUTED_VALUE"""),65000.0)</f>
        <v>65000</v>
      </c>
      <c r="M4171" s="211"/>
      <c r="N4171" s="211"/>
      <c r="O4171" s="211" t="b">
        <f>IFERROR(__xludf.DUMMYFUNCTION("""COMPUTED_VALUE"""),FALSE)</f>
        <v>0</v>
      </c>
    </row>
    <row r="4172">
      <c r="A4172" s="210" t="str">
        <f>IFERROR(__xludf.DUMMYFUNCTION("""COMPUTED_VALUE"""),"0326942866")</f>
        <v>0326942866</v>
      </c>
      <c r="B4172" s="210" t="str">
        <f>IFERROR(__xludf.DUMMYFUNCTION("""COMPUTED_VALUE"""),"0326942866")</f>
        <v>0326942866</v>
      </c>
      <c r="C4172" s="213">
        <f>IFERROR(__xludf.DUMMYFUNCTION("""COMPUTED_VALUE"""),46097.36738425926)</f>
        <v>46097.36738</v>
      </c>
      <c r="D4172" s="211" t="str">
        <f>IFERROR(__xludf.DUMMYFUNCTION("""COMPUTED_VALUE"""),"b2b5f2c5")</f>
        <v>b2b5f2c5</v>
      </c>
      <c r="E4172" s="211" t="str">
        <f>IFERROR(__xludf.DUMMYFUNCTION("""COMPUTED_VALUE"""),"Bengkel Las Bpk. Ari")</f>
        <v>Bengkel Las Bpk. Ari</v>
      </c>
      <c r="F4172" s="211" t="str">
        <f>IFERROR(__xludf.DUMMYFUNCTION("""COMPUTED_VALUE"""),"8bdbe149")</f>
        <v>8bdbe149</v>
      </c>
      <c r="G4172" s="211" t="str">
        <f>IFERROR(__xludf.DUMMYFUNCTION("""COMPUTED_VALUE"""),"Oksigen 6m3")</f>
        <v>Oksigen 6m3</v>
      </c>
      <c r="H4172" s="211" t="str">
        <f>IFERROR(__xludf.DUMMYFUNCTION("""COMPUTED_VALUE"""),"OUT")</f>
        <v>OUT</v>
      </c>
      <c r="I4172" s="211" t="str">
        <f>IFERROR(__xludf.DUMMYFUNCTION("""COMPUTED_VALUE"""),"NORMAL")</f>
        <v>NORMAL</v>
      </c>
      <c r="J4172" s="211">
        <f>IFERROR(__xludf.DUMMYFUNCTION("""COMPUTED_VALUE"""),6.0)</f>
        <v>6</v>
      </c>
      <c r="K4172" s="210" t="str">
        <f>IFERROR(__xludf.DUMMYFUNCTION("""COMPUTED_VALUE"""),"11366 1136 1155 11354 11376 11104")</f>
        <v>11366 1136 1155 11354 11376 11104</v>
      </c>
      <c r="L4172" s="211">
        <f>IFERROR(__xludf.DUMMYFUNCTION("""COMPUTED_VALUE"""),60000.0)</f>
        <v>60000</v>
      </c>
      <c r="M4172" s="211"/>
      <c r="N4172" s="211"/>
      <c r="O4172" s="211" t="b">
        <f>IFERROR(__xludf.DUMMYFUNCTION("""COMPUTED_VALUE"""),FALSE)</f>
        <v>0</v>
      </c>
    </row>
    <row r="4173">
      <c r="A4173" s="210" t="str">
        <f>IFERROR(__xludf.DUMMYFUNCTION("""COMPUTED_VALUE"""),"0326942866")</f>
        <v>0326942866</v>
      </c>
      <c r="B4173" s="210" t="str">
        <f>IFERROR(__xludf.DUMMYFUNCTION("""COMPUTED_VALUE"""),"0326942866")</f>
        <v>0326942866</v>
      </c>
      <c r="C4173" s="213">
        <f>IFERROR(__xludf.DUMMYFUNCTION("""COMPUTED_VALUE"""),46097.36738425926)</f>
        <v>46097.36738</v>
      </c>
      <c r="D4173" s="211" t="str">
        <f>IFERROR(__xludf.DUMMYFUNCTION("""COMPUTED_VALUE"""),"b2b5f2c5")</f>
        <v>b2b5f2c5</v>
      </c>
      <c r="E4173" s="211" t="str">
        <f>IFERROR(__xludf.DUMMYFUNCTION("""COMPUTED_VALUE"""),"Bengkel Las Bpk. Ari")</f>
        <v>Bengkel Las Bpk. Ari</v>
      </c>
      <c r="F4173" s="211" t="str">
        <f>IFERROR(__xludf.DUMMYFUNCTION("""COMPUTED_VALUE"""),"ef306e54")</f>
        <v>ef306e54</v>
      </c>
      <c r="G4173" s="211" t="str">
        <f>IFERROR(__xludf.DUMMYFUNCTION("""COMPUTED_VALUE"""),"Karbondioksida")</f>
        <v>Karbondioksida</v>
      </c>
      <c r="H4173" s="211" t="str">
        <f>IFERROR(__xludf.DUMMYFUNCTION("""COMPUTED_VALUE"""),"OUT")</f>
        <v>OUT</v>
      </c>
      <c r="I4173" s="211" t="str">
        <f>IFERROR(__xludf.DUMMYFUNCTION("""COMPUTED_VALUE"""),"NORMAL")</f>
        <v>NORMAL</v>
      </c>
      <c r="J4173" s="211">
        <f>IFERROR(__xludf.DUMMYFUNCTION("""COMPUTED_VALUE"""),2.0)</f>
        <v>2</v>
      </c>
      <c r="K4173" s="210" t="str">
        <f>IFERROR(__xludf.DUMMYFUNCTION("""COMPUTED_VALUE"""),"13006 13010")</f>
        <v>13006 13010</v>
      </c>
      <c r="L4173" s="211">
        <f>IFERROR(__xludf.DUMMYFUNCTION("""COMPUTED_VALUE"""),180000.0)</f>
        <v>180000</v>
      </c>
      <c r="M4173" s="211"/>
      <c r="N4173" s="211"/>
      <c r="O4173" s="211" t="b">
        <f>IFERROR(__xludf.DUMMYFUNCTION("""COMPUTED_VALUE"""),FALSE)</f>
        <v>0</v>
      </c>
    </row>
    <row r="4174">
      <c r="A4174" s="210" t="str">
        <f>IFERROR(__xludf.DUMMYFUNCTION("""COMPUTED_VALUE"""),"1261418")</f>
        <v>1261418</v>
      </c>
      <c r="B4174" s="210" t="str">
        <f>IFERROR(__xludf.DUMMYFUNCTION("""COMPUTED_VALUE"""),"1261418")</f>
        <v>1261418</v>
      </c>
      <c r="C4174" s="213">
        <f>IFERROR(__xludf.DUMMYFUNCTION("""COMPUTED_VALUE"""),46097.59061342593)</f>
        <v>46097.59061</v>
      </c>
      <c r="D4174" s="211" t="str">
        <f>IFERROR(__xludf.DUMMYFUNCTION("""COMPUTED_VALUE"""),"b0735da4")</f>
        <v>b0735da4</v>
      </c>
      <c r="E4174" s="211" t="str">
        <f>IFERROR(__xludf.DUMMYFUNCTION("""COMPUTED_VALUE"""),"Bpk. Amer Ciro")</f>
        <v>Bpk. Amer Ciro</v>
      </c>
      <c r="F4174" s="211" t="str">
        <f>IFERROR(__xludf.DUMMYFUNCTION("""COMPUTED_VALUE"""),"7d2764f1")</f>
        <v>7d2764f1</v>
      </c>
      <c r="G4174" s="211" t="str">
        <f>IFERROR(__xludf.DUMMYFUNCTION("""COMPUTED_VALUE"""),"Oksigen 7m3")</f>
        <v>Oksigen 7m3</v>
      </c>
      <c r="H4174" s="211" t="str">
        <f>IFERROR(__xludf.DUMMYFUNCTION("""COMPUTED_VALUE"""),"IN")</f>
        <v>IN</v>
      </c>
      <c r="I4174" s="211" t="str">
        <f>IFERROR(__xludf.DUMMYFUNCTION("""COMPUTED_VALUE"""),"EMPTY")</f>
        <v>EMPTY</v>
      </c>
      <c r="J4174" s="211">
        <f>IFERROR(__xludf.DUMMYFUNCTION("""COMPUTED_VALUE"""),1.0)</f>
        <v>1</v>
      </c>
      <c r="K4174" s="210" t="str">
        <f>IFERROR(__xludf.DUMMYFUNCTION("""COMPUTED_VALUE"""),"11161")</f>
        <v>11161</v>
      </c>
      <c r="L4174" s="211">
        <f>IFERROR(__xludf.DUMMYFUNCTION("""COMPUTED_VALUE"""),0.0)</f>
        <v>0</v>
      </c>
      <c r="M4174" s="211"/>
      <c r="N4174" s="211"/>
      <c r="O4174" s="211" t="b">
        <f>IFERROR(__xludf.DUMMYFUNCTION("""COMPUTED_VALUE"""),FALSE)</f>
        <v>0</v>
      </c>
    </row>
    <row r="4175">
      <c r="A4175" s="210" t="str">
        <f>IFERROR(__xludf.DUMMYFUNCTION("""COMPUTED_VALUE"""),"1261418")</f>
        <v>1261418</v>
      </c>
      <c r="B4175" s="210" t="str">
        <f>IFERROR(__xludf.DUMMYFUNCTION("""COMPUTED_VALUE"""),"1261418")</f>
        <v>1261418</v>
      </c>
      <c r="C4175" s="213">
        <f>IFERROR(__xludf.DUMMYFUNCTION("""COMPUTED_VALUE"""),46097.59061342593)</f>
        <v>46097.59061</v>
      </c>
      <c r="D4175" s="211" t="str">
        <f>IFERROR(__xludf.DUMMYFUNCTION("""COMPUTED_VALUE"""),"b0735da4")</f>
        <v>b0735da4</v>
      </c>
      <c r="E4175" s="211" t="str">
        <f>IFERROR(__xludf.DUMMYFUNCTION("""COMPUTED_VALUE"""),"Bpk. Amer Ciro")</f>
        <v>Bpk. Amer Ciro</v>
      </c>
      <c r="F4175" s="211" t="str">
        <f>IFERROR(__xludf.DUMMYFUNCTION("""COMPUTED_VALUE"""),"8bdbe149")</f>
        <v>8bdbe149</v>
      </c>
      <c r="G4175" s="211" t="str">
        <f>IFERROR(__xludf.DUMMYFUNCTION("""COMPUTED_VALUE"""),"Oksigen 6m3")</f>
        <v>Oksigen 6m3</v>
      </c>
      <c r="H4175" s="211" t="str">
        <f>IFERROR(__xludf.DUMMYFUNCTION("""COMPUTED_VALUE"""),"IN")</f>
        <v>IN</v>
      </c>
      <c r="I4175" s="211" t="str">
        <f>IFERROR(__xludf.DUMMYFUNCTION("""COMPUTED_VALUE"""),"EMPTY")</f>
        <v>EMPTY</v>
      </c>
      <c r="J4175" s="211">
        <f>IFERROR(__xludf.DUMMYFUNCTION("""COMPUTED_VALUE"""),1.0)</f>
        <v>1</v>
      </c>
      <c r="K4175" s="210" t="str">
        <f>IFERROR(__xludf.DUMMYFUNCTION("""COMPUTED_VALUE"""),"11363")</f>
        <v>11363</v>
      </c>
      <c r="L4175" s="211">
        <f>IFERROR(__xludf.DUMMYFUNCTION("""COMPUTED_VALUE"""),0.0)</f>
        <v>0</v>
      </c>
      <c r="M4175" s="211"/>
      <c r="N4175" s="211"/>
      <c r="O4175" s="211" t="b">
        <f>IFERROR(__xludf.DUMMYFUNCTION("""COMPUTED_VALUE"""),FALSE)</f>
        <v>0</v>
      </c>
    </row>
    <row r="4176">
      <c r="A4176" s="210" t="str">
        <f>IFERROR(__xludf.DUMMYFUNCTION("""COMPUTED_VALUE"""),"1261419")</f>
        <v>1261419</v>
      </c>
      <c r="B4176" s="210" t="str">
        <f>IFERROR(__xludf.DUMMYFUNCTION("""COMPUTED_VALUE"""),"1261419")</f>
        <v>1261419</v>
      </c>
      <c r="C4176" s="213">
        <f>IFERROR(__xludf.DUMMYFUNCTION("""COMPUTED_VALUE"""),46097.591261574074)</f>
        <v>46097.59126</v>
      </c>
      <c r="D4176" s="211" t="str">
        <f>IFERROR(__xludf.DUMMYFUNCTION("""COMPUTED_VALUE"""),"63fc688a")</f>
        <v>63fc688a</v>
      </c>
      <c r="E4176" s="211" t="str">
        <f>IFERROR(__xludf.DUMMYFUNCTION("""COMPUTED_VALUE"""),"CV Malik Nusantara")</f>
        <v>CV Malik Nusantara</v>
      </c>
      <c r="F4176" s="211" t="str">
        <f>IFERROR(__xludf.DUMMYFUNCTION("""COMPUTED_VALUE"""),"8bdbe149")</f>
        <v>8bdbe149</v>
      </c>
      <c r="G4176" s="211" t="str">
        <f>IFERROR(__xludf.DUMMYFUNCTION("""COMPUTED_VALUE"""),"Oksigen 6m3")</f>
        <v>Oksigen 6m3</v>
      </c>
      <c r="H4176" s="211" t="str">
        <f>IFERROR(__xludf.DUMMYFUNCTION("""COMPUTED_VALUE"""),"IN")</f>
        <v>IN</v>
      </c>
      <c r="I4176" s="211" t="str">
        <f>IFERROR(__xludf.DUMMYFUNCTION("""COMPUTED_VALUE"""),"EMPTY")</f>
        <v>EMPTY</v>
      </c>
      <c r="J4176" s="211">
        <f>IFERROR(__xludf.DUMMYFUNCTION("""COMPUTED_VALUE"""),5.0)</f>
        <v>5</v>
      </c>
      <c r="K4176" s="210" t="str">
        <f>IFERROR(__xludf.DUMMYFUNCTION("""COMPUTED_VALUE"""),"1137 11288 11378 11294 11383")</f>
        <v>1137 11288 11378 11294 11383</v>
      </c>
      <c r="L4176" s="211">
        <f>IFERROR(__xludf.DUMMYFUNCTION("""COMPUTED_VALUE"""),0.0)</f>
        <v>0</v>
      </c>
      <c r="M4176" s="211"/>
      <c r="N4176" s="211"/>
      <c r="O4176" s="211" t="b">
        <f>IFERROR(__xludf.DUMMYFUNCTION("""COMPUTED_VALUE"""),FALSE)</f>
        <v>0</v>
      </c>
    </row>
    <row r="4177">
      <c r="A4177" s="210" t="str">
        <f>IFERROR(__xludf.DUMMYFUNCTION("""COMPUTED_VALUE"""),"1261419")</f>
        <v>1261419</v>
      </c>
      <c r="B4177" s="210" t="str">
        <f>IFERROR(__xludf.DUMMYFUNCTION("""COMPUTED_VALUE"""),"1261419")</f>
        <v>1261419</v>
      </c>
      <c r="C4177" s="213">
        <f>IFERROR(__xludf.DUMMYFUNCTION("""COMPUTED_VALUE"""),46097.591261574074)</f>
        <v>46097.59126</v>
      </c>
      <c r="D4177" s="211" t="str">
        <f>IFERROR(__xludf.DUMMYFUNCTION("""COMPUTED_VALUE"""),"63fc688a")</f>
        <v>63fc688a</v>
      </c>
      <c r="E4177" s="211" t="str">
        <f>IFERROR(__xludf.DUMMYFUNCTION("""COMPUTED_VALUE"""),"CV Malik Nusantara")</f>
        <v>CV Malik Nusantara</v>
      </c>
      <c r="F4177" s="211" t="str">
        <f>IFERROR(__xludf.DUMMYFUNCTION("""COMPUTED_VALUE"""),"7d2764f1")</f>
        <v>7d2764f1</v>
      </c>
      <c r="G4177" s="211" t="str">
        <f>IFERROR(__xludf.DUMMYFUNCTION("""COMPUTED_VALUE"""),"Oksigen 7m3")</f>
        <v>Oksigen 7m3</v>
      </c>
      <c r="H4177" s="211" t="str">
        <f>IFERROR(__xludf.DUMMYFUNCTION("""COMPUTED_VALUE"""),"IN")</f>
        <v>IN</v>
      </c>
      <c r="I4177" s="211" t="str">
        <f>IFERROR(__xludf.DUMMYFUNCTION("""COMPUTED_VALUE"""),"EMPTY")</f>
        <v>EMPTY</v>
      </c>
      <c r="J4177" s="211">
        <f>IFERROR(__xludf.DUMMYFUNCTION("""COMPUTED_VALUE"""),3.0)</f>
        <v>3</v>
      </c>
      <c r="K4177" s="210" t="str">
        <f>IFERROR(__xludf.DUMMYFUNCTION("""COMPUTED_VALUE"""),"11390 11393 11395")</f>
        <v>11390 11393 11395</v>
      </c>
      <c r="L4177" s="211">
        <f>IFERROR(__xludf.DUMMYFUNCTION("""COMPUTED_VALUE"""),0.0)</f>
        <v>0</v>
      </c>
      <c r="M4177" s="211"/>
      <c r="N4177" s="211"/>
      <c r="O4177" s="211" t="b">
        <f>IFERROR(__xludf.DUMMYFUNCTION("""COMPUTED_VALUE"""),FALSE)</f>
        <v>0</v>
      </c>
    </row>
    <row r="4178">
      <c r="A4178" s="210" t="str">
        <f>IFERROR(__xludf.DUMMYFUNCTION("""COMPUTED_VALUE"""),"1261420")</f>
        <v>1261420</v>
      </c>
      <c r="B4178" s="210" t="str">
        <f>IFERROR(__xludf.DUMMYFUNCTION("""COMPUTED_VALUE"""),"1261420")</f>
        <v>1261420</v>
      </c>
      <c r="C4178" s="213">
        <f>IFERROR(__xludf.DUMMYFUNCTION("""COMPUTED_VALUE"""),46097.59332175926)</f>
        <v>46097.59332</v>
      </c>
      <c r="D4178" s="211" t="str">
        <f>IFERROR(__xludf.DUMMYFUNCTION("""COMPUTED_VALUE"""),"98c84274")</f>
        <v>98c84274</v>
      </c>
      <c r="E4178" s="211" t="str">
        <f>IFERROR(__xludf.DUMMYFUNCTION("""COMPUTED_VALUE"""),"Bengkel SBM (Pak Hari)")</f>
        <v>Bengkel SBM (Pak Hari)</v>
      </c>
      <c r="F4178" s="211" t="str">
        <f>IFERROR(__xludf.DUMMYFUNCTION("""COMPUTED_VALUE"""),"8bdbe149")</f>
        <v>8bdbe149</v>
      </c>
      <c r="G4178" s="211" t="str">
        <f>IFERROR(__xludf.DUMMYFUNCTION("""COMPUTED_VALUE"""),"Oksigen 6m3")</f>
        <v>Oksigen 6m3</v>
      </c>
      <c r="H4178" s="211" t="str">
        <f>IFERROR(__xludf.DUMMYFUNCTION("""COMPUTED_VALUE"""),"IN")</f>
        <v>IN</v>
      </c>
      <c r="I4178" s="211" t="str">
        <f>IFERROR(__xludf.DUMMYFUNCTION("""COMPUTED_VALUE"""),"EMPTY")</f>
        <v>EMPTY</v>
      </c>
      <c r="J4178" s="211">
        <f>IFERROR(__xludf.DUMMYFUNCTION("""COMPUTED_VALUE"""),2.0)</f>
        <v>2</v>
      </c>
      <c r="K4178" s="210" t="str">
        <f>IFERROR(__xludf.DUMMYFUNCTION("""COMPUTED_VALUE"""),"1185 11109")</f>
        <v>1185 11109</v>
      </c>
      <c r="L4178" s="211">
        <f>IFERROR(__xludf.DUMMYFUNCTION("""COMPUTED_VALUE"""),0.0)</f>
        <v>0</v>
      </c>
      <c r="M4178" s="211"/>
      <c r="N4178" s="211"/>
      <c r="O4178" s="211" t="b">
        <f>IFERROR(__xludf.DUMMYFUNCTION("""COMPUTED_VALUE"""),FALSE)</f>
        <v>0</v>
      </c>
    </row>
    <row r="4179">
      <c r="A4179" s="210" t="str">
        <f>IFERROR(__xludf.DUMMYFUNCTION("""COMPUTED_VALUE"""),"1261417")</f>
        <v>1261417</v>
      </c>
      <c r="B4179" s="210" t="str">
        <f>IFERROR(__xludf.DUMMYFUNCTION("""COMPUTED_VALUE"""),"1261417")</f>
        <v>1261417</v>
      </c>
      <c r="C4179" s="213">
        <f>IFERROR(__xludf.DUMMYFUNCTION("""COMPUTED_VALUE"""),46097.59369212963)</f>
        <v>46097.59369</v>
      </c>
      <c r="D4179" s="211" t="str">
        <f>IFERROR(__xludf.DUMMYFUNCTION("""COMPUTED_VALUE"""),"dcdf8b31")</f>
        <v>dcdf8b31</v>
      </c>
      <c r="E4179" s="211" t="str">
        <f>IFERROR(__xludf.DUMMYFUNCTION("""COMPUTED_VALUE"""),"Bpk. Samsul (Jetis)")</f>
        <v>Bpk. Samsul (Jetis)</v>
      </c>
      <c r="F4179" s="211" t="str">
        <f>IFERROR(__xludf.DUMMYFUNCTION("""COMPUTED_VALUE"""),"7d2764f1")</f>
        <v>7d2764f1</v>
      </c>
      <c r="G4179" s="211" t="str">
        <f>IFERROR(__xludf.DUMMYFUNCTION("""COMPUTED_VALUE"""),"Oksigen 7m3")</f>
        <v>Oksigen 7m3</v>
      </c>
      <c r="H4179" s="211" t="str">
        <f>IFERROR(__xludf.DUMMYFUNCTION("""COMPUTED_VALUE"""),"IN")</f>
        <v>IN</v>
      </c>
      <c r="I4179" s="211" t="str">
        <f>IFERROR(__xludf.DUMMYFUNCTION("""COMPUTED_VALUE"""),"EMPTY")</f>
        <v>EMPTY</v>
      </c>
      <c r="J4179" s="211">
        <f>IFERROR(__xludf.DUMMYFUNCTION("""COMPUTED_VALUE"""),1.0)</f>
        <v>1</v>
      </c>
      <c r="K4179" s="210" t="str">
        <f>IFERROR(__xludf.DUMMYFUNCTION("""COMPUTED_VALUE"""),"11173")</f>
        <v>11173</v>
      </c>
      <c r="L4179" s="211">
        <f>IFERROR(__xludf.DUMMYFUNCTION("""COMPUTED_VALUE"""),0.0)</f>
        <v>0</v>
      </c>
      <c r="M4179" s="211"/>
      <c r="N4179" s="211"/>
      <c r="O4179" s="211" t="b">
        <f>IFERROR(__xludf.DUMMYFUNCTION("""COMPUTED_VALUE"""),FALSE)</f>
        <v>0</v>
      </c>
    </row>
    <row r="4180">
      <c r="A4180" s="210" t="str">
        <f>IFERROR(__xludf.DUMMYFUNCTION("""COMPUTED_VALUE"""),"1261417")</f>
        <v>1261417</v>
      </c>
      <c r="B4180" s="210" t="str">
        <f>IFERROR(__xludf.DUMMYFUNCTION("""COMPUTED_VALUE"""),"1261417")</f>
        <v>1261417</v>
      </c>
      <c r="C4180" s="213">
        <f>IFERROR(__xludf.DUMMYFUNCTION("""COMPUTED_VALUE"""),46097.59369212963)</f>
        <v>46097.59369</v>
      </c>
      <c r="D4180" s="211" t="str">
        <f>IFERROR(__xludf.DUMMYFUNCTION("""COMPUTED_VALUE"""),"dcdf8b31")</f>
        <v>dcdf8b31</v>
      </c>
      <c r="E4180" s="211" t="str">
        <f>IFERROR(__xludf.DUMMYFUNCTION("""COMPUTED_VALUE"""),"Bpk. Samsul (Jetis)")</f>
        <v>Bpk. Samsul (Jetis)</v>
      </c>
      <c r="F4180" s="211" t="str">
        <f>IFERROR(__xludf.DUMMYFUNCTION("""COMPUTED_VALUE"""),"be525f3b")</f>
        <v>be525f3b</v>
      </c>
      <c r="G4180" s="211" t="str">
        <f>IFERROR(__xludf.DUMMYFUNCTION("""COMPUTED_VALUE"""),"LPG 12kg")</f>
        <v>LPG 12kg</v>
      </c>
      <c r="H4180" s="211" t="str">
        <f>IFERROR(__xludf.DUMMYFUNCTION("""COMPUTED_VALUE"""),"IN")</f>
        <v>IN</v>
      </c>
      <c r="I4180" s="211" t="str">
        <f>IFERROR(__xludf.DUMMYFUNCTION("""COMPUTED_VALUE"""),"CLAIM")</f>
        <v>CLAIM</v>
      </c>
      <c r="J4180" s="211">
        <f>IFERROR(__xludf.DUMMYFUNCTION("""COMPUTED_VALUE"""),1.0)</f>
        <v>1</v>
      </c>
      <c r="K4180" s="211"/>
      <c r="L4180" s="211">
        <f>IFERROR(__xludf.DUMMYFUNCTION("""COMPUTED_VALUE"""),0.0)</f>
        <v>0</v>
      </c>
      <c r="M4180" s="211"/>
      <c r="N4180" s="211" t="str">
        <f>IFERROR(__xludf.DUMMYFUNCTION("""COMPUTED_VALUE"""),"Nitip masih Isi")</f>
        <v>Nitip masih Isi</v>
      </c>
      <c r="O4180" s="211" t="b">
        <f>IFERROR(__xludf.DUMMYFUNCTION("""COMPUTED_VALUE"""),FALSE)</f>
        <v>0</v>
      </c>
    </row>
    <row r="4181">
      <c r="A4181" s="210" t="str">
        <f>IFERROR(__xludf.DUMMYFUNCTION("""COMPUTED_VALUE"""),"1261417")</f>
        <v>1261417</v>
      </c>
      <c r="B4181" s="210" t="str">
        <f>IFERROR(__xludf.DUMMYFUNCTION("""COMPUTED_VALUE"""),"1261417")</f>
        <v>1261417</v>
      </c>
      <c r="C4181" s="213">
        <f>IFERROR(__xludf.DUMMYFUNCTION("""COMPUTED_VALUE"""),46097.59369212963)</f>
        <v>46097.59369</v>
      </c>
      <c r="D4181" s="211" t="str">
        <f>IFERROR(__xludf.DUMMYFUNCTION("""COMPUTED_VALUE"""),"dcdf8b31")</f>
        <v>dcdf8b31</v>
      </c>
      <c r="E4181" s="211" t="str">
        <f>IFERROR(__xludf.DUMMYFUNCTION("""COMPUTED_VALUE"""),"Bpk. Samsul (Jetis)")</f>
        <v>Bpk. Samsul (Jetis)</v>
      </c>
      <c r="F4181" s="211" t="str">
        <f>IFERROR(__xludf.DUMMYFUNCTION("""COMPUTED_VALUE"""),"8bdbe149")</f>
        <v>8bdbe149</v>
      </c>
      <c r="G4181" s="211" t="str">
        <f>IFERROR(__xludf.DUMMYFUNCTION("""COMPUTED_VALUE"""),"Oksigen 6m3")</f>
        <v>Oksigen 6m3</v>
      </c>
      <c r="H4181" s="211" t="str">
        <f>IFERROR(__xludf.DUMMYFUNCTION("""COMPUTED_VALUE"""),"IN")</f>
        <v>IN</v>
      </c>
      <c r="I4181" s="211" t="str">
        <f>IFERROR(__xludf.DUMMYFUNCTION("""COMPUTED_VALUE"""),"CLAIM")</f>
        <v>CLAIM</v>
      </c>
      <c r="J4181" s="211">
        <f>IFERROR(__xludf.DUMMYFUNCTION("""COMPUTED_VALUE"""),2.0)</f>
        <v>2</v>
      </c>
      <c r="K4181" s="210" t="str">
        <f>IFERROR(__xludf.DUMMYFUNCTION("""COMPUTED_VALUE"""),"11326 11324")</f>
        <v>11326 11324</v>
      </c>
      <c r="L4181" s="211">
        <f>IFERROR(__xludf.DUMMYFUNCTION("""COMPUTED_VALUE"""),0.0)</f>
        <v>0</v>
      </c>
      <c r="M4181" s="211"/>
      <c r="N4181" s="211" t="str">
        <f>IFERROR(__xludf.DUMMYFUNCTION("""COMPUTED_VALUE"""),"Nitip masih isi")</f>
        <v>Nitip masih isi</v>
      </c>
      <c r="O4181" s="211" t="b">
        <f>IFERROR(__xludf.DUMMYFUNCTION("""COMPUTED_VALUE"""),FALSE)</f>
        <v>0</v>
      </c>
    </row>
    <row r="4182">
      <c r="A4182" s="210" t="str">
        <f>IFERROR(__xludf.DUMMYFUNCTION("""COMPUTED_VALUE"""),"1261431")</f>
        <v>1261431</v>
      </c>
      <c r="B4182" s="210" t="str">
        <f>IFERROR(__xludf.DUMMYFUNCTION("""COMPUTED_VALUE"""),"1261431")</f>
        <v>1261431</v>
      </c>
      <c r="C4182" s="213">
        <f>IFERROR(__xludf.DUMMYFUNCTION("""COMPUTED_VALUE"""),46097.62126157407)</f>
        <v>46097.62126</v>
      </c>
      <c r="D4182" s="211" t="str">
        <f>IFERROR(__xludf.DUMMYFUNCTION("""COMPUTED_VALUE"""),"b2b5f2c5")</f>
        <v>b2b5f2c5</v>
      </c>
      <c r="E4182" s="211" t="str">
        <f>IFERROR(__xludf.DUMMYFUNCTION("""COMPUTED_VALUE"""),"Bengkel Las Bpk. Ari")</f>
        <v>Bengkel Las Bpk. Ari</v>
      </c>
      <c r="F4182" s="211" t="str">
        <f>IFERROR(__xludf.DUMMYFUNCTION("""COMPUTED_VALUE"""),"8bdbe149")</f>
        <v>8bdbe149</v>
      </c>
      <c r="G4182" s="211" t="str">
        <f>IFERROR(__xludf.DUMMYFUNCTION("""COMPUTED_VALUE"""),"Oksigen 6m3")</f>
        <v>Oksigen 6m3</v>
      </c>
      <c r="H4182" s="211" t="str">
        <f>IFERROR(__xludf.DUMMYFUNCTION("""COMPUTED_VALUE"""),"IN")</f>
        <v>IN</v>
      </c>
      <c r="I4182" s="211" t="str">
        <f>IFERROR(__xludf.DUMMYFUNCTION("""COMPUTED_VALUE"""),"EMPTY")</f>
        <v>EMPTY</v>
      </c>
      <c r="J4182" s="211">
        <f>IFERROR(__xludf.DUMMYFUNCTION("""COMPUTED_VALUE"""),5.0)</f>
        <v>5</v>
      </c>
      <c r="K4182" s="210" t="str">
        <f>IFERROR(__xludf.DUMMYFUNCTION("""COMPUTED_VALUE"""),"1135 11209 11277 11105 1145")</f>
        <v>1135 11209 11277 11105 1145</v>
      </c>
      <c r="L4182" s="211">
        <f>IFERROR(__xludf.DUMMYFUNCTION("""COMPUTED_VALUE"""),0.0)</f>
        <v>0</v>
      </c>
      <c r="M4182" s="211"/>
      <c r="N4182" s="211"/>
      <c r="O4182" s="211" t="b">
        <f>IFERROR(__xludf.DUMMYFUNCTION("""COMPUTED_VALUE"""),FALSE)</f>
        <v>0</v>
      </c>
    </row>
    <row r="4183">
      <c r="A4183" s="210" t="str">
        <f>IFERROR(__xludf.DUMMYFUNCTION("""COMPUTED_VALUE"""),"1261410")</f>
        <v>1261410</v>
      </c>
      <c r="B4183" s="210" t="str">
        <f>IFERROR(__xludf.DUMMYFUNCTION("""COMPUTED_VALUE"""),"1261410")</f>
        <v>1261410</v>
      </c>
      <c r="C4183" s="213">
        <f>IFERROR(__xludf.DUMMYFUNCTION("""COMPUTED_VALUE"""),46097.622094907405)</f>
        <v>46097.62209</v>
      </c>
      <c r="D4183" s="211" t="str">
        <f>IFERROR(__xludf.DUMMYFUNCTION("""COMPUTED_VALUE"""),"b218b89b")</f>
        <v>b218b89b</v>
      </c>
      <c r="E4183" s="211" t="str">
        <f>IFERROR(__xludf.DUMMYFUNCTION("""COMPUTED_VALUE"""),"PT Harapan Sentosa")</f>
        <v>PT Harapan Sentosa</v>
      </c>
      <c r="F4183" s="211" t="str">
        <f>IFERROR(__xludf.DUMMYFUNCTION("""COMPUTED_VALUE"""),"8bdbe149")</f>
        <v>8bdbe149</v>
      </c>
      <c r="G4183" s="211" t="str">
        <f>IFERROR(__xludf.DUMMYFUNCTION("""COMPUTED_VALUE"""),"Oksigen 6m3")</f>
        <v>Oksigen 6m3</v>
      </c>
      <c r="H4183" s="211" t="str">
        <f>IFERROR(__xludf.DUMMYFUNCTION("""COMPUTED_VALUE"""),"IN")</f>
        <v>IN</v>
      </c>
      <c r="I4183" s="211" t="str">
        <f>IFERROR(__xludf.DUMMYFUNCTION("""COMPUTED_VALUE"""),"EMPTY")</f>
        <v>EMPTY</v>
      </c>
      <c r="J4183" s="211">
        <f>IFERROR(__xludf.DUMMYFUNCTION("""COMPUTED_VALUE"""),3.0)</f>
        <v>3</v>
      </c>
      <c r="K4183" s="210" t="str">
        <f>IFERROR(__xludf.DUMMYFUNCTION("""COMPUTED_VALUE"""),"11327 11238 1120")</f>
        <v>11327 11238 1120</v>
      </c>
      <c r="L4183" s="211">
        <f>IFERROR(__xludf.DUMMYFUNCTION("""COMPUTED_VALUE"""),0.0)</f>
        <v>0</v>
      </c>
      <c r="M4183" s="211"/>
      <c r="N4183" s="211"/>
      <c r="O4183" s="211" t="b">
        <f>IFERROR(__xludf.DUMMYFUNCTION("""COMPUTED_VALUE"""),FALSE)</f>
        <v>0</v>
      </c>
    </row>
    <row r="4184">
      <c r="A4184" s="210" t="str">
        <f>IFERROR(__xludf.DUMMYFUNCTION("""COMPUTED_VALUE"""),"1261410")</f>
        <v>1261410</v>
      </c>
      <c r="B4184" s="210" t="str">
        <f>IFERROR(__xludf.DUMMYFUNCTION("""COMPUTED_VALUE"""),"1261410")</f>
        <v>1261410</v>
      </c>
      <c r="C4184" s="213">
        <f>IFERROR(__xludf.DUMMYFUNCTION("""COMPUTED_VALUE"""),46097.622094907405)</f>
        <v>46097.62209</v>
      </c>
      <c r="D4184" s="211" t="str">
        <f>IFERROR(__xludf.DUMMYFUNCTION("""COMPUTED_VALUE"""),"b218b89b")</f>
        <v>b218b89b</v>
      </c>
      <c r="E4184" s="211" t="str">
        <f>IFERROR(__xludf.DUMMYFUNCTION("""COMPUTED_VALUE"""),"PT Harapan Sentosa")</f>
        <v>PT Harapan Sentosa</v>
      </c>
      <c r="F4184" s="211" t="str">
        <f>IFERROR(__xludf.DUMMYFUNCTION("""COMPUTED_VALUE"""),"7d2764f1")</f>
        <v>7d2764f1</v>
      </c>
      <c r="G4184" s="211" t="str">
        <f>IFERROR(__xludf.DUMMYFUNCTION("""COMPUTED_VALUE"""),"Oksigen 7m3")</f>
        <v>Oksigen 7m3</v>
      </c>
      <c r="H4184" s="211" t="str">
        <f>IFERROR(__xludf.DUMMYFUNCTION("""COMPUTED_VALUE"""),"IN")</f>
        <v>IN</v>
      </c>
      <c r="I4184" s="211" t="str">
        <f>IFERROR(__xludf.DUMMYFUNCTION("""COMPUTED_VALUE"""),"EMPTY")</f>
        <v>EMPTY</v>
      </c>
      <c r="J4184" s="211">
        <f>IFERROR(__xludf.DUMMYFUNCTION("""COMPUTED_VALUE"""),1.0)</f>
        <v>1</v>
      </c>
      <c r="K4184" s="210" t="str">
        <f>IFERROR(__xludf.DUMMYFUNCTION("""COMPUTED_VALUE"""),"11331")</f>
        <v>11331</v>
      </c>
      <c r="L4184" s="211">
        <f>IFERROR(__xludf.DUMMYFUNCTION("""COMPUTED_VALUE"""),0.0)</f>
        <v>0</v>
      </c>
      <c r="M4184" s="211"/>
      <c r="N4184" s="211"/>
      <c r="O4184" s="211" t="b">
        <f>IFERROR(__xludf.DUMMYFUNCTION("""COMPUTED_VALUE"""),FALSE)</f>
        <v>0</v>
      </c>
    </row>
    <row r="4185">
      <c r="A4185" s="210" t="str">
        <f>IFERROR(__xludf.DUMMYFUNCTION("""COMPUTED_VALUE"""),"0326132869")</f>
        <v>0326132869</v>
      </c>
      <c r="B4185" s="210" t="str">
        <f>IFERROR(__xludf.DUMMYFUNCTION("""COMPUTED_VALUE"""),"0326132869")</f>
        <v>0326132869</v>
      </c>
      <c r="C4185" s="213">
        <f>IFERROR(__xludf.DUMMYFUNCTION("""COMPUTED_VALUE"""),46097.644780092596)</f>
        <v>46097.64478</v>
      </c>
      <c r="D4185" s="211" t="str">
        <f>IFERROR(__xludf.DUMMYFUNCTION("""COMPUTED_VALUE"""),"17a8e612")</f>
        <v>17a8e612</v>
      </c>
      <c r="E4185" s="211" t="str">
        <f>IFERROR(__xludf.DUMMYFUNCTION("""COMPUTED_VALUE"""),"Flashtech Machinery")</f>
        <v>Flashtech Machinery</v>
      </c>
      <c r="F4185" s="211" t="str">
        <f>IFERROR(__xludf.DUMMYFUNCTION("""COMPUTED_VALUE"""),"a50ce892")</f>
        <v>a50ce892</v>
      </c>
      <c r="G4185" s="211" t="str">
        <f>IFERROR(__xludf.DUMMYFUNCTION("""COMPUTED_VALUE"""),"Nitrogen 6m3")</f>
        <v>Nitrogen 6m3</v>
      </c>
      <c r="H4185" s="211" t="str">
        <f>IFERROR(__xludf.DUMMYFUNCTION("""COMPUTED_VALUE"""),"OUT")</f>
        <v>OUT</v>
      </c>
      <c r="I4185" s="211" t="str">
        <f>IFERROR(__xludf.DUMMYFUNCTION("""COMPUTED_VALUE"""),"NORMAL")</f>
        <v>NORMAL</v>
      </c>
      <c r="J4185" s="211">
        <f>IFERROR(__xludf.DUMMYFUNCTION("""COMPUTED_VALUE"""),4.0)</f>
        <v>4</v>
      </c>
      <c r="K4185" s="210" t="str">
        <f>IFERROR(__xludf.DUMMYFUNCTION("""COMPUTED_VALUE"""),"14003 14008 14013 14014")</f>
        <v>14003 14008 14013 14014</v>
      </c>
      <c r="L4185" s="211">
        <f>IFERROR(__xludf.DUMMYFUNCTION("""COMPUTED_VALUE"""),70000.0)</f>
        <v>70000</v>
      </c>
      <c r="M4185" s="211"/>
      <c r="N4185" s="211"/>
      <c r="O4185" s="211" t="b">
        <f>IFERROR(__xludf.DUMMYFUNCTION("""COMPUTED_VALUE"""),FALSE)</f>
        <v>0</v>
      </c>
    </row>
    <row r="4186">
      <c r="A4186" s="210" t="str">
        <f>IFERROR(__xludf.DUMMYFUNCTION("""COMPUTED_VALUE"""),"1261422")</f>
        <v>1261422</v>
      </c>
      <c r="B4186" s="210" t="str">
        <f>IFERROR(__xludf.DUMMYFUNCTION("""COMPUTED_VALUE"""),"1261422")</f>
        <v>1261422</v>
      </c>
      <c r="C4186" s="213">
        <f>IFERROR(__xludf.DUMMYFUNCTION("""COMPUTED_VALUE"""),46097.66392361111)</f>
        <v>46097.66392</v>
      </c>
      <c r="D4186" s="211" t="str">
        <f>IFERROR(__xludf.DUMMYFUNCTION("""COMPUTED_VALUE"""),"58b72e0c")</f>
        <v>58b72e0c</v>
      </c>
      <c r="E4186" s="211" t="str">
        <f>IFERROR(__xludf.DUMMYFUNCTION("""COMPUTED_VALUE"""),"UD. Ais Jaya")</f>
        <v>UD. Ais Jaya</v>
      </c>
      <c r="F4186" s="211" t="str">
        <f>IFERROR(__xludf.DUMMYFUNCTION("""COMPUTED_VALUE"""),"8bdbe149")</f>
        <v>8bdbe149</v>
      </c>
      <c r="G4186" s="211" t="str">
        <f>IFERROR(__xludf.DUMMYFUNCTION("""COMPUTED_VALUE"""),"Oksigen 6m3")</f>
        <v>Oksigen 6m3</v>
      </c>
      <c r="H4186" s="211" t="str">
        <f>IFERROR(__xludf.DUMMYFUNCTION("""COMPUTED_VALUE"""),"IN")</f>
        <v>IN</v>
      </c>
      <c r="I4186" s="211" t="str">
        <f>IFERROR(__xludf.DUMMYFUNCTION("""COMPUTED_VALUE"""),"EMPTY")</f>
        <v>EMPTY</v>
      </c>
      <c r="J4186" s="211">
        <f>IFERROR(__xludf.DUMMYFUNCTION("""COMPUTED_VALUE"""),1.0)</f>
        <v>1</v>
      </c>
      <c r="K4186" s="210" t="str">
        <f>IFERROR(__xludf.DUMMYFUNCTION("""COMPUTED_VALUE"""),"1141")</f>
        <v>1141</v>
      </c>
      <c r="L4186" s="211">
        <f>IFERROR(__xludf.DUMMYFUNCTION("""COMPUTED_VALUE"""),0.0)</f>
        <v>0</v>
      </c>
      <c r="M4186" s="211"/>
      <c r="N4186" s="211"/>
      <c r="O4186" s="211" t="b">
        <f>IFERROR(__xludf.DUMMYFUNCTION("""COMPUTED_VALUE"""),FALSE)</f>
        <v>0</v>
      </c>
    </row>
    <row r="4187">
      <c r="A4187" s="210" t="str">
        <f>IFERROR(__xludf.DUMMYFUNCTION("""COMPUTED_VALUE"""),"1261422")</f>
        <v>1261422</v>
      </c>
      <c r="B4187" s="210" t="str">
        <f>IFERROR(__xludf.DUMMYFUNCTION("""COMPUTED_VALUE"""),"1261422")</f>
        <v>1261422</v>
      </c>
      <c r="C4187" s="213">
        <f>IFERROR(__xludf.DUMMYFUNCTION("""COMPUTED_VALUE"""),46097.66392361111)</f>
        <v>46097.66392</v>
      </c>
      <c r="D4187" s="211" t="str">
        <f>IFERROR(__xludf.DUMMYFUNCTION("""COMPUTED_VALUE"""),"58b72e0c")</f>
        <v>58b72e0c</v>
      </c>
      <c r="E4187" s="211" t="str">
        <f>IFERROR(__xludf.DUMMYFUNCTION("""COMPUTED_VALUE"""),"UD. Ais Jaya")</f>
        <v>UD. Ais Jaya</v>
      </c>
      <c r="F4187" s="211" t="str">
        <f>IFERROR(__xludf.DUMMYFUNCTION("""COMPUTED_VALUE"""),"8bdbe149")</f>
        <v>8bdbe149</v>
      </c>
      <c r="G4187" s="211" t="str">
        <f>IFERROR(__xludf.DUMMYFUNCTION("""COMPUTED_VALUE"""),"Oksigen 6m3")</f>
        <v>Oksigen 6m3</v>
      </c>
      <c r="H4187" s="211" t="str">
        <f>IFERROR(__xludf.DUMMYFUNCTION("""COMPUTED_VALUE"""),"IN")</f>
        <v>IN</v>
      </c>
      <c r="I4187" s="211" t="str">
        <f>IFERROR(__xludf.DUMMYFUNCTION("""COMPUTED_VALUE"""),"CLAIM")</f>
        <v>CLAIM</v>
      </c>
      <c r="J4187" s="211">
        <f>IFERROR(__xludf.DUMMYFUNCTION("""COMPUTED_VALUE"""),1.0)</f>
        <v>1</v>
      </c>
      <c r="K4187" s="210" t="str">
        <f>IFERROR(__xludf.DUMMYFUNCTION("""COMPUTED_VALUE"""),"11120")</f>
        <v>11120</v>
      </c>
      <c r="L4187" s="211">
        <f>IFERROR(__xludf.DUMMYFUNCTION("""COMPUTED_VALUE"""),0.0)</f>
        <v>0</v>
      </c>
      <c r="M4187" s="211"/>
      <c r="N4187" s="211" t="str">
        <f>IFERROR(__xludf.DUMMYFUNCTION("""COMPUTED_VALUE"""),"Nitip masih isi")</f>
        <v>Nitip masih isi</v>
      </c>
      <c r="O4187" s="211" t="b">
        <f>IFERROR(__xludf.DUMMYFUNCTION("""COMPUTED_VALUE"""),FALSE)</f>
        <v>0</v>
      </c>
    </row>
    <row r="4188">
      <c r="A4188" s="210" t="str">
        <f>IFERROR(__xludf.DUMMYFUNCTION("""COMPUTED_VALUE"""),"1261421")</f>
        <v>1261421</v>
      </c>
      <c r="B4188" s="210" t="str">
        <f>IFERROR(__xludf.DUMMYFUNCTION("""COMPUTED_VALUE"""),"1261421")</f>
        <v>1261421</v>
      </c>
      <c r="C4188" s="213">
        <f>IFERROR(__xludf.DUMMYFUNCTION("""COMPUTED_VALUE"""),46097.66541666666)</f>
        <v>46097.66542</v>
      </c>
      <c r="D4188" s="211" t="str">
        <f>IFERROR(__xludf.DUMMYFUNCTION("""COMPUTED_VALUE"""),"a0f0ad2d")</f>
        <v>a0f0ad2d</v>
      </c>
      <c r="E4188" s="211" t="str">
        <f>IFERROR(__xludf.DUMMYFUNCTION("""COMPUTED_VALUE"""),"CV. Yulie Jaya")</f>
        <v>CV. Yulie Jaya</v>
      </c>
      <c r="F4188" s="211" t="str">
        <f>IFERROR(__xludf.DUMMYFUNCTION("""COMPUTED_VALUE"""),"8bdbe149")</f>
        <v>8bdbe149</v>
      </c>
      <c r="G4188" s="211" t="str">
        <f>IFERROR(__xludf.DUMMYFUNCTION("""COMPUTED_VALUE"""),"Oksigen 6m3")</f>
        <v>Oksigen 6m3</v>
      </c>
      <c r="H4188" s="211" t="str">
        <f>IFERROR(__xludf.DUMMYFUNCTION("""COMPUTED_VALUE"""),"IN")</f>
        <v>IN</v>
      </c>
      <c r="I4188" s="211" t="str">
        <f>IFERROR(__xludf.DUMMYFUNCTION("""COMPUTED_VALUE"""),"EMPTY")</f>
        <v>EMPTY</v>
      </c>
      <c r="J4188" s="211">
        <f>IFERROR(__xludf.DUMMYFUNCTION("""COMPUTED_VALUE"""),6.0)</f>
        <v>6</v>
      </c>
      <c r="K4188" s="210" t="str">
        <f>IFERROR(__xludf.DUMMYFUNCTION("""COMPUTED_VALUE"""),"11134 1121 11133 1199 11266 11268")</f>
        <v>11134 1121 11133 1199 11266 11268</v>
      </c>
      <c r="L4188" s="211">
        <f>IFERROR(__xludf.DUMMYFUNCTION("""COMPUTED_VALUE"""),0.0)</f>
        <v>0</v>
      </c>
      <c r="M4188" s="211"/>
      <c r="N4188" s="211"/>
      <c r="O4188" s="211" t="b">
        <f>IFERROR(__xludf.DUMMYFUNCTION("""COMPUTED_VALUE"""),FALSE)</f>
        <v>0</v>
      </c>
    </row>
    <row r="4189">
      <c r="A4189" s="210" t="str">
        <f>IFERROR(__xludf.DUMMYFUNCTION("""COMPUTED_VALUE"""),"1261421")</f>
        <v>1261421</v>
      </c>
      <c r="B4189" s="210" t="str">
        <f>IFERROR(__xludf.DUMMYFUNCTION("""COMPUTED_VALUE"""),"1261421")</f>
        <v>1261421</v>
      </c>
      <c r="C4189" s="213">
        <f>IFERROR(__xludf.DUMMYFUNCTION("""COMPUTED_VALUE"""),46097.66541666666)</f>
        <v>46097.66542</v>
      </c>
      <c r="D4189" s="211" t="str">
        <f>IFERROR(__xludf.DUMMYFUNCTION("""COMPUTED_VALUE"""),"a0f0ad2d")</f>
        <v>a0f0ad2d</v>
      </c>
      <c r="E4189" s="211" t="str">
        <f>IFERROR(__xludf.DUMMYFUNCTION("""COMPUTED_VALUE"""),"CV. Yulie Jaya")</f>
        <v>CV. Yulie Jaya</v>
      </c>
      <c r="F4189" s="211" t="str">
        <f>IFERROR(__xludf.DUMMYFUNCTION("""COMPUTED_VALUE"""),"7d2764f1")</f>
        <v>7d2764f1</v>
      </c>
      <c r="G4189" s="211" t="str">
        <f>IFERROR(__xludf.DUMMYFUNCTION("""COMPUTED_VALUE"""),"Oksigen 7m3")</f>
        <v>Oksigen 7m3</v>
      </c>
      <c r="H4189" s="211" t="str">
        <f>IFERROR(__xludf.DUMMYFUNCTION("""COMPUTED_VALUE"""),"IN")</f>
        <v>IN</v>
      </c>
      <c r="I4189" s="211" t="str">
        <f>IFERROR(__xludf.DUMMYFUNCTION("""COMPUTED_VALUE"""),"EMPTY")</f>
        <v>EMPTY</v>
      </c>
      <c r="J4189" s="211">
        <f>IFERROR(__xludf.DUMMYFUNCTION("""COMPUTED_VALUE"""),2.0)</f>
        <v>2</v>
      </c>
      <c r="K4189" s="210" t="str">
        <f>IFERROR(__xludf.DUMMYFUNCTION("""COMPUTED_VALUE"""),"11292 11163")</f>
        <v>11292 11163</v>
      </c>
      <c r="L4189" s="211">
        <f>IFERROR(__xludf.DUMMYFUNCTION("""COMPUTED_VALUE"""),0.0)</f>
        <v>0</v>
      </c>
      <c r="M4189" s="211"/>
      <c r="N4189" s="211"/>
      <c r="O4189" s="211" t="b">
        <f>IFERROR(__xludf.DUMMYFUNCTION("""COMPUTED_VALUE"""),FALSE)</f>
        <v>0</v>
      </c>
    </row>
    <row r="4190">
      <c r="A4190" s="210" t="str">
        <f>IFERROR(__xludf.DUMMYFUNCTION("""COMPUTED_VALUE"""),"0326332876")</f>
        <v>0326332876</v>
      </c>
      <c r="B4190" s="210" t="str">
        <f>IFERROR(__xludf.DUMMYFUNCTION("""COMPUTED_VALUE"""),"0326332876")</f>
        <v>0326332876</v>
      </c>
      <c r="C4190" s="213">
        <f>IFERROR(__xludf.DUMMYFUNCTION("""COMPUTED_VALUE"""),46098.36174768519)</f>
        <v>46098.36175</v>
      </c>
      <c r="D4190" s="211" t="str">
        <f>IFERROR(__xludf.DUMMYFUNCTION("""COMPUTED_VALUE"""),"63fc688a")</f>
        <v>63fc688a</v>
      </c>
      <c r="E4190" s="211" t="str">
        <f>IFERROR(__xludf.DUMMYFUNCTION("""COMPUTED_VALUE"""),"CV Malik Nusantara")</f>
        <v>CV Malik Nusantara</v>
      </c>
      <c r="F4190" s="211" t="str">
        <f>IFERROR(__xludf.DUMMYFUNCTION("""COMPUTED_VALUE"""),"8bdbe149")</f>
        <v>8bdbe149</v>
      </c>
      <c r="G4190" s="211" t="str">
        <f>IFERROR(__xludf.DUMMYFUNCTION("""COMPUTED_VALUE"""),"Oksigen 6m3")</f>
        <v>Oksigen 6m3</v>
      </c>
      <c r="H4190" s="211" t="str">
        <f>IFERROR(__xludf.DUMMYFUNCTION("""COMPUTED_VALUE"""),"OUT")</f>
        <v>OUT</v>
      </c>
      <c r="I4190" s="211" t="str">
        <f>IFERROR(__xludf.DUMMYFUNCTION("""COMPUTED_VALUE"""),"NORMAL")</f>
        <v>NORMAL</v>
      </c>
      <c r="J4190" s="211">
        <f>IFERROR(__xludf.DUMMYFUNCTION("""COMPUTED_VALUE"""),10.0)</f>
        <v>10</v>
      </c>
      <c r="K4190" s="210" t="str">
        <f>IFERROR(__xludf.DUMMYFUNCTION("""COMPUTED_VALUE"""),"11209 11277 1120 11105 11363 11383 1145 1185 11378 1135")</f>
        <v>11209 11277 1120 11105 11363 11383 1145 1185 11378 1135</v>
      </c>
      <c r="L4190" s="211">
        <f>IFERROR(__xludf.DUMMYFUNCTION("""COMPUTED_VALUE"""),65000.0)</f>
        <v>65000</v>
      </c>
      <c r="M4190" s="211"/>
      <c r="N4190" s="211"/>
      <c r="O4190" s="211" t="b">
        <f>IFERROR(__xludf.DUMMYFUNCTION("""COMPUTED_VALUE"""),FALSE)</f>
        <v>0</v>
      </c>
    </row>
    <row r="4191">
      <c r="A4191" s="210" t="str">
        <f>IFERROR(__xludf.DUMMYFUNCTION("""COMPUTED_VALUE"""),"0326332876")</f>
        <v>0326332876</v>
      </c>
      <c r="B4191" s="210" t="str">
        <f>IFERROR(__xludf.DUMMYFUNCTION("""COMPUTED_VALUE"""),"0326332876")</f>
        <v>0326332876</v>
      </c>
      <c r="C4191" s="213">
        <f>IFERROR(__xludf.DUMMYFUNCTION("""COMPUTED_VALUE"""),46098.36174768519)</f>
        <v>46098.36175</v>
      </c>
      <c r="D4191" s="211" t="str">
        <f>IFERROR(__xludf.DUMMYFUNCTION("""COMPUTED_VALUE"""),"63fc688a")</f>
        <v>63fc688a</v>
      </c>
      <c r="E4191" s="211" t="str">
        <f>IFERROR(__xludf.DUMMYFUNCTION("""COMPUTED_VALUE"""),"CV Malik Nusantara")</f>
        <v>CV Malik Nusantara</v>
      </c>
      <c r="F4191" s="211" t="str">
        <f>IFERROR(__xludf.DUMMYFUNCTION("""COMPUTED_VALUE"""),"ef306e54")</f>
        <v>ef306e54</v>
      </c>
      <c r="G4191" s="211" t="str">
        <f>IFERROR(__xludf.DUMMYFUNCTION("""COMPUTED_VALUE"""),"Karbondioksida")</f>
        <v>Karbondioksida</v>
      </c>
      <c r="H4191" s="211" t="str">
        <f>IFERROR(__xludf.DUMMYFUNCTION("""COMPUTED_VALUE"""),"OUT")</f>
        <v>OUT</v>
      </c>
      <c r="I4191" s="211" t="str">
        <f>IFERROR(__xludf.DUMMYFUNCTION("""COMPUTED_VALUE"""),"NORMAL")</f>
        <v>NORMAL</v>
      </c>
      <c r="J4191" s="211">
        <f>IFERROR(__xludf.DUMMYFUNCTION("""COMPUTED_VALUE"""),6.0)</f>
        <v>6</v>
      </c>
      <c r="K4191" s="210" t="str">
        <f>IFERROR(__xludf.DUMMYFUNCTION("""COMPUTED_VALUE"""),"13007 13065 13045 13014 13035 13018")</f>
        <v>13007 13065 13045 13014 13035 13018</v>
      </c>
      <c r="L4191" s="211">
        <f>IFERROR(__xludf.DUMMYFUNCTION("""COMPUTED_VALUE"""),190000.0)</f>
        <v>190000</v>
      </c>
      <c r="M4191" s="211"/>
      <c r="N4191" s="211"/>
      <c r="O4191" s="211" t="b">
        <f>IFERROR(__xludf.DUMMYFUNCTION("""COMPUTED_VALUE"""),FALSE)</f>
        <v>0</v>
      </c>
    </row>
    <row r="4192">
      <c r="A4192" s="210" t="str">
        <f>IFERROR(__xludf.DUMMYFUNCTION("""COMPUTED_VALUE"""),"0326222879")</f>
        <v>0326222879</v>
      </c>
      <c r="B4192" s="210" t="str">
        <f>IFERROR(__xludf.DUMMYFUNCTION("""COMPUTED_VALUE"""),"0326222879")</f>
        <v>0326222879</v>
      </c>
      <c r="C4192" s="213">
        <f>IFERROR(__xludf.DUMMYFUNCTION("""COMPUTED_VALUE"""),46098.36609953704)</f>
        <v>46098.3661</v>
      </c>
      <c r="D4192" s="211" t="str">
        <f>IFERROR(__xludf.DUMMYFUNCTION("""COMPUTED_VALUE"""),"a0f0ad2d")</f>
        <v>a0f0ad2d</v>
      </c>
      <c r="E4192" s="211" t="str">
        <f>IFERROR(__xludf.DUMMYFUNCTION("""COMPUTED_VALUE"""),"CV. Yulie Jaya")</f>
        <v>CV. Yulie Jaya</v>
      </c>
      <c r="F4192" s="211" t="str">
        <f>IFERROR(__xludf.DUMMYFUNCTION("""COMPUTED_VALUE"""),"7d2764f1")</f>
        <v>7d2764f1</v>
      </c>
      <c r="G4192" s="211" t="str">
        <f>IFERROR(__xludf.DUMMYFUNCTION("""COMPUTED_VALUE"""),"Oksigen 7m3")</f>
        <v>Oksigen 7m3</v>
      </c>
      <c r="H4192" s="211" t="str">
        <f>IFERROR(__xludf.DUMMYFUNCTION("""COMPUTED_VALUE"""),"OUT")</f>
        <v>OUT</v>
      </c>
      <c r="I4192" s="211" t="str">
        <f>IFERROR(__xludf.DUMMYFUNCTION("""COMPUTED_VALUE"""),"NORMAL")</f>
        <v>NORMAL</v>
      </c>
      <c r="J4192" s="211">
        <f>IFERROR(__xludf.DUMMYFUNCTION("""COMPUTED_VALUE"""),5.0)</f>
        <v>5</v>
      </c>
      <c r="K4192" s="210" t="str">
        <f>IFERROR(__xludf.DUMMYFUNCTION("""COMPUTED_VALUE"""),"11390 11331 11173 11161 11327")</f>
        <v>11390 11331 11173 11161 11327</v>
      </c>
      <c r="L4192" s="211">
        <f>IFERROR(__xludf.DUMMYFUNCTION("""COMPUTED_VALUE"""),65000.0)</f>
        <v>65000</v>
      </c>
      <c r="M4192" s="211"/>
      <c r="N4192" s="211"/>
      <c r="O4192" s="211" t="b">
        <f>IFERROR(__xludf.DUMMYFUNCTION("""COMPUTED_VALUE"""),FALSE)</f>
        <v>0</v>
      </c>
    </row>
    <row r="4193">
      <c r="A4193" s="210" t="str">
        <f>IFERROR(__xludf.DUMMYFUNCTION("""COMPUTED_VALUE"""),"1261433")</f>
        <v>1261433</v>
      </c>
      <c r="B4193" s="210" t="str">
        <f>IFERROR(__xludf.DUMMYFUNCTION("""COMPUTED_VALUE"""),"1261433")</f>
        <v>1261433</v>
      </c>
      <c r="C4193" s="213">
        <f>IFERROR(__xludf.DUMMYFUNCTION("""COMPUTED_VALUE"""),46098.50178240741)</f>
        <v>46098.50178</v>
      </c>
      <c r="D4193" s="211" t="str">
        <f>IFERROR(__xludf.DUMMYFUNCTION("""COMPUTED_VALUE"""),"f49860e4")</f>
        <v>f49860e4</v>
      </c>
      <c r="E4193" s="211" t="str">
        <f>IFERROR(__xludf.DUMMYFUNCTION("""COMPUTED_VALUE"""),"Mas Nur ( Jetis )")</f>
        <v>Mas Nur ( Jetis )</v>
      </c>
      <c r="F4193" s="211" t="str">
        <f>IFERROR(__xludf.DUMMYFUNCTION("""COMPUTED_VALUE"""),"8bdbe149")</f>
        <v>8bdbe149</v>
      </c>
      <c r="G4193" s="211" t="str">
        <f>IFERROR(__xludf.DUMMYFUNCTION("""COMPUTED_VALUE"""),"Oksigen 6m3")</f>
        <v>Oksigen 6m3</v>
      </c>
      <c r="H4193" s="211" t="str">
        <f>IFERROR(__xludf.DUMMYFUNCTION("""COMPUTED_VALUE"""),"IN")</f>
        <v>IN</v>
      </c>
      <c r="I4193" s="211" t="str">
        <f>IFERROR(__xludf.DUMMYFUNCTION("""COMPUTED_VALUE"""),"EMPTY")</f>
        <v>EMPTY</v>
      </c>
      <c r="J4193" s="211">
        <f>IFERROR(__xludf.DUMMYFUNCTION("""COMPUTED_VALUE"""),3.0)</f>
        <v>3</v>
      </c>
      <c r="K4193" s="210" t="str">
        <f>IFERROR(__xludf.DUMMYFUNCTION("""COMPUTED_VALUE"""),"11297 11325 11275")</f>
        <v>11297 11325 11275</v>
      </c>
      <c r="L4193" s="211">
        <f>IFERROR(__xludf.DUMMYFUNCTION("""COMPUTED_VALUE"""),0.0)</f>
        <v>0</v>
      </c>
      <c r="M4193" s="211"/>
      <c r="N4193" s="211"/>
      <c r="O4193" s="211" t="b">
        <f>IFERROR(__xludf.DUMMYFUNCTION("""COMPUTED_VALUE"""),FALSE)</f>
        <v>0</v>
      </c>
    </row>
    <row r="4194">
      <c r="A4194" s="210" t="str">
        <f>IFERROR(__xludf.DUMMYFUNCTION("""COMPUTED_VALUE"""),"1261432")</f>
        <v>1261432</v>
      </c>
      <c r="B4194" s="210" t="str">
        <f>IFERROR(__xludf.DUMMYFUNCTION("""COMPUTED_VALUE"""),"1261432")</f>
        <v>1261432</v>
      </c>
      <c r="C4194" s="213">
        <f>IFERROR(__xludf.DUMMYFUNCTION("""COMPUTED_VALUE"""),46098.504594907405)</f>
        <v>46098.50459</v>
      </c>
      <c r="D4194" s="211" t="str">
        <f>IFERROR(__xludf.DUMMYFUNCTION("""COMPUTED_VALUE"""),"d9b2fac5")</f>
        <v>d9b2fac5</v>
      </c>
      <c r="E4194" s="211" t="str">
        <f>IFERROR(__xludf.DUMMYFUNCTION("""COMPUTED_VALUE"""),"Dwi Riza ( Ponokawan)")</f>
        <v>Dwi Riza ( Ponokawan)</v>
      </c>
      <c r="F4194" s="211" t="str">
        <f>IFERROR(__xludf.DUMMYFUNCTION("""COMPUTED_VALUE"""),"8bdbe149")</f>
        <v>8bdbe149</v>
      </c>
      <c r="G4194" s="211" t="str">
        <f>IFERROR(__xludf.DUMMYFUNCTION("""COMPUTED_VALUE"""),"Oksigen 6m3")</f>
        <v>Oksigen 6m3</v>
      </c>
      <c r="H4194" s="211" t="str">
        <f>IFERROR(__xludf.DUMMYFUNCTION("""COMPUTED_VALUE"""),"IN")</f>
        <v>IN</v>
      </c>
      <c r="I4194" s="211" t="str">
        <f>IFERROR(__xludf.DUMMYFUNCTION("""COMPUTED_VALUE"""),"EMPTY")</f>
        <v>EMPTY</v>
      </c>
      <c r="J4194" s="211">
        <f>IFERROR(__xludf.DUMMYFUNCTION("""COMPUTED_VALUE"""),1.0)</f>
        <v>1</v>
      </c>
      <c r="K4194" s="210" t="str">
        <f>IFERROR(__xludf.DUMMYFUNCTION("""COMPUTED_VALUE"""),"11103")</f>
        <v>11103</v>
      </c>
      <c r="L4194" s="211">
        <f>IFERROR(__xludf.DUMMYFUNCTION("""COMPUTED_VALUE"""),0.0)</f>
        <v>0</v>
      </c>
      <c r="M4194" s="211"/>
      <c r="N4194" s="211"/>
      <c r="O4194" s="211" t="b">
        <f>IFERROR(__xludf.DUMMYFUNCTION("""COMPUTED_VALUE"""),FALSE)</f>
        <v>0</v>
      </c>
    </row>
    <row r="4195">
      <c r="A4195" s="210" t="str">
        <f>IFERROR(__xludf.DUMMYFUNCTION("""COMPUTED_VALUE"""),"1261433")</f>
        <v>1261433</v>
      </c>
      <c r="B4195" s="210" t="str">
        <f>IFERROR(__xludf.DUMMYFUNCTION("""COMPUTED_VALUE"""),"1261433")</f>
        <v>1261433</v>
      </c>
      <c r="C4195" s="213">
        <f>IFERROR(__xludf.DUMMYFUNCTION("""COMPUTED_VALUE"""),46098.50178240741)</f>
        <v>46098.50178</v>
      </c>
      <c r="D4195" s="211" t="str">
        <f>IFERROR(__xludf.DUMMYFUNCTION("""COMPUTED_VALUE"""),"f49860e4")</f>
        <v>f49860e4</v>
      </c>
      <c r="E4195" s="211" t="str">
        <f>IFERROR(__xludf.DUMMYFUNCTION("""COMPUTED_VALUE"""),"Mas Nur ( Jetis )")</f>
        <v>Mas Nur ( Jetis )</v>
      </c>
      <c r="F4195" s="211" t="str">
        <f>IFERROR(__xludf.DUMMYFUNCTION("""COMPUTED_VALUE"""),"8bdbe149")</f>
        <v>8bdbe149</v>
      </c>
      <c r="G4195" s="211" t="str">
        <f>IFERROR(__xludf.DUMMYFUNCTION("""COMPUTED_VALUE"""),"Oksigen 6m3")</f>
        <v>Oksigen 6m3</v>
      </c>
      <c r="H4195" s="211" t="str">
        <f>IFERROR(__xludf.DUMMYFUNCTION("""COMPUTED_VALUE"""),"IN")</f>
        <v>IN</v>
      </c>
      <c r="I4195" s="211" t="str">
        <f>IFERROR(__xludf.DUMMYFUNCTION("""COMPUTED_VALUE"""),"CLAIM")</f>
        <v>CLAIM</v>
      </c>
      <c r="J4195" s="211">
        <f>IFERROR(__xludf.DUMMYFUNCTION("""COMPUTED_VALUE"""),1.0)</f>
        <v>1</v>
      </c>
      <c r="K4195" s="210" t="str">
        <f>IFERROR(__xludf.DUMMYFUNCTION("""COMPUTED_VALUE"""),"11132")</f>
        <v>11132</v>
      </c>
      <c r="L4195" s="211">
        <f>IFERROR(__xludf.DUMMYFUNCTION("""COMPUTED_VALUE"""),0.0)</f>
        <v>0</v>
      </c>
      <c r="M4195" s="211"/>
      <c r="N4195" s="211" t="str">
        <f>IFERROR(__xludf.DUMMYFUNCTION("""COMPUTED_VALUE"""),"Nitip masih isi")</f>
        <v>Nitip masih isi</v>
      </c>
      <c r="O4195" s="211" t="b">
        <f>IFERROR(__xludf.DUMMYFUNCTION("""COMPUTED_VALUE"""),TRUE)</f>
        <v>1</v>
      </c>
    </row>
    <row r="4196">
      <c r="A4196" s="210" t="str">
        <f>IFERROR(__xludf.DUMMYFUNCTION("""COMPUTED_VALUE"""),"1261434")</f>
        <v>1261434</v>
      </c>
      <c r="B4196" s="210" t="str">
        <f>IFERROR(__xludf.DUMMYFUNCTION("""COMPUTED_VALUE"""),"1261434")</f>
        <v>1261434</v>
      </c>
      <c r="C4196" s="213">
        <f>IFERROR(__xludf.DUMMYFUNCTION("""COMPUTED_VALUE"""),46098.50540509259)</f>
        <v>46098.50541</v>
      </c>
      <c r="D4196" s="211" t="str">
        <f>IFERROR(__xludf.DUMMYFUNCTION("""COMPUTED_VALUE"""),"e86baf3b")</f>
        <v>e86baf3b</v>
      </c>
      <c r="E4196" s="211" t="str">
        <f>IFERROR(__xludf.DUMMYFUNCTION("""COMPUTED_VALUE"""),"PT GEMILANG CIPTA WAWASAN")</f>
        <v>PT GEMILANG CIPTA WAWASAN</v>
      </c>
      <c r="F4196" s="211" t="str">
        <f>IFERROR(__xludf.DUMMYFUNCTION("""COMPUTED_VALUE"""),"66af7c72")</f>
        <v>66af7c72</v>
      </c>
      <c r="G4196" s="211" t="str">
        <f>IFERROR(__xludf.DUMMYFUNCTION("""COMPUTED_VALUE"""),"Argon 6m3")</f>
        <v>Argon 6m3</v>
      </c>
      <c r="H4196" s="211" t="str">
        <f>IFERROR(__xludf.DUMMYFUNCTION("""COMPUTED_VALUE"""),"IN")</f>
        <v>IN</v>
      </c>
      <c r="I4196" s="211" t="str">
        <f>IFERROR(__xludf.DUMMYFUNCTION("""COMPUTED_VALUE"""),"EMPTY")</f>
        <v>EMPTY</v>
      </c>
      <c r="J4196" s="211">
        <f>IFERROR(__xludf.DUMMYFUNCTION("""COMPUTED_VALUE"""),9.0)</f>
        <v>9</v>
      </c>
      <c r="K4196" s="210" t="str">
        <f>IFERROR(__xludf.DUMMYFUNCTION("""COMPUTED_VALUE"""),"12066 12013 12031 12036 12032 12068 12055 12046 12070")</f>
        <v>12066 12013 12031 12036 12032 12068 12055 12046 12070</v>
      </c>
      <c r="L4196" s="211">
        <f>IFERROR(__xludf.DUMMYFUNCTION("""COMPUTED_VALUE"""),0.0)</f>
        <v>0</v>
      </c>
      <c r="M4196" s="211"/>
      <c r="N4196" s="211"/>
      <c r="O4196" s="211" t="b">
        <f>IFERROR(__xludf.DUMMYFUNCTION("""COMPUTED_VALUE"""),FALSE)</f>
        <v>0</v>
      </c>
    </row>
    <row r="4197">
      <c r="A4197" s="210" t="str">
        <f>IFERROR(__xludf.DUMMYFUNCTION("""COMPUTED_VALUE"""),"1261434")</f>
        <v>1261434</v>
      </c>
      <c r="B4197" s="210" t="str">
        <f>IFERROR(__xludf.DUMMYFUNCTION("""COMPUTED_VALUE"""),"1261434")</f>
        <v>1261434</v>
      </c>
      <c r="C4197" s="213">
        <f>IFERROR(__xludf.DUMMYFUNCTION("""COMPUTED_VALUE"""),46098.50540509259)</f>
        <v>46098.50541</v>
      </c>
      <c r="D4197" s="211" t="str">
        <f>IFERROR(__xludf.DUMMYFUNCTION("""COMPUTED_VALUE"""),"e86baf3b")</f>
        <v>e86baf3b</v>
      </c>
      <c r="E4197" s="211" t="str">
        <f>IFERROR(__xludf.DUMMYFUNCTION("""COMPUTED_VALUE"""),"PT GEMILANG CIPTA WAWASAN")</f>
        <v>PT GEMILANG CIPTA WAWASAN</v>
      </c>
      <c r="F4197" s="211" t="str">
        <f>IFERROR(__xludf.DUMMYFUNCTION("""COMPUTED_VALUE"""),"be525f3b")</f>
        <v>be525f3b</v>
      </c>
      <c r="G4197" s="211" t="str">
        <f>IFERROR(__xludf.DUMMYFUNCTION("""COMPUTED_VALUE"""),"LPG 12kg")</f>
        <v>LPG 12kg</v>
      </c>
      <c r="H4197" s="211" t="str">
        <f>IFERROR(__xludf.DUMMYFUNCTION("""COMPUTED_VALUE"""),"IN")</f>
        <v>IN</v>
      </c>
      <c r="I4197" s="211" t="str">
        <f>IFERROR(__xludf.DUMMYFUNCTION("""COMPUTED_VALUE"""),"EMPTY")</f>
        <v>EMPTY</v>
      </c>
      <c r="J4197" s="211">
        <f>IFERROR(__xludf.DUMMYFUNCTION("""COMPUTED_VALUE"""),1.0)</f>
        <v>1</v>
      </c>
      <c r="K4197" s="211"/>
      <c r="L4197" s="211">
        <f>IFERROR(__xludf.DUMMYFUNCTION("""COMPUTED_VALUE"""),0.0)</f>
        <v>0</v>
      </c>
      <c r="M4197" s="211"/>
      <c r="N4197" s="211"/>
      <c r="O4197" s="211" t="b">
        <f>IFERROR(__xludf.DUMMYFUNCTION("""COMPUTED_VALUE"""),FALSE)</f>
        <v>0</v>
      </c>
    </row>
    <row r="4198">
      <c r="A4198" s="210" t="str">
        <f>IFERROR(__xludf.DUMMYFUNCTION("""COMPUTED_VALUE"""),"1261430")</f>
        <v>1261430</v>
      </c>
      <c r="B4198" s="210" t="str">
        <f>IFERROR(__xludf.DUMMYFUNCTION("""COMPUTED_VALUE"""),"1261430")</f>
        <v>1261430</v>
      </c>
      <c r="C4198" s="213">
        <f>IFERROR(__xludf.DUMMYFUNCTION("""COMPUTED_VALUE"""),46098.660150462965)</f>
        <v>46098.66015</v>
      </c>
      <c r="D4198" s="211" t="str">
        <f>IFERROR(__xludf.DUMMYFUNCTION("""COMPUTED_VALUE"""),"9e66ced9")</f>
        <v>9e66ced9</v>
      </c>
      <c r="E4198" s="211" t="str">
        <f>IFERROR(__xludf.DUMMYFUNCTION("""COMPUTED_VALUE"""),"Bapak Angga")</f>
        <v>Bapak Angga</v>
      </c>
      <c r="F4198" s="211" t="str">
        <f>IFERROR(__xludf.DUMMYFUNCTION("""COMPUTED_VALUE"""),"8bdbe149")</f>
        <v>8bdbe149</v>
      </c>
      <c r="G4198" s="211" t="str">
        <f>IFERROR(__xludf.DUMMYFUNCTION("""COMPUTED_VALUE"""),"Oksigen 6m3")</f>
        <v>Oksigen 6m3</v>
      </c>
      <c r="H4198" s="211" t="str">
        <f>IFERROR(__xludf.DUMMYFUNCTION("""COMPUTED_VALUE"""),"IN")</f>
        <v>IN</v>
      </c>
      <c r="I4198" s="211" t="str">
        <f>IFERROR(__xludf.DUMMYFUNCTION("""COMPUTED_VALUE"""),"EMPTY")</f>
        <v>EMPTY</v>
      </c>
      <c r="J4198" s="211">
        <f>IFERROR(__xludf.DUMMYFUNCTION("""COMPUTED_VALUE"""),4.0)</f>
        <v>4</v>
      </c>
      <c r="K4198" s="210" t="str">
        <f>IFERROR(__xludf.DUMMYFUNCTION("""COMPUTED_VALUE"""),"11319 1197 1153 11379")</f>
        <v>11319 1197 1153 11379</v>
      </c>
      <c r="L4198" s="211">
        <f>IFERROR(__xludf.DUMMYFUNCTION("""COMPUTED_VALUE"""),0.0)</f>
        <v>0</v>
      </c>
      <c r="M4198" s="211"/>
      <c r="N4198" s="211"/>
      <c r="O4198" s="211" t="b">
        <f>IFERROR(__xludf.DUMMYFUNCTION("""COMPUTED_VALUE"""),FALSE)</f>
        <v>0</v>
      </c>
    </row>
    <row r="4199">
      <c r="A4199" s="210" t="str">
        <f>IFERROR(__xludf.DUMMYFUNCTION("""COMPUTED_VALUE"""),"1261430")</f>
        <v>1261430</v>
      </c>
      <c r="B4199" s="210" t="str">
        <f>IFERROR(__xludf.DUMMYFUNCTION("""COMPUTED_VALUE"""),"1261430")</f>
        <v>1261430</v>
      </c>
      <c r="C4199" s="213">
        <f>IFERROR(__xludf.DUMMYFUNCTION("""COMPUTED_VALUE"""),46098.660150462965)</f>
        <v>46098.66015</v>
      </c>
      <c r="D4199" s="211" t="str">
        <f>IFERROR(__xludf.DUMMYFUNCTION("""COMPUTED_VALUE"""),"9e66ced9")</f>
        <v>9e66ced9</v>
      </c>
      <c r="E4199" s="211" t="str">
        <f>IFERROR(__xludf.DUMMYFUNCTION("""COMPUTED_VALUE"""),"Bapak Angga")</f>
        <v>Bapak Angga</v>
      </c>
      <c r="F4199" s="211" t="str">
        <f>IFERROR(__xludf.DUMMYFUNCTION("""COMPUTED_VALUE"""),"7d2764f1")</f>
        <v>7d2764f1</v>
      </c>
      <c r="G4199" s="211" t="str">
        <f>IFERROR(__xludf.DUMMYFUNCTION("""COMPUTED_VALUE"""),"Oksigen 7m3")</f>
        <v>Oksigen 7m3</v>
      </c>
      <c r="H4199" s="211" t="str">
        <f>IFERROR(__xludf.DUMMYFUNCTION("""COMPUTED_VALUE"""),"IN")</f>
        <v>IN</v>
      </c>
      <c r="I4199" s="211" t="str">
        <f>IFERROR(__xludf.DUMMYFUNCTION("""COMPUTED_VALUE"""),"EMPTY")</f>
        <v>EMPTY</v>
      </c>
      <c r="J4199" s="211">
        <f>IFERROR(__xludf.DUMMYFUNCTION("""COMPUTED_VALUE"""),6.0)</f>
        <v>6</v>
      </c>
      <c r="K4199" s="210" t="str">
        <f>IFERROR(__xludf.DUMMYFUNCTION("""COMPUTED_VALUE"""),"11329 11334 11269 11298 11145 11157")</f>
        <v>11329 11334 11269 11298 11145 11157</v>
      </c>
      <c r="L4199" s="211">
        <f>IFERROR(__xludf.DUMMYFUNCTION("""COMPUTED_VALUE"""),0.0)</f>
        <v>0</v>
      </c>
      <c r="M4199" s="211"/>
      <c r="N4199" s="211"/>
      <c r="O4199" s="211" t="b">
        <f>IFERROR(__xludf.DUMMYFUNCTION("""COMPUTED_VALUE"""),FALSE)</f>
        <v>0</v>
      </c>
    </row>
    <row r="4200">
      <c r="A4200" s="210" t="str">
        <f>IFERROR(__xludf.DUMMYFUNCTION("""COMPUTED_VALUE"""),"1261430")</f>
        <v>1261430</v>
      </c>
      <c r="B4200" s="210" t="str">
        <f>IFERROR(__xludf.DUMMYFUNCTION("""COMPUTED_VALUE"""),"1261430")</f>
        <v>1261430</v>
      </c>
      <c r="C4200" s="213">
        <f>IFERROR(__xludf.DUMMYFUNCTION("""COMPUTED_VALUE"""),46098.660150462965)</f>
        <v>46098.66015</v>
      </c>
      <c r="D4200" s="211" t="str">
        <f>IFERROR(__xludf.DUMMYFUNCTION("""COMPUTED_VALUE"""),"9e66ced9")</f>
        <v>9e66ced9</v>
      </c>
      <c r="E4200" s="211" t="str">
        <f>IFERROR(__xludf.DUMMYFUNCTION("""COMPUTED_VALUE"""),"Bapak Angga")</f>
        <v>Bapak Angga</v>
      </c>
      <c r="F4200" s="211" t="str">
        <f>IFERROR(__xludf.DUMMYFUNCTION("""COMPUTED_VALUE"""),"ef306e54")</f>
        <v>ef306e54</v>
      </c>
      <c r="G4200" s="211" t="str">
        <f>IFERROR(__xludf.DUMMYFUNCTION("""COMPUTED_VALUE"""),"Karbondioksida")</f>
        <v>Karbondioksida</v>
      </c>
      <c r="H4200" s="211" t="str">
        <f>IFERROR(__xludf.DUMMYFUNCTION("""COMPUTED_VALUE"""),"IN")</f>
        <v>IN</v>
      </c>
      <c r="I4200" s="211" t="str">
        <f>IFERROR(__xludf.DUMMYFUNCTION("""COMPUTED_VALUE"""),"EMPTY")</f>
        <v>EMPTY</v>
      </c>
      <c r="J4200" s="211">
        <f>IFERROR(__xludf.DUMMYFUNCTION("""COMPUTED_VALUE"""),2.0)</f>
        <v>2</v>
      </c>
      <c r="K4200" s="210" t="str">
        <f>IFERROR(__xludf.DUMMYFUNCTION("""COMPUTED_VALUE"""),"13047 13074")</f>
        <v>13047 13074</v>
      </c>
      <c r="L4200" s="211">
        <f>IFERROR(__xludf.DUMMYFUNCTION("""COMPUTED_VALUE"""),0.0)</f>
        <v>0</v>
      </c>
      <c r="M4200" s="211"/>
      <c r="N4200" s="211"/>
      <c r="O4200" s="211" t="b">
        <f>IFERROR(__xludf.DUMMYFUNCTION("""COMPUTED_VALUE"""),FALSE)</f>
        <v>0</v>
      </c>
    </row>
    <row r="4201">
      <c r="A4201" s="210" t="str">
        <f>IFERROR(__xludf.DUMMYFUNCTION("""COMPUTED_VALUE"""),"1261424")</f>
        <v>1261424</v>
      </c>
      <c r="B4201" s="210" t="str">
        <f>IFERROR(__xludf.DUMMYFUNCTION("""COMPUTED_VALUE"""),"1261424")</f>
        <v>1261424</v>
      </c>
      <c r="C4201" s="213">
        <f>IFERROR(__xludf.DUMMYFUNCTION("""COMPUTED_VALUE"""),46098.66239583334)</f>
        <v>46098.6624</v>
      </c>
      <c r="D4201" s="211" t="str">
        <f>IFERROR(__xludf.DUMMYFUNCTION("""COMPUTED_VALUE"""),"a0f0ad2d")</f>
        <v>a0f0ad2d</v>
      </c>
      <c r="E4201" s="211" t="str">
        <f>IFERROR(__xludf.DUMMYFUNCTION("""COMPUTED_VALUE"""),"CV. Yulie Jaya")</f>
        <v>CV. Yulie Jaya</v>
      </c>
      <c r="F4201" s="211" t="str">
        <f>IFERROR(__xludf.DUMMYFUNCTION("""COMPUTED_VALUE"""),"8bdbe149")</f>
        <v>8bdbe149</v>
      </c>
      <c r="G4201" s="211" t="str">
        <f>IFERROR(__xludf.DUMMYFUNCTION("""COMPUTED_VALUE"""),"Oksigen 6m3")</f>
        <v>Oksigen 6m3</v>
      </c>
      <c r="H4201" s="211" t="str">
        <f>IFERROR(__xludf.DUMMYFUNCTION("""COMPUTED_VALUE"""),"IN")</f>
        <v>IN</v>
      </c>
      <c r="I4201" s="211" t="str">
        <f>IFERROR(__xludf.DUMMYFUNCTION("""COMPUTED_VALUE"""),"EMPTY")</f>
        <v>EMPTY</v>
      </c>
      <c r="J4201" s="211">
        <f>IFERROR(__xludf.DUMMYFUNCTION("""COMPUTED_VALUE"""),1.0)</f>
        <v>1</v>
      </c>
      <c r="K4201" s="210" t="str">
        <f>IFERROR(__xludf.DUMMYFUNCTION("""COMPUTED_VALUE"""),"1144")</f>
        <v>1144</v>
      </c>
      <c r="L4201" s="211">
        <f>IFERROR(__xludf.DUMMYFUNCTION("""COMPUTED_VALUE"""),0.0)</f>
        <v>0</v>
      </c>
      <c r="M4201" s="211"/>
      <c r="N4201" s="211"/>
      <c r="O4201" s="211" t="b">
        <f>IFERROR(__xludf.DUMMYFUNCTION("""COMPUTED_VALUE"""),FALSE)</f>
        <v>0</v>
      </c>
    </row>
    <row r="4202">
      <c r="A4202" s="210" t="str">
        <f>IFERROR(__xludf.DUMMYFUNCTION("""COMPUTED_VALUE"""),"1261423")</f>
        <v>1261423</v>
      </c>
      <c r="B4202" s="210" t="str">
        <f>IFERROR(__xludf.DUMMYFUNCTION("""COMPUTED_VALUE"""),"1261423")</f>
        <v>1261423</v>
      </c>
      <c r="C4202" s="213">
        <f>IFERROR(__xludf.DUMMYFUNCTION("""COMPUTED_VALUE"""),46098.662824074076)</f>
        <v>46098.66282</v>
      </c>
      <c r="D4202" s="211" t="str">
        <f>IFERROR(__xludf.DUMMYFUNCTION("""COMPUTED_VALUE"""),"63fc688a")</f>
        <v>63fc688a</v>
      </c>
      <c r="E4202" s="211" t="str">
        <f>IFERROR(__xludf.DUMMYFUNCTION("""COMPUTED_VALUE"""),"CV Malik Nusantara")</f>
        <v>CV Malik Nusantara</v>
      </c>
      <c r="F4202" s="211" t="str">
        <f>IFERROR(__xludf.DUMMYFUNCTION("""COMPUTED_VALUE"""),"8bdbe149")</f>
        <v>8bdbe149</v>
      </c>
      <c r="G4202" s="211" t="str">
        <f>IFERROR(__xludf.DUMMYFUNCTION("""COMPUTED_VALUE"""),"Oksigen 6m3")</f>
        <v>Oksigen 6m3</v>
      </c>
      <c r="H4202" s="211" t="str">
        <f>IFERROR(__xludf.DUMMYFUNCTION("""COMPUTED_VALUE"""),"IN")</f>
        <v>IN</v>
      </c>
      <c r="I4202" s="211" t="str">
        <f>IFERROR(__xludf.DUMMYFUNCTION("""COMPUTED_VALUE"""),"EMPTY")</f>
        <v>EMPTY</v>
      </c>
      <c r="J4202" s="211">
        <f>IFERROR(__xludf.DUMMYFUNCTION("""COMPUTED_VALUE"""),1.0)</f>
        <v>1</v>
      </c>
      <c r="K4202" s="210" t="str">
        <f>IFERROR(__xludf.DUMMYFUNCTION("""COMPUTED_VALUE"""),"11122")</f>
        <v>11122</v>
      </c>
      <c r="L4202" s="211">
        <f>IFERROR(__xludf.DUMMYFUNCTION("""COMPUTED_VALUE"""),0.0)</f>
        <v>0</v>
      </c>
      <c r="M4202" s="211"/>
      <c r="N4202" s="211"/>
      <c r="O4202" s="211" t="b">
        <f>IFERROR(__xludf.DUMMYFUNCTION("""COMPUTED_VALUE"""),FALSE)</f>
        <v>0</v>
      </c>
    </row>
    <row r="4203">
      <c r="A4203" s="210" t="str">
        <f>IFERROR(__xludf.DUMMYFUNCTION("""COMPUTED_VALUE"""),"1261423")</f>
        <v>1261423</v>
      </c>
      <c r="B4203" s="210" t="str">
        <f>IFERROR(__xludf.DUMMYFUNCTION("""COMPUTED_VALUE"""),"1261423")</f>
        <v>1261423</v>
      </c>
      <c r="C4203" s="213">
        <f>IFERROR(__xludf.DUMMYFUNCTION("""COMPUTED_VALUE"""),46098.662824074076)</f>
        <v>46098.66282</v>
      </c>
      <c r="D4203" s="211" t="str">
        <f>IFERROR(__xludf.DUMMYFUNCTION("""COMPUTED_VALUE"""),"63fc688a")</f>
        <v>63fc688a</v>
      </c>
      <c r="E4203" s="211" t="str">
        <f>IFERROR(__xludf.DUMMYFUNCTION("""COMPUTED_VALUE"""),"CV Malik Nusantara")</f>
        <v>CV Malik Nusantara</v>
      </c>
      <c r="F4203" s="211" t="str">
        <f>IFERROR(__xludf.DUMMYFUNCTION("""COMPUTED_VALUE"""),"7d2764f1")</f>
        <v>7d2764f1</v>
      </c>
      <c r="G4203" s="211" t="str">
        <f>IFERROR(__xludf.DUMMYFUNCTION("""COMPUTED_VALUE"""),"Oksigen 7m3")</f>
        <v>Oksigen 7m3</v>
      </c>
      <c r="H4203" s="211" t="str">
        <f>IFERROR(__xludf.DUMMYFUNCTION("""COMPUTED_VALUE"""),"IN")</f>
        <v>IN</v>
      </c>
      <c r="I4203" s="211" t="str">
        <f>IFERROR(__xludf.DUMMYFUNCTION("""COMPUTED_VALUE"""),"EMPTY")</f>
        <v>EMPTY</v>
      </c>
      <c r="J4203" s="211">
        <f>IFERROR(__xludf.DUMMYFUNCTION("""COMPUTED_VALUE"""),1.0)</f>
        <v>1</v>
      </c>
      <c r="K4203" s="210" t="str">
        <f>IFERROR(__xludf.DUMMYFUNCTION("""COMPUTED_VALUE"""),"11394")</f>
        <v>11394</v>
      </c>
      <c r="L4203" s="211">
        <f>IFERROR(__xludf.DUMMYFUNCTION("""COMPUTED_VALUE"""),0.0)</f>
        <v>0</v>
      </c>
      <c r="M4203" s="211"/>
      <c r="N4203" s="211"/>
      <c r="O4203" s="211" t="b">
        <f>IFERROR(__xludf.DUMMYFUNCTION("""COMPUTED_VALUE"""),FALSE)</f>
        <v>0</v>
      </c>
    </row>
    <row r="4204">
      <c r="A4204" s="210" t="str">
        <f>IFERROR(__xludf.DUMMYFUNCTION("""COMPUTED_VALUE"""),"1261423")</f>
        <v>1261423</v>
      </c>
      <c r="B4204" s="210" t="str">
        <f>IFERROR(__xludf.DUMMYFUNCTION("""COMPUTED_VALUE"""),"1261423")</f>
        <v>1261423</v>
      </c>
      <c r="C4204" s="213">
        <f>IFERROR(__xludf.DUMMYFUNCTION("""COMPUTED_VALUE"""),46098.662824074076)</f>
        <v>46098.66282</v>
      </c>
      <c r="D4204" s="211" t="str">
        <f>IFERROR(__xludf.DUMMYFUNCTION("""COMPUTED_VALUE"""),"63fc688a")</f>
        <v>63fc688a</v>
      </c>
      <c r="E4204" s="211" t="str">
        <f>IFERROR(__xludf.DUMMYFUNCTION("""COMPUTED_VALUE"""),"CV Malik Nusantara")</f>
        <v>CV Malik Nusantara</v>
      </c>
      <c r="F4204" s="211" t="str">
        <f>IFERROR(__xludf.DUMMYFUNCTION("""COMPUTED_VALUE"""),"ef306e54")</f>
        <v>ef306e54</v>
      </c>
      <c r="G4204" s="211" t="str">
        <f>IFERROR(__xludf.DUMMYFUNCTION("""COMPUTED_VALUE"""),"Karbondioksida")</f>
        <v>Karbondioksida</v>
      </c>
      <c r="H4204" s="211" t="str">
        <f>IFERROR(__xludf.DUMMYFUNCTION("""COMPUTED_VALUE"""),"IN")</f>
        <v>IN</v>
      </c>
      <c r="I4204" s="211" t="str">
        <f>IFERROR(__xludf.DUMMYFUNCTION("""COMPUTED_VALUE"""),"EMPTY")</f>
        <v>EMPTY</v>
      </c>
      <c r="J4204" s="211">
        <f>IFERROR(__xludf.DUMMYFUNCTION("""COMPUTED_VALUE"""),1.0)</f>
        <v>1</v>
      </c>
      <c r="K4204" s="210" t="str">
        <f>IFERROR(__xludf.DUMMYFUNCTION("""COMPUTED_VALUE"""),"13064")</f>
        <v>13064</v>
      </c>
      <c r="L4204" s="211">
        <f>IFERROR(__xludf.DUMMYFUNCTION("""COMPUTED_VALUE"""),0.0)</f>
        <v>0</v>
      </c>
      <c r="M4204" s="211"/>
      <c r="N4204" s="211"/>
      <c r="O4204" s="211" t="b">
        <f>IFERROR(__xludf.DUMMYFUNCTION("""COMPUTED_VALUE"""),FALSE)</f>
        <v>0</v>
      </c>
    </row>
    <row r="4205">
      <c r="A4205" s="210" t="str">
        <f>IFERROR(__xludf.DUMMYFUNCTION("""COMPUTED_VALUE"""),"1261441")</f>
        <v>1261441</v>
      </c>
      <c r="B4205" s="210" t="str">
        <f>IFERROR(__xludf.DUMMYFUNCTION("""COMPUTED_VALUE"""),"1261441")</f>
        <v>1261441</v>
      </c>
      <c r="C4205" s="213">
        <f>IFERROR(__xludf.DUMMYFUNCTION("""COMPUTED_VALUE"""),46098.66372685185)</f>
        <v>46098.66373</v>
      </c>
      <c r="D4205" s="211" t="str">
        <f>IFERROR(__xludf.DUMMYFUNCTION("""COMPUTED_VALUE"""),"057b6b99")</f>
        <v>057b6b99</v>
      </c>
      <c r="E4205" s="211" t="str">
        <f>IFERROR(__xludf.DUMMYFUNCTION("""COMPUTED_VALUE"""),"PT Anuta Utama Transport")</f>
        <v>PT Anuta Utama Transport</v>
      </c>
      <c r="F4205" s="211" t="str">
        <f>IFERROR(__xludf.DUMMYFUNCTION("""COMPUTED_VALUE"""),"7d2764f1")</f>
        <v>7d2764f1</v>
      </c>
      <c r="G4205" s="211" t="str">
        <f>IFERROR(__xludf.DUMMYFUNCTION("""COMPUTED_VALUE"""),"Oksigen 7m3")</f>
        <v>Oksigen 7m3</v>
      </c>
      <c r="H4205" s="211" t="str">
        <f>IFERROR(__xludf.DUMMYFUNCTION("""COMPUTED_VALUE"""),"IN")</f>
        <v>IN</v>
      </c>
      <c r="I4205" s="211" t="str">
        <f>IFERROR(__xludf.DUMMYFUNCTION("""COMPUTED_VALUE"""),"EMPTY")</f>
        <v>EMPTY</v>
      </c>
      <c r="J4205" s="211">
        <f>IFERROR(__xludf.DUMMYFUNCTION("""COMPUTED_VALUE"""),1.0)</f>
        <v>1</v>
      </c>
      <c r="K4205" s="210" t="str">
        <f>IFERROR(__xludf.DUMMYFUNCTION("""COMPUTED_VALUE"""),"11146")</f>
        <v>11146</v>
      </c>
      <c r="L4205" s="211">
        <f>IFERROR(__xludf.DUMMYFUNCTION("""COMPUTED_VALUE"""),0.0)</f>
        <v>0</v>
      </c>
      <c r="M4205" s="211"/>
      <c r="N4205" s="211"/>
      <c r="O4205" s="211" t="b">
        <f>IFERROR(__xludf.DUMMYFUNCTION("""COMPUTED_VALUE"""),FALSE)</f>
        <v>0</v>
      </c>
    </row>
    <row r="4206">
      <c r="A4206" s="210" t="str">
        <f>IFERROR(__xludf.DUMMYFUNCTION("""COMPUTED_VALUE"""),"1261427")</f>
        <v>1261427</v>
      </c>
      <c r="B4206" s="210" t="str">
        <f>IFERROR(__xludf.DUMMYFUNCTION("""COMPUTED_VALUE"""),"1261427")</f>
        <v>1261427</v>
      </c>
      <c r="C4206" s="213">
        <f>IFERROR(__xludf.DUMMYFUNCTION("""COMPUTED_VALUE"""),46098.66737268519)</f>
        <v>46098.66737</v>
      </c>
      <c r="D4206" s="211" t="str">
        <f>IFERROR(__xludf.DUMMYFUNCTION("""COMPUTED_VALUE"""),"58ae16eb")</f>
        <v>58ae16eb</v>
      </c>
      <c r="E4206" s="211" t="str">
        <f>IFERROR(__xludf.DUMMYFUNCTION("""COMPUTED_VALUE"""),"Bpk. Sahri")</f>
        <v>Bpk. Sahri</v>
      </c>
      <c r="F4206" s="211" t="str">
        <f>IFERROR(__xludf.DUMMYFUNCTION("""COMPUTED_VALUE"""),"7d2764f1")</f>
        <v>7d2764f1</v>
      </c>
      <c r="G4206" s="211" t="str">
        <f>IFERROR(__xludf.DUMMYFUNCTION("""COMPUTED_VALUE"""),"Oksigen 7m3")</f>
        <v>Oksigen 7m3</v>
      </c>
      <c r="H4206" s="211" t="str">
        <f>IFERROR(__xludf.DUMMYFUNCTION("""COMPUTED_VALUE"""),"IN")</f>
        <v>IN</v>
      </c>
      <c r="I4206" s="211" t="str">
        <f>IFERROR(__xludf.DUMMYFUNCTION("""COMPUTED_VALUE"""),"EMPTY")</f>
        <v>EMPTY</v>
      </c>
      <c r="J4206" s="211">
        <f>IFERROR(__xludf.DUMMYFUNCTION("""COMPUTED_VALUE"""),1.0)</f>
        <v>1</v>
      </c>
      <c r="K4206" s="210" t="str">
        <f>IFERROR(__xludf.DUMMYFUNCTION("""COMPUTED_VALUE"""),"11300")</f>
        <v>11300</v>
      </c>
      <c r="L4206" s="211">
        <f>IFERROR(__xludf.DUMMYFUNCTION("""COMPUTED_VALUE"""),0.0)</f>
        <v>0</v>
      </c>
      <c r="M4206" s="211"/>
      <c r="N4206" s="211"/>
      <c r="O4206" s="211" t="b">
        <f>IFERROR(__xludf.DUMMYFUNCTION("""COMPUTED_VALUE"""),FALSE)</f>
        <v>0</v>
      </c>
    </row>
    <row r="4207">
      <c r="A4207" s="210" t="str">
        <f>IFERROR(__xludf.DUMMYFUNCTION("""COMPUTED_VALUE"""),"1261426")</f>
        <v>1261426</v>
      </c>
      <c r="B4207" s="210" t="str">
        <f>IFERROR(__xludf.DUMMYFUNCTION("""COMPUTED_VALUE"""),"1261426")</f>
        <v>1261426</v>
      </c>
      <c r="C4207" s="213">
        <f>IFERROR(__xludf.DUMMYFUNCTION("""COMPUTED_VALUE"""),46098.66774305556)</f>
        <v>46098.66774</v>
      </c>
      <c r="D4207" s="211" t="str">
        <f>IFERROR(__xludf.DUMMYFUNCTION("""COMPUTED_VALUE"""),"734c6d17")</f>
        <v>734c6d17</v>
      </c>
      <c r="E4207" s="211" t="str">
        <f>IFERROR(__xludf.DUMMYFUNCTION("""COMPUTED_VALUE"""),"Bapak Ainol Yaqin ( Bpk. Ibnu )")</f>
        <v>Bapak Ainol Yaqin ( Bpk. Ibnu )</v>
      </c>
      <c r="F4207" s="211" t="str">
        <f>IFERROR(__xludf.DUMMYFUNCTION("""COMPUTED_VALUE"""),"8bdbe149")</f>
        <v>8bdbe149</v>
      </c>
      <c r="G4207" s="211" t="str">
        <f>IFERROR(__xludf.DUMMYFUNCTION("""COMPUTED_VALUE"""),"Oksigen 6m3")</f>
        <v>Oksigen 6m3</v>
      </c>
      <c r="H4207" s="211" t="str">
        <f>IFERROR(__xludf.DUMMYFUNCTION("""COMPUTED_VALUE"""),"IN")</f>
        <v>IN</v>
      </c>
      <c r="I4207" s="211" t="str">
        <f>IFERROR(__xludf.DUMMYFUNCTION("""COMPUTED_VALUE"""),"EMPTY")</f>
        <v>EMPTY</v>
      </c>
      <c r="J4207" s="211">
        <f>IFERROR(__xludf.DUMMYFUNCTION("""COMPUTED_VALUE"""),1.0)</f>
        <v>1</v>
      </c>
      <c r="K4207" s="210" t="str">
        <f>IFERROR(__xludf.DUMMYFUNCTION("""COMPUTED_VALUE"""),"11178")</f>
        <v>11178</v>
      </c>
      <c r="L4207" s="211">
        <f>IFERROR(__xludf.DUMMYFUNCTION("""COMPUTED_VALUE"""),0.0)</f>
        <v>0</v>
      </c>
      <c r="M4207" s="211"/>
      <c r="N4207" s="211" t="str">
        <f>IFERROR(__xludf.DUMMYFUNCTION("""COMPUTED_VALUE"""),"Batuar krian")</f>
        <v>Batuar krian</v>
      </c>
      <c r="O4207" s="211" t="b">
        <f>IFERROR(__xludf.DUMMYFUNCTION("""COMPUTED_VALUE"""),TRUE)</f>
        <v>1</v>
      </c>
    </row>
    <row r="4208">
      <c r="A4208" s="210" t="str">
        <f>IFERROR(__xludf.DUMMYFUNCTION("""COMPUTED_VALUE"""),"1261426")</f>
        <v>1261426</v>
      </c>
      <c r="B4208" s="210" t="str">
        <f>IFERROR(__xludf.DUMMYFUNCTION("""COMPUTED_VALUE"""),"1261426")</f>
        <v>1261426</v>
      </c>
      <c r="C4208" s="213">
        <f>IFERROR(__xludf.DUMMYFUNCTION("""COMPUTED_VALUE"""),46098.66774305556)</f>
        <v>46098.66774</v>
      </c>
      <c r="D4208" s="211" t="str">
        <f>IFERROR(__xludf.DUMMYFUNCTION("""COMPUTED_VALUE"""),"734c6d17")</f>
        <v>734c6d17</v>
      </c>
      <c r="E4208" s="211" t="str">
        <f>IFERROR(__xludf.DUMMYFUNCTION("""COMPUTED_VALUE"""),"Bapak Ainol Yaqin ( Bpk. Ibnu )")</f>
        <v>Bapak Ainol Yaqin ( Bpk. Ibnu )</v>
      </c>
      <c r="F4208" s="211" t="str">
        <f>IFERROR(__xludf.DUMMYFUNCTION("""COMPUTED_VALUE"""),"8bdbe149")</f>
        <v>8bdbe149</v>
      </c>
      <c r="G4208" s="211" t="str">
        <f>IFERROR(__xludf.DUMMYFUNCTION("""COMPUTED_VALUE"""),"Oksigen 6m3")</f>
        <v>Oksigen 6m3</v>
      </c>
      <c r="H4208" s="211" t="str">
        <f>IFERROR(__xludf.DUMMYFUNCTION("""COMPUTED_VALUE"""),"IN")</f>
        <v>IN</v>
      </c>
      <c r="I4208" s="211" t="str">
        <f>IFERROR(__xludf.DUMMYFUNCTION("""COMPUTED_VALUE"""),"CLAIM")</f>
        <v>CLAIM</v>
      </c>
      <c r="J4208" s="211">
        <f>IFERROR(__xludf.DUMMYFUNCTION("""COMPUTED_VALUE"""),1.0)</f>
        <v>1</v>
      </c>
      <c r="K4208" s="210" t="str">
        <f>IFERROR(__xludf.DUMMYFUNCTION("""COMPUTED_VALUE"""),"11384")</f>
        <v>11384</v>
      </c>
      <c r="L4208" s="211">
        <f>IFERROR(__xludf.DUMMYFUNCTION("""COMPUTED_VALUE"""),0.0)</f>
        <v>0</v>
      </c>
      <c r="M4208" s="211"/>
      <c r="N4208" s="211" t="str">
        <f>IFERROR(__xludf.DUMMYFUNCTION("""COMPUTED_VALUE"""),"Batuar krian")</f>
        <v>Batuar krian</v>
      </c>
      <c r="O4208" s="211" t="b">
        <f>IFERROR(__xludf.DUMMYFUNCTION("""COMPUTED_VALUE"""),FALSE)</f>
        <v>0</v>
      </c>
    </row>
    <row r="4209">
      <c r="A4209" s="210" t="str">
        <f>IFERROR(__xludf.DUMMYFUNCTION("""COMPUTED_VALUE"""),"1261425")</f>
        <v>1261425</v>
      </c>
      <c r="B4209" s="210" t="str">
        <f>IFERROR(__xludf.DUMMYFUNCTION("""COMPUTED_VALUE"""),"1261425")</f>
        <v>1261425</v>
      </c>
      <c r="C4209" s="213">
        <f>IFERROR(__xludf.DUMMYFUNCTION("""COMPUTED_VALUE"""),46098.6700462963)</f>
        <v>46098.67005</v>
      </c>
      <c r="D4209" s="211" t="str">
        <f>IFERROR(__xludf.DUMMYFUNCTION("""COMPUTED_VALUE"""),"734c6d17")</f>
        <v>734c6d17</v>
      </c>
      <c r="E4209" s="211" t="str">
        <f>IFERROR(__xludf.DUMMYFUNCTION("""COMPUTED_VALUE"""),"Bapak Ainol Yaqin ( Bpk. Ibnu )")</f>
        <v>Bapak Ainol Yaqin ( Bpk. Ibnu )</v>
      </c>
      <c r="F4209" s="211" t="str">
        <f>IFERROR(__xludf.DUMMYFUNCTION("""COMPUTED_VALUE"""),"8bdbe149")</f>
        <v>8bdbe149</v>
      </c>
      <c r="G4209" s="211" t="str">
        <f>IFERROR(__xludf.DUMMYFUNCTION("""COMPUTED_VALUE"""),"Oksigen 6m3")</f>
        <v>Oksigen 6m3</v>
      </c>
      <c r="H4209" s="211" t="str">
        <f>IFERROR(__xludf.DUMMYFUNCTION("""COMPUTED_VALUE"""),"IN")</f>
        <v>IN</v>
      </c>
      <c r="I4209" s="211" t="str">
        <f>IFERROR(__xludf.DUMMYFUNCTION("""COMPUTED_VALUE"""),"EMPTY")</f>
        <v>EMPTY</v>
      </c>
      <c r="J4209" s="211">
        <f>IFERROR(__xludf.DUMMYFUNCTION("""COMPUTED_VALUE"""),1.0)</f>
        <v>1</v>
      </c>
      <c r="K4209" s="210" t="str">
        <f>IFERROR(__xludf.DUMMYFUNCTION("""COMPUTED_VALUE"""),"11111")</f>
        <v>11111</v>
      </c>
      <c r="L4209" s="211">
        <f>IFERROR(__xludf.DUMMYFUNCTION("""COMPUTED_VALUE"""),0.0)</f>
        <v>0</v>
      </c>
      <c r="M4209" s="211"/>
      <c r="N4209" s="211" t="str">
        <f>IFERROR(__xludf.DUMMYFUNCTION("""COMPUTED_VALUE"""),"Jabaran samping warkop ashoka")</f>
        <v>Jabaran samping warkop ashoka</v>
      </c>
      <c r="O4209" s="211" t="b">
        <f>IFERROR(__xludf.DUMMYFUNCTION("""COMPUTED_VALUE"""),FALSE)</f>
        <v>0</v>
      </c>
    </row>
    <row r="4210">
      <c r="A4210" s="210" t="str">
        <f>IFERROR(__xludf.DUMMYFUNCTION("""COMPUTED_VALUE"""),"1261428")</f>
        <v>1261428</v>
      </c>
      <c r="B4210" s="210" t="str">
        <f>IFERROR(__xludf.DUMMYFUNCTION("""COMPUTED_VALUE"""),"1261428")</f>
        <v>1261428</v>
      </c>
      <c r="C4210" s="213">
        <f>IFERROR(__xludf.DUMMYFUNCTION("""COMPUTED_VALUE"""),46098.671805555554)</f>
        <v>46098.67181</v>
      </c>
      <c r="D4210" s="211" t="str">
        <f>IFERROR(__xludf.DUMMYFUNCTION("""COMPUTED_VALUE"""),"8b765561")</f>
        <v>8b765561</v>
      </c>
      <c r="E4210" s="211" t="str">
        <f>IFERROR(__xludf.DUMMYFUNCTION("""COMPUTED_VALUE"""),"Bpk. Idris")</f>
        <v>Bpk. Idris</v>
      </c>
      <c r="F4210" s="211" t="str">
        <f>IFERROR(__xludf.DUMMYFUNCTION("""COMPUTED_VALUE"""),"8bdbe149")</f>
        <v>8bdbe149</v>
      </c>
      <c r="G4210" s="211" t="str">
        <f>IFERROR(__xludf.DUMMYFUNCTION("""COMPUTED_VALUE"""),"Oksigen 6m3")</f>
        <v>Oksigen 6m3</v>
      </c>
      <c r="H4210" s="211" t="str">
        <f>IFERROR(__xludf.DUMMYFUNCTION("""COMPUTED_VALUE"""),"IN")</f>
        <v>IN</v>
      </c>
      <c r="I4210" s="211" t="str">
        <f>IFERROR(__xludf.DUMMYFUNCTION("""COMPUTED_VALUE"""),"EMPTY")</f>
        <v>EMPTY</v>
      </c>
      <c r="J4210" s="211">
        <f>IFERROR(__xludf.DUMMYFUNCTION("""COMPUTED_VALUE"""),2.0)</f>
        <v>2</v>
      </c>
      <c r="K4210" s="210" t="str">
        <f>IFERROR(__xludf.DUMMYFUNCTION("""COMPUTED_VALUE"""),"11107 11296")</f>
        <v>11107 11296</v>
      </c>
      <c r="L4210" s="211">
        <f>IFERROR(__xludf.DUMMYFUNCTION("""COMPUTED_VALUE"""),0.0)</f>
        <v>0</v>
      </c>
      <c r="M4210" s="211"/>
      <c r="N4210" s="211"/>
      <c r="O4210" s="211" t="b">
        <f>IFERROR(__xludf.DUMMYFUNCTION("""COMPUTED_VALUE"""),FALSE)</f>
        <v>0</v>
      </c>
    </row>
    <row r="4211">
      <c r="A4211" s="210" t="str">
        <f>IFERROR(__xludf.DUMMYFUNCTION("""COMPUTED_VALUE"""),"1261429")</f>
        <v>1261429</v>
      </c>
      <c r="B4211" s="210" t="str">
        <f>IFERROR(__xludf.DUMMYFUNCTION("""COMPUTED_VALUE"""),"1261429")</f>
        <v>1261429</v>
      </c>
      <c r="C4211" s="213">
        <f>IFERROR(__xludf.DUMMYFUNCTION("""COMPUTED_VALUE"""),46098.67219907408)</f>
        <v>46098.6722</v>
      </c>
      <c r="D4211" s="211" t="str">
        <f>IFERROR(__xludf.DUMMYFUNCTION("""COMPUTED_VALUE"""),"734c6d17")</f>
        <v>734c6d17</v>
      </c>
      <c r="E4211" s="211" t="str">
        <f>IFERROR(__xludf.DUMMYFUNCTION("""COMPUTED_VALUE"""),"Bapak Ainol Yaqin ( Bpk. Ibnu )")</f>
        <v>Bapak Ainol Yaqin ( Bpk. Ibnu )</v>
      </c>
      <c r="F4211" s="211" t="str">
        <f>IFERROR(__xludf.DUMMYFUNCTION("""COMPUTED_VALUE"""),"8bdbe149")</f>
        <v>8bdbe149</v>
      </c>
      <c r="G4211" s="211" t="str">
        <f>IFERROR(__xludf.DUMMYFUNCTION("""COMPUTED_VALUE"""),"Oksigen 6m3")</f>
        <v>Oksigen 6m3</v>
      </c>
      <c r="H4211" s="211" t="str">
        <f>IFERROR(__xludf.DUMMYFUNCTION("""COMPUTED_VALUE"""),"IN")</f>
        <v>IN</v>
      </c>
      <c r="I4211" s="211" t="str">
        <f>IFERROR(__xludf.DUMMYFUNCTION("""COMPUTED_VALUE"""),"EMPTY")</f>
        <v>EMPTY</v>
      </c>
      <c r="J4211" s="211">
        <f>IFERROR(__xludf.DUMMYFUNCTION("""COMPUTED_VALUE"""),1.0)</f>
        <v>1</v>
      </c>
      <c r="K4211" s="210" t="str">
        <f>IFERROR(__xludf.DUMMYFUNCTION("""COMPUTED_VALUE"""),"11198")</f>
        <v>11198</v>
      </c>
      <c r="L4211" s="211">
        <f>IFERROR(__xludf.DUMMYFUNCTION("""COMPUTED_VALUE"""),0.0)</f>
        <v>0</v>
      </c>
      <c r="M4211" s="211"/>
      <c r="N4211" s="211"/>
      <c r="O4211" s="211" t="b">
        <f>IFERROR(__xludf.DUMMYFUNCTION("""COMPUTED_VALUE"""),FALSE)</f>
        <v>0</v>
      </c>
    </row>
    <row r="4212">
      <c r="A4212" s="210" t="str">
        <f>IFERROR(__xludf.DUMMYFUNCTION("""COMPUTED_VALUE"""),"1261429")</f>
        <v>1261429</v>
      </c>
      <c r="B4212" s="210" t="str">
        <f>IFERROR(__xludf.DUMMYFUNCTION("""COMPUTED_VALUE"""),"1261429")</f>
        <v>1261429</v>
      </c>
      <c r="C4212" s="213">
        <f>IFERROR(__xludf.DUMMYFUNCTION("""COMPUTED_VALUE"""),46098.67219907408)</f>
        <v>46098.6722</v>
      </c>
      <c r="D4212" s="211" t="str">
        <f>IFERROR(__xludf.DUMMYFUNCTION("""COMPUTED_VALUE"""),"734c6d17")</f>
        <v>734c6d17</v>
      </c>
      <c r="E4212" s="211" t="str">
        <f>IFERROR(__xludf.DUMMYFUNCTION("""COMPUTED_VALUE"""),"Bapak Ainol Yaqin ( Bpk. Ibnu )")</f>
        <v>Bapak Ainol Yaqin ( Bpk. Ibnu )</v>
      </c>
      <c r="F4212" s="211" t="str">
        <f>IFERROR(__xludf.DUMMYFUNCTION("""COMPUTED_VALUE"""),"8bdbe149")</f>
        <v>8bdbe149</v>
      </c>
      <c r="G4212" s="211" t="str">
        <f>IFERROR(__xludf.DUMMYFUNCTION("""COMPUTED_VALUE"""),"Oksigen 6m3")</f>
        <v>Oksigen 6m3</v>
      </c>
      <c r="H4212" s="211" t="str">
        <f>IFERROR(__xludf.DUMMYFUNCTION("""COMPUTED_VALUE"""),"IN")</f>
        <v>IN</v>
      </c>
      <c r="I4212" s="211" t="str">
        <f>IFERROR(__xludf.DUMMYFUNCTION("""COMPUTED_VALUE"""),"CLAIM")</f>
        <v>CLAIM</v>
      </c>
      <c r="J4212" s="211">
        <f>IFERROR(__xludf.DUMMYFUNCTION("""COMPUTED_VALUE"""),1.0)</f>
        <v>1</v>
      </c>
      <c r="K4212" s="210" t="str">
        <f>IFERROR(__xludf.DUMMYFUNCTION("""COMPUTED_VALUE"""),"11317")</f>
        <v>11317</v>
      </c>
      <c r="L4212" s="211">
        <f>IFERROR(__xludf.DUMMYFUNCTION("""COMPUTED_VALUE"""),0.0)</f>
        <v>0</v>
      </c>
      <c r="M4212" s="211"/>
      <c r="N4212" s="211"/>
      <c r="O4212" s="211" t="b">
        <f>IFERROR(__xludf.DUMMYFUNCTION("""COMPUTED_VALUE"""),FALSE)</f>
        <v>0</v>
      </c>
    </row>
    <row r="4213">
      <c r="A4213" s="210" t="str">
        <f>IFERROR(__xludf.DUMMYFUNCTION("""COMPUTED_VALUE"""),"0326132880")</f>
        <v>0326132880</v>
      </c>
      <c r="B4213" s="210" t="str">
        <f>IFERROR(__xludf.DUMMYFUNCTION("""COMPUTED_VALUE"""),"0326132880")</f>
        <v>0326132880</v>
      </c>
      <c r="C4213" s="213">
        <f>IFERROR(__xludf.DUMMYFUNCTION("""COMPUTED_VALUE"""),46106.35170138889)</f>
        <v>46106.3517</v>
      </c>
      <c r="D4213" s="211" t="str">
        <f>IFERROR(__xludf.DUMMYFUNCTION("""COMPUTED_VALUE"""),"9828dfc5")</f>
        <v>9828dfc5</v>
      </c>
      <c r="E4213" s="211" t="str">
        <f>IFERROR(__xludf.DUMMYFUNCTION("""COMPUTED_VALUE"""),"Bpk. David")</f>
        <v>Bpk. David</v>
      </c>
      <c r="F4213" s="211" t="str">
        <f>IFERROR(__xludf.DUMMYFUNCTION("""COMPUTED_VALUE"""),"8bdbe149")</f>
        <v>8bdbe149</v>
      </c>
      <c r="G4213" s="211" t="str">
        <f>IFERROR(__xludf.DUMMYFUNCTION("""COMPUTED_VALUE"""),"Oksigen 6m3")</f>
        <v>Oksigen 6m3</v>
      </c>
      <c r="H4213" s="211" t="str">
        <f>IFERROR(__xludf.DUMMYFUNCTION("""COMPUTED_VALUE"""),"OUT")</f>
        <v>OUT</v>
      </c>
      <c r="I4213" s="211" t="str">
        <f>IFERROR(__xludf.DUMMYFUNCTION("""COMPUTED_VALUE"""),"NORMAL")</f>
        <v>NORMAL</v>
      </c>
      <c r="J4213" s="211">
        <f>IFERROR(__xludf.DUMMYFUNCTION("""COMPUTED_VALUE"""),10.0)</f>
        <v>10</v>
      </c>
      <c r="K4213" s="210" t="str">
        <f>IFERROR(__xludf.DUMMYFUNCTION("""COMPUTED_VALUE"""),"11379 11296 1144 11107 11266 1121 1199 11268 11122 1153")</f>
        <v>11379 11296 1144 11107 11266 1121 1199 11268 11122 1153</v>
      </c>
      <c r="L4213" s="211">
        <f>IFERROR(__xludf.DUMMYFUNCTION("""COMPUTED_VALUE"""),60000.0)</f>
        <v>60000</v>
      </c>
      <c r="M4213" s="211"/>
      <c r="N4213" s="211"/>
      <c r="O4213" s="211" t="b">
        <f>IFERROR(__xludf.DUMMYFUNCTION("""COMPUTED_VALUE"""),FALSE)</f>
        <v>0</v>
      </c>
    </row>
    <row r="4214">
      <c r="A4214" s="210" t="str">
        <f>IFERROR(__xludf.DUMMYFUNCTION("""COMPUTED_VALUE"""),"0326232893")</f>
        <v>0326232893</v>
      </c>
      <c r="B4214" s="210" t="str">
        <f>IFERROR(__xludf.DUMMYFUNCTION("""COMPUTED_VALUE"""),"0326232893")</f>
        <v>0326232893</v>
      </c>
      <c r="C4214" s="213">
        <f>IFERROR(__xludf.DUMMYFUNCTION("""COMPUTED_VALUE"""),46106.42643518518)</f>
        <v>46106.42644</v>
      </c>
      <c r="D4214" s="211" t="str">
        <f>IFERROR(__xludf.DUMMYFUNCTION("""COMPUTED_VALUE"""),"b218b89b")</f>
        <v>b218b89b</v>
      </c>
      <c r="E4214" s="211" t="str">
        <f>IFERROR(__xludf.DUMMYFUNCTION("""COMPUTED_VALUE"""),"PT Harapan Sentosa")</f>
        <v>PT Harapan Sentosa</v>
      </c>
      <c r="F4214" s="211" t="str">
        <f>IFERROR(__xludf.DUMMYFUNCTION("""COMPUTED_VALUE"""),"7d2764f1")</f>
        <v>7d2764f1</v>
      </c>
      <c r="G4214" s="211" t="str">
        <f>IFERROR(__xludf.DUMMYFUNCTION("""COMPUTED_VALUE"""),"Oksigen 7m3")</f>
        <v>Oksigen 7m3</v>
      </c>
      <c r="H4214" s="211" t="str">
        <f>IFERROR(__xludf.DUMMYFUNCTION("""COMPUTED_VALUE"""),"OUT")</f>
        <v>OUT</v>
      </c>
      <c r="I4214" s="211" t="str">
        <f>IFERROR(__xludf.DUMMYFUNCTION("""COMPUTED_VALUE"""),"NORMAL")</f>
        <v>NORMAL</v>
      </c>
      <c r="J4214" s="211">
        <f>IFERROR(__xludf.DUMMYFUNCTION("""COMPUTED_VALUE"""),10.0)</f>
        <v>10</v>
      </c>
      <c r="K4214" s="210" t="str">
        <f>IFERROR(__xludf.DUMMYFUNCTION("""COMPUTED_VALUE"""),"11333 11395 11163 11145 11146 11329 11334 11300 11298 11157")</f>
        <v>11333 11395 11163 11145 11146 11329 11334 11300 11298 11157</v>
      </c>
      <c r="L4214" s="211">
        <f>IFERROR(__xludf.DUMMYFUNCTION("""COMPUTED_VALUE"""),70000.0)</f>
        <v>70000</v>
      </c>
      <c r="M4214" s="211"/>
      <c r="N4214" s="211"/>
      <c r="O4214" s="211" t="b">
        <f>IFERROR(__xludf.DUMMYFUNCTION("""COMPUTED_VALUE"""),FALSE)</f>
        <v>0</v>
      </c>
    </row>
    <row r="4215">
      <c r="A4215" s="210" t="str">
        <f>IFERROR(__xludf.DUMMYFUNCTION("""COMPUTED_VALUE"""),"1261435")</f>
        <v>1261435</v>
      </c>
      <c r="B4215" s="210" t="str">
        <f>IFERROR(__xludf.DUMMYFUNCTION("""COMPUTED_VALUE"""),"1261435")</f>
        <v>1261435</v>
      </c>
      <c r="C4215" s="213">
        <f>IFERROR(__xludf.DUMMYFUNCTION("""COMPUTED_VALUE"""),46106.45930555555)</f>
        <v>46106.45931</v>
      </c>
      <c r="D4215" s="211" t="str">
        <f>IFERROR(__xludf.DUMMYFUNCTION("""COMPUTED_VALUE"""),"9828dfc5")</f>
        <v>9828dfc5</v>
      </c>
      <c r="E4215" s="211" t="str">
        <f>IFERROR(__xludf.DUMMYFUNCTION("""COMPUTED_VALUE"""),"Bpk. David")</f>
        <v>Bpk. David</v>
      </c>
      <c r="F4215" s="211" t="str">
        <f>IFERROR(__xludf.DUMMYFUNCTION("""COMPUTED_VALUE"""),"8bdbe149")</f>
        <v>8bdbe149</v>
      </c>
      <c r="G4215" s="211" t="str">
        <f>IFERROR(__xludf.DUMMYFUNCTION("""COMPUTED_VALUE"""),"Oksigen 6m3")</f>
        <v>Oksigen 6m3</v>
      </c>
      <c r="H4215" s="211" t="str">
        <f>IFERROR(__xludf.DUMMYFUNCTION("""COMPUTED_VALUE"""),"IN")</f>
        <v>IN</v>
      </c>
      <c r="I4215" s="211" t="str">
        <f>IFERROR(__xludf.DUMMYFUNCTION("""COMPUTED_VALUE"""),"EMPTY")</f>
        <v>EMPTY</v>
      </c>
      <c r="J4215" s="211">
        <f>IFERROR(__xludf.DUMMYFUNCTION("""COMPUTED_VALUE"""),4.0)</f>
        <v>4</v>
      </c>
      <c r="K4215" s="210" t="str">
        <f>IFERROR(__xludf.DUMMYFUNCTION("""COMPUTED_VALUE"""),"11239 1154 11382 1102")</f>
        <v>11239 1154 11382 1102</v>
      </c>
      <c r="L4215" s="211">
        <f>IFERROR(__xludf.DUMMYFUNCTION("""COMPUTED_VALUE"""),0.0)</f>
        <v>0</v>
      </c>
      <c r="M4215" s="211"/>
      <c r="N4215" s="211"/>
      <c r="O4215" s="211" t="b">
        <f>IFERROR(__xludf.DUMMYFUNCTION("""COMPUTED_VALUE"""),FALSE)</f>
        <v>0</v>
      </c>
    </row>
    <row r="4216">
      <c r="A4216" s="210" t="str">
        <f>IFERROR(__xludf.DUMMYFUNCTION("""COMPUTED_VALUE"""),"1261435")</f>
        <v>1261435</v>
      </c>
      <c r="B4216" s="210" t="str">
        <f>IFERROR(__xludf.DUMMYFUNCTION("""COMPUTED_VALUE"""),"1261435")</f>
        <v>1261435</v>
      </c>
      <c r="C4216" s="213">
        <f>IFERROR(__xludf.DUMMYFUNCTION("""COMPUTED_VALUE"""),46106.45930555555)</f>
        <v>46106.45931</v>
      </c>
      <c r="D4216" s="211" t="str">
        <f>IFERROR(__xludf.DUMMYFUNCTION("""COMPUTED_VALUE"""),"9828dfc5")</f>
        <v>9828dfc5</v>
      </c>
      <c r="E4216" s="211" t="str">
        <f>IFERROR(__xludf.DUMMYFUNCTION("""COMPUTED_VALUE"""),"Bpk. David")</f>
        <v>Bpk. David</v>
      </c>
      <c r="F4216" s="211" t="str">
        <f>IFERROR(__xludf.DUMMYFUNCTION("""COMPUTED_VALUE"""),"7d2764f1")</f>
        <v>7d2764f1</v>
      </c>
      <c r="G4216" s="211" t="str">
        <f>IFERROR(__xludf.DUMMYFUNCTION("""COMPUTED_VALUE"""),"Oksigen 7m3")</f>
        <v>Oksigen 7m3</v>
      </c>
      <c r="H4216" s="211" t="str">
        <f>IFERROR(__xludf.DUMMYFUNCTION("""COMPUTED_VALUE"""),"IN")</f>
        <v>IN</v>
      </c>
      <c r="I4216" s="211" t="str">
        <f>IFERROR(__xludf.DUMMYFUNCTION("""COMPUTED_VALUE"""),"EMPTY")</f>
        <v>EMPTY</v>
      </c>
      <c r="J4216" s="211">
        <f>IFERROR(__xludf.DUMMYFUNCTION("""COMPUTED_VALUE"""),8.0)</f>
        <v>8</v>
      </c>
      <c r="K4216" s="210" t="str">
        <f>IFERROR(__xludf.DUMMYFUNCTION("""COMPUTED_VALUE"""),"11166 11170 11337 11301 11387 11219 11139 11307")</f>
        <v>11166 11170 11337 11301 11387 11219 11139 11307</v>
      </c>
      <c r="L4216" s="211">
        <f>IFERROR(__xludf.DUMMYFUNCTION("""COMPUTED_VALUE"""),0.0)</f>
        <v>0</v>
      </c>
      <c r="M4216" s="211"/>
      <c r="N4216" s="211"/>
      <c r="O4216" s="211" t="b">
        <f>IFERROR(__xludf.DUMMYFUNCTION("""COMPUTED_VALUE"""),FALSE)</f>
        <v>0</v>
      </c>
    </row>
    <row r="4217">
      <c r="A4217" s="210" t="str">
        <f>IFERROR(__xludf.DUMMYFUNCTION("""COMPUTED_VALUE"""),"1261391")</f>
        <v>1261391</v>
      </c>
      <c r="B4217" s="210" t="str">
        <f>IFERROR(__xludf.DUMMYFUNCTION("""COMPUTED_VALUE"""),"1261391")</f>
        <v>1261391</v>
      </c>
      <c r="C4217" s="213">
        <f>IFERROR(__xludf.DUMMYFUNCTION("""COMPUTED_VALUE"""),46092.5621875)</f>
        <v>46092.56219</v>
      </c>
      <c r="D4217" s="211" t="str">
        <f>IFERROR(__xludf.DUMMYFUNCTION("""COMPUTED_VALUE"""),"9828dfc5")</f>
        <v>9828dfc5</v>
      </c>
      <c r="E4217" s="211" t="str">
        <f>IFERROR(__xludf.DUMMYFUNCTION("""COMPUTED_VALUE"""),"Bpk. David")</f>
        <v>Bpk. David</v>
      </c>
      <c r="F4217" s="211" t="str">
        <f>IFERROR(__xludf.DUMMYFUNCTION("""COMPUTED_VALUE"""),"7d2764f1")</f>
        <v>7d2764f1</v>
      </c>
      <c r="G4217" s="211" t="str">
        <f>IFERROR(__xludf.DUMMYFUNCTION("""COMPUTED_VALUE"""),"Oksigen 7m3")</f>
        <v>Oksigen 7m3</v>
      </c>
      <c r="H4217" s="211" t="str">
        <f>IFERROR(__xludf.DUMMYFUNCTION("""COMPUTED_VALUE"""),"IN")</f>
        <v>IN</v>
      </c>
      <c r="I4217" s="211" t="str">
        <f>IFERROR(__xludf.DUMMYFUNCTION("""COMPUTED_VALUE"""),"EMPTY")</f>
        <v>EMPTY</v>
      </c>
      <c r="J4217" s="211">
        <f>IFERROR(__xludf.DUMMYFUNCTION("""COMPUTED_VALUE"""),2.0)</f>
        <v>2</v>
      </c>
      <c r="K4217" s="210" t="str">
        <f>IFERROR(__xludf.DUMMYFUNCTION("""COMPUTED_VALUE"""),"11331 11306")</f>
        <v>11331 11306</v>
      </c>
      <c r="L4217" s="211">
        <f>IFERROR(__xludf.DUMMYFUNCTION("""COMPUTED_VALUE"""),0.0)</f>
        <v>0</v>
      </c>
      <c r="M4217" s="211"/>
      <c r="N4217" s="211"/>
      <c r="O4217" s="211" t="b">
        <f>IFERROR(__xludf.DUMMYFUNCTION("""COMPUTED_VALUE"""),TRUE)</f>
        <v>1</v>
      </c>
    </row>
    <row r="4218">
      <c r="A4218" s="210" t="str">
        <f>IFERROR(__xludf.DUMMYFUNCTION("""COMPUTED_VALUE"""),"1261341")</f>
        <v>1261341</v>
      </c>
      <c r="B4218" s="210" t="str">
        <f>IFERROR(__xludf.DUMMYFUNCTION("""COMPUTED_VALUE"""),"1261341")</f>
        <v>1261341</v>
      </c>
      <c r="C4218" s="213">
        <f>IFERROR(__xludf.DUMMYFUNCTION("""COMPUTED_VALUE"""),46088.607453703706)</f>
        <v>46088.60745</v>
      </c>
      <c r="D4218" s="211" t="str">
        <f>IFERROR(__xludf.DUMMYFUNCTION("""COMPUTED_VALUE"""),"9828dfc5")</f>
        <v>9828dfc5</v>
      </c>
      <c r="E4218" s="211" t="str">
        <f>IFERROR(__xludf.DUMMYFUNCTION("""COMPUTED_VALUE"""),"Bpk. David")</f>
        <v>Bpk. David</v>
      </c>
      <c r="F4218" s="211" t="str">
        <f>IFERROR(__xludf.DUMMYFUNCTION("""COMPUTED_VALUE"""),"7d2764f1")</f>
        <v>7d2764f1</v>
      </c>
      <c r="G4218" s="211" t="str">
        <f>IFERROR(__xludf.DUMMYFUNCTION("""COMPUTED_VALUE"""),"Oksigen 7m3")</f>
        <v>Oksigen 7m3</v>
      </c>
      <c r="H4218" s="211" t="str">
        <f>IFERROR(__xludf.DUMMYFUNCTION("""COMPUTED_VALUE"""),"IN")</f>
        <v>IN</v>
      </c>
      <c r="I4218" s="211" t="str">
        <f>IFERROR(__xludf.DUMMYFUNCTION("""COMPUTED_VALUE"""),"EMPTY")</f>
        <v>EMPTY</v>
      </c>
      <c r="J4218" s="211">
        <f>IFERROR(__xludf.DUMMYFUNCTION("""COMPUTED_VALUE"""),1.0)</f>
        <v>1</v>
      </c>
      <c r="K4218" s="210" t="str">
        <f>IFERROR(__xludf.DUMMYFUNCTION("""COMPUTED_VALUE"""),"11163")</f>
        <v>11163</v>
      </c>
      <c r="L4218" s="211">
        <f>IFERROR(__xludf.DUMMYFUNCTION("""COMPUTED_VALUE"""),0.0)</f>
        <v>0</v>
      </c>
      <c r="M4218" s="211"/>
      <c r="N4218" s="211"/>
      <c r="O4218" s="211" t="b">
        <f>IFERROR(__xludf.DUMMYFUNCTION("""COMPUTED_VALUE"""),TRUE)</f>
        <v>1</v>
      </c>
    </row>
    <row r="4219">
      <c r="A4219" s="210" t="str">
        <f>IFERROR(__xludf.DUMMYFUNCTION("""COMPUTED_VALUE"""),"1261450")</f>
        <v>1261450</v>
      </c>
      <c r="B4219" s="210" t="str">
        <f>IFERROR(__xludf.DUMMYFUNCTION("""COMPUTED_VALUE"""),"1261450")</f>
        <v>1261450</v>
      </c>
      <c r="C4219" s="213">
        <f>IFERROR(__xludf.DUMMYFUNCTION("""COMPUTED_VALUE"""),46106.55297453704)</f>
        <v>46106.55297</v>
      </c>
      <c r="D4219" s="211" t="str">
        <f>IFERROR(__xludf.DUMMYFUNCTION("""COMPUTED_VALUE"""),"b218b89b")</f>
        <v>b218b89b</v>
      </c>
      <c r="E4219" s="211" t="str">
        <f>IFERROR(__xludf.DUMMYFUNCTION("""COMPUTED_VALUE"""),"PT Harapan Sentosa")</f>
        <v>PT Harapan Sentosa</v>
      </c>
      <c r="F4219" s="211" t="str">
        <f>IFERROR(__xludf.DUMMYFUNCTION("""COMPUTED_VALUE"""),"8bdbe149")</f>
        <v>8bdbe149</v>
      </c>
      <c r="G4219" s="211" t="str">
        <f>IFERROR(__xludf.DUMMYFUNCTION("""COMPUTED_VALUE"""),"Oksigen 6m3")</f>
        <v>Oksigen 6m3</v>
      </c>
      <c r="H4219" s="211" t="str">
        <f>IFERROR(__xludf.DUMMYFUNCTION("""COMPUTED_VALUE"""),"IN")</f>
        <v>IN</v>
      </c>
      <c r="I4219" s="211" t="str">
        <f>IFERROR(__xludf.DUMMYFUNCTION("""COMPUTED_VALUE"""),"EMPTY")</f>
        <v>EMPTY</v>
      </c>
      <c r="J4219" s="211">
        <f>IFERROR(__xludf.DUMMYFUNCTION("""COMPUTED_VALUE"""),12.0)</f>
        <v>12</v>
      </c>
      <c r="K4219" s="210" t="str">
        <f>IFERROR(__xludf.DUMMYFUNCTION("""COMPUTED_VALUE"""),"11350 11295 1101 11183 11237 11264 11232 11373 1168 1171 1127 11205")</f>
        <v>11350 11295 1101 11183 11237 11264 11232 11373 1168 1171 1127 11205</v>
      </c>
      <c r="L4219" s="211">
        <f>IFERROR(__xludf.DUMMYFUNCTION("""COMPUTED_VALUE"""),0.0)</f>
        <v>0</v>
      </c>
      <c r="M4219" s="211"/>
      <c r="N4219" s="211"/>
      <c r="O4219" s="211" t="b">
        <f>IFERROR(__xludf.DUMMYFUNCTION("""COMPUTED_VALUE"""),FALSE)</f>
        <v>0</v>
      </c>
    </row>
    <row r="4220">
      <c r="A4220" s="210" t="str">
        <f>IFERROR(__xludf.DUMMYFUNCTION("""COMPUTED_VALUE"""),"1261450")</f>
        <v>1261450</v>
      </c>
      <c r="B4220" s="210" t="str">
        <f>IFERROR(__xludf.DUMMYFUNCTION("""COMPUTED_VALUE"""),"1261450")</f>
        <v>1261450</v>
      </c>
      <c r="C4220" s="213">
        <f>IFERROR(__xludf.DUMMYFUNCTION("""COMPUTED_VALUE"""),46106.55297453704)</f>
        <v>46106.55297</v>
      </c>
      <c r="D4220" s="211" t="str">
        <f>IFERROR(__xludf.DUMMYFUNCTION("""COMPUTED_VALUE"""),"b218b89b")</f>
        <v>b218b89b</v>
      </c>
      <c r="E4220" s="211" t="str">
        <f>IFERROR(__xludf.DUMMYFUNCTION("""COMPUTED_VALUE"""),"PT Harapan Sentosa")</f>
        <v>PT Harapan Sentosa</v>
      </c>
      <c r="F4220" s="211" t="str">
        <f>IFERROR(__xludf.DUMMYFUNCTION("""COMPUTED_VALUE"""),"7d2764f1")</f>
        <v>7d2764f1</v>
      </c>
      <c r="G4220" s="211" t="str">
        <f>IFERROR(__xludf.DUMMYFUNCTION("""COMPUTED_VALUE"""),"Oksigen 7m3")</f>
        <v>Oksigen 7m3</v>
      </c>
      <c r="H4220" s="211" t="str">
        <f>IFERROR(__xludf.DUMMYFUNCTION("""COMPUTED_VALUE"""),"IN")</f>
        <v>IN</v>
      </c>
      <c r="I4220" s="211" t="str">
        <f>IFERROR(__xludf.DUMMYFUNCTION("""COMPUTED_VALUE"""),"EMPTY")</f>
        <v>EMPTY</v>
      </c>
      <c r="J4220" s="211">
        <f>IFERROR(__xludf.DUMMYFUNCTION("""COMPUTED_VALUE"""),3.0)</f>
        <v>3</v>
      </c>
      <c r="K4220" s="210" t="str">
        <f>IFERROR(__xludf.DUMMYFUNCTION("""COMPUTED_VALUE"""),"11392 11330 11306")</f>
        <v>11392 11330 11306</v>
      </c>
      <c r="L4220" s="211">
        <f>IFERROR(__xludf.DUMMYFUNCTION("""COMPUTED_VALUE"""),0.0)</f>
        <v>0</v>
      </c>
      <c r="M4220" s="211"/>
      <c r="N4220" s="211"/>
      <c r="O4220" s="211" t="b">
        <f>IFERROR(__xludf.DUMMYFUNCTION("""COMPUTED_VALUE"""),FALSE)</f>
        <v>0</v>
      </c>
    </row>
    <row r="4221">
      <c r="A4221" s="210" t="str">
        <f>IFERROR(__xludf.DUMMYFUNCTION("""COMPUTED_VALUE"""),"1261450")</f>
        <v>1261450</v>
      </c>
      <c r="B4221" s="210" t="str">
        <f>IFERROR(__xludf.DUMMYFUNCTION("""COMPUTED_VALUE"""),"1261450")</f>
        <v>1261450</v>
      </c>
      <c r="C4221" s="213">
        <f>IFERROR(__xludf.DUMMYFUNCTION("""COMPUTED_VALUE"""),46106.55297453704)</f>
        <v>46106.55297</v>
      </c>
      <c r="D4221" s="211" t="str">
        <f>IFERROR(__xludf.DUMMYFUNCTION("""COMPUTED_VALUE"""),"b218b89b")</f>
        <v>b218b89b</v>
      </c>
      <c r="E4221" s="211" t="str">
        <f>IFERROR(__xludf.DUMMYFUNCTION("""COMPUTED_VALUE"""),"PT Harapan Sentosa")</f>
        <v>PT Harapan Sentosa</v>
      </c>
      <c r="F4221" s="211" t="str">
        <f>IFERROR(__xludf.DUMMYFUNCTION("""COMPUTED_VALUE"""),"7d2764f1")</f>
        <v>7d2764f1</v>
      </c>
      <c r="G4221" s="211" t="str">
        <f>IFERROR(__xludf.DUMMYFUNCTION("""COMPUTED_VALUE"""),"Oksigen 7m3")</f>
        <v>Oksigen 7m3</v>
      </c>
      <c r="H4221" s="211" t="str">
        <f>IFERROR(__xludf.DUMMYFUNCTION("""COMPUTED_VALUE"""),"IN")</f>
        <v>IN</v>
      </c>
      <c r="I4221" s="211" t="str">
        <f>IFERROR(__xludf.DUMMYFUNCTION("""COMPUTED_VALUE"""),"CLAIM")</f>
        <v>CLAIM</v>
      </c>
      <c r="J4221" s="211">
        <f>IFERROR(__xludf.DUMMYFUNCTION("""COMPUTED_VALUE"""),1.0)</f>
        <v>1</v>
      </c>
      <c r="K4221" s="210" t="str">
        <f>IFERROR(__xludf.DUMMYFUNCTION("""COMPUTED_VALUE"""),"11391")</f>
        <v>11391</v>
      </c>
      <c r="L4221" s="211">
        <f>IFERROR(__xludf.DUMMYFUNCTION("""COMPUTED_VALUE"""),0.0)</f>
        <v>0</v>
      </c>
      <c r="M4221" s="211"/>
      <c r="N4221" s="211" t="str">
        <f>IFERROR(__xludf.DUMMYFUNCTION("""COMPUTED_VALUE"""),"valve rusak")</f>
        <v>valve rusak</v>
      </c>
      <c r="O4221" s="211" t="b">
        <f>IFERROR(__xludf.DUMMYFUNCTION("""COMPUTED_VALUE"""),FALSE)</f>
        <v>0</v>
      </c>
    </row>
    <row r="4222">
      <c r="A4222" s="210" t="str">
        <f>IFERROR(__xludf.DUMMYFUNCTION("""COMPUTED_VALUE"""),"1261450")</f>
        <v>1261450</v>
      </c>
      <c r="B4222" s="210" t="str">
        <f>IFERROR(__xludf.DUMMYFUNCTION("""COMPUTED_VALUE"""),"1261450")</f>
        <v>1261450</v>
      </c>
      <c r="C4222" s="213">
        <f>IFERROR(__xludf.DUMMYFUNCTION("""COMPUTED_VALUE"""),46106.55297453704)</f>
        <v>46106.55297</v>
      </c>
      <c r="D4222" s="211" t="str">
        <f>IFERROR(__xludf.DUMMYFUNCTION("""COMPUTED_VALUE"""),"b218b89b")</f>
        <v>b218b89b</v>
      </c>
      <c r="E4222" s="211" t="str">
        <f>IFERROR(__xludf.DUMMYFUNCTION("""COMPUTED_VALUE"""),"PT Harapan Sentosa")</f>
        <v>PT Harapan Sentosa</v>
      </c>
      <c r="F4222" s="211" t="str">
        <f>IFERROR(__xludf.DUMMYFUNCTION("""COMPUTED_VALUE"""),"ef306e54")</f>
        <v>ef306e54</v>
      </c>
      <c r="G4222" s="211" t="str">
        <f>IFERROR(__xludf.DUMMYFUNCTION("""COMPUTED_VALUE"""),"Karbondioksida")</f>
        <v>Karbondioksida</v>
      </c>
      <c r="H4222" s="211" t="str">
        <f>IFERROR(__xludf.DUMMYFUNCTION("""COMPUTED_VALUE"""),"IN")</f>
        <v>IN</v>
      </c>
      <c r="I4222" s="211" t="str">
        <f>IFERROR(__xludf.DUMMYFUNCTION("""COMPUTED_VALUE"""),"EMPTY")</f>
        <v>EMPTY</v>
      </c>
      <c r="J4222" s="211">
        <f>IFERROR(__xludf.DUMMYFUNCTION("""COMPUTED_VALUE"""),1.0)</f>
        <v>1</v>
      </c>
      <c r="K4222" s="210" t="str">
        <f>IFERROR(__xludf.DUMMYFUNCTION("""COMPUTED_VALUE"""),"13012")</f>
        <v>13012</v>
      </c>
      <c r="L4222" s="211">
        <f>IFERROR(__xludf.DUMMYFUNCTION("""COMPUTED_VALUE"""),0.0)</f>
        <v>0</v>
      </c>
      <c r="M4222" s="211"/>
      <c r="N4222" s="211"/>
      <c r="O4222" s="211" t="b">
        <f>IFERROR(__xludf.DUMMYFUNCTION("""COMPUTED_VALUE"""),FALSE)</f>
        <v>0</v>
      </c>
    </row>
    <row r="4223">
      <c r="A4223" s="210" t="str">
        <f>IFERROR(__xludf.DUMMYFUNCTION("""COMPUTED_VALUE"""),"1261450")</f>
        <v>1261450</v>
      </c>
      <c r="B4223" s="210" t="str">
        <f>IFERROR(__xludf.DUMMYFUNCTION("""COMPUTED_VALUE"""),"1261450")</f>
        <v>1261450</v>
      </c>
      <c r="C4223" s="213">
        <f>IFERROR(__xludf.DUMMYFUNCTION("""COMPUTED_VALUE"""),46106.55297453704)</f>
        <v>46106.55297</v>
      </c>
      <c r="D4223" s="211" t="str">
        <f>IFERROR(__xludf.DUMMYFUNCTION("""COMPUTED_VALUE"""),"b218b89b")</f>
        <v>b218b89b</v>
      </c>
      <c r="E4223" s="211" t="str">
        <f>IFERROR(__xludf.DUMMYFUNCTION("""COMPUTED_VALUE"""),"PT Harapan Sentosa")</f>
        <v>PT Harapan Sentosa</v>
      </c>
      <c r="F4223" s="211" t="str">
        <f>IFERROR(__xludf.DUMMYFUNCTION("""COMPUTED_VALUE"""),"66af7c72")</f>
        <v>66af7c72</v>
      </c>
      <c r="G4223" s="211" t="str">
        <f>IFERROR(__xludf.DUMMYFUNCTION("""COMPUTED_VALUE"""),"Argon 6m3")</f>
        <v>Argon 6m3</v>
      </c>
      <c r="H4223" s="211" t="str">
        <f>IFERROR(__xludf.DUMMYFUNCTION("""COMPUTED_VALUE"""),"IN")</f>
        <v>IN</v>
      </c>
      <c r="I4223" s="211" t="str">
        <f>IFERROR(__xludf.DUMMYFUNCTION("""COMPUTED_VALUE"""),"EMPTY")</f>
        <v>EMPTY</v>
      </c>
      <c r="J4223" s="211">
        <f>IFERROR(__xludf.DUMMYFUNCTION("""COMPUTED_VALUE"""),1.0)</f>
        <v>1</v>
      </c>
      <c r="K4223" s="210" t="str">
        <f>IFERROR(__xludf.DUMMYFUNCTION("""COMPUTED_VALUE"""),"12009")</f>
        <v>12009</v>
      </c>
      <c r="L4223" s="211">
        <f>IFERROR(__xludf.DUMMYFUNCTION("""COMPUTED_VALUE"""),0.0)</f>
        <v>0</v>
      </c>
      <c r="M4223" s="211"/>
      <c r="N4223" s="211"/>
      <c r="O4223" s="211" t="b">
        <f>IFERROR(__xludf.DUMMYFUNCTION("""COMPUTED_VALUE"""),FALSE)</f>
        <v>0</v>
      </c>
    </row>
    <row r="4224">
      <c r="A4224" s="210" t="str">
        <f>IFERROR(__xludf.DUMMYFUNCTION("""COMPUTED_VALUE"""),"0326952894")</f>
        <v>0326952894</v>
      </c>
      <c r="B4224" s="210" t="str">
        <f>IFERROR(__xludf.DUMMYFUNCTION("""COMPUTED_VALUE"""),"0326952894")</f>
        <v>0326952894</v>
      </c>
      <c r="C4224" s="213">
        <f>IFERROR(__xludf.DUMMYFUNCTION("""COMPUTED_VALUE"""),46107.39672453704)</f>
        <v>46107.39672</v>
      </c>
      <c r="D4224" s="211" t="str">
        <f>IFERROR(__xludf.DUMMYFUNCTION("""COMPUTED_VALUE"""),"b2b5f2c5")</f>
        <v>b2b5f2c5</v>
      </c>
      <c r="E4224" s="211" t="str">
        <f>IFERROR(__xludf.DUMMYFUNCTION("""COMPUTED_VALUE"""),"Bengkel Las Bpk. Ari")</f>
        <v>Bengkel Las Bpk. Ari</v>
      </c>
      <c r="F4224" s="211" t="str">
        <f>IFERROR(__xludf.DUMMYFUNCTION("""COMPUTED_VALUE"""),"8bdbe149")</f>
        <v>8bdbe149</v>
      </c>
      <c r="G4224" s="211" t="str">
        <f>IFERROR(__xludf.DUMMYFUNCTION("""COMPUTED_VALUE"""),"Oksigen 6m3")</f>
        <v>Oksigen 6m3</v>
      </c>
      <c r="H4224" s="211" t="str">
        <f>IFERROR(__xludf.DUMMYFUNCTION("""COMPUTED_VALUE"""),"OUT")</f>
        <v>OUT</v>
      </c>
      <c r="I4224" s="211" t="str">
        <f>IFERROR(__xludf.DUMMYFUNCTION("""COMPUTED_VALUE"""),"NORMAL")</f>
        <v>NORMAL</v>
      </c>
      <c r="J4224" s="211">
        <f>IFERROR(__xludf.DUMMYFUNCTION("""COMPUTED_VALUE"""),4.0)</f>
        <v>4</v>
      </c>
      <c r="K4224" s="210" t="str">
        <f>IFERROR(__xludf.DUMMYFUNCTION("""COMPUTED_VALUE"""),"1154 11239 1102 11382")</f>
        <v>1154 11239 1102 11382</v>
      </c>
      <c r="L4224" s="211">
        <f>IFERROR(__xludf.DUMMYFUNCTION("""COMPUTED_VALUE"""),60000.0)</f>
        <v>60000</v>
      </c>
      <c r="M4224" s="211"/>
      <c r="N4224" s="211"/>
      <c r="O4224" s="211" t="b">
        <f>IFERROR(__xludf.DUMMYFUNCTION("""COMPUTED_VALUE"""),FALSE)</f>
        <v>0</v>
      </c>
    </row>
    <row r="4225">
      <c r="A4225" s="210" t="str">
        <f>IFERROR(__xludf.DUMMYFUNCTION("""COMPUTED_VALUE"""),"0326952894")</f>
        <v>0326952894</v>
      </c>
      <c r="B4225" s="210" t="str">
        <f>IFERROR(__xludf.DUMMYFUNCTION("""COMPUTED_VALUE"""),"0326952894")</f>
        <v>0326952894</v>
      </c>
      <c r="C4225" s="213">
        <f>IFERROR(__xludf.DUMMYFUNCTION("""COMPUTED_VALUE"""),46107.39672453704)</f>
        <v>46107.39672</v>
      </c>
      <c r="D4225" s="211" t="str">
        <f>IFERROR(__xludf.DUMMYFUNCTION("""COMPUTED_VALUE"""),"b2b5f2c5")</f>
        <v>b2b5f2c5</v>
      </c>
      <c r="E4225" s="211" t="str">
        <f>IFERROR(__xludf.DUMMYFUNCTION("""COMPUTED_VALUE"""),"Bengkel Las Bpk. Ari")</f>
        <v>Bengkel Las Bpk. Ari</v>
      </c>
      <c r="F4225" s="211" t="str">
        <f>IFERROR(__xludf.DUMMYFUNCTION("""COMPUTED_VALUE"""),"ef306e54")</f>
        <v>ef306e54</v>
      </c>
      <c r="G4225" s="211" t="str">
        <f>IFERROR(__xludf.DUMMYFUNCTION("""COMPUTED_VALUE"""),"Karbondioksida")</f>
        <v>Karbondioksida</v>
      </c>
      <c r="H4225" s="211" t="str">
        <f>IFERROR(__xludf.DUMMYFUNCTION("""COMPUTED_VALUE"""),"OUT")</f>
        <v>OUT</v>
      </c>
      <c r="I4225" s="211" t="str">
        <f>IFERROR(__xludf.DUMMYFUNCTION("""COMPUTED_VALUE"""),"NORMAL")</f>
        <v>NORMAL</v>
      </c>
      <c r="J4225" s="211">
        <f>IFERROR(__xludf.DUMMYFUNCTION("""COMPUTED_VALUE"""),1.0)</f>
        <v>1</v>
      </c>
      <c r="K4225" s="210" t="str">
        <f>IFERROR(__xludf.DUMMYFUNCTION("""COMPUTED_VALUE"""),"13047")</f>
        <v>13047</v>
      </c>
      <c r="L4225" s="211">
        <f>IFERROR(__xludf.DUMMYFUNCTION("""COMPUTED_VALUE"""),180000.0)</f>
        <v>180000</v>
      </c>
      <c r="M4225" s="211"/>
      <c r="N4225" s="211"/>
      <c r="O4225" s="211" t="b">
        <f>IFERROR(__xludf.DUMMYFUNCTION("""COMPUTED_VALUE"""),FALSE)</f>
        <v>0</v>
      </c>
    </row>
    <row r="4226">
      <c r="A4226" s="210" t="str">
        <f>IFERROR(__xludf.DUMMYFUNCTION("""COMPUTED_VALUE"""),"1261447")</f>
        <v>1261447</v>
      </c>
      <c r="B4226" s="210" t="str">
        <f>IFERROR(__xludf.DUMMYFUNCTION("""COMPUTED_VALUE"""),"1261447")</f>
        <v>1261447</v>
      </c>
      <c r="C4226" s="213">
        <f>IFERROR(__xludf.DUMMYFUNCTION("""COMPUTED_VALUE"""),46107.49055555555)</f>
        <v>46107.49056</v>
      </c>
      <c r="D4226" s="211" t="str">
        <f>IFERROR(__xludf.DUMMYFUNCTION("""COMPUTED_VALUE"""),"1c4d5e93")</f>
        <v>1c4d5e93</v>
      </c>
      <c r="E4226" s="211" t="str">
        <f>IFERROR(__xludf.DUMMYFUNCTION("""COMPUTED_VALUE"""),"Karoseri Cipta Mitra Sukses")</f>
        <v>Karoseri Cipta Mitra Sukses</v>
      </c>
      <c r="F4226" s="211" t="str">
        <f>IFERROR(__xludf.DUMMYFUNCTION("""COMPUTED_VALUE"""),"8bdbe149")</f>
        <v>8bdbe149</v>
      </c>
      <c r="G4226" s="211" t="str">
        <f>IFERROR(__xludf.DUMMYFUNCTION("""COMPUTED_VALUE"""),"Oksigen 6m3")</f>
        <v>Oksigen 6m3</v>
      </c>
      <c r="H4226" s="211" t="str">
        <f>IFERROR(__xludf.DUMMYFUNCTION("""COMPUTED_VALUE"""),"IN")</f>
        <v>IN</v>
      </c>
      <c r="I4226" s="211" t="str">
        <f>IFERROR(__xludf.DUMMYFUNCTION("""COMPUTED_VALUE"""),"EMPTY")</f>
        <v>EMPTY</v>
      </c>
      <c r="J4226" s="211">
        <f>IFERROR(__xludf.DUMMYFUNCTION("""COMPUTED_VALUE"""),1.0)</f>
        <v>1</v>
      </c>
      <c r="K4226" s="210" t="str">
        <f>IFERROR(__xludf.DUMMYFUNCTION("""COMPUTED_VALUE"""),"11374")</f>
        <v>11374</v>
      </c>
      <c r="L4226" s="211">
        <f>IFERROR(__xludf.DUMMYFUNCTION("""COMPUTED_VALUE"""),0.0)</f>
        <v>0</v>
      </c>
      <c r="M4226" s="211"/>
      <c r="N4226" s="211"/>
      <c r="O4226" s="211" t="b">
        <f>IFERROR(__xludf.DUMMYFUNCTION("""COMPUTED_VALUE"""),FALSE)</f>
        <v>0</v>
      </c>
    </row>
    <row r="4227">
      <c r="A4227" s="210" t="str">
        <f>IFERROR(__xludf.DUMMYFUNCTION("""COMPUTED_VALUE"""),"1261449")</f>
        <v>1261449</v>
      </c>
      <c r="B4227" s="210" t="str">
        <f>IFERROR(__xludf.DUMMYFUNCTION("""COMPUTED_VALUE"""),"1261449")</f>
        <v>1261449</v>
      </c>
      <c r="C4227" s="213">
        <f>IFERROR(__xludf.DUMMYFUNCTION("""COMPUTED_VALUE"""),46107.49103009259)</f>
        <v>46107.49103</v>
      </c>
      <c r="D4227" s="211" t="str">
        <f>IFERROR(__xludf.DUMMYFUNCTION("""COMPUTED_VALUE"""),"9e5d8274")</f>
        <v>9e5d8274</v>
      </c>
      <c r="E4227" s="211" t="str">
        <f>IFERROR(__xludf.DUMMYFUNCTION("""COMPUTED_VALUE"""),"Bpk. Erry ( Lik Trosobo )")</f>
        <v>Bpk. Erry ( Lik Trosobo )</v>
      </c>
      <c r="F4227" s="211" t="str">
        <f>IFERROR(__xludf.DUMMYFUNCTION("""COMPUTED_VALUE"""),"8bdbe149")</f>
        <v>8bdbe149</v>
      </c>
      <c r="G4227" s="211" t="str">
        <f>IFERROR(__xludf.DUMMYFUNCTION("""COMPUTED_VALUE"""),"Oksigen 6m3")</f>
        <v>Oksigen 6m3</v>
      </c>
      <c r="H4227" s="211" t="str">
        <f>IFERROR(__xludf.DUMMYFUNCTION("""COMPUTED_VALUE"""),"IN")</f>
        <v>IN</v>
      </c>
      <c r="I4227" s="211" t="str">
        <f>IFERROR(__xludf.DUMMYFUNCTION("""COMPUTED_VALUE"""),"EMPTY")</f>
        <v>EMPTY</v>
      </c>
      <c r="J4227" s="211">
        <f>IFERROR(__xludf.DUMMYFUNCTION("""COMPUTED_VALUE"""),4.0)</f>
        <v>4</v>
      </c>
      <c r="K4227" s="210" t="str">
        <f>IFERROR(__xludf.DUMMYFUNCTION("""COMPUTED_VALUE"""),"11359 1183 11364 11286")</f>
        <v>11359 1183 11364 11286</v>
      </c>
      <c r="L4227" s="211">
        <f>IFERROR(__xludf.DUMMYFUNCTION("""COMPUTED_VALUE"""),0.0)</f>
        <v>0</v>
      </c>
      <c r="M4227" s="211"/>
      <c r="N4227" s="211"/>
      <c r="O4227" s="211" t="b">
        <f>IFERROR(__xludf.DUMMYFUNCTION("""COMPUTED_VALUE"""),FALSE)</f>
        <v>0</v>
      </c>
    </row>
    <row r="4228">
      <c r="A4228" s="210" t="str">
        <f>IFERROR(__xludf.DUMMYFUNCTION("""COMPUTED_VALUE"""),"1261448")</f>
        <v>1261448</v>
      </c>
      <c r="B4228" s="210" t="str">
        <f>IFERROR(__xludf.DUMMYFUNCTION("""COMPUTED_VALUE"""),"1261448")</f>
        <v>1261448</v>
      </c>
      <c r="C4228" s="213">
        <f>IFERROR(__xludf.DUMMYFUNCTION("""COMPUTED_VALUE"""),46107.49145833333)</f>
        <v>46107.49146</v>
      </c>
      <c r="D4228" s="211" t="str">
        <f>IFERROR(__xludf.DUMMYFUNCTION("""COMPUTED_VALUE"""),"a0f0ad2d")</f>
        <v>a0f0ad2d</v>
      </c>
      <c r="E4228" s="211" t="str">
        <f>IFERROR(__xludf.DUMMYFUNCTION("""COMPUTED_VALUE"""),"CV. Yulie Jaya")</f>
        <v>CV. Yulie Jaya</v>
      </c>
      <c r="F4228" s="211" t="str">
        <f>IFERROR(__xludf.DUMMYFUNCTION("""COMPUTED_VALUE"""),"8bdbe149")</f>
        <v>8bdbe149</v>
      </c>
      <c r="G4228" s="211" t="str">
        <f>IFERROR(__xludf.DUMMYFUNCTION("""COMPUTED_VALUE"""),"Oksigen 6m3")</f>
        <v>Oksigen 6m3</v>
      </c>
      <c r="H4228" s="211" t="str">
        <f>IFERROR(__xludf.DUMMYFUNCTION("""COMPUTED_VALUE"""),"IN")</f>
        <v>IN</v>
      </c>
      <c r="I4228" s="211" t="str">
        <f>IFERROR(__xludf.DUMMYFUNCTION("""COMPUTED_VALUE"""),"EMPTY")</f>
        <v>EMPTY</v>
      </c>
      <c r="J4228" s="211">
        <f>IFERROR(__xludf.DUMMYFUNCTION("""COMPUTED_VALUE"""),2.0)</f>
        <v>2</v>
      </c>
      <c r="K4228" s="210" t="str">
        <f>IFERROR(__xludf.DUMMYFUNCTION("""COMPUTED_VALUE"""),"11201 1184")</f>
        <v>11201 1184</v>
      </c>
      <c r="L4228" s="211">
        <f>IFERROR(__xludf.DUMMYFUNCTION("""COMPUTED_VALUE"""),0.0)</f>
        <v>0</v>
      </c>
      <c r="M4228" s="211"/>
      <c r="N4228" s="211"/>
      <c r="O4228" s="211" t="b">
        <f>IFERROR(__xludf.DUMMYFUNCTION("""COMPUTED_VALUE"""),FALSE)</f>
        <v>0</v>
      </c>
    </row>
    <row r="4229">
      <c r="A4229" s="210" t="str">
        <f>IFERROR(__xludf.DUMMYFUNCTION("""COMPUTED_VALUE"""),"1261448")</f>
        <v>1261448</v>
      </c>
      <c r="B4229" s="210" t="str">
        <f>IFERROR(__xludf.DUMMYFUNCTION("""COMPUTED_VALUE"""),"1261448")</f>
        <v>1261448</v>
      </c>
      <c r="C4229" s="213">
        <f>IFERROR(__xludf.DUMMYFUNCTION("""COMPUTED_VALUE"""),46107.49145833333)</f>
        <v>46107.49146</v>
      </c>
      <c r="D4229" s="211" t="str">
        <f>IFERROR(__xludf.DUMMYFUNCTION("""COMPUTED_VALUE"""),"a0f0ad2d")</f>
        <v>a0f0ad2d</v>
      </c>
      <c r="E4229" s="211" t="str">
        <f>IFERROR(__xludf.DUMMYFUNCTION("""COMPUTED_VALUE"""),"CV. Yulie Jaya")</f>
        <v>CV. Yulie Jaya</v>
      </c>
      <c r="F4229" s="211" t="str">
        <f>IFERROR(__xludf.DUMMYFUNCTION("""COMPUTED_VALUE"""),"7d2764f1")</f>
        <v>7d2764f1</v>
      </c>
      <c r="G4229" s="211" t="str">
        <f>IFERROR(__xludf.DUMMYFUNCTION("""COMPUTED_VALUE"""),"Oksigen 7m3")</f>
        <v>Oksigen 7m3</v>
      </c>
      <c r="H4229" s="211" t="str">
        <f>IFERROR(__xludf.DUMMYFUNCTION("""COMPUTED_VALUE"""),"IN")</f>
        <v>IN</v>
      </c>
      <c r="I4229" s="211" t="str">
        <f>IFERROR(__xludf.DUMMYFUNCTION("""COMPUTED_VALUE"""),"EMPTY")</f>
        <v>EMPTY</v>
      </c>
      <c r="J4229" s="211">
        <f>IFERROR(__xludf.DUMMYFUNCTION("""COMPUTED_VALUE"""),2.0)</f>
        <v>2</v>
      </c>
      <c r="K4229" s="210" t="str">
        <f>IFERROR(__xludf.DUMMYFUNCTION("""COMPUTED_VALUE"""),"11331 11161")</f>
        <v>11331 11161</v>
      </c>
      <c r="L4229" s="211">
        <f>IFERROR(__xludf.DUMMYFUNCTION("""COMPUTED_VALUE"""),0.0)</f>
        <v>0</v>
      </c>
      <c r="M4229" s="211"/>
      <c r="N4229" s="211"/>
      <c r="O4229" s="211" t="b">
        <f>IFERROR(__xludf.DUMMYFUNCTION("""COMPUTED_VALUE"""),FALSE)</f>
        <v>0</v>
      </c>
    </row>
    <row r="4230">
      <c r="A4230" s="210" t="str">
        <f>IFERROR(__xludf.DUMMYFUNCTION("""COMPUTED_VALUE"""),"1261437")</f>
        <v>1261437</v>
      </c>
      <c r="B4230" s="210" t="str">
        <f>IFERROR(__xludf.DUMMYFUNCTION("""COMPUTED_VALUE"""),"1261437")</f>
        <v>1261437</v>
      </c>
      <c r="C4230" s="213">
        <f>IFERROR(__xludf.DUMMYFUNCTION("""COMPUTED_VALUE"""),46107.53871527778)</f>
        <v>46107.53872</v>
      </c>
      <c r="D4230" s="211" t="str">
        <f>IFERROR(__xludf.DUMMYFUNCTION("""COMPUTED_VALUE"""),"b2b5f2c5")</f>
        <v>b2b5f2c5</v>
      </c>
      <c r="E4230" s="211" t="str">
        <f>IFERROR(__xludf.DUMMYFUNCTION("""COMPUTED_VALUE"""),"Bengkel Las Bpk. Ari")</f>
        <v>Bengkel Las Bpk. Ari</v>
      </c>
      <c r="F4230" s="211" t="str">
        <f>IFERROR(__xludf.DUMMYFUNCTION("""COMPUTED_VALUE"""),"8bdbe149")</f>
        <v>8bdbe149</v>
      </c>
      <c r="G4230" s="211" t="str">
        <f>IFERROR(__xludf.DUMMYFUNCTION("""COMPUTED_VALUE"""),"Oksigen 6m3")</f>
        <v>Oksigen 6m3</v>
      </c>
      <c r="H4230" s="211" t="str">
        <f>IFERROR(__xludf.DUMMYFUNCTION("""COMPUTED_VALUE"""),"IN")</f>
        <v>IN</v>
      </c>
      <c r="I4230" s="211" t="str">
        <f>IFERROR(__xludf.DUMMYFUNCTION("""COMPUTED_VALUE"""),"EMPTY")</f>
        <v>EMPTY</v>
      </c>
      <c r="J4230" s="211">
        <f>IFERROR(__xludf.DUMMYFUNCTION("""COMPUTED_VALUE"""),4.0)</f>
        <v>4</v>
      </c>
      <c r="K4230" s="210" t="str">
        <f>IFERROR(__xludf.DUMMYFUNCTION("""COMPUTED_VALUE"""),"11112 11265 1136 1181")</f>
        <v>11112 11265 1136 1181</v>
      </c>
      <c r="L4230" s="211">
        <f>IFERROR(__xludf.DUMMYFUNCTION("""COMPUTED_VALUE"""),0.0)</f>
        <v>0</v>
      </c>
      <c r="M4230" s="211"/>
      <c r="N4230" s="211"/>
      <c r="O4230" s="211" t="b">
        <f>IFERROR(__xludf.DUMMYFUNCTION("""COMPUTED_VALUE"""),FALSE)</f>
        <v>0</v>
      </c>
    </row>
    <row r="4231">
      <c r="A4231" s="210" t="str">
        <f>IFERROR(__xludf.DUMMYFUNCTION("""COMPUTED_VALUE"""),"1261437")</f>
        <v>1261437</v>
      </c>
      <c r="B4231" s="210" t="str">
        <f>IFERROR(__xludf.DUMMYFUNCTION("""COMPUTED_VALUE"""),"1261437")</f>
        <v>1261437</v>
      </c>
      <c r="C4231" s="213">
        <f>IFERROR(__xludf.DUMMYFUNCTION("""COMPUTED_VALUE"""),46107.53871527778)</f>
        <v>46107.53872</v>
      </c>
      <c r="D4231" s="211" t="str">
        <f>IFERROR(__xludf.DUMMYFUNCTION("""COMPUTED_VALUE"""),"b2b5f2c5")</f>
        <v>b2b5f2c5</v>
      </c>
      <c r="E4231" s="211" t="str">
        <f>IFERROR(__xludf.DUMMYFUNCTION("""COMPUTED_VALUE"""),"Bengkel Las Bpk. Ari")</f>
        <v>Bengkel Las Bpk. Ari</v>
      </c>
      <c r="F4231" s="211" t="str">
        <f>IFERROR(__xludf.DUMMYFUNCTION("""COMPUTED_VALUE"""),"8bdbe149")</f>
        <v>8bdbe149</v>
      </c>
      <c r="G4231" s="211" t="str">
        <f>IFERROR(__xludf.DUMMYFUNCTION("""COMPUTED_VALUE"""),"Oksigen 6m3")</f>
        <v>Oksigen 6m3</v>
      </c>
      <c r="H4231" s="211" t="str">
        <f>IFERROR(__xludf.DUMMYFUNCTION("""COMPUTED_VALUE"""),"IN")</f>
        <v>IN</v>
      </c>
      <c r="I4231" s="211" t="str">
        <f>IFERROR(__xludf.DUMMYFUNCTION("""COMPUTED_VALUE"""),"EMPTY")</f>
        <v>EMPTY</v>
      </c>
      <c r="J4231" s="211">
        <f>IFERROR(__xludf.DUMMYFUNCTION("""COMPUTED_VALUE"""),1.0)</f>
        <v>1</v>
      </c>
      <c r="K4231" s="210" t="str">
        <f>IFERROR(__xludf.DUMMYFUNCTION("""COMPUTED_VALUE"""),"11287")</f>
        <v>11287</v>
      </c>
      <c r="L4231" s="211">
        <f>IFERROR(__xludf.DUMMYFUNCTION("""COMPUTED_VALUE"""),0.0)</f>
        <v>0</v>
      </c>
      <c r="M4231" s="211"/>
      <c r="N4231" s="211"/>
      <c r="O4231" s="211" t="b">
        <f>IFERROR(__xludf.DUMMYFUNCTION("""COMPUTED_VALUE"""),TRUE)</f>
        <v>1</v>
      </c>
    </row>
    <row r="4232">
      <c r="A4232" s="210" t="str">
        <f>IFERROR(__xludf.DUMMYFUNCTION("""COMPUTED_VALUE"""),"1261436")</f>
        <v>1261436</v>
      </c>
      <c r="B4232" s="210" t="str">
        <f>IFERROR(__xludf.DUMMYFUNCTION("""COMPUTED_VALUE"""),"1261436")</f>
        <v>1261436</v>
      </c>
      <c r="C4232" s="213">
        <f>IFERROR(__xludf.DUMMYFUNCTION("""COMPUTED_VALUE"""),46107.53983796296)</f>
        <v>46107.53984</v>
      </c>
      <c r="D4232" s="211" t="str">
        <f>IFERROR(__xludf.DUMMYFUNCTION("""COMPUTED_VALUE"""),"de41c3e8")</f>
        <v>de41c3e8</v>
      </c>
      <c r="E4232" s="211" t="str">
        <f>IFERROR(__xludf.DUMMYFUNCTION("""COMPUTED_VALUE"""),"Bpk. Eko Mianto")</f>
        <v>Bpk. Eko Mianto</v>
      </c>
      <c r="F4232" s="211" t="str">
        <f>IFERROR(__xludf.DUMMYFUNCTION("""COMPUTED_VALUE"""),"66af7c72")</f>
        <v>66af7c72</v>
      </c>
      <c r="G4232" s="211" t="str">
        <f>IFERROR(__xludf.DUMMYFUNCTION("""COMPUTED_VALUE"""),"Argon 6m3")</f>
        <v>Argon 6m3</v>
      </c>
      <c r="H4232" s="211" t="str">
        <f>IFERROR(__xludf.DUMMYFUNCTION("""COMPUTED_VALUE"""),"IN")</f>
        <v>IN</v>
      </c>
      <c r="I4232" s="211" t="str">
        <f>IFERROR(__xludf.DUMMYFUNCTION("""COMPUTED_VALUE"""),"EMPTY")</f>
        <v>EMPTY</v>
      </c>
      <c r="J4232" s="211">
        <f>IFERROR(__xludf.DUMMYFUNCTION("""COMPUTED_VALUE"""),2.0)</f>
        <v>2</v>
      </c>
      <c r="K4232" s="210" t="str">
        <f>IFERROR(__xludf.DUMMYFUNCTION("""COMPUTED_VALUE"""),"12016 12077")</f>
        <v>12016 12077</v>
      </c>
      <c r="L4232" s="211">
        <f>IFERROR(__xludf.DUMMYFUNCTION("""COMPUTED_VALUE"""),0.0)</f>
        <v>0</v>
      </c>
      <c r="M4232" s="211"/>
      <c r="N4232" s="211"/>
      <c r="O4232" s="211" t="b">
        <f>IFERROR(__xludf.DUMMYFUNCTION("""COMPUTED_VALUE"""),FALSE)</f>
        <v>0</v>
      </c>
    </row>
    <row r="4233">
      <c r="A4233" s="210" t="str">
        <f>IFERROR(__xludf.DUMMYFUNCTION("""COMPUTED_VALUE"""),"4032612855")</f>
        <v>4032612855</v>
      </c>
      <c r="B4233" s="210" t="str">
        <f>IFERROR(__xludf.DUMMYFUNCTION("""COMPUTED_VALUE"""),"4032612855")</f>
        <v>4032612855</v>
      </c>
      <c r="C4233" s="213">
        <f>IFERROR(__xludf.DUMMYFUNCTION("""COMPUTED_VALUE"""),46108.375555555554)</f>
        <v>46108.37556</v>
      </c>
      <c r="D4233" s="211" t="str">
        <f>IFERROR(__xludf.DUMMYFUNCTION("""COMPUTED_VALUE"""),"dcdf8b31")</f>
        <v>dcdf8b31</v>
      </c>
      <c r="E4233" s="211" t="str">
        <f>IFERROR(__xludf.DUMMYFUNCTION("""COMPUTED_VALUE"""),"Bpk. Samsul (Jetis)")</f>
        <v>Bpk. Samsul (Jetis)</v>
      </c>
      <c r="F4233" s="211" t="str">
        <f>IFERROR(__xludf.DUMMYFUNCTION("""COMPUTED_VALUE"""),"8bdbe149")</f>
        <v>8bdbe149</v>
      </c>
      <c r="G4233" s="211" t="str">
        <f>IFERROR(__xludf.DUMMYFUNCTION("""COMPUTED_VALUE"""),"Oksigen 6m3")</f>
        <v>Oksigen 6m3</v>
      </c>
      <c r="H4233" s="211" t="str">
        <f>IFERROR(__xludf.DUMMYFUNCTION("""COMPUTED_VALUE"""),"OTHER")</f>
        <v>OTHER</v>
      </c>
      <c r="I4233" s="211" t="str">
        <f>IFERROR(__xludf.DUMMYFUNCTION("""COMPUTED_VALUE"""),"RETUR EQUIPMENT")</f>
        <v>RETUR EQUIPMENT</v>
      </c>
      <c r="J4233" s="211">
        <f>IFERROR(__xludf.DUMMYFUNCTION("""COMPUTED_VALUE"""),2.0)</f>
        <v>2</v>
      </c>
      <c r="K4233" s="210" t="str">
        <f>IFERROR(__xludf.DUMMYFUNCTION("""COMPUTED_VALUE"""),"11326 11324")</f>
        <v>11326 11324</v>
      </c>
      <c r="L4233" s="211">
        <f>IFERROR(__xludf.DUMMYFUNCTION("""COMPUTED_VALUE"""),0.0)</f>
        <v>0</v>
      </c>
      <c r="M4233" s="211"/>
      <c r="N4233" s="211"/>
      <c r="O4233" s="211" t="b">
        <f>IFERROR(__xludf.DUMMYFUNCTION("""COMPUTED_VALUE"""),FALSE)</f>
        <v>0</v>
      </c>
    </row>
    <row r="4234">
      <c r="A4234" s="210" t="str">
        <f>IFERROR(__xludf.DUMMYFUNCTION("""COMPUTED_VALUE"""),"4032612855")</f>
        <v>4032612855</v>
      </c>
      <c r="B4234" s="210" t="str">
        <f>IFERROR(__xludf.DUMMYFUNCTION("""COMPUTED_VALUE"""),"4032612855")</f>
        <v>4032612855</v>
      </c>
      <c r="C4234" s="213">
        <f>IFERROR(__xludf.DUMMYFUNCTION("""COMPUTED_VALUE"""),46108.375555555554)</f>
        <v>46108.37556</v>
      </c>
      <c r="D4234" s="211" t="str">
        <f>IFERROR(__xludf.DUMMYFUNCTION("""COMPUTED_VALUE"""),"dcdf8b31")</f>
        <v>dcdf8b31</v>
      </c>
      <c r="E4234" s="211" t="str">
        <f>IFERROR(__xludf.DUMMYFUNCTION("""COMPUTED_VALUE"""),"Bpk. Samsul (Jetis)")</f>
        <v>Bpk. Samsul (Jetis)</v>
      </c>
      <c r="F4234" s="211" t="str">
        <f>IFERROR(__xludf.DUMMYFUNCTION("""COMPUTED_VALUE"""),"be525f3b")</f>
        <v>be525f3b</v>
      </c>
      <c r="G4234" s="211" t="str">
        <f>IFERROR(__xludf.DUMMYFUNCTION("""COMPUTED_VALUE"""),"LPG 12kg")</f>
        <v>LPG 12kg</v>
      </c>
      <c r="H4234" s="211" t="str">
        <f>IFERROR(__xludf.DUMMYFUNCTION("""COMPUTED_VALUE"""),"OTHER")</f>
        <v>OTHER</v>
      </c>
      <c r="I4234" s="211" t="str">
        <f>IFERROR(__xludf.DUMMYFUNCTION("""COMPUTED_VALUE"""),"EMPTY")</f>
        <v>EMPTY</v>
      </c>
      <c r="J4234" s="211">
        <f>IFERROR(__xludf.DUMMYFUNCTION("""COMPUTED_VALUE"""),1.0)</f>
        <v>1</v>
      </c>
      <c r="K4234" s="210" t="str">
        <f>IFERROR(__xludf.DUMMYFUNCTION("""COMPUTED_VALUE"""),"L0010")</f>
        <v>L0010</v>
      </c>
      <c r="L4234" s="211">
        <f>IFERROR(__xludf.DUMMYFUNCTION("""COMPUTED_VALUE"""),0.0)</f>
        <v>0</v>
      </c>
      <c r="M4234" s="211"/>
      <c r="N4234" s="211"/>
      <c r="O4234" s="211" t="b">
        <f>IFERROR(__xludf.DUMMYFUNCTION("""COMPUTED_VALUE"""),FALSE)</f>
        <v>0</v>
      </c>
    </row>
    <row r="4235">
      <c r="A4235" s="210" t="str">
        <f>IFERROR(__xludf.DUMMYFUNCTION("""COMPUTED_VALUE"""),"0326142897")</f>
        <v>0326142897</v>
      </c>
      <c r="B4235" s="210" t="str">
        <f>IFERROR(__xludf.DUMMYFUNCTION("""COMPUTED_VALUE"""),"0326142897")</f>
        <v>0326142897</v>
      </c>
      <c r="C4235" s="213">
        <f>IFERROR(__xludf.DUMMYFUNCTION("""COMPUTED_VALUE"""),46108.37758101852)</f>
        <v>46108.37758</v>
      </c>
      <c r="D4235" s="211" t="str">
        <f>IFERROR(__xludf.DUMMYFUNCTION("""COMPUTED_VALUE"""),"dcdf8b31")</f>
        <v>dcdf8b31</v>
      </c>
      <c r="E4235" s="211" t="str">
        <f>IFERROR(__xludf.DUMMYFUNCTION("""COMPUTED_VALUE"""),"Bpk. Samsul (Jetis)")</f>
        <v>Bpk. Samsul (Jetis)</v>
      </c>
      <c r="F4235" s="211" t="str">
        <f>IFERROR(__xludf.DUMMYFUNCTION("""COMPUTED_VALUE"""),"8bdbe149")</f>
        <v>8bdbe149</v>
      </c>
      <c r="G4235" s="211" t="str">
        <f>IFERROR(__xludf.DUMMYFUNCTION("""COMPUTED_VALUE"""),"Oksigen 6m3")</f>
        <v>Oksigen 6m3</v>
      </c>
      <c r="H4235" s="211" t="str">
        <f>IFERROR(__xludf.DUMMYFUNCTION("""COMPUTED_VALUE"""),"OUT")</f>
        <v>OUT</v>
      </c>
      <c r="I4235" s="211" t="str">
        <f>IFERROR(__xludf.DUMMYFUNCTION("""COMPUTED_VALUE"""),"NORMAL")</f>
        <v>NORMAL</v>
      </c>
      <c r="J4235" s="211">
        <f>IFERROR(__xludf.DUMMYFUNCTION("""COMPUTED_VALUE"""),1.0)</f>
        <v>1</v>
      </c>
      <c r="K4235" s="210" t="str">
        <f>IFERROR(__xludf.DUMMYFUNCTION("""COMPUTED_VALUE"""),"11126")</f>
        <v>11126</v>
      </c>
      <c r="L4235" s="211">
        <f>IFERROR(__xludf.DUMMYFUNCTION("""COMPUTED_VALUE"""),70000.0)</f>
        <v>70000</v>
      </c>
      <c r="M4235" s="211"/>
      <c r="N4235" s="211"/>
      <c r="O4235" s="211" t="b">
        <f>IFERROR(__xludf.DUMMYFUNCTION("""COMPUTED_VALUE"""),FALSE)</f>
        <v>0</v>
      </c>
    </row>
    <row r="4236">
      <c r="A4236" s="210" t="str">
        <f>IFERROR(__xludf.DUMMYFUNCTION("""COMPUTED_VALUE"""),"0326192904")</f>
        <v>0326192904</v>
      </c>
      <c r="B4236" s="210" t="str">
        <f>IFERROR(__xludf.DUMMYFUNCTION("""COMPUTED_VALUE"""),"0326192904")</f>
        <v>0326192904</v>
      </c>
      <c r="C4236" s="213">
        <f>IFERROR(__xludf.DUMMYFUNCTION("""COMPUTED_VALUE"""),46108.38024305556)</f>
        <v>46108.38024</v>
      </c>
      <c r="D4236" s="211" t="str">
        <f>IFERROR(__xludf.DUMMYFUNCTION("""COMPUTED_VALUE"""),"eec2e801")</f>
        <v>eec2e801</v>
      </c>
      <c r="E4236" s="211" t="str">
        <f>IFERROR(__xludf.DUMMYFUNCTION("""COMPUTED_VALUE"""),"Mitra Wood Sejahtera")</f>
        <v>Mitra Wood Sejahtera</v>
      </c>
      <c r="F4236" s="211" t="str">
        <f>IFERROR(__xludf.DUMMYFUNCTION("""COMPUTED_VALUE"""),"8bdbe149")</f>
        <v>8bdbe149</v>
      </c>
      <c r="G4236" s="211" t="str">
        <f>IFERROR(__xludf.DUMMYFUNCTION("""COMPUTED_VALUE"""),"Oksigen 6m3")</f>
        <v>Oksigen 6m3</v>
      </c>
      <c r="H4236" s="211" t="str">
        <f>IFERROR(__xludf.DUMMYFUNCTION("""COMPUTED_VALUE"""),"OUT")</f>
        <v>OUT</v>
      </c>
      <c r="I4236" s="211" t="str">
        <f>IFERROR(__xludf.DUMMYFUNCTION("""COMPUTED_VALUE"""),"NORMAL")</f>
        <v>NORMAL</v>
      </c>
      <c r="J4236" s="211">
        <f>IFERROR(__xludf.DUMMYFUNCTION("""COMPUTED_VALUE"""),5.0)</f>
        <v>5</v>
      </c>
      <c r="K4236" s="210" t="str">
        <f>IFERROR(__xludf.DUMMYFUNCTION("""COMPUTED_VALUE"""),"11238 11288 11242 11133 11229")</f>
        <v>11238 11288 11242 11133 11229</v>
      </c>
      <c r="L4236" s="211">
        <f>IFERROR(__xludf.DUMMYFUNCTION("""COMPUTED_VALUE"""),55000.0)</f>
        <v>55000</v>
      </c>
      <c r="M4236" s="211"/>
      <c r="N4236" s="211"/>
      <c r="O4236" s="211" t="b">
        <f>IFERROR(__xludf.DUMMYFUNCTION("""COMPUTED_VALUE"""),FALSE)</f>
        <v>0</v>
      </c>
    </row>
    <row r="4237">
      <c r="A4237" s="210" t="str">
        <f>IFERROR(__xludf.DUMMYFUNCTION("""COMPUTED_VALUE"""),"0326192904")</f>
        <v>0326192904</v>
      </c>
      <c r="B4237" s="210" t="str">
        <f>IFERROR(__xludf.DUMMYFUNCTION("""COMPUTED_VALUE"""),"0326192904")</f>
        <v>0326192904</v>
      </c>
      <c r="C4237" s="213">
        <f>IFERROR(__xludf.DUMMYFUNCTION("""COMPUTED_VALUE"""),46108.38024305556)</f>
        <v>46108.38024</v>
      </c>
      <c r="D4237" s="211" t="str">
        <f>IFERROR(__xludf.DUMMYFUNCTION("""COMPUTED_VALUE"""),"eec2e801")</f>
        <v>eec2e801</v>
      </c>
      <c r="E4237" s="211" t="str">
        <f>IFERROR(__xludf.DUMMYFUNCTION("""COMPUTED_VALUE"""),"Mitra Wood Sejahtera")</f>
        <v>Mitra Wood Sejahtera</v>
      </c>
      <c r="F4237" s="211" t="str">
        <f>IFERROR(__xludf.DUMMYFUNCTION("""COMPUTED_VALUE"""),"be525f3b")</f>
        <v>be525f3b</v>
      </c>
      <c r="G4237" s="211" t="str">
        <f>IFERROR(__xludf.DUMMYFUNCTION("""COMPUTED_VALUE"""),"LPG 12kg")</f>
        <v>LPG 12kg</v>
      </c>
      <c r="H4237" s="211" t="str">
        <f>IFERROR(__xludf.DUMMYFUNCTION("""COMPUTED_VALUE"""),"OUT")</f>
        <v>OUT</v>
      </c>
      <c r="I4237" s="211" t="str">
        <f>IFERROR(__xludf.DUMMYFUNCTION("""COMPUTED_VALUE"""),"NORMAL")</f>
        <v>NORMAL</v>
      </c>
      <c r="J4237" s="211">
        <f>IFERROR(__xludf.DUMMYFUNCTION("""COMPUTED_VALUE"""),1.0)</f>
        <v>1</v>
      </c>
      <c r="K4237" s="210" t="str">
        <f>IFERROR(__xludf.DUMMYFUNCTION("""COMPUTED_VALUE"""),"L0011")</f>
        <v>L0011</v>
      </c>
      <c r="L4237" s="211">
        <f>IFERROR(__xludf.DUMMYFUNCTION("""COMPUTED_VALUE"""),210000.0)</f>
        <v>210000</v>
      </c>
      <c r="M4237" s="211"/>
      <c r="N4237" s="211"/>
      <c r="O4237" s="211" t="b">
        <f>IFERROR(__xludf.DUMMYFUNCTION("""COMPUTED_VALUE"""),FALSE)</f>
        <v>0</v>
      </c>
    </row>
    <row r="4238">
      <c r="A4238" s="210" t="str">
        <f>IFERROR(__xludf.DUMMYFUNCTION("""COMPUTED_VALUE"""),"0326312905")</f>
        <v>0326312905</v>
      </c>
      <c r="B4238" s="210" t="str">
        <f>IFERROR(__xludf.DUMMYFUNCTION("""COMPUTED_VALUE"""),"0326312905")</f>
        <v>0326312905</v>
      </c>
      <c r="C4238" s="213">
        <f>IFERROR(__xludf.DUMMYFUNCTION("""COMPUTED_VALUE"""),46108.39732638889)</f>
        <v>46108.39733</v>
      </c>
      <c r="D4238" s="211" t="str">
        <f>IFERROR(__xludf.DUMMYFUNCTION("""COMPUTED_VALUE"""),"2d88931c")</f>
        <v>2d88931c</v>
      </c>
      <c r="E4238" s="211" t="str">
        <f>IFERROR(__xludf.DUMMYFUNCTION("""COMPUTED_VALUE"""),"PT Dunia Berkat Marga Mulya")</f>
        <v>PT Dunia Berkat Marga Mulya</v>
      </c>
      <c r="F4238" s="211" t="str">
        <f>IFERROR(__xludf.DUMMYFUNCTION("""COMPUTED_VALUE"""),"8bdbe149")</f>
        <v>8bdbe149</v>
      </c>
      <c r="G4238" s="211" t="str">
        <f>IFERROR(__xludf.DUMMYFUNCTION("""COMPUTED_VALUE"""),"Oksigen 6m3")</f>
        <v>Oksigen 6m3</v>
      </c>
      <c r="H4238" s="211" t="str">
        <f>IFERROR(__xludf.DUMMYFUNCTION("""COMPUTED_VALUE"""),"OUT")</f>
        <v>OUT</v>
      </c>
      <c r="I4238" s="211" t="str">
        <f>IFERROR(__xludf.DUMMYFUNCTION("""COMPUTED_VALUE"""),"NORMAL")</f>
        <v>NORMAL</v>
      </c>
      <c r="J4238" s="211">
        <f>IFERROR(__xludf.DUMMYFUNCTION("""COMPUTED_VALUE"""),5.0)</f>
        <v>5</v>
      </c>
      <c r="K4238" s="210" t="str">
        <f>IFERROR(__xludf.DUMMYFUNCTION("""COMPUTED_VALUE"""),"11134 11111 1141 11198 1137")</f>
        <v>11134 11111 1141 11198 1137</v>
      </c>
      <c r="L4238" s="211">
        <f>IFERROR(__xludf.DUMMYFUNCTION("""COMPUTED_VALUE"""),60000.0)</f>
        <v>60000</v>
      </c>
      <c r="M4238" s="211"/>
      <c r="N4238" s="211"/>
      <c r="O4238" s="211" t="b">
        <f>IFERROR(__xludf.DUMMYFUNCTION("""COMPUTED_VALUE"""),FALSE)</f>
        <v>0</v>
      </c>
    </row>
    <row r="4239">
      <c r="A4239" s="210" t="str">
        <f>IFERROR(__xludf.DUMMYFUNCTION("""COMPUTED_VALUE"""),"0326272906")</f>
        <v>0326272906</v>
      </c>
      <c r="B4239" s="210" t="str">
        <f>IFERROR(__xludf.DUMMYFUNCTION("""COMPUTED_VALUE"""),"0326272906")</f>
        <v>0326272906</v>
      </c>
      <c r="C4239" s="213">
        <f>IFERROR(__xludf.DUMMYFUNCTION("""COMPUTED_VALUE"""),46108.552395833336)</f>
        <v>46108.5524</v>
      </c>
      <c r="D4239" s="211" t="str">
        <f>IFERROR(__xludf.DUMMYFUNCTION("""COMPUTED_VALUE"""),"4ec68cf6")</f>
        <v>4ec68cf6</v>
      </c>
      <c r="E4239" s="211" t="str">
        <f>IFERROR(__xludf.DUMMYFUNCTION("""COMPUTED_VALUE"""),"CV Sido Mukti Karya")</f>
        <v>CV Sido Mukti Karya</v>
      </c>
      <c r="F4239" s="211" t="str">
        <f>IFERROR(__xludf.DUMMYFUNCTION("""COMPUTED_VALUE"""),"7d2764f1")</f>
        <v>7d2764f1</v>
      </c>
      <c r="G4239" s="211" t="str">
        <f>IFERROR(__xludf.DUMMYFUNCTION("""COMPUTED_VALUE"""),"Oksigen 7m3")</f>
        <v>Oksigen 7m3</v>
      </c>
      <c r="H4239" s="211" t="str">
        <f>IFERROR(__xludf.DUMMYFUNCTION("""COMPUTED_VALUE"""),"OUT")</f>
        <v>OUT</v>
      </c>
      <c r="I4239" s="211" t="str">
        <f>IFERROR(__xludf.DUMMYFUNCTION("""COMPUTED_VALUE"""),"NORMAL")</f>
        <v>NORMAL</v>
      </c>
      <c r="J4239" s="211">
        <f>IFERROR(__xludf.DUMMYFUNCTION("""COMPUTED_VALUE"""),2.0)</f>
        <v>2</v>
      </c>
      <c r="K4239" s="210" t="str">
        <f>IFERROR(__xludf.DUMMYFUNCTION("""COMPUTED_VALUE"""),"11330 11337")</f>
        <v>11330 11337</v>
      </c>
      <c r="L4239" s="211">
        <f>IFERROR(__xludf.DUMMYFUNCTION("""COMPUTED_VALUE"""),60000.0)</f>
        <v>60000</v>
      </c>
      <c r="M4239" s="211"/>
      <c r="N4239" s="211"/>
      <c r="O4239" s="211" t="b">
        <f>IFERROR(__xludf.DUMMYFUNCTION("""COMPUTED_VALUE"""),FALSE)</f>
        <v>0</v>
      </c>
    </row>
    <row r="4240">
      <c r="A4240" s="210" t="str">
        <f>IFERROR(__xludf.DUMMYFUNCTION("""COMPUTED_VALUE"""),"0326272906")</f>
        <v>0326272906</v>
      </c>
      <c r="B4240" s="210" t="str">
        <f>IFERROR(__xludf.DUMMYFUNCTION("""COMPUTED_VALUE"""),"0326272906")</f>
        <v>0326272906</v>
      </c>
      <c r="C4240" s="213">
        <f>IFERROR(__xludf.DUMMYFUNCTION("""COMPUTED_VALUE"""),46108.552395833336)</f>
        <v>46108.5524</v>
      </c>
      <c r="D4240" s="211" t="str">
        <f>IFERROR(__xludf.DUMMYFUNCTION("""COMPUTED_VALUE"""),"4ec68cf6")</f>
        <v>4ec68cf6</v>
      </c>
      <c r="E4240" s="211" t="str">
        <f>IFERROR(__xludf.DUMMYFUNCTION("""COMPUTED_VALUE"""),"CV Sido Mukti Karya")</f>
        <v>CV Sido Mukti Karya</v>
      </c>
      <c r="F4240" s="211" t="str">
        <f>IFERROR(__xludf.DUMMYFUNCTION("""COMPUTED_VALUE"""),"ef306e54")</f>
        <v>ef306e54</v>
      </c>
      <c r="G4240" s="211" t="str">
        <f>IFERROR(__xludf.DUMMYFUNCTION("""COMPUTED_VALUE"""),"Karbondioksida")</f>
        <v>Karbondioksida</v>
      </c>
      <c r="H4240" s="211" t="str">
        <f>IFERROR(__xludf.DUMMYFUNCTION("""COMPUTED_VALUE"""),"OUT")</f>
        <v>OUT</v>
      </c>
      <c r="I4240" s="211" t="str">
        <f>IFERROR(__xludf.DUMMYFUNCTION("""COMPUTED_VALUE"""),"NORMAL")</f>
        <v>NORMAL</v>
      </c>
      <c r="J4240" s="211">
        <f>IFERROR(__xludf.DUMMYFUNCTION("""COMPUTED_VALUE"""),4.0)</f>
        <v>4</v>
      </c>
      <c r="K4240" s="210" t="str">
        <f>IFERROR(__xludf.DUMMYFUNCTION("""COMPUTED_VALUE"""),"13041 13074 13072 13038")</f>
        <v>13041 13074 13072 13038</v>
      </c>
      <c r="L4240" s="211">
        <f>IFERROR(__xludf.DUMMYFUNCTION("""COMPUTED_VALUE"""),180000.0)</f>
        <v>180000</v>
      </c>
      <c r="M4240" s="211"/>
      <c r="N4240" s="211"/>
      <c r="O4240" s="211" t="b">
        <f>IFERROR(__xludf.DUMMYFUNCTION("""COMPUTED_VALUE"""),FALSE)</f>
        <v>0</v>
      </c>
    </row>
    <row r="4241">
      <c r="A4241" s="210" t="str">
        <f>IFERROR(__xludf.DUMMYFUNCTION("""COMPUTED_VALUE"""),"1261438")</f>
        <v>1261438</v>
      </c>
      <c r="B4241" s="210" t="str">
        <f>IFERROR(__xludf.DUMMYFUNCTION("""COMPUTED_VALUE"""),"1261438")</f>
        <v>1261438</v>
      </c>
      <c r="C4241" s="213">
        <f>IFERROR(__xludf.DUMMYFUNCTION("""COMPUTED_VALUE"""),46108.59112268518)</f>
        <v>46108.59112</v>
      </c>
      <c r="D4241" s="211" t="str">
        <f>IFERROR(__xludf.DUMMYFUNCTION("""COMPUTED_VALUE"""),"eec2e801")</f>
        <v>eec2e801</v>
      </c>
      <c r="E4241" s="211" t="str">
        <f>IFERROR(__xludf.DUMMYFUNCTION("""COMPUTED_VALUE"""),"Mitra Wood Sejahtera")</f>
        <v>Mitra Wood Sejahtera</v>
      </c>
      <c r="F4241" s="211" t="str">
        <f>IFERROR(__xludf.DUMMYFUNCTION("""COMPUTED_VALUE"""),"8bdbe149")</f>
        <v>8bdbe149</v>
      </c>
      <c r="G4241" s="211" t="str">
        <f>IFERROR(__xludf.DUMMYFUNCTION("""COMPUTED_VALUE"""),"Oksigen 6m3")</f>
        <v>Oksigen 6m3</v>
      </c>
      <c r="H4241" s="211" t="str">
        <f>IFERROR(__xludf.DUMMYFUNCTION("""COMPUTED_VALUE"""),"IN")</f>
        <v>IN</v>
      </c>
      <c r="I4241" s="211" t="str">
        <f>IFERROR(__xludf.DUMMYFUNCTION("""COMPUTED_VALUE"""),"EMPTY")</f>
        <v>EMPTY</v>
      </c>
      <c r="J4241" s="211">
        <f>IFERROR(__xludf.DUMMYFUNCTION("""COMPUTED_VALUE"""),4.0)</f>
        <v>4</v>
      </c>
      <c r="K4241" s="210" t="str">
        <f>IFERROR(__xludf.DUMMYFUNCTION("""COMPUTED_VALUE"""),"11244 11323 1193 11193")</f>
        <v>11244 11323 1193 11193</v>
      </c>
      <c r="L4241" s="211">
        <f>IFERROR(__xludf.DUMMYFUNCTION("""COMPUTED_VALUE"""),0.0)</f>
        <v>0</v>
      </c>
      <c r="M4241" s="211"/>
      <c r="N4241" s="211"/>
      <c r="O4241" s="211" t="b">
        <f>IFERROR(__xludf.DUMMYFUNCTION("""COMPUTED_VALUE"""),FALSE)</f>
        <v>0</v>
      </c>
    </row>
    <row r="4242">
      <c r="A4242" s="210" t="str">
        <f>IFERROR(__xludf.DUMMYFUNCTION("""COMPUTED_VALUE"""),"1261471")</f>
        <v>1261471</v>
      </c>
      <c r="B4242" s="210" t="str">
        <f>IFERROR(__xludf.DUMMYFUNCTION("""COMPUTED_VALUE"""),"1261471")</f>
        <v>1261471</v>
      </c>
      <c r="C4242" s="213">
        <f>IFERROR(__xludf.DUMMYFUNCTION("""COMPUTED_VALUE"""),46108.59438657408)</f>
        <v>46108.59439</v>
      </c>
      <c r="D4242" s="211" t="str">
        <f>IFERROR(__xludf.DUMMYFUNCTION("""COMPUTED_VALUE"""),"4ec68cf6")</f>
        <v>4ec68cf6</v>
      </c>
      <c r="E4242" s="211" t="str">
        <f>IFERROR(__xludf.DUMMYFUNCTION("""COMPUTED_VALUE"""),"CV Sido Mukti Karya")</f>
        <v>CV Sido Mukti Karya</v>
      </c>
      <c r="F4242" s="211" t="str">
        <f>IFERROR(__xludf.DUMMYFUNCTION("""COMPUTED_VALUE"""),"7d2764f1")</f>
        <v>7d2764f1</v>
      </c>
      <c r="G4242" s="211" t="str">
        <f>IFERROR(__xludf.DUMMYFUNCTION("""COMPUTED_VALUE"""),"Oksigen 7m3")</f>
        <v>Oksigen 7m3</v>
      </c>
      <c r="H4242" s="211" t="str">
        <f>IFERROR(__xludf.DUMMYFUNCTION("""COMPUTED_VALUE"""),"IN")</f>
        <v>IN</v>
      </c>
      <c r="I4242" s="211" t="str">
        <f>IFERROR(__xludf.DUMMYFUNCTION("""COMPUTED_VALUE"""),"EMPTY")</f>
        <v>EMPTY</v>
      </c>
      <c r="J4242" s="211">
        <f>IFERROR(__xludf.DUMMYFUNCTION("""COMPUTED_VALUE"""),1.0)</f>
        <v>1</v>
      </c>
      <c r="K4242" s="210" t="str">
        <f>IFERROR(__xludf.DUMMYFUNCTION("""COMPUTED_VALUE"""),"11304")</f>
        <v>11304</v>
      </c>
      <c r="L4242" s="211">
        <f>IFERROR(__xludf.DUMMYFUNCTION("""COMPUTED_VALUE"""),0.0)</f>
        <v>0</v>
      </c>
      <c r="M4242" s="211"/>
      <c r="N4242" s="211"/>
      <c r="O4242" s="211" t="b">
        <f>IFERROR(__xludf.DUMMYFUNCTION("""COMPUTED_VALUE"""),FALSE)</f>
        <v>0</v>
      </c>
    </row>
    <row r="4243">
      <c r="A4243" s="210" t="str">
        <f>IFERROR(__xludf.DUMMYFUNCTION("""COMPUTED_VALUE"""),"1261471")</f>
        <v>1261471</v>
      </c>
      <c r="B4243" s="210" t="str">
        <f>IFERROR(__xludf.DUMMYFUNCTION("""COMPUTED_VALUE"""),"1261471")</f>
        <v>1261471</v>
      </c>
      <c r="C4243" s="213">
        <f>IFERROR(__xludf.DUMMYFUNCTION("""COMPUTED_VALUE"""),46108.59438657408)</f>
        <v>46108.59439</v>
      </c>
      <c r="D4243" s="211" t="str">
        <f>IFERROR(__xludf.DUMMYFUNCTION("""COMPUTED_VALUE"""),"4ec68cf6")</f>
        <v>4ec68cf6</v>
      </c>
      <c r="E4243" s="211" t="str">
        <f>IFERROR(__xludf.DUMMYFUNCTION("""COMPUTED_VALUE"""),"CV Sido Mukti Karya")</f>
        <v>CV Sido Mukti Karya</v>
      </c>
      <c r="F4243" s="211" t="str">
        <f>IFERROR(__xludf.DUMMYFUNCTION("""COMPUTED_VALUE"""),"ef306e54")</f>
        <v>ef306e54</v>
      </c>
      <c r="G4243" s="211" t="str">
        <f>IFERROR(__xludf.DUMMYFUNCTION("""COMPUTED_VALUE"""),"Karbondioksida")</f>
        <v>Karbondioksida</v>
      </c>
      <c r="H4243" s="211" t="str">
        <f>IFERROR(__xludf.DUMMYFUNCTION("""COMPUTED_VALUE"""),"IN")</f>
        <v>IN</v>
      </c>
      <c r="I4243" s="211" t="str">
        <f>IFERROR(__xludf.DUMMYFUNCTION("""COMPUTED_VALUE"""),"EMPTY")</f>
        <v>EMPTY</v>
      </c>
      <c r="J4243" s="211">
        <f>IFERROR(__xludf.DUMMYFUNCTION("""COMPUTED_VALUE"""),1.0)</f>
        <v>1</v>
      </c>
      <c r="K4243" s="210" t="str">
        <f>IFERROR(__xludf.DUMMYFUNCTION("""COMPUTED_VALUE"""),"13052")</f>
        <v>13052</v>
      </c>
      <c r="L4243" s="211">
        <f>IFERROR(__xludf.DUMMYFUNCTION("""COMPUTED_VALUE"""),0.0)</f>
        <v>0</v>
      </c>
      <c r="M4243" s="211"/>
      <c r="N4243" s="211"/>
      <c r="O4243" s="211" t="b">
        <f>IFERROR(__xludf.DUMMYFUNCTION("""COMPUTED_VALUE"""),FALSE)</f>
        <v>0</v>
      </c>
    </row>
    <row r="4244">
      <c r="A4244" s="210" t="str">
        <f>IFERROR(__xludf.DUMMYFUNCTION("""COMPUTED_VALUE"""),"0326342907")</f>
        <v>0326342907</v>
      </c>
      <c r="B4244" s="210" t="str">
        <f>IFERROR(__xludf.DUMMYFUNCTION("""COMPUTED_VALUE"""),"0326342907")</f>
        <v>0326342907</v>
      </c>
      <c r="C4244" s="213">
        <f>IFERROR(__xludf.DUMMYFUNCTION("""COMPUTED_VALUE"""),46109.68798611111)</f>
        <v>46109.68799</v>
      </c>
      <c r="D4244" s="211" t="str">
        <f>IFERROR(__xludf.DUMMYFUNCTION("""COMPUTED_VALUE"""),"63fc688a")</f>
        <v>63fc688a</v>
      </c>
      <c r="E4244" s="211" t="str">
        <f>IFERROR(__xludf.DUMMYFUNCTION("""COMPUTED_VALUE"""),"CV Malik Nusantara")</f>
        <v>CV Malik Nusantara</v>
      </c>
      <c r="F4244" s="211" t="str">
        <f>IFERROR(__xludf.DUMMYFUNCTION("""COMPUTED_VALUE"""),"7d2764f1")</f>
        <v>7d2764f1</v>
      </c>
      <c r="G4244" s="211" t="str">
        <f>IFERROR(__xludf.DUMMYFUNCTION("""COMPUTED_VALUE"""),"Oksigen 7m3")</f>
        <v>Oksigen 7m3</v>
      </c>
      <c r="H4244" s="211" t="str">
        <f>IFERROR(__xludf.DUMMYFUNCTION("""COMPUTED_VALUE"""),"OUT")</f>
        <v>OUT</v>
      </c>
      <c r="I4244" s="211" t="str">
        <f>IFERROR(__xludf.DUMMYFUNCTION("""COMPUTED_VALUE"""),"NORMAL")</f>
        <v>NORMAL</v>
      </c>
      <c r="J4244" s="211">
        <f>IFERROR(__xludf.DUMMYFUNCTION("""COMPUTED_VALUE"""),5.0)</f>
        <v>5</v>
      </c>
      <c r="K4244" s="210" t="str">
        <f>IFERROR(__xludf.DUMMYFUNCTION("""COMPUTED_VALUE"""),"11139 11170 11331 11306 11392")</f>
        <v>11139 11170 11331 11306 11392</v>
      </c>
      <c r="L4244" s="211">
        <f>IFERROR(__xludf.DUMMYFUNCTION("""COMPUTED_VALUE"""),65000.0)</f>
        <v>65000</v>
      </c>
      <c r="M4244" s="211"/>
      <c r="N4244" s="211"/>
      <c r="O4244" s="211" t="b">
        <f>IFERROR(__xludf.DUMMYFUNCTION("""COMPUTED_VALUE"""),FALSE)</f>
        <v>0</v>
      </c>
    </row>
    <row r="4245">
      <c r="A4245" s="210" t="str">
        <f>IFERROR(__xludf.DUMMYFUNCTION("""COMPUTED_VALUE"""),"0326342907")</f>
        <v>0326342907</v>
      </c>
      <c r="B4245" s="210" t="str">
        <f>IFERROR(__xludf.DUMMYFUNCTION("""COMPUTED_VALUE"""),"0326342907")</f>
        <v>0326342907</v>
      </c>
      <c r="C4245" s="213">
        <f>IFERROR(__xludf.DUMMYFUNCTION("""COMPUTED_VALUE"""),46109.68798611111)</f>
        <v>46109.68799</v>
      </c>
      <c r="D4245" s="211" t="str">
        <f>IFERROR(__xludf.DUMMYFUNCTION("""COMPUTED_VALUE"""),"63fc688a")</f>
        <v>63fc688a</v>
      </c>
      <c r="E4245" s="211" t="str">
        <f>IFERROR(__xludf.DUMMYFUNCTION("""COMPUTED_VALUE"""),"CV Malik Nusantara")</f>
        <v>CV Malik Nusantara</v>
      </c>
      <c r="F4245" s="211" t="str">
        <f>IFERROR(__xludf.DUMMYFUNCTION("""COMPUTED_VALUE"""),"8bdbe149")</f>
        <v>8bdbe149</v>
      </c>
      <c r="G4245" s="211" t="str">
        <f>IFERROR(__xludf.DUMMYFUNCTION("""COMPUTED_VALUE"""),"Oksigen 6m3")</f>
        <v>Oksigen 6m3</v>
      </c>
      <c r="H4245" s="211" t="str">
        <f>IFERROR(__xludf.DUMMYFUNCTION("""COMPUTED_VALUE"""),"OUT")</f>
        <v>OUT</v>
      </c>
      <c r="I4245" s="211" t="str">
        <f>IFERROR(__xludf.DUMMYFUNCTION("""COMPUTED_VALUE"""),"NORMAL")</f>
        <v>NORMAL</v>
      </c>
      <c r="J4245" s="211">
        <f>IFERROR(__xludf.DUMMYFUNCTION("""COMPUTED_VALUE"""),5.0)</f>
        <v>5</v>
      </c>
      <c r="K4245" s="210" t="str">
        <f>IFERROR(__xludf.DUMMYFUNCTION("""COMPUTED_VALUE"""),"11286 11295 11232 11374 1168")</f>
        <v>11286 11295 11232 11374 1168</v>
      </c>
      <c r="L4245" s="211">
        <f>IFERROR(__xludf.DUMMYFUNCTION("""COMPUTED_VALUE"""),65000.0)</f>
        <v>65000</v>
      </c>
      <c r="M4245" s="211"/>
      <c r="N4245" s="211"/>
      <c r="O4245" s="211" t="b">
        <f>IFERROR(__xludf.DUMMYFUNCTION("""COMPUTED_VALUE"""),FALSE)</f>
        <v>0</v>
      </c>
    </row>
    <row r="4246">
      <c r="A4246" s="210" t="str">
        <f>IFERROR(__xludf.DUMMYFUNCTION("""COMPUTED_VALUE"""),"0326342907")</f>
        <v>0326342907</v>
      </c>
      <c r="B4246" s="210" t="str">
        <f>IFERROR(__xludf.DUMMYFUNCTION("""COMPUTED_VALUE"""),"0326342907")</f>
        <v>0326342907</v>
      </c>
      <c r="C4246" s="213">
        <f>IFERROR(__xludf.DUMMYFUNCTION("""COMPUTED_VALUE"""),46109.68798611111)</f>
        <v>46109.68799</v>
      </c>
      <c r="D4246" s="211" t="str">
        <f>IFERROR(__xludf.DUMMYFUNCTION("""COMPUTED_VALUE"""),"63fc688a")</f>
        <v>63fc688a</v>
      </c>
      <c r="E4246" s="211" t="str">
        <f>IFERROR(__xludf.DUMMYFUNCTION("""COMPUTED_VALUE"""),"CV Malik Nusantara")</f>
        <v>CV Malik Nusantara</v>
      </c>
      <c r="F4246" s="211" t="str">
        <f>IFERROR(__xludf.DUMMYFUNCTION("""COMPUTED_VALUE"""),"ef306e54")</f>
        <v>ef306e54</v>
      </c>
      <c r="G4246" s="211" t="str">
        <f>IFERROR(__xludf.DUMMYFUNCTION("""COMPUTED_VALUE"""),"Karbondioksida")</f>
        <v>Karbondioksida</v>
      </c>
      <c r="H4246" s="211" t="str">
        <f>IFERROR(__xludf.DUMMYFUNCTION("""COMPUTED_VALUE"""),"OUT")</f>
        <v>OUT</v>
      </c>
      <c r="I4246" s="211" t="str">
        <f>IFERROR(__xludf.DUMMYFUNCTION("""COMPUTED_VALUE"""),"NORMAL")</f>
        <v>NORMAL</v>
      </c>
      <c r="J4246" s="211">
        <f>IFERROR(__xludf.DUMMYFUNCTION("""COMPUTED_VALUE"""),2.0)</f>
        <v>2</v>
      </c>
      <c r="K4246" s="210" t="str">
        <f>IFERROR(__xludf.DUMMYFUNCTION("""COMPUTED_VALUE"""),"13048 13050")</f>
        <v>13048 13050</v>
      </c>
      <c r="L4246" s="211">
        <f>IFERROR(__xludf.DUMMYFUNCTION("""COMPUTED_VALUE"""),190000.0)</f>
        <v>190000</v>
      </c>
      <c r="M4246" s="211"/>
      <c r="N4246" s="211"/>
      <c r="O4246" s="211" t="b">
        <f>IFERROR(__xludf.DUMMYFUNCTION("""COMPUTED_VALUE"""),FALSE)</f>
        <v>0</v>
      </c>
    </row>
    <row r="4247">
      <c r="A4247" s="210" t="str">
        <f>IFERROR(__xludf.DUMMYFUNCTION("""COMPUTED_VALUE"""),"0326962910")</f>
        <v>0326962910</v>
      </c>
      <c r="B4247" s="210" t="str">
        <f>IFERROR(__xludf.DUMMYFUNCTION("""COMPUTED_VALUE"""),"0326962910")</f>
        <v>0326962910</v>
      </c>
      <c r="C4247" s="213">
        <f>IFERROR(__xludf.DUMMYFUNCTION("""COMPUTED_VALUE"""),46111.38398148148)</f>
        <v>46111.38398</v>
      </c>
      <c r="D4247" s="211" t="str">
        <f>IFERROR(__xludf.DUMMYFUNCTION("""COMPUTED_VALUE"""),"b2b5f2c5")</f>
        <v>b2b5f2c5</v>
      </c>
      <c r="E4247" s="211" t="str">
        <f>IFERROR(__xludf.DUMMYFUNCTION("""COMPUTED_VALUE"""),"Bengkel Las Bpk. Ari")</f>
        <v>Bengkel Las Bpk. Ari</v>
      </c>
      <c r="F4247" s="211" t="str">
        <f>IFERROR(__xludf.DUMMYFUNCTION("""COMPUTED_VALUE"""),"8bdbe149")</f>
        <v>8bdbe149</v>
      </c>
      <c r="G4247" s="211" t="str">
        <f>IFERROR(__xludf.DUMMYFUNCTION("""COMPUTED_VALUE"""),"Oksigen 6m3")</f>
        <v>Oksigen 6m3</v>
      </c>
      <c r="H4247" s="211" t="str">
        <f>IFERROR(__xludf.DUMMYFUNCTION("""COMPUTED_VALUE"""),"OUT")</f>
        <v>OUT</v>
      </c>
      <c r="I4247" s="211" t="str">
        <f>IFERROR(__xludf.DUMMYFUNCTION("""COMPUTED_VALUE"""),"NORMAL")</f>
        <v>NORMAL</v>
      </c>
      <c r="J4247" s="211">
        <f>IFERROR(__xludf.DUMMYFUNCTION("""COMPUTED_VALUE"""),3.0)</f>
        <v>3</v>
      </c>
      <c r="K4247" s="210" t="str">
        <f>IFERROR(__xludf.DUMMYFUNCTION("""COMPUTED_VALUE"""),"11359 1127 1183")</f>
        <v>11359 1127 1183</v>
      </c>
      <c r="L4247" s="211">
        <f>IFERROR(__xludf.DUMMYFUNCTION("""COMPUTED_VALUE"""),60000.0)</f>
        <v>60000</v>
      </c>
      <c r="M4247" s="211"/>
      <c r="N4247" s="211"/>
      <c r="O4247" s="211" t="b">
        <f>IFERROR(__xludf.DUMMYFUNCTION("""COMPUTED_VALUE"""),FALSE)</f>
        <v>0</v>
      </c>
    </row>
    <row r="4248">
      <c r="A4248" s="210" t="str">
        <f>IFERROR(__xludf.DUMMYFUNCTION("""COMPUTED_VALUE"""),"0326962910")</f>
        <v>0326962910</v>
      </c>
      <c r="B4248" s="210" t="str">
        <f>IFERROR(__xludf.DUMMYFUNCTION("""COMPUTED_VALUE"""),"0326962910")</f>
        <v>0326962910</v>
      </c>
      <c r="C4248" s="213">
        <f>IFERROR(__xludf.DUMMYFUNCTION("""COMPUTED_VALUE"""),46111.38398148148)</f>
        <v>46111.38398</v>
      </c>
      <c r="D4248" s="211" t="str">
        <f>IFERROR(__xludf.DUMMYFUNCTION("""COMPUTED_VALUE"""),"b2b5f2c5")</f>
        <v>b2b5f2c5</v>
      </c>
      <c r="E4248" s="211" t="str">
        <f>IFERROR(__xludf.DUMMYFUNCTION("""COMPUTED_VALUE"""),"Bengkel Las Bpk. Ari")</f>
        <v>Bengkel Las Bpk. Ari</v>
      </c>
      <c r="F4248" s="211" t="str">
        <f>IFERROR(__xludf.DUMMYFUNCTION("""COMPUTED_VALUE"""),"ef306e54")</f>
        <v>ef306e54</v>
      </c>
      <c r="G4248" s="211" t="str">
        <f>IFERROR(__xludf.DUMMYFUNCTION("""COMPUTED_VALUE"""),"Karbondioksida")</f>
        <v>Karbondioksida</v>
      </c>
      <c r="H4248" s="211" t="str">
        <f>IFERROR(__xludf.DUMMYFUNCTION("""COMPUTED_VALUE"""),"OUT")</f>
        <v>OUT</v>
      </c>
      <c r="I4248" s="211" t="str">
        <f>IFERROR(__xludf.DUMMYFUNCTION("""COMPUTED_VALUE"""),"NORMAL")</f>
        <v>NORMAL</v>
      </c>
      <c r="J4248" s="211">
        <f>IFERROR(__xludf.DUMMYFUNCTION("""COMPUTED_VALUE"""),3.0)</f>
        <v>3</v>
      </c>
      <c r="K4248" s="211"/>
      <c r="L4248" s="211">
        <f>IFERROR(__xludf.DUMMYFUNCTION("""COMPUTED_VALUE"""),180000.0)</f>
        <v>180000</v>
      </c>
      <c r="M4248" s="211"/>
      <c r="N4248" s="211"/>
      <c r="O4248" s="211" t="b">
        <f>IFERROR(__xludf.DUMMYFUNCTION("""COMPUTED_VALUE"""),FALSE)</f>
        <v>0</v>
      </c>
    </row>
    <row r="4249">
      <c r="A4249" s="210" t="str">
        <f>IFERROR(__xludf.DUMMYFUNCTION("""COMPUTED_VALUE"""),"0326352911")</f>
        <v>0326352911</v>
      </c>
      <c r="B4249" s="210" t="str">
        <f>IFERROR(__xludf.DUMMYFUNCTION("""COMPUTED_VALUE"""),"0326352911")</f>
        <v>0326352911</v>
      </c>
      <c r="C4249" s="213">
        <f>IFERROR(__xludf.DUMMYFUNCTION("""COMPUTED_VALUE"""),46111.47010416666)</f>
        <v>46111.4701</v>
      </c>
      <c r="D4249" s="211" t="str">
        <f>IFERROR(__xludf.DUMMYFUNCTION("""COMPUTED_VALUE"""),"63fc688a")</f>
        <v>63fc688a</v>
      </c>
      <c r="E4249" s="211" t="str">
        <f>IFERROR(__xludf.DUMMYFUNCTION("""COMPUTED_VALUE"""),"CV Malik Nusantara")</f>
        <v>CV Malik Nusantara</v>
      </c>
      <c r="F4249" s="211" t="str">
        <f>IFERROR(__xludf.DUMMYFUNCTION("""COMPUTED_VALUE"""),"be525f3b")</f>
        <v>be525f3b</v>
      </c>
      <c r="G4249" s="211" t="str">
        <f>IFERROR(__xludf.DUMMYFUNCTION("""COMPUTED_VALUE"""),"LPG 12kg")</f>
        <v>LPG 12kg</v>
      </c>
      <c r="H4249" s="211" t="str">
        <f>IFERROR(__xludf.DUMMYFUNCTION("""COMPUTED_VALUE"""),"OUT")</f>
        <v>OUT</v>
      </c>
      <c r="I4249" s="211" t="str">
        <f>IFERROR(__xludf.DUMMYFUNCTION("""COMPUTED_VALUE"""),"NORMAL")</f>
        <v>NORMAL</v>
      </c>
      <c r="J4249" s="211">
        <f>IFERROR(__xludf.DUMMYFUNCTION("""COMPUTED_VALUE"""),4.0)</f>
        <v>4</v>
      </c>
      <c r="K4249" s="211"/>
      <c r="L4249" s="211">
        <f>IFERROR(__xludf.DUMMYFUNCTION("""COMPUTED_VALUE"""),200000.0)</f>
        <v>200000</v>
      </c>
      <c r="M4249" s="211"/>
      <c r="N4249" s="211"/>
      <c r="O4249" s="211" t="b">
        <f>IFERROR(__xludf.DUMMYFUNCTION("""COMPUTED_VALUE"""),FALSE)</f>
        <v>0</v>
      </c>
    </row>
    <row r="4250">
      <c r="A4250" s="210" t="str">
        <f>IFERROR(__xludf.DUMMYFUNCTION("""COMPUTED_VALUE"""),"032692912")</f>
        <v>032692912</v>
      </c>
      <c r="B4250" s="210" t="str">
        <f>IFERROR(__xludf.DUMMYFUNCTION("""COMPUTED_VALUE"""),"032692912")</f>
        <v>032692912</v>
      </c>
      <c r="C4250" s="213">
        <f>IFERROR(__xludf.DUMMYFUNCTION("""COMPUTED_VALUE"""),46111.59710648148)</f>
        <v>46111.59711</v>
      </c>
      <c r="D4250" s="211" t="str">
        <f>IFERROR(__xludf.DUMMYFUNCTION("""COMPUTED_VALUE"""),"d9b2fac5")</f>
        <v>d9b2fac5</v>
      </c>
      <c r="E4250" s="211" t="str">
        <f>IFERROR(__xludf.DUMMYFUNCTION("""COMPUTED_VALUE"""),"Dwi Riza ( Ponokawan)")</f>
        <v>Dwi Riza ( Ponokawan)</v>
      </c>
      <c r="F4250" s="211" t="str">
        <f>IFERROR(__xludf.DUMMYFUNCTION("""COMPUTED_VALUE"""),"8bdbe149")</f>
        <v>8bdbe149</v>
      </c>
      <c r="G4250" s="211" t="str">
        <f>IFERROR(__xludf.DUMMYFUNCTION("""COMPUTED_VALUE"""),"Oksigen 6m3")</f>
        <v>Oksigen 6m3</v>
      </c>
      <c r="H4250" s="211" t="str">
        <f>IFERROR(__xludf.DUMMYFUNCTION("""COMPUTED_VALUE"""),"OUT")</f>
        <v>OUT</v>
      </c>
      <c r="I4250" s="211" t="str">
        <f>IFERROR(__xludf.DUMMYFUNCTION("""COMPUTED_VALUE"""),"NORMAL")</f>
        <v>NORMAL</v>
      </c>
      <c r="J4250" s="211">
        <f>IFERROR(__xludf.DUMMYFUNCTION("""COMPUTED_VALUE"""),5.0)</f>
        <v>5</v>
      </c>
      <c r="K4250" s="210" t="str">
        <f>IFERROR(__xludf.DUMMYFUNCTION("""COMPUTED_VALUE"""),"11265 11112 11287 1181 1136")</f>
        <v>11265 11112 11287 1181 1136</v>
      </c>
      <c r="L4250" s="211">
        <f>IFERROR(__xludf.DUMMYFUNCTION("""COMPUTED_VALUE"""),50000.0)</f>
        <v>50000</v>
      </c>
      <c r="M4250" s="211"/>
      <c r="N4250" s="211"/>
      <c r="O4250" s="211" t="b">
        <f>IFERROR(__xludf.DUMMYFUNCTION("""COMPUTED_VALUE"""),FALSE)</f>
        <v>0</v>
      </c>
    </row>
    <row r="4251">
      <c r="A4251" s="210" t="str">
        <f>IFERROR(__xludf.DUMMYFUNCTION("""COMPUTED_VALUE"""),"0326272913")</f>
        <v>0326272913</v>
      </c>
      <c r="B4251" s="210" t="str">
        <f>IFERROR(__xludf.DUMMYFUNCTION("""COMPUTED_VALUE"""),"0326272913")</f>
        <v>0326272913</v>
      </c>
      <c r="C4251" s="213">
        <f>IFERROR(__xludf.DUMMYFUNCTION("""COMPUTED_VALUE"""),46111.60050925926)</f>
        <v>46111.60051</v>
      </c>
      <c r="D4251" s="211" t="str">
        <f>IFERROR(__xludf.DUMMYFUNCTION("""COMPUTED_VALUE"""),"7b9d8eba")</f>
        <v>7b9d8eba</v>
      </c>
      <c r="E4251" s="211" t="str">
        <f>IFERROR(__xludf.DUMMYFUNCTION("""COMPUTED_VALUE"""),"PT PELANGI INDOKARYA")</f>
        <v>PT PELANGI INDOKARYA</v>
      </c>
      <c r="F4251" s="211" t="str">
        <f>IFERROR(__xludf.DUMMYFUNCTION("""COMPUTED_VALUE"""),"b7a8fff1")</f>
        <v>b7a8fff1</v>
      </c>
      <c r="G4251" s="211" t="str">
        <f>IFERROR(__xludf.DUMMYFUNCTION("""COMPUTED_VALUE"""),"LPG 50kg")</f>
        <v>LPG 50kg</v>
      </c>
      <c r="H4251" s="211" t="str">
        <f>IFERROR(__xludf.DUMMYFUNCTION("""COMPUTED_VALUE"""),"OUT")</f>
        <v>OUT</v>
      </c>
      <c r="I4251" s="211" t="str">
        <f>IFERROR(__xludf.DUMMYFUNCTION("""COMPUTED_VALUE"""),"NORMAL")</f>
        <v>NORMAL</v>
      </c>
      <c r="J4251" s="211">
        <f>IFERROR(__xludf.DUMMYFUNCTION("""COMPUTED_VALUE"""),1.0)</f>
        <v>1</v>
      </c>
      <c r="K4251" s="210" t="str">
        <f>IFERROR(__xludf.DUMMYFUNCTION("""COMPUTED_VALUE"""),"LL002")</f>
        <v>LL002</v>
      </c>
      <c r="L4251" s="211">
        <f>IFERROR(__xludf.DUMMYFUNCTION("""COMPUTED_VALUE"""),1000000.0)</f>
        <v>1000000</v>
      </c>
      <c r="M4251" s="211"/>
      <c r="N4251" s="211"/>
      <c r="O4251" s="211" t="b">
        <f>IFERROR(__xludf.DUMMYFUNCTION("""COMPUTED_VALUE"""),FALSE)</f>
        <v>0</v>
      </c>
    </row>
    <row r="4252">
      <c r="A4252" s="210" t="str">
        <f>IFERROR(__xludf.DUMMYFUNCTION("""COMPUTED_VALUE"""),"1261446")</f>
        <v>1261446</v>
      </c>
      <c r="B4252" s="210" t="str">
        <f>IFERROR(__xludf.DUMMYFUNCTION("""COMPUTED_VALUE"""),"1261446")</f>
        <v>1261446</v>
      </c>
      <c r="C4252" s="213">
        <f>IFERROR(__xludf.DUMMYFUNCTION("""COMPUTED_VALUE"""),46111.64917824074)</f>
        <v>46111.64918</v>
      </c>
      <c r="D4252" s="211" t="str">
        <f>IFERROR(__xludf.DUMMYFUNCTION("""COMPUTED_VALUE"""),"63fc688a")</f>
        <v>63fc688a</v>
      </c>
      <c r="E4252" s="211" t="str">
        <f>IFERROR(__xludf.DUMMYFUNCTION("""COMPUTED_VALUE"""),"CV Malik Nusantara")</f>
        <v>CV Malik Nusantara</v>
      </c>
      <c r="F4252" s="211" t="str">
        <f>IFERROR(__xludf.DUMMYFUNCTION("""COMPUTED_VALUE"""),"be525f3b")</f>
        <v>be525f3b</v>
      </c>
      <c r="G4252" s="211" t="str">
        <f>IFERROR(__xludf.DUMMYFUNCTION("""COMPUTED_VALUE"""),"LPG 12kg")</f>
        <v>LPG 12kg</v>
      </c>
      <c r="H4252" s="211" t="str">
        <f>IFERROR(__xludf.DUMMYFUNCTION("""COMPUTED_VALUE"""),"IN")</f>
        <v>IN</v>
      </c>
      <c r="I4252" s="211" t="str">
        <f>IFERROR(__xludf.DUMMYFUNCTION("""COMPUTED_VALUE"""),"EMPTY")</f>
        <v>EMPTY</v>
      </c>
      <c r="J4252" s="211">
        <f>IFERROR(__xludf.DUMMYFUNCTION("""COMPUTED_VALUE"""),2.0)</f>
        <v>2</v>
      </c>
      <c r="K4252" s="210" t="str">
        <f>IFERROR(__xludf.DUMMYFUNCTION("""COMPUTED_VALUE"""),"L006 L001")</f>
        <v>L006 L001</v>
      </c>
      <c r="L4252" s="211">
        <f>IFERROR(__xludf.DUMMYFUNCTION("""COMPUTED_VALUE"""),0.0)</f>
        <v>0</v>
      </c>
      <c r="M4252" s="211"/>
      <c r="N4252" s="211"/>
      <c r="O4252" s="211" t="b">
        <f>IFERROR(__xludf.DUMMYFUNCTION("""COMPUTED_VALUE"""),FALSE)</f>
        <v>0</v>
      </c>
    </row>
    <row r="4253">
      <c r="A4253" s="210" t="str">
        <f>IFERROR(__xludf.DUMMYFUNCTION("""COMPUTED_VALUE"""),"1261445")</f>
        <v>1261445</v>
      </c>
      <c r="B4253" s="210" t="str">
        <f>IFERROR(__xludf.DUMMYFUNCTION("""COMPUTED_VALUE"""),"1261445")</f>
        <v>1261445</v>
      </c>
      <c r="C4253" s="213">
        <f>IFERROR(__xludf.DUMMYFUNCTION("""COMPUTED_VALUE"""),46111.649664351855)</f>
        <v>46111.64966</v>
      </c>
      <c r="D4253" s="211" t="str">
        <f>IFERROR(__xludf.DUMMYFUNCTION("""COMPUTED_VALUE"""),"9419f673")</f>
        <v>9419f673</v>
      </c>
      <c r="E4253" s="211" t="str">
        <f>IFERROR(__xludf.DUMMYFUNCTION("""COMPUTED_VALUE"""),"PT LONG XING LOGAM INDONESIA")</f>
        <v>PT LONG XING LOGAM INDONESIA</v>
      </c>
      <c r="F4253" s="211" t="str">
        <f>IFERROR(__xludf.DUMMYFUNCTION("""COMPUTED_VALUE"""),"f6aab7a9")</f>
        <v>f6aab7a9</v>
      </c>
      <c r="G4253" s="211" t="str">
        <f>IFERROR(__xludf.DUMMYFUNCTION("""COMPUTED_VALUE"""),"Oksigen 6m3 MR")</f>
        <v>Oksigen 6m3 MR</v>
      </c>
      <c r="H4253" s="211" t="str">
        <f>IFERROR(__xludf.DUMMYFUNCTION("""COMPUTED_VALUE"""),"IN")</f>
        <v>IN</v>
      </c>
      <c r="I4253" s="211" t="str">
        <f>IFERROR(__xludf.DUMMYFUNCTION("""COMPUTED_VALUE"""),"EMPTY")</f>
        <v>EMPTY</v>
      </c>
      <c r="J4253" s="211">
        <f>IFERROR(__xludf.DUMMYFUNCTION("""COMPUTED_VALUE"""),15.0)</f>
        <v>15</v>
      </c>
      <c r="K4253" s="211"/>
      <c r="L4253" s="211">
        <f>IFERROR(__xludf.DUMMYFUNCTION("""COMPUTED_VALUE"""),0.0)</f>
        <v>0</v>
      </c>
      <c r="M4253" s="211"/>
      <c r="N4253" s="211"/>
      <c r="O4253" s="211" t="b">
        <f>IFERROR(__xludf.DUMMYFUNCTION("""COMPUTED_VALUE"""),FALSE)</f>
        <v>0</v>
      </c>
    </row>
    <row r="4254">
      <c r="A4254" s="210" t="str">
        <f>IFERROR(__xludf.DUMMYFUNCTION("""COMPUTED_VALUE"""),"1261445")</f>
        <v>1261445</v>
      </c>
      <c r="B4254" s="210" t="str">
        <f>IFERROR(__xludf.DUMMYFUNCTION("""COMPUTED_VALUE"""),"1261445")</f>
        <v>1261445</v>
      </c>
      <c r="C4254" s="213">
        <f>IFERROR(__xludf.DUMMYFUNCTION("""COMPUTED_VALUE"""),46111.649664351855)</f>
        <v>46111.64966</v>
      </c>
      <c r="D4254" s="211" t="str">
        <f>IFERROR(__xludf.DUMMYFUNCTION("""COMPUTED_VALUE"""),"9419f673")</f>
        <v>9419f673</v>
      </c>
      <c r="E4254" s="211" t="str">
        <f>IFERROR(__xludf.DUMMYFUNCTION("""COMPUTED_VALUE"""),"PT LONG XING LOGAM INDONESIA")</f>
        <v>PT LONG XING LOGAM INDONESIA</v>
      </c>
      <c r="F4254" s="211" t="str">
        <f>IFERROR(__xludf.DUMMYFUNCTION("""COMPUTED_VALUE"""),"439cf836")</f>
        <v>439cf836</v>
      </c>
      <c r="G4254" s="211" t="str">
        <f>IFERROR(__xludf.DUMMYFUNCTION("""COMPUTED_VALUE"""),"Karbondioksida MR")</f>
        <v>Karbondioksida MR</v>
      </c>
      <c r="H4254" s="211" t="str">
        <f>IFERROR(__xludf.DUMMYFUNCTION("""COMPUTED_VALUE"""),"IN")</f>
        <v>IN</v>
      </c>
      <c r="I4254" s="211" t="str">
        <f>IFERROR(__xludf.DUMMYFUNCTION("""COMPUTED_VALUE"""),"EMPTY")</f>
        <v>EMPTY</v>
      </c>
      <c r="J4254" s="211">
        <f>IFERROR(__xludf.DUMMYFUNCTION("""COMPUTED_VALUE"""),1.0)</f>
        <v>1</v>
      </c>
      <c r="K4254" s="211"/>
      <c r="L4254" s="211">
        <f>IFERROR(__xludf.DUMMYFUNCTION("""COMPUTED_VALUE"""),0.0)</f>
        <v>0</v>
      </c>
      <c r="M4254" s="211"/>
      <c r="N4254" s="211"/>
      <c r="O4254" s="211" t="b">
        <f>IFERROR(__xludf.DUMMYFUNCTION("""COMPUTED_VALUE"""),FALSE)</f>
        <v>0</v>
      </c>
    </row>
    <row r="4255">
      <c r="A4255" s="210" t="str">
        <f>IFERROR(__xludf.DUMMYFUNCTION("""COMPUTED_VALUE"""),"1261445")</f>
        <v>1261445</v>
      </c>
      <c r="B4255" s="210" t="str">
        <f>IFERROR(__xludf.DUMMYFUNCTION("""COMPUTED_VALUE"""),"1261445")</f>
        <v>1261445</v>
      </c>
      <c r="C4255" s="213">
        <f>IFERROR(__xludf.DUMMYFUNCTION("""COMPUTED_VALUE"""),46111.649664351855)</f>
        <v>46111.64966</v>
      </c>
      <c r="D4255" s="211" t="str">
        <f>IFERROR(__xludf.DUMMYFUNCTION("""COMPUTED_VALUE"""),"9419f673")</f>
        <v>9419f673</v>
      </c>
      <c r="E4255" s="211" t="str">
        <f>IFERROR(__xludf.DUMMYFUNCTION("""COMPUTED_VALUE"""),"PT LONG XING LOGAM INDONESIA")</f>
        <v>PT LONG XING LOGAM INDONESIA</v>
      </c>
      <c r="F4255" s="211" t="str">
        <f>IFERROR(__xludf.DUMMYFUNCTION("""COMPUTED_VALUE"""),"be525f3b")</f>
        <v>be525f3b</v>
      </c>
      <c r="G4255" s="211" t="str">
        <f>IFERROR(__xludf.DUMMYFUNCTION("""COMPUTED_VALUE"""),"LPG 12kg")</f>
        <v>LPG 12kg</v>
      </c>
      <c r="H4255" s="211" t="str">
        <f>IFERROR(__xludf.DUMMYFUNCTION("""COMPUTED_VALUE"""),"IN")</f>
        <v>IN</v>
      </c>
      <c r="I4255" s="211" t="str">
        <f>IFERROR(__xludf.DUMMYFUNCTION("""COMPUTED_VALUE"""),"EMPTY")</f>
        <v>EMPTY</v>
      </c>
      <c r="J4255" s="211">
        <f>IFERROR(__xludf.DUMMYFUNCTION("""COMPUTED_VALUE"""),3.0)</f>
        <v>3</v>
      </c>
      <c r="K4255" s="211"/>
      <c r="L4255" s="211">
        <f>IFERROR(__xludf.DUMMYFUNCTION("""COMPUTED_VALUE"""),0.0)</f>
        <v>0</v>
      </c>
      <c r="M4255" s="211"/>
      <c r="N4255" s="211"/>
      <c r="O4255" s="211" t="b">
        <f>IFERROR(__xludf.DUMMYFUNCTION("""COMPUTED_VALUE"""),FALSE)</f>
        <v>0</v>
      </c>
    </row>
    <row r="4256">
      <c r="A4256" s="210" t="str">
        <f>IFERROR(__xludf.DUMMYFUNCTION("""COMPUTED_VALUE"""),"1261472")</f>
        <v>1261472</v>
      </c>
      <c r="B4256" s="210" t="str">
        <f>IFERROR(__xludf.DUMMYFUNCTION("""COMPUTED_VALUE"""),"1261472")</f>
        <v>1261472</v>
      </c>
      <c r="C4256" s="213">
        <f>IFERROR(__xludf.DUMMYFUNCTION("""COMPUTED_VALUE"""),46111.67664351852)</f>
        <v>46111.67664</v>
      </c>
      <c r="D4256" s="211" t="str">
        <f>IFERROR(__xludf.DUMMYFUNCTION("""COMPUTED_VALUE"""),"b2b5f2c5")</f>
        <v>b2b5f2c5</v>
      </c>
      <c r="E4256" s="211" t="str">
        <f>IFERROR(__xludf.DUMMYFUNCTION("""COMPUTED_VALUE"""),"Bengkel Las Bpk. Ari")</f>
        <v>Bengkel Las Bpk. Ari</v>
      </c>
      <c r="F4256" s="211" t="str">
        <f>IFERROR(__xludf.DUMMYFUNCTION("""COMPUTED_VALUE"""),"8bdbe149")</f>
        <v>8bdbe149</v>
      </c>
      <c r="G4256" s="211" t="str">
        <f>IFERROR(__xludf.DUMMYFUNCTION("""COMPUTED_VALUE"""),"Oksigen 6m3")</f>
        <v>Oksigen 6m3</v>
      </c>
      <c r="H4256" s="211" t="str">
        <f>IFERROR(__xludf.DUMMYFUNCTION("""COMPUTED_VALUE"""),"IN")</f>
        <v>IN</v>
      </c>
      <c r="I4256" s="211" t="str">
        <f>IFERROR(__xludf.DUMMYFUNCTION("""COMPUTED_VALUE"""),"EMPTY")</f>
        <v>EMPTY</v>
      </c>
      <c r="J4256" s="211">
        <f>IFERROR(__xludf.DUMMYFUNCTION("""COMPUTED_VALUE"""),4.0)</f>
        <v>4</v>
      </c>
      <c r="K4256" s="210" t="str">
        <f>IFERROR(__xludf.DUMMYFUNCTION("""COMPUTED_VALUE"""),"1154 11354 11362 1155")</f>
        <v>1154 11354 11362 1155</v>
      </c>
      <c r="L4256" s="211">
        <f>IFERROR(__xludf.DUMMYFUNCTION("""COMPUTED_VALUE"""),0.0)</f>
        <v>0</v>
      </c>
      <c r="M4256" s="211"/>
      <c r="N4256" s="211"/>
      <c r="O4256" s="211" t="b">
        <f>IFERROR(__xludf.DUMMYFUNCTION("""COMPUTED_VALUE"""),FALSE)</f>
        <v>0</v>
      </c>
    </row>
    <row r="4257">
      <c r="A4257" s="210" t="str">
        <f>IFERROR(__xludf.DUMMYFUNCTION("""COMPUTED_VALUE"""),"1261474")</f>
        <v>1261474</v>
      </c>
      <c r="B4257" s="210" t="str">
        <f>IFERROR(__xludf.DUMMYFUNCTION("""COMPUTED_VALUE"""),"1261474")</f>
        <v>1261474</v>
      </c>
      <c r="C4257" s="213">
        <f>IFERROR(__xludf.DUMMYFUNCTION("""COMPUTED_VALUE"""),46111.67706018518)</f>
        <v>46111.67706</v>
      </c>
      <c r="D4257" s="211" t="str">
        <f>IFERROR(__xludf.DUMMYFUNCTION("""COMPUTED_VALUE"""),"7b9d8eba")</f>
        <v>7b9d8eba</v>
      </c>
      <c r="E4257" s="211" t="str">
        <f>IFERROR(__xludf.DUMMYFUNCTION("""COMPUTED_VALUE"""),"PT PELANGI INDOKARYA")</f>
        <v>PT PELANGI INDOKARYA</v>
      </c>
      <c r="F4257" s="211" t="str">
        <f>IFERROR(__xludf.DUMMYFUNCTION("""COMPUTED_VALUE"""),"b7a8fff1")</f>
        <v>b7a8fff1</v>
      </c>
      <c r="G4257" s="211" t="str">
        <f>IFERROR(__xludf.DUMMYFUNCTION("""COMPUTED_VALUE"""),"LPG 50kg")</f>
        <v>LPG 50kg</v>
      </c>
      <c r="H4257" s="211" t="str">
        <f>IFERROR(__xludf.DUMMYFUNCTION("""COMPUTED_VALUE"""),"IN")</f>
        <v>IN</v>
      </c>
      <c r="I4257" s="211" t="str">
        <f>IFERROR(__xludf.DUMMYFUNCTION("""COMPUTED_VALUE"""),"EMPTY")</f>
        <v>EMPTY</v>
      </c>
      <c r="J4257" s="211">
        <f>IFERROR(__xludf.DUMMYFUNCTION("""COMPUTED_VALUE"""),1.0)</f>
        <v>1</v>
      </c>
      <c r="K4257" s="210" t="str">
        <f>IFERROR(__xludf.DUMMYFUNCTION("""COMPUTED_VALUE"""),"LL002")</f>
        <v>LL002</v>
      </c>
      <c r="L4257" s="211">
        <f>IFERROR(__xludf.DUMMYFUNCTION("""COMPUTED_VALUE"""),0.0)</f>
        <v>0</v>
      </c>
      <c r="M4257" s="211"/>
      <c r="N4257" s="211"/>
      <c r="O4257" s="211" t="b">
        <f>IFERROR(__xludf.DUMMYFUNCTION("""COMPUTED_VALUE"""),FALSE)</f>
        <v>0</v>
      </c>
    </row>
    <row r="4258">
      <c r="A4258" s="210" t="str">
        <f>IFERROR(__xludf.DUMMYFUNCTION("""COMPUTED_VALUE"""),"1261440")</f>
        <v>1261440</v>
      </c>
      <c r="B4258" s="210" t="str">
        <f>IFERROR(__xludf.DUMMYFUNCTION("""COMPUTED_VALUE"""),"1261440")</f>
        <v>1261440</v>
      </c>
      <c r="C4258" s="213">
        <f>IFERROR(__xludf.DUMMYFUNCTION("""COMPUTED_VALUE"""),46111.67736111111)</f>
        <v>46111.67736</v>
      </c>
      <c r="D4258" s="211" t="str">
        <f>IFERROR(__xludf.DUMMYFUNCTION("""COMPUTED_VALUE"""),"63fc688a")</f>
        <v>63fc688a</v>
      </c>
      <c r="E4258" s="211" t="str">
        <f>IFERROR(__xludf.DUMMYFUNCTION("""COMPUTED_VALUE"""),"CV Malik Nusantara")</f>
        <v>CV Malik Nusantara</v>
      </c>
      <c r="F4258" s="211" t="str">
        <f>IFERROR(__xludf.DUMMYFUNCTION("""COMPUTED_VALUE"""),"ef306e54")</f>
        <v>ef306e54</v>
      </c>
      <c r="G4258" s="211" t="str">
        <f>IFERROR(__xludf.DUMMYFUNCTION("""COMPUTED_VALUE"""),"Karbondioksida")</f>
        <v>Karbondioksida</v>
      </c>
      <c r="H4258" s="211" t="str">
        <f>IFERROR(__xludf.DUMMYFUNCTION("""COMPUTED_VALUE"""),"IN")</f>
        <v>IN</v>
      </c>
      <c r="I4258" s="211" t="str">
        <f>IFERROR(__xludf.DUMMYFUNCTION("""COMPUTED_VALUE"""),"EMPTY")</f>
        <v>EMPTY</v>
      </c>
      <c r="J4258" s="211">
        <f>IFERROR(__xludf.DUMMYFUNCTION("""COMPUTED_VALUE"""),4.0)</f>
        <v>4</v>
      </c>
      <c r="K4258" s="210" t="str">
        <f>IFERROR(__xludf.DUMMYFUNCTION("""COMPUTED_VALUE"""),"13017 13035 13070 13014")</f>
        <v>13017 13035 13070 13014</v>
      </c>
      <c r="L4258" s="211">
        <f>IFERROR(__xludf.DUMMYFUNCTION("""COMPUTED_VALUE"""),0.0)</f>
        <v>0</v>
      </c>
      <c r="M4258" s="211"/>
      <c r="N4258" s="211"/>
      <c r="O4258" s="211" t="b">
        <f>IFERROR(__xludf.DUMMYFUNCTION("""COMPUTED_VALUE"""),FALSE)</f>
        <v>0</v>
      </c>
    </row>
    <row r="4259">
      <c r="A4259" s="210" t="str">
        <f>IFERROR(__xludf.DUMMYFUNCTION("""COMPUTED_VALUE"""),"1261440")</f>
        <v>1261440</v>
      </c>
      <c r="B4259" s="210" t="str">
        <f>IFERROR(__xludf.DUMMYFUNCTION("""COMPUTED_VALUE"""),"1261440")</f>
        <v>1261440</v>
      </c>
      <c r="C4259" s="213">
        <f>IFERROR(__xludf.DUMMYFUNCTION("""COMPUTED_VALUE"""),46111.67736111111)</f>
        <v>46111.67736</v>
      </c>
      <c r="D4259" s="211" t="str">
        <f>IFERROR(__xludf.DUMMYFUNCTION("""COMPUTED_VALUE"""),"63fc688a")</f>
        <v>63fc688a</v>
      </c>
      <c r="E4259" s="211" t="str">
        <f>IFERROR(__xludf.DUMMYFUNCTION("""COMPUTED_VALUE"""),"CV Malik Nusantara")</f>
        <v>CV Malik Nusantara</v>
      </c>
      <c r="F4259" s="211" t="str">
        <f>IFERROR(__xludf.DUMMYFUNCTION("""COMPUTED_VALUE"""),"7d2764f1")</f>
        <v>7d2764f1</v>
      </c>
      <c r="G4259" s="211" t="str">
        <f>IFERROR(__xludf.DUMMYFUNCTION("""COMPUTED_VALUE"""),"Oksigen 7m3")</f>
        <v>Oksigen 7m3</v>
      </c>
      <c r="H4259" s="211" t="str">
        <f>IFERROR(__xludf.DUMMYFUNCTION("""COMPUTED_VALUE"""),"IN")</f>
        <v>IN</v>
      </c>
      <c r="I4259" s="211" t="str">
        <f>IFERROR(__xludf.DUMMYFUNCTION("""COMPUTED_VALUE"""),"EMPTY")</f>
        <v>EMPTY</v>
      </c>
      <c r="J4259" s="211">
        <f>IFERROR(__xludf.DUMMYFUNCTION("""COMPUTED_VALUE"""),1.0)</f>
        <v>1</v>
      </c>
      <c r="K4259" s="210" t="str">
        <f>IFERROR(__xludf.DUMMYFUNCTION("""COMPUTED_VALUE"""),"11394")</f>
        <v>11394</v>
      </c>
      <c r="L4259" s="211">
        <f>IFERROR(__xludf.DUMMYFUNCTION("""COMPUTED_VALUE"""),0.0)</f>
        <v>0</v>
      </c>
      <c r="M4259" s="211"/>
      <c r="N4259" s="211"/>
      <c r="O4259" s="211" t="b">
        <f>IFERROR(__xludf.DUMMYFUNCTION("""COMPUTED_VALUE"""),TRUE)</f>
        <v>1</v>
      </c>
    </row>
    <row r="4260">
      <c r="A4260" s="210" t="str">
        <f>IFERROR(__xludf.DUMMYFUNCTION("""COMPUTED_VALUE"""),"1261440")</f>
        <v>1261440</v>
      </c>
      <c r="B4260" s="210" t="str">
        <f>IFERROR(__xludf.DUMMYFUNCTION("""COMPUTED_VALUE"""),"1261440")</f>
        <v>1261440</v>
      </c>
      <c r="C4260" s="213">
        <f>IFERROR(__xludf.DUMMYFUNCTION("""COMPUTED_VALUE"""),46111.67736111111)</f>
        <v>46111.67736</v>
      </c>
      <c r="D4260" s="211" t="str">
        <f>IFERROR(__xludf.DUMMYFUNCTION("""COMPUTED_VALUE"""),"63fc688a")</f>
        <v>63fc688a</v>
      </c>
      <c r="E4260" s="211" t="str">
        <f>IFERROR(__xludf.DUMMYFUNCTION("""COMPUTED_VALUE"""),"CV Malik Nusantara")</f>
        <v>CV Malik Nusantara</v>
      </c>
      <c r="F4260" s="211" t="str">
        <f>IFERROR(__xludf.DUMMYFUNCTION("""COMPUTED_VALUE"""),"8bdbe149")</f>
        <v>8bdbe149</v>
      </c>
      <c r="G4260" s="211" t="str">
        <f>IFERROR(__xludf.DUMMYFUNCTION("""COMPUTED_VALUE"""),"Oksigen 6m3")</f>
        <v>Oksigen 6m3</v>
      </c>
      <c r="H4260" s="211" t="str">
        <f>IFERROR(__xludf.DUMMYFUNCTION("""COMPUTED_VALUE"""),"IN")</f>
        <v>IN</v>
      </c>
      <c r="I4260" s="211" t="str">
        <f>IFERROR(__xludf.DUMMYFUNCTION("""COMPUTED_VALUE"""),"EMPTY")</f>
        <v>EMPTY</v>
      </c>
      <c r="J4260" s="211">
        <f>IFERROR(__xludf.DUMMYFUNCTION("""COMPUTED_VALUE"""),4.0)</f>
        <v>4</v>
      </c>
      <c r="K4260" s="210" t="str">
        <f>IFERROR(__xludf.DUMMYFUNCTION("""COMPUTED_VALUE"""),"1132 1126 11380 1111")</f>
        <v>1132 1126 11380 1111</v>
      </c>
      <c r="L4260" s="211">
        <f>IFERROR(__xludf.DUMMYFUNCTION("""COMPUTED_VALUE"""),0.0)</f>
        <v>0</v>
      </c>
      <c r="M4260" s="211"/>
      <c r="N4260" s="211"/>
      <c r="O4260" s="211" t="b">
        <f>IFERROR(__xludf.DUMMYFUNCTION("""COMPUTED_VALUE"""),TRUE)</f>
        <v>1</v>
      </c>
    </row>
    <row r="4261">
      <c r="A4261" s="210" t="str">
        <f>IFERROR(__xludf.DUMMYFUNCTION("""COMPUTED_VALUE"""),"1261440")</f>
        <v>1261440</v>
      </c>
      <c r="B4261" s="210" t="str">
        <f>IFERROR(__xludf.DUMMYFUNCTION("""COMPUTED_VALUE"""),"1261440")</f>
        <v>1261440</v>
      </c>
      <c r="C4261" s="213">
        <f>IFERROR(__xludf.DUMMYFUNCTION("""COMPUTED_VALUE"""),46111.67736111111)</f>
        <v>46111.67736</v>
      </c>
      <c r="D4261" s="211" t="str">
        <f>IFERROR(__xludf.DUMMYFUNCTION("""COMPUTED_VALUE"""),"63fc688a")</f>
        <v>63fc688a</v>
      </c>
      <c r="E4261" s="211" t="str">
        <f>IFERROR(__xludf.DUMMYFUNCTION("""COMPUTED_VALUE"""),"CV Malik Nusantara")</f>
        <v>CV Malik Nusantara</v>
      </c>
      <c r="F4261" s="211" t="str">
        <f>IFERROR(__xludf.DUMMYFUNCTION("""COMPUTED_VALUE"""),"8bdbe149")</f>
        <v>8bdbe149</v>
      </c>
      <c r="G4261" s="211" t="str">
        <f>IFERROR(__xludf.DUMMYFUNCTION("""COMPUTED_VALUE"""),"Oksigen 6m3")</f>
        <v>Oksigen 6m3</v>
      </c>
      <c r="H4261" s="211" t="str">
        <f>IFERROR(__xludf.DUMMYFUNCTION("""COMPUTED_VALUE"""),"IN")</f>
        <v>IN</v>
      </c>
      <c r="I4261" s="211" t="str">
        <f>IFERROR(__xludf.DUMMYFUNCTION("""COMPUTED_VALUE"""),"EMPTY")</f>
        <v>EMPTY</v>
      </c>
      <c r="J4261" s="211">
        <f>IFERROR(__xludf.DUMMYFUNCTION("""COMPUTED_VALUE"""),5.0)</f>
        <v>5</v>
      </c>
      <c r="K4261" s="210" t="str">
        <f>IFERROR(__xludf.DUMMYFUNCTION("""COMPUTED_VALUE"""),"1120 11378 11246 11277 11192")</f>
        <v>1120 11378 11246 11277 11192</v>
      </c>
      <c r="L4261" s="211">
        <f>IFERROR(__xludf.DUMMYFUNCTION("""COMPUTED_VALUE"""),0.0)</f>
        <v>0</v>
      </c>
      <c r="M4261" s="211"/>
      <c r="N4261" s="211"/>
      <c r="O4261" s="211" t="b">
        <f>IFERROR(__xludf.DUMMYFUNCTION("""COMPUTED_VALUE"""),FALSE)</f>
        <v>0</v>
      </c>
    </row>
    <row r="4262">
      <c r="A4262" s="210" t="str">
        <f>IFERROR(__xludf.DUMMYFUNCTION("""COMPUTED_VALUE"""),"1261439")</f>
        <v>1261439</v>
      </c>
      <c r="B4262" s="210" t="str">
        <f>IFERROR(__xludf.DUMMYFUNCTION("""COMPUTED_VALUE"""),"1261439")</f>
        <v>1261439</v>
      </c>
      <c r="C4262" s="213">
        <f>IFERROR(__xludf.DUMMYFUNCTION("""COMPUTED_VALUE"""),46111.6824537037)</f>
        <v>46111.68245</v>
      </c>
      <c r="D4262" s="211" t="str">
        <f>IFERROR(__xludf.DUMMYFUNCTION("""COMPUTED_VALUE"""),"2d88931c")</f>
        <v>2d88931c</v>
      </c>
      <c r="E4262" s="211" t="str">
        <f>IFERROR(__xludf.DUMMYFUNCTION("""COMPUTED_VALUE"""),"PT Dunia Berkat Marga Mulya")</f>
        <v>PT Dunia Berkat Marga Mulya</v>
      </c>
      <c r="F4262" s="211" t="str">
        <f>IFERROR(__xludf.DUMMYFUNCTION("""COMPUTED_VALUE"""),"8bdbe149")</f>
        <v>8bdbe149</v>
      </c>
      <c r="G4262" s="211" t="str">
        <f>IFERROR(__xludf.DUMMYFUNCTION("""COMPUTED_VALUE"""),"Oksigen 6m3")</f>
        <v>Oksigen 6m3</v>
      </c>
      <c r="H4262" s="211" t="str">
        <f>IFERROR(__xludf.DUMMYFUNCTION("""COMPUTED_VALUE"""),"IN")</f>
        <v>IN</v>
      </c>
      <c r="I4262" s="211" t="str">
        <f>IFERROR(__xludf.DUMMYFUNCTION("""COMPUTED_VALUE"""),"EMPTY")</f>
        <v>EMPTY</v>
      </c>
      <c r="J4262" s="211">
        <f>IFERROR(__xludf.DUMMYFUNCTION("""COMPUTED_VALUE"""),1.0)</f>
        <v>1</v>
      </c>
      <c r="K4262" s="210" t="str">
        <f>IFERROR(__xludf.DUMMYFUNCTION("""COMPUTED_VALUE"""),"11381")</f>
        <v>11381</v>
      </c>
      <c r="L4262" s="211">
        <f>IFERROR(__xludf.DUMMYFUNCTION("""COMPUTED_VALUE"""),0.0)</f>
        <v>0</v>
      </c>
      <c r="M4262" s="211"/>
      <c r="N4262" s="211"/>
      <c r="O4262" s="211" t="b">
        <f>IFERROR(__xludf.DUMMYFUNCTION("""COMPUTED_VALUE"""),FALSE)</f>
        <v>0</v>
      </c>
    </row>
    <row r="4263">
      <c r="A4263" s="210" t="str">
        <f>IFERROR(__xludf.DUMMYFUNCTION("""COMPUTED_VALUE"""),"4032612903")</f>
        <v>4032612903</v>
      </c>
      <c r="B4263" s="210" t="str">
        <f>IFERROR(__xludf.DUMMYFUNCTION("""COMPUTED_VALUE"""),"4032612903")</f>
        <v>4032612903</v>
      </c>
      <c r="C4263" s="213">
        <f>IFERROR(__xludf.DUMMYFUNCTION("""COMPUTED_VALUE"""),46112.363275462965)</f>
        <v>46112.36328</v>
      </c>
      <c r="D4263" s="211" t="str">
        <f>IFERROR(__xludf.DUMMYFUNCTION("""COMPUTED_VALUE"""),"f49860e4")</f>
        <v>f49860e4</v>
      </c>
      <c r="E4263" s="211" t="str">
        <f>IFERROR(__xludf.DUMMYFUNCTION("""COMPUTED_VALUE"""),"Mas Nur ( Jetis )")</f>
        <v>Mas Nur ( Jetis )</v>
      </c>
      <c r="F4263" s="211" t="str">
        <f>IFERROR(__xludf.DUMMYFUNCTION("""COMPUTED_VALUE"""),"8bdbe149")</f>
        <v>8bdbe149</v>
      </c>
      <c r="G4263" s="211" t="str">
        <f>IFERROR(__xludf.DUMMYFUNCTION("""COMPUTED_VALUE"""),"Oksigen 6m3")</f>
        <v>Oksigen 6m3</v>
      </c>
      <c r="H4263" s="211" t="str">
        <f>IFERROR(__xludf.DUMMYFUNCTION("""COMPUTED_VALUE"""),"OTHER")</f>
        <v>OTHER</v>
      </c>
      <c r="I4263" s="211" t="str">
        <f>IFERROR(__xludf.DUMMYFUNCTION("""COMPUTED_VALUE"""),"RETUR CLAIM")</f>
        <v>RETUR CLAIM</v>
      </c>
      <c r="J4263" s="211">
        <f>IFERROR(__xludf.DUMMYFUNCTION("""COMPUTED_VALUE"""),1.0)</f>
        <v>1</v>
      </c>
      <c r="K4263" s="210" t="str">
        <f>IFERROR(__xludf.DUMMYFUNCTION("""COMPUTED_VALUE"""),"11132")</f>
        <v>11132</v>
      </c>
      <c r="L4263" s="211">
        <f>IFERROR(__xludf.DUMMYFUNCTION("""COMPUTED_VALUE"""),0.0)</f>
        <v>0</v>
      </c>
      <c r="M4263" s="211"/>
      <c r="N4263" s="211"/>
      <c r="O4263" s="211" t="b">
        <f>IFERROR(__xludf.DUMMYFUNCTION("""COMPUTED_VALUE"""),FALSE)</f>
        <v>0</v>
      </c>
    </row>
    <row r="4264">
      <c r="A4264" s="210" t="str">
        <f>IFERROR(__xludf.DUMMYFUNCTION("""COMPUTED_VALUE"""),"0326412914")</f>
        <v>0326412914</v>
      </c>
      <c r="B4264" s="210" t="str">
        <f>IFERROR(__xludf.DUMMYFUNCTION("""COMPUTED_VALUE"""),"0326412914")</f>
        <v>0326412914</v>
      </c>
      <c r="C4264" s="213">
        <f>IFERROR(__xludf.DUMMYFUNCTION("""COMPUTED_VALUE"""),46112.366261574076)</f>
        <v>46112.36626</v>
      </c>
      <c r="D4264" s="211" t="str">
        <f>IFERROR(__xludf.DUMMYFUNCTION("""COMPUTED_VALUE"""),"785e0e07")</f>
        <v>785e0e07</v>
      </c>
      <c r="E4264" s="211" t="str">
        <f>IFERROR(__xludf.DUMMYFUNCTION("""COMPUTED_VALUE"""),"Bpk. Sukirno (Bejo)")</f>
        <v>Bpk. Sukirno (Bejo)</v>
      </c>
      <c r="F4264" s="211" t="str">
        <f>IFERROR(__xludf.DUMMYFUNCTION("""COMPUTED_VALUE"""),"8bdbe149")</f>
        <v>8bdbe149</v>
      </c>
      <c r="G4264" s="211" t="str">
        <f>IFERROR(__xludf.DUMMYFUNCTION("""COMPUTED_VALUE"""),"Oksigen 6m3")</f>
        <v>Oksigen 6m3</v>
      </c>
      <c r="H4264" s="211" t="str">
        <f>IFERROR(__xludf.DUMMYFUNCTION("""COMPUTED_VALUE"""),"OUT")</f>
        <v>OUT</v>
      </c>
      <c r="I4264" s="211" t="str">
        <f>IFERROR(__xludf.DUMMYFUNCTION("""COMPUTED_VALUE"""),"NORMAL")</f>
        <v>NORMAL</v>
      </c>
      <c r="J4264" s="211">
        <f>IFERROR(__xludf.DUMMYFUNCTION("""COMPUTED_VALUE"""),10.0)</f>
        <v>10</v>
      </c>
      <c r="K4264" s="210" t="str">
        <f>IFERROR(__xludf.DUMMYFUNCTION("""COMPUTED_VALUE"""),"11109 11244 11205 11183 11364 11370 11201 11294 11237 1193")</f>
        <v>11109 11244 11205 11183 11364 11370 11201 11294 11237 1193</v>
      </c>
      <c r="L4264" s="211">
        <f>IFERROR(__xludf.DUMMYFUNCTION("""COMPUTED_VALUE"""),60000.0)</f>
        <v>60000</v>
      </c>
      <c r="M4264" s="211"/>
      <c r="N4264" s="211"/>
      <c r="O4264" s="211" t="b">
        <f>IFERROR(__xludf.DUMMYFUNCTION("""COMPUTED_VALUE"""),FALSE)</f>
        <v>0</v>
      </c>
    </row>
    <row r="4265">
      <c r="A4265" s="210" t="str">
        <f>IFERROR(__xludf.DUMMYFUNCTION("""COMPUTED_VALUE"""),"0326182922")</f>
        <v>0326182922</v>
      </c>
      <c r="B4265" s="210" t="str">
        <f>IFERROR(__xludf.DUMMYFUNCTION("""COMPUTED_VALUE"""),"0326182922")</f>
        <v>0326182922</v>
      </c>
      <c r="C4265" s="213">
        <f>IFERROR(__xludf.DUMMYFUNCTION("""COMPUTED_VALUE"""),46112.36883101852)</f>
        <v>46112.36883</v>
      </c>
      <c r="D4265" s="211" t="str">
        <f>IFERROR(__xludf.DUMMYFUNCTION("""COMPUTED_VALUE"""),"734c6d17")</f>
        <v>734c6d17</v>
      </c>
      <c r="E4265" s="211" t="str">
        <f>IFERROR(__xludf.DUMMYFUNCTION("""COMPUTED_VALUE"""),"Bapak Ainol Yaqin ( Bpk. Ibnu )")</f>
        <v>Bapak Ainol Yaqin ( Bpk. Ibnu )</v>
      </c>
      <c r="F4265" s="211" t="str">
        <f>IFERROR(__xludf.DUMMYFUNCTION("""COMPUTED_VALUE"""),"8bdbe149")</f>
        <v>8bdbe149</v>
      </c>
      <c r="G4265" s="211" t="str">
        <f>IFERROR(__xludf.DUMMYFUNCTION("""COMPUTED_VALUE"""),"Oksigen 6m3")</f>
        <v>Oksigen 6m3</v>
      </c>
      <c r="H4265" s="211" t="str">
        <f>IFERROR(__xludf.DUMMYFUNCTION("""COMPUTED_VALUE"""),"OUT")</f>
        <v>OUT</v>
      </c>
      <c r="I4265" s="211" t="str">
        <f>IFERROR(__xludf.DUMMYFUNCTION("""COMPUTED_VALUE"""),"NORMAL")</f>
        <v>NORMAL</v>
      </c>
      <c r="J4265" s="211">
        <f>IFERROR(__xludf.DUMMYFUNCTION("""COMPUTED_VALUE"""),1.0)</f>
        <v>1</v>
      </c>
      <c r="K4265" s="210" t="str">
        <f>IFERROR(__xludf.DUMMYFUNCTION("""COMPUTED_VALUE"""),"11323")</f>
        <v>11323</v>
      </c>
      <c r="L4265" s="211">
        <f>IFERROR(__xludf.DUMMYFUNCTION("""COMPUTED_VALUE"""),60000.0)</f>
        <v>60000</v>
      </c>
      <c r="M4265" s="211"/>
      <c r="N4265" s="211"/>
      <c r="O4265" s="211" t="b">
        <f>IFERROR(__xludf.DUMMYFUNCTION("""COMPUTED_VALUE"""),FALSE)</f>
        <v>0</v>
      </c>
    </row>
    <row r="4266">
      <c r="A4266" s="210" t="str">
        <f>IFERROR(__xludf.DUMMYFUNCTION("""COMPUTED_VALUE"""),"4032612921")</f>
        <v>4032612921</v>
      </c>
      <c r="B4266" s="210" t="str">
        <f>IFERROR(__xludf.DUMMYFUNCTION("""COMPUTED_VALUE"""),"4032612921")</f>
        <v>4032612921</v>
      </c>
      <c r="C4266" s="213">
        <f>IFERROR(__xludf.DUMMYFUNCTION("""COMPUTED_VALUE"""),46112.36938657407)</f>
        <v>46112.36939</v>
      </c>
      <c r="D4266" s="211" t="str">
        <f>IFERROR(__xludf.DUMMYFUNCTION("""COMPUTED_VALUE"""),"734c6d17")</f>
        <v>734c6d17</v>
      </c>
      <c r="E4266" s="211" t="str">
        <f>IFERROR(__xludf.DUMMYFUNCTION("""COMPUTED_VALUE"""),"Bapak Ainol Yaqin ( Bpk. Ibnu )")</f>
        <v>Bapak Ainol Yaqin ( Bpk. Ibnu )</v>
      </c>
      <c r="F4266" s="211" t="str">
        <f>IFERROR(__xludf.DUMMYFUNCTION("""COMPUTED_VALUE"""),"8bdbe149")</f>
        <v>8bdbe149</v>
      </c>
      <c r="G4266" s="211" t="str">
        <f>IFERROR(__xludf.DUMMYFUNCTION("""COMPUTED_VALUE"""),"Oksigen 6m3")</f>
        <v>Oksigen 6m3</v>
      </c>
      <c r="H4266" s="211" t="str">
        <f>IFERROR(__xludf.DUMMYFUNCTION("""COMPUTED_VALUE"""),"OTHER")</f>
        <v>OTHER</v>
      </c>
      <c r="I4266" s="211" t="str">
        <f>IFERROR(__xludf.DUMMYFUNCTION("""COMPUTED_VALUE"""),"RETUR CLAIM")</f>
        <v>RETUR CLAIM</v>
      </c>
      <c r="J4266" s="211">
        <f>IFERROR(__xludf.DUMMYFUNCTION("""COMPUTED_VALUE"""),1.0)</f>
        <v>1</v>
      </c>
      <c r="K4266" s="210" t="str">
        <f>IFERROR(__xludf.DUMMYFUNCTION("""COMPUTED_VALUE"""),"11317")</f>
        <v>11317</v>
      </c>
      <c r="L4266" s="211">
        <f>IFERROR(__xludf.DUMMYFUNCTION("""COMPUTED_VALUE"""),0.0)</f>
        <v>0</v>
      </c>
      <c r="M4266" s="211"/>
      <c r="N4266" s="211"/>
      <c r="O4266" s="211" t="b">
        <f>IFERROR(__xludf.DUMMYFUNCTION("""COMPUTED_VALUE"""),FALSE)</f>
        <v>0</v>
      </c>
    </row>
    <row r="4267">
      <c r="A4267" s="211"/>
      <c r="B4267" s="211"/>
      <c r="C4267" s="211"/>
      <c r="D4267" s="211"/>
      <c r="E4267" s="211"/>
      <c r="F4267" s="211"/>
      <c r="G4267" s="211"/>
      <c r="H4267" s="211"/>
      <c r="I4267" s="211"/>
      <c r="J4267" s="211"/>
      <c r="K4267" s="211"/>
      <c r="L4267" s="211"/>
      <c r="M4267" s="211"/>
      <c r="N4267" s="211"/>
      <c r="O4267" s="211"/>
    </row>
    <row r="4268">
      <c r="A4268" s="210" t="str">
        <f>IFERROR(__xludf.DUMMYFUNCTION("""COMPUTED_VALUE"""),"4032622925")</f>
        <v>4032622925</v>
      </c>
      <c r="B4268" s="210" t="str">
        <f>IFERROR(__xludf.DUMMYFUNCTION("""COMPUTED_VALUE"""),"4032622925")</f>
        <v>4032622925</v>
      </c>
      <c r="C4268" s="213">
        <f>IFERROR(__xludf.DUMMYFUNCTION("""COMPUTED_VALUE"""),46112.37233796297)</f>
        <v>46112.37234</v>
      </c>
      <c r="D4268" s="211" t="str">
        <f>IFERROR(__xludf.DUMMYFUNCTION("""COMPUTED_VALUE"""),"734c6d17")</f>
        <v>734c6d17</v>
      </c>
      <c r="E4268" s="211" t="str">
        <f>IFERROR(__xludf.DUMMYFUNCTION("""COMPUTED_VALUE"""),"Bapak Ainol Yaqin ( Bpk. Ibnu )")</f>
        <v>Bapak Ainol Yaqin ( Bpk. Ibnu )</v>
      </c>
      <c r="F4268" s="211" t="str">
        <f>IFERROR(__xludf.DUMMYFUNCTION("""COMPUTED_VALUE"""),"8bdbe149")</f>
        <v>8bdbe149</v>
      </c>
      <c r="G4268" s="211" t="str">
        <f>IFERROR(__xludf.DUMMYFUNCTION("""COMPUTED_VALUE"""),"Oksigen 6m3")</f>
        <v>Oksigen 6m3</v>
      </c>
      <c r="H4268" s="211" t="str">
        <f>IFERROR(__xludf.DUMMYFUNCTION("""COMPUTED_VALUE"""),"OTHER")</f>
        <v>OTHER</v>
      </c>
      <c r="I4268" s="211" t="str">
        <f>IFERROR(__xludf.DUMMYFUNCTION("""COMPUTED_VALUE"""),"RETUR CLAIM")</f>
        <v>RETUR CLAIM</v>
      </c>
      <c r="J4268" s="211">
        <f>IFERROR(__xludf.DUMMYFUNCTION("""COMPUTED_VALUE"""),1.0)</f>
        <v>1</v>
      </c>
      <c r="K4268" s="210" t="str">
        <f>IFERROR(__xludf.DUMMYFUNCTION("""COMPUTED_VALUE"""),"11384")</f>
        <v>11384</v>
      </c>
      <c r="L4268" s="211">
        <f>IFERROR(__xludf.DUMMYFUNCTION("""COMPUTED_VALUE"""),0.0)</f>
        <v>0</v>
      </c>
      <c r="M4268" s="211"/>
      <c r="N4268" s="211" t="str">
        <f>IFERROR(__xludf.DUMMYFUNCTION("""COMPUTED_VALUE"""),"Batuar Krian")</f>
        <v>Batuar Krian</v>
      </c>
      <c r="O4268" s="211" t="b">
        <f>IFERROR(__xludf.DUMMYFUNCTION("""COMPUTED_VALUE"""),FALSE)</f>
        <v>0</v>
      </c>
    </row>
    <row r="4269">
      <c r="A4269" s="210" t="str">
        <f>IFERROR(__xludf.DUMMYFUNCTION("""COMPUTED_VALUE"""),"0326162923")</f>
        <v>0326162923</v>
      </c>
      <c r="B4269" s="210" t="str">
        <f>IFERROR(__xludf.DUMMYFUNCTION("""COMPUTED_VALUE"""),"0326162923")</f>
        <v>0326162923</v>
      </c>
      <c r="C4269" s="213">
        <f>IFERROR(__xludf.DUMMYFUNCTION("""COMPUTED_VALUE"""),46112.37297453704)</f>
        <v>46112.37297</v>
      </c>
      <c r="D4269" s="211" t="str">
        <f>IFERROR(__xludf.DUMMYFUNCTION("""COMPUTED_VALUE"""),"ba97d58d")</f>
        <v>ba97d58d</v>
      </c>
      <c r="E4269" s="211" t="str">
        <f>IFERROR(__xludf.DUMMYFUNCTION("""COMPUTED_VALUE"""),"Bengkel Citra Mojosari")</f>
        <v>Bengkel Citra Mojosari</v>
      </c>
      <c r="F4269" s="211" t="str">
        <f>IFERROR(__xludf.DUMMYFUNCTION("""COMPUTED_VALUE"""),"8bdbe149")</f>
        <v>8bdbe149</v>
      </c>
      <c r="G4269" s="211" t="str">
        <f>IFERROR(__xludf.DUMMYFUNCTION("""COMPUTED_VALUE"""),"Oksigen 6m3")</f>
        <v>Oksigen 6m3</v>
      </c>
      <c r="H4269" s="211" t="str">
        <f>IFERROR(__xludf.DUMMYFUNCTION("""COMPUTED_VALUE"""),"OUT")</f>
        <v>OUT</v>
      </c>
      <c r="I4269" s="211" t="str">
        <f>IFERROR(__xludf.DUMMYFUNCTION("""COMPUTED_VALUE"""),"NORMAL")</f>
        <v>NORMAL</v>
      </c>
      <c r="J4269" s="211">
        <f>IFERROR(__xludf.DUMMYFUNCTION("""COMPUTED_VALUE"""),2.0)</f>
        <v>2</v>
      </c>
      <c r="K4269" s="210" t="str">
        <f>IFERROR(__xludf.DUMMYFUNCTION("""COMPUTED_VALUE"""),"1184 1101")</f>
        <v>1184 1101</v>
      </c>
      <c r="L4269" s="211">
        <f>IFERROR(__xludf.DUMMYFUNCTION("""COMPUTED_VALUE"""),65000.0)</f>
        <v>65000</v>
      </c>
      <c r="M4269" s="211"/>
      <c r="N4269" s="211"/>
      <c r="O4269" s="211" t="b">
        <f>IFERROR(__xludf.DUMMYFUNCTION("""COMPUTED_VALUE"""),FALSE)</f>
        <v>0</v>
      </c>
    </row>
    <row r="4270">
      <c r="A4270" s="210" t="str">
        <f>IFERROR(__xludf.DUMMYFUNCTION("""COMPUTED_VALUE"""),"4032632926")</f>
        <v>4032632926</v>
      </c>
      <c r="B4270" s="210" t="str">
        <f>IFERROR(__xludf.DUMMYFUNCTION("""COMPUTED_VALUE"""),"4032632926")</f>
        <v>4032632926</v>
      </c>
      <c r="C4270" s="213">
        <f>IFERROR(__xludf.DUMMYFUNCTION("""COMPUTED_VALUE"""),46112.37771990741)</f>
        <v>46112.37772</v>
      </c>
      <c r="D4270" s="211" t="str">
        <f>IFERROR(__xludf.DUMMYFUNCTION("""COMPUTED_VALUE"""),"b218b89b")</f>
        <v>b218b89b</v>
      </c>
      <c r="E4270" s="211" t="str">
        <f>IFERROR(__xludf.DUMMYFUNCTION("""COMPUTED_VALUE"""),"PT Harapan Sentosa")</f>
        <v>PT Harapan Sentosa</v>
      </c>
      <c r="F4270" s="211" t="str">
        <f>IFERROR(__xludf.DUMMYFUNCTION("""COMPUTED_VALUE"""),"8bdbe149")</f>
        <v>8bdbe149</v>
      </c>
      <c r="G4270" s="211" t="str">
        <f>IFERROR(__xludf.DUMMYFUNCTION("""COMPUTED_VALUE"""),"Oksigen 6m3")</f>
        <v>Oksigen 6m3</v>
      </c>
      <c r="H4270" s="211" t="str">
        <f>IFERROR(__xludf.DUMMYFUNCTION("""COMPUTED_VALUE"""),"OTHER")</f>
        <v>OTHER</v>
      </c>
      <c r="I4270" s="211" t="str">
        <f>IFERROR(__xludf.DUMMYFUNCTION("""COMPUTED_VALUE"""),"RETUR CLAIM")</f>
        <v>RETUR CLAIM</v>
      </c>
      <c r="J4270" s="211">
        <f>IFERROR(__xludf.DUMMYFUNCTION("""COMPUTED_VALUE"""),1.0)</f>
        <v>1</v>
      </c>
      <c r="K4270" s="210" t="str">
        <f>IFERROR(__xludf.DUMMYFUNCTION("""COMPUTED_VALUE"""),"11319")</f>
        <v>11319</v>
      </c>
      <c r="L4270" s="211">
        <f>IFERROR(__xludf.DUMMYFUNCTION("""COMPUTED_VALUE"""),0.0)</f>
        <v>0</v>
      </c>
      <c r="M4270" s="211"/>
      <c r="N4270" s="211"/>
      <c r="O4270" s="211" t="b">
        <f>IFERROR(__xludf.DUMMYFUNCTION("""COMPUTED_VALUE"""),FALSE)</f>
        <v>0</v>
      </c>
    </row>
    <row r="4271">
      <c r="A4271" s="210" t="str">
        <f>IFERROR(__xludf.DUMMYFUNCTION("""COMPUTED_VALUE"""),"0326362927")</f>
        <v>0326362927</v>
      </c>
      <c r="B4271" s="210" t="str">
        <f>IFERROR(__xludf.DUMMYFUNCTION("""COMPUTED_VALUE"""),"0326362927")</f>
        <v>0326362927</v>
      </c>
      <c r="C4271" s="213">
        <f>IFERROR(__xludf.DUMMYFUNCTION("""COMPUTED_VALUE"""),46112.38122685185)</f>
        <v>46112.38123</v>
      </c>
      <c r="D4271" s="211" t="str">
        <f>IFERROR(__xludf.DUMMYFUNCTION("""COMPUTED_VALUE"""),"63fc688a")</f>
        <v>63fc688a</v>
      </c>
      <c r="E4271" s="211" t="str">
        <f>IFERROR(__xludf.DUMMYFUNCTION("""COMPUTED_VALUE"""),"CV Malik Nusantara")</f>
        <v>CV Malik Nusantara</v>
      </c>
      <c r="F4271" s="211" t="str">
        <f>IFERROR(__xludf.DUMMYFUNCTION("""COMPUTED_VALUE"""),"8bdbe149")</f>
        <v>8bdbe149</v>
      </c>
      <c r="G4271" s="211" t="str">
        <f>IFERROR(__xludf.DUMMYFUNCTION("""COMPUTED_VALUE"""),"Oksigen 6m3")</f>
        <v>Oksigen 6m3</v>
      </c>
      <c r="H4271" s="211" t="str">
        <f>IFERROR(__xludf.DUMMYFUNCTION("""COMPUTED_VALUE"""),"OUT")</f>
        <v>OUT</v>
      </c>
      <c r="I4271" s="211" t="str">
        <f>IFERROR(__xludf.DUMMYFUNCTION("""COMPUTED_VALUE"""),"NORMAL")</f>
        <v>NORMAL</v>
      </c>
      <c r="J4271" s="211">
        <f>IFERROR(__xludf.DUMMYFUNCTION("""COMPUTED_VALUE"""),4.0)</f>
        <v>4</v>
      </c>
      <c r="K4271" s="210" t="str">
        <f>IFERROR(__xludf.DUMMYFUNCTION("""COMPUTED_VALUE"""),"1197 1171 11350 11373")</f>
        <v>1197 1171 11350 11373</v>
      </c>
      <c r="L4271" s="211">
        <f>IFERROR(__xludf.DUMMYFUNCTION("""COMPUTED_VALUE"""),65000.0)</f>
        <v>65000</v>
      </c>
      <c r="M4271" s="211"/>
      <c r="N4271" s="211"/>
      <c r="O4271" s="211" t="b">
        <f>IFERROR(__xludf.DUMMYFUNCTION("""COMPUTED_VALUE"""),FALSE)</f>
        <v>0</v>
      </c>
    </row>
    <row r="4272">
      <c r="A4272" s="210" t="str">
        <f>IFERROR(__xludf.DUMMYFUNCTION("""COMPUTED_VALUE"""),"0326362927")</f>
        <v>0326362927</v>
      </c>
      <c r="B4272" s="210" t="str">
        <f>IFERROR(__xludf.DUMMYFUNCTION("""COMPUTED_VALUE"""),"0326362927")</f>
        <v>0326362927</v>
      </c>
      <c r="C4272" s="213">
        <f>IFERROR(__xludf.DUMMYFUNCTION("""COMPUTED_VALUE"""),46112.38122685185)</f>
        <v>46112.38123</v>
      </c>
      <c r="D4272" s="211" t="str">
        <f>IFERROR(__xludf.DUMMYFUNCTION("""COMPUTED_VALUE"""),"63fc688a")</f>
        <v>63fc688a</v>
      </c>
      <c r="E4272" s="211" t="str">
        <f>IFERROR(__xludf.DUMMYFUNCTION("""COMPUTED_VALUE"""),"CV Malik Nusantara")</f>
        <v>CV Malik Nusantara</v>
      </c>
      <c r="F4272" s="211" t="str">
        <f>IFERROR(__xludf.DUMMYFUNCTION("""COMPUTED_VALUE"""),"7d2764f1")</f>
        <v>7d2764f1</v>
      </c>
      <c r="G4272" s="211" t="str">
        <f>IFERROR(__xludf.DUMMYFUNCTION("""COMPUTED_VALUE"""),"Oksigen 7m3")</f>
        <v>Oksigen 7m3</v>
      </c>
      <c r="H4272" s="211" t="str">
        <f>IFERROR(__xludf.DUMMYFUNCTION("""COMPUTED_VALUE"""),"OUT")</f>
        <v>OUT</v>
      </c>
      <c r="I4272" s="211" t="str">
        <f>IFERROR(__xludf.DUMMYFUNCTION("""COMPUTED_VALUE"""),"NORMAL")</f>
        <v>NORMAL</v>
      </c>
      <c r="J4272" s="211">
        <f>IFERROR(__xludf.DUMMYFUNCTION("""COMPUTED_VALUE"""),6.0)</f>
        <v>6</v>
      </c>
      <c r="K4272" s="210" t="str">
        <f>IFERROR(__xludf.DUMMYFUNCTION("""COMPUTED_VALUE"""),"11301 11161 11166 11269 11391 11178")</f>
        <v>11301 11161 11166 11269 11391 11178</v>
      </c>
      <c r="L4272" s="211">
        <f>IFERROR(__xludf.DUMMYFUNCTION("""COMPUTED_VALUE"""),65000.0)</f>
        <v>65000</v>
      </c>
      <c r="M4272" s="211"/>
      <c r="N4272" s="211"/>
      <c r="O4272" s="211" t="b">
        <f>IFERROR(__xludf.DUMMYFUNCTION("""COMPUTED_VALUE"""),FALSE)</f>
        <v>0</v>
      </c>
    </row>
    <row r="4273">
      <c r="A4273" s="210" t="str">
        <f>IFERROR(__xludf.DUMMYFUNCTION("""COMPUTED_VALUE"""),"1261475")</f>
        <v>1261475</v>
      </c>
      <c r="B4273" s="210" t="str">
        <f>IFERROR(__xludf.DUMMYFUNCTION("""COMPUTED_VALUE"""),"1261475")</f>
        <v>1261475</v>
      </c>
      <c r="C4273" s="213">
        <f>IFERROR(__xludf.DUMMYFUNCTION("""COMPUTED_VALUE"""),46112.56579861111)</f>
        <v>46112.5658</v>
      </c>
      <c r="D4273" s="211" t="str">
        <f>IFERROR(__xludf.DUMMYFUNCTION("""COMPUTED_VALUE"""),"63fc688a")</f>
        <v>63fc688a</v>
      </c>
      <c r="E4273" s="211" t="str">
        <f>IFERROR(__xludf.DUMMYFUNCTION("""COMPUTED_VALUE"""),"CV Malik Nusantara")</f>
        <v>CV Malik Nusantara</v>
      </c>
      <c r="F4273" s="211" t="str">
        <f>IFERROR(__xludf.DUMMYFUNCTION("""COMPUTED_VALUE"""),"8bdbe149")</f>
        <v>8bdbe149</v>
      </c>
      <c r="G4273" s="211" t="str">
        <f>IFERROR(__xludf.DUMMYFUNCTION("""COMPUTED_VALUE"""),"Oksigen 6m3")</f>
        <v>Oksigen 6m3</v>
      </c>
      <c r="H4273" s="211" t="str">
        <f>IFERROR(__xludf.DUMMYFUNCTION("""COMPUTED_VALUE"""),"IN")</f>
        <v>IN</v>
      </c>
      <c r="I4273" s="211" t="str">
        <f>IFERROR(__xludf.DUMMYFUNCTION("""COMPUTED_VALUE"""),"EMPTY")</f>
        <v>EMPTY</v>
      </c>
      <c r="J4273" s="211">
        <f>IFERROR(__xludf.DUMMYFUNCTION("""COMPUTED_VALUE"""),9.0)</f>
        <v>9</v>
      </c>
      <c r="K4273" s="210" t="str">
        <f>IFERROR(__xludf.DUMMYFUNCTION("""COMPUTED_VALUE"""),"11383 11374 11286 11209 11232 11363 11206 1168 11295")</f>
        <v>11383 11374 11286 11209 11232 11363 11206 1168 11295</v>
      </c>
      <c r="L4273" s="211">
        <f>IFERROR(__xludf.DUMMYFUNCTION("""COMPUTED_VALUE"""),0.0)</f>
        <v>0</v>
      </c>
      <c r="M4273" s="211"/>
      <c r="N4273" s="211"/>
      <c r="O4273" s="211" t="b">
        <f>IFERROR(__xludf.DUMMYFUNCTION("""COMPUTED_VALUE"""),FALSE)</f>
        <v>0</v>
      </c>
    </row>
    <row r="4274">
      <c r="A4274" s="210" t="str">
        <f>IFERROR(__xludf.DUMMYFUNCTION("""COMPUTED_VALUE"""),"032672929")</f>
        <v>032672929</v>
      </c>
      <c r="B4274" s="210" t="str">
        <f>IFERROR(__xludf.DUMMYFUNCTION("""COMPUTED_VALUE"""),"032672929")</f>
        <v>032672929</v>
      </c>
      <c r="C4274" s="213">
        <f>IFERROR(__xludf.DUMMYFUNCTION("""COMPUTED_VALUE"""),46112.567881944444)</f>
        <v>46112.56788</v>
      </c>
      <c r="D4274" s="211" t="str">
        <f>IFERROR(__xludf.DUMMYFUNCTION("""COMPUTED_VALUE"""),"cac4449f")</f>
        <v>cac4449f</v>
      </c>
      <c r="E4274" s="211" t="str">
        <f>IFERROR(__xludf.DUMMYFUNCTION("""COMPUTED_VALUE"""),"Bpk. Agus Yahya")</f>
        <v>Bpk. Agus Yahya</v>
      </c>
      <c r="F4274" s="211" t="str">
        <f>IFERROR(__xludf.DUMMYFUNCTION("""COMPUTED_VALUE"""),"f6aab7a9")</f>
        <v>f6aab7a9</v>
      </c>
      <c r="G4274" s="211" t="str">
        <f>IFERROR(__xludf.DUMMYFUNCTION("""COMPUTED_VALUE"""),"Oksigen 6m3 MR")</f>
        <v>Oksigen 6m3 MR</v>
      </c>
      <c r="H4274" s="211" t="str">
        <f>IFERROR(__xludf.DUMMYFUNCTION("""COMPUTED_VALUE"""),"OUT")</f>
        <v>OUT</v>
      </c>
      <c r="I4274" s="211" t="str">
        <f>IFERROR(__xludf.DUMMYFUNCTION("""COMPUTED_VALUE"""),"NORMAL")</f>
        <v>NORMAL</v>
      </c>
      <c r="J4274" s="211">
        <f>IFERROR(__xludf.DUMMYFUNCTION("""COMPUTED_VALUE"""),1.0)</f>
        <v>1</v>
      </c>
      <c r="K4274" s="211"/>
      <c r="L4274" s="211">
        <f>IFERROR(__xludf.DUMMYFUNCTION("""COMPUTED_VALUE"""),80000.0)</f>
        <v>80000</v>
      </c>
      <c r="M4274" s="211"/>
      <c r="N4274" s="211"/>
      <c r="O4274" s="211" t="b">
        <f>IFERROR(__xludf.DUMMYFUNCTION("""COMPUTED_VALUE"""),FALSE)</f>
        <v>0</v>
      </c>
    </row>
    <row r="4275">
      <c r="A4275" s="210" t="str">
        <f>IFERROR(__xludf.DUMMYFUNCTION("""COMPUTED_VALUE"""),"032672929")</f>
        <v>032672929</v>
      </c>
      <c r="B4275" s="210" t="str">
        <f>IFERROR(__xludf.DUMMYFUNCTION("""COMPUTED_VALUE"""),"032672929")</f>
        <v>032672929</v>
      </c>
      <c r="C4275" s="213">
        <f>IFERROR(__xludf.DUMMYFUNCTION("""COMPUTED_VALUE"""),46112.567881944444)</f>
        <v>46112.56788</v>
      </c>
      <c r="D4275" s="211" t="str">
        <f>IFERROR(__xludf.DUMMYFUNCTION("""COMPUTED_VALUE"""),"cac4449f")</f>
        <v>cac4449f</v>
      </c>
      <c r="E4275" s="211" t="str">
        <f>IFERROR(__xludf.DUMMYFUNCTION("""COMPUTED_VALUE"""),"Bpk. Agus Yahya")</f>
        <v>Bpk. Agus Yahya</v>
      </c>
      <c r="F4275" s="211" t="str">
        <f>IFERROR(__xludf.DUMMYFUNCTION("""COMPUTED_VALUE"""),"06f37aa7")</f>
        <v>06f37aa7</v>
      </c>
      <c r="G4275" s="211" t="str">
        <f>IFERROR(__xludf.DUMMYFUNCTION("""COMPUTED_VALUE"""),"Maintenance Serv")</f>
        <v>Maintenance Serv</v>
      </c>
      <c r="H4275" s="211" t="str">
        <f>IFERROR(__xludf.DUMMYFUNCTION("""COMPUTED_VALUE"""),"OUT")</f>
        <v>OUT</v>
      </c>
      <c r="I4275" s="211" t="str">
        <f>IFERROR(__xludf.DUMMYFUNCTION("""COMPUTED_VALUE"""),"NORMAL")</f>
        <v>NORMAL</v>
      </c>
      <c r="J4275" s="211">
        <f>IFERROR(__xludf.DUMMYFUNCTION("""COMPUTED_VALUE"""),1.0)</f>
        <v>1</v>
      </c>
      <c r="K4275" s="211"/>
      <c r="L4275" s="211">
        <f>IFERROR(__xludf.DUMMYFUNCTION("""COMPUTED_VALUE"""),20000.0)</f>
        <v>20000</v>
      </c>
      <c r="M4275" s="211"/>
      <c r="N4275" s="211"/>
      <c r="O4275" s="211" t="b">
        <f>IFERROR(__xludf.DUMMYFUNCTION("""COMPUTED_VALUE"""),FALSE)</f>
        <v>0</v>
      </c>
    </row>
    <row r="4276">
      <c r="A4276" s="210" t="str">
        <f>IFERROR(__xludf.DUMMYFUNCTION("""COMPUTED_VALUE"""),"032682931")</f>
        <v>032682931</v>
      </c>
      <c r="B4276" s="210" t="str">
        <f>IFERROR(__xludf.DUMMYFUNCTION("""COMPUTED_VALUE"""),"032682931")</f>
        <v>032682931</v>
      </c>
      <c r="C4276" s="213">
        <f>IFERROR(__xludf.DUMMYFUNCTION("""COMPUTED_VALUE"""),46112.569710648146)</f>
        <v>46112.56971</v>
      </c>
      <c r="D4276" s="211" t="str">
        <f>IFERROR(__xludf.DUMMYFUNCTION("""COMPUTED_VALUE"""),"cac4449f")</f>
        <v>cac4449f</v>
      </c>
      <c r="E4276" s="211" t="str">
        <f>IFERROR(__xludf.DUMMYFUNCTION("""COMPUTED_VALUE"""),"Bpk. Agus Yahya")</f>
        <v>Bpk. Agus Yahya</v>
      </c>
      <c r="F4276" s="211" t="str">
        <f>IFERROR(__xludf.DUMMYFUNCTION("""COMPUTED_VALUE"""),"66af7c72")</f>
        <v>66af7c72</v>
      </c>
      <c r="G4276" s="211" t="str">
        <f>IFERROR(__xludf.DUMMYFUNCTION("""COMPUTED_VALUE"""),"Argon 6m3")</f>
        <v>Argon 6m3</v>
      </c>
      <c r="H4276" s="211" t="str">
        <f>IFERROR(__xludf.DUMMYFUNCTION("""COMPUTED_VALUE"""),"OUT")</f>
        <v>OUT</v>
      </c>
      <c r="I4276" s="211" t="str">
        <f>IFERROR(__xludf.DUMMYFUNCTION("""COMPUTED_VALUE"""),"NORMAL")</f>
        <v>NORMAL</v>
      </c>
      <c r="J4276" s="211">
        <f>IFERROR(__xludf.DUMMYFUNCTION("""COMPUTED_VALUE"""),1.0)</f>
        <v>1</v>
      </c>
      <c r="K4276" s="210" t="str">
        <f>IFERROR(__xludf.DUMMYFUNCTION("""COMPUTED_VALUE"""),"12009")</f>
        <v>12009</v>
      </c>
      <c r="L4276" s="211">
        <f>IFERROR(__xludf.DUMMYFUNCTION("""COMPUTED_VALUE"""),225000.0)</f>
        <v>225000</v>
      </c>
      <c r="M4276" s="211"/>
      <c r="N4276" s="211"/>
      <c r="O4276" s="211" t="b">
        <f>IFERROR(__xludf.DUMMYFUNCTION("""COMPUTED_VALUE"""),FALSE)</f>
        <v>0</v>
      </c>
    </row>
    <row r="4277">
      <c r="A4277" s="210" t="str">
        <f>IFERROR(__xludf.DUMMYFUNCTION("""COMPUTED_VALUE"""),"1261475")</f>
        <v>1261475</v>
      </c>
      <c r="B4277" s="210" t="str">
        <f>IFERROR(__xludf.DUMMYFUNCTION("""COMPUTED_VALUE"""),"1261475")</f>
        <v>1261475</v>
      </c>
      <c r="C4277" s="213">
        <f>IFERROR(__xludf.DUMMYFUNCTION("""COMPUTED_VALUE"""),46112.56579861111)</f>
        <v>46112.5658</v>
      </c>
      <c r="D4277" s="211" t="str">
        <f>IFERROR(__xludf.DUMMYFUNCTION("""COMPUTED_VALUE"""),"63fc688a")</f>
        <v>63fc688a</v>
      </c>
      <c r="E4277" s="211" t="str">
        <f>IFERROR(__xludf.DUMMYFUNCTION("""COMPUTED_VALUE"""),"CV Malik Nusantara")</f>
        <v>CV Malik Nusantara</v>
      </c>
      <c r="F4277" s="211" t="str">
        <f>IFERROR(__xludf.DUMMYFUNCTION("""COMPUTED_VALUE"""),"8bdbe149")</f>
        <v>8bdbe149</v>
      </c>
      <c r="G4277" s="211" t="str">
        <f>IFERROR(__xludf.DUMMYFUNCTION("""COMPUTED_VALUE"""),"Oksigen 6m3")</f>
        <v>Oksigen 6m3</v>
      </c>
      <c r="H4277" s="211" t="str">
        <f>IFERROR(__xludf.DUMMYFUNCTION("""COMPUTED_VALUE"""),"IN")</f>
        <v>IN</v>
      </c>
      <c r="I4277" s="211" t="str">
        <f>IFERROR(__xludf.DUMMYFUNCTION("""COMPUTED_VALUE"""),"EMPTY")</f>
        <v>EMPTY</v>
      </c>
      <c r="J4277" s="211">
        <f>IFERROR(__xludf.DUMMYFUNCTION("""COMPUTED_VALUE"""),1.0)</f>
        <v>1</v>
      </c>
      <c r="K4277" s="210" t="str">
        <f>IFERROR(__xludf.DUMMYFUNCTION("""COMPUTED_VALUE"""),"1129")</f>
        <v>1129</v>
      </c>
      <c r="L4277" s="211">
        <f>IFERROR(__xludf.DUMMYFUNCTION("""COMPUTED_VALUE"""),0.0)</f>
        <v>0</v>
      </c>
      <c r="M4277" s="211"/>
      <c r="N4277" s="211"/>
      <c r="O4277" s="211" t="b">
        <f>IFERROR(__xludf.DUMMYFUNCTION("""COMPUTED_VALUE"""),TRUE)</f>
        <v>1</v>
      </c>
    </row>
    <row r="4278">
      <c r="A4278" s="210" t="str">
        <f>IFERROR(__xludf.DUMMYFUNCTION("""COMPUTED_VALUE"""),"1261475")</f>
        <v>1261475</v>
      </c>
      <c r="B4278" s="210" t="str">
        <f>IFERROR(__xludf.DUMMYFUNCTION("""COMPUTED_VALUE"""),"1261475")</f>
        <v>1261475</v>
      </c>
      <c r="C4278" s="213">
        <f>IFERROR(__xludf.DUMMYFUNCTION("""COMPUTED_VALUE"""),46112.56579861111)</f>
        <v>46112.5658</v>
      </c>
      <c r="D4278" s="211" t="str">
        <f>IFERROR(__xludf.DUMMYFUNCTION("""COMPUTED_VALUE"""),"63fc688a")</f>
        <v>63fc688a</v>
      </c>
      <c r="E4278" s="211" t="str">
        <f>IFERROR(__xludf.DUMMYFUNCTION("""COMPUTED_VALUE"""),"CV Malik Nusantara")</f>
        <v>CV Malik Nusantara</v>
      </c>
      <c r="F4278" s="211" t="str">
        <f>IFERROR(__xludf.DUMMYFUNCTION("""COMPUTED_VALUE"""),"7d2764f1")</f>
        <v>7d2764f1</v>
      </c>
      <c r="G4278" s="211" t="str">
        <f>IFERROR(__xludf.DUMMYFUNCTION("""COMPUTED_VALUE"""),"Oksigen 7m3")</f>
        <v>Oksigen 7m3</v>
      </c>
      <c r="H4278" s="211" t="str">
        <f>IFERROR(__xludf.DUMMYFUNCTION("""COMPUTED_VALUE"""),"IN")</f>
        <v>IN</v>
      </c>
      <c r="I4278" s="211" t="str">
        <f>IFERROR(__xludf.DUMMYFUNCTION("""COMPUTED_VALUE"""),"EMPTY")</f>
        <v>EMPTY</v>
      </c>
      <c r="J4278" s="211">
        <f>IFERROR(__xludf.DUMMYFUNCTION("""COMPUTED_VALUE"""),4.0)</f>
        <v>4</v>
      </c>
      <c r="K4278" s="210" t="str">
        <f>IFERROR(__xludf.DUMMYFUNCTION("""COMPUTED_VALUE"""),"11392 11139 11306 11388")</f>
        <v>11392 11139 11306 11388</v>
      </c>
      <c r="L4278" s="211">
        <f>IFERROR(__xludf.DUMMYFUNCTION("""COMPUTED_VALUE"""),0.0)</f>
        <v>0</v>
      </c>
      <c r="M4278" s="211"/>
      <c r="N4278" s="211"/>
      <c r="O4278" s="211" t="b">
        <f>IFERROR(__xludf.DUMMYFUNCTION("""COMPUTED_VALUE"""),FALSE)</f>
        <v>0</v>
      </c>
    </row>
    <row r="4279">
      <c r="A4279" s="210" t="str">
        <f>IFERROR(__xludf.DUMMYFUNCTION("""COMPUTED_VALUE"""),"1261476")</f>
        <v>1261476</v>
      </c>
      <c r="B4279" s="210" t="str">
        <f>IFERROR(__xludf.DUMMYFUNCTION("""COMPUTED_VALUE"""),"1261476")</f>
        <v>1261476</v>
      </c>
      <c r="C4279" s="213">
        <f>IFERROR(__xludf.DUMMYFUNCTION("""COMPUTED_VALUE"""),46112.57611111111)</f>
        <v>46112.57611</v>
      </c>
      <c r="D4279" s="211" t="str">
        <f>IFERROR(__xludf.DUMMYFUNCTION("""COMPUTED_VALUE"""),"ed4307f6")</f>
        <v>ed4307f6</v>
      </c>
      <c r="E4279" s="211" t="str">
        <f>IFERROR(__xludf.DUMMYFUNCTION("""COMPUTED_VALUE"""),"Bpk. Andi (Jetis)")</f>
        <v>Bpk. Andi (Jetis)</v>
      </c>
      <c r="F4279" s="211" t="str">
        <f>IFERROR(__xludf.DUMMYFUNCTION("""COMPUTED_VALUE"""),"f6aab7a9")</f>
        <v>f6aab7a9</v>
      </c>
      <c r="G4279" s="211" t="str">
        <f>IFERROR(__xludf.DUMMYFUNCTION("""COMPUTED_VALUE"""),"Oksigen 6m3 MR")</f>
        <v>Oksigen 6m3 MR</v>
      </c>
      <c r="H4279" s="211" t="str">
        <f>IFERROR(__xludf.DUMMYFUNCTION("""COMPUTED_VALUE"""),"IN")</f>
        <v>IN</v>
      </c>
      <c r="I4279" s="211" t="str">
        <f>IFERROR(__xludf.DUMMYFUNCTION("""COMPUTED_VALUE"""),"EMPTY")</f>
        <v>EMPTY</v>
      </c>
      <c r="J4279" s="211">
        <f>IFERROR(__xludf.DUMMYFUNCTION("""COMPUTED_VALUE"""),23.0)</f>
        <v>23</v>
      </c>
      <c r="K4279" s="211"/>
      <c r="L4279" s="211">
        <f>IFERROR(__xludf.DUMMYFUNCTION("""COMPUTED_VALUE"""),0.0)</f>
        <v>0</v>
      </c>
      <c r="M4279" s="211"/>
      <c r="N4279" s="211"/>
      <c r="O4279" s="211" t="b">
        <f>IFERROR(__xludf.DUMMYFUNCTION("""COMPUTED_VALUE"""),FALSE)</f>
        <v>0</v>
      </c>
    </row>
    <row r="4280">
      <c r="A4280" s="210" t="str">
        <f>IFERROR(__xludf.DUMMYFUNCTION("""COMPUTED_VALUE"""),"1261477")</f>
        <v>1261477</v>
      </c>
      <c r="B4280" s="210" t="str">
        <f>IFERROR(__xludf.DUMMYFUNCTION("""COMPUTED_VALUE"""),"1261477")</f>
        <v>1261477</v>
      </c>
      <c r="C4280" s="213">
        <f>IFERROR(__xludf.DUMMYFUNCTION("""COMPUTED_VALUE"""),46112.57649305555)</f>
        <v>46112.57649</v>
      </c>
      <c r="D4280" s="211" t="str">
        <f>IFERROR(__xludf.DUMMYFUNCTION("""COMPUTED_VALUE"""),"cac4449f")</f>
        <v>cac4449f</v>
      </c>
      <c r="E4280" s="211" t="str">
        <f>IFERROR(__xludf.DUMMYFUNCTION("""COMPUTED_VALUE"""),"Bpk. Agus Yahya")</f>
        <v>Bpk. Agus Yahya</v>
      </c>
      <c r="F4280" s="211" t="str">
        <f>IFERROR(__xludf.DUMMYFUNCTION("""COMPUTED_VALUE"""),"8bdbe149")</f>
        <v>8bdbe149</v>
      </c>
      <c r="G4280" s="211" t="str">
        <f>IFERROR(__xludf.DUMMYFUNCTION("""COMPUTED_VALUE"""),"Oksigen 6m3")</f>
        <v>Oksigen 6m3</v>
      </c>
      <c r="H4280" s="211" t="str">
        <f>IFERROR(__xludf.DUMMYFUNCTION("""COMPUTED_VALUE"""),"IN")</f>
        <v>IN</v>
      </c>
      <c r="I4280" s="211" t="str">
        <f>IFERROR(__xludf.DUMMYFUNCTION("""COMPUTED_VALUE"""),"EMPTY")</f>
        <v>EMPTY</v>
      </c>
      <c r="J4280" s="211">
        <f>IFERROR(__xludf.DUMMYFUNCTION("""COMPUTED_VALUE"""),1.0)</f>
        <v>1</v>
      </c>
      <c r="K4280" s="210" t="str">
        <f>IFERROR(__xludf.DUMMYFUNCTION("""COMPUTED_VALUE"""),"11322")</f>
        <v>11322</v>
      </c>
      <c r="L4280" s="211">
        <f>IFERROR(__xludf.DUMMYFUNCTION("""COMPUTED_VALUE"""),0.0)</f>
        <v>0</v>
      </c>
      <c r="M4280" s="211"/>
      <c r="N4280" s="211"/>
      <c r="O4280" s="211" t="b">
        <f>IFERROR(__xludf.DUMMYFUNCTION("""COMPUTED_VALUE"""),FALSE)</f>
        <v>0</v>
      </c>
    </row>
    <row r="4281">
      <c r="A4281" s="210" t="str">
        <f>IFERROR(__xludf.DUMMYFUNCTION("""COMPUTED_VALUE"""),"1261477")</f>
        <v>1261477</v>
      </c>
      <c r="B4281" s="210" t="str">
        <f>IFERROR(__xludf.DUMMYFUNCTION("""COMPUTED_VALUE"""),"1261477")</f>
        <v>1261477</v>
      </c>
      <c r="C4281" s="213">
        <f>IFERROR(__xludf.DUMMYFUNCTION("""COMPUTED_VALUE"""),46112.57649305555)</f>
        <v>46112.57649</v>
      </c>
      <c r="D4281" s="211" t="str">
        <f>IFERROR(__xludf.DUMMYFUNCTION("""COMPUTED_VALUE"""),"cac4449f")</f>
        <v>cac4449f</v>
      </c>
      <c r="E4281" s="211" t="str">
        <f>IFERROR(__xludf.DUMMYFUNCTION("""COMPUTED_VALUE"""),"Bpk. Agus Yahya")</f>
        <v>Bpk. Agus Yahya</v>
      </c>
      <c r="F4281" s="211" t="str">
        <f>IFERROR(__xludf.DUMMYFUNCTION("""COMPUTED_VALUE"""),"66af7c72")</f>
        <v>66af7c72</v>
      </c>
      <c r="G4281" s="211" t="str">
        <f>IFERROR(__xludf.DUMMYFUNCTION("""COMPUTED_VALUE"""),"Argon 6m3")</f>
        <v>Argon 6m3</v>
      </c>
      <c r="H4281" s="211" t="str">
        <f>IFERROR(__xludf.DUMMYFUNCTION("""COMPUTED_VALUE"""),"IN")</f>
        <v>IN</v>
      </c>
      <c r="I4281" s="211" t="str">
        <f>IFERROR(__xludf.DUMMYFUNCTION("""COMPUTED_VALUE"""),"EMPTY")</f>
        <v>EMPTY</v>
      </c>
      <c r="J4281" s="211">
        <f>IFERROR(__xludf.DUMMYFUNCTION("""COMPUTED_VALUE"""),1.0)</f>
        <v>1</v>
      </c>
      <c r="K4281" s="210" t="str">
        <f>IFERROR(__xludf.DUMMYFUNCTION("""COMPUTED_VALUE"""),"12043")</f>
        <v>12043</v>
      </c>
      <c r="L4281" s="211">
        <f>IFERROR(__xludf.DUMMYFUNCTION("""COMPUTED_VALUE"""),0.0)</f>
        <v>0</v>
      </c>
      <c r="M4281" s="211"/>
      <c r="N4281" s="211"/>
      <c r="O4281" s="211" t="b">
        <f>IFERROR(__xludf.DUMMYFUNCTION("""COMPUTED_VALUE"""),FALSE)</f>
        <v>0</v>
      </c>
    </row>
    <row r="4282">
      <c r="A4282" s="210" t="str">
        <f>IFERROR(__xludf.DUMMYFUNCTION("""COMPUTED_VALUE"""),"1261477")</f>
        <v>1261477</v>
      </c>
      <c r="B4282" s="210" t="str">
        <f>IFERROR(__xludf.DUMMYFUNCTION("""COMPUTED_VALUE"""),"1261477")</f>
        <v>1261477</v>
      </c>
      <c r="C4282" s="213">
        <f>IFERROR(__xludf.DUMMYFUNCTION("""COMPUTED_VALUE"""),46112.57649305555)</f>
        <v>46112.57649</v>
      </c>
      <c r="D4282" s="211" t="str">
        <f>IFERROR(__xludf.DUMMYFUNCTION("""COMPUTED_VALUE"""),"cac4449f")</f>
        <v>cac4449f</v>
      </c>
      <c r="E4282" s="211" t="str">
        <f>IFERROR(__xludf.DUMMYFUNCTION("""COMPUTED_VALUE"""),"Bpk. Agus Yahya")</f>
        <v>Bpk. Agus Yahya</v>
      </c>
      <c r="F4282" s="211" t="str">
        <f>IFERROR(__xludf.DUMMYFUNCTION("""COMPUTED_VALUE"""),"8bdbe149")</f>
        <v>8bdbe149</v>
      </c>
      <c r="G4282" s="211" t="str">
        <f>IFERROR(__xludf.DUMMYFUNCTION("""COMPUTED_VALUE"""),"Oksigen 6m3")</f>
        <v>Oksigen 6m3</v>
      </c>
      <c r="H4282" s="211" t="str">
        <f>IFERROR(__xludf.DUMMYFUNCTION("""COMPUTED_VALUE"""),"IN")</f>
        <v>IN</v>
      </c>
      <c r="I4282" s="211" t="str">
        <f>IFERROR(__xludf.DUMMYFUNCTION("""COMPUTED_VALUE"""),"EMPTY")</f>
        <v>EMPTY</v>
      </c>
      <c r="J4282" s="211">
        <f>IFERROR(__xludf.DUMMYFUNCTION("""COMPUTED_VALUE"""),1.0)</f>
        <v>1</v>
      </c>
      <c r="K4282" s="210" t="str">
        <f>IFERROR(__xludf.DUMMYFUNCTION("""COMPUTED_VALUE"""),"11281")</f>
        <v>11281</v>
      </c>
      <c r="L4282" s="211">
        <f>IFERROR(__xludf.DUMMYFUNCTION("""COMPUTED_VALUE"""),0.0)</f>
        <v>0</v>
      </c>
      <c r="M4282" s="211"/>
      <c r="N4282" s="211"/>
      <c r="O4282" s="211" t="b">
        <f>IFERROR(__xludf.DUMMYFUNCTION("""COMPUTED_VALUE"""),TRUE)</f>
        <v>1</v>
      </c>
    </row>
    <row r="4283">
      <c r="A4283" s="210" t="str">
        <f>IFERROR(__xludf.DUMMYFUNCTION("""COMPUTED_VALUE"""),"032672932")</f>
        <v>032672932</v>
      </c>
      <c r="B4283" s="210" t="str">
        <f>IFERROR(__xludf.DUMMYFUNCTION("""COMPUTED_VALUE"""),"032672932")</f>
        <v>032672932</v>
      </c>
      <c r="C4283" s="213">
        <f>IFERROR(__xludf.DUMMYFUNCTION("""COMPUTED_VALUE"""),46112.5783912037)</f>
        <v>46112.57839</v>
      </c>
      <c r="D4283" s="211" t="str">
        <f>IFERROR(__xludf.DUMMYFUNCTION("""COMPUTED_VALUE"""),"ed4307f6")</f>
        <v>ed4307f6</v>
      </c>
      <c r="E4283" s="211" t="str">
        <f>IFERROR(__xludf.DUMMYFUNCTION("""COMPUTED_VALUE"""),"Bpk. Andi (Jetis)")</f>
        <v>Bpk. Andi (Jetis)</v>
      </c>
      <c r="F4283" s="211" t="str">
        <f>IFERROR(__xludf.DUMMYFUNCTION("""COMPUTED_VALUE"""),"f6aab7a9")</f>
        <v>f6aab7a9</v>
      </c>
      <c r="G4283" s="211" t="str">
        <f>IFERROR(__xludf.DUMMYFUNCTION("""COMPUTED_VALUE"""),"Oksigen 6m3 MR")</f>
        <v>Oksigen 6m3 MR</v>
      </c>
      <c r="H4283" s="211" t="str">
        <f>IFERROR(__xludf.DUMMYFUNCTION("""COMPUTED_VALUE"""),"OUT")</f>
        <v>OUT</v>
      </c>
      <c r="I4283" s="211" t="str">
        <f>IFERROR(__xludf.DUMMYFUNCTION("""COMPUTED_VALUE"""),"NORMAL")</f>
        <v>NORMAL</v>
      </c>
      <c r="J4283" s="211">
        <f>IFERROR(__xludf.DUMMYFUNCTION("""COMPUTED_VALUE"""),23.0)</f>
        <v>23</v>
      </c>
      <c r="K4283" s="211"/>
      <c r="L4283" s="211">
        <f>IFERROR(__xludf.DUMMYFUNCTION("""COMPUTED_VALUE"""),50000.0)</f>
        <v>50000</v>
      </c>
      <c r="M4283" s="211"/>
      <c r="N4283" s="211"/>
      <c r="O4283" s="211" t="b">
        <f>IFERROR(__xludf.DUMMYFUNCTION("""COMPUTED_VALUE"""),FALSE)</f>
        <v>0</v>
      </c>
    </row>
    <row r="4284">
      <c r="A4284" s="210" t="str">
        <f>IFERROR(__xludf.DUMMYFUNCTION("""COMPUTED_VALUE"""),"0326462935")</f>
        <v>0326462935</v>
      </c>
      <c r="B4284" s="210" t="str">
        <f>IFERROR(__xludf.DUMMYFUNCTION("""COMPUTED_VALUE"""),"0326462935")</f>
        <v>0326462935</v>
      </c>
      <c r="C4284" s="213">
        <f>IFERROR(__xludf.DUMMYFUNCTION("""COMPUTED_VALUE"""),46112.57881944445)</f>
        <v>46112.57882</v>
      </c>
      <c r="D4284" s="211" t="str">
        <f>IFERROR(__xludf.DUMMYFUNCTION("""COMPUTED_VALUE"""),"5f23ba17")</f>
        <v>5f23ba17</v>
      </c>
      <c r="E4284" s="211" t="str">
        <f>IFERROR(__xludf.DUMMYFUNCTION("""COMPUTED_VALUE"""),"Bpk. Joko (Gresik)")</f>
        <v>Bpk. Joko (Gresik)</v>
      </c>
      <c r="F4284" s="211" t="str">
        <f>IFERROR(__xludf.DUMMYFUNCTION("""COMPUTED_VALUE"""),"f6aab7a9")</f>
        <v>f6aab7a9</v>
      </c>
      <c r="G4284" s="211" t="str">
        <f>IFERROR(__xludf.DUMMYFUNCTION("""COMPUTED_VALUE"""),"Oksigen 6m3 MR")</f>
        <v>Oksigen 6m3 MR</v>
      </c>
      <c r="H4284" s="211" t="str">
        <f>IFERROR(__xludf.DUMMYFUNCTION("""COMPUTED_VALUE"""),"OUT")</f>
        <v>OUT</v>
      </c>
      <c r="I4284" s="211" t="str">
        <f>IFERROR(__xludf.DUMMYFUNCTION("""COMPUTED_VALUE"""),"NORMAL")</f>
        <v>NORMAL</v>
      </c>
      <c r="J4284" s="211">
        <f>IFERROR(__xludf.DUMMYFUNCTION("""COMPUTED_VALUE"""),15.0)</f>
        <v>15</v>
      </c>
      <c r="K4284" s="211"/>
      <c r="L4284" s="211">
        <f>IFERROR(__xludf.DUMMYFUNCTION("""COMPUTED_VALUE"""),55000.0)</f>
        <v>55000</v>
      </c>
      <c r="M4284" s="211"/>
      <c r="N4284" s="211"/>
      <c r="O4284" s="211" t="b">
        <f>IFERROR(__xludf.DUMMYFUNCTION("""COMPUTED_VALUE"""),FALSE)</f>
        <v>0</v>
      </c>
    </row>
    <row r="4285">
      <c r="A4285" s="210" t="str">
        <f>IFERROR(__xludf.DUMMYFUNCTION("""COMPUTED_VALUE"""),"0326462935")</f>
        <v>0326462935</v>
      </c>
      <c r="B4285" s="210" t="str">
        <f>IFERROR(__xludf.DUMMYFUNCTION("""COMPUTED_VALUE"""),"0326462935")</f>
        <v>0326462935</v>
      </c>
      <c r="C4285" s="213">
        <f>IFERROR(__xludf.DUMMYFUNCTION("""COMPUTED_VALUE"""),46112.57881944445)</f>
        <v>46112.57882</v>
      </c>
      <c r="D4285" s="211" t="str">
        <f>IFERROR(__xludf.DUMMYFUNCTION("""COMPUTED_VALUE"""),"5f23ba17")</f>
        <v>5f23ba17</v>
      </c>
      <c r="E4285" s="211" t="str">
        <f>IFERROR(__xludf.DUMMYFUNCTION("""COMPUTED_VALUE"""),"Bpk. Joko (Gresik)")</f>
        <v>Bpk. Joko (Gresik)</v>
      </c>
      <c r="F4285" s="211" t="str">
        <f>IFERROR(__xludf.DUMMYFUNCTION("""COMPUTED_VALUE"""),"439cf836")</f>
        <v>439cf836</v>
      </c>
      <c r="G4285" s="211" t="str">
        <f>IFERROR(__xludf.DUMMYFUNCTION("""COMPUTED_VALUE"""),"Karbondioksida MR")</f>
        <v>Karbondioksida MR</v>
      </c>
      <c r="H4285" s="211" t="str">
        <f>IFERROR(__xludf.DUMMYFUNCTION("""COMPUTED_VALUE"""),"OUT")</f>
        <v>OUT</v>
      </c>
      <c r="I4285" s="211" t="str">
        <f>IFERROR(__xludf.DUMMYFUNCTION("""COMPUTED_VALUE"""),"NORMAL")</f>
        <v>NORMAL</v>
      </c>
      <c r="J4285" s="211">
        <f>IFERROR(__xludf.DUMMYFUNCTION("""COMPUTED_VALUE"""),1.0)</f>
        <v>1</v>
      </c>
      <c r="K4285" s="211"/>
      <c r="L4285" s="211">
        <f>IFERROR(__xludf.DUMMYFUNCTION("""COMPUTED_VALUE"""),160000.0)</f>
        <v>160000</v>
      </c>
      <c r="M4285" s="211"/>
      <c r="N4285" s="211"/>
      <c r="O4285" s="211" t="b">
        <f>IFERROR(__xludf.DUMMYFUNCTION("""COMPUTED_VALUE"""),FALSE)</f>
        <v>0</v>
      </c>
    </row>
    <row r="4286">
      <c r="A4286" s="210" t="str">
        <f>IFERROR(__xludf.DUMMYFUNCTION("""COMPUTED_VALUE"""),"0326462935")</f>
        <v>0326462935</v>
      </c>
      <c r="B4286" s="210" t="str">
        <f>IFERROR(__xludf.DUMMYFUNCTION("""COMPUTED_VALUE"""),"0326462935")</f>
        <v>0326462935</v>
      </c>
      <c r="C4286" s="213">
        <f>IFERROR(__xludf.DUMMYFUNCTION("""COMPUTED_VALUE"""),46112.57881944445)</f>
        <v>46112.57882</v>
      </c>
      <c r="D4286" s="211" t="str">
        <f>IFERROR(__xludf.DUMMYFUNCTION("""COMPUTED_VALUE"""),"5f23ba17")</f>
        <v>5f23ba17</v>
      </c>
      <c r="E4286" s="211" t="str">
        <f>IFERROR(__xludf.DUMMYFUNCTION("""COMPUTED_VALUE"""),"Bpk. Joko (Gresik)")</f>
        <v>Bpk. Joko (Gresik)</v>
      </c>
      <c r="F4286" s="211" t="str">
        <f>IFERROR(__xludf.DUMMYFUNCTION("""COMPUTED_VALUE"""),"be525f3b")</f>
        <v>be525f3b</v>
      </c>
      <c r="G4286" s="211" t="str">
        <f>IFERROR(__xludf.DUMMYFUNCTION("""COMPUTED_VALUE"""),"LPG 12kg")</f>
        <v>LPG 12kg</v>
      </c>
      <c r="H4286" s="211" t="str">
        <f>IFERROR(__xludf.DUMMYFUNCTION("""COMPUTED_VALUE"""),"OUT")</f>
        <v>OUT</v>
      </c>
      <c r="I4286" s="211" t="str">
        <f>IFERROR(__xludf.DUMMYFUNCTION("""COMPUTED_VALUE"""),"NORMAL")</f>
        <v>NORMAL</v>
      </c>
      <c r="J4286" s="211">
        <f>IFERROR(__xludf.DUMMYFUNCTION("""COMPUTED_VALUE"""),3.0)</f>
        <v>3</v>
      </c>
      <c r="K4286" s="211"/>
      <c r="L4286" s="211">
        <f>IFERROR(__xludf.DUMMYFUNCTION("""COMPUTED_VALUE"""),210000.0)</f>
        <v>210000</v>
      </c>
      <c r="M4286" s="211"/>
      <c r="N4286" s="211"/>
      <c r="O4286" s="211" t="b">
        <f>IFERROR(__xludf.DUMMYFUNCTION("""COMPUTED_VALUE"""),FALSE)</f>
        <v>0</v>
      </c>
    </row>
    <row r="4287">
      <c r="A4287" s="210" t="str">
        <f>IFERROR(__xludf.DUMMYFUNCTION("""COMPUTED_VALUE"""),"0326102936")</f>
        <v>0326102936</v>
      </c>
      <c r="B4287" s="210" t="str">
        <f>IFERROR(__xludf.DUMMYFUNCTION("""COMPUTED_VALUE"""),"0326102936")</f>
        <v>0326102936</v>
      </c>
      <c r="C4287" s="213">
        <f>IFERROR(__xludf.DUMMYFUNCTION("""COMPUTED_VALUE"""),46112.58336805556)</f>
        <v>46112.58337</v>
      </c>
      <c r="D4287" s="211" t="str">
        <f>IFERROR(__xludf.DUMMYFUNCTION("""COMPUTED_VALUE"""),"9e5d8274")</f>
        <v>9e5d8274</v>
      </c>
      <c r="E4287" s="211" t="str">
        <f>IFERROR(__xludf.DUMMYFUNCTION("""COMPUTED_VALUE"""),"Bpk. Erry ( Lik Trosobo )")</f>
        <v>Bpk. Erry ( Lik Trosobo )</v>
      </c>
      <c r="F4287" s="211" t="str">
        <f>IFERROR(__xludf.DUMMYFUNCTION("""COMPUTED_VALUE"""),"7d2764f1")</f>
        <v>7d2764f1</v>
      </c>
      <c r="G4287" s="211" t="str">
        <f>IFERROR(__xludf.DUMMYFUNCTION("""COMPUTED_VALUE"""),"Oksigen 7m3")</f>
        <v>Oksigen 7m3</v>
      </c>
      <c r="H4287" s="211" t="str">
        <f>IFERROR(__xludf.DUMMYFUNCTION("""COMPUTED_VALUE"""),"OUT")</f>
        <v>OUT</v>
      </c>
      <c r="I4287" s="211" t="str">
        <f>IFERROR(__xludf.DUMMYFUNCTION("""COMPUTED_VALUE"""),"NORMAL")</f>
        <v>NORMAL</v>
      </c>
      <c r="J4287" s="211">
        <f>IFERROR(__xludf.DUMMYFUNCTION("""COMPUTED_VALUE"""),2.0)</f>
        <v>2</v>
      </c>
      <c r="K4287" s="210" t="str">
        <f>IFERROR(__xludf.DUMMYFUNCTION("""COMPUTED_VALUE"""),"11219 11393")</f>
        <v>11219 11393</v>
      </c>
      <c r="L4287" s="211">
        <f>IFERROR(__xludf.DUMMYFUNCTION("""COMPUTED_VALUE"""),65000.0)</f>
        <v>65000</v>
      </c>
      <c r="M4287" s="211"/>
      <c r="N4287" s="211"/>
      <c r="O4287" s="211" t="b">
        <f>IFERROR(__xludf.DUMMYFUNCTION("""COMPUTED_VALUE"""),FALSE)</f>
        <v>0</v>
      </c>
    </row>
    <row r="4288">
      <c r="A4288" s="210" t="str">
        <f>IFERROR(__xludf.DUMMYFUNCTION("""COMPUTED_VALUE"""),"0326102936")</f>
        <v>0326102936</v>
      </c>
      <c r="B4288" s="210" t="str">
        <f>IFERROR(__xludf.DUMMYFUNCTION("""COMPUTED_VALUE"""),"0326102936")</f>
        <v>0326102936</v>
      </c>
      <c r="C4288" s="213">
        <f>IFERROR(__xludf.DUMMYFUNCTION("""COMPUTED_VALUE"""),46112.58336805556)</f>
        <v>46112.58337</v>
      </c>
      <c r="D4288" s="211" t="str">
        <f>IFERROR(__xludf.DUMMYFUNCTION("""COMPUTED_VALUE"""),"9e5d8274")</f>
        <v>9e5d8274</v>
      </c>
      <c r="E4288" s="211" t="str">
        <f>IFERROR(__xludf.DUMMYFUNCTION("""COMPUTED_VALUE"""),"Bpk. Erry ( Lik Trosobo )")</f>
        <v>Bpk. Erry ( Lik Trosobo )</v>
      </c>
      <c r="F4288" s="211" t="str">
        <f>IFERROR(__xludf.DUMMYFUNCTION("""COMPUTED_VALUE"""),"be525f3b")</f>
        <v>be525f3b</v>
      </c>
      <c r="G4288" s="211" t="str">
        <f>IFERROR(__xludf.DUMMYFUNCTION("""COMPUTED_VALUE"""),"LPG 12kg")</f>
        <v>LPG 12kg</v>
      </c>
      <c r="H4288" s="211" t="str">
        <f>IFERROR(__xludf.DUMMYFUNCTION("""COMPUTED_VALUE"""),"OUT")</f>
        <v>OUT</v>
      </c>
      <c r="I4288" s="211" t="str">
        <f>IFERROR(__xludf.DUMMYFUNCTION("""COMPUTED_VALUE"""),"NORMAL")</f>
        <v>NORMAL</v>
      </c>
      <c r="J4288" s="211">
        <f>IFERROR(__xludf.DUMMYFUNCTION("""COMPUTED_VALUE"""),1.0)</f>
        <v>1</v>
      </c>
      <c r="K4288" s="211"/>
      <c r="L4288" s="211">
        <f>IFERROR(__xludf.DUMMYFUNCTION("""COMPUTED_VALUE"""),215000.0)</f>
        <v>215000</v>
      </c>
      <c r="M4288" s="211"/>
      <c r="N4288" s="211"/>
      <c r="O4288" s="211" t="b">
        <f>IFERROR(__xludf.DUMMYFUNCTION("""COMPUTED_VALUE"""),FALSE)</f>
        <v>0</v>
      </c>
    </row>
    <row r="4289">
      <c r="A4289" s="210" t="str">
        <f>IFERROR(__xludf.DUMMYFUNCTION("""COMPUTED_VALUE"""),"1261478")</f>
        <v>1261478</v>
      </c>
      <c r="B4289" s="210" t="str">
        <f>IFERROR(__xludf.DUMMYFUNCTION("""COMPUTED_VALUE"""),"1261478")</f>
        <v>1261478</v>
      </c>
      <c r="C4289" s="213">
        <f>IFERROR(__xludf.DUMMYFUNCTION("""COMPUTED_VALUE"""),46113.36069444445)</f>
        <v>46113.36069</v>
      </c>
      <c r="D4289" s="211" t="str">
        <f>IFERROR(__xludf.DUMMYFUNCTION("""COMPUTED_VALUE"""),"9e5d8274")</f>
        <v>9e5d8274</v>
      </c>
      <c r="E4289" s="211" t="str">
        <f>IFERROR(__xludf.DUMMYFUNCTION("""COMPUTED_VALUE"""),"Bpk. Erry ( Lik Trosobo )")</f>
        <v>Bpk. Erry ( Lik Trosobo )</v>
      </c>
      <c r="F4289" s="211" t="str">
        <f>IFERROR(__xludf.DUMMYFUNCTION("""COMPUTED_VALUE"""),"be525f3b")</f>
        <v>be525f3b</v>
      </c>
      <c r="G4289" s="211" t="str">
        <f>IFERROR(__xludf.DUMMYFUNCTION("""COMPUTED_VALUE"""),"LPG 12kg")</f>
        <v>LPG 12kg</v>
      </c>
      <c r="H4289" s="211" t="str">
        <f>IFERROR(__xludf.DUMMYFUNCTION("""COMPUTED_VALUE"""),"IN")</f>
        <v>IN</v>
      </c>
      <c r="I4289" s="211" t="str">
        <f>IFERROR(__xludf.DUMMYFUNCTION("""COMPUTED_VALUE"""),"EMPTY")</f>
        <v>EMPTY</v>
      </c>
      <c r="J4289" s="211">
        <f>IFERROR(__xludf.DUMMYFUNCTION("""COMPUTED_VALUE"""),1.0)</f>
        <v>1</v>
      </c>
      <c r="K4289" s="211"/>
      <c r="L4289" s="211">
        <f>IFERROR(__xludf.DUMMYFUNCTION("""COMPUTED_VALUE"""),0.0)</f>
        <v>0</v>
      </c>
      <c r="M4289" s="211"/>
      <c r="N4289" s="211"/>
      <c r="O4289" s="211" t="b">
        <f>IFERROR(__xludf.DUMMYFUNCTION("""COMPUTED_VALUE"""),FALSE)</f>
        <v>0</v>
      </c>
    </row>
    <row r="4290">
      <c r="A4290" s="210" t="str">
        <f>IFERROR(__xludf.DUMMYFUNCTION("""COMPUTED_VALUE"""),"1261443")</f>
        <v>1261443</v>
      </c>
      <c r="B4290" s="210" t="str">
        <f>IFERROR(__xludf.DUMMYFUNCTION("""COMPUTED_VALUE"""),"1261443")</f>
        <v>1261443</v>
      </c>
      <c r="C4290" s="213">
        <f>IFERROR(__xludf.DUMMYFUNCTION("""COMPUTED_VALUE"""),46113.36104166666)</f>
        <v>46113.36104</v>
      </c>
      <c r="D4290" s="211" t="str">
        <f>IFERROR(__xludf.DUMMYFUNCTION("""COMPUTED_VALUE"""),"b218b89b")</f>
        <v>b218b89b</v>
      </c>
      <c r="E4290" s="211" t="str">
        <f>IFERROR(__xludf.DUMMYFUNCTION("""COMPUTED_VALUE"""),"PT Harapan Sentosa")</f>
        <v>PT Harapan Sentosa</v>
      </c>
      <c r="F4290" s="211" t="str">
        <f>IFERROR(__xludf.DUMMYFUNCTION("""COMPUTED_VALUE"""),"8bdbe149")</f>
        <v>8bdbe149</v>
      </c>
      <c r="G4290" s="211" t="str">
        <f>IFERROR(__xludf.DUMMYFUNCTION("""COMPUTED_VALUE"""),"Oksigen 6m3")</f>
        <v>Oksigen 6m3</v>
      </c>
      <c r="H4290" s="211" t="str">
        <f>IFERROR(__xludf.DUMMYFUNCTION("""COMPUTED_VALUE"""),"IN")</f>
        <v>IN</v>
      </c>
      <c r="I4290" s="211" t="str">
        <f>IFERROR(__xludf.DUMMYFUNCTION("""COMPUTED_VALUE"""),"EMPTY")</f>
        <v>EMPTY</v>
      </c>
      <c r="J4290" s="211">
        <f>IFERROR(__xludf.DUMMYFUNCTION("""COMPUTED_VALUE"""),2.0)</f>
        <v>2</v>
      </c>
      <c r="K4290" s="210" t="str">
        <f>IFERROR(__xludf.DUMMYFUNCTION("""COMPUTED_VALUE"""),"11196 11280")</f>
        <v>11196 11280</v>
      </c>
      <c r="L4290" s="211">
        <f>IFERROR(__xludf.DUMMYFUNCTION("""COMPUTED_VALUE"""),0.0)</f>
        <v>0</v>
      </c>
      <c r="M4290" s="211"/>
      <c r="N4290" s="211"/>
      <c r="O4290" s="211" t="b">
        <f>IFERROR(__xludf.DUMMYFUNCTION("""COMPUTED_VALUE"""),FALSE)</f>
        <v>0</v>
      </c>
    </row>
    <row r="4291">
      <c r="A4291" s="210" t="str">
        <f>IFERROR(__xludf.DUMMYFUNCTION("""COMPUTED_VALUE"""),"1261443")</f>
        <v>1261443</v>
      </c>
      <c r="B4291" s="210" t="str">
        <f>IFERROR(__xludf.DUMMYFUNCTION("""COMPUTED_VALUE"""),"1261443")</f>
        <v>1261443</v>
      </c>
      <c r="C4291" s="213">
        <f>IFERROR(__xludf.DUMMYFUNCTION("""COMPUTED_VALUE"""),46113.36104166666)</f>
        <v>46113.36104</v>
      </c>
      <c r="D4291" s="211" t="str">
        <f>IFERROR(__xludf.DUMMYFUNCTION("""COMPUTED_VALUE"""),"b218b89b")</f>
        <v>b218b89b</v>
      </c>
      <c r="E4291" s="211" t="str">
        <f>IFERROR(__xludf.DUMMYFUNCTION("""COMPUTED_VALUE"""),"PT Harapan Sentosa")</f>
        <v>PT Harapan Sentosa</v>
      </c>
      <c r="F4291" s="211" t="str">
        <f>IFERROR(__xludf.DUMMYFUNCTION("""COMPUTED_VALUE"""),"7d2764f1")</f>
        <v>7d2764f1</v>
      </c>
      <c r="G4291" s="211" t="str">
        <f>IFERROR(__xludf.DUMMYFUNCTION("""COMPUTED_VALUE"""),"Oksigen 7m3")</f>
        <v>Oksigen 7m3</v>
      </c>
      <c r="H4291" s="211" t="str">
        <f>IFERROR(__xludf.DUMMYFUNCTION("""COMPUTED_VALUE"""),"IN")</f>
        <v>IN</v>
      </c>
      <c r="I4291" s="211" t="str">
        <f>IFERROR(__xludf.DUMMYFUNCTION("""COMPUTED_VALUE"""),"EMPTY")</f>
        <v>EMPTY</v>
      </c>
      <c r="J4291" s="211">
        <f>IFERROR(__xludf.DUMMYFUNCTION("""COMPUTED_VALUE"""),1.0)</f>
        <v>1</v>
      </c>
      <c r="K4291" s="210" t="str">
        <f>IFERROR(__xludf.DUMMYFUNCTION("""COMPUTED_VALUE"""),"11329")</f>
        <v>11329</v>
      </c>
      <c r="L4291" s="211">
        <f>IFERROR(__xludf.DUMMYFUNCTION("""COMPUTED_VALUE"""),0.0)</f>
        <v>0</v>
      </c>
      <c r="M4291" s="211"/>
      <c r="N4291" s="211"/>
      <c r="O4291" s="211" t="b">
        <f>IFERROR(__xludf.DUMMYFUNCTION("""COMPUTED_VALUE"""),FALSE)</f>
        <v>0</v>
      </c>
    </row>
    <row r="4292">
      <c r="A4292" s="210" t="str">
        <f>IFERROR(__xludf.DUMMYFUNCTION("""COMPUTED_VALUE"""),"1261442")</f>
        <v>1261442</v>
      </c>
      <c r="B4292" s="210" t="str">
        <f>IFERROR(__xludf.DUMMYFUNCTION("""COMPUTED_VALUE"""),"1261442")</f>
        <v>1261442</v>
      </c>
      <c r="C4292" s="213">
        <f>IFERROR(__xludf.DUMMYFUNCTION("""COMPUTED_VALUE"""),46113.36163194444)</f>
        <v>46113.36163</v>
      </c>
      <c r="D4292" s="211" t="str">
        <f>IFERROR(__xludf.DUMMYFUNCTION("""COMPUTED_VALUE"""),"9e66ced9")</f>
        <v>9e66ced9</v>
      </c>
      <c r="E4292" s="211" t="str">
        <f>IFERROR(__xludf.DUMMYFUNCTION("""COMPUTED_VALUE"""),"Bapak Angga")</f>
        <v>Bapak Angga</v>
      </c>
      <c r="F4292" s="211" t="str">
        <f>IFERROR(__xludf.DUMMYFUNCTION("""COMPUTED_VALUE"""),"8bdbe149")</f>
        <v>8bdbe149</v>
      </c>
      <c r="G4292" s="211" t="str">
        <f>IFERROR(__xludf.DUMMYFUNCTION("""COMPUTED_VALUE"""),"Oksigen 6m3")</f>
        <v>Oksigen 6m3</v>
      </c>
      <c r="H4292" s="211" t="str">
        <f>IFERROR(__xludf.DUMMYFUNCTION("""COMPUTED_VALUE"""),"IN")</f>
        <v>IN</v>
      </c>
      <c r="I4292" s="211" t="str">
        <f>IFERROR(__xludf.DUMMYFUNCTION("""COMPUTED_VALUE"""),"EMPTY")</f>
        <v>EMPTY</v>
      </c>
      <c r="J4292" s="211">
        <f>IFERROR(__xludf.DUMMYFUNCTION("""COMPUTED_VALUE"""),1.0)</f>
        <v>1</v>
      </c>
      <c r="K4292" s="210" t="str">
        <f>IFERROR(__xludf.DUMMYFUNCTION("""COMPUTED_VALUE"""),"11119")</f>
        <v>11119</v>
      </c>
      <c r="L4292" s="211">
        <f>IFERROR(__xludf.DUMMYFUNCTION("""COMPUTED_VALUE"""),0.0)</f>
        <v>0</v>
      </c>
      <c r="M4292" s="211"/>
      <c r="N4292" s="211"/>
      <c r="O4292" s="211" t="b">
        <f>IFERROR(__xludf.DUMMYFUNCTION("""COMPUTED_VALUE"""),FALSE)</f>
        <v>0</v>
      </c>
    </row>
    <row r="4293">
      <c r="A4293" s="210" t="str">
        <f>IFERROR(__xludf.DUMMYFUNCTION("""COMPUTED_VALUE"""),"1261442")</f>
        <v>1261442</v>
      </c>
      <c r="B4293" s="210" t="str">
        <f>IFERROR(__xludf.DUMMYFUNCTION("""COMPUTED_VALUE"""),"1261442")</f>
        <v>1261442</v>
      </c>
      <c r="C4293" s="213">
        <f>IFERROR(__xludf.DUMMYFUNCTION("""COMPUTED_VALUE"""),46113.36163194444)</f>
        <v>46113.36163</v>
      </c>
      <c r="D4293" s="211" t="str">
        <f>IFERROR(__xludf.DUMMYFUNCTION("""COMPUTED_VALUE"""),"9e66ced9")</f>
        <v>9e66ced9</v>
      </c>
      <c r="E4293" s="211" t="str">
        <f>IFERROR(__xludf.DUMMYFUNCTION("""COMPUTED_VALUE"""),"Bapak Angga")</f>
        <v>Bapak Angga</v>
      </c>
      <c r="F4293" s="211" t="str">
        <f>IFERROR(__xludf.DUMMYFUNCTION("""COMPUTED_VALUE"""),"7d2764f1")</f>
        <v>7d2764f1</v>
      </c>
      <c r="G4293" s="211" t="str">
        <f>IFERROR(__xludf.DUMMYFUNCTION("""COMPUTED_VALUE"""),"Oksigen 7m3")</f>
        <v>Oksigen 7m3</v>
      </c>
      <c r="H4293" s="211" t="str">
        <f>IFERROR(__xludf.DUMMYFUNCTION("""COMPUTED_VALUE"""),"IN")</f>
        <v>IN</v>
      </c>
      <c r="I4293" s="211" t="str">
        <f>IFERROR(__xludf.DUMMYFUNCTION("""COMPUTED_VALUE"""),"EMPTY")</f>
        <v>EMPTY</v>
      </c>
      <c r="J4293" s="211">
        <f>IFERROR(__xludf.DUMMYFUNCTION("""COMPUTED_VALUE"""),4.0)</f>
        <v>4</v>
      </c>
      <c r="K4293" s="210" t="str">
        <f>IFERROR(__xludf.DUMMYFUNCTION("""COMPUTED_VALUE"""),"11167 11152 11151 11144")</f>
        <v>11167 11152 11151 11144</v>
      </c>
      <c r="L4293" s="211">
        <f>IFERROR(__xludf.DUMMYFUNCTION("""COMPUTED_VALUE"""),0.0)</f>
        <v>0</v>
      </c>
      <c r="M4293" s="211"/>
      <c r="N4293" s="211"/>
      <c r="O4293" s="211" t="b">
        <f>IFERROR(__xludf.DUMMYFUNCTION("""COMPUTED_VALUE"""),FALSE)</f>
        <v>0</v>
      </c>
    </row>
    <row r="4294">
      <c r="A4294" s="210" t="str">
        <f>IFERROR(__xludf.DUMMYFUNCTION("""COMPUTED_VALUE"""),"0426102937")</f>
        <v>0426102937</v>
      </c>
      <c r="B4294" s="210" t="str">
        <f>IFERROR(__xludf.DUMMYFUNCTION("""COMPUTED_VALUE"""),"0426102937")</f>
        <v>0426102937</v>
      </c>
      <c r="C4294" s="213">
        <f>IFERROR(__xludf.DUMMYFUNCTION("""COMPUTED_VALUE"""),46113.363391203704)</f>
        <v>46113.36339</v>
      </c>
      <c r="D4294" s="211" t="str">
        <f>IFERROR(__xludf.DUMMYFUNCTION("""COMPUTED_VALUE"""),"d9b2fac5")</f>
        <v>d9b2fac5</v>
      </c>
      <c r="E4294" s="211" t="str">
        <f>IFERROR(__xludf.DUMMYFUNCTION("""COMPUTED_VALUE"""),"Dwi Riza ( Ponokawan)")</f>
        <v>Dwi Riza ( Ponokawan)</v>
      </c>
      <c r="F4294" s="211" t="str">
        <f>IFERROR(__xludf.DUMMYFUNCTION("""COMPUTED_VALUE"""),"7d2764f1")</f>
        <v>7d2764f1</v>
      </c>
      <c r="G4294" s="211" t="str">
        <f>IFERROR(__xludf.DUMMYFUNCTION("""COMPUTED_VALUE"""),"Oksigen 7m3")</f>
        <v>Oksigen 7m3</v>
      </c>
      <c r="H4294" s="211" t="str">
        <f>IFERROR(__xludf.DUMMYFUNCTION("""COMPUTED_VALUE"""),"OUT")</f>
        <v>OUT</v>
      </c>
      <c r="I4294" s="211" t="str">
        <f>IFERROR(__xludf.DUMMYFUNCTION("""COMPUTED_VALUE"""),"NORMAL")</f>
        <v>NORMAL</v>
      </c>
      <c r="J4294" s="211">
        <f>IFERROR(__xludf.DUMMYFUNCTION("""COMPUTED_VALUE"""),7.0)</f>
        <v>7</v>
      </c>
      <c r="K4294" s="210" t="str">
        <f>IFERROR(__xludf.DUMMYFUNCTION("""COMPUTED_VALUE"""),"11307 11389 11221 11292 11387 11394 11304")</f>
        <v>11307 11389 11221 11292 11387 11394 11304</v>
      </c>
      <c r="L4294" s="211">
        <f>IFERROR(__xludf.DUMMYFUNCTION("""COMPUTED_VALUE"""),50000.0)</f>
        <v>50000</v>
      </c>
      <c r="M4294" s="211"/>
      <c r="N4294" s="211"/>
      <c r="O4294" s="211" t="b">
        <f>IFERROR(__xludf.DUMMYFUNCTION("""COMPUTED_VALUE"""),FALSE)</f>
        <v>0</v>
      </c>
    </row>
    <row r="4295">
      <c r="A4295" s="210" t="str">
        <f>IFERROR(__xludf.DUMMYFUNCTION("""COMPUTED_VALUE"""),"1261454")</f>
        <v>1261454</v>
      </c>
      <c r="B4295" s="210" t="str">
        <f>IFERROR(__xludf.DUMMYFUNCTION("""COMPUTED_VALUE"""),"1261454")</f>
        <v>1261454</v>
      </c>
      <c r="C4295" s="213">
        <f>IFERROR(__xludf.DUMMYFUNCTION("""COMPUTED_VALUE"""),46113.36502314815)</f>
        <v>46113.36502</v>
      </c>
      <c r="D4295" s="211" t="str">
        <f>IFERROR(__xludf.DUMMYFUNCTION("""COMPUTED_VALUE"""),"b2b5f2c5")</f>
        <v>b2b5f2c5</v>
      </c>
      <c r="E4295" s="211" t="str">
        <f>IFERROR(__xludf.DUMMYFUNCTION("""COMPUTED_VALUE"""),"Bengkel Las Bpk. Ari")</f>
        <v>Bengkel Las Bpk. Ari</v>
      </c>
      <c r="F4295" s="211" t="str">
        <f>IFERROR(__xludf.DUMMYFUNCTION("""COMPUTED_VALUE"""),"8bdbe149")</f>
        <v>8bdbe149</v>
      </c>
      <c r="G4295" s="211" t="str">
        <f>IFERROR(__xludf.DUMMYFUNCTION("""COMPUTED_VALUE"""),"Oksigen 6m3")</f>
        <v>Oksigen 6m3</v>
      </c>
      <c r="H4295" s="211" t="str">
        <f>IFERROR(__xludf.DUMMYFUNCTION("""COMPUTED_VALUE"""),"IN")</f>
        <v>IN</v>
      </c>
      <c r="I4295" s="211" t="str">
        <f>IFERROR(__xludf.DUMMYFUNCTION("""COMPUTED_VALUE"""),"EMPTY")</f>
        <v>EMPTY</v>
      </c>
      <c r="J4295" s="211">
        <f>IFERROR(__xludf.DUMMYFUNCTION("""COMPUTED_VALUE"""),1.0)</f>
        <v>1</v>
      </c>
      <c r="K4295" s="210" t="str">
        <f>IFERROR(__xludf.DUMMYFUNCTION("""COMPUTED_VALUE"""),"11262")</f>
        <v>11262</v>
      </c>
      <c r="L4295" s="211">
        <f>IFERROR(__xludf.DUMMYFUNCTION("""COMPUTED_VALUE"""),0.0)</f>
        <v>0</v>
      </c>
      <c r="M4295" s="211"/>
      <c r="N4295" s="211"/>
      <c r="O4295" s="211" t="b">
        <f>IFERROR(__xludf.DUMMYFUNCTION("""COMPUTED_VALUE"""),FALSE)</f>
        <v>0</v>
      </c>
    </row>
    <row r="4296">
      <c r="A4296" s="210" t="str">
        <f>IFERROR(__xludf.DUMMYFUNCTION("""COMPUTED_VALUE"""),"1261454")</f>
        <v>1261454</v>
      </c>
      <c r="B4296" s="210" t="str">
        <f>IFERROR(__xludf.DUMMYFUNCTION("""COMPUTED_VALUE"""),"1261454")</f>
        <v>1261454</v>
      </c>
      <c r="C4296" s="213">
        <f>IFERROR(__xludf.DUMMYFUNCTION("""COMPUTED_VALUE"""),46113.36502314815)</f>
        <v>46113.36502</v>
      </c>
      <c r="D4296" s="211" t="str">
        <f>IFERROR(__xludf.DUMMYFUNCTION("""COMPUTED_VALUE"""),"b2b5f2c5")</f>
        <v>b2b5f2c5</v>
      </c>
      <c r="E4296" s="211" t="str">
        <f>IFERROR(__xludf.DUMMYFUNCTION("""COMPUTED_VALUE"""),"Bengkel Las Bpk. Ari")</f>
        <v>Bengkel Las Bpk. Ari</v>
      </c>
      <c r="F4296" s="211" t="str">
        <f>IFERROR(__xludf.DUMMYFUNCTION("""COMPUTED_VALUE"""),"ef306e54")</f>
        <v>ef306e54</v>
      </c>
      <c r="G4296" s="211" t="str">
        <f>IFERROR(__xludf.DUMMYFUNCTION("""COMPUTED_VALUE"""),"Karbondioksida")</f>
        <v>Karbondioksida</v>
      </c>
      <c r="H4296" s="211" t="str">
        <f>IFERROR(__xludf.DUMMYFUNCTION("""COMPUTED_VALUE"""),"IN")</f>
        <v>IN</v>
      </c>
      <c r="I4296" s="211" t="str">
        <f>IFERROR(__xludf.DUMMYFUNCTION("""COMPUTED_VALUE"""),"EMPTY")</f>
        <v>EMPTY</v>
      </c>
      <c r="J4296" s="211">
        <f>IFERROR(__xludf.DUMMYFUNCTION("""COMPUTED_VALUE"""),1.0)</f>
        <v>1</v>
      </c>
      <c r="K4296" s="210" t="str">
        <f>IFERROR(__xludf.DUMMYFUNCTION("""COMPUTED_VALUE"""),"13015")</f>
        <v>13015</v>
      </c>
      <c r="L4296" s="211">
        <f>IFERROR(__xludf.DUMMYFUNCTION("""COMPUTED_VALUE"""),0.0)</f>
        <v>0</v>
      </c>
      <c r="M4296" s="211"/>
      <c r="N4296" s="211"/>
      <c r="O4296" s="211" t="b">
        <f>IFERROR(__xludf.DUMMYFUNCTION("""COMPUTED_VALUE"""),FALSE)</f>
        <v>0</v>
      </c>
    </row>
    <row r="4297">
      <c r="A4297" s="210" t="str">
        <f>IFERROR(__xludf.DUMMYFUNCTION("""COMPUTED_VALUE"""),"1261453")</f>
        <v>1261453</v>
      </c>
      <c r="B4297" s="210" t="str">
        <f>IFERROR(__xludf.DUMMYFUNCTION("""COMPUTED_VALUE"""),"1261453")</f>
        <v>1261453</v>
      </c>
      <c r="C4297" s="213">
        <f>IFERROR(__xludf.DUMMYFUNCTION("""COMPUTED_VALUE"""),46113.366319444445)</f>
        <v>46113.36632</v>
      </c>
      <c r="D4297" s="211" t="str">
        <f>IFERROR(__xludf.DUMMYFUNCTION("""COMPUTED_VALUE"""),"de41c3e8")</f>
        <v>de41c3e8</v>
      </c>
      <c r="E4297" s="211" t="str">
        <f>IFERROR(__xludf.DUMMYFUNCTION("""COMPUTED_VALUE"""),"Bpk. Eko Mianto")</f>
        <v>Bpk. Eko Mianto</v>
      </c>
      <c r="F4297" s="211" t="str">
        <f>IFERROR(__xludf.DUMMYFUNCTION("""COMPUTED_VALUE"""),"66af7c72")</f>
        <v>66af7c72</v>
      </c>
      <c r="G4297" s="211" t="str">
        <f>IFERROR(__xludf.DUMMYFUNCTION("""COMPUTED_VALUE"""),"Argon 6m3")</f>
        <v>Argon 6m3</v>
      </c>
      <c r="H4297" s="211" t="str">
        <f>IFERROR(__xludf.DUMMYFUNCTION("""COMPUTED_VALUE"""),"IN")</f>
        <v>IN</v>
      </c>
      <c r="I4297" s="211" t="str">
        <f>IFERROR(__xludf.DUMMYFUNCTION("""COMPUTED_VALUE"""),"EMPTY")</f>
        <v>EMPTY</v>
      </c>
      <c r="J4297" s="211">
        <f>IFERROR(__xludf.DUMMYFUNCTION("""COMPUTED_VALUE"""),3.0)</f>
        <v>3</v>
      </c>
      <c r="K4297" s="210" t="str">
        <f>IFERROR(__xludf.DUMMYFUNCTION("""COMPUTED_VALUE"""),"12069 12042 12028")</f>
        <v>12069 12042 12028</v>
      </c>
      <c r="L4297" s="211">
        <f>IFERROR(__xludf.DUMMYFUNCTION("""COMPUTED_VALUE"""),0.0)</f>
        <v>0</v>
      </c>
      <c r="M4297" s="211"/>
      <c r="N4297" s="211"/>
      <c r="O4297" s="211" t="b">
        <f>IFERROR(__xludf.DUMMYFUNCTION("""COMPUTED_VALUE"""),FALSE)</f>
        <v>0</v>
      </c>
    </row>
    <row r="4298">
      <c r="A4298" s="210" t="str">
        <f>IFERROR(__xludf.DUMMYFUNCTION("""COMPUTED_VALUE"""),"1261444")</f>
        <v>1261444</v>
      </c>
      <c r="B4298" s="210" t="str">
        <f>IFERROR(__xludf.DUMMYFUNCTION("""COMPUTED_VALUE"""),"1261444")</f>
        <v>1261444</v>
      </c>
      <c r="C4298" s="213">
        <f>IFERROR(__xludf.DUMMYFUNCTION("""COMPUTED_VALUE"""),46113.366643518515)</f>
        <v>46113.36664</v>
      </c>
      <c r="D4298" s="211" t="str">
        <f>IFERROR(__xludf.DUMMYFUNCTION("""COMPUTED_VALUE"""),"03ff52db")</f>
        <v>03ff52db</v>
      </c>
      <c r="E4298" s="211" t="str">
        <f>IFERROR(__xludf.DUMMYFUNCTION("""COMPUTED_VALUE"""),"Aneka Teknik Logam")</f>
        <v>Aneka Teknik Logam</v>
      </c>
      <c r="F4298" s="211" t="str">
        <f>IFERROR(__xludf.DUMMYFUNCTION("""COMPUTED_VALUE"""),"8bdbe149")</f>
        <v>8bdbe149</v>
      </c>
      <c r="G4298" s="211" t="str">
        <f>IFERROR(__xludf.DUMMYFUNCTION("""COMPUTED_VALUE"""),"Oksigen 6m3")</f>
        <v>Oksigen 6m3</v>
      </c>
      <c r="H4298" s="211" t="str">
        <f>IFERROR(__xludf.DUMMYFUNCTION("""COMPUTED_VALUE"""),"IN")</f>
        <v>IN</v>
      </c>
      <c r="I4298" s="211" t="str">
        <f>IFERROR(__xludf.DUMMYFUNCTION("""COMPUTED_VALUE"""),"EMPTY")</f>
        <v>EMPTY</v>
      </c>
      <c r="J4298" s="211">
        <f>IFERROR(__xludf.DUMMYFUNCTION("""COMPUTED_VALUE"""),1.0)</f>
        <v>1</v>
      </c>
      <c r="K4298" s="210" t="str">
        <f>IFERROR(__xludf.DUMMYFUNCTION("""COMPUTED_VALUE"""),"11200")</f>
        <v>11200</v>
      </c>
      <c r="L4298" s="211">
        <f>IFERROR(__xludf.DUMMYFUNCTION("""COMPUTED_VALUE"""),0.0)</f>
        <v>0</v>
      </c>
      <c r="M4298" s="211"/>
      <c r="N4298" s="211"/>
      <c r="O4298" s="211" t="b">
        <f>IFERROR(__xludf.DUMMYFUNCTION("""COMPUTED_VALUE"""),FALSE)</f>
        <v>0</v>
      </c>
    </row>
    <row r="4299">
      <c r="A4299" s="210" t="str">
        <f>IFERROR(__xludf.DUMMYFUNCTION("""COMPUTED_VALUE"""),"1261451")</f>
        <v>1261451</v>
      </c>
      <c r="B4299" s="210" t="str">
        <f>IFERROR(__xludf.DUMMYFUNCTION("""COMPUTED_VALUE"""),"1261451")</f>
        <v>1261451</v>
      </c>
      <c r="C4299" s="213">
        <f>IFERROR(__xludf.DUMMYFUNCTION("""COMPUTED_VALUE"""),46113.36697916667)</f>
        <v>46113.36698</v>
      </c>
      <c r="D4299" s="211" t="str">
        <f>IFERROR(__xludf.DUMMYFUNCTION("""COMPUTED_VALUE"""),"9828dfc5")</f>
        <v>9828dfc5</v>
      </c>
      <c r="E4299" s="211" t="str">
        <f>IFERROR(__xludf.DUMMYFUNCTION("""COMPUTED_VALUE"""),"Bpk. David")</f>
        <v>Bpk. David</v>
      </c>
      <c r="F4299" s="211" t="str">
        <f>IFERROR(__xludf.DUMMYFUNCTION("""COMPUTED_VALUE"""),"8bdbe149")</f>
        <v>8bdbe149</v>
      </c>
      <c r="G4299" s="211" t="str">
        <f>IFERROR(__xludf.DUMMYFUNCTION("""COMPUTED_VALUE"""),"Oksigen 6m3")</f>
        <v>Oksigen 6m3</v>
      </c>
      <c r="H4299" s="211" t="str">
        <f>IFERROR(__xludf.DUMMYFUNCTION("""COMPUTED_VALUE"""),"IN")</f>
        <v>IN</v>
      </c>
      <c r="I4299" s="211" t="str">
        <f>IFERROR(__xludf.DUMMYFUNCTION("""COMPUTED_VALUE"""),"EMPTY")</f>
        <v>EMPTY</v>
      </c>
      <c r="J4299" s="211">
        <f>IFERROR(__xludf.DUMMYFUNCTION("""COMPUTED_VALUE"""),2.0)</f>
        <v>2</v>
      </c>
      <c r="K4299" s="210" t="str">
        <f>IFERROR(__xludf.DUMMYFUNCTION("""COMPUTED_VALUE"""),"1153 1121")</f>
        <v>1153 1121</v>
      </c>
      <c r="L4299" s="211">
        <f>IFERROR(__xludf.DUMMYFUNCTION("""COMPUTED_VALUE"""),0.0)</f>
        <v>0</v>
      </c>
      <c r="M4299" s="211"/>
      <c r="N4299" s="211"/>
      <c r="O4299" s="211" t="b">
        <f>IFERROR(__xludf.DUMMYFUNCTION("""COMPUTED_VALUE"""),FALSE)</f>
        <v>0</v>
      </c>
    </row>
    <row r="4300">
      <c r="A4300" s="210" t="str">
        <f>IFERROR(__xludf.DUMMYFUNCTION("""COMPUTED_VALUE"""),"1261451")</f>
        <v>1261451</v>
      </c>
      <c r="B4300" s="210" t="str">
        <f>IFERROR(__xludf.DUMMYFUNCTION("""COMPUTED_VALUE"""),"1261451")</f>
        <v>1261451</v>
      </c>
      <c r="C4300" s="213">
        <f>IFERROR(__xludf.DUMMYFUNCTION("""COMPUTED_VALUE"""),46113.36697916667)</f>
        <v>46113.36698</v>
      </c>
      <c r="D4300" s="211" t="str">
        <f>IFERROR(__xludf.DUMMYFUNCTION("""COMPUTED_VALUE"""),"9828dfc5")</f>
        <v>9828dfc5</v>
      </c>
      <c r="E4300" s="211" t="str">
        <f>IFERROR(__xludf.DUMMYFUNCTION("""COMPUTED_VALUE"""),"Bpk. David")</f>
        <v>Bpk. David</v>
      </c>
      <c r="F4300" s="211" t="str">
        <f>IFERROR(__xludf.DUMMYFUNCTION("""COMPUTED_VALUE"""),"7d2764f1")</f>
        <v>7d2764f1</v>
      </c>
      <c r="G4300" s="211" t="str">
        <f>IFERROR(__xludf.DUMMYFUNCTION("""COMPUTED_VALUE"""),"Oksigen 7m3")</f>
        <v>Oksigen 7m3</v>
      </c>
      <c r="H4300" s="211" t="str">
        <f>IFERROR(__xludf.DUMMYFUNCTION("""COMPUTED_VALUE"""),"IN")</f>
        <v>IN</v>
      </c>
      <c r="I4300" s="211" t="str">
        <f>IFERROR(__xludf.DUMMYFUNCTION("""COMPUTED_VALUE"""),"EMPTY")</f>
        <v>EMPTY</v>
      </c>
      <c r="J4300" s="211">
        <f>IFERROR(__xludf.DUMMYFUNCTION("""COMPUTED_VALUE"""),1.0)</f>
        <v>1</v>
      </c>
      <c r="K4300" s="210" t="str">
        <f>IFERROR(__xludf.DUMMYFUNCTION("""COMPUTED_VALUE"""),"11158")</f>
        <v>11158</v>
      </c>
      <c r="L4300" s="211">
        <f>IFERROR(__xludf.DUMMYFUNCTION("""COMPUTED_VALUE"""),0.0)</f>
        <v>0</v>
      </c>
      <c r="M4300" s="211"/>
      <c r="N4300" s="211"/>
      <c r="O4300" s="211" t="b">
        <f>IFERROR(__xludf.DUMMYFUNCTION("""COMPUTED_VALUE"""),FALSE)</f>
        <v>0</v>
      </c>
    </row>
    <row r="4301">
      <c r="A4301" s="210" t="str">
        <f>IFERROR(__xludf.DUMMYFUNCTION("""COMPUTED_VALUE"""),"1261452")</f>
        <v>1261452</v>
      </c>
      <c r="B4301" s="210" t="str">
        <f>IFERROR(__xludf.DUMMYFUNCTION("""COMPUTED_VALUE"""),"1261452")</f>
        <v>1261452</v>
      </c>
      <c r="C4301" s="213">
        <f>IFERROR(__xludf.DUMMYFUNCTION("""COMPUTED_VALUE"""),46113.3674537037)</f>
        <v>46113.36745</v>
      </c>
      <c r="D4301" s="211" t="str">
        <f>IFERROR(__xludf.DUMMYFUNCTION("""COMPUTED_VALUE"""),"ba97d58d")</f>
        <v>ba97d58d</v>
      </c>
      <c r="E4301" s="211" t="str">
        <f>IFERROR(__xludf.DUMMYFUNCTION("""COMPUTED_VALUE"""),"Bengkel Citra Mojosari")</f>
        <v>Bengkel Citra Mojosari</v>
      </c>
      <c r="F4301" s="211" t="str">
        <f>IFERROR(__xludf.DUMMYFUNCTION("""COMPUTED_VALUE"""),"8bdbe149")</f>
        <v>8bdbe149</v>
      </c>
      <c r="G4301" s="211" t="str">
        <f>IFERROR(__xludf.DUMMYFUNCTION("""COMPUTED_VALUE"""),"Oksigen 6m3")</f>
        <v>Oksigen 6m3</v>
      </c>
      <c r="H4301" s="211" t="str">
        <f>IFERROR(__xludf.DUMMYFUNCTION("""COMPUTED_VALUE"""),"IN")</f>
        <v>IN</v>
      </c>
      <c r="I4301" s="211" t="str">
        <f>IFERROR(__xludf.DUMMYFUNCTION("""COMPUTED_VALUE"""),"EMPTY")</f>
        <v>EMPTY</v>
      </c>
      <c r="J4301" s="211">
        <f>IFERROR(__xludf.DUMMYFUNCTION("""COMPUTED_VALUE"""),1.0)</f>
        <v>1</v>
      </c>
      <c r="K4301" s="210" t="str">
        <f>IFERROR(__xludf.DUMMYFUNCTION("""COMPUTED_VALUE"""),"11368")</f>
        <v>11368</v>
      </c>
      <c r="L4301" s="211">
        <f>IFERROR(__xludf.DUMMYFUNCTION("""COMPUTED_VALUE"""),0.0)</f>
        <v>0</v>
      </c>
      <c r="M4301" s="211"/>
      <c r="N4301" s="211"/>
      <c r="O4301" s="211" t="b">
        <f>IFERROR(__xludf.DUMMYFUNCTION("""COMPUTED_VALUE"""),FALSE)</f>
        <v>0</v>
      </c>
    </row>
    <row r="4302">
      <c r="A4302" s="210" t="str">
        <f>IFERROR(__xludf.DUMMYFUNCTION("""COMPUTED_VALUE"""),"1261452")</f>
        <v>1261452</v>
      </c>
      <c r="B4302" s="210" t="str">
        <f>IFERROR(__xludf.DUMMYFUNCTION("""COMPUTED_VALUE"""),"1261452")</f>
        <v>1261452</v>
      </c>
      <c r="C4302" s="213">
        <f>IFERROR(__xludf.DUMMYFUNCTION("""COMPUTED_VALUE"""),46113.3674537037)</f>
        <v>46113.36745</v>
      </c>
      <c r="D4302" s="211" t="str">
        <f>IFERROR(__xludf.DUMMYFUNCTION("""COMPUTED_VALUE"""),"ba97d58d")</f>
        <v>ba97d58d</v>
      </c>
      <c r="E4302" s="211" t="str">
        <f>IFERROR(__xludf.DUMMYFUNCTION("""COMPUTED_VALUE"""),"Bengkel Citra Mojosari")</f>
        <v>Bengkel Citra Mojosari</v>
      </c>
      <c r="F4302" s="211" t="str">
        <f>IFERROR(__xludf.DUMMYFUNCTION("""COMPUTED_VALUE"""),"8bdbe149")</f>
        <v>8bdbe149</v>
      </c>
      <c r="G4302" s="211" t="str">
        <f>IFERROR(__xludf.DUMMYFUNCTION("""COMPUTED_VALUE"""),"Oksigen 6m3")</f>
        <v>Oksigen 6m3</v>
      </c>
      <c r="H4302" s="211" t="str">
        <f>IFERROR(__xludf.DUMMYFUNCTION("""COMPUTED_VALUE"""),"IN")</f>
        <v>IN</v>
      </c>
      <c r="I4302" s="211" t="str">
        <f>IFERROR(__xludf.DUMMYFUNCTION("""COMPUTED_VALUE"""),"EMPTY")</f>
        <v>EMPTY</v>
      </c>
      <c r="J4302" s="211">
        <f>IFERROR(__xludf.DUMMYFUNCTION("""COMPUTED_VALUE"""),1.0)</f>
        <v>1</v>
      </c>
      <c r="K4302" s="210" t="str">
        <f>IFERROR(__xludf.DUMMYFUNCTION("""COMPUTED_VALUE"""),"1196")</f>
        <v>1196</v>
      </c>
      <c r="L4302" s="211">
        <f>IFERROR(__xludf.DUMMYFUNCTION("""COMPUTED_VALUE"""),0.0)</f>
        <v>0</v>
      </c>
      <c r="M4302" s="211"/>
      <c r="N4302" s="211"/>
      <c r="O4302" s="211" t="b">
        <f>IFERROR(__xludf.DUMMYFUNCTION("""COMPUTED_VALUE"""),TRUE)</f>
        <v>1</v>
      </c>
    </row>
    <row r="4303">
      <c r="A4303" s="210" t="str">
        <f>IFERROR(__xludf.DUMMYFUNCTION("""COMPUTED_VALUE"""),"0426232941")</f>
        <v>0426232941</v>
      </c>
      <c r="B4303" s="210" t="str">
        <f>IFERROR(__xludf.DUMMYFUNCTION("""COMPUTED_VALUE"""),"0426232941")</f>
        <v>0426232941</v>
      </c>
      <c r="C4303" s="213">
        <f>IFERROR(__xludf.DUMMYFUNCTION("""COMPUTED_VALUE"""),46113.369780092595)</f>
        <v>46113.36978</v>
      </c>
      <c r="D4303" s="211" t="str">
        <f>IFERROR(__xludf.DUMMYFUNCTION("""COMPUTED_VALUE"""),"a0f0ad2d")</f>
        <v>a0f0ad2d</v>
      </c>
      <c r="E4303" s="211" t="str">
        <f>IFERROR(__xludf.DUMMYFUNCTION("""COMPUTED_VALUE"""),"CV. Yulie Jaya")</f>
        <v>CV. Yulie Jaya</v>
      </c>
      <c r="F4303" s="211" t="str">
        <f>IFERROR(__xludf.DUMMYFUNCTION("""COMPUTED_VALUE"""),"8bdbe149")</f>
        <v>8bdbe149</v>
      </c>
      <c r="G4303" s="211" t="str">
        <f>IFERROR(__xludf.DUMMYFUNCTION("""COMPUTED_VALUE"""),"Oksigen 6m3")</f>
        <v>Oksigen 6m3</v>
      </c>
      <c r="H4303" s="211" t="str">
        <f>IFERROR(__xludf.DUMMYFUNCTION("""COMPUTED_VALUE"""),"OUT")</f>
        <v>OUT</v>
      </c>
      <c r="I4303" s="211" t="str">
        <f>IFERROR(__xludf.DUMMYFUNCTION("""COMPUTED_VALUE"""),"NORMAL")</f>
        <v>NORMAL</v>
      </c>
      <c r="J4303" s="211">
        <f>IFERROR(__xludf.DUMMYFUNCTION("""COMPUTED_VALUE"""),10.0)</f>
        <v>10</v>
      </c>
      <c r="K4303" s="210" t="str">
        <f>IFERROR(__xludf.DUMMYFUNCTION("""COMPUTED_VALUE"""),"11381 11378 1120 11246 1111 11277 11192 1132 1126 11380")</f>
        <v>11381 11378 1120 11246 1111 11277 11192 1132 1126 11380</v>
      </c>
      <c r="L4303" s="211">
        <f>IFERROR(__xludf.DUMMYFUNCTION("""COMPUTED_VALUE"""),60000.0)</f>
        <v>60000</v>
      </c>
      <c r="M4303" s="211"/>
      <c r="N4303" s="211"/>
      <c r="O4303" s="211" t="b">
        <f>IFERROR(__xludf.DUMMYFUNCTION("""COMPUTED_VALUE"""),FALSE)</f>
        <v>0</v>
      </c>
    </row>
    <row r="4304">
      <c r="A4304" s="210" t="str">
        <f>IFERROR(__xludf.DUMMYFUNCTION("""COMPUTED_VALUE"""),"0426142947")</f>
        <v>0426142947</v>
      </c>
      <c r="B4304" s="210" t="str">
        <f>IFERROR(__xludf.DUMMYFUNCTION("""COMPUTED_VALUE"""),"0426142947")</f>
        <v>0426142947</v>
      </c>
      <c r="C4304" s="213">
        <f>IFERROR(__xludf.DUMMYFUNCTION("""COMPUTED_VALUE"""),46113.44144675926)</f>
        <v>46113.44145</v>
      </c>
      <c r="D4304" s="211" t="str">
        <f>IFERROR(__xludf.DUMMYFUNCTION("""COMPUTED_VALUE"""),"03ff52db")</f>
        <v>03ff52db</v>
      </c>
      <c r="E4304" s="211" t="str">
        <f>IFERROR(__xludf.DUMMYFUNCTION("""COMPUTED_VALUE"""),"Aneka Teknik Logam")</f>
        <v>Aneka Teknik Logam</v>
      </c>
      <c r="F4304" s="211" t="str">
        <f>IFERROR(__xludf.DUMMYFUNCTION("""COMPUTED_VALUE"""),"8bdbe149")</f>
        <v>8bdbe149</v>
      </c>
      <c r="G4304" s="211" t="str">
        <f>IFERROR(__xludf.DUMMYFUNCTION("""COMPUTED_VALUE"""),"Oksigen 6m3")</f>
        <v>Oksigen 6m3</v>
      </c>
      <c r="H4304" s="211" t="str">
        <f>IFERROR(__xludf.DUMMYFUNCTION("""COMPUTED_VALUE"""),"OUT")</f>
        <v>OUT</v>
      </c>
      <c r="I4304" s="211" t="str">
        <f>IFERROR(__xludf.DUMMYFUNCTION("""COMPUTED_VALUE"""),"NORMAL")</f>
        <v>NORMAL</v>
      </c>
      <c r="J4304" s="211">
        <f>IFERROR(__xludf.DUMMYFUNCTION("""COMPUTED_VALUE"""),1.0)</f>
        <v>1</v>
      </c>
      <c r="K4304" s="210" t="str">
        <f>IFERROR(__xludf.DUMMYFUNCTION("""COMPUTED_VALUE"""),"11193")</f>
        <v>11193</v>
      </c>
      <c r="L4304" s="211">
        <f>IFERROR(__xludf.DUMMYFUNCTION("""COMPUTED_VALUE"""),60000.0)</f>
        <v>60000</v>
      </c>
      <c r="M4304" s="211"/>
      <c r="N4304" s="211"/>
      <c r="O4304" s="211" t="b">
        <f>IFERROR(__xludf.DUMMYFUNCTION("""COMPUTED_VALUE"""),FALSE)</f>
        <v>0</v>
      </c>
    </row>
    <row r="4305">
      <c r="A4305" s="210" t="str">
        <f>IFERROR(__xludf.DUMMYFUNCTION("""COMPUTED_VALUE"""),"0426142947")</f>
        <v>0426142947</v>
      </c>
      <c r="B4305" s="210" t="str">
        <f>IFERROR(__xludf.DUMMYFUNCTION("""COMPUTED_VALUE"""),"0426142947")</f>
        <v>0426142947</v>
      </c>
      <c r="C4305" s="213">
        <f>IFERROR(__xludf.DUMMYFUNCTION("""COMPUTED_VALUE"""),46113.44144675926)</f>
        <v>46113.44145</v>
      </c>
      <c r="D4305" s="211" t="str">
        <f>IFERROR(__xludf.DUMMYFUNCTION("""COMPUTED_VALUE"""),"03ff52db")</f>
        <v>03ff52db</v>
      </c>
      <c r="E4305" s="211" t="str">
        <f>IFERROR(__xludf.DUMMYFUNCTION("""COMPUTED_VALUE"""),"Aneka Teknik Logam")</f>
        <v>Aneka Teknik Logam</v>
      </c>
      <c r="F4305" s="211" t="str">
        <f>IFERROR(__xludf.DUMMYFUNCTION("""COMPUTED_VALUE"""),"be525f3b")</f>
        <v>be525f3b</v>
      </c>
      <c r="G4305" s="211" t="str">
        <f>IFERROR(__xludf.DUMMYFUNCTION("""COMPUTED_VALUE"""),"LPG 12kg")</f>
        <v>LPG 12kg</v>
      </c>
      <c r="H4305" s="211" t="str">
        <f>IFERROR(__xludf.DUMMYFUNCTION("""COMPUTED_VALUE"""),"OUT")</f>
        <v>OUT</v>
      </c>
      <c r="I4305" s="211" t="str">
        <f>IFERROR(__xludf.DUMMYFUNCTION("""COMPUTED_VALUE"""),"NORMAL")</f>
        <v>NORMAL</v>
      </c>
      <c r="J4305" s="211">
        <f>IFERROR(__xludf.DUMMYFUNCTION("""COMPUTED_VALUE"""),1.0)</f>
        <v>1</v>
      </c>
      <c r="K4305" s="211"/>
      <c r="L4305" s="211">
        <f>IFERROR(__xludf.DUMMYFUNCTION("""COMPUTED_VALUE"""),210000.0)</f>
        <v>210000</v>
      </c>
      <c r="M4305" s="211"/>
      <c r="N4305" s="211"/>
      <c r="O4305" s="211" t="b">
        <f>IFERROR(__xludf.DUMMYFUNCTION("""COMPUTED_VALUE"""),FALSE)</f>
        <v>0</v>
      </c>
    </row>
    <row r="4306">
      <c r="A4306" s="210" t="str">
        <f>IFERROR(__xludf.DUMMYFUNCTION("""COMPUTED_VALUE"""),"1261455")</f>
        <v>1261455</v>
      </c>
      <c r="B4306" s="210" t="str">
        <f>IFERROR(__xludf.DUMMYFUNCTION("""COMPUTED_VALUE"""),"1261455")</f>
        <v>1261455</v>
      </c>
      <c r="C4306" s="213">
        <f>IFERROR(__xludf.DUMMYFUNCTION("""COMPUTED_VALUE"""),46113.44327546296)</f>
        <v>46113.44328</v>
      </c>
      <c r="D4306" s="211" t="str">
        <f>IFERROR(__xludf.DUMMYFUNCTION("""COMPUTED_VALUE"""),"1c4d5e93")</f>
        <v>1c4d5e93</v>
      </c>
      <c r="E4306" s="211" t="str">
        <f>IFERROR(__xludf.DUMMYFUNCTION("""COMPUTED_VALUE"""),"Karoseri Cipta Mitra Sukses")</f>
        <v>Karoseri Cipta Mitra Sukses</v>
      </c>
      <c r="F4306" s="211" t="str">
        <f>IFERROR(__xludf.DUMMYFUNCTION("""COMPUTED_VALUE"""),"8bdbe149")</f>
        <v>8bdbe149</v>
      </c>
      <c r="G4306" s="211" t="str">
        <f>IFERROR(__xludf.DUMMYFUNCTION("""COMPUTED_VALUE"""),"Oksigen 6m3")</f>
        <v>Oksigen 6m3</v>
      </c>
      <c r="H4306" s="211" t="str">
        <f>IFERROR(__xludf.DUMMYFUNCTION("""COMPUTED_VALUE"""),"IN")</f>
        <v>IN</v>
      </c>
      <c r="I4306" s="211" t="str">
        <f>IFERROR(__xludf.DUMMYFUNCTION("""COMPUTED_VALUE"""),"EMPTY")</f>
        <v>EMPTY</v>
      </c>
      <c r="J4306" s="211">
        <f>IFERROR(__xludf.DUMMYFUNCTION("""COMPUTED_VALUE"""),1.0)</f>
        <v>1</v>
      </c>
      <c r="K4306" s="210" t="str">
        <f>IFERROR(__xludf.DUMMYFUNCTION("""COMPUTED_VALUE"""),"11341")</f>
        <v>11341</v>
      </c>
      <c r="L4306" s="211">
        <f>IFERROR(__xludf.DUMMYFUNCTION("""COMPUTED_VALUE"""),0.0)</f>
        <v>0</v>
      </c>
      <c r="M4306" s="211"/>
      <c r="N4306" s="211"/>
      <c r="O4306" s="211" t="b">
        <f>IFERROR(__xludf.DUMMYFUNCTION("""COMPUTED_VALUE"""),FALSE)</f>
        <v>0</v>
      </c>
    </row>
    <row r="4307">
      <c r="A4307" s="210" t="str">
        <f>IFERROR(__xludf.DUMMYFUNCTION("""COMPUTED_VALUE"""),"1261455")</f>
        <v>1261455</v>
      </c>
      <c r="B4307" s="210" t="str">
        <f>IFERROR(__xludf.DUMMYFUNCTION("""COMPUTED_VALUE"""),"1261455")</f>
        <v>1261455</v>
      </c>
      <c r="C4307" s="213">
        <f>IFERROR(__xludf.DUMMYFUNCTION("""COMPUTED_VALUE"""),46113.44327546296)</f>
        <v>46113.44328</v>
      </c>
      <c r="D4307" s="211" t="str">
        <f>IFERROR(__xludf.DUMMYFUNCTION("""COMPUTED_VALUE"""),"1c4d5e93")</f>
        <v>1c4d5e93</v>
      </c>
      <c r="E4307" s="211" t="str">
        <f>IFERROR(__xludf.DUMMYFUNCTION("""COMPUTED_VALUE"""),"Karoseri Cipta Mitra Sukses")</f>
        <v>Karoseri Cipta Mitra Sukses</v>
      </c>
      <c r="F4307" s="211" t="str">
        <f>IFERROR(__xludf.DUMMYFUNCTION("""COMPUTED_VALUE"""),"ef306e54")</f>
        <v>ef306e54</v>
      </c>
      <c r="G4307" s="211" t="str">
        <f>IFERROR(__xludf.DUMMYFUNCTION("""COMPUTED_VALUE"""),"Karbondioksida")</f>
        <v>Karbondioksida</v>
      </c>
      <c r="H4307" s="211" t="str">
        <f>IFERROR(__xludf.DUMMYFUNCTION("""COMPUTED_VALUE"""),"IN")</f>
        <v>IN</v>
      </c>
      <c r="I4307" s="211" t="str">
        <f>IFERROR(__xludf.DUMMYFUNCTION("""COMPUTED_VALUE"""),"EMPTY")</f>
        <v>EMPTY</v>
      </c>
      <c r="J4307" s="211">
        <f>IFERROR(__xludf.DUMMYFUNCTION("""COMPUTED_VALUE"""),2.0)</f>
        <v>2</v>
      </c>
      <c r="K4307" s="210" t="str">
        <f>IFERROR(__xludf.DUMMYFUNCTION("""COMPUTED_VALUE"""),"13021 13027")</f>
        <v>13021 13027</v>
      </c>
      <c r="L4307" s="211">
        <f>IFERROR(__xludf.DUMMYFUNCTION("""COMPUTED_VALUE"""),0.0)</f>
        <v>0</v>
      </c>
      <c r="M4307" s="211"/>
      <c r="N4307" s="211"/>
      <c r="O4307" s="211" t="b">
        <f>IFERROR(__xludf.DUMMYFUNCTION("""COMPUTED_VALUE"""),FALSE)</f>
        <v>0</v>
      </c>
    </row>
    <row r="4308">
      <c r="A4308" s="210" t="str">
        <f>IFERROR(__xludf.DUMMYFUNCTION("""COMPUTED_VALUE"""),"1261455")</f>
        <v>1261455</v>
      </c>
      <c r="B4308" s="210" t="str">
        <f>IFERROR(__xludf.DUMMYFUNCTION("""COMPUTED_VALUE"""),"1261455")</f>
        <v>1261455</v>
      </c>
      <c r="C4308" s="213">
        <f>IFERROR(__xludf.DUMMYFUNCTION("""COMPUTED_VALUE"""),46113.44327546296)</f>
        <v>46113.44328</v>
      </c>
      <c r="D4308" s="211" t="str">
        <f>IFERROR(__xludf.DUMMYFUNCTION("""COMPUTED_VALUE"""),"1c4d5e93")</f>
        <v>1c4d5e93</v>
      </c>
      <c r="E4308" s="211" t="str">
        <f>IFERROR(__xludf.DUMMYFUNCTION("""COMPUTED_VALUE"""),"Karoseri Cipta Mitra Sukses")</f>
        <v>Karoseri Cipta Mitra Sukses</v>
      </c>
      <c r="F4308" s="211" t="str">
        <f>IFERROR(__xludf.DUMMYFUNCTION("""COMPUTED_VALUE"""),"3b9d6a30")</f>
        <v>3b9d6a30</v>
      </c>
      <c r="G4308" s="211" t="str">
        <f>IFERROR(__xludf.DUMMYFUNCTION("""COMPUTED_VALUE"""),"Acetyline")</f>
        <v>Acetyline</v>
      </c>
      <c r="H4308" s="211" t="str">
        <f>IFERROR(__xludf.DUMMYFUNCTION("""COMPUTED_VALUE"""),"IN")</f>
        <v>IN</v>
      </c>
      <c r="I4308" s="211" t="str">
        <f>IFERROR(__xludf.DUMMYFUNCTION("""COMPUTED_VALUE"""),"EMPTY")</f>
        <v>EMPTY</v>
      </c>
      <c r="J4308" s="211">
        <f>IFERROR(__xludf.DUMMYFUNCTION("""COMPUTED_VALUE"""),1.0)</f>
        <v>1</v>
      </c>
      <c r="K4308" s="210" t="str">
        <f>IFERROR(__xludf.DUMMYFUNCTION("""COMPUTED_VALUE"""),"7007")</f>
        <v>7007</v>
      </c>
      <c r="L4308" s="211">
        <f>IFERROR(__xludf.DUMMYFUNCTION("""COMPUTED_VALUE"""),0.0)</f>
        <v>0</v>
      </c>
      <c r="M4308" s="211"/>
      <c r="N4308" s="211"/>
      <c r="O4308" s="211" t="b">
        <f>IFERROR(__xludf.DUMMYFUNCTION("""COMPUTED_VALUE"""),FALSE)</f>
        <v>0</v>
      </c>
    </row>
    <row r="4309">
      <c r="A4309" s="210" t="str">
        <f>IFERROR(__xludf.DUMMYFUNCTION("""COMPUTED_VALUE"""),"0426792948")</f>
        <v>0426792948</v>
      </c>
      <c r="B4309" s="210" t="str">
        <f>IFERROR(__xludf.DUMMYFUNCTION("""COMPUTED_VALUE"""),"0426792948")</f>
        <v>0426792948</v>
      </c>
      <c r="C4309" s="213">
        <f>IFERROR(__xludf.DUMMYFUNCTION("""COMPUTED_VALUE"""),46113.44699074074)</f>
        <v>46113.44699</v>
      </c>
      <c r="D4309" s="211" t="str">
        <f>IFERROR(__xludf.DUMMYFUNCTION("""COMPUTED_VALUE"""),"e86baf3b")</f>
        <v>e86baf3b</v>
      </c>
      <c r="E4309" s="211" t="str">
        <f>IFERROR(__xludf.DUMMYFUNCTION("""COMPUTED_VALUE"""),"PT GEMILANG CIPTA WAWASAN")</f>
        <v>PT GEMILANG CIPTA WAWASAN</v>
      </c>
      <c r="F4309" s="211" t="str">
        <f>IFERROR(__xludf.DUMMYFUNCTION("""COMPUTED_VALUE"""),"66af7c72")</f>
        <v>66af7c72</v>
      </c>
      <c r="G4309" s="211" t="str">
        <f>IFERROR(__xludf.DUMMYFUNCTION("""COMPUTED_VALUE"""),"Argon 6m3")</f>
        <v>Argon 6m3</v>
      </c>
      <c r="H4309" s="211" t="str">
        <f>IFERROR(__xludf.DUMMYFUNCTION("""COMPUTED_VALUE"""),"OUT")</f>
        <v>OUT</v>
      </c>
      <c r="I4309" s="211" t="str">
        <f>IFERROR(__xludf.DUMMYFUNCTION("""COMPUTED_VALUE"""),"NORMAL")</f>
        <v>NORMAL</v>
      </c>
      <c r="J4309" s="211">
        <f>IFERROR(__xludf.DUMMYFUNCTION("""COMPUTED_VALUE"""),10.0)</f>
        <v>10</v>
      </c>
      <c r="K4309" s="210" t="str">
        <f>IFERROR(__xludf.DUMMYFUNCTION("""COMPUTED_VALUE"""),"12068 12032 12013 12063 12016 12077 12006 12065 12073 12033")</f>
        <v>12068 12032 12013 12063 12016 12077 12006 12065 12073 12033</v>
      </c>
      <c r="L4309" s="211">
        <f>IFERROR(__xludf.DUMMYFUNCTION("""COMPUTED_VALUE"""),200000.0)</f>
        <v>200000</v>
      </c>
      <c r="M4309" s="211"/>
      <c r="N4309" s="211"/>
      <c r="O4309" s="211" t="b">
        <f>IFERROR(__xludf.DUMMYFUNCTION("""COMPUTED_VALUE"""),FALSE)</f>
        <v>0</v>
      </c>
    </row>
    <row r="4310">
      <c r="A4310" s="210" t="str">
        <f>IFERROR(__xludf.DUMMYFUNCTION("""COMPUTED_VALUE"""),"1261479")</f>
        <v>1261479</v>
      </c>
      <c r="B4310" s="210" t="str">
        <f>IFERROR(__xludf.DUMMYFUNCTION("""COMPUTED_VALUE"""),"1261479")</f>
        <v>1261479</v>
      </c>
      <c r="C4310" s="213">
        <f>IFERROR(__xludf.DUMMYFUNCTION("""COMPUTED_VALUE"""),46113.46842592592)</f>
        <v>46113.46843</v>
      </c>
      <c r="D4310" s="211" t="str">
        <f>IFERROR(__xludf.DUMMYFUNCTION("""COMPUTED_VALUE"""),"d9b2fac5")</f>
        <v>d9b2fac5</v>
      </c>
      <c r="E4310" s="211" t="str">
        <f>IFERROR(__xludf.DUMMYFUNCTION("""COMPUTED_VALUE"""),"Dwi Riza ( Ponokawan)")</f>
        <v>Dwi Riza ( Ponokawan)</v>
      </c>
      <c r="F4310" s="211" t="str">
        <f>IFERROR(__xludf.DUMMYFUNCTION("""COMPUTED_VALUE"""),"8bdbe149")</f>
        <v>8bdbe149</v>
      </c>
      <c r="G4310" s="211" t="str">
        <f>IFERROR(__xludf.DUMMYFUNCTION("""COMPUTED_VALUE"""),"Oksigen 6m3")</f>
        <v>Oksigen 6m3</v>
      </c>
      <c r="H4310" s="211" t="str">
        <f>IFERROR(__xludf.DUMMYFUNCTION("""COMPUTED_VALUE"""),"IN")</f>
        <v>IN</v>
      </c>
      <c r="I4310" s="211" t="str">
        <f>IFERROR(__xludf.DUMMYFUNCTION("""COMPUTED_VALUE"""),"EMPTY")</f>
        <v>EMPTY</v>
      </c>
      <c r="J4310" s="211">
        <f>IFERROR(__xludf.DUMMYFUNCTION("""COMPUTED_VALUE"""),5.0)</f>
        <v>5</v>
      </c>
      <c r="K4310" s="210" t="str">
        <f>IFERROR(__xludf.DUMMYFUNCTION("""COMPUTED_VALUE"""),"11112 1181 11287 11236 1207")</f>
        <v>11112 1181 11287 11236 1207</v>
      </c>
      <c r="L4310" s="211">
        <f>IFERROR(__xludf.DUMMYFUNCTION("""COMPUTED_VALUE"""),0.0)</f>
        <v>0</v>
      </c>
      <c r="M4310" s="211"/>
      <c r="N4310" s="211"/>
      <c r="O4310" s="211" t="b">
        <f>IFERROR(__xludf.DUMMYFUNCTION("""COMPUTED_VALUE"""),FALSE)</f>
        <v>0</v>
      </c>
    </row>
    <row r="4311">
      <c r="A4311" s="210" t="str">
        <f>IFERROR(__xludf.DUMMYFUNCTION("""COMPUTED_VALUE"""),"1261479")</f>
        <v>1261479</v>
      </c>
      <c r="B4311" s="210" t="str">
        <f>IFERROR(__xludf.DUMMYFUNCTION("""COMPUTED_VALUE"""),"1261479")</f>
        <v>1261479</v>
      </c>
      <c r="C4311" s="213">
        <f>IFERROR(__xludf.DUMMYFUNCTION("""COMPUTED_VALUE"""),46113.46842592592)</f>
        <v>46113.46843</v>
      </c>
      <c r="D4311" s="211" t="str">
        <f>IFERROR(__xludf.DUMMYFUNCTION("""COMPUTED_VALUE"""),"d9b2fac5")</f>
        <v>d9b2fac5</v>
      </c>
      <c r="E4311" s="211" t="str">
        <f>IFERROR(__xludf.DUMMYFUNCTION("""COMPUTED_VALUE"""),"Dwi Riza ( Ponokawan)")</f>
        <v>Dwi Riza ( Ponokawan)</v>
      </c>
      <c r="F4311" s="211" t="str">
        <f>IFERROR(__xludf.DUMMYFUNCTION("""COMPUTED_VALUE"""),"7d2764f1")</f>
        <v>7d2764f1</v>
      </c>
      <c r="G4311" s="211" t="str">
        <f>IFERROR(__xludf.DUMMYFUNCTION("""COMPUTED_VALUE"""),"Oksigen 7m3")</f>
        <v>Oksigen 7m3</v>
      </c>
      <c r="H4311" s="211" t="str">
        <f>IFERROR(__xludf.DUMMYFUNCTION("""COMPUTED_VALUE"""),"IN")</f>
        <v>IN</v>
      </c>
      <c r="I4311" s="211" t="str">
        <f>IFERROR(__xludf.DUMMYFUNCTION("""COMPUTED_VALUE"""),"EMPTY")</f>
        <v>EMPTY</v>
      </c>
      <c r="J4311" s="211">
        <f>IFERROR(__xludf.DUMMYFUNCTION("""COMPUTED_VALUE"""),1.0)</f>
        <v>1</v>
      </c>
      <c r="K4311" s="210" t="str">
        <f>IFERROR(__xludf.DUMMYFUNCTION("""COMPUTED_VALUE"""),"741")</f>
        <v>741</v>
      </c>
      <c r="L4311" s="211">
        <f>IFERROR(__xludf.DUMMYFUNCTION("""COMPUTED_VALUE"""),0.0)</f>
        <v>0</v>
      </c>
      <c r="M4311" s="211"/>
      <c r="N4311" s="211"/>
      <c r="O4311" s="211" t="b">
        <f>IFERROR(__xludf.DUMMYFUNCTION("""COMPUTED_VALUE"""),FALSE)</f>
        <v>0</v>
      </c>
    </row>
    <row r="4312">
      <c r="A4312" s="210" t="str">
        <f>IFERROR(__xludf.DUMMYFUNCTION("""COMPUTED_VALUE"""),"1261479")</f>
        <v>1261479</v>
      </c>
      <c r="B4312" s="210" t="str">
        <f>IFERROR(__xludf.DUMMYFUNCTION("""COMPUTED_VALUE"""),"1261479")</f>
        <v>1261479</v>
      </c>
      <c r="C4312" s="213">
        <f>IFERROR(__xludf.DUMMYFUNCTION("""COMPUTED_VALUE"""),46113.46842592592)</f>
        <v>46113.46843</v>
      </c>
      <c r="D4312" s="211" t="str">
        <f>IFERROR(__xludf.DUMMYFUNCTION("""COMPUTED_VALUE"""),"d9b2fac5")</f>
        <v>d9b2fac5</v>
      </c>
      <c r="E4312" s="211" t="str">
        <f>IFERROR(__xludf.DUMMYFUNCTION("""COMPUTED_VALUE"""),"Dwi Riza ( Ponokawan)")</f>
        <v>Dwi Riza ( Ponokawan)</v>
      </c>
      <c r="F4312" s="211" t="str">
        <f>IFERROR(__xludf.DUMMYFUNCTION("""COMPUTED_VALUE"""),"8bdbe149")</f>
        <v>8bdbe149</v>
      </c>
      <c r="G4312" s="211" t="str">
        <f>IFERROR(__xludf.DUMMYFUNCTION("""COMPUTED_VALUE"""),"Oksigen 6m3")</f>
        <v>Oksigen 6m3</v>
      </c>
      <c r="H4312" s="211" t="str">
        <f>IFERROR(__xludf.DUMMYFUNCTION("""COMPUTED_VALUE"""),"IN")</f>
        <v>IN</v>
      </c>
      <c r="I4312" s="211" t="str">
        <f>IFERROR(__xludf.DUMMYFUNCTION("""COMPUTED_VALUE"""),"EMPTY")</f>
        <v>EMPTY</v>
      </c>
      <c r="J4312" s="211">
        <f>IFERROR(__xludf.DUMMYFUNCTION("""COMPUTED_VALUE"""),1.0)</f>
        <v>1</v>
      </c>
      <c r="K4312" s="210" t="str">
        <f>IFERROR(__xludf.DUMMYFUNCTION("""COMPUTED_VALUE"""),"11186")</f>
        <v>11186</v>
      </c>
      <c r="L4312" s="211">
        <f>IFERROR(__xludf.DUMMYFUNCTION("""COMPUTED_VALUE"""),0.0)</f>
        <v>0</v>
      </c>
      <c r="M4312" s="211"/>
      <c r="N4312" s="211"/>
      <c r="O4312" s="211" t="b">
        <f>IFERROR(__xludf.DUMMYFUNCTION("""COMPUTED_VALUE"""),TRUE)</f>
        <v>1</v>
      </c>
    </row>
    <row r="4313">
      <c r="A4313" s="210" t="str">
        <f>IFERROR(__xludf.DUMMYFUNCTION("""COMPUTED_VALUE"""),"0426502950")</f>
        <v>0426502950</v>
      </c>
      <c r="B4313" s="210" t="str">
        <f>IFERROR(__xludf.DUMMYFUNCTION("""COMPUTED_VALUE"""),"0426502950")</f>
        <v>0426502950</v>
      </c>
      <c r="C4313" s="213">
        <f>IFERROR(__xludf.DUMMYFUNCTION("""COMPUTED_VALUE"""),46113.597546296296)</f>
        <v>46113.59755</v>
      </c>
      <c r="D4313" s="211" t="str">
        <f>IFERROR(__xludf.DUMMYFUNCTION("""COMPUTED_VALUE"""),"ec231cc9")</f>
        <v>ec231cc9</v>
      </c>
      <c r="E4313" s="211" t="str">
        <f>IFERROR(__xludf.DUMMYFUNCTION("""COMPUTED_VALUE"""),"Bpk. Kadir (Maintenance Velg)")</f>
        <v>Bpk. Kadir (Maintenance Velg)</v>
      </c>
      <c r="F4313" s="211" t="str">
        <f>IFERROR(__xludf.DUMMYFUNCTION("""COMPUTED_VALUE"""),"8bdbe149")</f>
        <v>8bdbe149</v>
      </c>
      <c r="G4313" s="211" t="str">
        <f>IFERROR(__xludf.DUMMYFUNCTION("""COMPUTED_VALUE"""),"Oksigen 6m3")</f>
        <v>Oksigen 6m3</v>
      </c>
      <c r="H4313" s="211" t="str">
        <f>IFERROR(__xludf.DUMMYFUNCTION("""COMPUTED_VALUE"""),"OUT")</f>
        <v>OUT</v>
      </c>
      <c r="I4313" s="211" t="str">
        <f>IFERROR(__xludf.DUMMYFUNCTION("""COMPUTED_VALUE"""),"NORMAL")</f>
        <v>NORMAL</v>
      </c>
      <c r="J4313" s="211">
        <f>IFERROR(__xludf.DUMMYFUNCTION("""COMPUTED_VALUE"""),5.0)</f>
        <v>5</v>
      </c>
      <c r="K4313" s="210" t="str">
        <f>IFERROR(__xludf.DUMMYFUNCTION("""COMPUTED_VALUE"""),"11363 11209 11103 1129 11275")</f>
        <v>11363 11209 11103 1129 11275</v>
      </c>
      <c r="L4313" s="211">
        <f>IFERROR(__xludf.DUMMYFUNCTION("""COMPUTED_VALUE"""),55000.0)</f>
        <v>55000</v>
      </c>
      <c r="M4313" s="211"/>
      <c r="N4313" s="211"/>
      <c r="O4313" s="211" t="b">
        <f>IFERROR(__xludf.DUMMYFUNCTION("""COMPUTED_VALUE"""),FALSE)</f>
        <v>0</v>
      </c>
    </row>
    <row r="4314">
      <c r="A4314" s="210" t="str">
        <f>IFERROR(__xludf.DUMMYFUNCTION("""COMPUTED_VALUE"""),"1261472")</f>
        <v>1261472</v>
      </c>
      <c r="B4314" s="210" t="str">
        <f>IFERROR(__xludf.DUMMYFUNCTION("""COMPUTED_VALUE"""),"1261472")</f>
        <v>1261472</v>
      </c>
      <c r="C4314" s="213">
        <f>IFERROR(__xludf.DUMMYFUNCTION("""COMPUTED_VALUE"""),46111.67664351852)</f>
        <v>46111.67664</v>
      </c>
      <c r="D4314" s="211" t="str">
        <f>IFERROR(__xludf.DUMMYFUNCTION("""COMPUTED_VALUE"""),"b2b5f2c5")</f>
        <v>b2b5f2c5</v>
      </c>
      <c r="E4314" s="211" t="str">
        <f>IFERROR(__xludf.DUMMYFUNCTION("""COMPUTED_VALUE"""),"Bengkel Las Bpk. Ari")</f>
        <v>Bengkel Las Bpk. Ari</v>
      </c>
      <c r="F4314" s="211" t="str">
        <f>IFERROR(__xludf.DUMMYFUNCTION("""COMPUTED_VALUE"""),"ef306e54")</f>
        <v>ef306e54</v>
      </c>
      <c r="G4314" s="211" t="str">
        <f>IFERROR(__xludf.DUMMYFUNCTION("""COMPUTED_VALUE"""),"Karbondioksida")</f>
        <v>Karbondioksida</v>
      </c>
      <c r="H4314" s="211" t="str">
        <f>IFERROR(__xludf.DUMMYFUNCTION("""COMPUTED_VALUE"""),"IN")</f>
        <v>IN</v>
      </c>
      <c r="I4314" s="211" t="str">
        <f>IFERROR(__xludf.DUMMYFUNCTION("""COMPUTED_VALUE"""),"EMPTY")</f>
        <v>EMPTY</v>
      </c>
      <c r="J4314" s="211">
        <f>IFERROR(__xludf.DUMMYFUNCTION("""COMPUTED_VALUE"""),3.0)</f>
        <v>3</v>
      </c>
      <c r="K4314" s="210" t="str">
        <f>IFERROR(__xludf.DUMMYFUNCTION("""COMPUTED_VALUE"""),"13010 13013 13046")</f>
        <v>13010 13013 13046</v>
      </c>
      <c r="L4314" s="211">
        <f>IFERROR(__xludf.DUMMYFUNCTION("""COMPUTED_VALUE"""),0.0)</f>
        <v>0</v>
      </c>
      <c r="M4314" s="211"/>
      <c r="N4314" s="211"/>
      <c r="O4314" s="211" t="b">
        <f>IFERROR(__xludf.DUMMYFUNCTION("""COMPUTED_VALUE"""),FALSE)</f>
        <v>0</v>
      </c>
    </row>
    <row r="4315">
      <c r="A4315" s="210" t="str">
        <f>IFERROR(__xludf.DUMMYFUNCTION("""COMPUTED_VALUE"""),"0426502950")</f>
        <v>0426502950</v>
      </c>
      <c r="B4315" s="210" t="str">
        <f>IFERROR(__xludf.DUMMYFUNCTION("""COMPUTED_VALUE"""),"0426502950")</f>
        <v>0426502950</v>
      </c>
      <c r="C4315" s="213">
        <f>IFERROR(__xludf.DUMMYFUNCTION("""COMPUTED_VALUE"""),46113.597546296296)</f>
        <v>46113.59755</v>
      </c>
      <c r="D4315" s="211" t="str">
        <f>IFERROR(__xludf.DUMMYFUNCTION("""COMPUTED_VALUE"""),"ec231cc9")</f>
        <v>ec231cc9</v>
      </c>
      <c r="E4315" s="211" t="str">
        <f>IFERROR(__xludf.DUMMYFUNCTION("""COMPUTED_VALUE"""),"Bpk. Kadir (Maintenance Velg)")</f>
        <v>Bpk. Kadir (Maintenance Velg)</v>
      </c>
      <c r="F4315" s="211" t="str">
        <f>IFERROR(__xludf.DUMMYFUNCTION("""COMPUTED_VALUE"""),"ef306e54")</f>
        <v>ef306e54</v>
      </c>
      <c r="G4315" s="211" t="str">
        <f>IFERROR(__xludf.DUMMYFUNCTION("""COMPUTED_VALUE"""),"Karbondioksida")</f>
        <v>Karbondioksida</v>
      </c>
      <c r="H4315" s="211" t="str">
        <f>IFERROR(__xludf.DUMMYFUNCTION("""COMPUTED_VALUE"""),"OUT")</f>
        <v>OUT</v>
      </c>
      <c r="I4315" s="211" t="str">
        <f>IFERROR(__xludf.DUMMYFUNCTION("""COMPUTED_VALUE"""),"NORMAL")</f>
        <v>NORMAL</v>
      </c>
      <c r="J4315" s="211">
        <f>IFERROR(__xludf.DUMMYFUNCTION("""COMPUTED_VALUE"""),1.0)</f>
        <v>1</v>
      </c>
      <c r="K4315" s="210" t="str">
        <f>IFERROR(__xludf.DUMMYFUNCTION("""COMPUTED_VALUE"""),"13046")</f>
        <v>13046</v>
      </c>
      <c r="L4315" s="211">
        <f>IFERROR(__xludf.DUMMYFUNCTION("""COMPUTED_VALUE"""),175000.0)</f>
        <v>175000</v>
      </c>
      <c r="M4315" s="211"/>
      <c r="N4315" s="211"/>
      <c r="O4315" s="211" t="b">
        <f>IFERROR(__xludf.DUMMYFUNCTION("""COMPUTED_VALUE"""),FALSE)</f>
        <v>0</v>
      </c>
    </row>
    <row r="4316">
      <c r="A4316" s="210" t="str">
        <f>IFERROR(__xludf.DUMMYFUNCTION("""COMPUTED_VALUE"""),"042612952")</f>
        <v>042612952</v>
      </c>
      <c r="B4316" s="210" t="str">
        <f>IFERROR(__xludf.DUMMYFUNCTION("""COMPUTED_VALUE"""),"042612952")</f>
        <v>042612952</v>
      </c>
      <c r="C4316" s="213">
        <f>IFERROR(__xludf.DUMMYFUNCTION("""COMPUTED_VALUE"""),46113.60078703704)</f>
        <v>46113.60079</v>
      </c>
      <c r="D4316" s="211" t="str">
        <f>IFERROR(__xludf.DUMMYFUNCTION("""COMPUTED_VALUE"""),"0fb2135d")</f>
        <v>0fb2135d</v>
      </c>
      <c r="E4316" s="211" t="str">
        <f>IFERROR(__xludf.DUMMYFUNCTION("""COMPUTED_VALUE"""),"PT Toya Indo Manunggal")</f>
        <v>PT Toya Indo Manunggal</v>
      </c>
      <c r="F4316" s="211" t="str">
        <f>IFERROR(__xludf.DUMMYFUNCTION("""COMPUTED_VALUE"""),"66af7c72")</f>
        <v>66af7c72</v>
      </c>
      <c r="G4316" s="211" t="str">
        <f>IFERROR(__xludf.DUMMYFUNCTION("""COMPUTED_VALUE"""),"Argon 6m3")</f>
        <v>Argon 6m3</v>
      </c>
      <c r="H4316" s="211" t="str">
        <f>IFERROR(__xludf.DUMMYFUNCTION("""COMPUTED_VALUE"""),"OUT")</f>
        <v>OUT</v>
      </c>
      <c r="I4316" s="211" t="str">
        <f>IFERROR(__xludf.DUMMYFUNCTION("""COMPUTED_VALUE"""),"NORMAL")</f>
        <v>NORMAL</v>
      </c>
      <c r="J4316" s="211">
        <f>IFERROR(__xludf.DUMMYFUNCTION("""COMPUTED_VALUE"""),1.0)</f>
        <v>1</v>
      </c>
      <c r="K4316" s="210" t="str">
        <f>IFERROR(__xludf.DUMMYFUNCTION("""COMPUTED_VALUE"""),"12046")</f>
        <v>12046</v>
      </c>
      <c r="L4316" s="211">
        <f>IFERROR(__xludf.DUMMYFUNCTION("""COMPUTED_VALUE"""),250000.0)</f>
        <v>250000</v>
      </c>
      <c r="M4316" s="211"/>
      <c r="N4316" s="211"/>
      <c r="O4316" s="211" t="b">
        <f>IFERROR(__xludf.DUMMYFUNCTION("""COMPUTED_VALUE"""),FALSE)</f>
        <v>0</v>
      </c>
    </row>
    <row r="4317">
      <c r="A4317" s="210" t="str">
        <f>IFERROR(__xludf.DUMMYFUNCTION("""COMPUTED_VALUE"""),"1261456")</f>
        <v>1261456</v>
      </c>
      <c r="B4317" s="210" t="str">
        <f>IFERROR(__xludf.DUMMYFUNCTION("""COMPUTED_VALUE"""),"1261456")</f>
        <v>1261456</v>
      </c>
      <c r="C4317" s="213">
        <f>IFERROR(__xludf.DUMMYFUNCTION("""COMPUTED_VALUE"""),46113.60644675926)</f>
        <v>46113.60645</v>
      </c>
      <c r="D4317" s="211" t="str">
        <f>IFERROR(__xludf.DUMMYFUNCTION("""COMPUTED_VALUE"""),"03ff52db")</f>
        <v>03ff52db</v>
      </c>
      <c r="E4317" s="211" t="str">
        <f>IFERROR(__xludf.DUMMYFUNCTION("""COMPUTED_VALUE"""),"Aneka Teknik Logam")</f>
        <v>Aneka Teknik Logam</v>
      </c>
      <c r="F4317" s="211" t="str">
        <f>IFERROR(__xludf.DUMMYFUNCTION("""COMPUTED_VALUE"""),"be525f3b")</f>
        <v>be525f3b</v>
      </c>
      <c r="G4317" s="211" t="str">
        <f>IFERROR(__xludf.DUMMYFUNCTION("""COMPUTED_VALUE"""),"LPG 12kg")</f>
        <v>LPG 12kg</v>
      </c>
      <c r="H4317" s="211" t="str">
        <f>IFERROR(__xludf.DUMMYFUNCTION("""COMPUTED_VALUE"""),"IN")</f>
        <v>IN</v>
      </c>
      <c r="I4317" s="211" t="str">
        <f>IFERROR(__xludf.DUMMYFUNCTION("""COMPUTED_VALUE"""),"EMPTY")</f>
        <v>EMPTY</v>
      </c>
      <c r="J4317" s="211">
        <f>IFERROR(__xludf.DUMMYFUNCTION("""COMPUTED_VALUE"""),1.0)</f>
        <v>1</v>
      </c>
      <c r="K4317" s="210" t="str">
        <f>IFERROR(__xludf.DUMMYFUNCTION("""COMPUTED_VALUE"""),"L002")</f>
        <v>L002</v>
      </c>
      <c r="L4317" s="211">
        <f>IFERROR(__xludf.DUMMYFUNCTION("""COMPUTED_VALUE"""),0.0)</f>
        <v>0</v>
      </c>
      <c r="M4317" s="211"/>
      <c r="N4317" s="211"/>
      <c r="O4317" s="211" t="b">
        <f>IFERROR(__xludf.DUMMYFUNCTION("""COMPUTED_VALUE"""),FALSE)</f>
        <v>0</v>
      </c>
    </row>
    <row r="4318">
      <c r="A4318" s="210" t="str">
        <f>IFERROR(__xludf.DUMMYFUNCTION("""COMPUTED_VALUE"""),"1261456")</f>
        <v>1261456</v>
      </c>
      <c r="B4318" s="210" t="str">
        <f>IFERROR(__xludf.DUMMYFUNCTION("""COMPUTED_VALUE"""),"1261456")</f>
        <v>1261456</v>
      </c>
      <c r="C4318" s="213">
        <f>IFERROR(__xludf.DUMMYFUNCTION("""COMPUTED_VALUE"""),46113.60644675926)</f>
        <v>46113.60645</v>
      </c>
      <c r="D4318" s="211" t="str">
        <f>IFERROR(__xludf.DUMMYFUNCTION("""COMPUTED_VALUE"""),"03ff52db")</f>
        <v>03ff52db</v>
      </c>
      <c r="E4318" s="211" t="str">
        <f>IFERROR(__xludf.DUMMYFUNCTION("""COMPUTED_VALUE"""),"Aneka Teknik Logam")</f>
        <v>Aneka Teknik Logam</v>
      </c>
      <c r="F4318" s="211" t="str">
        <f>IFERROR(__xludf.DUMMYFUNCTION("""COMPUTED_VALUE"""),"f6aab7a9")</f>
        <v>f6aab7a9</v>
      </c>
      <c r="G4318" s="211" t="str">
        <f>IFERROR(__xludf.DUMMYFUNCTION("""COMPUTED_VALUE"""),"Oksigen 6m3 MR")</f>
        <v>Oksigen 6m3 MR</v>
      </c>
      <c r="H4318" s="211" t="str">
        <f>IFERROR(__xludf.DUMMYFUNCTION("""COMPUTED_VALUE"""),"IN")</f>
        <v>IN</v>
      </c>
      <c r="I4318" s="211" t="str">
        <f>IFERROR(__xludf.DUMMYFUNCTION("""COMPUTED_VALUE"""),"EMPTY")</f>
        <v>EMPTY</v>
      </c>
      <c r="J4318" s="211">
        <f>IFERROR(__xludf.DUMMYFUNCTION("""COMPUTED_VALUE"""),1.0)</f>
        <v>1</v>
      </c>
      <c r="K4318" s="211"/>
      <c r="L4318" s="211">
        <f>IFERROR(__xludf.DUMMYFUNCTION("""COMPUTED_VALUE"""),0.0)</f>
        <v>0</v>
      </c>
      <c r="M4318" s="211"/>
      <c r="N4318" s="211"/>
      <c r="O4318" s="211" t="b">
        <f>IFERROR(__xludf.DUMMYFUNCTION("""COMPUTED_VALUE"""),FALSE)</f>
        <v>0</v>
      </c>
    </row>
    <row r="4319">
      <c r="A4319" s="210" t="str">
        <f>IFERROR(__xludf.DUMMYFUNCTION("""COMPUTED_VALUE"""),"1261480")</f>
        <v>1261480</v>
      </c>
      <c r="B4319" s="210" t="str">
        <f>IFERROR(__xludf.DUMMYFUNCTION("""COMPUTED_VALUE"""),"1261480")</f>
        <v>1261480</v>
      </c>
      <c r="C4319" s="213">
        <f>IFERROR(__xludf.DUMMYFUNCTION("""COMPUTED_VALUE"""),46113.68041666667)</f>
        <v>46113.68042</v>
      </c>
      <c r="D4319" s="211" t="str">
        <f>IFERROR(__xludf.DUMMYFUNCTION("""COMPUTED_VALUE"""),"ec231cc9")</f>
        <v>ec231cc9</v>
      </c>
      <c r="E4319" s="211" t="str">
        <f>IFERROR(__xludf.DUMMYFUNCTION("""COMPUTED_VALUE"""),"Bpk. Kohir (Maintenance Velg)")</f>
        <v>Bpk. Kohir (Maintenance Velg)</v>
      </c>
      <c r="F4319" s="211" t="str">
        <f>IFERROR(__xludf.DUMMYFUNCTION("""COMPUTED_VALUE"""),"8bdbe149")</f>
        <v>8bdbe149</v>
      </c>
      <c r="G4319" s="211" t="str">
        <f>IFERROR(__xludf.DUMMYFUNCTION("""COMPUTED_VALUE"""),"Oksigen 6m3")</f>
        <v>Oksigen 6m3</v>
      </c>
      <c r="H4319" s="211" t="str">
        <f>IFERROR(__xludf.DUMMYFUNCTION("""COMPUTED_VALUE"""),"IN")</f>
        <v>IN</v>
      </c>
      <c r="I4319" s="211" t="str">
        <f>IFERROR(__xludf.DUMMYFUNCTION("""COMPUTED_VALUE"""),"EMPTY")</f>
        <v>EMPTY</v>
      </c>
      <c r="J4319" s="211">
        <f>IFERROR(__xludf.DUMMYFUNCTION("""COMPUTED_VALUE"""),4.0)</f>
        <v>4</v>
      </c>
      <c r="K4319" s="210" t="str">
        <f>IFERROR(__xludf.DUMMYFUNCTION("""COMPUTED_VALUE"""),"11245 1192 11357 11290")</f>
        <v>11245 1192 11357 11290</v>
      </c>
      <c r="L4319" s="211">
        <f>IFERROR(__xludf.DUMMYFUNCTION("""COMPUTED_VALUE"""),0.0)</f>
        <v>0</v>
      </c>
      <c r="M4319" s="211"/>
      <c r="N4319" s="211"/>
      <c r="O4319" s="211" t="b">
        <f>IFERROR(__xludf.DUMMYFUNCTION("""COMPUTED_VALUE"""),FALSE)</f>
        <v>0</v>
      </c>
    </row>
    <row r="4320">
      <c r="A4320" s="210" t="str">
        <f>IFERROR(__xludf.DUMMYFUNCTION("""COMPUTED_VALUE"""),"0426412953")</f>
        <v>0426412953</v>
      </c>
      <c r="B4320" s="210" t="str">
        <f>IFERROR(__xludf.DUMMYFUNCTION("""COMPUTED_VALUE"""),"0426412953")</f>
        <v>0426412953</v>
      </c>
      <c r="C4320" s="213">
        <f>IFERROR(__xludf.DUMMYFUNCTION("""COMPUTED_VALUE"""),46114.36078703704)</f>
        <v>46114.36079</v>
      </c>
      <c r="D4320" s="211" t="str">
        <f>IFERROR(__xludf.DUMMYFUNCTION("""COMPUTED_VALUE"""),"ce83e171")</f>
        <v>ce83e171</v>
      </c>
      <c r="E4320" s="211" t="str">
        <f>IFERROR(__xludf.DUMMYFUNCTION("""COMPUTED_VALUE"""),"Bpk. Sulaiman")</f>
        <v>Bpk. Sulaiman</v>
      </c>
      <c r="F4320" s="211" t="str">
        <f>IFERROR(__xludf.DUMMYFUNCTION("""COMPUTED_VALUE"""),"f6aab7a9")</f>
        <v>f6aab7a9</v>
      </c>
      <c r="G4320" s="211" t="str">
        <f>IFERROR(__xludf.DUMMYFUNCTION("""COMPUTED_VALUE"""),"Oksigen 6m3 MR")</f>
        <v>Oksigen 6m3 MR</v>
      </c>
      <c r="H4320" s="211" t="str">
        <f>IFERROR(__xludf.DUMMYFUNCTION("""COMPUTED_VALUE"""),"OUT")</f>
        <v>OUT</v>
      </c>
      <c r="I4320" s="211" t="str">
        <f>IFERROR(__xludf.DUMMYFUNCTION("""COMPUTED_VALUE"""),"NORMAL")</f>
        <v>NORMAL</v>
      </c>
      <c r="J4320" s="211">
        <f>IFERROR(__xludf.DUMMYFUNCTION("""COMPUTED_VALUE"""),3.0)</f>
        <v>3</v>
      </c>
      <c r="K4320" s="211"/>
      <c r="L4320" s="211">
        <f>IFERROR(__xludf.DUMMYFUNCTION("""COMPUTED_VALUE"""),55000.0)</f>
        <v>55000</v>
      </c>
      <c r="M4320" s="211"/>
      <c r="N4320" s="211"/>
      <c r="O4320" s="211" t="b">
        <f>IFERROR(__xludf.DUMMYFUNCTION("""COMPUTED_VALUE"""),FALSE)</f>
        <v>0</v>
      </c>
    </row>
    <row r="4321">
      <c r="A4321" s="210" t="str">
        <f>IFERROR(__xludf.DUMMYFUNCTION("""COMPUTED_VALUE"""),"0426972956")</f>
        <v>0426972956</v>
      </c>
      <c r="B4321" s="210" t="str">
        <f>IFERROR(__xludf.DUMMYFUNCTION("""COMPUTED_VALUE"""),"0426972956")</f>
        <v>0426972956</v>
      </c>
      <c r="C4321" s="213">
        <f>IFERROR(__xludf.DUMMYFUNCTION("""COMPUTED_VALUE"""),46114.36107638889)</f>
        <v>46114.36108</v>
      </c>
      <c r="D4321" s="211" t="str">
        <f>IFERROR(__xludf.DUMMYFUNCTION("""COMPUTED_VALUE"""),"b2b5f2c5")</f>
        <v>b2b5f2c5</v>
      </c>
      <c r="E4321" s="211" t="str">
        <f>IFERROR(__xludf.DUMMYFUNCTION("""COMPUTED_VALUE"""),"Bengkel Las Bpk. Ari")</f>
        <v>Bengkel Las Bpk. Ari</v>
      </c>
      <c r="F4321" s="211" t="str">
        <f>IFERROR(__xludf.DUMMYFUNCTION("""COMPUTED_VALUE"""),"8bdbe149")</f>
        <v>8bdbe149</v>
      </c>
      <c r="G4321" s="211" t="str">
        <f>IFERROR(__xludf.DUMMYFUNCTION("""COMPUTED_VALUE"""),"Oksigen 6m3")</f>
        <v>Oksigen 6m3</v>
      </c>
      <c r="H4321" s="211" t="str">
        <f>IFERROR(__xludf.DUMMYFUNCTION("""COMPUTED_VALUE"""),"OUT")</f>
        <v>OUT</v>
      </c>
      <c r="I4321" s="211" t="str">
        <f>IFERROR(__xludf.DUMMYFUNCTION("""COMPUTED_VALUE"""),"NORMAL")</f>
        <v>NORMAL</v>
      </c>
      <c r="J4321" s="211">
        <f>IFERROR(__xludf.DUMMYFUNCTION("""COMPUTED_VALUE"""),4.0)</f>
        <v>4</v>
      </c>
      <c r="K4321" s="210" t="str">
        <f>IFERROR(__xludf.DUMMYFUNCTION("""COMPUTED_VALUE"""),"11383 11341 1155 1121")</f>
        <v>11383 11341 1155 1121</v>
      </c>
      <c r="L4321" s="211">
        <f>IFERROR(__xludf.DUMMYFUNCTION("""COMPUTED_VALUE"""),60000.0)</f>
        <v>60000</v>
      </c>
      <c r="M4321" s="211"/>
      <c r="N4321" s="211"/>
      <c r="O4321" s="211" t="b">
        <f>IFERROR(__xludf.DUMMYFUNCTION("""COMPUTED_VALUE"""),FALSE)</f>
        <v>0</v>
      </c>
    </row>
    <row r="4322">
      <c r="A4322" s="210" t="str">
        <f>IFERROR(__xludf.DUMMYFUNCTION("""COMPUTED_VALUE"""),"0426972956")</f>
        <v>0426972956</v>
      </c>
      <c r="B4322" s="210" t="str">
        <f>IFERROR(__xludf.DUMMYFUNCTION("""COMPUTED_VALUE"""),"0426972956")</f>
        <v>0426972956</v>
      </c>
      <c r="C4322" s="213">
        <f>IFERROR(__xludf.DUMMYFUNCTION("""COMPUTED_VALUE"""),46114.36107638889)</f>
        <v>46114.36108</v>
      </c>
      <c r="D4322" s="211" t="str">
        <f>IFERROR(__xludf.DUMMYFUNCTION("""COMPUTED_VALUE"""),"b2b5f2c5")</f>
        <v>b2b5f2c5</v>
      </c>
      <c r="E4322" s="211" t="str">
        <f>IFERROR(__xludf.DUMMYFUNCTION("""COMPUTED_VALUE"""),"Bengkel Las Bpk. Ari")</f>
        <v>Bengkel Las Bpk. Ari</v>
      </c>
      <c r="F4322" s="211" t="str">
        <f>IFERROR(__xludf.DUMMYFUNCTION("""COMPUTED_VALUE"""),"ef306e54")</f>
        <v>ef306e54</v>
      </c>
      <c r="G4322" s="211" t="str">
        <f>IFERROR(__xludf.DUMMYFUNCTION("""COMPUTED_VALUE"""),"Karbondioksida")</f>
        <v>Karbondioksida</v>
      </c>
      <c r="H4322" s="211" t="str">
        <f>IFERROR(__xludf.DUMMYFUNCTION("""COMPUTED_VALUE"""),"OUT")</f>
        <v>OUT</v>
      </c>
      <c r="I4322" s="211" t="str">
        <f>IFERROR(__xludf.DUMMYFUNCTION("""COMPUTED_VALUE"""),"NORMAL")</f>
        <v>NORMAL</v>
      </c>
      <c r="J4322" s="211">
        <f>IFERROR(__xludf.DUMMYFUNCTION("""COMPUTED_VALUE"""),1.0)</f>
        <v>1</v>
      </c>
      <c r="K4322" s="210" t="str">
        <f>IFERROR(__xludf.DUMMYFUNCTION("""COMPUTED_VALUE"""),"13010")</f>
        <v>13010</v>
      </c>
      <c r="L4322" s="211">
        <f>IFERROR(__xludf.DUMMYFUNCTION("""COMPUTED_VALUE"""),180000.0)</f>
        <v>180000</v>
      </c>
      <c r="M4322" s="211"/>
      <c r="N4322" s="211"/>
      <c r="O4322" s="211" t="b">
        <f>IFERROR(__xludf.DUMMYFUNCTION("""COMPUTED_VALUE"""),FALSE)</f>
        <v>0</v>
      </c>
    </row>
    <row r="4323">
      <c r="A4323" s="210" t="str">
        <f>IFERROR(__xludf.DUMMYFUNCTION("""COMPUTED_VALUE"""),"0426372957")</f>
        <v>0426372957</v>
      </c>
      <c r="B4323" s="210" t="str">
        <f>IFERROR(__xludf.DUMMYFUNCTION("""COMPUTED_VALUE"""),"0426372957")</f>
        <v>0426372957</v>
      </c>
      <c r="C4323" s="213">
        <f>IFERROR(__xludf.DUMMYFUNCTION("""COMPUTED_VALUE"""),46114.364212962966)</f>
        <v>46114.36421</v>
      </c>
      <c r="D4323" s="211" t="str">
        <f>IFERROR(__xludf.DUMMYFUNCTION("""COMPUTED_VALUE"""),"63fc688a")</f>
        <v>63fc688a</v>
      </c>
      <c r="E4323" s="211" t="str">
        <f>IFERROR(__xludf.DUMMYFUNCTION("""COMPUTED_VALUE"""),"CV Malik Nusantara")</f>
        <v>CV Malik Nusantara</v>
      </c>
      <c r="F4323" s="211" t="str">
        <f>IFERROR(__xludf.DUMMYFUNCTION("""COMPUTED_VALUE"""),"8bdbe149")</f>
        <v>8bdbe149</v>
      </c>
      <c r="G4323" s="211" t="str">
        <f>IFERROR(__xludf.DUMMYFUNCTION("""COMPUTED_VALUE"""),"Oksigen 6m3")</f>
        <v>Oksigen 6m3</v>
      </c>
      <c r="H4323" s="211" t="str">
        <f>IFERROR(__xludf.DUMMYFUNCTION("""COMPUTED_VALUE"""),"OUT")</f>
        <v>OUT</v>
      </c>
      <c r="I4323" s="211" t="str">
        <f>IFERROR(__xludf.DUMMYFUNCTION("""COMPUTED_VALUE"""),"NORMAL")</f>
        <v>NORMAL</v>
      </c>
      <c r="J4323" s="211">
        <f>IFERROR(__xludf.DUMMYFUNCTION("""COMPUTED_VALUE"""),10.0)</f>
        <v>10</v>
      </c>
      <c r="K4323" s="210" t="str">
        <f>IFERROR(__xludf.DUMMYFUNCTION("""COMPUTED_VALUE"""),"11362 11354 11295 11368 1153 11206 1154 11232 1168 11196")</f>
        <v>11362 11354 11295 11368 1153 11206 1154 11232 1168 11196</v>
      </c>
      <c r="L4323" s="211">
        <f>IFERROR(__xludf.DUMMYFUNCTION("""COMPUTED_VALUE"""),65000.0)</f>
        <v>65000</v>
      </c>
      <c r="M4323" s="211"/>
      <c r="N4323" s="211"/>
      <c r="O4323" s="211" t="b">
        <f>IFERROR(__xludf.DUMMYFUNCTION("""COMPUTED_VALUE"""),FALSE)</f>
        <v>0</v>
      </c>
    </row>
    <row r="4324">
      <c r="A4324" s="210" t="str">
        <f>IFERROR(__xludf.DUMMYFUNCTION("""COMPUTED_VALUE"""),"042642958")</f>
        <v>042642958</v>
      </c>
      <c r="B4324" s="210" t="str">
        <f>IFERROR(__xludf.DUMMYFUNCTION("""COMPUTED_VALUE"""),"042642958")</f>
        <v>042642958</v>
      </c>
      <c r="C4324" s="213">
        <f>IFERROR(__xludf.DUMMYFUNCTION("""COMPUTED_VALUE"""),46114.36548611111)</f>
        <v>46114.36549</v>
      </c>
      <c r="D4324" s="211" t="str">
        <f>IFERROR(__xludf.DUMMYFUNCTION("""COMPUTED_VALUE"""),"02c693f1")</f>
        <v>02c693f1</v>
      </c>
      <c r="E4324" s="211" t="str">
        <f>IFERROR(__xludf.DUMMYFUNCTION("""COMPUTED_VALUE"""),"Bpk. Rudi Jaya")</f>
        <v>Bpk. Rudi Jaya</v>
      </c>
      <c r="F4324" s="211" t="str">
        <f>IFERROR(__xludf.DUMMYFUNCTION("""COMPUTED_VALUE"""),"8bdbe149")</f>
        <v>8bdbe149</v>
      </c>
      <c r="G4324" s="211" t="str">
        <f>IFERROR(__xludf.DUMMYFUNCTION("""COMPUTED_VALUE"""),"Oksigen 6m3")</f>
        <v>Oksigen 6m3</v>
      </c>
      <c r="H4324" s="211" t="str">
        <f>IFERROR(__xludf.DUMMYFUNCTION("""COMPUTED_VALUE"""),"OUT")</f>
        <v>OUT</v>
      </c>
      <c r="I4324" s="211" t="str">
        <f>IFERROR(__xludf.DUMMYFUNCTION("""COMPUTED_VALUE"""),"NORMAL")</f>
        <v>NORMAL</v>
      </c>
      <c r="J4324" s="211">
        <f>IFERROR(__xludf.DUMMYFUNCTION("""COMPUTED_VALUE"""),4.0)</f>
        <v>4</v>
      </c>
      <c r="K4324" s="210" t="str">
        <f>IFERROR(__xludf.DUMMYFUNCTION("""COMPUTED_VALUE"""),"1196 11286 11297 11374")</f>
        <v>1196 11286 11297 11374</v>
      </c>
      <c r="L4324" s="211">
        <f>IFERROR(__xludf.DUMMYFUNCTION("""COMPUTED_VALUE"""),70000.0)</f>
        <v>70000</v>
      </c>
      <c r="M4324" s="211"/>
      <c r="N4324" s="211"/>
      <c r="O4324" s="211" t="b">
        <f>IFERROR(__xludf.DUMMYFUNCTION("""COMPUTED_VALUE"""),FALSE)</f>
        <v>0</v>
      </c>
    </row>
    <row r="4325">
      <c r="A4325" s="210" t="str">
        <f>IFERROR(__xludf.DUMMYFUNCTION("""COMPUTED_VALUE"""),"042612959")</f>
        <v>042612959</v>
      </c>
      <c r="B4325" s="210" t="str">
        <f>IFERROR(__xludf.DUMMYFUNCTION("""COMPUTED_VALUE"""),"042612959")</f>
        <v>042612959</v>
      </c>
      <c r="C4325" s="213">
        <f>IFERROR(__xludf.DUMMYFUNCTION("""COMPUTED_VALUE"""),46114.36640046296)</f>
        <v>46114.3664</v>
      </c>
      <c r="D4325" s="211" t="str">
        <f>IFERROR(__xludf.DUMMYFUNCTION("""COMPUTED_VALUE"""),"dcc017cb")</f>
        <v>dcc017cb</v>
      </c>
      <c r="E4325" s="211" t="str">
        <f>IFERROR(__xludf.DUMMYFUNCTION("""COMPUTED_VALUE"""),"Bpk Hidayat")</f>
        <v>Bpk Hidayat</v>
      </c>
      <c r="F4325" s="211" t="str">
        <f>IFERROR(__xludf.DUMMYFUNCTION("""COMPUTED_VALUE"""),"8bdbe149")</f>
        <v>8bdbe149</v>
      </c>
      <c r="G4325" s="211" t="str">
        <f>IFERROR(__xludf.DUMMYFUNCTION("""COMPUTED_VALUE"""),"Oksigen 6m3")</f>
        <v>Oksigen 6m3</v>
      </c>
      <c r="H4325" s="211" t="str">
        <f>IFERROR(__xludf.DUMMYFUNCTION("""COMPUTED_VALUE"""),"OUT")</f>
        <v>OUT</v>
      </c>
      <c r="I4325" s="211" t="str">
        <f>IFERROR(__xludf.DUMMYFUNCTION("""COMPUTED_VALUE"""),"NORMAL")</f>
        <v>NORMAL</v>
      </c>
      <c r="J4325" s="211">
        <f>IFERROR(__xludf.DUMMYFUNCTION("""COMPUTED_VALUE"""),2.0)</f>
        <v>2</v>
      </c>
      <c r="K4325" s="210" t="str">
        <f>IFERROR(__xludf.DUMMYFUNCTION("""COMPUTED_VALUE"""),"11325 11281")</f>
        <v>11325 11281</v>
      </c>
      <c r="L4325" s="211">
        <f>IFERROR(__xludf.DUMMYFUNCTION("""COMPUTED_VALUE"""),65000.0)</f>
        <v>65000</v>
      </c>
      <c r="M4325" s="211"/>
      <c r="N4325" s="211"/>
      <c r="O4325" s="211" t="b">
        <f>IFERROR(__xludf.DUMMYFUNCTION("""COMPUTED_VALUE"""),FALSE)</f>
        <v>0</v>
      </c>
    </row>
    <row r="4326">
      <c r="A4326" s="210" t="str">
        <f>IFERROR(__xludf.DUMMYFUNCTION("""COMPUTED_VALUE"""),"1261461")</f>
        <v>1261461</v>
      </c>
      <c r="B4326" s="210" t="str">
        <f>IFERROR(__xludf.DUMMYFUNCTION("""COMPUTED_VALUE"""),"1261461")</f>
        <v>1261461</v>
      </c>
      <c r="C4326" s="213">
        <f>IFERROR(__xludf.DUMMYFUNCTION("""COMPUTED_VALUE"""),46114.59622685185)</f>
        <v>46114.59623</v>
      </c>
      <c r="D4326" s="211" t="str">
        <f>IFERROR(__xludf.DUMMYFUNCTION("""COMPUTED_VALUE"""),"63fc688a")</f>
        <v>63fc688a</v>
      </c>
      <c r="E4326" s="211" t="str">
        <f>IFERROR(__xludf.DUMMYFUNCTION("""COMPUTED_VALUE"""),"CV Malik Nusantara")</f>
        <v>CV Malik Nusantara</v>
      </c>
      <c r="F4326" s="211" t="str">
        <f>IFERROR(__xludf.DUMMYFUNCTION("""COMPUTED_VALUE"""),"8bdbe149")</f>
        <v>8bdbe149</v>
      </c>
      <c r="G4326" s="211" t="str">
        <f>IFERROR(__xludf.DUMMYFUNCTION("""COMPUTED_VALUE"""),"Oksigen 6m3")</f>
        <v>Oksigen 6m3</v>
      </c>
      <c r="H4326" s="211" t="str">
        <f>IFERROR(__xludf.DUMMYFUNCTION("""COMPUTED_VALUE"""),"IN")</f>
        <v>IN</v>
      </c>
      <c r="I4326" s="211" t="str">
        <f>IFERROR(__xludf.DUMMYFUNCTION("""COMPUTED_VALUE"""),"EMPTY")</f>
        <v>EMPTY</v>
      </c>
      <c r="J4326" s="211">
        <f>IFERROR(__xludf.DUMMYFUNCTION("""COMPUTED_VALUE"""),3.0)</f>
        <v>3</v>
      </c>
      <c r="K4326" s="210" t="str">
        <f>IFERROR(__xludf.DUMMYFUNCTION("""COMPUTED_VALUE"""),"1145 1197 11373")</f>
        <v>1145 1197 11373</v>
      </c>
      <c r="L4326" s="211">
        <f>IFERROR(__xludf.DUMMYFUNCTION("""COMPUTED_VALUE"""),0.0)</f>
        <v>0</v>
      </c>
      <c r="M4326" s="211"/>
      <c r="N4326" s="211"/>
      <c r="O4326" s="211" t="b">
        <f>IFERROR(__xludf.DUMMYFUNCTION("""COMPUTED_VALUE"""),FALSE)</f>
        <v>0</v>
      </c>
    </row>
    <row r="4327">
      <c r="A4327" s="210" t="str">
        <f>IFERROR(__xludf.DUMMYFUNCTION("""COMPUTED_VALUE"""),"1261461")</f>
        <v>1261461</v>
      </c>
      <c r="B4327" s="210" t="str">
        <f>IFERROR(__xludf.DUMMYFUNCTION("""COMPUTED_VALUE"""),"1261461")</f>
        <v>1261461</v>
      </c>
      <c r="C4327" s="213">
        <f>IFERROR(__xludf.DUMMYFUNCTION("""COMPUTED_VALUE"""),46114.59622685185)</f>
        <v>46114.59623</v>
      </c>
      <c r="D4327" s="211" t="str">
        <f>IFERROR(__xludf.DUMMYFUNCTION("""COMPUTED_VALUE"""),"63fc688a")</f>
        <v>63fc688a</v>
      </c>
      <c r="E4327" s="211" t="str">
        <f>IFERROR(__xludf.DUMMYFUNCTION("""COMPUTED_VALUE"""),"CV Malik Nusantara")</f>
        <v>CV Malik Nusantara</v>
      </c>
      <c r="F4327" s="211" t="str">
        <f>IFERROR(__xludf.DUMMYFUNCTION("""COMPUTED_VALUE"""),"7d2764f1")</f>
        <v>7d2764f1</v>
      </c>
      <c r="G4327" s="211" t="str">
        <f>IFERROR(__xludf.DUMMYFUNCTION("""COMPUTED_VALUE"""),"Oksigen 7m3")</f>
        <v>Oksigen 7m3</v>
      </c>
      <c r="H4327" s="211" t="str">
        <f>IFERROR(__xludf.DUMMYFUNCTION("""COMPUTED_VALUE"""),"IN")</f>
        <v>IN</v>
      </c>
      <c r="I4327" s="211" t="str">
        <f>IFERROR(__xludf.DUMMYFUNCTION("""COMPUTED_VALUE"""),"EMPTY")</f>
        <v>EMPTY</v>
      </c>
      <c r="J4327" s="211">
        <f>IFERROR(__xludf.DUMMYFUNCTION("""COMPUTED_VALUE"""),2.0)</f>
        <v>2</v>
      </c>
      <c r="K4327" s="210" t="str">
        <f>IFERROR(__xludf.DUMMYFUNCTION("""COMPUTED_VALUE"""),"11170 11166")</f>
        <v>11170 11166</v>
      </c>
      <c r="L4327" s="211">
        <f>IFERROR(__xludf.DUMMYFUNCTION("""COMPUTED_VALUE"""),0.0)</f>
        <v>0</v>
      </c>
      <c r="M4327" s="211"/>
      <c r="N4327" s="211"/>
      <c r="O4327" s="211" t="b">
        <f>IFERROR(__xludf.DUMMYFUNCTION("""COMPUTED_VALUE"""),FALSE)</f>
        <v>0</v>
      </c>
    </row>
    <row r="4328">
      <c r="A4328" s="210" t="str">
        <f>IFERROR(__xludf.DUMMYFUNCTION("""COMPUTED_VALUE"""),"1261461")</f>
        <v>1261461</v>
      </c>
      <c r="B4328" s="210" t="str">
        <f>IFERROR(__xludf.DUMMYFUNCTION("""COMPUTED_VALUE"""),"1261461")</f>
        <v>1261461</v>
      </c>
      <c r="C4328" s="213">
        <f>IFERROR(__xludf.DUMMYFUNCTION("""COMPUTED_VALUE"""),46114.59622685185)</f>
        <v>46114.59623</v>
      </c>
      <c r="D4328" s="211" t="str">
        <f>IFERROR(__xludf.DUMMYFUNCTION("""COMPUTED_VALUE"""),"63fc688a")</f>
        <v>63fc688a</v>
      </c>
      <c r="E4328" s="211" t="str">
        <f>IFERROR(__xludf.DUMMYFUNCTION("""COMPUTED_VALUE"""),"CV Malik Nusantara")</f>
        <v>CV Malik Nusantara</v>
      </c>
      <c r="F4328" s="211" t="str">
        <f>IFERROR(__xludf.DUMMYFUNCTION("""COMPUTED_VALUE"""),"ef306e54")</f>
        <v>ef306e54</v>
      </c>
      <c r="G4328" s="211" t="str">
        <f>IFERROR(__xludf.DUMMYFUNCTION("""COMPUTED_VALUE"""),"Karbondioksida")</f>
        <v>Karbondioksida</v>
      </c>
      <c r="H4328" s="211" t="str">
        <f>IFERROR(__xludf.DUMMYFUNCTION("""COMPUTED_VALUE"""),"IN")</f>
        <v>IN</v>
      </c>
      <c r="I4328" s="211" t="str">
        <f>IFERROR(__xludf.DUMMYFUNCTION("""COMPUTED_VALUE"""),"EMPTY")</f>
        <v>EMPTY</v>
      </c>
      <c r="J4328" s="211">
        <f>IFERROR(__xludf.DUMMYFUNCTION("""COMPUTED_VALUE"""),1.0)</f>
        <v>1</v>
      </c>
      <c r="K4328" s="210" t="str">
        <f>IFERROR(__xludf.DUMMYFUNCTION("""COMPUTED_VALUE"""),"13065")</f>
        <v>13065</v>
      </c>
      <c r="L4328" s="211">
        <f>IFERROR(__xludf.DUMMYFUNCTION("""COMPUTED_VALUE"""),0.0)</f>
        <v>0</v>
      </c>
      <c r="M4328" s="211"/>
      <c r="N4328" s="211"/>
      <c r="O4328" s="211" t="b">
        <f>IFERROR(__xludf.DUMMYFUNCTION("""COMPUTED_VALUE"""),FALSE)</f>
        <v>0</v>
      </c>
    </row>
    <row r="4329">
      <c r="A4329" s="210" t="str">
        <f>IFERROR(__xludf.DUMMYFUNCTION("""COMPUTED_VALUE"""),"1261462")</f>
        <v>1261462</v>
      </c>
      <c r="B4329" s="210" t="str">
        <f>IFERROR(__xludf.DUMMYFUNCTION("""COMPUTED_VALUE"""),"1261462")</f>
        <v>1261462</v>
      </c>
      <c r="C4329" s="213">
        <f>IFERROR(__xludf.DUMMYFUNCTION("""COMPUTED_VALUE"""),46114.59712962963)</f>
        <v>46114.59713</v>
      </c>
      <c r="D4329" s="211" t="str">
        <f>IFERROR(__xludf.DUMMYFUNCTION("""COMPUTED_VALUE"""),"ce83e171")</f>
        <v>ce83e171</v>
      </c>
      <c r="E4329" s="211" t="str">
        <f>IFERROR(__xludf.DUMMYFUNCTION("""COMPUTED_VALUE"""),"Bpk. Sulaiman")</f>
        <v>Bpk. Sulaiman</v>
      </c>
      <c r="F4329" s="211" t="str">
        <f>IFERROR(__xludf.DUMMYFUNCTION("""COMPUTED_VALUE"""),"f6aab7a9")</f>
        <v>f6aab7a9</v>
      </c>
      <c r="G4329" s="211" t="str">
        <f>IFERROR(__xludf.DUMMYFUNCTION("""COMPUTED_VALUE"""),"Oksigen 6m3 MR")</f>
        <v>Oksigen 6m3 MR</v>
      </c>
      <c r="H4329" s="211" t="str">
        <f>IFERROR(__xludf.DUMMYFUNCTION("""COMPUTED_VALUE"""),"IN")</f>
        <v>IN</v>
      </c>
      <c r="I4329" s="211" t="str">
        <f>IFERROR(__xludf.DUMMYFUNCTION("""COMPUTED_VALUE"""),"EMPTY")</f>
        <v>EMPTY</v>
      </c>
      <c r="J4329" s="211">
        <f>IFERROR(__xludf.DUMMYFUNCTION("""COMPUTED_VALUE"""),2.0)</f>
        <v>2</v>
      </c>
      <c r="K4329" s="211"/>
      <c r="L4329" s="211">
        <f>IFERROR(__xludf.DUMMYFUNCTION("""COMPUTED_VALUE"""),0.0)</f>
        <v>0</v>
      </c>
      <c r="M4329" s="211"/>
      <c r="N4329" s="211"/>
      <c r="O4329" s="211" t="b">
        <f>IFERROR(__xludf.DUMMYFUNCTION("""COMPUTED_VALUE"""),FALSE)</f>
        <v>0</v>
      </c>
    </row>
    <row r="4330">
      <c r="A4330" s="210" t="str">
        <f>IFERROR(__xludf.DUMMYFUNCTION("""COMPUTED_VALUE"""),"1261463")</f>
        <v>1261463</v>
      </c>
      <c r="B4330" s="210" t="str">
        <f>IFERROR(__xludf.DUMMYFUNCTION("""COMPUTED_VALUE"""),"1261463")</f>
        <v>1261463</v>
      </c>
      <c r="C4330" s="213">
        <f>IFERROR(__xludf.DUMMYFUNCTION("""COMPUTED_VALUE"""),46114.59746527778)</f>
        <v>46114.59747</v>
      </c>
      <c r="D4330" s="211" t="str">
        <f>IFERROR(__xludf.DUMMYFUNCTION("""COMPUTED_VALUE"""),"01158be1")</f>
        <v>01158be1</v>
      </c>
      <c r="E4330" s="211" t="str">
        <f>IFERROR(__xludf.DUMMYFUNCTION("""COMPUTED_VALUE"""),"GYF")</f>
        <v>GYF</v>
      </c>
      <c r="F4330" s="211" t="str">
        <f>IFERROR(__xludf.DUMMYFUNCTION("""COMPUTED_VALUE"""),"8bdbe149")</f>
        <v>8bdbe149</v>
      </c>
      <c r="G4330" s="211" t="str">
        <f>IFERROR(__xludf.DUMMYFUNCTION("""COMPUTED_VALUE"""),"Oksigen 6m3")</f>
        <v>Oksigen 6m3</v>
      </c>
      <c r="H4330" s="211" t="str">
        <f>IFERROR(__xludf.DUMMYFUNCTION("""COMPUTED_VALUE"""),"IN")</f>
        <v>IN</v>
      </c>
      <c r="I4330" s="211" t="str">
        <f>IFERROR(__xludf.DUMMYFUNCTION("""COMPUTED_VALUE"""),"EMPTY")</f>
        <v>EMPTY</v>
      </c>
      <c r="J4330" s="211">
        <f>IFERROR(__xludf.DUMMYFUNCTION("""COMPUTED_VALUE"""),5.0)</f>
        <v>5</v>
      </c>
      <c r="K4330" s="210" t="str">
        <f>IFERROR(__xludf.DUMMYFUNCTION("""COMPUTED_VALUE"""),"11241 11352 11177 11343 11355")</f>
        <v>11241 11352 11177 11343 11355</v>
      </c>
      <c r="L4330" s="211">
        <f>IFERROR(__xludf.DUMMYFUNCTION("""COMPUTED_VALUE"""),0.0)</f>
        <v>0</v>
      </c>
      <c r="M4330" s="211"/>
      <c r="N4330" s="211"/>
      <c r="O4330" s="211" t="b">
        <f>IFERROR(__xludf.DUMMYFUNCTION("""COMPUTED_VALUE"""),FALSE)</f>
        <v>0</v>
      </c>
    </row>
    <row r="4331">
      <c r="A4331" s="210" t="str">
        <f>IFERROR(__xludf.DUMMYFUNCTION("""COMPUTED_VALUE"""),"0426152960")</f>
        <v>0426152960</v>
      </c>
      <c r="B4331" s="210" t="str">
        <f>IFERROR(__xludf.DUMMYFUNCTION("""COMPUTED_VALUE"""),"0426152960")</f>
        <v>0426152960</v>
      </c>
      <c r="C4331" s="213">
        <f>IFERROR(__xludf.DUMMYFUNCTION("""COMPUTED_VALUE"""),46114.61283564815)</f>
        <v>46114.61284</v>
      </c>
      <c r="D4331" s="211" t="str">
        <f>IFERROR(__xludf.DUMMYFUNCTION("""COMPUTED_VALUE"""),"98c84274")</f>
        <v>98c84274</v>
      </c>
      <c r="E4331" s="211" t="str">
        <f>IFERROR(__xludf.DUMMYFUNCTION("""COMPUTED_VALUE"""),"Bengkel SBM (Pak Hari)")</f>
        <v>Bengkel SBM (Pak Hari)</v>
      </c>
      <c r="F4331" s="211" t="str">
        <f>IFERROR(__xludf.DUMMYFUNCTION("""COMPUTED_VALUE"""),"8bdbe149")</f>
        <v>8bdbe149</v>
      </c>
      <c r="G4331" s="211" t="str">
        <f>IFERROR(__xludf.DUMMYFUNCTION("""COMPUTED_VALUE"""),"Oksigen 6m3")</f>
        <v>Oksigen 6m3</v>
      </c>
      <c r="H4331" s="211" t="str">
        <f>IFERROR(__xludf.DUMMYFUNCTION("""COMPUTED_VALUE"""),"OUT")</f>
        <v>OUT</v>
      </c>
      <c r="I4331" s="211" t="str">
        <f>IFERROR(__xludf.DUMMYFUNCTION("""COMPUTED_VALUE"""),"NORMAL")</f>
        <v>NORMAL</v>
      </c>
      <c r="J4331" s="211">
        <f>IFERROR(__xludf.DUMMYFUNCTION("""COMPUTED_VALUE"""),3.0)</f>
        <v>3</v>
      </c>
      <c r="K4331" s="210" t="str">
        <f>IFERROR(__xludf.DUMMYFUNCTION("""COMPUTED_VALUE"""),"11245 11290 11239")</f>
        <v>11245 11290 11239</v>
      </c>
      <c r="L4331" s="211">
        <f>IFERROR(__xludf.DUMMYFUNCTION("""COMPUTED_VALUE"""),60000.0)</f>
        <v>60000</v>
      </c>
      <c r="M4331" s="211"/>
      <c r="N4331" s="211"/>
      <c r="O4331" s="211" t="b">
        <f>IFERROR(__xludf.DUMMYFUNCTION("""COMPUTED_VALUE"""),FALSE)</f>
        <v>0</v>
      </c>
    </row>
    <row r="4332">
      <c r="A4332" s="210" t="str">
        <f>IFERROR(__xludf.DUMMYFUNCTION("""COMPUTED_VALUE"""),"1261457")</f>
        <v>1261457</v>
      </c>
      <c r="B4332" s="210" t="str">
        <f>IFERROR(__xludf.DUMMYFUNCTION("""COMPUTED_VALUE"""),"1261457")</f>
        <v>1261457</v>
      </c>
      <c r="C4332" s="213">
        <f>IFERROR(__xludf.DUMMYFUNCTION("""COMPUTED_VALUE"""),46114.61329861111)</f>
        <v>46114.6133</v>
      </c>
      <c r="D4332" s="211" t="str">
        <f>IFERROR(__xludf.DUMMYFUNCTION("""COMPUTED_VALUE"""),"057b6b99")</f>
        <v>057b6b99</v>
      </c>
      <c r="E4332" s="211" t="str">
        <f>IFERROR(__xludf.DUMMYFUNCTION("""COMPUTED_VALUE"""),"PT Anuta Utama Transport")</f>
        <v>PT Anuta Utama Transport</v>
      </c>
      <c r="F4332" s="211" t="str">
        <f>IFERROR(__xludf.DUMMYFUNCTION("""COMPUTED_VALUE"""),"7d2764f1")</f>
        <v>7d2764f1</v>
      </c>
      <c r="G4332" s="211" t="str">
        <f>IFERROR(__xludf.DUMMYFUNCTION("""COMPUTED_VALUE"""),"Oksigen 7m3")</f>
        <v>Oksigen 7m3</v>
      </c>
      <c r="H4332" s="211" t="str">
        <f>IFERROR(__xludf.DUMMYFUNCTION("""COMPUTED_VALUE"""),"IN")</f>
        <v>IN</v>
      </c>
      <c r="I4332" s="211" t="str">
        <f>IFERROR(__xludf.DUMMYFUNCTION("""COMPUTED_VALUE"""),"EMPTY")</f>
        <v>EMPTY</v>
      </c>
      <c r="J4332" s="211">
        <f>IFERROR(__xludf.DUMMYFUNCTION("""COMPUTED_VALUE"""),4.0)</f>
        <v>4</v>
      </c>
      <c r="K4332" s="210" t="str">
        <f>IFERROR(__xludf.DUMMYFUNCTION("""COMPUTED_VALUE"""),"11142 11216 11223 11222")</f>
        <v>11142 11216 11223 11222</v>
      </c>
      <c r="L4332" s="211">
        <f>IFERROR(__xludf.DUMMYFUNCTION("""COMPUTED_VALUE"""),0.0)</f>
        <v>0</v>
      </c>
      <c r="M4332" s="211"/>
      <c r="N4332" s="211"/>
      <c r="O4332" s="211" t="b">
        <f>IFERROR(__xludf.DUMMYFUNCTION("""COMPUTED_VALUE"""),FALSE)</f>
        <v>0</v>
      </c>
    </row>
    <row r="4333">
      <c r="A4333" s="210" t="str">
        <f>IFERROR(__xludf.DUMMYFUNCTION("""COMPUTED_VALUE"""),"1261459")</f>
        <v>1261459</v>
      </c>
      <c r="B4333" s="210" t="str">
        <f>IFERROR(__xludf.DUMMYFUNCTION("""COMPUTED_VALUE"""),"1261459")</f>
        <v>1261459</v>
      </c>
      <c r="C4333" s="213">
        <f>IFERROR(__xludf.DUMMYFUNCTION("""COMPUTED_VALUE"""),46114.61380787037)</f>
        <v>46114.61381</v>
      </c>
      <c r="D4333" s="211" t="str">
        <f>IFERROR(__xludf.DUMMYFUNCTION("""COMPUTED_VALUE"""),"b2b5f2c5")</f>
        <v>b2b5f2c5</v>
      </c>
      <c r="E4333" s="211" t="str">
        <f>IFERROR(__xludf.DUMMYFUNCTION("""COMPUTED_VALUE"""),"Bengkel Las Bpk. Ari")</f>
        <v>Bengkel Las Bpk. Ari</v>
      </c>
      <c r="F4333" s="211" t="str">
        <f>IFERROR(__xludf.DUMMYFUNCTION("""COMPUTED_VALUE"""),"8bdbe149")</f>
        <v>8bdbe149</v>
      </c>
      <c r="G4333" s="211" t="str">
        <f>IFERROR(__xludf.DUMMYFUNCTION("""COMPUTED_VALUE"""),"Oksigen 6m3")</f>
        <v>Oksigen 6m3</v>
      </c>
      <c r="H4333" s="211" t="str">
        <f>IFERROR(__xludf.DUMMYFUNCTION("""COMPUTED_VALUE"""),"IN")</f>
        <v>IN</v>
      </c>
      <c r="I4333" s="211" t="str">
        <f>IFERROR(__xludf.DUMMYFUNCTION("""COMPUTED_VALUE"""),"EMPTY")</f>
        <v>EMPTY</v>
      </c>
      <c r="J4333" s="211">
        <f>IFERROR(__xludf.DUMMYFUNCTION("""COMPUTED_VALUE"""),5.0)</f>
        <v>5</v>
      </c>
      <c r="K4333" s="210" t="str">
        <f>IFERROR(__xludf.DUMMYFUNCTION("""COMPUTED_VALUE"""),"11104 11239 11366 1127 1183")</f>
        <v>11104 11239 11366 1127 1183</v>
      </c>
      <c r="L4333" s="211">
        <f>IFERROR(__xludf.DUMMYFUNCTION("""COMPUTED_VALUE"""),0.0)</f>
        <v>0</v>
      </c>
      <c r="M4333" s="211"/>
      <c r="N4333" s="211"/>
      <c r="O4333" s="211" t="b">
        <f>IFERROR(__xludf.DUMMYFUNCTION("""COMPUTED_VALUE"""),FALSE)</f>
        <v>0</v>
      </c>
    </row>
    <row r="4334">
      <c r="A4334" s="210" t="str">
        <f>IFERROR(__xludf.DUMMYFUNCTION("""COMPUTED_VALUE"""),"1261459")</f>
        <v>1261459</v>
      </c>
      <c r="B4334" s="210" t="str">
        <f>IFERROR(__xludf.DUMMYFUNCTION("""COMPUTED_VALUE"""),"1261459")</f>
        <v>1261459</v>
      </c>
      <c r="C4334" s="213">
        <f>IFERROR(__xludf.DUMMYFUNCTION("""COMPUTED_VALUE"""),46114.61380787037)</f>
        <v>46114.61381</v>
      </c>
      <c r="D4334" s="211" t="str">
        <f>IFERROR(__xludf.DUMMYFUNCTION("""COMPUTED_VALUE"""),"b2b5f2c5")</f>
        <v>b2b5f2c5</v>
      </c>
      <c r="E4334" s="211" t="str">
        <f>IFERROR(__xludf.DUMMYFUNCTION("""COMPUTED_VALUE"""),"Bengkel Las Bpk. Ari")</f>
        <v>Bengkel Las Bpk. Ari</v>
      </c>
      <c r="F4334" s="211" t="str">
        <f>IFERROR(__xludf.DUMMYFUNCTION("""COMPUTED_VALUE"""),"ef306e54")</f>
        <v>ef306e54</v>
      </c>
      <c r="G4334" s="211" t="str">
        <f>IFERROR(__xludf.DUMMYFUNCTION("""COMPUTED_VALUE"""),"Karbondioksida")</f>
        <v>Karbondioksida</v>
      </c>
      <c r="H4334" s="211" t="str">
        <f>IFERROR(__xludf.DUMMYFUNCTION("""COMPUTED_VALUE"""),"IN")</f>
        <v>IN</v>
      </c>
      <c r="I4334" s="211" t="str">
        <f>IFERROR(__xludf.DUMMYFUNCTION("""COMPUTED_VALUE"""),"EMPTY")</f>
        <v>EMPTY</v>
      </c>
      <c r="J4334" s="211">
        <f>IFERROR(__xludf.DUMMYFUNCTION("""COMPUTED_VALUE"""),1.0)</f>
        <v>1</v>
      </c>
      <c r="K4334" s="210" t="str">
        <f>IFERROR(__xludf.DUMMYFUNCTION("""COMPUTED_VALUE"""),"13012")</f>
        <v>13012</v>
      </c>
      <c r="L4334" s="211">
        <f>IFERROR(__xludf.DUMMYFUNCTION("""COMPUTED_VALUE"""),0.0)</f>
        <v>0</v>
      </c>
      <c r="M4334" s="211"/>
      <c r="N4334" s="211"/>
      <c r="O4334" s="211" t="b">
        <f>IFERROR(__xludf.DUMMYFUNCTION("""COMPUTED_VALUE"""),TRUE)</f>
        <v>1</v>
      </c>
    </row>
    <row r="4335">
      <c r="A4335" s="210" t="str">
        <f>IFERROR(__xludf.DUMMYFUNCTION("""COMPUTED_VALUE"""),"1261458")</f>
        <v>1261458</v>
      </c>
      <c r="B4335" s="210" t="str">
        <f>IFERROR(__xludf.DUMMYFUNCTION("""COMPUTED_VALUE"""),"1261458")</f>
        <v>1261458</v>
      </c>
      <c r="C4335" s="213">
        <f>IFERROR(__xludf.DUMMYFUNCTION("""COMPUTED_VALUE"""),46114.61483796296)</f>
        <v>46114.61484</v>
      </c>
      <c r="D4335" s="211" t="str">
        <f>IFERROR(__xludf.DUMMYFUNCTION("""COMPUTED_VALUE"""),"02c693f1")</f>
        <v>02c693f1</v>
      </c>
      <c r="E4335" s="211" t="str">
        <f>IFERROR(__xludf.DUMMYFUNCTION("""COMPUTED_VALUE"""),"Bpk. Rudi Jaya")</f>
        <v>Bpk. Rudi Jaya</v>
      </c>
      <c r="F4335" s="211" t="str">
        <f>IFERROR(__xludf.DUMMYFUNCTION("""COMPUTED_VALUE"""),"8bdbe149")</f>
        <v>8bdbe149</v>
      </c>
      <c r="G4335" s="211" t="str">
        <f>IFERROR(__xludf.DUMMYFUNCTION("""COMPUTED_VALUE"""),"Oksigen 6m3")</f>
        <v>Oksigen 6m3</v>
      </c>
      <c r="H4335" s="211" t="str">
        <f>IFERROR(__xludf.DUMMYFUNCTION("""COMPUTED_VALUE"""),"IN")</f>
        <v>IN</v>
      </c>
      <c r="I4335" s="211" t="str">
        <f>IFERROR(__xludf.DUMMYFUNCTION("""COMPUTED_VALUE"""),"EMPTY")</f>
        <v>EMPTY</v>
      </c>
      <c r="J4335" s="211">
        <f>IFERROR(__xludf.DUMMYFUNCTION("""COMPUTED_VALUE"""),2.0)</f>
        <v>2</v>
      </c>
      <c r="K4335" s="210" t="str">
        <f>IFERROR(__xludf.DUMMYFUNCTION("""COMPUTED_VALUE"""),"11115 11367")</f>
        <v>11115 11367</v>
      </c>
      <c r="L4335" s="211">
        <f>IFERROR(__xludf.DUMMYFUNCTION("""COMPUTED_VALUE"""),0.0)</f>
        <v>0</v>
      </c>
      <c r="M4335" s="211"/>
      <c r="N4335" s="211"/>
      <c r="O4335" s="211" t="b">
        <f>IFERROR(__xludf.DUMMYFUNCTION("""COMPUTED_VALUE"""),FALSE)</f>
        <v>0</v>
      </c>
    </row>
    <row r="4336">
      <c r="A4336" s="210" t="str">
        <f>IFERROR(__xludf.DUMMYFUNCTION("""COMPUTED_VALUE"""),"1261458")</f>
        <v>1261458</v>
      </c>
      <c r="B4336" s="210" t="str">
        <f>IFERROR(__xludf.DUMMYFUNCTION("""COMPUTED_VALUE"""),"1261458")</f>
        <v>1261458</v>
      </c>
      <c r="C4336" s="213">
        <f>IFERROR(__xludf.DUMMYFUNCTION("""COMPUTED_VALUE"""),46114.61483796296)</f>
        <v>46114.61484</v>
      </c>
      <c r="D4336" s="211" t="str">
        <f>IFERROR(__xludf.DUMMYFUNCTION("""COMPUTED_VALUE"""),"02c693f1")</f>
        <v>02c693f1</v>
      </c>
      <c r="E4336" s="211" t="str">
        <f>IFERROR(__xludf.DUMMYFUNCTION("""COMPUTED_VALUE"""),"Bpk. Rudi Jaya")</f>
        <v>Bpk. Rudi Jaya</v>
      </c>
      <c r="F4336" s="211" t="str">
        <f>IFERROR(__xludf.DUMMYFUNCTION("""COMPUTED_VALUE"""),"7d2764f1")</f>
        <v>7d2764f1</v>
      </c>
      <c r="G4336" s="211" t="str">
        <f>IFERROR(__xludf.DUMMYFUNCTION("""COMPUTED_VALUE"""),"Oksigen 7m3")</f>
        <v>Oksigen 7m3</v>
      </c>
      <c r="H4336" s="211" t="str">
        <f>IFERROR(__xludf.DUMMYFUNCTION("""COMPUTED_VALUE"""),"IN")</f>
        <v>IN</v>
      </c>
      <c r="I4336" s="211" t="str">
        <f>IFERROR(__xludf.DUMMYFUNCTION("""COMPUTED_VALUE"""),"EMPTY")</f>
        <v>EMPTY</v>
      </c>
      <c r="J4336" s="211">
        <f>IFERROR(__xludf.DUMMYFUNCTION("""COMPUTED_VALUE"""),1.0)</f>
        <v>1</v>
      </c>
      <c r="K4336" s="210" t="str">
        <f>IFERROR(__xludf.DUMMYFUNCTION("""COMPUTED_VALUE"""),"11299")</f>
        <v>11299</v>
      </c>
      <c r="L4336" s="211">
        <f>IFERROR(__xludf.DUMMYFUNCTION("""COMPUTED_VALUE"""),0.0)</f>
        <v>0</v>
      </c>
      <c r="M4336" s="211"/>
      <c r="N4336" s="211"/>
      <c r="O4336" s="211" t="b">
        <f>IFERROR(__xludf.DUMMYFUNCTION("""COMPUTED_VALUE"""),FALSE)</f>
        <v>0</v>
      </c>
    </row>
    <row r="4337">
      <c r="A4337" s="210" t="str">
        <f>IFERROR(__xludf.DUMMYFUNCTION("""COMPUTED_VALUE"""),"1261464")</f>
        <v>1261464</v>
      </c>
      <c r="B4337" s="210" t="str">
        <f>IFERROR(__xludf.DUMMYFUNCTION("""COMPUTED_VALUE"""),"1261464")</f>
        <v>1261464</v>
      </c>
      <c r="C4337" s="213">
        <f>IFERROR(__xludf.DUMMYFUNCTION("""COMPUTED_VALUE"""),46114.667037037034)</f>
        <v>46114.66704</v>
      </c>
      <c r="D4337" s="211" t="str">
        <f>IFERROR(__xludf.DUMMYFUNCTION("""COMPUTED_VALUE"""),"98c84274")</f>
        <v>98c84274</v>
      </c>
      <c r="E4337" s="211" t="str">
        <f>IFERROR(__xludf.DUMMYFUNCTION("""COMPUTED_VALUE"""),"Bengkel SBM (Pak Hari)")</f>
        <v>Bengkel SBM (Pak Hari)</v>
      </c>
      <c r="F4337" s="211" t="str">
        <f>IFERROR(__xludf.DUMMYFUNCTION("""COMPUTED_VALUE"""),"8bdbe149")</f>
        <v>8bdbe149</v>
      </c>
      <c r="G4337" s="211" t="str">
        <f>IFERROR(__xludf.DUMMYFUNCTION("""COMPUTED_VALUE"""),"Oksigen 6m3")</f>
        <v>Oksigen 6m3</v>
      </c>
      <c r="H4337" s="211" t="str">
        <f>IFERROR(__xludf.DUMMYFUNCTION("""COMPUTED_VALUE"""),"IN")</f>
        <v>IN</v>
      </c>
      <c r="I4337" s="211" t="str">
        <f>IFERROR(__xludf.DUMMYFUNCTION("""COMPUTED_VALUE"""),"EMPTY")</f>
        <v>EMPTY</v>
      </c>
      <c r="J4337" s="211">
        <f>IFERROR(__xludf.DUMMYFUNCTION("""COMPUTED_VALUE"""),3.0)</f>
        <v>3</v>
      </c>
      <c r="K4337" s="210" t="str">
        <f>IFERROR(__xludf.DUMMYFUNCTION("""COMPUTED_VALUE"""),"1173 11271 11255")</f>
        <v>1173 11271 11255</v>
      </c>
      <c r="L4337" s="211">
        <f>IFERROR(__xludf.DUMMYFUNCTION("""COMPUTED_VALUE"""),0.0)</f>
        <v>0</v>
      </c>
      <c r="M4337" s="211"/>
      <c r="N4337" s="211"/>
      <c r="O4337" s="211" t="b">
        <f>IFERROR(__xludf.DUMMYFUNCTION("""COMPUTED_VALUE"""),FALSE)</f>
        <v>0</v>
      </c>
    </row>
    <row r="4338">
      <c r="A4338" s="210" t="str">
        <f>IFERROR(__xludf.DUMMYFUNCTION("""COMPUTED_VALUE"""),"0426162964")</f>
        <v>0426162964</v>
      </c>
      <c r="B4338" s="210" t="str">
        <f>IFERROR(__xludf.DUMMYFUNCTION("""COMPUTED_VALUE"""),"0426162964")</f>
        <v>0426162964</v>
      </c>
      <c r="C4338" s="213">
        <f>IFERROR(__xludf.DUMMYFUNCTION("""COMPUTED_VALUE"""),46115.352164351854)</f>
        <v>46115.35216</v>
      </c>
      <c r="D4338" s="211" t="str">
        <f>IFERROR(__xludf.DUMMYFUNCTION("""COMPUTED_VALUE"""),"9b941888")</f>
        <v>9b941888</v>
      </c>
      <c r="E4338" s="211" t="str">
        <f>IFERROR(__xludf.DUMMYFUNCTION("""COMPUTED_VALUE"""),"Mas Devi ( Parengan )")</f>
        <v>Mas Devi ( Parengan )</v>
      </c>
      <c r="F4338" s="211" t="str">
        <f>IFERROR(__xludf.DUMMYFUNCTION("""COMPUTED_VALUE"""),"7d2764f1")</f>
        <v>7d2764f1</v>
      </c>
      <c r="G4338" s="211" t="str">
        <f>IFERROR(__xludf.DUMMYFUNCTION("""COMPUTED_VALUE"""),"Oksigen 7m3")</f>
        <v>Oksigen 7m3</v>
      </c>
      <c r="H4338" s="211" t="str">
        <f>IFERROR(__xludf.DUMMYFUNCTION("""COMPUTED_VALUE"""),"OUT")</f>
        <v>OUT</v>
      </c>
      <c r="I4338" s="211" t="str">
        <f>IFERROR(__xludf.DUMMYFUNCTION("""COMPUTED_VALUE"""),"NORMAL")</f>
        <v>NORMAL</v>
      </c>
      <c r="J4338" s="211">
        <f>IFERROR(__xludf.DUMMYFUNCTION("""COMPUTED_VALUE"""),3.0)</f>
        <v>3</v>
      </c>
      <c r="K4338" s="210" t="str">
        <f>IFERROR(__xludf.DUMMYFUNCTION("""COMPUTED_VALUE"""),"11142 11170 11166")</f>
        <v>11142 11170 11166</v>
      </c>
      <c r="L4338" s="211">
        <f>IFERROR(__xludf.DUMMYFUNCTION("""COMPUTED_VALUE"""),80000.0)</f>
        <v>80000</v>
      </c>
      <c r="M4338" s="211"/>
      <c r="N4338" s="211"/>
      <c r="O4338" s="211" t="b">
        <f>IFERROR(__xludf.DUMMYFUNCTION("""COMPUTED_VALUE"""),FALSE)</f>
        <v>0</v>
      </c>
    </row>
    <row r="4339">
      <c r="A4339" s="210" t="str">
        <f>IFERROR(__xludf.DUMMYFUNCTION("""COMPUTED_VALUE"""),"0426172969")</f>
        <v>0426172969</v>
      </c>
      <c r="B4339" s="210" t="str">
        <f>IFERROR(__xludf.DUMMYFUNCTION("""COMPUTED_VALUE"""),"0426172969")</f>
        <v>0426172969</v>
      </c>
      <c r="C4339" s="213">
        <f>IFERROR(__xludf.DUMMYFUNCTION("""COMPUTED_VALUE"""),46116.35313657407)</f>
        <v>46116.35314</v>
      </c>
      <c r="D4339" s="211" t="str">
        <f>IFERROR(__xludf.DUMMYFUNCTION("""COMPUTED_VALUE"""),"9b941888")</f>
        <v>9b941888</v>
      </c>
      <c r="E4339" s="211" t="str">
        <f>IFERROR(__xludf.DUMMYFUNCTION("""COMPUTED_VALUE"""),"Mas Devi ( Parengan )")</f>
        <v>Mas Devi ( Parengan )</v>
      </c>
      <c r="F4339" s="211" t="str">
        <f>IFERROR(__xludf.DUMMYFUNCTION("""COMPUTED_VALUE"""),"7d2764f1")</f>
        <v>7d2764f1</v>
      </c>
      <c r="G4339" s="211" t="str">
        <f>IFERROR(__xludf.DUMMYFUNCTION("""COMPUTED_VALUE"""),"Oksigen 7m3")</f>
        <v>Oksigen 7m3</v>
      </c>
      <c r="H4339" s="211" t="str">
        <f>IFERROR(__xludf.DUMMYFUNCTION("""COMPUTED_VALUE"""),"OUT")</f>
        <v>OUT</v>
      </c>
      <c r="I4339" s="211" t="str">
        <f>IFERROR(__xludf.DUMMYFUNCTION("""COMPUTED_VALUE"""),"NORMAL")</f>
        <v>NORMAL</v>
      </c>
      <c r="J4339" s="211">
        <f>IFERROR(__xludf.DUMMYFUNCTION("""COMPUTED_VALUE"""),3.0)</f>
        <v>3</v>
      </c>
      <c r="K4339" s="210" t="str">
        <f>IFERROR(__xludf.DUMMYFUNCTION("""COMPUTED_VALUE"""),"11144 11151 11222")</f>
        <v>11144 11151 11222</v>
      </c>
      <c r="L4339" s="211">
        <f>IFERROR(__xludf.DUMMYFUNCTION("""COMPUTED_VALUE"""),80000.0)</f>
        <v>80000</v>
      </c>
      <c r="M4339" s="211"/>
      <c r="N4339" s="211"/>
      <c r="O4339" s="211" t="b">
        <f>IFERROR(__xludf.DUMMYFUNCTION("""COMPUTED_VALUE"""),FALSE)</f>
        <v>0</v>
      </c>
    </row>
    <row r="4340">
      <c r="A4340" s="210" t="str">
        <f>IFERROR(__xludf.DUMMYFUNCTION("""COMPUTED_VALUE"""),"0426282970")</f>
        <v>0426282970</v>
      </c>
      <c r="B4340" s="210" t="str">
        <f>IFERROR(__xludf.DUMMYFUNCTION("""COMPUTED_VALUE"""),"0426282970")</f>
        <v>0426282970</v>
      </c>
      <c r="C4340" s="213">
        <f>IFERROR(__xludf.DUMMYFUNCTION("""COMPUTED_VALUE"""),46116.35361111111)</f>
        <v>46116.35361</v>
      </c>
      <c r="D4340" s="211" t="str">
        <f>IFERROR(__xludf.DUMMYFUNCTION("""COMPUTED_VALUE"""),"8ea74d81")</f>
        <v>8ea74d81</v>
      </c>
      <c r="E4340" s="211" t="str">
        <f>IFERROR(__xludf.DUMMYFUNCTION("""COMPUTED_VALUE"""),"Bengkel Adi Putra")</f>
        <v>Bengkel Adi Putra</v>
      </c>
      <c r="F4340" s="211" t="str">
        <f>IFERROR(__xludf.DUMMYFUNCTION("""COMPUTED_VALUE"""),"8bdbe149")</f>
        <v>8bdbe149</v>
      </c>
      <c r="G4340" s="211" t="str">
        <f>IFERROR(__xludf.DUMMYFUNCTION("""COMPUTED_VALUE"""),"Oksigen 6m3")</f>
        <v>Oksigen 6m3</v>
      </c>
      <c r="H4340" s="211" t="str">
        <f>IFERROR(__xludf.DUMMYFUNCTION("""COMPUTED_VALUE"""),"OUT")</f>
        <v>OUT</v>
      </c>
      <c r="I4340" s="211" t="str">
        <f>IFERROR(__xludf.DUMMYFUNCTION("""COMPUTED_VALUE"""),"NORMAL")</f>
        <v>NORMAL</v>
      </c>
      <c r="J4340" s="211">
        <f>IFERROR(__xludf.DUMMYFUNCTION("""COMPUTED_VALUE"""),2.0)</f>
        <v>2</v>
      </c>
      <c r="K4340" s="210" t="str">
        <f>IFERROR(__xludf.DUMMYFUNCTION("""COMPUTED_VALUE"""),"11112 11241")</f>
        <v>11112 11241</v>
      </c>
      <c r="L4340" s="211">
        <f>IFERROR(__xludf.DUMMYFUNCTION("""COMPUTED_VALUE"""),70000.0)</f>
        <v>70000</v>
      </c>
      <c r="M4340" s="211"/>
      <c r="N4340" s="211"/>
      <c r="O4340" s="211" t="b">
        <f>IFERROR(__xludf.DUMMYFUNCTION("""COMPUTED_VALUE"""),FALSE)</f>
        <v>0</v>
      </c>
    </row>
    <row r="4341">
      <c r="A4341" s="210" t="str">
        <f>IFERROR(__xludf.DUMMYFUNCTION("""COMPUTED_VALUE"""),"042612971")</f>
        <v>042612971</v>
      </c>
      <c r="B4341" s="210" t="str">
        <f>IFERROR(__xludf.DUMMYFUNCTION("""COMPUTED_VALUE"""),"042612971")</f>
        <v>042612971</v>
      </c>
      <c r="C4341" s="213">
        <f>IFERROR(__xludf.DUMMYFUNCTION("""COMPUTED_VALUE"""),46116.359305555554)</f>
        <v>46116.35931</v>
      </c>
      <c r="D4341" s="211" t="str">
        <f>IFERROR(__xludf.DUMMYFUNCTION("""COMPUTED_VALUE"""),"80c9fe6d")</f>
        <v>80c9fe6d</v>
      </c>
      <c r="E4341" s="211" t="str">
        <f>IFERROR(__xludf.DUMMYFUNCTION("""COMPUTED_VALUE"""),"Bpk Eko Tri Pilar")</f>
        <v>Bpk Eko Tri Pilar</v>
      </c>
      <c r="F4341" s="211" t="str">
        <f>IFERROR(__xludf.DUMMYFUNCTION("""COMPUTED_VALUE"""),"8bdbe149")</f>
        <v>8bdbe149</v>
      </c>
      <c r="G4341" s="211" t="str">
        <f>IFERROR(__xludf.DUMMYFUNCTION("""COMPUTED_VALUE"""),"Oksigen 6m3")</f>
        <v>Oksigen 6m3</v>
      </c>
      <c r="H4341" s="211" t="str">
        <f>IFERROR(__xludf.DUMMYFUNCTION("""COMPUTED_VALUE"""),"OUT")</f>
        <v>OUT</v>
      </c>
      <c r="I4341" s="211" t="str">
        <f>IFERROR(__xludf.DUMMYFUNCTION("""COMPUTED_VALUE"""),"NORMAL")</f>
        <v>NORMAL</v>
      </c>
      <c r="J4341" s="211">
        <f>IFERROR(__xludf.DUMMYFUNCTION("""COMPUTED_VALUE"""),2.0)</f>
        <v>2</v>
      </c>
      <c r="K4341" s="210" t="str">
        <f>IFERROR(__xludf.DUMMYFUNCTION("""COMPUTED_VALUE"""),"1181 1197")</f>
        <v>1181 1197</v>
      </c>
      <c r="L4341" s="211">
        <f>IFERROR(__xludf.DUMMYFUNCTION("""COMPUTED_VALUE"""),60000.0)</f>
        <v>60000</v>
      </c>
      <c r="M4341" s="211"/>
      <c r="N4341" s="211"/>
      <c r="O4341" s="211" t="b">
        <f>IFERROR(__xludf.DUMMYFUNCTION("""COMPUTED_VALUE"""),FALSE)</f>
        <v>0</v>
      </c>
    </row>
    <row r="4342">
      <c r="A4342" s="210" t="str">
        <f>IFERROR(__xludf.DUMMYFUNCTION("""COMPUTED_VALUE"""),"4042612928")</f>
        <v>4042612928</v>
      </c>
      <c r="B4342" s="210" t="str">
        <f>IFERROR(__xludf.DUMMYFUNCTION("""COMPUTED_VALUE"""),"4042612928")</f>
        <v>4042612928</v>
      </c>
      <c r="C4342" s="213">
        <f>IFERROR(__xludf.DUMMYFUNCTION("""COMPUTED_VALUE"""),46116.362175925926)</f>
        <v>46116.36218</v>
      </c>
      <c r="D4342" s="211" t="str">
        <f>IFERROR(__xludf.DUMMYFUNCTION("""COMPUTED_VALUE"""),"58b72e0c")</f>
        <v>58b72e0c</v>
      </c>
      <c r="E4342" s="211" t="str">
        <f>IFERROR(__xludf.DUMMYFUNCTION("""COMPUTED_VALUE"""),"UD. Ais Jaya")</f>
        <v>UD. Ais Jaya</v>
      </c>
      <c r="F4342" s="211" t="str">
        <f>IFERROR(__xludf.DUMMYFUNCTION("""COMPUTED_VALUE"""),"8bdbe149")</f>
        <v>8bdbe149</v>
      </c>
      <c r="G4342" s="211" t="str">
        <f>IFERROR(__xludf.DUMMYFUNCTION("""COMPUTED_VALUE"""),"Oksigen 6m3")</f>
        <v>Oksigen 6m3</v>
      </c>
      <c r="H4342" s="211" t="str">
        <f>IFERROR(__xludf.DUMMYFUNCTION("""COMPUTED_VALUE"""),"OTHER")</f>
        <v>OTHER</v>
      </c>
      <c r="I4342" s="211" t="str">
        <f>IFERROR(__xludf.DUMMYFUNCTION("""COMPUTED_VALUE"""),"EMPTY")</f>
        <v>EMPTY</v>
      </c>
      <c r="J4342" s="211">
        <f>IFERROR(__xludf.DUMMYFUNCTION("""COMPUTED_VALUE"""),1.0)</f>
        <v>1</v>
      </c>
      <c r="K4342" s="210" t="str">
        <f>IFERROR(__xludf.DUMMYFUNCTION("""COMPUTED_VALUE"""),"11120")</f>
        <v>11120</v>
      </c>
      <c r="L4342" s="211">
        <f>IFERROR(__xludf.DUMMYFUNCTION("""COMPUTED_VALUE"""),0.0)</f>
        <v>0</v>
      </c>
      <c r="M4342" s="211"/>
      <c r="N4342" s="211"/>
      <c r="O4342" s="211" t="b">
        <f>IFERROR(__xludf.DUMMYFUNCTION("""COMPUTED_VALUE"""),FALSE)</f>
        <v>0</v>
      </c>
    </row>
    <row r="4343">
      <c r="A4343" s="210" t="str">
        <f>IFERROR(__xludf.DUMMYFUNCTION("""COMPUTED_VALUE"""),"0426422972")</f>
        <v>0426422972</v>
      </c>
      <c r="B4343" s="210" t="str">
        <f>IFERROR(__xludf.DUMMYFUNCTION("""COMPUTED_VALUE"""),"0426422972")</f>
        <v>0426422972</v>
      </c>
      <c r="C4343" s="213">
        <f>IFERROR(__xludf.DUMMYFUNCTION("""COMPUTED_VALUE"""),46116.36268518519)</f>
        <v>46116.36269</v>
      </c>
      <c r="D4343" s="211" t="str">
        <f>IFERROR(__xludf.DUMMYFUNCTION("""COMPUTED_VALUE"""),"ce83e171")</f>
        <v>ce83e171</v>
      </c>
      <c r="E4343" s="211" t="str">
        <f>IFERROR(__xludf.DUMMYFUNCTION("""COMPUTED_VALUE"""),"Bpk. Sulaiman")</f>
        <v>Bpk. Sulaiman</v>
      </c>
      <c r="F4343" s="211" t="str">
        <f>IFERROR(__xludf.DUMMYFUNCTION("""COMPUTED_VALUE"""),"f6aab7a9")</f>
        <v>f6aab7a9</v>
      </c>
      <c r="G4343" s="211" t="str">
        <f>IFERROR(__xludf.DUMMYFUNCTION("""COMPUTED_VALUE"""),"Oksigen 6m3 MR")</f>
        <v>Oksigen 6m3 MR</v>
      </c>
      <c r="H4343" s="211" t="str">
        <f>IFERROR(__xludf.DUMMYFUNCTION("""COMPUTED_VALUE"""),"OUT")</f>
        <v>OUT</v>
      </c>
      <c r="I4343" s="211" t="str">
        <f>IFERROR(__xludf.DUMMYFUNCTION("""COMPUTED_VALUE"""),"NORMAL")</f>
        <v>NORMAL</v>
      </c>
      <c r="J4343" s="211">
        <f>IFERROR(__xludf.DUMMYFUNCTION("""COMPUTED_VALUE"""),2.0)</f>
        <v>2</v>
      </c>
      <c r="K4343" s="211"/>
      <c r="L4343" s="211">
        <f>IFERROR(__xludf.DUMMYFUNCTION("""COMPUTED_VALUE"""),55000.0)</f>
        <v>55000</v>
      </c>
      <c r="M4343" s="211"/>
      <c r="N4343" s="211"/>
      <c r="O4343" s="211" t="b">
        <f>IFERROR(__xludf.DUMMYFUNCTION("""COMPUTED_VALUE"""),FALSE)</f>
        <v>0</v>
      </c>
    </row>
    <row r="4344">
      <c r="A4344" s="210" t="str">
        <f>IFERROR(__xludf.DUMMYFUNCTION("""COMPUTED_VALUE"""),"0426422972")</f>
        <v>0426422972</v>
      </c>
      <c r="B4344" s="210" t="str">
        <f>IFERROR(__xludf.DUMMYFUNCTION("""COMPUTED_VALUE"""),"0426422972")</f>
        <v>0426422972</v>
      </c>
      <c r="C4344" s="213">
        <f>IFERROR(__xludf.DUMMYFUNCTION("""COMPUTED_VALUE"""),46116.36268518519)</f>
        <v>46116.36269</v>
      </c>
      <c r="D4344" s="211" t="str">
        <f>IFERROR(__xludf.DUMMYFUNCTION("""COMPUTED_VALUE"""),"ce83e171")</f>
        <v>ce83e171</v>
      </c>
      <c r="E4344" s="211" t="str">
        <f>IFERROR(__xludf.DUMMYFUNCTION("""COMPUTED_VALUE"""),"Bpk. Sulaiman")</f>
        <v>Bpk. Sulaiman</v>
      </c>
      <c r="F4344" s="211" t="str">
        <f>IFERROR(__xludf.DUMMYFUNCTION("""COMPUTED_VALUE"""),"be525f3b")</f>
        <v>be525f3b</v>
      </c>
      <c r="G4344" s="211" t="str">
        <f>IFERROR(__xludf.DUMMYFUNCTION("""COMPUTED_VALUE"""),"LPG 12kg")</f>
        <v>LPG 12kg</v>
      </c>
      <c r="H4344" s="211" t="str">
        <f>IFERROR(__xludf.DUMMYFUNCTION("""COMPUTED_VALUE"""),"OUT")</f>
        <v>OUT</v>
      </c>
      <c r="I4344" s="211" t="str">
        <f>IFERROR(__xludf.DUMMYFUNCTION("""COMPUTED_VALUE"""),"NORMAL")</f>
        <v>NORMAL</v>
      </c>
      <c r="J4344" s="211">
        <f>IFERROR(__xludf.DUMMYFUNCTION("""COMPUTED_VALUE"""),1.0)</f>
        <v>1</v>
      </c>
      <c r="K4344" s="211"/>
      <c r="L4344" s="211">
        <f>IFERROR(__xludf.DUMMYFUNCTION("""COMPUTED_VALUE"""),210000.0)</f>
        <v>210000</v>
      </c>
      <c r="M4344" s="211"/>
      <c r="N4344" s="211"/>
      <c r="O4344" s="211" t="b">
        <f>IFERROR(__xludf.DUMMYFUNCTION("""COMPUTED_VALUE"""),FALSE)</f>
        <v>0</v>
      </c>
    </row>
    <row r="4345">
      <c r="A4345" s="210" t="str">
        <f>IFERROR(__xludf.DUMMYFUNCTION("""COMPUTED_VALUE"""),"1261465")</f>
        <v>1261465</v>
      </c>
      <c r="B4345" s="210" t="str">
        <f>IFERROR(__xludf.DUMMYFUNCTION("""COMPUTED_VALUE"""),"1261465")</f>
        <v>1261465</v>
      </c>
      <c r="C4345" s="213">
        <f>IFERROR(__xludf.DUMMYFUNCTION("""COMPUTED_VALUE"""),46116.36486111111)</f>
        <v>46116.36486</v>
      </c>
      <c r="D4345" s="211" t="str">
        <f>IFERROR(__xludf.DUMMYFUNCTION("""COMPUTED_VALUE"""),"9b941888")</f>
        <v>9b941888</v>
      </c>
      <c r="E4345" s="211" t="str">
        <f>IFERROR(__xludf.DUMMYFUNCTION("""COMPUTED_VALUE"""),"Mas Devi ( Parengan )")</f>
        <v>Mas Devi ( Parengan )</v>
      </c>
      <c r="F4345" s="211" t="str">
        <f>IFERROR(__xludf.DUMMYFUNCTION("""COMPUTED_VALUE"""),"7d2764f1")</f>
        <v>7d2764f1</v>
      </c>
      <c r="G4345" s="211" t="str">
        <f>IFERROR(__xludf.DUMMYFUNCTION("""COMPUTED_VALUE"""),"Oksigen 7m3")</f>
        <v>Oksigen 7m3</v>
      </c>
      <c r="H4345" s="211" t="str">
        <f>IFERROR(__xludf.DUMMYFUNCTION("""COMPUTED_VALUE"""),"IN")</f>
        <v>IN</v>
      </c>
      <c r="I4345" s="211" t="str">
        <f>IFERROR(__xludf.DUMMYFUNCTION("""COMPUTED_VALUE"""),"EMPTY")</f>
        <v>EMPTY</v>
      </c>
      <c r="J4345" s="211">
        <f>IFERROR(__xludf.DUMMYFUNCTION("""COMPUTED_VALUE"""),3.0)</f>
        <v>3</v>
      </c>
      <c r="K4345" s="210" t="str">
        <f>IFERROR(__xludf.DUMMYFUNCTION("""COMPUTED_VALUE"""),"11166 11142 76")</f>
        <v>11166 11142 76</v>
      </c>
      <c r="L4345" s="211">
        <f>IFERROR(__xludf.DUMMYFUNCTION("""COMPUTED_VALUE"""),0.0)</f>
        <v>0</v>
      </c>
      <c r="M4345" s="211"/>
      <c r="N4345" s="211"/>
      <c r="O4345" s="211" t="b">
        <f>IFERROR(__xludf.DUMMYFUNCTION("""COMPUTED_VALUE"""),FALSE)</f>
        <v>0</v>
      </c>
    </row>
    <row r="4346">
      <c r="A4346" s="210" t="str">
        <f>IFERROR(__xludf.DUMMYFUNCTION("""COMPUTED_VALUE"""),"0426272974")</f>
        <v>0426272974</v>
      </c>
      <c r="B4346" s="210" t="str">
        <f>IFERROR(__xludf.DUMMYFUNCTION("""COMPUTED_VALUE"""),"0426272974")</f>
        <v>0426272974</v>
      </c>
      <c r="C4346" s="213">
        <f>IFERROR(__xludf.DUMMYFUNCTION("""COMPUTED_VALUE"""),46116.36982638889)</f>
        <v>46116.36983</v>
      </c>
      <c r="D4346" s="211" t="str">
        <f>IFERROR(__xludf.DUMMYFUNCTION("""COMPUTED_VALUE"""),"3bcd7fe6")</f>
        <v>3bcd7fe6</v>
      </c>
      <c r="E4346" s="211" t="str">
        <f>IFERROR(__xludf.DUMMYFUNCTION("""COMPUTED_VALUE"""),"Bpk. Alvin (LB Group)")</f>
        <v>Bpk. Alvin (LB Group)</v>
      </c>
      <c r="F4346" s="211" t="str">
        <f>IFERROR(__xludf.DUMMYFUNCTION("""COMPUTED_VALUE"""),"8bdbe149")</f>
        <v>8bdbe149</v>
      </c>
      <c r="G4346" s="211" t="str">
        <f>IFERROR(__xludf.DUMMYFUNCTION("""COMPUTED_VALUE"""),"Oksigen 6m3")</f>
        <v>Oksigen 6m3</v>
      </c>
      <c r="H4346" s="211" t="str">
        <f>IFERROR(__xludf.DUMMYFUNCTION("""COMPUTED_VALUE"""),"OUT")</f>
        <v>OUT</v>
      </c>
      <c r="I4346" s="211" t="str">
        <f>IFERROR(__xludf.DUMMYFUNCTION("""COMPUTED_VALUE"""),"NORMAL")</f>
        <v>NORMAL</v>
      </c>
      <c r="J4346" s="211">
        <f>IFERROR(__xludf.DUMMYFUNCTION("""COMPUTED_VALUE"""),3.0)</f>
        <v>3</v>
      </c>
      <c r="K4346" s="210" t="str">
        <f>IFERROR(__xludf.DUMMYFUNCTION("""COMPUTED_VALUE"""),"1183 11373 1192")</f>
        <v>1183 11373 1192</v>
      </c>
      <c r="L4346" s="211">
        <f>IFERROR(__xludf.DUMMYFUNCTION("""COMPUTED_VALUE"""),50000.0)</f>
        <v>50000</v>
      </c>
      <c r="M4346" s="211"/>
      <c r="N4346" s="211"/>
      <c r="O4346" s="211" t="b">
        <f>IFERROR(__xludf.DUMMYFUNCTION("""COMPUTED_VALUE"""),FALSE)</f>
        <v>0</v>
      </c>
    </row>
    <row r="4347">
      <c r="A4347" s="210" t="str">
        <f>IFERROR(__xludf.DUMMYFUNCTION("""COMPUTED_VALUE"""),"0426982976")</f>
        <v>0426982976</v>
      </c>
      <c r="B4347" s="210" t="str">
        <f>IFERROR(__xludf.DUMMYFUNCTION("""COMPUTED_VALUE"""),"0426982976")</f>
        <v>0426982976</v>
      </c>
      <c r="C4347" s="213">
        <f>IFERROR(__xludf.DUMMYFUNCTION("""COMPUTED_VALUE"""),46116.37260416667)</f>
        <v>46116.3726</v>
      </c>
      <c r="D4347" s="211" t="str">
        <f>IFERROR(__xludf.DUMMYFUNCTION("""COMPUTED_VALUE"""),"b2b5f2c5")</f>
        <v>b2b5f2c5</v>
      </c>
      <c r="E4347" s="211" t="str">
        <f>IFERROR(__xludf.DUMMYFUNCTION("""COMPUTED_VALUE"""),"Bengkel Las Bpk. Ari")</f>
        <v>Bengkel Las Bpk. Ari</v>
      </c>
      <c r="F4347" s="211" t="str">
        <f>IFERROR(__xludf.DUMMYFUNCTION("""COMPUTED_VALUE"""),"8bdbe149")</f>
        <v>8bdbe149</v>
      </c>
      <c r="G4347" s="211" t="str">
        <f>IFERROR(__xludf.DUMMYFUNCTION("""COMPUTED_VALUE"""),"Oksigen 6m3")</f>
        <v>Oksigen 6m3</v>
      </c>
      <c r="H4347" s="211" t="str">
        <f>IFERROR(__xludf.DUMMYFUNCTION("""COMPUTED_VALUE"""),"OUT")</f>
        <v>OUT</v>
      </c>
      <c r="I4347" s="211" t="str">
        <f>IFERROR(__xludf.DUMMYFUNCTION("""COMPUTED_VALUE"""),"NORMAL")</f>
        <v>NORMAL</v>
      </c>
      <c r="J4347" s="211">
        <f>IFERROR(__xludf.DUMMYFUNCTION("""COMPUTED_VALUE"""),5.0)</f>
        <v>5</v>
      </c>
      <c r="K4347" s="210" t="str">
        <f>IFERROR(__xludf.DUMMYFUNCTION("""COMPUTED_VALUE"""),"1145 11177 11355 11186 11352")</f>
        <v>1145 11177 11355 11186 11352</v>
      </c>
      <c r="L4347" s="211">
        <f>IFERROR(__xludf.DUMMYFUNCTION("""COMPUTED_VALUE"""),60000.0)</f>
        <v>60000</v>
      </c>
      <c r="M4347" s="211"/>
      <c r="N4347" s="211"/>
      <c r="O4347" s="211" t="b">
        <f>IFERROR(__xludf.DUMMYFUNCTION("""COMPUTED_VALUE"""),FALSE)</f>
        <v>0</v>
      </c>
    </row>
    <row r="4348">
      <c r="A4348" s="210" t="str">
        <f>IFERROR(__xludf.DUMMYFUNCTION("""COMPUTED_VALUE"""),"042622977")</f>
        <v>042622977</v>
      </c>
      <c r="B4348" s="210" t="str">
        <f>IFERROR(__xludf.DUMMYFUNCTION("""COMPUTED_VALUE"""),"042622977")</f>
        <v>042622977</v>
      </c>
      <c r="C4348" s="213">
        <f>IFERROR(__xludf.DUMMYFUNCTION("""COMPUTED_VALUE"""),46116.4200462963)</f>
        <v>46116.42005</v>
      </c>
      <c r="D4348" s="211" t="str">
        <f>IFERROR(__xludf.DUMMYFUNCTION("""COMPUTED_VALUE"""),"89d46c39")</f>
        <v>89d46c39</v>
      </c>
      <c r="E4348" s="211" t="str">
        <f>IFERROR(__xludf.DUMMYFUNCTION("""COMPUTED_VALUE"""),"PT Cakar Baja Persada")</f>
        <v>PT Cakar Baja Persada</v>
      </c>
      <c r="F4348" s="211" t="str">
        <f>IFERROR(__xludf.DUMMYFUNCTION("""COMPUTED_VALUE"""),"8bdbe149")</f>
        <v>8bdbe149</v>
      </c>
      <c r="G4348" s="211" t="str">
        <f>IFERROR(__xludf.DUMMYFUNCTION("""COMPUTED_VALUE"""),"Oksigen 6m3")</f>
        <v>Oksigen 6m3</v>
      </c>
      <c r="H4348" s="211" t="str">
        <f>IFERROR(__xludf.DUMMYFUNCTION("""COMPUTED_VALUE"""),"OUT")</f>
        <v>OUT</v>
      </c>
      <c r="I4348" s="211" t="str">
        <f>IFERROR(__xludf.DUMMYFUNCTION("""COMPUTED_VALUE"""),"NORMAL")</f>
        <v>NORMAL</v>
      </c>
      <c r="J4348" s="211">
        <f>IFERROR(__xludf.DUMMYFUNCTION("""COMPUTED_VALUE"""),2.0)</f>
        <v>2</v>
      </c>
      <c r="K4348" s="210" t="str">
        <f>IFERROR(__xludf.DUMMYFUNCTION("""COMPUTED_VALUE"""),"11357 1127")</f>
        <v>11357 1127</v>
      </c>
      <c r="L4348" s="211">
        <f>IFERROR(__xludf.DUMMYFUNCTION("""COMPUTED_VALUE"""),54054.05)</f>
        <v>54054.05</v>
      </c>
      <c r="M4348" s="211"/>
      <c r="N4348" s="211"/>
      <c r="O4348" s="211" t="b">
        <f>IFERROR(__xludf.DUMMYFUNCTION("""COMPUTED_VALUE"""),FALSE)</f>
        <v>0</v>
      </c>
    </row>
    <row r="4349">
      <c r="A4349" s="210" t="str">
        <f>IFERROR(__xludf.DUMMYFUNCTION("""COMPUTED_VALUE"""),"1261467")</f>
        <v>1261467</v>
      </c>
      <c r="B4349" s="210" t="str">
        <f>IFERROR(__xludf.DUMMYFUNCTION("""COMPUTED_VALUE"""),"1261467")</f>
        <v>1261467</v>
      </c>
      <c r="C4349" s="213">
        <f>IFERROR(__xludf.DUMMYFUNCTION("""COMPUTED_VALUE"""),46116.43392361111)</f>
        <v>46116.43392</v>
      </c>
      <c r="D4349" s="211" t="str">
        <f>IFERROR(__xludf.DUMMYFUNCTION("""COMPUTED_VALUE"""),"1c4d5e93")</f>
        <v>1c4d5e93</v>
      </c>
      <c r="E4349" s="211" t="str">
        <f>IFERROR(__xludf.DUMMYFUNCTION("""COMPUTED_VALUE"""),"Karoseri Cipta Mitra Sukses")</f>
        <v>Karoseri Cipta Mitra Sukses</v>
      </c>
      <c r="F4349" s="211" t="str">
        <f>IFERROR(__xludf.DUMMYFUNCTION("""COMPUTED_VALUE"""),"ef306e54")</f>
        <v>ef306e54</v>
      </c>
      <c r="G4349" s="211" t="str">
        <f>IFERROR(__xludf.DUMMYFUNCTION("""COMPUTED_VALUE"""),"Karbondioksida")</f>
        <v>Karbondioksida</v>
      </c>
      <c r="H4349" s="211" t="str">
        <f>IFERROR(__xludf.DUMMYFUNCTION("""COMPUTED_VALUE"""),"IN")</f>
        <v>IN</v>
      </c>
      <c r="I4349" s="211" t="str">
        <f>IFERROR(__xludf.DUMMYFUNCTION("""COMPUTED_VALUE"""),"EMPTY")</f>
        <v>EMPTY</v>
      </c>
      <c r="J4349" s="211">
        <f>IFERROR(__xludf.DUMMYFUNCTION("""COMPUTED_VALUE"""),2.0)</f>
        <v>2</v>
      </c>
      <c r="K4349" s="210" t="str">
        <f>IFERROR(__xludf.DUMMYFUNCTION("""COMPUTED_VALUE"""),"13043 13073")</f>
        <v>13043 13073</v>
      </c>
      <c r="L4349" s="211">
        <f>IFERROR(__xludf.DUMMYFUNCTION("""COMPUTED_VALUE"""),0.0)</f>
        <v>0</v>
      </c>
      <c r="M4349" s="211"/>
      <c r="N4349" s="211"/>
      <c r="O4349" s="211" t="b">
        <f>IFERROR(__xludf.DUMMYFUNCTION("""COMPUTED_VALUE"""),FALSE)</f>
        <v>0</v>
      </c>
    </row>
    <row r="4350">
      <c r="A4350" s="210" t="str">
        <f>IFERROR(__xludf.DUMMYFUNCTION("""COMPUTED_VALUE"""),"1261466")</f>
        <v>1261466</v>
      </c>
      <c r="B4350" s="210" t="str">
        <f>IFERROR(__xludf.DUMMYFUNCTION("""COMPUTED_VALUE"""),"1261466")</f>
        <v>1261466</v>
      </c>
      <c r="C4350" s="213">
        <f>IFERROR(__xludf.DUMMYFUNCTION("""COMPUTED_VALUE"""),46116.43436342593)</f>
        <v>46116.43436</v>
      </c>
      <c r="D4350" s="211" t="str">
        <f>IFERROR(__xludf.DUMMYFUNCTION("""COMPUTED_VALUE"""),"8ea74d81")</f>
        <v>8ea74d81</v>
      </c>
      <c r="E4350" s="211" t="str">
        <f>IFERROR(__xludf.DUMMYFUNCTION("""COMPUTED_VALUE"""),"Bengkel Adi Putra")</f>
        <v>Bengkel Adi Putra</v>
      </c>
      <c r="F4350" s="211" t="str">
        <f>IFERROR(__xludf.DUMMYFUNCTION("""COMPUTED_VALUE"""),"8bdbe149")</f>
        <v>8bdbe149</v>
      </c>
      <c r="G4350" s="211" t="str">
        <f>IFERROR(__xludf.DUMMYFUNCTION("""COMPUTED_VALUE"""),"Oksigen 6m3")</f>
        <v>Oksigen 6m3</v>
      </c>
      <c r="H4350" s="211" t="str">
        <f>IFERROR(__xludf.DUMMYFUNCTION("""COMPUTED_VALUE"""),"IN")</f>
        <v>IN</v>
      </c>
      <c r="I4350" s="211" t="str">
        <f>IFERROR(__xludf.DUMMYFUNCTION("""COMPUTED_VALUE"""),"EMPTY")</f>
        <v>EMPTY</v>
      </c>
      <c r="J4350" s="211">
        <f>IFERROR(__xludf.DUMMYFUNCTION("""COMPUTED_VALUE"""),1.0)</f>
        <v>1</v>
      </c>
      <c r="K4350" s="210" t="str">
        <f>IFERROR(__xludf.DUMMYFUNCTION("""COMPUTED_VALUE"""),"11124")</f>
        <v>11124</v>
      </c>
      <c r="L4350" s="211">
        <f>IFERROR(__xludf.DUMMYFUNCTION("""COMPUTED_VALUE"""),0.0)</f>
        <v>0</v>
      </c>
      <c r="M4350" s="211"/>
      <c r="N4350" s="211"/>
      <c r="O4350" s="211" t="b">
        <f>IFERROR(__xludf.DUMMYFUNCTION("""COMPUTED_VALUE"""),FALSE)</f>
        <v>0</v>
      </c>
    </row>
    <row r="4351">
      <c r="A4351" s="210" t="str">
        <f>IFERROR(__xludf.DUMMYFUNCTION("""COMPUTED_VALUE"""),"1261460")</f>
        <v>1261460</v>
      </c>
      <c r="B4351" s="210" t="str">
        <f>IFERROR(__xludf.DUMMYFUNCTION("""COMPUTED_VALUE"""),"1261460")</f>
        <v>1261460</v>
      </c>
      <c r="C4351" s="213">
        <f>IFERROR(__xludf.DUMMYFUNCTION("""COMPUTED_VALUE"""),46116.55902777778)</f>
        <v>46116.55903</v>
      </c>
      <c r="D4351" s="211" t="str">
        <f>IFERROR(__xludf.DUMMYFUNCTION("""COMPUTED_VALUE"""),"3bcd7fe6")</f>
        <v>3bcd7fe6</v>
      </c>
      <c r="E4351" s="211" t="str">
        <f>IFERROR(__xludf.DUMMYFUNCTION("""COMPUTED_VALUE"""),"Bpk. Alvin (LB Group)")</f>
        <v>Bpk. Alvin (LB Group)</v>
      </c>
      <c r="F4351" s="211" t="str">
        <f>IFERROR(__xludf.DUMMYFUNCTION("""COMPUTED_VALUE"""),"7d2764f1")</f>
        <v>7d2764f1</v>
      </c>
      <c r="G4351" s="211" t="str">
        <f>IFERROR(__xludf.DUMMYFUNCTION("""COMPUTED_VALUE"""),"Oksigen 7m3")</f>
        <v>Oksigen 7m3</v>
      </c>
      <c r="H4351" s="211" t="str">
        <f>IFERROR(__xludf.DUMMYFUNCTION("""COMPUTED_VALUE"""),"IN")</f>
        <v>IN</v>
      </c>
      <c r="I4351" s="211" t="str">
        <f>IFERROR(__xludf.DUMMYFUNCTION("""COMPUTED_VALUE"""),"EMPTY")</f>
        <v>EMPTY</v>
      </c>
      <c r="J4351" s="211">
        <f>IFERROR(__xludf.DUMMYFUNCTION("""COMPUTED_VALUE"""),2.0)</f>
        <v>2</v>
      </c>
      <c r="K4351" s="210" t="str">
        <f>IFERROR(__xludf.DUMMYFUNCTION("""COMPUTED_VALUE"""),"11213 11291")</f>
        <v>11213 11291</v>
      </c>
      <c r="L4351" s="211">
        <f>IFERROR(__xludf.DUMMYFUNCTION("""COMPUTED_VALUE"""),0.0)</f>
        <v>0</v>
      </c>
      <c r="M4351" s="211"/>
      <c r="N4351" s="211"/>
      <c r="O4351" s="211" t="b">
        <f>IFERROR(__xludf.DUMMYFUNCTION("""COMPUTED_VALUE"""),FALSE)</f>
        <v>0</v>
      </c>
    </row>
    <row r="4352">
      <c r="A4352" s="210" t="str">
        <f>IFERROR(__xludf.DUMMYFUNCTION("""COMPUTED_VALUE"""),"1261460")</f>
        <v>1261460</v>
      </c>
      <c r="B4352" s="210" t="str">
        <f>IFERROR(__xludf.DUMMYFUNCTION("""COMPUTED_VALUE"""),"1261460")</f>
        <v>1261460</v>
      </c>
      <c r="C4352" s="213">
        <f>IFERROR(__xludf.DUMMYFUNCTION("""COMPUTED_VALUE"""),46116.55902777778)</f>
        <v>46116.55903</v>
      </c>
      <c r="D4352" s="211" t="str">
        <f>IFERROR(__xludf.DUMMYFUNCTION("""COMPUTED_VALUE"""),"3bcd7fe6")</f>
        <v>3bcd7fe6</v>
      </c>
      <c r="E4352" s="211" t="str">
        <f>IFERROR(__xludf.DUMMYFUNCTION("""COMPUTED_VALUE"""),"Bpk. Alvin (LB Group)")</f>
        <v>Bpk. Alvin (LB Group)</v>
      </c>
      <c r="F4352" s="211" t="str">
        <f>IFERROR(__xludf.DUMMYFUNCTION("""COMPUTED_VALUE"""),"f6aab7a9")</f>
        <v>f6aab7a9</v>
      </c>
      <c r="G4352" s="211" t="str">
        <f>IFERROR(__xludf.DUMMYFUNCTION("""COMPUTED_VALUE"""),"Oksigen 6m3 MR")</f>
        <v>Oksigen 6m3 MR</v>
      </c>
      <c r="H4352" s="211" t="str">
        <f>IFERROR(__xludf.DUMMYFUNCTION("""COMPUTED_VALUE"""),"IN")</f>
        <v>IN</v>
      </c>
      <c r="I4352" s="211" t="str">
        <f>IFERROR(__xludf.DUMMYFUNCTION("""COMPUTED_VALUE"""),"EMPTY")</f>
        <v>EMPTY</v>
      </c>
      <c r="J4352" s="211">
        <f>IFERROR(__xludf.DUMMYFUNCTION("""COMPUTED_VALUE"""),1.0)</f>
        <v>1</v>
      </c>
      <c r="K4352" s="211"/>
      <c r="L4352" s="211">
        <f>IFERROR(__xludf.DUMMYFUNCTION("""COMPUTED_VALUE"""),0.0)</f>
        <v>0</v>
      </c>
      <c r="M4352" s="211"/>
      <c r="N4352" s="211"/>
      <c r="O4352" s="211" t="b">
        <f>IFERROR(__xludf.DUMMYFUNCTION("""COMPUTED_VALUE"""),FALSE)</f>
        <v>0</v>
      </c>
    </row>
    <row r="4353">
      <c r="A4353" s="210" t="str">
        <f>IFERROR(__xludf.DUMMYFUNCTION("""COMPUTED_VALUE"""),"1261491")</f>
        <v>1261491</v>
      </c>
      <c r="B4353" s="210" t="str">
        <f>IFERROR(__xludf.DUMMYFUNCTION("""COMPUTED_VALUE"""),"1261491")</f>
        <v>1261491</v>
      </c>
      <c r="C4353" s="213">
        <f>IFERROR(__xludf.DUMMYFUNCTION("""COMPUTED_VALUE"""),46116.55978009259)</f>
        <v>46116.55978</v>
      </c>
      <c r="D4353" s="211" t="str">
        <f>IFERROR(__xludf.DUMMYFUNCTION("""COMPUTED_VALUE"""),"3b04351a")</f>
        <v>3b04351a</v>
      </c>
      <c r="E4353" s="211" t="str">
        <f>IFERROR(__xludf.DUMMYFUNCTION("""COMPUTED_VALUE"""),"CV Usaha Logam Jaya")</f>
        <v>CV Usaha Logam Jaya</v>
      </c>
      <c r="F4353" s="211" t="str">
        <f>IFERROR(__xludf.DUMMYFUNCTION("""COMPUTED_VALUE"""),"8bdbe149")</f>
        <v>8bdbe149</v>
      </c>
      <c r="G4353" s="211" t="str">
        <f>IFERROR(__xludf.DUMMYFUNCTION("""COMPUTED_VALUE"""),"Oksigen 6m3")</f>
        <v>Oksigen 6m3</v>
      </c>
      <c r="H4353" s="211" t="str">
        <f>IFERROR(__xludf.DUMMYFUNCTION("""COMPUTED_VALUE"""),"IN")</f>
        <v>IN</v>
      </c>
      <c r="I4353" s="211" t="str">
        <f>IFERROR(__xludf.DUMMYFUNCTION("""COMPUTED_VALUE"""),"EMPTY")</f>
        <v>EMPTY</v>
      </c>
      <c r="J4353" s="211">
        <f>IFERROR(__xludf.DUMMYFUNCTION("""COMPUTED_VALUE"""),6.0)</f>
        <v>6</v>
      </c>
      <c r="K4353" s="210" t="str">
        <f>IFERROR(__xludf.DUMMYFUNCTION("""COMPUTED_VALUE"""),"11351 1169 11372 11348 11375 1189")</f>
        <v>11351 1169 11372 11348 11375 1189</v>
      </c>
      <c r="L4353" s="211">
        <f>IFERROR(__xludf.DUMMYFUNCTION("""COMPUTED_VALUE"""),0.0)</f>
        <v>0</v>
      </c>
      <c r="M4353" s="211"/>
      <c r="N4353" s="211"/>
      <c r="O4353" s="211" t="b">
        <f>IFERROR(__xludf.DUMMYFUNCTION("""COMPUTED_VALUE"""),FALSE)</f>
        <v>0</v>
      </c>
    </row>
    <row r="4354">
      <c r="A4354" s="210" t="str">
        <f>IFERROR(__xludf.DUMMYFUNCTION("""COMPUTED_VALUE"""),"1261491")</f>
        <v>1261491</v>
      </c>
      <c r="B4354" s="210" t="str">
        <f>IFERROR(__xludf.DUMMYFUNCTION("""COMPUTED_VALUE"""),"1261491")</f>
        <v>1261491</v>
      </c>
      <c r="C4354" s="213">
        <f>IFERROR(__xludf.DUMMYFUNCTION("""COMPUTED_VALUE"""),46116.55978009259)</f>
        <v>46116.55978</v>
      </c>
      <c r="D4354" s="211" t="str">
        <f>IFERROR(__xludf.DUMMYFUNCTION("""COMPUTED_VALUE"""),"3b04351a")</f>
        <v>3b04351a</v>
      </c>
      <c r="E4354" s="211" t="str">
        <f>IFERROR(__xludf.DUMMYFUNCTION("""COMPUTED_VALUE"""),"CV Usaha Logam Jaya")</f>
        <v>CV Usaha Logam Jaya</v>
      </c>
      <c r="F4354" s="211" t="str">
        <f>IFERROR(__xludf.DUMMYFUNCTION("""COMPUTED_VALUE"""),"8bdbe149")</f>
        <v>8bdbe149</v>
      </c>
      <c r="G4354" s="211" t="str">
        <f>IFERROR(__xludf.DUMMYFUNCTION("""COMPUTED_VALUE"""),"Oksigen 6m3")</f>
        <v>Oksigen 6m3</v>
      </c>
      <c r="H4354" s="211" t="str">
        <f>IFERROR(__xludf.DUMMYFUNCTION("""COMPUTED_VALUE"""),"IN")</f>
        <v>IN</v>
      </c>
      <c r="I4354" s="211" t="str">
        <f>IFERROR(__xludf.DUMMYFUNCTION("""COMPUTED_VALUE"""),"EMPTY")</f>
        <v>EMPTY</v>
      </c>
      <c r="J4354" s="211">
        <f>IFERROR(__xludf.DUMMYFUNCTION("""COMPUTED_VALUE"""),1.0)</f>
        <v>1</v>
      </c>
      <c r="K4354" s="210" t="str">
        <f>IFERROR(__xludf.DUMMYFUNCTION("""COMPUTED_VALUE"""),"11282")</f>
        <v>11282</v>
      </c>
      <c r="L4354" s="211">
        <f>IFERROR(__xludf.DUMMYFUNCTION("""COMPUTED_VALUE"""),0.0)</f>
        <v>0</v>
      </c>
      <c r="M4354" s="211"/>
      <c r="N4354" s="211"/>
      <c r="O4354" s="211" t="b">
        <f>IFERROR(__xludf.DUMMYFUNCTION("""COMPUTED_VALUE"""),TRUE)</f>
        <v>1</v>
      </c>
    </row>
    <row r="4355">
      <c r="A4355" s="210" t="str">
        <f>IFERROR(__xludf.DUMMYFUNCTION("""COMPUTED_VALUE"""),"0426382978")</f>
        <v>0426382978</v>
      </c>
      <c r="B4355" s="210" t="str">
        <f>IFERROR(__xludf.DUMMYFUNCTION("""COMPUTED_VALUE"""),"0426382978")</f>
        <v>0426382978</v>
      </c>
      <c r="C4355" s="213">
        <f>IFERROR(__xludf.DUMMYFUNCTION("""COMPUTED_VALUE"""),46116.58357638889)</f>
        <v>46116.58358</v>
      </c>
      <c r="D4355" s="211" t="str">
        <f>IFERROR(__xludf.DUMMYFUNCTION("""COMPUTED_VALUE"""),"63fc688a")</f>
        <v>63fc688a</v>
      </c>
      <c r="E4355" s="211" t="str">
        <f>IFERROR(__xludf.DUMMYFUNCTION("""COMPUTED_VALUE"""),"CV Malik Nusantara")</f>
        <v>CV Malik Nusantara</v>
      </c>
      <c r="F4355" s="211" t="str">
        <f>IFERROR(__xludf.DUMMYFUNCTION("""COMPUTED_VALUE"""),"8bdbe149")</f>
        <v>8bdbe149</v>
      </c>
      <c r="G4355" s="211" t="str">
        <f>IFERROR(__xludf.DUMMYFUNCTION("""COMPUTED_VALUE"""),"Oksigen 6m3")</f>
        <v>Oksigen 6m3</v>
      </c>
      <c r="H4355" s="211" t="str">
        <f>IFERROR(__xludf.DUMMYFUNCTION("""COMPUTED_VALUE"""),"OUT")</f>
        <v>OUT</v>
      </c>
      <c r="I4355" s="211" t="str">
        <f>IFERROR(__xludf.DUMMYFUNCTION("""COMPUTED_VALUE"""),"NORMAL")</f>
        <v>NORMAL</v>
      </c>
      <c r="J4355" s="211">
        <f>IFERROR(__xludf.DUMMYFUNCTION("""COMPUTED_VALUE"""),9.0)</f>
        <v>9</v>
      </c>
      <c r="K4355" s="210" t="str">
        <f>IFERROR(__xludf.DUMMYFUNCTION("""COMPUTED_VALUE"""),"11271 11287 11236 11343 11119 1173 11104 11348 11351")</f>
        <v>11271 11287 11236 11343 11119 1173 11104 11348 11351</v>
      </c>
      <c r="L4355" s="211">
        <f>IFERROR(__xludf.DUMMYFUNCTION("""COMPUTED_VALUE"""),65000.0)</f>
        <v>65000</v>
      </c>
      <c r="M4355" s="211"/>
      <c r="N4355" s="211"/>
      <c r="O4355" s="211" t="b">
        <f>IFERROR(__xludf.DUMMYFUNCTION("""COMPUTED_VALUE"""),FALSE)</f>
        <v>0</v>
      </c>
    </row>
    <row r="4356">
      <c r="A4356" s="210" t="str">
        <f>IFERROR(__xludf.DUMMYFUNCTION("""COMPUTED_VALUE"""),"0426382978")</f>
        <v>0426382978</v>
      </c>
      <c r="B4356" s="210" t="str">
        <f>IFERROR(__xludf.DUMMYFUNCTION("""COMPUTED_VALUE"""),"0426382978")</f>
        <v>0426382978</v>
      </c>
      <c r="C4356" s="213">
        <f>IFERROR(__xludf.DUMMYFUNCTION("""COMPUTED_VALUE"""),46116.58357638889)</f>
        <v>46116.58358</v>
      </c>
      <c r="D4356" s="211" t="str">
        <f>IFERROR(__xludf.DUMMYFUNCTION("""COMPUTED_VALUE"""),"63fc688a")</f>
        <v>63fc688a</v>
      </c>
      <c r="E4356" s="211" t="str">
        <f>IFERROR(__xludf.DUMMYFUNCTION("""COMPUTED_VALUE"""),"CV Malik Nusantara")</f>
        <v>CV Malik Nusantara</v>
      </c>
      <c r="F4356" s="211" t="str">
        <f>IFERROR(__xludf.DUMMYFUNCTION("""COMPUTED_VALUE"""),"8bdbe149")</f>
        <v>8bdbe149</v>
      </c>
      <c r="G4356" s="211" t="str">
        <f>IFERROR(__xludf.DUMMYFUNCTION("""COMPUTED_VALUE"""),"Oksigen 6m3")</f>
        <v>Oksigen 6m3</v>
      </c>
      <c r="H4356" s="211" t="str">
        <f>IFERROR(__xludf.DUMMYFUNCTION("""COMPUTED_VALUE"""),"OUT")</f>
        <v>OUT</v>
      </c>
      <c r="I4356" s="211" t="str">
        <f>IFERROR(__xludf.DUMMYFUNCTION("""COMPUTED_VALUE"""),"NORMAL")</f>
        <v>NORMAL</v>
      </c>
      <c r="J4356" s="211">
        <f>IFERROR(__xludf.DUMMYFUNCTION("""COMPUTED_VALUE"""),1.0)</f>
        <v>1</v>
      </c>
      <c r="K4356" s="210" t="str">
        <f>IFERROR(__xludf.DUMMYFUNCTION("""COMPUTED_VALUE"""),"11113")</f>
        <v>11113</v>
      </c>
      <c r="L4356" s="211">
        <f>IFERROR(__xludf.DUMMYFUNCTION("""COMPUTED_VALUE"""),65000.0)</f>
        <v>65000</v>
      </c>
      <c r="M4356" s="211"/>
      <c r="N4356" s="211"/>
      <c r="O4356" s="211" t="b">
        <f>IFERROR(__xludf.DUMMYFUNCTION("""COMPUTED_VALUE"""),TRUE)</f>
        <v>1</v>
      </c>
    </row>
    <row r="4357">
      <c r="A4357" s="210" t="str">
        <f>IFERROR(__xludf.DUMMYFUNCTION("""COMPUTED_VALUE"""),"0426192983")</f>
        <v>0426192983</v>
      </c>
      <c r="B4357" s="210" t="str">
        <f>IFERROR(__xludf.DUMMYFUNCTION("""COMPUTED_VALUE"""),"0426192983")</f>
        <v>0426192983</v>
      </c>
      <c r="C4357" s="213">
        <f>IFERROR(__xludf.DUMMYFUNCTION("""COMPUTED_VALUE"""),46116.60350694445)</f>
        <v>46116.60351</v>
      </c>
      <c r="D4357" s="211" t="str">
        <f>IFERROR(__xludf.DUMMYFUNCTION("""COMPUTED_VALUE"""),"734c6d17")</f>
        <v>734c6d17</v>
      </c>
      <c r="E4357" s="211" t="str">
        <f>IFERROR(__xludf.DUMMYFUNCTION("""COMPUTED_VALUE"""),"Bapak Ainol Yaqin ( Bpk. Ibnu )")</f>
        <v>Bapak Ainol Yaqin ( Bpk. Ibnu )</v>
      </c>
      <c r="F4357" s="211" t="str">
        <f>IFERROR(__xludf.DUMMYFUNCTION("""COMPUTED_VALUE"""),"8bdbe149")</f>
        <v>8bdbe149</v>
      </c>
      <c r="G4357" s="211" t="str">
        <f>IFERROR(__xludf.DUMMYFUNCTION("""COMPUTED_VALUE"""),"Oksigen 6m3")</f>
        <v>Oksigen 6m3</v>
      </c>
      <c r="H4357" s="211" t="str">
        <f>IFERROR(__xludf.DUMMYFUNCTION("""COMPUTED_VALUE"""),"OUT")</f>
        <v>OUT</v>
      </c>
      <c r="I4357" s="211" t="str">
        <f>IFERROR(__xludf.DUMMYFUNCTION("""COMPUTED_VALUE"""),"NORMAL")</f>
        <v>NORMAL</v>
      </c>
      <c r="J4357" s="211">
        <f>IFERROR(__xludf.DUMMYFUNCTION("""COMPUTED_VALUE"""),2.0)</f>
        <v>2</v>
      </c>
      <c r="K4357" s="210" t="str">
        <f>IFERROR(__xludf.DUMMYFUNCTION("""COMPUTED_VALUE"""),"11367 11366")</f>
        <v>11367 11366</v>
      </c>
      <c r="L4357" s="211">
        <f>IFERROR(__xludf.DUMMYFUNCTION("""COMPUTED_VALUE"""),65000.0)</f>
        <v>65000</v>
      </c>
      <c r="M4357" s="211"/>
      <c r="N4357" s="211"/>
      <c r="O4357" s="211" t="b">
        <f>IFERROR(__xludf.DUMMYFUNCTION("""COMPUTED_VALUE"""),FALSE)</f>
        <v>0</v>
      </c>
    </row>
    <row r="4358">
      <c r="A4358" s="210" t="str">
        <f>IFERROR(__xludf.DUMMYFUNCTION("""COMPUTED_VALUE"""),"1261470")</f>
        <v>1261470</v>
      </c>
      <c r="B4358" s="210" t="str">
        <f>IFERROR(__xludf.DUMMYFUNCTION("""COMPUTED_VALUE"""),"1261470")</f>
        <v>1261470</v>
      </c>
      <c r="C4358" s="213">
        <f>IFERROR(__xludf.DUMMYFUNCTION("""COMPUTED_VALUE"""),46116.61188657407)</f>
        <v>46116.61189</v>
      </c>
      <c r="D4358" s="211" t="str">
        <f>IFERROR(__xludf.DUMMYFUNCTION("""COMPUTED_VALUE"""),"b2b5f2c5")</f>
        <v>b2b5f2c5</v>
      </c>
      <c r="E4358" s="211" t="str">
        <f>IFERROR(__xludf.DUMMYFUNCTION("""COMPUTED_VALUE"""),"Bengkel Las Bpk. Ari")</f>
        <v>Bengkel Las Bpk. Ari</v>
      </c>
      <c r="F4358" s="211" t="str">
        <f>IFERROR(__xludf.DUMMYFUNCTION("""COMPUTED_VALUE"""),"8bdbe149")</f>
        <v>8bdbe149</v>
      </c>
      <c r="G4358" s="211" t="str">
        <f>IFERROR(__xludf.DUMMYFUNCTION("""COMPUTED_VALUE"""),"Oksigen 6m3")</f>
        <v>Oksigen 6m3</v>
      </c>
      <c r="H4358" s="211" t="str">
        <f>IFERROR(__xludf.DUMMYFUNCTION("""COMPUTED_VALUE"""),"IN")</f>
        <v>IN</v>
      </c>
      <c r="I4358" s="211" t="str">
        <f>IFERROR(__xludf.DUMMYFUNCTION("""COMPUTED_VALUE"""),"EMPTY")</f>
        <v>EMPTY</v>
      </c>
      <c r="J4358" s="211">
        <f>IFERROR(__xludf.DUMMYFUNCTION("""COMPUTED_VALUE"""),2.0)</f>
        <v>2</v>
      </c>
      <c r="K4358" s="210" t="str">
        <f>IFERROR(__xludf.DUMMYFUNCTION("""COMPUTED_VALUE"""),"11341 11382")</f>
        <v>11341 11382</v>
      </c>
      <c r="L4358" s="211">
        <f>IFERROR(__xludf.DUMMYFUNCTION("""COMPUTED_VALUE"""),0.0)</f>
        <v>0</v>
      </c>
      <c r="M4358" s="211"/>
      <c r="N4358" s="211"/>
      <c r="O4358" s="211" t="b">
        <f>IFERROR(__xludf.DUMMYFUNCTION("""COMPUTED_VALUE"""),FALSE)</f>
        <v>0</v>
      </c>
    </row>
    <row r="4359">
      <c r="A4359" s="210" t="str">
        <f>IFERROR(__xludf.DUMMYFUNCTION("""COMPUTED_VALUE"""),"1261470")</f>
        <v>1261470</v>
      </c>
      <c r="B4359" s="210" t="str">
        <f>IFERROR(__xludf.DUMMYFUNCTION("""COMPUTED_VALUE"""),"1261470")</f>
        <v>1261470</v>
      </c>
      <c r="C4359" s="213">
        <f>IFERROR(__xludf.DUMMYFUNCTION("""COMPUTED_VALUE"""),46116.61188657407)</f>
        <v>46116.61189</v>
      </c>
      <c r="D4359" s="211" t="str">
        <f>IFERROR(__xludf.DUMMYFUNCTION("""COMPUTED_VALUE"""),"b2b5f2c5")</f>
        <v>b2b5f2c5</v>
      </c>
      <c r="E4359" s="211" t="str">
        <f>IFERROR(__xludf.DUMMYFUNCTION("""COMPUTED_VALUE"""),"Bengkel Las Bpk. Ari")</f>
        <v>Bengkel Las Bpk. Ari</v>
      </c>
      <c r="F4359" s="211" t="str">
        <f>IFERROR(__xludf.DUMMYFUNCTION("""COMPUTED_VALUE"""),"ef306e54")</f>
        <v>ef306e54</v>
      </c>
      <c r="G4359" s="211" t="str">
        <f>IFERROR(__xludf.DUMMYFUNCTION("""COMPUTED_VALUE"""),"Karbondioksida")</f>
        <v>Karbondioksida</v>
      </c>
      <c r="H4359" s="211" t="str">
        <f>IFERROR(__xludf.DUMMYFUNCTION("""COMPUTED_VALUE"""),"IN")</f>
        <v>IN</v>
      </c>
      <c r="I4359" s="211" t="str">
        <f>IFERROR(__xludf.DUMMYFUNCTION("""COMPUTED_VALUE"""),"EMPTY")</f>
        <v>EMPTY</v>
      </c>
      <c r="J4359" s="211">
        <f>IFERROR(__xludf.DUMMYFUNCTION("""COMPUTED_VALUE"""),1.0)</f>
        <v>1</v>
      </c>
      <c r="K4359" s="210" t="str">
        <f>IFERROR(__xludf.DUMMYFUNCTION("""COMPUTED_VALUE"""),"13004")</f>
        <v>13004</v>
      </c>
      <c r="L4359" s="211">
        <f>IFERROR(__xludf.DUMMYFUNCTION("""COMPUTED_VALUE"""),0.0)</f>
        <v>0</v>
      </c>
      <c r="M4359" s="211"/>
      <c r="N4359" s="211"/>
      <c r="O4359" s="211" t="b">
        <f>IFERROR(__xludf.DUMMYFUNCTION("""COMPUTED_VALUE"""),TRUE)</f>
        <v>1</v>
      </c>
    </row>
    <row r="4360">
      <c r="A4360" s="210" t="str">
        <f>IFERROR(__xludf.DUMMYFUNCTION("""COMPUTED_VALUE"""),"1261469")</f>
        <v>1261469</v>
      </c>
      <c r="B4360" s="210" t="str">
        <f>IFERROR(__xludf.DUMMYFUNCTION("""COMPUTED_VALUE"""),"1261469")</f>
        <v>1261469</v>
      </c>
      <c r="C4360" s="213">
        <f>IFERROR(__xludf.DUMMYFUNCTION("""COMPUTED_VALUE"""),46116.61284722222)</f>
        <v>46116.61285</v>
      </c>
      <c r="D4360" s="211" t="str">
        <f>IFERROR(__xludf.DUMMYFUNCTION("""COMPUTED_VALUE"""),"2d88931c")</f>
        <v>2d88931c</v>
      </c>
      <c r="E4360" s="211" t="str">
        <f>IFERROR(__xludf.DUMMYFUNCTION("""COMPUTED_VALUE"""),"PT Dunia Berkat Marga Mulya")</f>
        <v>PT Dunia Berkat Marga Mulya</v>
      </c>
      <c r="F4360" s="211" t="str">
        <f>IFERROR(__xludf.DUMMYFUNCTION("""COMPUTED_VALUE"""),"8bdbe149")</f>
        <v>8bdbe149</v>
      </c>
      <c r="G4360" s="211" t="str">
        <f>IFERROR(__xludf.DUMMYFUNCTION("""COMPUTED_VALUE"""),"Oksigen 6m3")</f>
        <v>Oksigen 6m3</v>
      </c>
      <c r="H4360" s="211" t="str">
        <f>IFERROR(__xludf.DUMMYFUNCTION("""COMPUTED_VALUE"""),"IN")</f>
        <v>IN</v>
      </c>
      <c r="I4360" s="211" t="str">
        <f>IFERROR(__xludf.DUMMYFUNCTION("""COMPUTED_VALUE"""),"EMPTY")</f>
        <v>EMPTY</v>
      </c>
      <c r="J4360" s="211">
        <f>IFERROR(__xludf.DUMMYFUNCTION("""COMPUTED_VALUE"""),1.0)</f>
        <v>1</v>
      </c>
      <c r="K4360" s="210" t="str">
        <f>IFERROR(__xludf.DUMMYFUNCTION("""COMPUTED_VALUE"""),"11198")</f>
        <v>11198</v>
      </c>
      <c r="L4360" s="211">
        <f>IFERROR(__xludf.DUMMYFUNCTION("""COMPUTED_VALUE"""),0.0)</f>
        <v>0</v>
      </c>
      <c r="M4360" s="211"/>
      <c r="N4360" s="211"/>
      <c r="O4360" s="211" t="b">
        <f>IFERROR(__xludf.DUMMYFUNCTION("""COMPUTED_VALUE"""),FALSE)</f>
        <v>0</v>
      </c>
    </row>
    <row r="4361">
      <c r="A4361" s="210" t="str">
        <f>IFERROR(__xludf.DUMMYFUNCTION("""COMPUTED_VALUE"""),"1261468")</f>
        <v>1261468</v>
      </c>
      <c r="B4361" s="210" t="str">
        <f>IFERROR(__xludf.DUMMYFUNCTION("""COMPUTED_VALUE"""),"1261468")</f>
        <v>1261468</v>
      </c>
      <c r="C4361" s="213">
        <f>IFERROR(__xludf.DUMMYFUNCTION("""COMPUTED_VALUE"""),46116.613078703704)</f>
        <v>46116.61308</v>
      </c>
      <c r="D4361" s="211" t="str">
        <f>IFERROR(__xludf.DUMMYFUNCTION("""COMPUTED_VALUE"""),"89d46c39")</f>
        <v>89d46c39</v>
      </c>
      <c r="E4361" s="211" t="str">
        <f>IFERROR(__xludf.DUMMYFUNCTION("""COMPUTED_VALUE"""),"PT Cakar Baja Persada")</f>
        <v>PT Cakar Baja Persada</v>
      </c>
      <c r="F4361" s="211" t="str">
        <f>IFERROR(__xludf.DUMMYFUNCTION("""COMPUTED_VALUE"""),"7d2764f1")</f>
        <v>7d2764f1</v>
      </c>
      <c r="G4361" s="211" t="str">
        <f>IFERROR(__xludf.DUMMYFUNCTION("""COMPUTED_VALUE"""),"Oksigen 7m3")</f>
        <v>Oksigen 7m3</v>
      </c>
      <c r="H4361" s="211" t="str">
        <f>IFERROR(__xludf.DUMMYFUNCTION("""COMPUTED_VALUE"""),"IN")</f>
        <v>IN</v>
      </c>
      <c r="I4361" s="211" t="str">
        <f>IFERROR(__xludf.DUMMYFUNCTION("""COMPUTED_VALUE"""),"EMPTY")</f>
        <v>EMPTY</v>
      </c>
      <c r="J4361" s="211">
        <f>IFERROR(__xludf.DUMMYFUNCTION("""COMPUTED_VALUE"""),1.0)</f>
        <v>1</v>
      </c>
      <c r="K4361" s="210" t="str">
        <f>IFERROR(__xludf.DUMMYFUNCTION("""COMPUTED_VALUE"""),"11338")</f>
        <v>11338</v>
      </c>
      <c r="L4361" s="211">
        <f>IFERROR(__xludf.DUMMYFUNCTION("""COMPUTED_VALUE"""),0.0)</f>
        <v>0</v>
      </c>
      <c r="M4361" s="211"/>
      <c r="N4361" s="211"/>
      <c r="O4361" s="211" t="b">
        <f>IFERROR(__xludf.DUMMYFUNCTION("""COMPUTED_VALUE"""),FALSE)</f>
        <v>0</v>
      </c>
    </row>
    <row r="4362">
      <c r="A4362" s="210" t="str">
        <f>IFERROR(__xludf.DUMMYFUNCTION("""COMPUTED_VALUE"""),"1261468")</f>
        <v>1261468</v>
      </c>
      <c r="B4362" s="210" t="str">
        <f>IFERROR(__xludf.DUMMYFUNCTION("""COMPUTED_VALUE"""),"1261468")</f>
        <v>1261468</v>
      </c>
      <c r="C4362" s="213">
        <f>IFERROR(__xludf.DUMMYFUNCTION("""COMPUTED_VALUE"""),46116.613078703704)</f>
        <v>46116.61308</v>
      </c>
      <c r="D4362" s="211" t="str">
        <f>IFERROR(__xludf.DUMMYFUNCTION("""COMPUTED_VALUE"""),"89d46c39")</f>
        <v>89d46c39</v>
      </c>
      <c r="E4362" s="211" t="str">
        <f>IFERROR(__xludf.DUMMYFUNCTION("""COMPUTED_VALUE"""),"PT Cakar Baja Persada")</f>
        <v>PT Cakar Baja Persada</v>
      </c>
      <c r="F4362" s="211" t="str">
        <f>IFERROR(__xludf.DUMMYFUNCTION("""COMPUTED_VALUE"""),"f6aab7a9")</f>
        <v>f6aab7a9</v>
      </c>
      <c r="G4362" s="211" t="str">
        <f>IFERROR(__xludf.DUMMYFUNCTION("""COMPUTED_VALUE"""),"Oksigen 6m3 MR")</f>
        <v>Oksigen 6m3 MR</v>
      </c>
      <c r="H4362" s="211" t="str">
        <f>IFERROR(__xludf.DUMMYFUNCTION("""COMPUTED_VALUE"""),"IN")</f>
        <v>IN</v>
      </c>
      <c r="I4362" s="211" t="str">
        <f>IFERROR(__xludf.DUMMYFUNCTION("""COMPUTED_VALUE"""),"EMPTY")</f>
        <v>EMPTY</v>
      </c>
      <c r="J4362" s="211">
        <f>IFERROR(__xludf.DUMMYFUNCTION("""COMPUTED_VALUE"""),1.0)</f>
        <v>1</v>
      </c>
      <c r="K4362" s="211"/>
      <c r="L4362" s="211">
        <f>IFERROR(__xludf.DUMMYFUNCTION("""COMPUTED_VALUE"""),0.0)</f>
        <v>0</v>
      </c>
      <c r="M4362" s="211"/>
      <c r="N4362" s="211"/>
      <c r="O4362" s="211" t="b">
        <f>IFERROR(__xludf.DUMMYFUNCTION("""COMPUTED_VALUE"""),FALSE)</f>
        <v>0</v>
      </c>
    </row>
    <row r="4363">
      <c r="A4363" s="210" t="str">
        <f>IFERROR(__xludf.DUMMYFUNCTION("""COMPUTED_VALUE"""),"042672984")</f>
        <v>042672984</v>
      </c>
      <c r="B4363" s="210" t="str">
        <f>IFERROR(__xludf.DUMMYFUNCTION("""COMPUTED_VALUE"""),"042672984")</f>
        <v>042672984</v>
      </c>
      <c r="C4363" s="213">
        <f>IFERROR(__xludf.DUMMYFUNCTION("""COMPUTED_VALUE"""),46116.61503472222)</f>
        <v>46116.61503</v>
      </c>
      <c r="D4363" s="211" t="str">
        <f>IFERROR(__xludf.DUMMYFUNCTION("""COMPUTED_VALUE"""),"a1508027")</f>
        <v>a1508027</v>
      </c>
      <c r="E4363" s="211" t="str">
        <f>IFERROR(__xludf.DUMMYFUNCTION("""COMPUTED_VALUE"""),"Agus Budiono")</f>
        <v>Agus Budiono</v>
      </c>
      <c r="F4363" s="211" t="str">
        <f>IFERROR(__xludf.DUMMYFUNCTION("""COMPUTED_VALUE"""),"e8544a46")</f>
        <v>e8544a46</v>
      </c>
      <c r="G4363" s="211" t="str">
        <f>IFERROR(__xludf.DUMMYFUNCTION("""COMPUTED_VALUE"""),"Oksigen 1m3")</f>
        <v>Oksigen 1m3</v>
      </c>
      <c r="H4363" s="211" t="str">
        <f>IFERROR(__xludf.DUMMYFUNCTION("""COMPUTED_VALUE"""),"OUT")</f>
        <v>OUT</v>
      </c>
      <c r="I4363" s="211" t="str">
        <f>IFERROR(__xludf.DUMMYFUNCTION("""COMPUTED_VALUE"""),"NORMAL")</f>
        <v>NORMAL</v>
      </c>
      <c r="J4363" s="211">
        <f>IFERROR(__xludf.DUMMYFUNCTION("""COMPUTED_VALUE"""),1.0)</f>
        <v>1</v>
      </c>
      <c r="K4363" s="210" t="str">
        <f>IFERROR(__xludf.DUMMYFUNCTION("""COMPUTED_VALUE"""),"0004")</f>
        <v>0004</v>
      </c>
      <c r="L4363" s="211">
        <f>IFERROR(__xludf.DUMMYFUNCTION("""COMPUTED_VALUE"""),60000.0)</f>
        <v>60000</v>
      </c>
      <c r="M4363" s="211"/>
      <c r="N4363" s="211"/>
      <c r="O4363" s="211" t="b">
        <f>IFERROR(__xludf.DUMMYFUNCTION("""COMPUTED_VALUE"""),FALSE)</f>
        <v>0</v>
      </c>
    </row>
    <row r="4364">
      <c r="A4364" s="210" t="str">
        <f>IFERROR(__xludf.DUMMYFUNCTION("""COMPUTED_VALUE"""),"0426202988")</f>
        <v>0426202988</v>
      </c>
      <c r="B4364" s="210" t="str">
        <f>IFERROR(__xludf.DUMMYFUNCTION("""COMPUTED_VALUE"""),"0426202988")</f>
        <v>0426202988</v>
      </c>
      <c r="C4364" s="213">
        <f>IFERROR(__xludf.DUMMYFUNCTION("""COMPUTED_VALUE"""),46118.352951388886)</f>
        <v>46118.35295</v>
      </c>
      <c r="D4364" s="211" t="str">
        <f>IFERROR(__xludf.DUMMYFUNCTION("""COMPUTED_VALUE"""),"734c6d17")</f>
        <v>734c6d17</v>
      </c>
      <c r="E4364" s="211" t="str">
        <f>IFERROR(__xludf.DUMMYFUNCTION("""COMPUTED_VALUE"""),"Bapak Ainol Yaqin ( Bpk. Ibnu )")</f>
        <v>Bapak Ainol Yaqin ( Bpk. Ibnu )</v>
      </c>
      <c r="F4364" s="211" t="str">
        <f>IFERROR(__xludf.DUMMYFUNCTION("""COMPUTED_VALUE"""),"8bdbe149")</f>
        <v>8bdbe149</v>
      </c>
      <c r="G4364" s="211" t="str">
        <f>IFERROR(__xludf.DUMMYFUNCTION("""COMPUTED_VALUE"""),"Oksigen 6m3")</f>
        <v>Oksigen 6m3</v>
      </c>
      <c r="H4364" s="211" t="str">
        <f>IFERROR(__xludf.DUMMYFUNCTION("""COMPUTED_VALUE"""),"OUT")</f>
        <v>OUT</v>
      </c>
      <c r="I4364" s="211" t="str">
        <f>IFERROR(__xludf.DUMMYFUNCTION("""COMPUTED_VALUE"""),"NORMAL")</f>
        <v>NORMAL</v>
      </c>
      <c r="J4364" s="211">
        <f>IFERROR(__xludf.DUMMYFUNCTION("""COMPUTED_VALUE"""),1.0)</f>
        <v>1</v>
      </c>
      <c r="K4364" s="210" t="str">
        <f>IFERROR(__xludf.DUMMYFUNCTION("""COMPUTED_VALUE"""),"11256")</f>
        <v>11256</v>
      </c>
      <c r="L4364" s="211">
        <f>IFERROR(__xludf.DUMMYFUNCTION("""COMPUTED_VALUE"""),60000.0)</f>
        <v>60000</v>
      </c>
      <c r="M4364" s="211"/>
      <c r="N4364" s="211"/>
      <c r="O4364" s="211" t="b">
        <f>IFERROR(__xludf.DUMMYFUNCTION("""COMPUTED_VALUE"""),FALSE)</f>
        <v>0</v>
      </c>
    </row>
    <row r="4365">
      <c r="A4365" s="210" t="str">
        <f>IFERROR(__xludf.DUMMYFUNCTION("""COMPUTED_VALUE"""),"0426172989")</f>
        <v>0426172989</v>
      </c>
      <c r="B4365" s="210" t="str">
        <f>IFERROR(__xludf.DUMMYFUNCTION("""COMPUTED_VALUE"""),"0426172989")</f>
        <v>0426172989</v>
      </c>
      <c r="C4365" s="213">
        <f>IFERROR(__xludf.DUMMYFUNCTION("""COMPUTED_VALUE"""),46118.35349537037)</f>
        <v>46118.3535</v>
      </c>
      <c r="D4365" s="211" t="str">
        <f>IFERROR(__xludf.DUMMYFUNCTION("""COMPUTED_VALUE"""),"ba97d58d")</f>
        <v>ba97d58d</v>
      </c>
      <c r="E4365" s="211" t="str">
        <f>IFERROR(__xludf.DUMMYFUNCTION("""COMPUTED_VALUE"""),"Bengkel Citra Mojosari")</f>
        <v>Bengkel Citra Mojosari</v>
      </c>
      <c r="F4365" s="211" t="str">
        <f>IFERROR(__xludf.DUMMYFUNCTION("""COMPUTED_VALUE"""),"8bdbe149")</f>
        <v>8bdbe149</v>
      </c>
      <c r="G4365" s="211" t="str">
        <f>IFERROR(__xludf.DUMMYFUNCTION("""COMPUTED_VALUE"""),"Oksigen 6m3")</f>
        <v>Oksigen 6m3</v>
      </c>
      <c r="H4365" s="211" t="str">
        <f>IFERROR(__xludf.DUMMYFUNCTION("""COMPUTED_VALUE"""),"OUT")</f>
        <v>OUT</v>
      </c>
      <c r="I4365" s="211" t="str">
        <f>IFERROR(__xludf.DUMMYFUNCTION("""COMPUTED_VALUE"""),"NORMAL")</f>
        <v>NORMAL</v>
      </c>
      <c r="J4365" s="211">
        <f>IFERROR(__xludf.DUMMYFUNCTION("""COMPUTED_VALUE"""),5.0)</f>
        <v>5</v>
      </c>
      <c r="K4365" s="210" t="str">
        <f>IFERROR(__xludf.DUMMYFUNCTION("""COMPUTED_VALUE"""),"11264 11200 11262 11282 1169")</f>
        <v>11264 11200 11262 11282 1169</v>
      </c>
      <c r="L4365" s="211">
        <f>IFERROR(__xludf.DUMMYFUNCTION("""COMPUTED_VALUE"""),65000.0)</f>
        <v>65000</v>
      </c>
      <c r="M4365" s="211"/>
      <c r="N4365" s="211"/>
      <c r="O4365" s="211" t="b">
        <f>IFERROR(__xludf.DUMMYFUNCTION("""COMPUTED_VALUE"""),FALSE)</f>
        <v>0</v>
      </c>
    </row>
    <row r="4366">
      <c r="A4366" s="210" t="str">
        <f>IFERROR(__xludf.DUMMYFUNCTION("""COMPUTED_VALUE"""),"042612990")</f>
        <v>042612990</v>
      </c>
      <c r="B4366" s="210" t="str">
        <f>IFERROR(__xludf.DUMMYFUNCTION("""COMPUTED_VALUE"""),"042612990")</f>
        <v>042612990</v>
      </c>
      <c r="C4366" s="213">
        <f>IFERROR(__xludf.DUMMYFUNCTION("""COMPUTED_VALUE"""),46118.36659722222)</f>
        <v>46118.3666</v>
      </c>
      <c r="D4366" s="211" t="str">
        <f>IFERROR(__xludf.DUMMYFUNCTION("""COMPUTED_VALUE"""),"514e8cd0")</f>
        <v>514e8cd0</v>
      </c>
      <c r="E4366" s="211" t="str">
        <f>IFERROR(__xludf.DUMMYFUNCTION("""COMPUTED_VALUE"""),"Bpk. Nawawi (Balongbendo)")</f>
        <v>Bpk. Nawawi (Balongbendo)</v>
      </c>
      <c r="F4366" s="211" t="str">
        <f>IFERROR(__xludf.DUMMYFUNCTION("""COMPUTED_VALUE"""),"8bdbe149")</f>
        <v>8bdbe149</v>
      </c>
      <c r="G4366" s="211" t="str">
        <f>IFERROR(__xludf.DUMMYFUNCTION("""COMPUTED_VALUE"""),"Oksigen 6m3")</f>
        <v>Oksigen 6m3</v>
      </c>
      <c r="H4366" s="211" t="str">
        <f>IFERROR(__xludf.DUMMYFUNCTION("""COMPUTED_VALUE"""),"OUT")</f>
        <v>OUT</v>
      </c>
      <c r="I4366" s="211" t="str">
        <f>IFERROR(__xludf.DUMMYFUNCTION("""COMPUTED_VALUE"""),"NORMAL")</f>
        <v>NORMAL</v>
      </c>
      <c r="J4366" s="211">
        <f>IFERROR(__xludf.DUMMYFUNCTION("""COMPUTED_VALUE"""),2.0)</f>
        <v>2</v>
      </c>
      <c r="K4366" s="210" t="str">
        <f>IFERROR(__xludf.DUMMYFUNCTION("""COMPUTED_VALUE"""),"11375 11372")</f>
        <v>11375 11372</v>
      </c>
      <c r="L4366" s="211">
        <f>IFERROR(__xludf.DUMMYFUNCTION("""COMPUTED_VALUE"""),65000.0)</f>
        <v>65000</v>
      </c>
      <c r="M4366" s="211"/>
      <c r="N4366" s="211"/>
      <c r="O4366" s="211" t="b">
        <f>IFERROR(__xludf.DUMMYFUNCTION("""COMPUTED_VALUE"""),FALSE)</f>
        <v>0</v>
      </c>
    </row>
    <row r="4367">
      <c r="A4367" s="210" t="str">
        <f>IFERROR(__xludf.DUMMYFUNCTION("""COMPUTED_VALUE"""),"0426282991")</f>
        <v>0426282991</v>
      </c>
      <c r="B4367" s="210" t="str">
        <f>IFERROR(__xludf.DUMMYFUNCTION("""COMPUTED_VALUE"""),"0426282991")</f>
        <v>0426282991</v>
      </c>
      <c r="C4367" s="213">
        <f>IFERROR(__xludf.DUMMYFUNCTION("""COMPUTED_VALUE"""),46118.37795138889)</f>
        <v>46118.37795</v>
      </c>
      <c r="D4367" s="211" t="str">
        <f>IFERROR(__xludf.DUMMYFUNCTION("""COMPUTED_VALUE"""),"7b9d8eba")</f>
        <v>7b9d8eba</v>
      </c>
      <c r="E4367" s="211" t="str">
        <f>IFERROR(__xludf.DUMMYFUNCTION("""COMPUTED_VALUE"""),"PT PELANGI INDOKARYA")</f>
        <v>PT PELANGI INDOKARYA</v>
      </c>
      <c r="F4367" s="211" t="str">
        <f>IFERROR(__xludf.DUMMYFUNCTION("""COMPUTED_VALUE"""),"7d2764f1")</f>
        <v>7d2764f1</v>
      </c>
      <c r="G4367" s="211" t="str">
        <f>IFERROR(__xludf.DUMMYFUNCTION("""COMPUTED_VALUE"""),"Oksigen 7m3")</f>
        <v>Oksigen 7m3</v>
      </c>
      <c r="H4367" s="211" t="str">
        <f>IFERROR(__xludf.DUMMYFUNCTION("""COMPUTED_VALUE"""),"OUT")</f>
        <v>OUT</v>
      </c>
      <c r="I4367" s="211" t="str">
        <f>IFERROR(__xludf.DUMMYFUNCTION("""COMPUTED_VALUE"""),"NORMAL")</f>
        <v>NORMAL</v>
      </c>
      <c r="J4367" s="211">
        <f>IFERROR(__xludf.DUMMYFUNCTION("""COMPUTED_VALUE"""),2.0)</f>
        <v>2</v>
      </c>
      <c r="K4367" s="210" t="str">
        <f>IFERROR(__xludf.DUMMYFUNCTION("""COMPUTED_VALUE"""),"11299 11291")</f>
        <v>11299 11291</v>
      </c>
      <c r="L4367" s="211">
        <f>IFERROR(__xludf.DUMMYFUNCTION("""COMPUTED_VALUE"""),60000.0)</f>
        <v>60000</v>
      </c>
      <c r="M4367" s="211"/>
      <c r="N4367" s="211"/>
      <c r="O4367" s="211" t="b">
        <f>IFERROR(__xludf.DUMMYFUNCTION("""COMPUTED_VALUE"""),FALSE)</f>
        <v>0</v>
      </c>
    </row>
    <row r="4368">
      <c r="A4368" s="210" t="str">
        <f>IFERROR(__xludf.DUMMYFUNCTION("""COMPUTED_VALUE"""),"0426282991")</f>
        <v>0426282991</v>
      </c>
      <c r="B4368" s="210" t="str">
        <f>IFERROR(__xludf.DUMMYFUNCTION("""COMPUTED_VALUE"""),"0426282991")</f>
        <v>0426282991</v>
      </c>
      <c r="C4368" s="213">
        <f>IFERROR(__xludf.DUMMYFUNCTION("""COMPUTED_VALUE"""),46118.37795138889)</f>
        <v>46118.37795</v>
      </c>
      <c r="D4368" s="211" t="str">
        <f>IFERROR(__xludf.DUMMYFUNCTION("""COMPUTED_VALUE"""),"7b9d8eba")</f>
        <v>7b9d8eba</v>
      </c>
      <c r="E4368" s="211" t="str">
        <f>IFERROR(__xludf.DUMMYFUNCTION("""COMPUTED_VALUE"""),"PT PELANGI INDOKARYA")</f>
        <v>PT PELANGI INDOKARYA</v>
      </c>
      <c r="F4368" s="211" t="str">
        <f>IFERROR(__xludf.DUMMYFUNCTION("""COMPUTED_VALUE"""),"ef306e54")</f>
        <v>ef306e54</v>
      </c>
      <c r="G4368" s="211" t="str">
        <f>IFERROR(__xludf.DUMMYFUNCTION("""COMPUTED_VALUE"""),"Karbondioksida")</f>
        <v>Karbondioksida</v>
      </c>
      <c r="H4368" s="211" t="str">
        <f>IFERROR(__xludf.DUMMYFUNCTION("""COMPUTED_VALUE"""),"OUT")</f>
        <v>OUT</v>
      </c>
      <c r="I4368" s="211" t="str">
        <f>IFERROR(__xludf.DUMMYFUNCTION("""COMPUTED_VALUE"""),"NORMAL")</f>
        <v>NORMAL</v>
      </c>
      <c r="J4368" s="211">
        <f>IFERROR(__xludf.DUMMYFUNCTION("""COMPUTED_VALUE"""),2.0)</f>
        <v>2</v>
      </c>
      <c r="K4368" s="210" t="str">
        <f>IFERROR(__xludf.DUMMYFUNCTION("""COMPUTED_VALUE"""),"13027 13012")</f>
        <v>13027 13012</v>
      </c>
      <c r="L4368" s="211">
        <f>IFERROR(__xludf.DUMMYFUNCTION("""COMPUTED_VALUE"""),190000.0)</f>
        <v>190000</v>
      </c>
      <c r="M4368" s="211"/>
      <c r="N4368" s="211"/>
      <c r="O4368" s="211" t="b">
        <f>IFERROR(__xludf.DUMMYFUNCTION("""COMPUTED_VALUE"""),FALSE)</f>
        <v>0</v>
      </c>
    </row>
    <row r="4369">
      <c r="A4369" s="210" t="str">
        <f>IFERROR(__xludf.DUMMYFUNCTION("""COMPUTED_VALUE"""),"042682988")</f>
        <v>042682988</v>
      </c>
      <c r="B4369" s="210" t="str">
        <f>IFERROR(__xludf.DUMMYFUNCTION("""COMPUTED_VALUE"""),"042682988")</f>
        <v>042682988</v>
      </c>
      <c r="C4369" s="213">
        <f>IFERROR(__xludf.DUMMYFUNCTION("""COMPUTED_VALUE"""),46118.56576388889)</f>
        <v>46118.56576</v>
      </c>
      <c r="D4369" s="211" t="str">
        <f>IFERROR(__xludf.DUMMYFUNCTION("""COMPUTED_VALUE"""),"ed4307f6")</f>
        <v>ed4307f6</v>
      </c>
      <c r="E4369" s="211" t="str">
        <f>IFERROR(__xludf.DUMMYFUNCTION("""COMPUTED_VALUE"""),"Bpk. Andi (Jetis)")</f>
        <v>Bpk. Andi (Jetis)</v>
      </c>
      <c r="F4369" s="211" t="str">
        <f>IFERROR(__xludf.DUMMYFUNCTION("""COMPUTED_VALUE"""),"f6aab7a9")</f>
        <v>f6aab7a9</v>
      </c>
      <c r="G4369" s="211" t="str">
        <f>IFERROR(__xludf.DUMMYFUNCTION("""COMPUTED_VALUE"""),"Oksigen 6m3 MR")</f>
        <v>Oksigen 6m3 MR</v>
      </c>
      <c r="H4369" s="211" t="str">
        <f>IFERROR(__xludf.DUMMYFUNCTION("""COMPUTED_VALUE"""),"OUT")</f>
        <v>OUT</v>
      </c>
      <c r="I4369" s="211" t="str">
        <f>IFERROR(__xludf.DUMMYFUNCTION("""COMPUTED_VALUE"""),"NORMAL")</f>
        <v>NORMAL</v>
      </c>
      <c r="J4369" s="211">
        <f>IFERROR(__xludf.DUMMYFUNCTION("""COMPUTED_VALUE"""),35.0)</f>
        <v>35</v>
      </c>
      <c r="K4369" s="211"/>
      <c r="L4369" s="211">
        <f>IFERROR(__xludf.DUMMYFUNCTION("""COMPUTED_VALUE"""),50000.0)</f>
        <v>50000</v>
      </c>
      <c r="M4369" s="211"/>
      <c r="N4369" s="211"/>
      <c r="O4369" s="211" t="b">
        <f>IFERROR(__xludf.DUMMYFUNCTION("""COMPUTED_VALUE"""),FALSE)</f>
        <v>0</v>
      </c>
    </row>
    <row r="4370">
      <c r="A4370" s="210" t="str">
        <f>IFERROR(__xludf.DUMMYFUNCTION("""COMPUTED_VALUE"""),"1261483")</f>
        <v>1261483</v>
      </c>
      <c r="B4370" s="210" t="str">
        <f>IFERROR(__xludf.DUMMYFUNCTION("""COMPUTED_VALUE"""),"1261483")</f>
        <v>1261483</v>
      </c>
      <c r="C4370" s="213">
        <f>IFERROR(__xludf.DUMMYFUNCTION("""COMPUTED_VALUE"""),46119.35533564815)</f>
        <v>46119.35534</v>
      </c>
      <c r="D4370" s="211" t="str">
        <f>IFERROR(__xludf.DUMMYFUNCTION("""COMPUTED_VALUE"""),"9b941888")</f>
        <v>9b941888</v>
      </c>
      <c r="E4370" s="211" t="str">
        <f>IFERROR(__xludf.DUMMYFUNCTION("""COMPUTED_VALUE"""),"Mas Devi ( Parengan )")</f>
        <v>Mas Devi ( Parengan )</v>
      </c>
      <c r="F4370" s="211" t="str">
        <f>IFERROR(__xludf.DUMMYFUNCTION("""COMPUTED_VALUE"""),"7d2764f1")</f>
        <v>7d2764f1</v>
      </c>
      <c r="G4370" s="211" t="str">
        <f>IFERROR(__xludf.DUMMYFUNCTION("""COMPUTED_VALUE"""),"Oksigen 7m3")</f>
        <v>Oksigen 7m3</v>
      </c>
      <c r="H4370" s="211" t="str">
        <f>IFERROR(__xludf.DUMMYFUNCTION("""COMPUTED_VALUE"""),"IN")</f>
        <v>IN</v>
      </c>
      <c r="I4370" s="211" t="str">
        <f>IFERROR(__xludf.DUMMYFUNCTION("""COMPUTED_VALUE"""),"EMPTY")</f>
        <v>EMPTY</v>
      </c>
      <c r="J4370" s="211">
        <f>IFERROR(__xludf.DUMMYFUNCTION("""COMPUTED_VALUE"""),3.0)</f>
        <v>3</v>
      </c>
      <c r="K4370" s="210" t="str">
        <f>IFERROR(__xludf.DUMMYFUNCTION("""COMPUTED_VALUE"""),"11222 11151 11170")</f>
        <v>11222 11151 11170</v>
      </c>
      <c r="L4370" s="211">
        <f>IFERROR(__xludf.DUMMYFUNCTION("""COMPUTED_VALUE"""),0.0)</f>
        <v>0</v>
      </c>
      <c r="M4370" s="211"/>
      <c r="N4370" s="211"/>
      <c r="O4370" s="211" t="b">
        <f>IFERROR(__xludf.DUMMYFUNCTION("""COMPUTED_VALUE"""),FALSE)</f>
        <v>0</v>
      </c>
    </row>
    <row r="4371">
      <c r="A4371" s="210" t="str">
        <f>IFERROR(__xludf.DUMMYFUNCTION("""COMPUTED_VALUE"""),"1261482")</f>
        <v>1261482</v>
      </c>
      <c r="B4371" s="210" t="str">
        <f>IFERROR(__xludf.DUMMYFUNCTION("""COMPUTED_VALUE"""),"1261482")</f>
        <v>1261482</v>
      </c>
      <c r="C4371" s="213">
        <f>IFERROR(__xludf.DUMMYFUNCTION("""COMPUTED_VALUE"""),46119.355844907404)</f>
        <v>46119.35584</v>
      </c>
      <c r="D4371" s="211" t="str">
        <f>IFERROR(__xludf.DUMMYFUNCTION("""COMPUTED_VALUE"""),"d9b2fac5")</f>
        <v>d9b2fac5</v>
      </c>
      <c r="E4371" s="211" t="str">
        <f>IFERROR(__xludf.DUMMYFUNCTION("""COMPUTED_VALUE"""),"Dwi Riza ( Ponokawan)")</f>
        <v>Dwi Riza ( Ponokawan)</v>
      </c>
      <c r="F4371" s="211" t="str">
        <f>IFERROR(__xludf.DUMMYFUNCTION("""COMPUTED_VALUE"""),"8bdbe149")</f>
        <v>8bdbe149</v>
      </c>
      <c r="G4371" s="211" t="str">
        <f>IFERROR(__xludf.DUMMYFUNCTION("""COMPUTED_VALUE"""),"Oksigen 6m3")</f>
        <v>Oksigen 6m3</v>
      </c>
      <c r="H4371" s="211" t="str">
        <f>IFERROR(__xludf.DUMMYFUNCTION("""COMPUTED_VALUE"""),"IN")</f>
        <v>IN</v>
      </c>
      <c r="I4371" s="211" t="str">
        <f>IFERROR(__xludf.DUMMYFUNCTION("""COMPUTED_VALUE"""),"EMPTY")</f>
        <v>EMPTY</v>
      </c>
      <c r="J4371" s="211">
        <f>IFERROR(__xludf.DUMMYFUNCTION("""COMPUTED_VALUE"""),3.0)</f>
        <v>3</v>
      </c>
      <c r="K4371" s="210" t="str">
        <f>IFERROR(__xludf.DUMMYFUNCTION("""COMPUTED_VALUE"""),"11265 1136 1164")</f>
        <v>11265 1136 1164</v>
      </c>
      <c r="L4371" s="211">
        <f>IFERROR(__xludf.DUMMYFUNCTION("""COMPUTED_VALUE"""),0.0)</f>
        <v>0</v>
      </c>
      <c r="M4371" s="211"/>
      <c r="N4371" s="211"/>
      <c r="O4371" s="211" t="b">
        <f>IFERROR(__xludf.DUMMYFUNCTION("""COMPUTED_VALUE"""),FALSE)</f>
        <v>0</v>
      </c>
    </row>
    <row r="4372">
      <c r="A4372" s="210" t="str">
        <f>IFERROR(__xludf.DUMMYFUNCTION("""COMPUTED_VALUE"""),"1261482")</f>
        <v>1261482</v>
      </c>
      <c r="B4372" s="210" t="str">
        <f>IFERROR(__xludf.DUMMYFUNCTION("""COMPUTED_VALUE"""),"1261482")</f>
        <v>1261482</v>
      </c>
      <c r="C4372" s="213">
        <f>IFERROR(__xludf.DUMMYFUNCTION("""COMPUTED_VALUE"""),46119.355844907404)</f>
        <v>46119.35584</v>
      </c>
      <c r="D4372" s="211" t="str">
        <f>IFERROR(__xludf.DUMMYFUNCTION("""COMPUTED_VALUE"""),"d9b2fac5")</f>
        <v>d9b2fac5</v>
      </c>
      <c r="E4372" s="211" t="str">
        <f>IFERROR(__xludf.DUMMYFUNCTION("""COMPUTED_VALUE"""),"Dwi Riza ( Ponokawan)")</f>
        <v>Dwi Riza ( Ponokawan)</v>
      </c>
      <c r="F4372" s="211" t="str">
        <f>IFERROR(__xludf.DUMMYFUNCTION("""COMPUTED_VALUE"""),"7d2764f1")</f>
        <v>7d2764f1</v>
      </c>
      <c r="G4372" s="211" t="str">
        <f>IFERROR(__xludf.DUMMYFUNCTION("""COMPUTED_VALUE"""),"Oksigen 7m3")</f>
        <v>Oksigen 7m3</v>
      </c>
      <c r="H4372" s="211" t="str">
        <f>IFERROR(__xludf.DUMMYFUNCTION("""COMPUTED_VALUE"""),"IN")</f>
        <v>IN</v>
      </c>
      <c r="I4372" s="211" t="str">
        <f>IFERROR(__xludf.DUMMYFUNCTION("""COMPUTED_VALUE"""),"EMPTY")</f>
        <v>EMPTY</v>
      </c>
      <c r="J4372" s="211">
        <f>IFERROR(__xludf.DUMMYFUNCTION("""COMPUTED_VALUE"""),2.0)</f>
        <v>2</v>
      </c>
      <c r="K4372" s="210" t="str">
        <f>IFERROR(__xludf.DUMMYFUNCTION("""COMPUTED_VALUE"""),"11307 11389")</f>
        <v>11307 11389</v>
      </c>
      <c r="L4372" s="211">
        <f>IFERROR(__xludf.DUMMYFUNCTION("""COMPUTED_VALUE"""),0.0)</f>
        <v>0</v>
      </c>
      <c r="M4372" s="211"/>
      <c r="N4372" s="211"/>
      <c r="O4372" s="211" t="b">
        <f>IFERROR(__xludf.DUMMYFUNCTION("""COMPUTED_VALUE"""),FALSE)</f>
        <v>0</v>
      </c>
    </row>
    <row r="4373">
      <c r="A4373" s="210" t="str">
        <f>IFERROR(__xludf.DUMMYFUNCTION("""COMPUTED_VALUE"""),"1261484")</f>
        <v>1261484</v>
      </c>
      <c r="B4373" s="210" t="str">
        <f>IFERROR(__xludf.DUMMYFUNCTION("""COMPUTED_VALUE"""),"1261484")</f>
        <v>1261484</v>
      </c>
      <c r="C4373" s="213">
        <f>IFERROR(__xludf.DUMMYFUNCTION("""COMPUTED_VALUE"""),46119.35659722222)</f>
        <v>46119.3566</v>
      </c>
      <c r="D4373" s="211" t="str">
        <f>IFERROR(__xludf.DUMMYFUNCTION("""COMPUTED_VALUE"""),"63fc688a")</f>
        <v>63fc688a</v>
      </c>
      <c r="E4373" s="211" t="str">
        <f>IFERROR(__xludf.DUMMYFUNCTION("""COMPUTED_VALUE"""),"CV Malik Nusantara")</f>
        <v>CV Malik Nusantara</v>
      </c>
      <c r="F4373" s="211" t="str">
        <f>IFERROR(__xludf.DUMMYFUNCTION("""COMPUTED_VALUE"""),"8bdbe149")</f>
        <v>8bdbe149</v>
      </c>
      <c r="G4373" s="211" t="str">
        <f>IFERROR(__xludf.DUMMYFUNCTION("""COMPUTED_VALUE"""),"Oksigen 6m3")</f>
        <v>Oksigen 6m3</v>
      </c>
      <c r="H4373" s="211" t="str">
        <f>IFERROR(__xludf.DUMMYFUNCTION("""COMPUTED_VALUE"""),"IN")</f>
        <v>IN</v>
      </c>
      <c r="I4373" s="211" t="str">
        <f>IFERROR(__xludf.DUMMYFUNCTION("""COMPUTED_VALUE"""),"EMPTY")</f>
        <v>EMPTY</v>
      </c>
      <c r="J4373" s="211">
        <f>IFERROR(__xludf.DUMMYFUNCTION("""COMPUTED_VALUE"""),8.0)</f>
        <v>8</v>
      </c>
      <c r="K4373" s="210" t="str">
        <f>IFERROR(__xludf.DUMMYFUNCTION("""COMPUTED_VALUE"""),"11368 11272 11182 11377 11206 1171 1168 11362")</f>
        <v>11368 11272 11182 11377 11206 1171 1168 11362</v>
      </c>
      <c r="L4373" s="211">
        <f>IFERROR(__xludf.DUMMYFUNCTION("""COMPUTED_VALUE"""),0.0)</f>
        <v>0</v>
      </c>
      <c r="M4373" s="211"/>
      <c r="N4373" s="211"/>
      <c r="O4373" s="211" t="b">
        <f>IFERROR(__xludf.DUMMYFUNCTION("""COMPUTED_VALUE"""),FALSE)</f>
        <v>0</v>
      </c>
    </row>
    <row r="4374">
      <c r="A4374" s="210" t="str">
        <f>IFERROR(__xludf.DUMMYFUNCTION("""COMPUTED_VALUE"""),"1261484")</f>
        <v>1261484</v>
      </c>
      <c r="B4374" s="210" t="str">
        <f>IFERROR(__xludf.DUMMYFUNCTION("""COMPUTED_VALUE"""),"1261484")</f>
        <v>1261484</v>
      </c>
      <c r="C4374" s="213">
        <f>IFERROR(__xludf.DUMMYFUNCTION("""COMPUTED_VALUE"""),46119.35659722222)</f>
        <v>46119.3566</v>
      </c>
      <c r="D4374" s="211" t="str">
        <f>IFERROR(__xludf.DUMMYFUNCTION("""COMPUTED_VALUE"""),"63fc688a")</f>
        <v>63fc688a</v>
      </c>
      <c r="E4374" s="211" t="str">
        <f>IFERROR(__xludf.DUMMYFUNCTION("""COMPUTED_VALUE"""),"CV Malik Nusantara")</f>
        <v>CV Malik Nusantara</v>
      </c>
      <c r="F4374" s="211" t="str">
        <f>IFERROR(__xludf.DUMMYFUNCTION("""COMPUTED_VALUE"""),"7d2764f1")</f>
        <v>7d2764f1</v>
      </c>
      <c r="G4374" s="211" t="str">
        <f>IFERROR(__xludf.DUMMYFUNCTION("""COMPUTED_VALUE"""),"Oksigen 7m3")</f>
        <v>Oksigen 7m3</v>
      </c>
      <c r="H4374" s="211" t="str">
        <f>IFERROR(__xludf.DUMMYFUNCTION("""COMPUTED_VALUE"""),"IN")</f>
        <v>IN</v>
      </c>
      <c r="I4374" s="211" t="str">
        <f>IFERROR(__xludf.DUMMYFUNCTION("""COMPUTED_VALUE"""),"EMPTY")</f>
        <v>EMPTY</v>
      </c>
      <c r="J4374" s="211">
        <f>IFERROR(__xludf.DUMMYFUNCTION("""COMPUTED_VALUE"""),1.0)</f>
        <v>1</v>
      </c>
      <c r="K4374" s="210" t="str">
        <f>IFERROR(__xludf.DUMMYFUNCTION("""COMPUTED_VALUE"""),"11269")</f>
        <v>11269</v>
      </c>
      <c r="L4374" s="211">
        <f>IFERROR(__xludf.DUMMYFUNCTION("""COMPUTED_VALUE"""),0.0)</f>
        <v>0</v>
      </c>
      <c r="M4374" s="211"/>
      <c r="N4374" s="211"/>
      <c r="O4374" s="211" t="b">
        <f>IFERROR(__xludf.DUMMYFUNCTION("""COMPUTED_VALUE"""),FALSE)</f>
        <v>0</v>
      </c>
    </row>
    <row r="4375">
      <c r="A4375" s="210" t="str">
        <f>IFERROR(__xludf.DUMMYFUNCTION("""COMPUTED_VALUE"""),"1261481")</f>
        <v>1261481</v>
      </c>
      <c r="B4375" s="210" t="str">
        <f>IFERROR(__xludf.DUMMYFUNCTION("""COMPUTED_VALUE"""),"1261481")</f>
        <v>1261481</v>
      </c>
      <c r="C4375" s="213">
        <f>IFERROR(__xludf.DUMMYFUNCTION("""COMPUTED_VALUE"""),46118.44106481481)</f>
        <v>46118.44106</v>
      </c>
      <c r="D4375" s="211" t="str">
        <f>IFERROR(__xludf.DUMMYFUNCTION("""COMPUTED_VALUE"""),"ed4307f6")</f>
        <v>ed4307f6</v>
      </c>
      <c r="E4375" s="211" t="str">
        <f>IFERROR(__xludf.DUMMYFUNCTION("""COMPUTED_VALUE"""),"Bpk. Andi (Jetis)")</f>
        <v>Bpk. Andi (Jetis)</v>
      </c>
      <c r="F4375" s="211" t="str">
        <f>IFERROR(__xludf.DUMMYFUNCTION("""COMPUTED_VALUE"""),"f6aab7a9")</f>
        <v>f6aab7a9</v>
      </c>
      <c r="G4375" s="211" t="str">
        <f>IFERROR(__xludf.DUMMYFUNCTION("""COMPUTED_VALUE"""),"Oksigen 6m3 MR")</f>
        <v>Oksigen 6m3 MR</v>
      </c>
      <c r="H4375" s="211" t="str">
        <f>IFERROR(__xludf.DUMMYFUNCTION("""COMPUTED_VALUE"""),"IN")</f>
        <v>IN</v>
      </c>
      <c r="I4375" s="211" t="str">
        <f>IFERROR(__xludf.DUMMYFUNCTION("""COMPUTED_VALUE"""),"EMPTY")</f>
        <v>EMPTY</v>
      </c>
      <c r="J4375" s="211">
        <f>IFERROR(__xludf.DUMMYFUNCTION("""COMPUTED_VALUE"""),35.0)</f>
        <v>35</v>
      </c>
      <c r="K4375" s="211"/>
      <c r="L4375" s="211">
        <f>IFERROR(__xludf.DUMMYFUNCTION("""COMPUTED_VALUE"""),0.0)</f>
        <v>0</v>
      </c>
      <c r="M4375" s="211"/>
      <c r="N4375" s="211"/>
      <c r="O4375" s="211" t="b">
        <f>IFERROR(__xludf.DUMMYFUNCTION("""COMPUTED_VALUE"""),FALSE)</f>
        <v>0</v>
      </c>
    </row>
    <row r="4376">
      <c r="A4376" s="210" t="str">
        <f>IFERROR(__xludf.DUMMYFUNCTION("""COMPUTED_VALUE"""),"1261497")</f>
        <v>1261497</v>
      </c>
      <c r="B4376" s="210" t="str">
        <f>IFERROR(__xludf.DUMMYFUNCTION("""COMPUTED_VALUE"""),"1261497")</f>
        <v>1261497</v>
      </c>
      <c r="C4376" s="213">
        <f>IFERROR(__xludf.DUMMYFUNCTION("""COMPUTED_VALUE"""),46119.358298611114)</f>
        <v>46119.3583</v>
      </c>
      <c r="D4376" s="211" t="str">
        <f>IFERROR(__xludf.DUMMYFUNCTION("""COMPUTED_VALUE"""),"b2b5f2c5")</f>
        <v>b2b5f2c5</v>
      </c>
      <c r="E4376" s="211" t="str">
        <f>IFERROR(__xludf.DUMMYFUNCTION("""COMPUTED_VALUE"""),"Bengkel Las Bpk. Ari")</f>
        <v>Bengkel Las Bpk. Ari</v>
      </c>
      <c r="F4376" s="211" t="str">
        <f>IFERROR(__xludf.DUMMYFUNCTION("""COMPUTED_VALUE"""),"8bdbe149")</f>
        <v>8bdbe149</v>
      </c>
      <c r="G4376" s="211" t="str">
        <f>IFERROR(__xludf.DUMMYFUNCTION("""COMPUTED_VALUE"""),"Oksigen 6m3")</f>
        <v>Oksigen 6m3</v>
      </c>
      <c r="H4376" s="211" t="str">
        <f>IFERROR(__xludf.DUMMYFUNCTION("""COMPUTED_VALUE"""),"IN")</f>
        <v>IN</v>
      </c>
      <c r="I4376" s="211" t="str">
        <f>IFERROR(__xludf.DUMMYFUNCTION("""COMPUTED_VALUE"""),"EMPTY")</f>
        <v>EMPTY</v>
      </c>
      <c r="J4376" s="211">
        <f>IFERROR(__xludf.DUMMYFUNCTION("""COMPUTED_VALUE"""),2.0)</f>
        <v>2</v>
      </c>
      <c r="K4376" s="210" t="str">
        <f>IFERROR(__xludf.DUMMYFUNCTION("""COMPUTED_VALUE"""),"1121 11359")</f>
        <v>1121 11359</v>
      </c>
      <c r="L4376" s="211">
        <f>IFERROR(__xludf.DUMMYFUNCTION("""COMPUTED_VALUE"""),0.0)</f>
        <v>0</v>
      </c>
      <c r="M4376" s="211"/>
      <c r="N4376" s="211"/>
      <c r="O4376" s="211" t="b">
        <f>IFERROR(__xludf.DUMMYFUNCTION("""COMPUTED_VALUE"""),FALSE)</f>
        <v>0</v>
      </c>
    </row>
    <row r="4377">
      <c r="A4377" s="210" t="str">
        <f>IFERROR(__xludf.DUMMYFUNCTION("""COMPUTED_VALUE"""),"1261497")</f>
        <v>1261497</v>
      </c>
      <c r="B4377" s="210" t="str">
        <f>IFERROR(__xludf.DUMMYFUNCTION("""COMPUTED_VALUE"""),"1261497")</f>
        <v>1261497</v>
      </c>
      <c r="C4377" s="213">
        <f>IFERROR(__xludf.DUMMYFUNCTION("""COMPUTED_VALUE"""),46119.358298611114)</f>
        <v>46119.3583</v>
      </c>
      <c r="D4377" s="211" t="str">
        <f>IFERROR(__xludf.DUMMYFUNCTION("""COMPUTED_VALUE"""),"b2b5f2c5")</f>
        <v>b2b5f2c5</v>
      </c>
      <c r="E4377" s="211" t="str">
        <f>IFERROR(__xludf.DUMMYFUNCTION("""COMPUTED_VALUE"""),"Bengkel Las Bpk. Ari")</f>
        <v>Bengkel Las Bpk. Ari</v>
      </c>
      <c r="F4377" s="211" t="str">
        <f>IFERROR(__xludf.DUMMYFUNCTION("""COMPUTED_VALUE"""),"ef306e54")</f>
        <v>ef306e54</v>
      </c>
      <c r="G4377" s="211" t="str">
        <f>IFERROR(__xludf.DUMMYFUNCTION("""COMPUTED_VALUE"""),"Karbondioksida")</f>
        <v>Karbondioksida</v>
      </c>
      <c r="H4377" s="211" t="str">
        <f>IFERROR(__xludf.DUMMYFUNCTION("""COMPUTED_VALUE"""),"IN")</f>
        <v>IN</v>
      </c>
      <c r="I4377" s="211" t="str">
        <f>IFERROR(__xludf.DUMMYFUNCTION("""COMPUTED_VALUE"""),"EMPTY")</f>
        <v>EMPTY</v>
      </c>
      <c r="J4377" s="211">
        <f>IFERROR(__xludf.DUMMYFUNCTION("""COMPUTED_VALUE"""),1.0)</f>
        <v>1</v>
      </c>
      <c r="K4377" s="210" t="str">
        <f>IFERROR(__xludf.DUMMYFUNCTION("""COMPUTED_VALUE"""),"13064")</f>
        <v>13064</v>
      </c>
      <c r="L4377" s="211">
        <f>IFERROR(__xludf.DUMMYFUNCTION("""COMPUTED_VALUE"""),0.0)</f>
        <v>0</v>
      </c>
      <c r="M4377" s="211"/>
      <c r="N4377" s="211"/>
      <c r="O4377" s="211" t="b">
        <f>IFERROR(__xludf.DUMMYFUNCTION("""COMPUTED_VALUE"""),TRUE)</f>
        <v>1</v>
      </c>
    </row>
    <row r="4378">
      <c r="A4378" s="210" t="str">
        <f>IFERROR(__xludf.DUMMYFUNCTION("""COMPUTED_VALUE"""),"1261493")</f>
        <v>1261493</v>
      </c>
      <c r="B4378" s="210" t="str">
        <f>IFERROR(__xludf.DUMMYFUNCTION("""COMPUTED_VALUE"""),"1261493")</f>
        <v>1261493</v>
      </c>
      <c r="C4378" s="213">
        <f>IFERROR(__xludf.DUMMYFUNCTION("""COMPUTED_VALUE"""),46119.360613425924)</f>
        <v>46119.36061</v>
      </c>
      <c r="D4378" s="211" t="str">
        <f>IFERROR(__xludf.DUMMYFUNCTION("""COMPUTED_VALUE"""),"734c6d17")</f>
        <v>734c6d17</v>
      </c>
      <c r="E4378" s="211" t="str">
        <f>IFERROR(__xludf.DUMMYFUNCTION("""COMPUTED_VALUE"""),"Bapak Ainol Yaqin ( Bpk. Ibnu )")</f>
        <v>Bapak Ainol Yaqin ( Bpk. Ibnu )</v>
      </c>
      <c r="F4378" s="211" t="str">
        <f>IFERROR(__xludf.DUMMYFUNCTION("""COMPUTED_VALUE"""),"8bdbe149")</f>
        <v>8bdbe149</v>
      </c>
      <c r="G4378" s="211" t="str">
        <f>IFERROR(__xludf.DUMMYFUNCTION("""COMPUTED_VALUE"""),"Oksigen 6m3")</f>
        <v>Oksigen 6m3</v>
      </c>
      <c r="H4378" s="211" t="str">
        <f>IFERROR(__xludf.DUMMYFUNCTION("""COMPUTED_VALUE"""),"IN")</f>
        <v>IN</v>
      </c>
      <c r="I4378" s="211" t="str">
        <f>IFERROR(__xludf.DUMMYFUNCTION("""COMPUTED_VALUE"""),"EMPTY")</f>
        <v>EMPTY</v>
      </c>
      <c r="J4378" s="211">
        <f>IFERROR(__xludf.DUMMYFUNCTION("""COMPUTED_VALUE"""),1.0)</f>
        <v>1</v>
      </c>
      <c r="K4378" s="210" t="str">
        <f>IFERROR(__xludf.DUMMYFUNCTION("""COMPUTED_VALUE"""),"11384")</f>
        <v>11384</v>
      </c>
      <c r="L4378" s="211">
        <f>IFERROR(__xludf.DUMMYFUNCTION("""COMPUTED_VALUE"""),0.0)</f>
        <v>0</v>
      </c>
      <c r="M4378" s="211"/>
      <c r="N4378" s="211" t="str">
        <f>IFERROR(__xludf.DUMMYFUNCTION("""COMPUTED_VALUE"""),"sebelah ashoka")</f>
        <v>sebelah ashoka</v>
      </c>
      <c r="O4378" s="211" t="b">
        <f>IFERROR(__xludf.DUMMYFUNCTION("""COMPUTED_VALUE"""),FALSE)</f>
        <v>0</v>
      </c>
    </row>
    <row r="4379">
      <c r="A4379" s="210" t="str">
        <f>IFERROR(__xludf.DUMMYFUNCTION("""COMPUTED_VALUE"""),"1261495")</f>
        <v>1261495</v>
      </c>
      <c r="B4379" s="210" t="str">
        <f>IFERROR(__xludf.DUMMYFUNCTION("""COMPUTED_VALUE"""),"1261495")</f>
        <v>1261495</v>
      </c>
      <c r="C4379" s="213">
        <f>IFERROR(__xludf.DUMMYFUNCTION("""COMPUTED_VALUE"""),46119.36104166666)</f>
        <v>46119.36104</v>
      </c>
      <c r="D4379" s="211" t="str">
        <f>IFERROR(__xludf.DUMMYFUNCTION("""COMPUTED_VALUE"""),"734c6d17")</f>
        <v>734c6d17</v>
      </c>
      <c r="E4379" s="211" t="str">
        <f>IFERROR(__xludf.DUMMYFUNCTION("""COMPUTED_VALUE"""),"Bapak Ainol Yaqin ( Bpk. Ibnu )")</f>
        <v>Bapak Ainol Yaqin ( Bpk. Ibnu )</v>
      </c>
      <c r="F4379" s="211" t="str">
        <f>IFERROR(__xludf.DUMMYFUNCTION("""COMPUTED_VALUE"""),"8bdbe149")</f>
        <v>8bdbe149</v>
      </c>
      <c r="G4379" s="211" t="str">
        <f>IFERROR(__xludf.DUMMYFUNCTION("""COMPUTED_VALUE"""),"Oksigen 6m3")</f>
        <v>Oksigen 6m3</v>
      </c>
      <c r="H4379" s="211" t="str">
        <f>IFERROR(__xludf.DUMMYFUNCTION("""COMPUTED_VALUE"""),"IN")</f>
        <v>IN</v>
      </c>
      <c r="I4379" s="211" t="str">
        <f>IFERROR(__xludf.DUMMYFUNCTION("""COMPUTED_VALUE"""),"EMPTY")</f>
        <v>EMPTY</v>
      </c>
      <c r="J4379" s="211">
        <f>IFERROR(__xludf.DUMMYFUNCTION("""COMPUTED_VALUE"""),1.0)</f>
        <v>1</v>
      </c>
      <c r="K4379" s="210" t="str">
        <f>IFERROR(__xludf.DUMMYFUNCTION("""COMPUTED_VALUE"""),"11317")</f>
        <v>11317</v>
      </c>
      <c r="L4379" s="211">
        <f>IFERROR(__xludf.DUMMYFUNCTION("""COMPUTED_VALUE"""),0.0)</f>
        <v>0</v>
      </c>
      <c r="M4379" s="211"/>
      <c r="N4379" s="211"/>
      <c r="O4379" s="211" t="b">
        <f>IFERROR(__xludf.DUMMYFUNCTION("""COMPUTED_VALUE"""),FALSE)</f>
        <v>0</v>
      </c>
    </row>
    <row r="4380">
      <c r="A4380" s="210" t="str">
        <f>IFERROR(__xludf.DUMMYFUNCTION("""COMPUTED_VALUE"""),"126494")</f>
        <v>126494</v>
      </c>
      <c r="B4380" s="210" t="str">
        <f>IFERROR(__xludf.DUMMYFUNCTION("""COMPUTED_VALUE"""),"126494")</f>
        <v>126494</v>
      </c>
      <c r="C4380" s="213">
        <f>IFERROR(__xludf.DUMMYFUNCTION("""COMPUTED_VALUE"""),46119.361354166664)</f>
        <v>46119.36135</v>
      </c>
      <c r="D4380" s="211" t="str">
        <f>IFERROR(__xludf.DUMMYFUNCTION("""COMPUTED_VALUE"""),"7b9d8eba")</f>
        <v>7b9d8eba</v>
      </c>
      <c r="E4380" s="211" t="str">
        <f>IFERROR(__xludf.DUMMYFUNCTION("""COMPUTED_VALUE"""),"PT PELANGI INDOKARYA")</f>
        <v>PT PELANGI INDOKARYA</v>
      </c>
      <c r="F4380" s="211" t="str">
        <f>IFERROR(__xludf.DUMMYFUNCTION("""COMPUTED_VALUE"""),"8bdbe149")</f>
        <v>8bdbe149</v>
      </c>
      <c r="G4380" s="211" t="str">
        <f>IFERROR(__xludf.DUMMYFUNCTION("""COMPUTED_VALUE"""),"Oksigen 6m3")</f>
        <v>Oksigen 6m3</v>
      </c>
      <c r="H4380" s="211" t="str">
        <f>IFERROR(__xludf.DUMMYFUNCTION("""COMPUTED_VALUE"""),"IN")</f>
        <v>IN</v>
      </c>
      <c r="I4380" s="211" t="str">
        <f>IFERROR(__xludf.DUMMYFUNCTION("""COMPUTED_VALUE"""),"EMPTY")</f>
        <v>EMPTY</v>
      </c>
      <c r="J4380" s="211">
        <f>IFERROR(__xludf.DUMMYFUNCTION("""COMPUTED_VALUE"""),2.0)</f>
        <v>2</v>
      </c>
      <c r="K4380" s="210" t="str">
        <f>IFERROR(__xludf.DUMMYFUNCTION("""COMPUTED_VALUE"""),"11116 11175")</f>
        <v>11116 11175</v>
      </c>
      <c r="L4380" s="211">
        <f>IFERROR(__xludf.DUMMYFUNCTION("""COMPUTED_VALUE"""),0.0)</f>
        <v>0</v>
      </c>
      <c r="M4380" s="211"/>
      <c r="N4380" s="211"/>
      <c r="O4380" s="211" t="b">
        <f>IFERROR(__xludf.DUMMYFUNCTION("""COMPUTED_VALUE"""),FALSE)</f>
        <v>0</v>
      </c>
    </row>
    <row r="4381">
      <c r="A4381" s="210" t="str">
        <f>IFERROR(__xludf.DUMMYFUNCTION("""COMPUTED_VALUE"""),"126494")</f>
        <v>126494</v>
      </c>
      <c r="B4381" s="210" t="str">
        <f>IFERROR(__xludf.DUMMYFUNCTION("""COMPUTED_VALUE"""),"126494")</f>
        <v>126494</v>
      </c>
      <c r="C4381" s="213">
        <f>IFERROR(__xludf.DUMMYFUNCTION("""COMPUTED_VALUE"""),46119.361354166664)</f>
        <v>46119.36135</v>
      </c>
      <c r="D4381" s="211" t="str">
        <f>IFERROR(__xludf.DUMMYFUNCTION("""COMPUTED_VALUE"""),"7b9d8eba")</f>
        <v>7b9d8eba</v>
      </c>
      <c r="E4381" s="211" t="str">
        <f>IFERROR(__xludf.DUMMYFUNCTION("""COMPUTED_VALUE"""),"PT PELANGI INDOKARYA")</f>
        <v>PT PELANGI INDOKARYA</v>
      </c>
      <c r="F4381" s="211" t="str">
        <f>IFERROR(__xludf.DUMMYFUNCTION("""COMPUTED_VALUE"""),"ef306e54")</f>
        <v>ef306e54</v>
      </c>
      <c r="G4381" s="211" t="str">
        <f>IFERROR(__xludf.DUMMYFUNCTION("""COMPUTED_VALUE"""),"Karbondioksida")</f>
        <v>Karbondioksida</v>
      </c>
      <c r="H4381" s="211" t="str">
        <f>IFERROR(__xludf.DUMMYFUNCTION("""COMPUTED_VALUE"""),"IN")</f>
        <v>IN</v>
      </c>
      <c r="I4381" s="211" t="str">
        <f>IFERROR(__xludf.DUMMYFUNCTION("""COMPUTED_VALUE"""),"EMPTY")</f>
        <v>EMPTY</v>
      </c>
      <c r="J4381" s="211">
        <f>IFERROR(__xludf.DUMMYFUNCTION("""COMPUTED_VALUE"""),2.0)</f>
        <v>2</v>
      </c>
      <c r="K4381" s="210" t="str">
        <f>IFERROR(__xludf.DUMMYFUNCTION("""COMPUTED_VALUE"""),"13051 13005")</f>
        <v>13051 13005</v>
      </c>
      <c r="L4381" s="211">
        <f>IFERROR(__xludf.DUMMYFUNCTION("""COMPUTED_VALUE"""),0.0)</f>
        <v>0</v>
      </c>
      <c r="M4381" s="211"/>
      <c r="N4381" s="211"/>
      <c r="O4381" s="211" t="b">
        <f>IFERROR(__xludf.DUMMYFUNCTION("""COMPUTED_VALUE"""),FALSE)</f>
        <v>0</v>
      </c>
    </row>
    <row r="4382">
      <c r="A4382" s="210" t="str">
        <f>IFERROR(__xludf.DUMMYFUNCTION("""COMPUTED_VALUE"""),"1261496")</f>
        <v>1261496</v>
      </c>
      <c r="B4382" s="210" t="str">
        <f>IFERROR(__xludf.DUMMYFUNCTION("""COMPUTED_VALUE"""),"1261496")</f>
        <v>1261496</v>
      </c>
      <c r="C4382" s="213">
        <f>IFERROR(__xludf.DUMMYFUNCTION("""COMPUTED_VALUE"""),46119.362916666665)</f>
        <v>46119.36292</v>
      </c>
      <c r="D4382" s="211" t="str">
        <f>IFERROR(__xludf.DUMMYFUNCTION("""COMPUTED_VALUE"""),"ba97d58d")</f>
        <v>ba97d58d</v>
      </c>
      <c r="E4382" s="211" t="str">
        <f>IFERROR(__xludf.DUMMYFUNCTION("""COMPUTED_VALUE"""),"Bengkel Citra Mojosari")</f>
        <v>Bengkel Citra Mojosari</v>
      </c>
      <c r="F4382" s="211" t="str">
        <f>IFERROR(__xludf.DUMMYFUNCTION("""COMPUTED_VALUE"""),"8bdbe149")</f>
        <v>8bdbe149</v>
      </c>
      <c r="G4382" s="211" t="str">
        <f>IFERROR(__xludf.DUMMYFUNCTION("""COMPUTED_VALUE"""),"Oksigen 6m3")</f>
        <v>Oksigen 6m3</v>
      </c>
      <c r="H4382" s="211" t="str">
        <f>IFERROR(__xludf.DUMMYFUNCTION("""COMPUTED_VALUE"""),"IN")</f>
        <v>IN</v>
      </c>
      <c r="I4382" s="211" t="str">
        <f>IFERROR(__xludf.DUMMYFUNCTION("""COMPUTED_VALUE"""),"EMPTY")</f>
        <v>EMPTY</v>
      </c>
      <c r="J4382" s="211">
        <f>IFERROR(__xludf.DUMMYFUNCTION("""COMPUTED_VALUE"""),4.0)</f>
        <v>4</v>
      </c>
      <c r="K4382" s="210" t="str">
        <f>IFERROR(__xludf.DUMMYFUNCTION("""COMPUTED_VALUE"""),"11184 11106 1191 1112")</f>
        <v>11184 11106 1191 1112</v>
      </c>
      <c r="L4382" s="211">
        <f>IFERROR(__xludf.DUMMYFUNCTION("""COMPUTED_VALUE"""),0.0)</f>
        <v>0</v>
      </c>
      <c r="M4382" s="211"/>
      <c r="N4382" s="211"/>
      <c r="O4382" s="211" t="b">
        <f>IFERROR(__xludf.DUMMYFUNCTION("""COMPUTED_VALUE"""),FALSE)</f>
        <v>0</v>
      </c>
    </row>
    <row r="4383">
      <c r="A4383" s="210" t="str">
        <f>IFERROR(__xludf.DUMMYFUNCTION("""COMPUTED_VALUE"""),"1261496")</f>
        <v>1261496</v>
      </c>
      <c r="B4383" s="210" t="str">
        <f>IFERROR(__xludf.DUMMYFUNCTION("""COMPUTED_VALUE"""),"1261496")</f>
        <v>1261496</v>
      </c>
      <c r="C4383" s="213">
        <f>IFERROR(__xludf.DUMMYFUNCTION("""COMPUTED_VALUE"""),46119.362916666665)</f>
        <v>46119.36292</v>
      </c>
      <c r="D4383" s="211" t="str">
        <f>IFERROR(__xludf.DUMMYFUNCTION("""COMPUTED_VALUE"""),"ba97d58d")</f>
        <v>ba97d58d</v>
      </c>
      <c r="E4383" s="211" t="str">
        <f>IFERROR(__xludf.DUMMYFUNCTION("""COMPUTED_VALUE"""),"Bengkel Citra Mojosari")</f>
        <v>Bengkel Citra Mojosari</v>
      </c>
      <c r="F4383" s="211" t="str">
        <f>IFERROR(__xludf.DUMMYFUNCTION("""COMPUTED_VALUE"""),"8bdbe149")</f>
        <v>8bdbe149</v>
      </c>
      <c r="G4383" s="211" t="str">
        <f>IFERROR(__xludf.DUMMYFUNCTION("""COMPUTED_VALUE"""),"Oksigen 6m3")</f>
        <v>Oksigen 6m3</v>
      </c>
      <c r="H4383" s="211" t="str">
        <f>IFERROR(__xludf.DUMMYFUNCTION("""COMPUTED_VALUE"""),"IN")</f>
        <v>IN</v>
      </c>
      <c r="I4383" s="211" t="str">
        <f>IFERROR(__xludf.DUMMYFUNCTION("""COMPUTED_VALUE"""),"EMPTY")</f>
        <v>EMPTY</v>
      </c>
      <c r="J4383" s="211">
        <f>IFERROR(__xludf.DUMMYFUNCTION("""COMPUTED_VALUE"""),1.0)</f>
        <v>1</v>
      </c>
      <c r="K4383" s="210" t="str">
        <f>IFERROR(__xludf.DUMMYFUNCTION("""COMPUTED_VALUE"""),"1117")</f>
        <v>1117</v>
      </c>
      <c r="L4383" s="211">
        <f>IFERROR(__xludf.DUMMYFUNCTION("""COMPUTED_VALUE"""),0.0)</f>
        <v>0</v>
      </c>
      <c r="M4383" s="211"/>
      <c r="N4383" s="211"/>
      <c r="O4383" s="211" t="b">
        <f>IFERROR(__xludf.DUMMYFUNCTION("""COMPUTED_VALUE"""),TRUE)</f>
        <v>1</v>
      </c>
    </row>
    <row r="4384">
      <c r="A4384" s="210" t="str">
        <f>IFERROR(__xludf.DUMMYFUNCTION("""COMPUTED_VALUE"""),"0426112993")</f>
        <v>0426112993</v>
      </c>
      <c r="B4384" s="210" t="str">
        <f>IFERROR(__xludf.DUMMYFUNCTION("""COMPUTED_VALUE"""),"0426112993")</f>
        <v>0426112993</v>
      </c>
      <c r="C4384" s="213">
        <f>IFERROR(__xludf.DUMMYFUNCTION("""COMPUTED_VALUE"""),46119.360127314816)</f>
        <v>46119.36013</v>
      </c>
      <c r="D4384" s="211" t="str">
        <f>IFERROR(__xludf.DUMMYFUNCTION("""COMPUTED_VALUE"""),"d9b2fac5")</f>
        <v>d9b2fac5</v>
      </c>
      <c r="E4384" s="211" t="str">
        <f>IFERROR(__xludf.DUMMYFUNCTION("""COMPUTED_VALUE"""),"Dwi Riza ( Ponokawan)")</f>
        <v>Dwi Riza ( Ponokawan)</v>
      </c>
      <c r="F4384" s="211" t="str">
        <f>IFERROR(__xludf.DUMMYFUNCTION("""COMPUTED_VALUE"""),"7d2764f1")</f>
        <v>7d2764f1</v>
      </c>
      <c r="G4384" s="211" t="str">
        <f>IFERROR(__xludf.DUMMYFUNCTION("""COMPUTED_VALUE"""),"Oksigen 7m3")</f>
        <v>Oksigen 7m3</v>
      </c>
      <c r="H4384" s="211" t="str">
        <f>IFERROR(__xludf.DUMMYFUNCTION("""COMPUTED_VALUE"""),"OUT")</f>
        <v>OUT</v>
      </c>
      <c r="I4384" s="211" t="str">
        <f>IFERROR(__xludf.DUMMYFUNCTION("""COMPUTED_VALUE"""),"NORMAL")</f>
        <v>NORMAL</v>
      </c>
      <c r="J4384" s="211">
        <f>IFERROR(__xludf.DUMMYFUNCTION("""COMPUTED_VALUE"""),5.0)</f>
        <v>5</v>
      </c>
      <c r="K4384" s="210" t="str">
        <f>IFERROR(__xludf.DUMMYFUNCTION("""COMPUTED_VALUE"""),"11222 11223 11216 11213 11317")</f>
        <v>11222 11223 11216 11213 11317</v>
      </c>
      <c r="L4384" s="211">
        <f>IFERROR(__xludf.DUMMYFUNCTION("""COMPUTED_VALUE"""),50000.0)</f>
        <v>50000</v>
      </c>
      <c r="M4384" s="211"/>
      <c r="N4384" s="211"/>
      <c r="O4384" s="211" t="b">
        <f>IFERROR(__xludf.DUMMYFUNCTION("""COMPUTED_VALUE"""),FALSE)</f>
        <v>0</v>
      </c>
    </row>
    <row r="4385">
      <c r="A4385" s="210" t="str">
        <f>IFERROR(__xludf.DUMMYFUNCTION("""COMPUTED_VALUE"""),"0426992999")</f>
        <v>0426992999</v>
      </c>
      <c r="B4385" s="210" t="str">
        <f>IFERROR(__xludf.DUMMYFUNCTION("""COMPUTED_VALUE"""),"0426992999")</f>
        <v>0426992999</v>
      </c>
      <c r="C4385" s="213">
        <f>IFERROR(__xludf.DUMMYFUNCTION("""COMPUTED_VALUE"""),46119.36620370371)</f>
        <v>46119.3662</v>
      </c>
      <c r="D4385" s="211" t="str">
        <f>IFERROR(__xludf.DUMMYFUNCTION("""COMPUTED_VALUE"""),"b2b5f2c5")</f>
        <v>b2b5f2c5</v>
      </c>
      <c r="E4385" s="211" t="str">
        <f>IFERROR(__xludf.DUMMYFUNCTION("""COMPUTED_VALUE"""),"Bengkel Las Bpk. Ari")</f>
        <v>Bengkel Las Bpk. Ari</v>
      </c>
      <c r="F4385" s="211" t="str">
        <f>IFERROR(__xludf.DUMMYFUNCTION("""COMPUTED_VALUE"""),"8bdbe149")</f>
        <v>8bdbe149</v>
      </c>
      <c r="G4385" s="211" t="str">
        <f>IFERROR(__xludf.DUMMYFUNCTION("""COMPUTED_VALUE"""),"Oksigen 6m3")</f>
        <v>Oksigen 6m3</v>
      </c>
      <c r="H4385" s="211" t="str">
        <f>IFERROR(__xludf.DUMMYFUNCTION("""COMPUTED_VALUE"""),"OUT")</f>
        <v>OUT</v>
      </c>
      <c r="I4385" s="211" t="str">
        <f>IFERROR(__xludf.DUMMYFUNCTION("""COMPUTED_VALUE"""),"NORMAL")</f>
        <v>NORMAL</v>
      </c>
      <c r="J4385" s="211">
        <f>IFERROR(__xludf.DUMMYFUNCTION("""COMPUTED_VALUE"""),5.0)</f>
        <v>5</v>
      </c>
      <c r="K4385" s="210" t="str">
        <f>IFERROR(__xludf.DUMMYFUNCTION("""COMPUTED_VALUE"""),"11124 11116 11198 11341 11382")</f>
        <v>11124 11116 11198 11341 11382</v>
      </c>
      <c r="L4385" s="211">
        <f>IFERROR(__xludf.DUMMYFUNCTION("""COMPUTED_VALUE"""),60000.0)</f>
        <v>60000</v>
      </c>
      <c r="M4385" s="211"/>
      <c r="N4385" s="211"/>
      <c r="O4385" s="211" t="b">
        <f>IFERROR(__xludf.DUMMYFUNCTION("""COMPUTED_VALUE"""),FALSE)</f>
        <v>0</v>
      </c>
    </row>
    <row r="4386">
      <c r="A4386" s="210" t="str">
        <f>IFERROR(__xludf.DUMMYFUNCTION("""COMPUTED_VALUE"""),"0426992999")</f>
        <v>0426992999</v>
      </c>
      <c r="B4386" s="210" t="str">
        <f>IFERROR(__xludf.DUMMYFUNCTION("""COMPUTED_VALUE"""),"0426992999")</f>
        <v>0426992999</v>
      </c>
      <c r="C4386" s="213">
        <f>IFERROR(__xludf.DUMMYFUNCTION("""COMPUTED_VALUE"""),46119.36620370371)</f>
        <v>46119.3662</v>
      </c>
      <c r="D4386" s="211" t="str">
        <f>IFERROR(__xludf.DUMMYFUNCTION("""COMPUTED_VALUE"""),"b2b5f2c5")</f>
        <v>b2b5f2c5</v>
      </c>
      <c r="E4386" s="211" t="str">
        <f>IFERROR(__xludf.DUMMYFUNCTION("""COMPUTED_VALUE"""),"Bengkel Las Bpk. Ari")</f>
        <v>Bengkel Las Bpk. Ari</v>
      </c>
      <c r="F4386" s="211" t="str">
        <f>IFERROR(__xludf.DUMMYFUNCTION("""COMPUTED_VALUE"""),"ef306e54")</f>
        <v>ef306e54</v>
      </c>
      <c r="G4386" s="211" t="str">
        <f>IFERROR(__xludf.DUMMYFUNCTION("""COMPUTED_VALUE"""),"Karbondioksida")</f>
        <v>Karbondioksida</v>
      </c>
      <c r="H4386" s="211" t="str">
        <f>IFERROR(__xludf.DUMMYFUNCTION("""COMPUTED_VALUE"""),"OUT")</f>
        <v>OUT</v>
      </c>
      <c r="I4386" s="211" t="str">
        <f>IFERROR(__xludf.DUMMYFUNCTION("""COMPUTED_VALUE"""),"NORMAL")</f>
        <v>NORMAL</v>
      </c>
      <c r="J4386" s="211">
        <f>IFERROR(__xludf.DUMMYFUNCTION("""COMPUTED_VALUE"""),2.0)</f>
        <v>2</v>
      </c>
      <c r="K4386" s="210" t="str">
        <f>IFERROR(__xludf.DUMMYFUNCTION("""COMPUTED_VALUE"""),"13004 13005")</f>
        <v>13004 13005</v>
      </c>
      <c r="L4386" s="211">
        <f>IFERROR(__xludf.DUMMYFUNCTION("""COMPUTED_VALUE"""),180000.0)</f>
        <v>180000</v>
      </c>
      <c r="M4386" s="211"/>
      <c r="N4386" s="211"/>
      <c r="O4386" s="211" t="b">
        <f>IFERROR(__xludf.DUMMYFUNCTION("""COMPUTED_VALUE"""),FALSE)</f>
        <v>0</v>
      </c>
    </row>
    <row r="4387">
      <c r="A4387" s="210" t="str">
        <f>IFERROR(__xludf.DUMMYFUNCTION("""COMPUTED_VALUE"""),"042633004")</f>
        <v>042633004</v>
      </c>
      <c r="B4387" s="210" t="str">
        <f>IFERROR(__xludf.DUMMYFUNCTION("""COMPUTED_VALUE"""),"042633004")</f>
        <v>042633004</v>
      </c>
      <c r="C4387" s="213">
        <f>IFERROR(__xludf.DUMMYFUNCTION("""COMPUTED_VALUE"""),46119.367372685185)</f>
        <v>46119.36737</v>
      </c>
      <c r="D4387" s="211" t="str">
        <f>IFERROR(__xludf.DUMMYFUNCTION("""COMPUTED_VALUE"""),"89d46c39")</f>
        <v>89d46c39</v>
      </c>
      <c r="E4387" s="211" t="str">
        <f>IFERROR(__xludf.DUMMYFUNCTION("""COMPUTED_VALUE"""),"PT Cakar Baja Persada")</f>
        <v>PT Cakar Baja Persada</v>
      </c>
      <c r="F4387" s="211" t="str">
        <f>IFERROR(__xludf.DUMMYFUNCTION("""COMPUTED_VALUE"""),"f6aab7a9")</f>
        <v>f6aab7a9</v>
      </c>
      <c r="G4387" s="211" t="str">
        <f>IFERROR(__xludf.DUMMYFUNCTION("""COMPUTED_VALUE"""),"Oksigen 6m3 MR")</f>
        <v>Oksigen 6m3 MR</v>
      </c>
      <c r="H4387" s="211" t="str">
        <f>IFERROR(__xludf.DUMMYFUNCTION("""COMPUTED_VALUE"""),"OUT")</f>
        <v>OUT</v>
      </c>
      <c r="I4387" s="211" t="str">
        <f>IFERROR(__xludf.DUMMYFUNCTION("""COMPUTED_VALUE"""),"NORMAL")</f>
        <v>NORMAL</v>
      </c>
      <c r="J4387" s="211">
        <f>IFERROR(__xludf.DUMMYFUNCTION("""COMPUTED_VALUE"""),1.0)</f>
        <v>1</v>
      </c>
      <c r="K4387" s="211"/>
      <c r="L4387" s="211"/>
      <c r="M4387" s="211"/>
      <c r="N4387" s="211"/>
      <c r="O4387" s="211" t="b">
        <f>IFERROR(__xludf.DUMMYFUNCTION("""COMPUTED_VALUE"""),FALSE)</f>
        <v>0</v>
      </c>
    </row>
    <row r="4388">
      <c r="A4388" s="210" t="str">
        <f>IFERROR(__xludf.DUMMYFUNCTION("""COMPUTED_VALUE"""),"0426143005")</f>
        <v>0426143005</v>
      </c>
      <c r="B4388" s="210" t="str">
        <f>IFERROR(__xludf.DUMMYFUNCTION("""COMPUTED_VALUE"""),"0426143005")</f>
        <v>0426143005</v>
      </c>
      <c r="C4388" s="213">
        <f>IFERROR(__xludf.DUMMYFUNCTION("""COMPUTED_VALUE"""),46119.39098379629)</f>
        <v>46119.39098</v>
      </c>
      <c r="D4388" s="211" t="str">
        <f>IFERROR(__xludf.DUMMYFUNCTION("""COMPUTED_VALUE"""),"9828dfc5")</f>
        <v>9828dfc5</v>
      </c>
      <c r="E4388" s="211" t="str">
        <f>IFERROR(__xludf.DUMMYFUNCTION("""COMPUTED_VALUE"""),"Bpk. David")</f>
        <v>Bpk. David</v>
      </c>
      <c r="F4388" s="211" t="str">
        <f>IFERROR(__xludf.DUMMYFUNCTION("""COMPUTED_VALUE"""),"8bdbe149")</f>
        <v>8bdbe149</v>
      </c>
      <c r="G4388" s="211" t="str">
        <f>IFERROR(__xludf.DUMMYFUNCTION("""COMPUTED_VALUE"""),"Oksigen 6m3")</f>
        <v>Oksigen 6m3</v>
      </c>
      <c r="H4388" s="211" t="str">
        <f>IFERROR(__xludf.DUMMYFUNCTION("""COMPUTED_VALUE"""),"OUT")</f>
        <v>OUT</v>
      </c>
      <c r="I4388" s="211" t="str">
        <f>IFERROR(__xludf.DUMMYFUNCTION("""COMPUTED_VALUE"""),"NORMAL")</f>
        <v>NORMAL</v>
      </c>
      <c r="J4388" s="211">
        <f>IFERROR(__xludf.DUMMYFUNCTION("""COMPUTED_VALUE"""),10.0)</f>
        <v>10</v>
      </c>
      <c r="K4388" s="210" t="str">
        <f>IFERROR(__xludf.DUMMYFUNCTION("""COMPUTED_VALUE"""),"11377 11206 1171 1168 11368 11362 11182 11265 1164 11272")</f>
        <v>11377 11206 1171 1168 11368 11362 11182 11265 1164 11272</v>
      </c>
      <c r="L4388" s="211">
        <f>IFERROR(__xludf.DUMMYFUNCTION("""COMPUTED_VALUE"""),60000.0)</f>
        <v>60000</v>
      </c>
      <c r="M4388" s="211"/>
      <c r="N4388" s="211"/>
      <c r="O4388" s="211" t="b">
        <f>IFERROR(__xludf.DUMMYFUNCTION("""COMPUTED_VALUE"""),FALSE)</f>
        <v>0</v>
      </c>
    </row>
    <row r="4389">
      <c r="A4389" s="210" t="str">
        <f>IFERROR(__xludf.DUMMYFUNCTION("""COMPUTED_VALUE"""),"0426513006")</f>
        <v>0426513006</v>
      </c>
      <c r="B4389" s="210" t="str">
        <f>IFERROR(__xludf.DUMMYFUNCTION("""COMPUTED_VALUE"""),"0426513006")</f>
        <v>0426513006</v>
      </c>
      <c r="C4389" s="213">
        <f>IFERROR(__xludf.DUMMYFUNCTION("""COMPUTED_VALUE"""),46119.39189814815)</f>
        <v>46119.3919</v>
      </c>
      <c r="D4389" s="211" t="str">
        <f>IFERROR(__xludf.DUMMYFUNCTION("""COMPUTED_VALUE"""),"ec231cc9")</f>
        <v>ec231cc9</v>
      </c>
      <c r="E4389" s="211" t="str">
        <f>IFERROR(__xludf.DUMMYFUNCTION("""COMPUTED_VALUE"""),"Bpk. Kadir (Maintenance Velg)")</f>
        <v>Bpk. Kadir (Maintenance Velg)</v>
      </c>
      <c r="F4389" s="211" t="str">
        <f>IFERROR(__xludf.DUMMYFUNCTION("""COMPUTED_VALUE"""),"8bdbe149")</f>
        <v>8bdbe149</v>
      </c>
      <c r="G4389" s="211" t="str">
        <f>IFERROR(__xludf.DUMMYFUNCTION("""COMPUTED_VALUE"""),"Oksigen 6m3")</f>
        <v>Oksigen 6m3</v>
      </c>
      <c r="H4389" s="211" t="str">
        <f>IFERROR(__xludf.DUMMYFUNCTION("""COMPUTED_VALUE"""),"OUT")</f>
        <v>OUT</v>
      </c>
      <c r="I4389" s="211" t="str">
        <f>IFERROR(__xludf.DUMMYFUNCTION("""COMPUTED_VALUE"""),"NORMAL")</f>
        <v>NORMAL</v>
      </c>
      <c r="J4389" s="211">
        <f>IFERROR(__xludf.DUMMYFUNCTION("""COMPUTED_VALUE"""),3.0)</f>
        <v>3</v>
      </c>
      <c r="K4389" s="210" t="str">
        <f>IFERROR(__xludf.DUMMYFUNCTION("""COMPUTED_VALUE"""),"1136 11359 1121")</f>
        <v>1136 11359 1121</v>
      </c>
      <c r="L4389" s="211">
        <f>IFERROR(__xludf.DUMMYFUNCTION("""COMPUTED_VALUE"""),55000.0)</f>
        <v>55000</v>
      </c>
      <c r="M4389" s="211"/>
      <c r="N4389" s="211"/>
      <c r="O4389" s="211" t="b">
        <f>IFERROR(__xludf.DUMMYFUNCTION("""COMPUTED_VALUE"""),FALSE)</f>
        <v>0</v>
      </c>
    </row>
    <row r="4390">
      <c r="A4390" s="210" t="str">
        <f>IFERROR(__xludf.DUMMYFUNCTION("""COMPUTED_VALUE"""),"0426513006")</f>
        <v>0426513006</v>
      </c>
      <c r="B4390" s="210" t="str">
        <f>IFERROR(__xludf.DUMMYFUNCTION("""COMPUTED_VALUE"""),"0426513006")</f>
        <v>0426513006</v>
      </c>
      <c r="C4390" s="213">
        <f>IFERROR(__xludf.DUMMYFUNCTION("""COMPUTED_VALUE"""),46119.39189814815)</f>
        <v>46119.3919</v>
      </c>
      <c r="D4390" s="211" t="str">
        <f>IFERROR(__xludf.DUMMYFUNCTION("""COMPUTED_VALUE"""),"ec231cc9")</f>
        <v>ec231cc9</v>
      </c>
      <c r="E4390" s="211" t="str">
        <f>IFERROR(__xludf.DUMMYFUNCTION("""COMPUTED_VALUE"""),"Bpk. Kadir (Maintenance Velg)")</f>
        <v>Bpk. Kadir (Maintenance Velg)</v>
      </c>
      <c r="F4390" s="211" t="str">
        <f>IFERROR(__xludf.DUMMYFUNCTION("""COMPUTED_VALUE"""),"ef306e54")</f>
        <v>ef306e54</v>
      </c>
      <c r="G4390" s="211" t="str">
        <f>IFERROR(__xludf.DUMMYFUNCTION("""COMPUTED_VALUE"""),"Karbondioksida")</f>
        <v>Karbondioksida</v>
      </c>
      <c r="H4390" s="211" t="str">
        <f>IFERROR(__xludf.DUMMYFUNCTION("""COMPUTED_VALUE"""),"OUT")</f>
        <v>OUT</v>
      </c>
      <c r="I4390" s="211" t="str">
        <f>IFERROR(__xludf.DUMMYFUNCTION("""COMPUTED_VALUE"""),"NORMAL")</f>
        <v>NORMAL</v>
      </c>
      <c r="J4390" s="211">
        <f>IFERROR(__xludf.DUMMYFUNCTION("""COMPUTED_VALUE"""),2.0)</f>
        <v>2</v>
      </c>
      <c r="K4390" s="210" t="str">
        <f>IFERROR(__xludf.DUMMYFUNCTION("""COMPUTED_VALUE"""),"13065 13043")</f>
        <v>13065 13043</v>
      </c>
      <c r="L4390" s="211">
        <f>IFERROR(__xludf.DUMMYFUNCTION("""COMPUTED_VALUE"""),175000.0)</f>
        <v>175000</v>
      </c>
      <c r="M4390" s="211"/>
      <c r="N4390" s="211"/>
      <c r="O4390" s="211" t="b">
        <f>IFERROR(__xludf.DUMMYFUNCTION("""COMPUTED_VALUE"""),FALSE)</f>
        <v>0</v>
      </c>
    </row>
    <row r="4391">
      <c r="A4391" s="210" t="str">
        <f>IFERROR(__xludf.DUMMYFUNCTION("""COMPUTED_VALUE"""),"0426473007")</f>
        <v>0426473007</v>
      </c>
      <c r="B4391" s="210" t="str">
        <f>IFERROR(__xludf.DUMMYFUNCTION("""COMPUTED_VALUE"""),"0426473007")</f>
        <v>0426473007</v>
      </c>
      <c r="C4391" s="213">
        <f>IFERROR(__xludf.DUMMYFUNCTION("""COMPUTED_VALUE"""),46119.52309027778)</f>
        <v>46119.52309</v>
      </c>
      <c r="D4391" s="211" t="str">
        <f>IFERROR(__xludf.DUMMYFUNCTION("""COMPUTED_VALUE"""),"01158be1")</f>
        <v>01158be1</v>
      </c>
      <c r="E4391" s="211" t="str">
        <f>IFERROR(__xludf.DUMMYFUNCTION("""COMPUTED_VALUE"""),"GYF")</f>
        <v>GYF</v>
      </c>
      <c r="F4391" s="211" t="str">
        <f>IFERROR(__xludf.DUMMYFUNCTION("""COMPUTED_VALUE"""),"7d2764f1")</f>
        <v>7d2764f1</v>
      </c>
      <c r="G4391" s="211" t="str">
        <f>IFERROR(__xludf.DUMMYFUNCTION("""COMPUTED_VALUE"""),"Oksigen 7m3")</f>
        <v>Oksigen 7m3</v>
      </c>
      <c r="H4391" s="211" t="str">
        <f>IFERROR(__xludf.DUMMYFUNCTION("""COMPUTED_VALUE"""),"OUT")</f>
        <v>OUT</v>
      </c>
      <c r="I4391" s="211" t="str">
        <f>IFERROR(__xludf.DUMMYFUNCTION("""COMPUTED_VALUE"""),"NORMAL")</f>
        <v>NORMAL</v>
      </c>
      <c r="J4391" s="211">
        <f>IFERROR(__xludf.DUMMYFUNCTION("""COMPUTED_VALUE"""),15.0)</f>
        <v>15</v>
      </c>
      <c r="K4391" s="210" t="str">
        <f>IFERROR(__xludf.DUMMYFUNCTION("""COMPUTED_VALUE"""),"11306 11151 11139 11389 11142 11158 11166 11167 11388 11269 11307 11338 11152 11170 11384")</f>
        <v>11306 11151 11139 11389 11142 11158 11166 11167 11388 11269 11307 11338 11152 11170 11384</v>
      </c>
      <c r="L4391" s="211">
        <f>IFERROR(__xludf.DUMMYFUNCTION("""COMPUTED_VALUE"""),50000.0)</f>
        <v>50000</v>
      </c>
      <c r="M4391" s="211"/>
      <c r="N4391" s="211"/>
      <c r="O4391" s="211" t="b">
        <f>IFERROR(__xludf.DUMMYFUNCTION("""COMPUTED_VALUE"""),FALSE)</f>
        <v>0</v>
      </c>
    </row>
    <row r="4392">
      <c r="A4392" s="210" t="str">
        <f>IFERROR(__xludf.DUMMYFUNCTION("""COMPUTED_VALUE"""),"1261487")</f>
        <v>1261487</v>
      </c>
      <c r="B4392" s="210" t="str">
        <f>IFERROR(__xludf.DUMMYFUNCTION("""COMPUTED_VALUE"""),"1261487")</f>
        <v>1261487</v>
      </c>
      <c r="C4392" s="213">
        <f>IFERROR(__xludf.DUMMYFUNCTION("""COMPUTED_VALUE"""),46119.560949074075)</f>
        <v>46119.56095</v>
      </c>
      <c r="D4392" s="211" t="str">
        <f>IFERROR(__xludf.DUMMYFUNCTION("""COMPUTED_VALUE"""),"9828dfc5")</f>
        <v>9828dfc5</v>
      </c>
      <c r="E4392" s="211" t="str">
        <f>IFERROR(__xludf.DUMMYFUNCTION("""COMPUTED_VALUE"""),"Bpk. David")</f>
        <v>Bpk. David</v>
      </c>
      <c r="F4392" s="211" t="str">
        <f>IFERROR(__xludf.DUMMYFUNCTION("""COMPUTED_VALUE"""),"8bdbe149")</f>
        <v>8bdbe149</v>
      </c>
      <c r="G4392" s="211" t="str">
        <f>IFERROR(__xludf.DUMMYFUNCTION("""COMPUTED_VALUE"""),"Oksigen 6m3")</f>
        <v>Oksigen 6m3</v>
      </c>
      <c r="H4392" s="211" t="str">
        <f>IFERROR(__xludf.DUMMYFUNCTION("""COMPUTED_VALUE"""),"IN")</f>
        <v>IN</v>
      </c>
      <c r="I4392" s="211" t="str">
        <f>IFERROR(__xludf.DUMMYFUNCTION("""COMPUTED_VALUE"""),"EMPTY")</f>
        <v>EMPTY</v>
      </c>
      <c r="J4392" s="211">
        <f>IFERROR(__xludf.DUMMYFUNCTION("""COMPUTED_VALUE"""),6.0)</f>
        <v>6</v>
      </c>
      <c r="K4392" s="210" t="str">
        <f>IFERROR(__xludf.DUMMYFUNCTION("""COMPUTED_VALUE"""),"11268 11122 11379 11107 11296 1144")</f>
        <v>11268 11122 11379 11107 11296 1144</v>
      </c>
      <c r="L4392" s="211">
        <f>IFERROR(__xludf.DUMMYFUNCTION("""COMPUTED_VALUE"""),0.0)</f>
        <v>0</v>
      </c>
      <c r="M4392" s="211"/>
      <c r="N4392" s="211"/>
      <c r="O4392" s="211" t="b">
        <f>IFERROR(__xludf.DUMMYFUNCTION("""COMPUTED_VALUE"""),FALSE)</f>
        <v>0</v>
      </c>
    </row>
    <row r="4393">
      <c r="A4393" s="210" t="str">
        <f>IFERROR(__xludf.DUMMYFUNCTION("""COMPUTED_VALUE"""),"1261487")</f>
        <v>1261487</v>
      </c>
      <c r="B4393" s="210" t="str">
        <f>IFERROR(__xludf.DUMMYFUNCTION("""COMPUTED_VALUE"""),"1261487")</f>
        <v>1261487</v>
      </c>
      <c r="C4393" s="213">
        <f>IFERROR(__xludf.DUMMYFUNCTION("""COMPUTED_VALUE"""),46119.560949074075)</f>
        <v>46119.56095</v>
      </c>
      <c r="D4393" s="211" t="str">
        <f>IFERROR(__xludf.DUMMYFUNCTION("""COMPUTED_VALUE"""),"9828dfc5")</f>
        <v>9828dfc5</v>
      </c>
      <c r="E4393" s="211" t="str">
        <f>IFERROR(__xludf.DUMMYFUNCTION("""COMPUTED_VALUE"""),"Bpk. David")</f>
        <v>Bpk. David</v>
      </c>
      <c r="F4393" s="211" t="str">
        <f>IFERROR(__xludf.DUMMYFUNCTION("""COMPUTED_VALUE"""),"7d2764f1")</f>
        <v>7d2764f1</v>
      </c>
      <c r="G4393" s="211" t="str">
        <f>IFERROR(__xludf.DUMMYFUNCTION("""COMPUTED_VALUE"""),"Oksigen 7m3")</f>
        <v>Oksigen 7m3</v>
      </c>
      <c r="H4393" s="211" t="str">
        <f>IFERROR(__xludf.DUMMYFUNCTION("""COMPUTED_VALUE"""),"IN")</f>
        <v>IN</v>
      </c>
      <c r="I4393" s="211" t="str">
        <f>IFERROR(__xludf.DUMMYFUNCTION("""COMPUTED_VALUE"""),"EMPTY")</f>
        <v>EMPTY</v>
      </c>
      <c r="J4393" s="211">
        <f>IFERROR(__xludf.DUMMYFUNCTION("""COMPUTED_VALUE"""),2.0)</f>
        <v>2</v>
      </c>
      <c r="K4393" s="210" t="str">
        <f>IFERROR(__xludf.DUMMYFUNCTION("""COMPUTED_VALUE"""),"11305 11342")</f>
        <v>11305 11342</v>
      </c>
      <c r="L4393" s="211">
        <f>IFERROR(__xludf.DUMMYFUNCTION("""COMPUTED_VALUE"""),0.0)</f>
        <v>0</v>
      </c>
      <c r="M4393" s="211"/>
      <c r="N4393" s="211"/>
      <c r="O4393" s="211" t="b">
        <f>IFERROR(__xludf.DUMMYFUNCTION("""COMPUTED_VALUE"""),FALSE)</f>
        <v>0</v>
      </c>
    </row>
    <row r="4394">
      <c r="A4394" s="210" t="str">
        <f>IFERROR(__xludf.DUMMYFUNCTION("""COMPUTED_VALUE"""),"1261488")</f>
        <v>1261488</v>
      </c>
      <c r="B4394" s="210" t="str">
        <f>IFERROR(__xludf.DUMMYFUNCTION("""COMPUTED_VALUE"""),"1261488")</f>
        <v>1261488</v>
      </c>
      <c r="C4394" s="213">
        <f>IFERROR(__xludf.DUMMYFUNCTION("""COMPUTED_VALUE"""),46119.5624537037)</f>
        <v>46119.56245</v>
      </c>
      <c r="D4394" s="211" t="str">
        <f>IFERROR(__xludf.DUMMYFUNCTION("""COMPUTED_VALUE"""),"b218b89b")</f>
        <v>b218b89b</v>
      </c>
      <c r="E4394" s="211" t="str">
        <f>IFERROR(__xludf.DUMMYFUNCTION("""COMPUTED_VALUE"""),"PT Harapan Sentosa")</f>
        <v>PT Harapan Sentosa</v>
      </c>
      <c r="F4394" s="211" t="str">
        <f>IFERROR(__xludf.DUMMYFUNCTION("""COMPUTED_VALUE"""),"8bdbe149")</f>
        <v>8bdbe149</v>
      </c>
      <c r="G4394" s="211" t="str">
        <f>IFERROR(__xludf.DUMMYFUNCTION("""COMPUTED_VALUE"""),"Oksigen 6m3")</f>
        <v>Oksigen 6m3</v>
      </c>
      <c r="H4394" s="211" t="str">
        <f>IFERROR(__xludf.DUMMYFUNCTION("""COMPUTED_VALUE"""),"IN")</f>
        <v>IN</v>
      </c>
      <c r="I4394" s="211" t="str">
        <f>IFERROR(__xludf.DUMMYFUNCTION("""COMPUTED_VALUE"""),"EMPTY")</f>
        <v>EMPTY</v>
      </c>
      <c r="J4394" s="211">
        <f>IFERROR(__xludf.DUMMYFUNCTION("""COMPUTED_VALUE"""),3.0)</f>
        <v>3</v>
      </c>
      <c r="K4394" s="210" t="str">
        <f>IFERROR(__xludf.DUMMYFUNCTION("""COMPUTED_VALUE"""),"11180 1113 1158")</f>
        <v>11180 1113 1158</v>
      </c>
      <c r="L4394" s="211">
        <f>IFERROR(__xludf.DUMMYFUNCTION("""COMPUTED_VALUE"""),0.0)</f>
        <v>0</v>
      </c>
      <c r="M4394" s="211"/>
      <c r="N4394" s="211"/>
      <c r="O4394" s="211" t="b">
        <f>IFERROR(__xludf.DUMMYFUNCTION("""COMPUTED_VALUE"""),FALSE)</f>
        <v>0</v>
      </c>
    </row>
    <row r="4395">
      <c r="A4395" s="210" t="str">
        <f>IFERROR(__xludf.DUMMYFUNCTION("""COMPUTED_VALUE"""),"1261488")</f>
        <v>1261488</v>
      </c>
      <c r="B4395" s="210" t="str">
        <f>IFERROR(__xludf.DUMMYFUNCTION("""COMPUTED_VALUE"""),"1261488")</f>
        <v>1261488</v>
      </c>
      <c r="C4395" s="213">
        <f>IFERROR(__xludf.DUMMYFUNCTION("""COMPUTED_VALUE"""),46119.5624537037)</f>
        <v>46119.56245</v>
      </c>
      <c r="D4395" s="211" t="str">
        <f>IFERROR(__xludf.DUMMYFUNCTION("""COMPUTED_VALUE"""),"b218b89b")</f>
        <v>b218b89b</v>
      </c>
      <c r="E4395" s="211" t="str">
        <f>IFERROR(__xludf.DUMMYFUNCTION("""COMPUTED_VALUE"""),"PT Harapan Sentosa")</f>
        <v>PT Harapan Sentosa</v>
      </c>
      <c r="F4395" s="211" t="str">
        <f>IFERROR(__xludf.DUMMYFUNCTION("""COMPUTED_VALUE"""),"7d2764f1")</f>
        <v>7d2764f1</v>
      </c>
      <c r="G4395" s="211" t="str">
        <f>IFERROR(__xludf.DUMMYFUNCTION("""COMPUTED_VALUE"""),"Oksigen 7m3")</f>
        <v>Oksigen 7m3</v>
      </c>
      <c r="H4395" s="211" t="str">
        <f>IFERROR(__xludf.DUMMYFUNCTION("""COMPUTED_VALUE"""),"IN")</f>
        <v>IN</v>
      </c>
      <c r="I4395" s="211" t="str">
        <f>IFERROR(__xludf.DUMMYFUNCTION("""COMPUTED_VALUE"""),"EMPTY")</f>
        <v>EMPTY</v>
      </c>
      <c r="J4395" s="211">
        <f>IFERROR(__xludf.DUMMYFUNCTION("""COMPUTED_VALUE"""),3.0)</f>
        <v>3</v>
      </c>
      <c r="K4395" s="210" t="str">
        <f>IFERROR(__xludf.DUMMYFUNCTION("""COMPUTED_VALUE"""),"11146 11163 11395")</f>
        <v>11146 11163 11395</v>
      </c>
      <c r="L4395" s="211">
        <f>IFERROR(__xludf.DUMMYFUNCTION("""COMPUTED_VALUE"""),0.0)</f>
        <v>0</v>
      </c>
      <c r="M4395" s="211"/>
      <c r="N4395" s="211"/>
      <c r="O4395" s="211" t="b">
        <f>IFERROR(__xludf.DUMMYFUNCTION("""COMPUTED_VALUE"""),FALSE)</f>
        <v>0</v>
      </c>
    </row>
    <row r="4396">
      <c r="A4396" s="210" t="str">
        <f>IFERROR(__xludf.DUMMYFUNCTION("""COMPUTED_VALUE"""),"1261486")</f>
        <v>1261486</v>
      </c>
      <c r="B4396" s="210" t="str">
        <f>IFERROR(__xludf.DUMMYFUNCTION("""COMPUTED_VALUE"""),"1261486")</f>
        <v>1261486</v>
      </c>
      <c r="C4396" s="213">
        <f>IFERROR(__xludf.DUMMYFUNCTION("""COMPUTED_VALUE"""),46119.56344907408)</f>
        <v>46119.56345</v>
      </c>
      <c r="D4396" s="211" t="str">
        <f>IFERROR(__xludf.DUMMYFUNCTION("""COMPUTED_VALUE"""),"ec231cc9")</f>
        <v>ec231cc9</v>
      </c>
      <c r="E4396" s="211" t="str">
        <f>IFERROR(__xludf.DUMMYFUNCTION("""COMPUTED_VALUE"""),"Bpk. Kohir (Maintenance Velg)")</f>
        <v>Bpk. Kohir (Maintenance Velg)</v>
      </c>
      <c r="F4396" s="211" t="str">
        <f>IFERROR(__xludf.DUMMYFUNCTION("""COMPUTED_VALUE"""),"8bdbe149")</f>
        <v>8bdbe149</v>
      </c>
      <c r="G4396" s="211" t="str">
        <f>IFERROR(__xludf.DUMMYFUNCTION("""COMPUTED_VALUE"""),"Oksigen 6m3")</f>
        <v>Oksigen 6m3</v>
      </c>
      <c r="H4396" s="211" t="str">
        <f>IFERROR(__xludf.DUMMYFUNCTION("""COMPUTED_VALUE"""),"IN")</f>
        <v>IN</v>
      </c>
      <c r="I4396" s="211" t="str">
        <f>IFERROR(__xludf.DUMMYFUNCTION("""COMPUTED_VALUE"""),"EMPTY")</f>
        <v>EMPTY</v>
      </c>
      <c r="J4396" s="211">
        <f>IFERROR(__xludf.DUMMYFUNCTION("""COMPUTED_VALUE"""),3.0)</f>
        <v>3</v>
      </c>
      <c r="K4396" s="210" t="str">
        <f>IFERROR(__xludf.DUMMYFUNCTION("""COMPUTED_VALUE"""),"1129 11275 1188")</f>
        <v>1129 11275 1188</v>
      </c>
      <c r="L4396" s="211">
        <f>IFERROR(__xludf.DUMMYFUNCTION("""COMPUTED_VALUE"""),0.0)</f>
        <v>0</v>
      </c>
      <c r="M4396" s="211"/>
      <c r="N4396" s="211"/>
      <c r="O4396" s="211" t="b">
        <f>IFERROR(__xludf.DUMMYFUNCTION("""COMPUTED_VALUE"""),FALSE)</f>
        <v>0</v>
      </c>
    </row>
    <row r="4397">
      <c r="A4397" s="210" t="str">
        <f>IFERROR(__xludf.DUMMYFUNCTION("""COMPUTED_VALUE"""),"1261486")</f>
        <v>1261486</v>
      </c>
      <c r="B4397" s="210" t="str">
        <f>IFERROR(__xludf.DUMMYFUNCTION("""COMPUTED_VALUE"""),"1261486")</f>
        <v>1261486</v>
      </c>
      <c r="C4397" s="213">
        <f>IFERROR(__xludf.DUMMYFUNCTION("""COMPUTED_VALUE"""),46119.56344907408)</f>
        <v>46119.56345</v>
      </c>
      <c r="D4397" s="211" t="str">
        <f>IFERROR(__xludf.DUMMYFUNCTION("""COMPUTED_VALUE"""),"ec231cc9")</f>
        <v>ec231cc9</v>
      </c>
      <c r="E4397" s="211" t="str">
        <f>IFERROR(__xludf.DUMMYFUNCTION("""COMPUTED_VALUE"""),"Bpk. Kohir (Maintenance Velg)")</f>
        <v>Bpk. Kohir (Maintenance Velg)</v>
      </c>
      <c r="F4397" s="211" t="str">
        <f>IFERROR(__xludf.DUMMYFUNCTION("""COMPUTED_VALUE"""),"ef306e54")</f>
        <v>ef306e54</v>
      </c>
      <c r="G4397" s="211" t="str">
        <f>IFERROR(__xludf.DUMMYFUNCTION("""COMPUTED_VALUE"""),"Karbondioksida")</f>
        <v>Karbondioksida</v>
      </c>
      <c r="H4397" s="211" t="str">
        <f>IFERROR(__xludf.DUMMYFUNCTION("""COMPUTED_VALUE"""),"IN")</f>
        <v>IN</v>
      </c>
      <c r="I4397" s="211" t="str">
        <f>IFERROR(__xludf.DUMMYFUNCTION("""COMPUTED_VALUE"""),"EMPTY")</f>
        <v>EMPTY</v>
      </c>
      <c r="J4397" s="211">
        <f>IFERROR(__xludf.DUMMYFUNCTION("""COMPUTED_VALUE"""),2.0)</f>
        <v>2</v>
      </c>
      <c r="K4397" s="210" t="str">
        <f>IFERROR(__xludf.DUMMYFUNCTION("""COMPUTED_VALUE"""),"13046 13067")</f>
        <v>13046 13067</v>
      </c>
      <c r="L4397" s="211">
        <f>IFERROR(__xludf.DUMMYFUNCTION("""COMPUTED_VALUE"""),0.0)</f>
        <v>0</v>
      </c>
      <c r="M4397" s="211"/>
      <c r="N4397" s="211"/>
      <c r="O4397" s="211" t="b">
        <f>IFERROR(__xludf.DUMMYFUNCTION("""COMPUTED_VALUE"""),FALSE)</f>
        <v>0</v>
      </c>
    </row>
    <row r="4398">
      <c r="A4398" s="210" t="str">
        <f>IFERROR(__xludf.DUMMYFUNCTION("""COMPUTED_VALUE"""),"1261485")</f>
        <v>1261485</v>
      </c>
      <c r="B4398" s="210" t="str">
        <f>IFERROR(__xludf.DUMMYFUNCTION("""COMPUTED_VALUE"""),"1261485")</f>
        <v>1261485</v>
      </c>
      <c r="C4398" s="213">
        <f>IFERROR(__xludf.DUMMYFUNCTION("""COMPUTED_VALUE"""),46119.56412037037)</f>
        <v>46119.56412</v>
      </c>
      <c r="D4398" s="211" t="str">
        <f>IFERROR(__xludf.DUMMYFUNCTION("""COMPUTED_VALUE"""),"89d46c39")</f>
        <v>89d46c39</v>
      </c>
      <c r="E4398" s="211" t="str">
        <f>IFERROR(__xludf.DUMMYFUNCTION("""COMPUTED_VALUE"""),"PT Cakar Baja Persada")</f>
        <v>PT Cakar Baja Persada</v>
      </c>
      <c r="F4398" s="211" t="str">
        <f>IFERROR(__xludf.DUMMYFUNCTION("""COMPUTED_VALUE"""),"7d2764f1")</f>
        <v>7d2764f1</v>
      </c>
      <c r="G4398" s="211" t="str">
        <f>IFERROR(__xludf.DUMMYFUNCTION("""COMPUTED_VALUE"""),"Oksigen 7m3")</f>
        <v>Oksigen 7m3</v>
      </c>
      <c r="H4398" s="211" t="str">
        <f>IFERROR(__xludf.DUMMYFUNCTION("""COMPUTED_VALUE"""),"IN")</f>
        <v>IN</v>
      </c>
      <c r="I4398" s="211" t="str">
        <f>IFERROR(__xludf.DUMMYFUNCTION("""COMPUTED_VALUE"""),"EMPTY")</f>
        <v>EMPTY</v>
      </c>
      <c r="J4398" s="211">
        <f>IFERROR(__xludf.DUMMYFUNCTION("""COMPUTED_VALUE"""),1.0)</f>
        <v>1</v>
      </c>
      <c r="K4398" s="210" t="str">
        <f>IFERROR(__xludf.DUMMYFUNCTION("""COMPUTED_VALUE"""),"11335")</f>
        <v>11335</v>
      </c>
      <c r="L4398" s="211">
        <f>IFERROR(__xludf.DUMMYFUNCTION("""COMPUTED_VALUE"""),0.0)</f>
        <v>0</v>
      </c>
      <c r="M4398" s="211"/>
      <c r="N4398" s="211"/>
      <c r="O4398" s="211" t="b">
        <f>IFERROR(__xludf.DUMMYFUNCTION("""COMPUTED_VALUE"""),FALSE)</f>
        <v>0</v>
      </c>
    </row>
    <row r="4399">
      <c r="A4399" s="210" t="str">
        <f>IFERROR(__xludf.DUMMYFUNCTION("""COMPUTED_VALUE"""),"1261498")</f>
        <v>1261498</v>
      </c>
      <c r="B4399" s="210" t="str">
        <f>IFERROR(__xludf.DUMMYFUNCTION("""COMPUTED_VALUE"""),"1261498")</f>
        <v>1261498</v>
      </c>
      <c r="C4399" s="213">
        <f>IFERROR(__xludf.DUMMYFUNCTION("""COMPUTED_VALUE"""),46119.60967592592)</f>
        <v>46119.60968</v>
      </c>
      <c r="D4399" s="211" t="str">
        <f>IFERROR(__xludf.DUMMYFUNCTION("""COMPUTED_VALUE"""),"057b6b99")</f>
        <v>057b6b99</v>
      </c>
      <c r="E4399" s="211" t="str">
        <f>IFERROR(__xludf.DUMMYFUNCTION("""COMPUTED_VALUE"""),"PT Anuta Utama Transport")</f>
        <v>PT Anuta Utama Transport</v>
      </c>
      <c r="F4399" s="211" t="str">
        <f>IFERROR(__xludf.DUMMYFUNCTION("""COMPUTED_VALUE"""),"8bdbe149")</f>
        <v>8bdbe149</v>
      </c>
      <c r="G4399" s="211" t="str">
        <f>IFERROR(__xludf.DUMMYFUNCTION("""COMPUTED_VALUE"""),"Oksigen 6m3")</f>
        <v>Oksigen 6m3</v>
      </c>
      <c r="H4399" s="211" t="str">
        <f>IFERROR(__xludf.DUMMYFUNCTION("""COMPUTED_VALUE"""),"IN")</f>
        <v>IN</v>
      </c>
      <c r="I4399" s="211" t="str">
        <f>IFERROR(__xludf.DUMMYFUNCTION("""COMPUTED_VALUE"""),"EMPTY")</f>
        <v>EMPTY</v>
      </c>
      <c r="J4399" s="211">
        <f>IFERROR(__xludf.DUMMYFUNCTION("""COMPUTED_VALUE"""),1.0)</f>
        <v>1</v>
      </c>
      <c r="K4399" s="210" t="str">
        <f>IFERROR(__xludf.DUMMYFUNCTION("""COMPUTED_VALUE"""),"11188")</f>
        <v>11188</v>
      </c>
      <c r="L4399" s="211">
        <f>IFERROR(__xludf.DUMMYFUNCTION("""COMPUTED_VALUE"""),0.0)</f>
        <v>0</v>
      </c>
      <c r="M4399" s="211"/>
      <c r="N4399" s="211"/>
      <c r="O4399" s="211" t="b">
        <f>IFERROR(__xludf.DUMMYFUNCTION("""COMPUTED_VALUE"""),FALSE)</f>
        <v>0</v>
      </c>
    </row>
    <row r="4400">
      <c r="A4400" s="210" t="str">
        <f>IFERROR(__xludf.DUMMYFUNCTION("""COMPUTED_VALUE"""),"1261498")</f>
        <v>1261498</v>
      </c>
      <c r="B4400" s="210" t="str">
        <f>IFERROR(__xludf.DUMMYFUNCTION("""COMPUTED_VALUE"""),"1261498")</f>
        <v>1261498</v>
      </c>
      <c r="C4400" s="213">
        <f>IFERROR(__xludf.DUMMYFUNCTION("""COMPUTED_VALUE"""),46119.60967592592)</f>
        <v>46119.60968</v>
      </c>
      <c r="D4400" s="211" t="str">
        <f>IFERROR(__xludf.DUMMYFUNCTION("""COMPUTED_VALUE"""),"057b6b99")</f>
        <v>057b6b99</v>
      </c>
      <c r="E4400" s="211" t="str">
        <f>IFERROR(__xludf.DUMMYFUNCTION("""COMPUTED_VALUE"""),"PT Anuta Utama Transport")</f>
        <v>PT Anuta Utama Transport</v>
      </c>
      <c r="F4400" s="211" t="str">
        <f>IFERROR(__xludf.DUMMYFUNCTION("""COMPUTED_VALUE"""),"7d2764f1")</f>
        <v>7d2764f1</v>
      </c>
      <c r="G4400" s="211" t="str">
        <f>IFERROR(__xludf.DUMMYFUNCTION("""COMPUTED_VALUE"""),"Oksigen 7m3")</f>
        <v>Oksigen 7m3</v>
      </c>
      <c r="H4400" s="211" t="str">
        <f>IFERROR(__xludf.DUMMYFUNCTION("""COMPUTED_VALUE"""),"IN")</f>
        <v>IN</v>
      </c>
      <c r="I4400" s="211" t="str">
        <f>IFERROR(__xludf.DUMMYFUNCTION("""COMPUTED_VALUE"""),"EMPTY")</f>
        <v>EMPTY</v>
      </c>
      <c r="J4400" s="211">
        <f>IFERROR(__xludf.DUMMYFUNCTION("""COMPUTED_VALUE"""),3.0)</f>
        <v>3</v>
      </c>
      <c r="K4400" s="210" t="str">
        <f>IFERROR(__xludf.DUMMYFUNCTION("""COMPUTED_VALUE"""),"11218 11225 11160")</f>
        <v>11218 11225 11160</v>
      </c>
      <c r="L4400" s="211">
        <f>IFERROR(__xludf.DUMMYFUNCTION("""COMPUTED_VALUE"""),0.0)</f>
        <v>0</v>
      </c>
      <c r="M4400" s="211"/>
      <c r="N4400" s="211"/>
      <c r="O4400" s="211" t="b">
        <f>IFERROR(__xludf.DUMMYFUNCTION("""COMPUTED_VALUE"""),FALSE)</f>
        <v>0</v>
      </c>
    </row>
    <row r="4401">
      <c r="A4401" s="210" t="str">
        <f>IFERROR(__xludf.DUMMYFUNCTION("""COMPUTED_VALUE"""),"1261499")</f>
        <v>1261499</v>
      </c>
      <c r="B4401" s="210" t="str">
        <f>IFERROR(__xludf.DUMMYFUNCTION("""COMPUTED_VALUE"""),"1261499")</f>
        <v>1261499</v>
      </c>
      <c r="C4401" s="213">
        <f>IFERROR(__xludf.DUMMYFUNCTION("""COMPUTED_VALUE"""),46119.61032407408)</f>
        <v>46119.61032</v>
      </c>
      <c r="D4401" s="211" t="str">
        <f>IFERROR(__xludf.DUMMYFUNCTION("""COMPUTED_VALUE"""),"b2b5f2c5")</f>
        <v>b2b5f2c5</v>
      </c>
      <c r="E4401" s="211" t="str">
        <f>IFERROR(__xludf.DUMMYFUNCTION("""COMPUTED_VALUE"""),"Bengkel Las Bpk. Ari")</f>
        <v>Bengkel Las Bpk. Ari</v>
      </c>
      <c r="F4401" s="211" t="str">
        <f>IFERROR(__xludf.DUMMYFUNCTION("""COMPUTED_VALUE"""),"8bdbe149")</f>
        <v>8bdbe149</v>
      </c>
      <c r="G4401" s="211" t="str">
        <f>IFERROR(__xludf.DUMMYFUNCTION("""COMPUTED_VALUE"""),"Oksigen 6m3")</f>
        <v>Oksigen 6m3</v>
      </c>
      <c r="H4401" s="211" t="str">
        <f>IFERROR(__xludf.DUMMYFUNCTION("""COMPUTED_VALUE"""),"IN")</f>
        <v>IN</v>
      </c>
      <c r="I4401" s="211" t="str">
        <f>IFERROR(__xludf.DUMMYFUNCTION("""COMPUTED_VALUE"""),"EMPTY")</f>
        <v>EMPTY</v>
      </c>
      <c r="J4401" s="211">
        <f>IFERROR(__xludf.DUMMYFUNCTION("""COMPUTED_VALUE"""),3.0)</f>
        <v>3</v>
      </c>
      <c r="K4401" s="210" t="str">
        <f>IFERROR(__xludf.DUMMYFUNCTION("""COMPUTED_VALUE"""),"11177 11376 1155")</f>
        <v>11177 11376 1155</v>
      </c>
      <c r="L4401" s="211">
        <f>IFERROR(__xludf.DUMMYFUNCTION("""COMPUTED_VALUE"""),0.0)</f>
        <v>0</v>
      </c>
      <c r="M4401" s="211"/>
      <c r="N4401" s="211"/>
      <c r="O4401" s="211" t="b">
        <f>IFERROR(__xludf.DUMMYFUNCTION("""COMPUTED_VALUE"""),FALSE)</f>
        <v>0</v>
      </c>
    </row>
    <row r="4402">
      <c r="A4402" s="210" t="str">
        <f>IFERROR(__xludf.DUMMYFUNCTION("""COMPUTED_VALUE"""),"1261499")</f>
        <v>1261499</v>
      </c>
      <c r="B4402" s="210" t="str">
        <f>IFERROR(__xludf.DUMMYFUNCTION("""COMPUTED_VALUE"""),"1261499")</f>
        <v>1261499</v>
      </c>
      <c r="C4402" s="213">
        <f>IFERROR(__xludf.DUMMYFUNCTION("""COMPUTED_VALUE"""),46119.61032407408)</f>
        <v>46119.61032</v>
      </c>
      <c r="D4402" s="211" t="str">
        <f>IFERROR(__xludf.DUMMYFUNCTION("""COMPUTED_VALUE"""),"b2b5f2c5")</f>
        <v>b2b5f2c5</v>
      </c>
      <c r="E4402" s="211" t="str">
        <f>IFERROR(__xludf.DUMMYFUNCTION("""COMPUTED_VALUE"""),"Bengkel Las Bpk. Ari")</f>
        <v>Bengkel Las Bpk. Ari</v>
      </c>
      <c r="F4402" s="211" t="str">
        <f>IFERROR(__xludf.DUMMYFUNCTION("""COMPUTED_VALUE"""),"ef306e54")</f>
        <v>ef306e54</v>
      </c>
      <c r="G4402" s="211" t="str">
        <f>IFERROR(__xludf.DUMMYFUNCTION("""COMPUTED_VALUE"""),"Karbondioksida")</f>
        <v>Karbondioksida</v>
      </c>
      <c r="H4402" s="211" t="str">
        <f>IFERROR(__xludf.DUMMYFUNCTION("""COMPUTED_VALUE"""),"IN")</f>
        <v>IN</v>
      </c>
      <c r="I4402" s="211" t="str">
        <f>IFERROR(__xludf.DUMMYFUNCTION("""COMPUTED_VALUE"""),"EMPTY")</f>
        <v>EMPTY</v>
      </c>
      <c r="J4402" s="211">
        <f>IFERROR(__xludf.DUMMYFUNCTION("""COMPUTED_VALUE"""),1.0)</f>
        <v>1</v>
      </c>
      <c r="K4402" s="210" t="str">
        <f>IFERROR(__xludf.DUMMYFUNCTION("""COMPUTED_VALUE"""),"13047")</f>
        <v>13047</v>
      </c>
      <c r="L4402" s="211">
        <f>IFERROR(__xludf.DUMMYFUNCTION("""COMPUTED_VALUE"""),0.0)</f>
        <v>0</v>
      </c>
      <c r="M4402" s="211"/>
      <c r="N4402" s="211"/>
      <c r="O4402" s="211" t="b">
        <f>IFERROR(__xludf.DUMMYFUNCTION("""COMPUTED_VALUE"""),FALSE)</f>
        <v>0</v>
      </c>
    </row>
    <row r="4403">
      <c r="A4403" s="210" t="str">
        <f>IFERROR(__xludf.DUMMYFUNCTION("""COMPUTED_VALUE"""),"1261489")</f>
        <v>1261489</v>
      </c>
      <c r="B4403" s="210" t="str">
        <f>IFERROR(__xludf.DUMMYFUNCTION("""COMPUTED_VALUE"""),"1261489")</f>
        <v>1261489</v>
      </c>
      <c r="C4403" s="213">
        <f>IFERROR(__xludf.DUMMYFUNCTION("""COMPUTED_VALUE"""),46119.67454861111)</f>
        <v>46119.67455</v>
      </c>
      <c r="D4403" s="211" t="str">
        <f>IFERROR(__xludf.DUMMYFUNCTION("""COMPUTED_VALUE"""),"01158be1")</f>
        <v>01158be1</v>
      </c>
      <c r="E4403" s="211" t="str">
        <f>IFERROR(__xludf.DUMMYFUNCTION("""COMPUTED_VALUE"""),"GYF")</f>
        <v>GYF</v>
      </c>
      <c r="F4403" s="211" t="str">
        <f>IFERROR(__xludf.DUMMYFUNCTION("""COMPUTED_VALUE"""),"8bdbe149")</f>
        <v>8bdbe149</v>
      </c>
      <c r="G4403" s="211" t="str">
        <f>IFERROR(__xludf.DUMMYFUNCTION("""COMPUTED_VALUE"""),"Oksigen 6m3")</f>
        <v>Oksigen 6m3</v>
      </c>
      <c r="H4403" s="211" t="str">
        <f>IFERROR(__xludf.DUMMYFUNCTION("""COMPUTED_VALUE"""),"IN")</f>
        <v>IN</v>
      </c>
      <c r="I4403" s="211" t="str">
        <f>IFERROR(__xludf.DUMMYFUNCTION("""COMPUTED_VALUE"""),"EMPTY")</f>
        <v>EMPTY</v>
      </c>
      <c r="J4403" s="211">
        <f>IFERROR(__xludf.DUMMYFUNCTION("""COMPUTED_VALUE"""),5.0)</f>
        <v>5</v>
      </c>
      <c r="K4403" s="210" t="str">
        <f>IFERROR(__xludf.DUMMYFUNCTION("""COMPUTED_VALUE"""),"11365 11100 11252 11211 11258")</f>
        <v>11365 11100 11252 11211 11258</v>
      </c>
      <c r="L4403" s="211">
        <f>IFERROR(__xludf.DUMMYFUNCTION("""COMPUTED_VALUE"""),0.0)</f>
        <v>0</v>
      </c>
      <c r="M4403" s="211"/>
      <c r="N4403" s="211"/>
      <c r="O4403" s="211" t="b">
        <f>IFERROR(__xludf.DUMMYFUNCTION("""COMPUTED_VALUE"""),FALSE)</f>
        <v>0</v>
      </c>
    </row>
    <row r="4404">
      <c r="A4404" s="210" t="str">
        <f>IFERROR(__xludf.DUMMYFUNCTION("""COMPUTED_VALUE"""),"1261490")</f>
        <v>1261490</v>
      </c>
      <c r="B4404" s="210" t="str">
        <f>IFERROR(__xludf.DUMMYFUNCTION("""COMPUTED_VALUE"""),"1261490")</f>
        <v>1261490</v>
      </c>
      <c r="C4404" s="213">
        <f>IFERROR(__xludf.DUMMYFUNCTION("""COMPUTED_VALUE"""),46119.67502314815)</f>
        <v>46119.67502</v>
      </c>
      <c r="D4404" s="211" t="str">
        <f>IFERROR(__xludf.DUMMYFUNCTION("""COMPUTED_VALUE"""),"63fc688a")</f>
        <v>63fc688a</v>
      </c>
      <c r="E4404" s="211" t="str">
        <f>IFERROR(__xludf.DUMMYFUNCTION("""COMPUTED_VALUE"""),"CV Malik Nusantara")</f>
        <v>CV Malik Nusantara</v>
      </c>
      <c r="F4404" s="211" t="str">
        <f>IFERROR(__xludf.DUMMYFUNCTION("""COMPUTED_VALUE"""),"8bdbe149")</f>
        <v>8bdbe149</v>
      </c>
      <c r="G4404" s="211" t="str">
        <f>IFERROR(__xludf.DUMMYFUNCTION("""COMPUTED_VALUE"""),"Oksigen 6m3")</f>
        <v>Oksigen 6m3</v>
      </c>
      <c r="H4404" s="211" t="str">
        <f>IFERROR(__xludf.DUMMYFUNCTION("""COMPUTED_VALUE"""),"IN")</f>
        <v>IN</v>
      </c>
      <c r="I4404" s="211" t="str">
        <f>IFERROR(__xludf.DUMMYFUNCTION("""COMPUTED_VALUE"""),"EMPTY")</f>
        <v>EMPTY</v>
      </c>
      <c r="J4404" s="211">
        <f>IFERROR(__xludf.DUMMYFUNCTION("""COMPUTED_VALUE"""),5.0)</f>
        <v>5</v>
      </c>
      <c r="K4404" s="210" t="str">
        <f>IFERROR(__xludf.DUMMYFUNCTION("""COMPUTED_VALUE"""),"11351 11271 1173 11232 1154")</f>
        <v>11351 11271 1173 11232 1154</v>
      </c>
      <c r="L4404" s="211">
        <f>IFERROR(__xludf.DUMMYFUNCTION("""COMPUTED_VALUE"""),0.0)</f>
        <v>0</v>
      </c>
      <c r="M4404" s="211"/>
      <c r="N4404" s="211"/>
      <c r="O4404" s="211" t="b">
        <f>IFERROR(__xludf.DUMMYFUNCTION("""COMPUTED_VALUE"""),FALSE)</f>
        <v>0</v>
      </c>
    </row>
    <row r="4405">
      <c r="A4405" s="210" t="str">
        <f>IFERROR(__xludf.DUMMYFUNCTION("""COMPUTED_VALUE"""),"1261490")</f>
        <v>1261490</v>
      </c>
      <c r="B4405" s="210" t="str">
        <f>IFERROR(__xludf.DUMMYFUNCTION("""COMPUTED_VALUE"""),"1261490")</f>
        <v>1261490</v>
      </c>
      <c r="C4405" s="213">
        <f>IFERROR(__xludf.DUMMYFUNCTION("""COMPUTED_VALUE"""),46119.67502314815)</f>
        <v>46119.67502</v>
      </c>
      <c r="D4405" s="211" t="str">
        <f>IFERROR(__xludf.DUMMYFUNCTION("""COMPUTED_VALUE"""),"63fc688a")</f>
        <v>63fc688a</v>
      </c>
      <c r="E4405" s="211" t="str">
        <f>IFERROR(__xludf.DUMMYFUNCTION("""COMPUTED_VALUE"""),"CV Malik Nusantara")</f>
        <v>CV Malik Nusantara</v>
      </c>
      <c r="F4405" s="211" t="str">
        <f>IFERROR(__xludf.DUMMYFUNCTION("""COMPUTED_VALUE"""),"7d2764f1")</f>
        <v>7d2764f1</v>
      </c>
      <c r="G4405" s="211" t="str">
        <f>IFERROR(__xludf.DUMMYFUNCTION("""COMPUTED_VALUE"""),"Oksigen 7m3")</f>
        <v>Oksigen 7m3</v>
      </c>
      <c r="H4405" s="211" t="str">
        <f>IFERROR(__xludf.DUMMYFUNCTION("""COMPUTED_VALUE"""),"IN")</f>
        <v>IN</v>
      </c>
      <c r="I4405" s="211" t="str">
        <f>IFERROR(__xludf.DUMMYFUNCTION("""COMPUTED_VALUE"""),"EMPTY")</f>
        <v>EMPTY</v>
      </c>
      <c r="J4405" s="211">
        <f>IFERROR(__xludf.DUMMYFUNCTION("""COMPUTED_VALUE"""),1.0)</f>
        <v>1</v>
      </c>
      <c r="K4405" s="210" t="str">
        <f>IFERROR(__xludf.DUMMYFUNCTION("""COMPUTED_VALUE"""),"11178")</f>
        <v>11178</v>
      </c>
      <c r="L4405" s="211">
        <f>IFERROR(__xludf.DUMMYFUNCTION("""COMPUTED_VALUE"""),0.0)</f>
        <v>0</v>
      </c>
      <c r="M4405" s="211"/>
      <c r="N4405" s="211"/>
      <c r="O4405" s="211" t="b">
        <f>IFERROR(__xludf.DUMMYFUNCTION("""COMPUTED_VALUE"""),FALSE)</f>
        <v>0</v>
      </c>
    </row>
    <row r="4406">
      <c r="A4406" s="210" t="str">
        <f>IFERROR(__xludf.DUMMYFUNCTION("""COMPUTED_VALUE"""),"1261490")</f>
        <v>1261490</v>
      </c>
      <c r="B4406" s="210" t="str">
        <f>IFERROR(__xludf.DUMMYFUNCTION("""COMPUTED_VALUE"""),"1261490")</f>
        <v>1261490</v>
      </c>
      <c r="C4406" s="213">
        <f>IFERROR(__xludf.DUMMYFUNCTION("""COMPUTED_VALUE"""),46119.67502314815)</f>
        <v>46119.67502</v>
      </c>
      <c r="D4406" s="211" t="str">
        <f>IFERROR(__xludf.DUMMYFUNCTION("""COMPUTED_VALUE"""),"63fc688a")</f>
        <v>63fc688a</v>
      </c>
      <c r="E4406" s="211" t="str">
        <f>IFERROR(__xludf.DUMMYFUNCTION("""COMPUTED_VALUE"""),"CV Malik Nusantara")</f>
        <v>CV Malik Nusantara</v>
      </c>
      <c r="F4406" s="211" t="str">
        <f>IFERROR(__xludf.DUMMYFUNCTION("""COMPUTED_VALUE"""),"ef306e54")</f>
        <v>ef306e54</v>
      </c>
      <c r="G4406" s="211" t="str">
        <f>IFERROR(__xludf.DUMMYFUNCTION("""COMPUTED_VALUE"""),"Karbondioksida")</f>
        <v>Karbondioksida</v>
      </c>
      <c r="H4406" s="211" t="str">
        <f>IFERROR(__xludf.DUMMYFUNCTION("""COMPUTED_VALUE"""),"IN")</f>
        <v>IN</v>
      </c>
      <c r="I4406" s="211" t="str">
        <f>IFERROR(__xludf.DUMMYFUNCTION("""COMPUTED_VALUE"""),"EMPTY")</f>
        <v>EMPTY</v>
      </c>
      <c r="J4406" s="211">
        <f>IFERROR(__xludf.DUMMYFUNCTION("""COMPUTED_VALUE"""),3.0)</f>
        <v>3</v>
      </c>
      <c r="K4406" s="210" t="str">
        <f>IFERROR(__xludf.DUMMYFUNCTION("""COMPUTED_VALUE"""),"13007 13018 13045")</f>
        <v>13007 13018 13045</v>
      </c>
      <c r="L4406" s="211">
        <f>IFERROR(__xludf.DUMMYFUNCTION("""COMPUTED_VALUE"""),0.0)</f>
        <v>0</v>
      </c>
      <c r="M4406" s="211"/>
      <c r="N4406" s="211"/>
      <c r="O4406" s="211" t="b">
        <f>IFERROR(__xludf.DUMMYFUNCTION("""COMPUTED_VALUE"""),FALSE)</f>
        <v>0</v>
      </c>
    </row>
    <row r="4407">
      <c r="A4407" s="210" t="str">
        <f>IFERROR(__xludf.DUMMYFUNCTION("""COMPUTED_VALUE"""),"0426133008")</f>
        <v>0426133008</v>
      </c>
      <c r="B4407" s="210" t="str">
        <f>IFERROR(__xludf.DUMMYFUNCTION("""COMPUTED_VALUE"""),"0426133008")</f>
        <v>0426133008</v>
      </c>
      <c r="C4407" s="213">
        <f>IFERROR(__xludf.DUMMYFUNCTION("""COMPUTED_VALUE"""),46120.351064814815)</f>
        <v>46120.35106</v>
      </c>
      <c r="D4407" s="211" t="str">
        <f>IFERROR(__xludf.DUMMYFUNCTION("""COMPUTED_VALUE"""),"1c4d5e93")</f>
        <v>1c4d5e93</v>
      </c>
      <c r="E4407" s="211" t="str">
        <f>IFERROR(__xludf.DUMMYFUNCTION("""COMPUTED_VALUE"""),"Karoseri Cipta Mitra Sukses")</f>
        <v>Karoseri Cipta Mitra Sukses</v>
      </c>
      <c r="F4407" s="211" t="str">
        <f>IFERROR(__xludf.DUMMYFUNCTION("""COMPUTED_VALUE"""),"ef306e54")</f>
        <v>ef306e54</v>
      </c>
      <c r="G4407" s="211" t="str">
        <f>IFERROR(__xludf.DUMMYFUNCTION("""COMPUTED_VALUE"""),"Karbondioksida")</f>
        <v>Karbondioksida</v>
      </c>
      <c r="H4407" s="211" t="str">
        <f>IFERROR(__xludf.DUMMYFUNCTION("""COMPUTED_VALUE"""),"OUT")</f>
        <v>OUT</v>
      </c>
      <c r="I4407" s="211" t="str">
        <f>IFERROR(__xludf.DUMMYFUNCTION("""COMPUTED_VALUE"""),"NORMAL")</f>
        <v>NORMAL</v>
      </c>
      <c r="J4407" s="211">
        <f>IFERROR(__xludf.DUMMYFUNCTION("""COMPUTED_VALUE"""),5.0)</f>
        <v>5</v>
      </c>
      <c r="K4407" s="210" t="str">
        <f>IFERROR(__xludf.DUMMYFUNCTION("""COMPUTED_VALUE"""),"13013 13015 13047 13064 13073")</f>
        <v>13013 13015 13047 13064 13073</v>
      </c>
      <c r="L4407" s="211">
        <f>IFERROR(__xludf.DUMMYFUNCTION("""COMPUTED_VALUE"""),190000.0)</f>
        <v>190000</v>
      </c>
      <c r="M4407" s="211"/>
      <c r="N4407" s="211"/>
      <c r="O4407" s="211" t="b">
        <f>IFERROR(__xludf.DUMMYFUNCTION("""COMPUTED_VALUE"""),FALSE)</f>
        <v>0</v>
      </c>
    </row>
    <row r="4408">
      <c r="A4408" s="210" t="str">
        <f>IFERROR(__xludf.DUMMYFUNCTION("""COMPUTED_VALUE"""),"04261003017")</f>
        <v>04261003017</v>
      </c>
      <c r="B4408" s="210" t="str">
        <f>IFERROR(__xludf.DUMMYFUNCTION("""COMPUTED_VALUE"""),"04261003017")</f>
        <v>04261003017</v>
      </c>
      <c r="C4408" s="213">
        <f>IFERROR(__xludf.DUMMYFUNCTION("""COMPUTED_VALUE"""),46120.35475694444)</f>
        <v>46120.35476</v>
      </c>
      <c r="D4408" s="211" t="str">
        <f>IFERROR(__xludf.DUMMYFUNCTION("""COMPUTED_VALUE"""),"b2b5f2c5")</f>
        <v>b2b5f2c5</v>
      </c>
      <c r="E4408" s="211" t="str">
        <f>IFERROR(__xludf.DUMMYFUNCTION("""COMPUTED_VALUE"""),"Bengkel Las Bpk. Ari")</f>
        <v>Bengkel Las Bpk. Ari</v>
      </c>
      <c r="F4408" s="211" t="str">
        <f>IFERROR(__xludf.DUMMYFUNCTION("""COMPUTED_VALUE"""),"8bdbe149")</f>
        <v>8bdbe149</v>
      </c>
      <c r="G4408" s="211" t="str">
        <f>IFERROR(__xludf.DUMMYFUNCTION("""COMPUTED_VALUE"""),"Oksigen 6m3")</f>
        <v>Oksigen 6m3</v>
      </c>
      <c r="H4408" s="211" t="str">
        <f>IFERROR(__xludf.DUMMYFUNCTION("""COMPUTED_VALUE"""),"OUT")</f>
        <v>OUT</v>
      </c>
      <c r="I4408" s="211" t="str">
        <f>IFERROR(__xludf.DUMMYFUNCTION("""COMPUTED_VALUE"""),"NORMAL")</f>
        <v>NORMAL</v>
      </c>
      <c r="J4408" s="211">
        <f>IFERROR(__xludf.DUMMYFUNCTION("""COMPUTED_VALUE"""),6.0)</f>
        <v>6</v>
      </c>
      <c r="K4408" s="210" t="str">
        <f>IFERROR(__xludf.DUMMYFUNCTION("""COMPUTED_VALUE"""),"11184 11107 11177 1155 1113 1188")</f>
        <v>11184 11107 11177 1155 1113 1188</v>
      </c>
      <c r="L4408" s="211">
        <f>IFERROR(__xludf.DUMMYFUNCTION("""COMPUTED_VALUE"""),60000.0)</f>
        <v>60000</v>
      </c>
      <c r="M4408" s="211"/>
      <c r="N4408" s="211"/>
      <c r="O4408" s="211" t="b">
        <f>IFERROR(__xludf.DUMMYFUNCTION("""COMPUTED_VALUE"""),FALSE)</f>
        <v>0</v>
      </c>
    </row>
    <row r="4409">
      <c r="A4409" s="210" t="str">
        <f>IFERROR(__xludf.DUMMYFUNCTION("""COMPUTED_VALUE"""),"04261003017")</f>
        <v>04261003017</v>
      </c>
      <c r="B4409" s="210" t="str">
        <f>IFERROR(__xludf.DUMMYFUNCTION("""COMPUTED_VALUE"""),"04261003017")</f>
        <v>04261003017</v>
      </c>
      <c r="C4409" s="213">
        <f>IFERROR(__xludf.DUMMYFUNCTION("""COMPUTED_VALUE"""),46120.35475694444)</f>
        <v>46120.35476</v>
      </c>
      <c r="D4409" s="211" t="str">
        <f>IFERROR(__xludf.DUMMYFUNCTION("""COMPUTED_VALUE"""),"b2b5f2c5")</f>
        <v>b2b5f2c5</v>
      </c>
      <c r="E4409" s="211" t="str">
        <f>IFERROR(__xludf.DUMMYFUNCTION("""COMPUTED_VALUE"""),"Bengkel Las Bpk. Ari")</f>
        <v>Bengkel Las Bpk. Ari</v>
      </c>
      <c r="F4409" s="211" t="str">
        <f>IFERROR(__xludf.DUMMYFUNCTION("""COMPUTED_VALUE"""),"ef306e54")</f>
        <v>ef306e54</v>
      </c>
      <c r="G4409" s="211" t="str">
        <f>IFERROR(__xludf.DUMMYFUNCTION("""COMPUTED_VALUE"""),"Karbondioksida")</f>
        <v>Karbondioksida</v>
      </c>
      <c r="H4409" s="211" t="str">
        <f>IFERROR(__xludf.DUMMYFUNCTION("""COMPUTED_VALUE"""),"OUT")</f>
        <v>OUT</v>
      </c>
      <c r="I4409" s="211" t="str">
        <f>IFERROR(__xludf.DUMMYFUNCTION("""COMPUTED_VALUE"""),"NORMAL")</f>
        <v>NORMAL</v>
      </c>
      <c r="J4409" s="211">
        <f>IFERROR(__xludf.DUMMYFUNCTION("""COMPUTED_VALUE"""),1.0)</f>
        <v>1</v>
      </c>
      <c r="K4409" s="210" t="str">
        <f>IFERROR(__xludf.DUMMYFUNCTION("""COMPUTED_VALUE"""),"13021")</f>
        <v>13021</v>
      </c>
      <c r="L4409" s="211">
        <f>IFERROR(__xludf.DUMMYFUNCTION("""COMPUTED_VALUE"""),180000.0)</f>
        <v>180000</v>
      </c>
      <c r="M4409" s="211"/>
      <c r="N4409" s="211"/>
      <c r="O4409" s="211" t="b">
        <f>IFERROR(__xludf.DUMMYFUNCTION("""COMPUTED_VALUE"""),FALSE)</f>
        <v>0</v>
      </c>
    </row>
    <row r="4410">
      <c r="A4410" s="210" t="str">
        <f>IFERROR(__xludf.DUMMYFUNCTION("""COMPUTED_VALUE"""),"042653018")</f>
        <v>042653018</v>
      </c>
      <c r="B4410" s="210" t="str">
        <f>IFERROR(__xludf.DUMMYFUNCTION("""COMPUTED_VALUE"""),"042653018")</f>
        <v>042653018</v>
      </c>
      <c r="C4410" s="213">
        <f>IFERROR(__xludf.DUMMYFUNCTION("""COMPUTED_VALUE"""),46120.358136574076)</f>
        <v>46120.35814</v>
      </c>
      <c r="D4410" s="211" t="str">
        <f>IFERROR(__xludf.DUMMYFUNCTION("""COMPUTED_VALUE"""),"58b72e0c")</f>
        <v>58b72e0c</v>
      </c>
      <c r="E4410" s="211" t="str">
        <f>IFERROR(__xludf.DUMMYFUNCTION("""COMPUTED_VALUE"""),"UD. Ais Jaya")</f>
        <v>UD. Ais Jaya</v>
      </c>
      <c r="F4410" s="211" t="str">
        <f>IFERROR(__xludf.DUMMYFUNCTION("""COMPUTED_VALUE"""),"8bdbe149")</f>
        <v>8bdbe149</v>
      </c>
      <c r="G4410" s="211" t="str">
        <f>IFERROR(__xludf.DUMMYFUNCTION("""COMPUTED_VALUE"""),"Oksigen 6m3")</f>
        <v>Oksigen 6m3</v>
      </c>
      <c r="H4410" s="211" t="str">
        <f>IFERROR(__xludf.DUMMYFUNCTION("""COMPUTED_VALUE"""),"OUT")</f>
        <v>OUT</v>
      </c>
      <c r="I4410" s="211" t="str">
        <f>IFERROR(__xludf.DUMMYFUNCTION("""COMPUTED_VALUE"""),"NORMAL")</f>
        <v>NORMAL</v>
      </c>
      <c r="J4410" s="211">
        <f>IFERROR(__xludf.DUMMYFUNCTION("""COMPUTED_VALUE"""),2.0)</f>
        <v>2</v>
      </c>
      <c r="K4410" s="210" t="str">
        <f>IFERROR(__xludf.DUMMYFUNCTION("""COMPUTED_VALUE"""),"1117 1144")</f>
        <v>1117 1144</v>
      </c>
      <c r="L4410" s="211">
        <f>IFERROR(__xludf.DUMMYFUNCTION("""COMPUTED_VALUE"""),60000.0)</f>
        <v>60000</v>
      </c>
      <c r="M4410" s="211"/>
      <c r="N4410" s="211"/>
      <c r="O4410" s="211" t="b">
        <f>IFERROR(__xludf.DUMMYFUNCTION("""COMPUTED_VALUE"""),FALSE)</f>
        <v>0</v>
      </c>
    </row>
    <row r="4411">
      <c r="A4411" s="210" t="str">
        <f>IFERROR(__xludf.DUMMYFUNCTION("""COMPUTED_VALUE"""),"0426153019")</f>
        <v>0426153019</v>
      </c>
      <c r="B4411" s="210" t="str">
        <f>IFERROR(__xludf.DUMMYFUNCTION("""COMPUTED_VALUE"""),"0426153019")</f>
        <v>0426153019</v>
      </c>
      <c r="C4411" s="213">
        <f>IFERROR(__xludf.DUMMYFUNCTION("""COMPUTED_VALUE"""),46120.361608796295)</f>
        <v>46120.36161</v>
      </c>
      <c r="D4411" s="211" t="str">
        <f>IFERROR(__xludf.DUMMYFUNCTION("""COMPUTED_VALUE"""),"03ff52db")</f>
        <v>03ff52db</v>
      </c>
      <c r="E4411" s="211" t="str">
        <f>IFERROR(__xludf.DUMMYFUNCTION("""COMPUTED_VALUE"""),"Aneka Teknik Logam")</f>
        <v>Aneka Teknik Logam</v>
      </c>
      <c r="F4411" s="211" t="str">
        <f>IFERROR(__xludf.DUMMYFUNCTION("""COMPUTED_VALUE"""),"f6aab7a9")</f>
        <v>f6aab7a9</v>
      </c>
      <c r="G4411" s="211" t="str">
        <f>IFERROR(__xludf.DUMMYFUNCTION("""COMPUTED_VALUE"""),"Oksigen 6m3 MR")</f>
        <v>Oksigen 6m3 MR</v>
      </c>
      <c r="H4411" s="211" t="str">
        <f>IFERROR(__xludf.DUMMYFUNCTION("""COMPUTED_VALUE"""),"OUT")</f>
        <v>OUT</v>
      </c>
      <c r="I4411" s="211" t="str">
        <f>IFERROR(__xludf.DUMMYFUNCTION("""COMPUTED_VALUE"""),"NORMAL")</f>
        <v>NORMAL</v>
      </c>
      <c r="J4411" s="211">
        <f>IFERROR(__xludf.DUMMYFUNCTION("""COMPUTED_VALUE"""),1.0)</f>
        <v>1</v>
      </c>
      <c r="K4411" s="211"/>
      <c r="L4411" s="211">
        <f>IFERROR(__xludf.DUMMYFUNCTION("""COMPUTED_VALUE"""),55000.0)</f>
        <v>55000</v>
      </c>
      <c r="M4411" s="211"/>
      <c r="N4411" s="211"/>
      <c r="O4411" s="211" t="b">
        <f>IFERROR(__xludf.DUMMYFUNCTION("""COMPUTED_VALUE"""),FALSE)</f>
        <v>0</v>
      </c>
    </row>
    <row r="4412">
      <c r="A4412" s="210" t="str">
        <f>IFERROR(__xludf.DUMMYFUNCTION("""COMPUTED_VALUE"""),"0426153019")</f>
        <v>0426153019</v>
      </c>
      <c r="B4412" s="210" t="str">
        <f>IFERROR(__xludf.DUMMYFUNCTION("""COMPUTED_VALUE"""),"0426153019")</f>
        <v>0426153019</v>
      </c>
      <c r="C4412" s="213">
        <f>IFERROR(__xludf.DUMMYFUNCTION("""COMPUTED_VALUE"""),46120.361608796295)</f>
        <v>46120.36161</v>
      </c>
      <c r="D4412" s="211" t="str">
        <f>IFERROR(__xludf.DUMMYFUNCTION("""COMPUTED_VALUE"""),"03ff52db")</f>
        <v>03ff52db</v>
      </c>
      <c r="E4412" s="211" t="str">
        <f>IFERROR(__xludf.DUMMYFUNCTION("""COMPUTED_VALUE"""),"Aneka Teknik Logam")</f>
        <v>Aneka Teknik Logam</v>
      </c>
      <c r="F4412" s="211" t="str">
        <f>IFERROR(__xludf.DUMMYFUNCTION("""COMPUTED_VALUE"""),"06f37aa7")</f>
        <v>06f37aa7</v>
      </c>
      <c r="G4412" s="211" t="str">
        <f>IFERROR(__xludf.DUMMYFUNCTION("""COMPUTED_VALUE"""),"Maintenance Serv")</f>
        <v>Maintenance Serv</v>
      </c>
      <c r="H4412" s="211" t="str">
        <f>IFERROR(__xludf.DUMMYFUNCTION("""COMPUTED_VALUE"""),"OUT")</f>
        <v>OUT</v>
      </c>
      <c r="I4412" s="211" t="str">
        <f>IFERROR(__xludf.DUMMYFUNCTION("""COMPUTED_VALUE"""),"NORMAL")</f>
        <v>NORMAL</v>
      </c>
      <c r="J4412" s="211">
        <f>IFERROR(__xludf.DUMMYFUNCTION("""COMPUTED_VALUE"""),1.0)</f>
        <v>1</v>
      </c>
      <c r="K4412" s="211"/>
      <c r="L4412" s="211">
        <f>IFERROR(__xludf.DUMMYFUNCTION("""COMPUTED_VALUE"""),30000.0)</f>
        <v>30000</v>
      </c>
      <c r="M4412" s="211"/>
      <c r="N4412" s="211"/>
      <c r="O4412" s="211" t="b">
        <f>IFERROR(__xludf.DUMMYFUNCTION("""COMPUTED_VALUE"""),FALSE)</f>
        <v>0</v>
      </c>
    </row>
    <row r="4413">
      <c r="A4413" s="210" t="str">
        <f>IFERROR(__xludf.DUMMYFUNCTION("""COMPUTED_VALUE"""),"0426283020")</f>
        <v>0426283020</v>
      </c>
      <c r="B4413" s="210" t="str">
        <f>IFERROR(__xludf.DUMMYFUNCTION("""COMPUTED_VALUE"""),"0426283020")</f>
        <v>0426283020</v>
      </c>
      <c r="C4413" s="213">
        <f>IFERROR(__xludf.DUMMYFUNCTION("""COMPUTED_VALUE"""),46120.361979166664)</f>
        <v>46120.36198</v>
      </c>
      <c r="D4413" s="211" t="str">
        <f>IFERROR(__xludf.DUMMYFUNCTION("""COMPUTED_VALUE"""),"3bcd7fe6")</f>
        <v>3bcd7fe6</v>
      </c>
      <c r="E4413" s="211" t="str">
        <f>IFERROR(__xludf.DUMMYFUNCTION("""COMPUTED_VALUE"""),"Bpk. Alvin (LB Group)")</f>
        <v>Bpk. Alvin (LB Group)</v>
      </c>
      <c r="F4413" s="211" t="str">
        <f>IFERROR(__xludf.DUMMYFUNCTION("""COMPUTED_VALUE"""),"f6aab7a9")</f>
        <v>f6aab7a9</v>
      </c>
      <c r="G4413" s="211" t="str">
        <f>IFERROR(__xludf.DUMMYFUNCTION("""COMPUTED_VALUE"""),"Oksigen 6m3 MR")</f>
        <v>Oksigen 6m3 MR</v>
      </c>
      <c r="H4413" s="211" t="str">
        <f>IFERROR(__xludf.DUMMYFUNCTION("""COMPUTED_VALUE"""),"OUT")</f>
        <v>OUT</v>
      </c>
      <c r="I4413" s="211" t="str">
        <f>IFERROR(__xludf.DUMMYFUNCTION("""COMPUTED_VALUE"""),"NORMAL")</f>
        <v>NORMAL</v>
      </c>
      <c r="J4413" s="211">
        <f>IFERROR(__xludf.DUMMYFUNCTION("""COMPUTED_VALUE"""),2.0)</f>
        <v>2</v>
      </c>
      <c r="K4413" s="211"/>
      <c r="L4413" s="211">
        <f>IFERROR(__xludf.DUMMYFUNCTION("""COMPUTED_VALUE"""),50000.0)</f>
        <v>50000</v>
      </c>
      <c r="M4413" s="211"/>
      <c r="N4413" s="211"/>
      <c r="O4413" s="211" t="b">
        <f>IFERROR(__xludf.DUMMYFUNCTION("""COMPUTED_VALUE"""),FALSE)</f>
        <v>0</v>
      </c>
    </row>
    <row r="4414">
      <c r="A4414" s="210" t="str">
        <f>IFERROR(__xludf.DUMMYFUNCTION("""COMPUTED_VALUE"""),"0426393021")</f>
        <v>0426393021</v>
      </c>
      <c r="B4414" s="210" t="str">
        <f>IFERROR(__xludf.DUMMYFUNCTION("""COMPUTED_VALUE"""),"0426393021")</f>
        <v>0426393021</v>
      </c>
      <c r="C4414" s="213">
        <f>IFERROR(__xludf.DUMMYFUNCTION("""COMPUTED_VALUE"""),46120.36988425926)</f>
        <v>46120.36988</v>
      </c>
      <c r="D4414" s="211" t="str">
        <f>IFERROR(__xludf.DUMMYFUNCTION("""COMPUTED_VALUE"""),"63fc688a")</f>
        <v>63fc688a</v>
      </c>
      <c r="E4414" s="211" t="str">
        <f>IFERROR(__xludf.DUMMYFUNCTION("""COMPUTED_VALUE"""),"CV Malik Nusantara")</f>
        <v>CV Malik Nusantara</v>
      </c>
      <c r="F4414" s="211" t="str">
        <f>IFERROR(__xludf.DUMMYFUNCTION("""COMPUTED_VALUE"""),"8bdbe149")</f>
        <v>8bdbe149</v>
      </c>
      <c r="G4414" s="211" t="str">
        <f>IFERROR(__xludf.DUMMYFUNCTION("""COMPUTED_VALUE"""),"Oksigen 6m3")</f>
        <v>Oksigen 6m3</v>
      </c>
      <c r="H4414" s="211" t="str">
        <f>IFERROR(__xludf.DUMMYFUNCTION("""COMPUTED_VALUE"""),"OUT")</f>
        <v>OUT</v>
      </c>
      <c r="I4414" s="211" t="str">
        <f>IFERROR(__xludf.DUMMYFUNCTION("""COMPUTED_VALUE"""),"NORMAL")</f>
        <v>NORMAL</v>
      </c>
      <c r="J4414" s="211">
        <f>IFERROR(__xludf.DUMMYFUNCTION("""COMPUTED_VALUE"""),10.0)</f>
        <v>10</v>
      </c>
      <c r="K4414" s="210" t="str">
        <f>IFERROR(__xludf.DUMMYFUNCTION("""COMPUTED_VALUE"""),"11122 1112 1158 11268 11296 11376 11379 11175 1191 11275")</f>
        <v>11122 1112 1158 11268 11296 11376 11379 11175 1191 11275</v>
      </c>
      <c r="L4414" s="211">
        <f>IFERROR(__xludf.DUMMYFUNCTION("""COMPUTED_VALUE"""),65000.0)</f>
        <v>65000</v>
      </c>
      <c r="M4414" s="211"/>
      <c r="N4414" s="211"/>
      <c r="O4414" s="211" t="b">
        <f>IFERROR(__xludf.DUMMYFUNCTION("""COMPUTED_VALUE"""),FALSE)</f>
        <v>0</v>
      </c>
    </row>
    <row r="4415">
      <c r="A4415" s="210" t="str">
        <f>IFERROR(__xludf.DUMMYFUNCTION("""COMPUTED_VALUE"""),"0426393021")</f>
        <v>0426393021</v>
      </c>
      <c r="B4415" s="210" t="str">
        <f>IFERROR(__xludf.DUMMYFUNCTION("""COMPUTED_VALUE"""),"0426393021")</f>
        <v>0426393021</v>
      </c>
      <c r="C4415" s="213">
        <f>IFERROR(__xludf.DUMMYFUNCTION("""COMPUTED_VALUE"""),46120.36988425926)</f>
        <v>46120.36988</v>
      </c>
      <c r="D4415" s="211" t="str">
        <f>IFERROR(__xludf.DUMMYFUNCTION("""COMPUTED_VALUE"""),"63fc688a")</f>
        <v>63fc688a</v>
      </c>
      <c r="E4415" s="211" t="str">
        <f>IFERROR(__xludf.DUMMYFUNCTION("""COMPUTED_VALUE"""),"CV Malik Nusantara")</f>
        <v>CV Malik Nusantara</v>
      </c>
      <c r="F4415" s="211" t="str">
        <f>IFERROR(__xludf.DUMMYFUNCTION("""COMPUTED_VALUE"""),"ef306e54")</f>
        <v>ef306e54</v>
      </c>
      <c r="G4415" s="211" t="str">
        <f>IFERROR(__xludf.DUMMYFUNCTION("""COMPUTED_VALUE"""),"Karbondioksida")</f>
        <v>Karbondioksida</v>
      </c>
      <c r="H4415" s="211" t="str">
        <f>IFERROR(__xludf.DUMMYFUNCTION("""COMPUTED_VALUE"""),"OUT")</f>
        <v>OUT</v>
      </c>
      <c r="I4415" s="211" t="str">
        <f>IFERROR(__xludf.DUMMYFUNCTION("""COMPUTED_VALUE"""),"NORMAL")</f>
        <v>NORMAL</v>
      </c>
      <c r="J4415" s="211">
        <f>IFERROR(__xludf.DUMMYFUNCTION("""COMPUTED_VALUE"""),3.0)</f>
        <v>3</v>
      </c>
      <c r="K4415" s="210" t="str">
        <f>IFERROR(__xludf.DUMMYFUNCTION("""COMPUTED_VALUE"""),"13070 13035 13014")</f>
        <v>13070 13035 13014</v>
      </c>
      <c r="L4415" s="211">
        <f>IFERROR(__xludf.DUMMYFUNCTION("""COMPUTED_VALUE"""),190000.0)</f>
        <v>190000</v>
      </c>
      <c r="M4415" s="211"/>
      <c r="N4415" s="211"/>
      <c r="O4415" s="211" t="b">
        <f>IFERROR(__xludf.DUMMYFUNCTION("""COMPUTED_VALUE"""),FALSE)</f>
        <v>0</v>
      </c>
    </row>
    <row r="4416">
      <c r="A4416" s="210" t="str">
        <f>IFERROR(__xludf.DUMMYFUNCTION("""COMPUTED_VALUE"""),"0426393021")</f>
        <v>0426393021</v>
      </c>
      <c r="B4416" s="210" t="str">
        <f>IFERROR(__xludf.DUMMYFUNCTION("""COMPUTED_VALUE"""),"0426393021")</f>
        <v>0426393021</v>
      </c>
      <c r="C4416" s="213">
        <f>IFERROR(__xludf.DUMMYFUNCTION("""COMPUTED_VALUE"""),46120.36988425926)</f>
        <v>46120.36988</v>
      </c>
      <c r="D4416" s="211" t="str">
        <f>IFERROR(__xludf.DUMMYFUNCTION("""COMPUTED_VALUE"""),"63fc688a")</f>
        <v>63fc688a</v>
      </c>
      <c r="E4416" s="211" t="str">
        <f>IFERROR(__xludf.DUMMYFUNCTION("""COMPUTED_VALUE"""),"CV Malik Nusantara")</f>
        <v>CV Malik Nusantara</v>
      </c>
      <c r="F4416" s="211" t="str">
        <f>IFERROR(__xludf.DUMMYFUNCTION("""COMPUTED_VALUE"""),"be525f3b")</f>
        <v>be525f3b</v>
      </c>
      <c r="G4416" s="211" t="str">
        <f>IFERROR(__xludf.DUMMYFUNCTION("""COMPUTED_VALUE"""),"LPG 12kg")</f>
        <v>LPG 12kg</v>
      </c>
      <c r="H4416" s="211" t="str">
        <f>IFERROR(__xludf.DUMMYFUNCTION("""COMPUTED_VALUE"""),"OUT")</f>
        <v>OUT</v>
      </c>
      <c r="I4416" s="211" t="str">
        <f>IFERROR(__xludf.DUMMYFUNCTION("""COMPUTED_VALUE"""),"NORMAL")</f>
        <v>NORMAL</v>
      </c>
      <c r="J4416" s="211">
        <f>IFERROR(__xludf.DUMMYFUNCTION("""COMPUTED_VALUE"""),2.0)</f>
        <v>2</v>
      </c>
      <c r="K4416" s="211"/>
      <c r="L4416" s="211">
        <f>IFERROR(__xludf.DUMMYFUNCTION("""COMPUTED_VALUE"""),200000.0)</f>
        <v>200000</v>
      </c>
      <c r="M4416" s="211"/>
      <c r="N4416" s="211"/>
      <c r="O4416" s="211" t="b">
        <f>IFERROR(__xludf.DUMMYFUNCTION("""COMPUTED_VALUE"""),FALSE)</f>
        <v>0</v>
      </c>
    </row>
    <row r="4417">
      <c r="A4417" s="210" t="str">
        <f>IFERROR(__xludf.DUMMYFUNCTION("""COMPUTED_VALUE"""),"1261502")</f>
        <v>1261502</v>
      </c>
      <c r="B4417" s="210" t="str">
        <f>IFERROR(__xludf.DUMMYFUNCTION("""COMPUTED_VALUE"""),"1261502")</f>
        <v>1261502</v>
      </c>
      <c r="C4417" s="213">
        <f>IFERROR(__xludf.DUMMYFUNCTION("""COMPUTED_VALUE"""),46120.49753472222)</f>
        <v>46120.49753</v>
      </c>
      <c r="D4417" s="211" t="str">
        <f>IFERROR(__xludf.DUMMYFUNCTION("""COMPUTED_VALUE"""),"b2b5f2c5")</f>
        <v>b2b5f2c5</v>
      </c>
      <c r="E4417" s="211" t="str">
        <f>IFERROR(__xludf.DUMMYFUNCTION("""COMPUTED_VALUE"""),"Bengkel Las Bpk. Ari")</f>
        <v>Bengkel Las Bpk. Ari</v>
      </c>
      <c r="F4417" s="211" t="str">
        <f>IFERROR(__xludf.DUMMYFUNCTION("""COMPUTED_VALUE"""),"8bdbe149")</f>
        <v>8bdbe149</v>
      </c>
      <c r="G4417" s="211" t="str">
        <f>IFERROR(__xludf.DUMMYFUNCTION("""COMPUTED_VALUE"""),"Oksigen 6m3")</f>
        <v>Oksigen 6m3</v>
      </c>
      <c r="H4417" s="211" t="str">
        <f>IFERROR(__xludf.DUMMYFUNCTION("""COMPUTED_VALUE"""),"IN")</f>
        <v>IN</v>
      </c>
      <c r="I4417" s="211" t="str">
        <f>IFERROR(__xludf.DUMMYFUNCTION("""COMPUTED_VALUE"""),"EMPTY")</f>
        <v>EMPTY</v>
      </c>
      <c r="J4417" s="211">
        <f>IFERROR(__xludf.DUMMYFUNCTION("""COMPUTED_VALUE"""),6.0)</f>
        <v>6</v>
      </c>
      <c r="K4417" s="210" t="str">
        <f>IFERROR(__xludf.DUMMYFUNCTION("""COMPUTED_VALUE"""),"1102 11341 11355 11383 11352 11186")</f>
        <v>1102 11341 11355 11383 11352 11186</v>
      </c>
      <c r="L4417" s="211">
        <f>IFERROR(__xludf.DUMMYFUNCTION("""COMPUTED_VALUE"""),0.0)</f>
        <v>0</v>
      </c>
      <c r="M4417" s="211"/>
      <c r="N4417" s="211"/>
      <c r="O4417" s="211" t="b">
        <f>IFERROR(__xludf.DUMMYFUNCTION("""COMPUTED_VALUE"""),FALSE)</f>
        <v>0</v>
      </c>
    </row>
    <row r="4418">
      <c r="A4418" s="210" t="str">
        <f>IFERROR(__xludf.DUMMYFUNCTION("""COMPUTED_VALUE"""),"1261502")</f>
        <v>1261502</v>
      </c>
      <c r="B4418" s="210" t="str">
        <f>IFERROR(__xludf.DUMMYFUNCTION("""COMPUTED_VALUE"""),"1261502")</f>
        <v>1261502</v>
      </c>
      <c r="C4418" s="213">
        <f>IFERROR(__xludf.DUMMYFUNCTION("""COMPUTED_VALUE"""),46120.49753472222)</f>
        <v>46120.49753</v>
      </c>
      <c r="D4418" s="211" t="str">
        <f>IFERROR(__xludf.DUMMYFUNCTION("""COMPUTED_VALUE"""),"b2b5f2c5")</f>
        <v>b2b5f2c5</v>
      </c>
      <c r="E4418" s="211" t="str">
        <f>IFERROR(__xludf.DUMMYFUNCTION("""COMPUTED_VALUE"""),"Bengkel Las Bpk. Ari")</f>
        <v>Bengkel Las Bpk. Ari</v>
      </c>
      <c r="F4418" s="211" t="str">
        <f>IFERROR(__xludf.DUMMYFUNCTION("""COMPUTED_VALUE"""),"ef306e54")</f>
        <v>ef306e54</v>
      </c>
      <c r="G4418" s="211" t="str">
        <f>IFERROR(__xludf.DUMMYFUNCTION("""COMPUTED_VALUE"""),"Karbondioksida")</f>
        <v>Karbondioksida</v>
      </c>
      <c r="H4418" s="211" t="str">
        <f>IFERROR(__xludf.DUMMYFUNCTION("""COMPUTED_VALUE"""),"IN")</f>
        <v>IN</v>
      </c>
      <c r="I4418" s="211" t="str">
        <f>IFERROR(__xludf.DUMMYFUNCTION("""COMPUTED_VALUE"""),"EMPTY")</f>
        <v>EMPTY</v>
      </c>
      <c r="J4418" s="211">
        <f>IFERROR(__xludf.DUMMYFUNCTION("""COMPUTED_VALUE"""),1.0)</f>
        <v>1</v>
      </c>
      <c r="K4418" s="210" t="str">
        <f>IFERROR(__xludf.DUMMYFUNCTION("""COMPUTED_VALUE"""),"13010")</f>
        <v>13010</v>
      </c>
      <c r="L4418" s="211">
        <f>IFERROR(__xludf.DUMMYFUNCTION("""COMPUTED_VALUE"""),0.0)</f>
        <v>0</v>
      </c>
      <c r="M4418" s="211"/>
      <c r="N4418" s="211"/>
      <c r="O4418" s="211" t="b">
        <f>IFERROR(__xludf.DUMMYFUNCTION("""COMPUTED_VALUE"""),FALSE)</f>
        <v>0</v>
      </c>
    </row>
    <row r="4419">
      <c r="A4419" s="210" t="str">
        <f>IFERROR(__xludf.DUMMYFUNCTION("""COMPUTED_VALUE"""),"1261501")</f>
        <v>1261501</v>
      </c>
      <c r="B4419" s="210" t="str">
        <f>IFERROR(__xludf.DUMMYFUNCTION("""COMPUTED_VALUE"""),"1261501")</f>
        <v>1261501</v>
      </c>
      <c r="C4419" s="213">
        <f>IFERROR(__xludf.DUMMYFUNCTION("""COMPUTED_VALUE"""),46120.498344907406)</f>
        <v>46120.49834</v>
      </c>
      <c r="D4419" s="211" t="str">
        <f>IFERROR(__xludf.DUMMYFUNCTION("""COMPUTED_VALUE"""),"1c4d5e93")</f>
        <v>1c4d5e93</v>
      </c>
      <c r="E4419" s="211" t="str">
        <f>IFERROR(__xludf.DUMMYFUNCTION("""COMPUTED_VALUE"""),"Karoseri Cipta Mitra Sukses")</f>
        <v>Karoseri Cipta Mitra Sukses</v>
      </c>
      <c r="F4419" s="211" t="str">
        <f>IFERROR(__xludf.DUMMYFUNCTION("""COMPUTED_VALUE"""),"ef306e54")</f>
        <v>ef306e54</v>
      </c>
      <c r="G4419" s="211" t="str">
        <f>IFERROR(__xludf.DUMMYFUNCTION("""COMPUTED_VALUE"""),"Karbondioksida")</f>
        <v>Karbondioksida</v>
      </c>
      <c r="H4419" s="211" t="str">
        <f>IFERROR(__xludf.DUMMYFUNCTION("""COMPUTED_VALUE"""),"IN")</f>
        <v>IN</v>
      </c>
      <c r="I4419" s="211" t="str">
        <f>IFERROR(__xludf.DUMMYFUNCTION("""COMPUTED_VALUE"""),"EMPTY")</f>
        <v>EMPTY</v>
      </c>
      <c r="J4419" s="211">
        <f>IFERROR(__xludf.DUMMYFUNCTION("""COMPUTED_VALUE"""),1.0)</f>
        <v>1</v>
      </c>
      <c r="K4419" s="210" t="str">
        <f>IFERROR(__xludf.DUMMYFUNCTION("""COMPUTED_VALUE"""),"13034")</f>
        <v>13034</v>
      </c>
      <c r="L4419" s="211">
        <f>IFERROR(__xludf.DUMMYFUNCTION("""COMPUTED_VALUE"""),0.0)</f>
        <v>0</v>
      </c>
      <c r="M4419" s="211"/>
      <c r="N4419" s="211"/>
      <c r="O4419" s="211" t="b">
        <f>IFERROR(__xludf.DUMMYFUNCTION("""COMPUTED_VALUE"""),FALSE)</f>
        <v>0</v>
      </c>
    </row>
    <row r="4420">
      <c r="A4420" s="210" t="str">
        <f>IFERROR(__xludf.DUMMYFUNCTION("""COMPUTED_VALUE"""),"0426133022")</f>
        <v>0426133022</v>
      </c>
      <c r="B4420" s="210" t="str">
        <f>IFERROR(__xludf.DUMMYFUNCTION("""COMPUTED_VALUE"""),"0426133022")</f>
        <v>0426133022</v>
      </c>
      <c r="C4420" s="213">
        <f>IFERROR(__xludf.DUMMYFUNCTION("""COMPUTED_VALUE"""),46120.4969212963)</f>
        <v>46120.49692</v>
      </c>
      <c r="D4420" s="211" t="str">
        <f>IFERROR(__xludf.DUMMYFUNCTION("""COMPUTED_VALUE"""),"440df1db")</f>
        <v>440df1db</v>
      </c>
      <c r="E4420" s="211" t="str">
        <f>IFERROR(__xludf.DUMMYFUNCTION("""COMPUTED_VALUE"""),"PT. Mecca Abadi Sejahtera")</f>
        <v>PT. Mecca Abadi Sejahtera</v>
      </c>
      <c r="F4420" s="211" t="str">
        <f>IFERROR(__xludf.DUMMYFUNCTION("""COMPUTED_VALUE"""),"ef306e54")</f>
        <v>ef306e54</v>
      </c>
      <c r="G4420" s="211" t="str">
        <f>IFERROR(__xludf.DUMMYFUNCTION("""COMPUTED_VALUE"""),"Karbondioksida")</f>
        <v>Karbondioksida</v>
      </c>
      <c r="H4420" s="211" t="str">
        <f>IFERROR(__xludf.DUMMYFUNCTION("""COMPUTED_VALUE"""),"OUT")</f>
        <v>OUT</v>
      </c>
      <c r="I4420" s="211" t="str">
        <f>IFERROR(__xludf.DUMMYFUNCTION("""COMPUTED_VALUE"""),"NORMAL")</f>
        <v>NORMAL</v>
      </c>
      <c r="J4420" s="211">
        <f>IFERROR(__xludf.DUMMYFUNCTION("""COMPUTED_VALUE"""),4.0)</f>
        <v>4</v>
      </c>
      <c r="K4420" s="210" t="str">
        <f>IFERROR(__xludf.DUMMYFUNCTION("""COMPUTED_VALUE"""),"13007 13046 13034 13010")</f>
        <v>13007 13046 13034 13010</v>
      </c>
      <c r="L4420" s="211">
        <f>IFERROR(__xludf.DUMMYFUNCTION("""COMPUTED_VALUE"""),190000.0)</f>
        <v>190000</v>
      </c>
      <c r="M4420" s="211"/>
      <c r="N4420" s="211"/>
      <c r="O4420" s="211" t="b">
        <f>IFERROR(__xludf.DUMMYFUNCTION("""COMPUTED_VALUE"""),FALSE)</f>
        <v>0</v>
      </c>
    </row>
    <row r="4421">
      <c r="A4421" s="210" t="str">
        <f>IFERROR(__xludf.DUMMYFUNCTION("""COMPUTED_VALUE"""),"0426143023")</f>
        <v>0426143023</v>
      </c>
      <c r="B4421" s="210" t="str">
        <f>IFERROR(__xludf.DUMMYFUNCTION("""COMPUTED_VALUE"""),"0426143023")</f>
        <v>0426143023</v>
      </c>
      <c r="C4421" s="213">
        <f>IFERROR(__xludf.DUMMYFUNCTION("""COMPUTED_VALUE"""),46120.49905092592)</f>
        <v>46120.49905</v>
      </c>
      <c r="D4421" s="211" t="str">
        <f>IFERROR(__xludf.DUMMYFUNCTION("""COMPUTED_VALUE"""),"17a8e612")</f>
        <v>17a8e612</v>
      </c>
      <c r="E4421" s="211" t="str">
        <f>IFERROR(__xludf.DUMMYFUNCTION("""COMPUTED_VALUE"""),"Flashtech Machinery")</f>
        <v>Flashtech Machinery</v>
      </c>
      <c r="F4421" s="211" t="str">
        <f>IFERROR(__xludf.DUMMYFUNCTION("""COMPUTED_VALUE"""),"66af7c72")</f>
        <v>66af7c72</v>
      </c>
      <c r="G4421" s="211" t="str">
        <f>IFERROR(__xludf.DUMMYFUNCTION("""COMPUTED_VALUE"""),"Argon 6m3")</f>
        <v>Argon 6m3</v>
      </c>
      <c r="H4421" s="211" t="str">
        <f>IFERROR(__xludf.DUMMYFUNCTION("""COMPUTED_VALUE"""),"OUT")</f>
        <v>OUT</v>
      </c>
      <c r="I4421" s="211" t="str">
        <f>IFERROR(__xludf.DUMMYFUNCTION("""COMPUTED_VALUE"""),"NORMAL")</f>
        <v>NORMAL</v>
      </c>
      <c r="J4421" s="211">
        <f>IFERROR(__xludf.DUMMYFUNCTION("""COMPUTED_VALUE"""),4.0)</f>
        <v>4</v>
      </c>
      <c r="K4421" s="210" t="str">
        <f>IFERROR(__xludf.DUMMYFUNCTION("""COMPUTED_VALUE"""),"12043 12069 12028 12042")</f>
        <v>12043 12069 12028 12042</v>
      </c>
      <c r="L4421" s="211">
        <f>IFERROR(__xludf.DUMMYFUNCTION("""COMPUTED_VALUE"""),210000.0)</f>
        <v>210000</v>
      </c>
      <c r="M4421" s="211"/>
      <c r="N4421" s="211"/>
      <c r="O4421" s="211" t="b">
        <f>IFERROR(__xludf.DUMMYFUNCTION("""COMPUTED_VALUE"""),FALSE)</f>
        <v>0</v>
      </c>
    </row>
    <row r="4422">
      <c r="A4422" s="210" t="str">
        <f>IFERROR(__xludf.DUMMYFUNCTION("""COMPUTED_VALUE"""),"1261511")</f>
        <v>1261511</v>
      </c>
      <c r="B4422" s="210" t="str">
        <f>IFERROR(__xludf.DUMMYFUNCTION("""COMPUTED_VALUE"""),"1261511")</f>
        <v>1261511</v>
      </c>
      <c r="C4422" s="213">
        <f>IFERROR(__xludf.DUMMYFUNCTION("""COMPUTED_VALUE"""),46120.62568287037)</f>
        <v>46120.62568</v>
      </c>
      <c r="D4422" s="211" t="str">
        <f>IFERROR(__xludf.DUMMYFUNCTION("""COMPUTED_VALUE"""),"3bcd7fe6")</f>
        <v>3bcd7fe6</v>
      </c>
      <c r="E4422" s="211" t="str">
        <f>IFERROR(__xludf.DUMMYFUNCTION("""COMPUTED_VALUE"""),"Bpk. Alvin (LB Group)")</f>
        <v>Bpk. Alvin (LB Group)</v>
      </c>
      <c r="F4422" s="211" t="str">
        <f>IFERROR(__xludf.DUMMYFUNCTION("""COMPUTED_VALUE"""),"f6aab7a9")</f>
        <v>f6aab7a9</v>
      </c>
      <c r="G4422" s="211" t="str">
        <f>IFERROR(__xludf.DUMMYFUNCTION("""COMPUTED_VALUE"""),"Oksigen 6m3 MR")</f>
        <v>Oksigen 6m3 MR</v>
      </c>
      <c r="H4422" s="211" t="str">
        <f>IFERROR(__xludf.DUMMYFUNCTION("""COMPUTED_VALUE"""),"IN")</f>
        <v>IN</v>
      </c>
      <c r="I4422" s="211" t="str">
        <f>IFERROR(__xludf.DUMMYFUNCTION("""COMPUTED_VALUE"""),"EMPTY")</f>
        <v>EMPTY</v>
      </c>
      <c r="J4422" s="211">
        <f>IFERROR(__xludf.DUMMYFUNCTION("""COMPUTED_VALUE"""),1.0)</f>
        <v>1</v>
      </c>
      <c r="K4422" s="211"/>
      <c r="L4422" s="211">
        <f>IFERROR(__xludf.DUMMYFUNCTION("""COMPUTED_VALUE"""),0.0)</f>
        <v>0</v>
      </c>
      <c r="M4422" s="211"/>
      <c r="N4422" s="211"/>
      <c r="O4422" s="211" t="b">
        <f>IFERROR(__xludf.DUMMYFUNCTION("""COMPUTED_VALUE"""),FALSE)</f>
        <v>0</v>
      </c>
    </row>
    <row r="4423">
      <c r="A4423" s="210" t="str">
        <f>IFERROR(__xludf.DUMMYFUNCTION("""COMPUTED_VALUE"""),"1261500")</f>
        <v>1261500</v>
      </c>
      <c r="B4423" s="210" t="str">
        <f>IFERROR(__xludf.DUMMYFUNCTION("""COMPUTED_VALUE"""),"1261500")</f>
        <v>1261500</v>
      </c>
      <c r="C4423" s="213">
        <f>IFERROR(__xludf.DUMMYFUNCTION("""COMPUTED_VALUE"""),46120.62604166667)</f>
        <v>46120.62604</v>
      </c>
      <c r="D4423" s="211" t="str">
        <f>IFERROR(__xludf.DUMMYFUNCTION("""COMPUTED_VALUE"""),"03ff52db")</f>
        <v>03ff52db</v>
      </c>
      <c r="E4423" s="211" t="str">
        <f>IFERROR(__xludf.DUMMYFUNCTION("""COMPUTED_VALUE"""),"Aneka Teknik Logam")</f>
        <v>Aneka Teknik Logam</v>
      </c>
      <c r="F4423" s="211" t="str">
        <f>IFERROR(__xludf.DUMMYFUNCTION("""COMPUTED_VALUE"""),"f6aab7a9")</f>
        <v>f6aab7a9</v>
      </c>
      <c r="G4423" s="211" t="str">
        <f>IFERROR(__xludf.DUMMYFUNCTION("""COMPUTED_VALUE"""),"Oksigen 6m3 MR")</f>
        <v>Oksigen 6m3 MR</v>
      </c>
      <c r="H4423" s="211" t="str">
        <f>IFERROR(__xludf.DUMMYFUNCTION("""COMPUTED_VALUE"""),"IN")</f>
        <v>IN</v>
      </c>
      <c r="I4423" s="211" t="str">
        <f>IFERROR(__xludf.DUMMYFUNCTION("""COMPUTED_VALUE"""),"EMPTY")</f>
        <v>EMPTY</v>
      </c>
      <c r="J4423" s="211">
        <f>IFERROR(__xludf.DUMMYFUNCTION("""COMPUTED_VALUE"""),1.0)</f>
        <v>1</v>
      </c>
      <c r="K4423" s="211"/>
      <c r="L4423" s="211">
        <f>IFERROR(__xludf.DUMMYFUNCTION("""COMPUTED_VALUE"""),0.0)</f>
        <v>0</v>
      </c>
      <c r="M4423" s="211"/>
      <c r="N4423" s="211"/>
      <c r="O4423" s="211" t="b">
        <f>IFERROR(__xludf.DUMMYFUNCTION("""COMPUTED_VALUE"""),FALSE)</f>
        <v>0</v>
      </c>
    </row>
    <row r="4424">
      <c r="A4424" s="210" t="str">
        <f>IFERROR(__xludf.DUMMYFUNCTION("""COMPUTED_VALUE"""),"1261512")</f>
        <v>1261512</v>
      </c>
      <c r="B4424" s="210" t="str">
        <f>IFERROR(__xludf.DUMMYFUNCTION("""COMPUTED_VALUE"""),"1261512")</f>
        <v>1261512</v>
      </c>
      <c r="C4424" s="213">
        <f>IFERROR(__xludf.DUMMYFUNCTION("""COMPUTED_VALUE"""),46120.62633101852)</f>
        <v>46120.62633</v>
      </c>
      <c r="D4424" s="211" t="str">
        <f>IFERROR(__xludf.DUMMYFUNCTION("""COMPUTED_VALUE"""),"eec2e801")</f>
        <v>eec2e801</v>
      </c>
      <c r="E4424" s="211" t="str">
        <f>IFERROR(__xludf.DUMMYFUNCTION("""COMPUTED_VALUE"""),"Mitra Wood Sejahtera")</f>
        <v>Mitra Wood Sejahtera</v>
      </c>
      <c r="F4424" s="211" t="str">
        <f>IFERROR(__xludf.DUMMYFUNCTION("""COMPUTED_VALUE"""),"8bdbe149")</f>
        <v>8bdbe149</v>
      </c>
      <c r="G4424" s="211" t="str">
        <f>IFERROR(__xludf.DUMMYFUNCTION("""COMPUTED_VALUE"""),"Oksigen 6m3")</f>
        <v>Oksigen 6m3</v>
      </c>
      <c r="H4424" s="211" t="str">
        <f>IFERROR(__xludf.DUMMYFUNCTION("""COMPUTED_VALUE"""),"IN")</f>
        <v>IN</v>
      </c>
      <c r="I4424" s="211" t="str">
        <f>IFERROR(__xludf.DUMMYFUNCTION("""COMPUTED_VALUE"""),"EMPTY")</f>
        <v>EMPTY</v>
      </c>
      <c r="J4424" s="211">
        <f>IFERROR(__xludf.DUMMYFUNCTION("""COMPUTED_VALUE"""),6.0)</f>
        <v>6</v>
      </c>
      <c r="K4424" s="210" t="str">
        <f>IFERROR(__xludf.DUMMYFUNCTION("""COMPUTED_VALUE"""),"1122 11229 1182 11238 1105 1187")</f>
        <v>1122 11229 1182 11238 1105 1187</v>
      </c>
      <c r="L4424" s="211">
        <f>IFERROR(__xludf.DUMMYFUNCTION("""COMPUTED_VALUE"""),0.0)</f>
        <v>0</v>
      </c>
      <c r="M4424" s="211"/>
      <c r="N4424" s="211"/>
      <c r="O4424" s="211" t="b">
        <f>IFERROR(__xludf.DUMMYFUNCTION("""COMPUTED_VALUE"""),FALSE)</f>
        <v>0</v>
      </c>
    </row>
    <row r="4425">
      <c r="A4425" s="210" t="str">
        <f>IFERROR(__xludf.DUMMYFUNCTION("""COMPUTED_VALUE"""),"1261512")</f>
        <v>1261512</v>
      </c>
      <c r="B4425" s="210" t="str">
        <f>IFERROR(__xludf.DUMMYFUNCTION("""COMPUTED_VALUE"""),"1261512")</f>
        <v>1261512</v>
      </c>
      <c r="C4425" s="213">
        <f>IFERROR(__xludf.DUMMYFUNCTION("""COMPUTED_VALUE"""),46120.62633101852)</f>
        <v>46120.62633</v>
      </c>
      <c r="D4425" s="211" t="str">
        <f>IFERROR(__xludf.DUMMYFUNCTION("""COMPUTED_VALUE"""),"eec2e801")</f>
        <v>eec2e801</v>
      </c>
      <c r="E4425" s="211" t="str">
        <f>IFERROR(__xludf.DUMMYFUNCTION("""COMPUTED_VALUE"""),"Mitra Wood Sejahtera")</f>
        <v>Mitra Wood Sejahtera</v>
      </c>
      <c r="F4425" s="211" t="str">
        <f>IFERROR(__xludf.DUMMYFUNCTION("""COMPUTED_VALUE"""),"7d2764f1")</f>
        <v>7d2764f1</v>
      </c>
      <c r="G4425" s="211" t="str">
        <f>IFERROR(__xludf.DUMMYFUNCTION("""COMPUTED_VALUE"""),"Oksigen 7m3")</f>
        <v>Oksigen 7m3</v>
      </c>
      <c r="H4425" s="211" t="str">
        <f>IFERROR(__xludf.DUMMYFUNCTION("""COMPUTED_VALUE"""),"IN")</f>
        <v>IN</v>
      </c>
      <c r="I4425" s="211" t="str">
        <f>IFERROR(__xludf.DUMMYFUNCTION("""COMPUTED_VALUE"""),"EMPTY")</f>
        <v>EMPTY</v>
      </c>
      <c r="J4425" s="211">
        <f>IFERROR(__xludf.DUMMYFUNCTION("""COMPUTED_VALUE"""),1.0)</f>
        <v>1</v>
      </c>
      <c r="K4425" s="210" t="str">
        <f>IFERROR(__xludf.DUMMYFUNCTION("""COMPUTED_VALUE"""),"11178")</f>
        <v>11178</v>
      </c>
      <c r="L4425" s="211">
        <f>IFERROR(__xludf.DUMMYFUNCTION("""COMPUTED_VALUE"""),0.0)</f>
        <v>0</v>
      </c>
      <c r="M4425" s="211"/>
      <c r="N4425" s="211"/>
      <c r="O4425" s="211" t="b">
        <f>IFERROR(__xludf.DUMMYFUNCTION("""COMPUTED_VALUE"""),TRUE)</f>
        <v>1</v>
      </c>
    </row>
    <row r="4426">
      <c r="A4426" s="210" t="str">
        <f>IFERROR(__xludf.DUMMYFUNCTION("""COMPUTED_VALUE"""),"1261513")</f>
        <v>1261513</v>
      </c>
      <c r="B4426" s="210" t="str">
        <f>IFERROR(__xludf.DUMMYFUNCTION("""COMPUTED_VALUE"""),"1261513")</f>
        <v>1261513</v>
      </c>
      <c r="C4426" s="213">
        <f>IFERROR(__xludf.DUMMYFUNCTION("""COMPUTED_VALUE"""),46120.62761574074)</f>
        <v>46120.62762</v>
      </c>
      <c r="D4426" s="211" t="str">
        <f>IFERROR(__xludf.DUMMYFUNCTION("""COMPUTED_VALUE"""),"98c84274")</f>
        <v>98c84274</v>
      </c>
      <c r="E4426" s="211" t="str">
        <f>IFERROR(__xludf.DUMMYFUNCTION("""COMPUTED_VALUE"""),"Bengkel SBM (Pak Hari)")</f>
        <v>Bengkel SBM (Pak Hari)</v>
      </c>
      <c r="F4426" s="211" t="str">
        <f>IFERROR(__xludf.DUMMYFUNCTION("""COMPUTED_VALUE"""),"8bdbe149")</f>
        <v>8bdbe149</v>
      </c>
      <c r="G4426" s="211" t="str">
        <f>IFERROR(__xludf.DUMMYFUNCTION("""COMPUTED_VALUE"""),"Oksigen 6m3")</f>
        <v>Oksigen 6m3</v>
      </c>
      <c r="H4426" s="211" t="str">
        <f>IFERROR(__xludf.DUMMYFUNCTION("""COMPUTED_VALUE"""),"IN")</f>
        <v>IN</v>
      </c>
      <c r="I4426" s="211" t="str">
        <f>IFERROR(__xludf.DUMMYFUNCTION("""COMPUTED_VALUE"""),"EMPTY")</f>
        <v>EMPTY</v>
      </c>
      <c r="J4426" s="211">
        <f>IFERROR(__xludf.DUMMYFUNCTION("""COMPUTED_VALUE"""),2.0)</f>
        <v>2</v>
      </c>
      <c r="K4426" s="210" t="str">
        <f>IFERROR(__xludf.DUMMYFUNCTION("""COMPUTED_VALUE"""),"1106 11245")</f>
        <v>1106 11245</v>
      </c>
      <c r="L4426" s="211">
        <f>IFERROR(__xludf.DUMMYFUNCTION("""COMPUTED_VALUE"""),0.0)</f>
        <v>0</v>
      </c>
      <c r="M4426" s="211"/>
      <c r="N4426" s="211"/>
      <c r="O4426" s="211" t="b">
        <f>IFERROR(__xludf.DUMMYFUNCTION("""COMPUTED_VALUE"""),FALSE)</f>
        <v>0</v>
      </c>
    </row>
    <row r="4427">
      <c r="A4427" s="210" t="str">
        <f>IFERROR(__xludf.DUMMYFUNCTION("""COMPUTED_VALUE"""),"1261513")</f>
        <v>1261513</v>
      </c>
      <c r="B4427" s="210" t="str">
        <f>IFERROR(__xludf.DUMMYFUNCTION("""COMPUTED_VALUE"""),"1261513")</f>
        <v>1261513</v>
      </c>
      <c r="C4427" s="213">
        <f>IFERROR(__xludf.DUMMYFUNCTION("""COMPUTED_VALUE"""),46120.62761574074)</f>
        <v>46120.62762</v>
      </c>
      <c r="D4427" s="211" t="str">
        <f>IFERROR(__xludf.DUMMYFUNCTION("""COMPUTED_VALUE"""),"98c84274")</f>
        <v>98c84274</v>
      </c>
      <c r="E4427" s="211" t="str">
        <f>IFERROR(__xludf.DUMMYFUNCTION("""COMPUTED_VALUE"""),"Bengkel SBM (Pak Hari)")</f>
        <v>Bengkel SBM (Pak Hari)</v>
      </c>
      <c r="F4427" s="211" t="str">
        <f>IFERROR(__xludf.DUMMYFUNCTION("""COMPUTED_VALUE"""),"ef306e54")</f>
        <v>ef306e54</v>
      </c>
      <c r="G4427" s="211" t="str">
        <f>IFERROR(__xludf.DUMMYFUNCTION("""COMPUTED_VALUE"""),"Karbondioksida")</f>
        <v>Karbondioksida</v>
      </c>
      <c r="H4427" s="211" t="str">
        <f>IFERROR(__xludf.DUMMYFUNCTION("""COMPUTED_VALUE"""),"IN")</f>
        <v>IN</v>
      </c>
      <c r="I4427" s="211" t="str">
        <f>IFERROR(__xludf.DUMMYFUNCTION("""COMPUTED_VALUE"""),"EMPTY")</f>
        <v>EMPTY</v>
      </c>
      <c r="J4427" s="211">
        <f>IFERROR(__xludf.DUMMYFUNCTION("""COMPUTED_VALUE"""),1.0)</f>
        <v>1</v>
      </c>
      <c r="K4427" s="210" t="str">
        <f>IFERROR(__xludf.DUMMYFUNCTION("""COMPUTED_VALUE"""),"13066")</f>
        <v>13066</v>
      </c>
      <c r="L4427" s="211">
        <f>IFERROR(__xludf.DUMMYFUNCTION("""COMPUTED_VALUE"""),0.0)</f>
        <v>0</v>
      </c>
      <c r="M4427" s="211"/>
      <c r="N4427" s="211"/>
      <c r="O4427" s="211" t="b">
        <f>IFERROR(__xludf.DUMMYFUNCTION("""COMPUTED_VALUE"""),FALSE)</f>
        <v>0</v>
      </c>
    </row>
    <row r="4428">
      <c r="A4428" s="210" t="str">
        <f>IFERROR(__xludf.DUMMYFUNCTION("""COMPUTED_VALUE"""),"1261514")</f>
        <v>1261514</v>
      </c>
      <c r="B4428" s="210" t="str">
        <f>IFERROR(__xludf.DUMMYFUNCTION("""COMPUTED_VALUE"""),"1261514")</f>
        <v>1261514</v>
      </c>
      <c r="C4428" s="213">
        <f>IFERROR(__xludf.DUMMYFUNCTION("""COMPUTED_VALUE"""),46120.64890046296)</f>
        <v>46120.6489</v>
      </c>
      <c r="D4428" s="211" t="str">
        <f>IFERROR(__xludf.DUMMYFUNCTION("""COMPUTED_VALUE"""),"2814d559")</f>
        <v>2814d559</v>
      </c>
      <c r="E4428" s="211" t="str">
        <f>IFERROR(__xludf.DUMMYFUNCTION("""COMPUTED_VALUE"""),"Bpk. Gunarso")</f>
        <v>Bpk. Gunarso</v>
      </c>
      <c r="F4428" s="211" t="str">
        <f>IFERROR(__xludf.DUMMYFUNCTION("""COMPUTED_VALUE"""),"8bdbe149")</f>
        <v>8bdbe149</v>
      </c>
      <c r="G4428" s="211" t="str">
        <f>IFERROR(__xludf.DUMMYFUNCTION("""COMPUTED_VALUE"""),"Oksigen 6m3")</f>
        <v>Oksigen 6m3</v>
      </c>
      <c r="H4428" s="211" t="str">
        <f>IFERROR(__xludf.DUMMYFUNCTION("""COMPUTED_VALUE"""),"IN")</f>
        <v>IN</v>
      </c>
      <c r="I4428" s="211" t="str">
        <f>IFERROR(__xludf.DUMMYFUNCTION("""COMPUTED_VALUE"""),"EMPTY")</f>
        <v>EMPTY</v>
      </c>
      <c r="J4428" s="211">
        <f>IFERROR(__xludf.DUMMYFUNCTION("""COMPUTED_VALUE"""),4.0)</f>
        <v>4</v>
      </c>
      <c r="K4428" s="210" t="str">
        <f>IFERROR(__xludf.DUMMYFUNCTION("""COMPUTED_VALUE"""),"11121 11250 1140 11240")</f>
        <v>11121 11250 1140 11240</v>
      </c>
      <c r="L4428" s="211">
        <f>IFERROR(__xludf.DUMMYFUNCTION("""COMPUTED_VALUE"""),0.0)</f>
        <v>0</v>
      </c>
      <c r="M4428" s="211"/>
      <c r="N4428" s="211"/>
      <c r="O4428" s="211" t="b">
        <f>IFERROR(__xludf.DUMMYFUNCTION("""COMPUTED_VALUE"""),FALSE)</f>
        <v>0</v>
      </c>
    </row>
    <row r="4429">
      <c r="A4429" s="210" t="str">
        <f>IFERROR(__xludf.DUMMYFUNCTION("""COMPUTED_VALUE"""),"1261419")</f>
        <v>1261419</v>
      </c>
      <c r="B4429" s="210" t="str">
        <f>IFERROR(__xludf.DUMMYFUNCTION("""COMPUTED_VALUE"""),"1261419")</f>
        <v>1261419</v>
      </c>
      <c r="C4429" s="213">
        <f>IFERROR(__xludf.DUMMYFUNCTION("""COMPUTED_VALUE"""),46097.591261574074)</f>
        <v>46097.59126</v>
      </c>
      <c r="D4429" s="211" t="str">
        <f>IFERROR(__xludf.DUMMYFUNCTION("""COMPUTED_VALUE"""),"63fc688a")</f>
        <v>63fc688a</v>
      </c>
      <c r="E4429" s="211" t="str">
        <f>IFERROR(__xludf.DUMMYFUNCTION("""COMPUTED_VALUE"""),"CV Malik Nusantara")</f>
        <v>CV Malik Nusantara</v>
      </c>
      <c r="F4429" s="211" t="str">
        <f>IFERROR(__xludf.DUMMYFUNCTION("""COMPUTED_VALUE"""),"ef306e54")</f>
        <v>ef306e54</v>
      </c>
      <c r="G4429" s="211" t="str">
        <f>IFERROR(__xludf.DUMMYFUNCTION("""COMPUTED_VALUE"""),"Karbondioksida")</f>
        <v>Karbondioksida</v>
      </c>
      <c r="H4429" s="211" t="str">
        <f>IFERROR(__xludf.DUMMYFUNCTION("""COMPUTED_VALUE"""),"IN")</f>
        <v>IN</v>
      </c>
      <c r="I4429" s="211" t="str">
        <f>IFERROR(__xludf.DUMMYFUNCTION("""COMPUTED_VALUE"""),"EMPTY")</f>
        <v>EMPTY</v>
      </c>
      <c r="J4429" s="211">
        <f>IFERROR(__xludf.DUMMYFUNCTION("""COMPUTED_VALUE"""),1.0)</f>
        <v>1</v>
      </c>
      <c r="K4429" s="210" t="str">
        <f>IFERROR(__xludf.DUMMYFUNCTION("""COMPUTED_VALUE"""),"13004")</f>
        <v>13004</v>
      </c>
      <c r="L4429" s="211">
        <f>IFERROR(__xludf.DUMMYFUNCTION("""COMPUTED_VALUE"""),0.0)</f>
        <v>0</v>
      </c>
      <c r="M4429" s="211"/>
      <c r="N4429" s="211"/>
      <c r="O4429" s="211" t="b">
        <f>IFERROR(__xludf.DUMMYFUNCTION("""COMPUTED_VALUE"""),TRUE)</f>
        <v>1</v>
      </c>
    </row>
    <row r="4430">
      <c r="A4430" s="210" t="str">
        <f>IFERROR(__xludf.DUMMYFUNCTION("""COMPUTED_VALUE"""),"1261503")</f>
        <v>1261503</v>
      </c>
      <c r="B4430" s="210" t="str">
        <f>IFERROR(__xludf.DUMMYFUNCTION("""COMPUTED_VALUE"""),"1261503")</f>
        <v>1261503</v>
      </c>
      <c r="C4430" s="213">
        <f>IFERROR(__xludf.DUMMYFUNCTION("""COMPUTED_VALUE"""),46120.668854166666)</f>
        <v>46120.66885</v>
      </c>
      <c r="D4430" s="211" t="str">
        <f>IFERROR(__xludf.DUMMYFUNCTION("""COMPUTED_VALUE"""),"17a8e612")</f>
        <v>17a8e612</v>
      </c>
      <c r="E4430" s="211" t="str">
        <f>IFERROR(__xludf.DUMMYFUNCTION("""COMPUTED_VALUE"""),"Flashtech Machinery")</f>
        <v>Flashtech Machinery</v>
      </c>
      <c r="F4430" s="211" t="str">
        <f>IFERROR(__xludf.DUMMYFUNCTION("""COMPUTED_VALUE"""),"66af7c72")</f>
        <v>66af7c72</v>
      </c>
      <c r="G4430" s="211" t="str">
        <f>IFERROR(__xludf.DUMMYFUNCTION("""COMPUTED_VALUE"""),"Argon 6m3")</f>
        <v>Argon 6m3</v>
      </c>
      <c r="H4430" s="211" t="str">
        <f>IFERROR(__xludf.DUMMYFUNCTION("""COMPUTED_VALUE"""),"IN")</f>
        <v>IN</v>
      </c>
      <c r="I4430" s="211" t="str">
        <f>IFERROR(__xludf.DUMMYFUNCTION("""COMPUTED_VALUE"""),"EMPTY")</f>
        <v>EMPTY</v>
      </c>
      <c r="J4430" s="211">
        <f>IFERROR(__xludf.DUMMYFUNCTION("""COMPUTED_VALUE"""),1.0)</f>
        <v>1</v>
      </c>
      <c r="K4430" s="210" t="str">
        <f>IFERROR(__xludf.DUMMYFUNCTION("""COMPUTED_VALUE"""),"12044")</f>
        <v>12044</v>
      </c>
      <c r="L4430" s="211">
        <f>IFERROR(__xludf.DUMMYFUNCTION("""COMPUTED_VALUE"""),0.0)</f>
        <v>0</v>
      </c>
      <c r="M4430" s="211"/>
      <c r="N4430" s="211"/>
      <c r="O4430" s="211" t="b">
        <f>IFERROR(__xludf.DUMMYFUNCTION("""COMPUTED_VALUE"""),FALSE)</f>
        <v>0</v>
      </c>
    </row>
    <row r="4431">
      <c r="A4431" s="210" t="str">
        <f>IFERROR(__xludf.DUMMYFUNCTION("""COMPUTED_VALUE"""),"1261503")</f>
        <v>1261503</v>
      </c>
      <c r="B4431" s="210" t="str">
        <f>IFERROR(__xludf.DUMMYFUNCTION("""COMPUTED_VALUE"""),"1261503")</f>
        <v>1261503</v>
      </c>
      <c r="C4431" s="213">
        <f>IFERROR(__xludf.DUMMYFUNCTION("""COMPUTED_VALUE"""),46120.668854166666)</f>
        <v>46120.66885</v>
      </c>
      <c r="D4431" s="211" t="str">
        <f>IFERROR(__xludf.DUMMYFUNCTION("""COMPUTED_VALUE"""),"17a8e612")</f>
        <v>17a8e612</v>
      </c>
      <c r="E4431" s="211" t="str">
        <f>IFERROR(__xludf.DUMMYFUNCTION("""COMPUTED_VALUE"""),"Flashtech Machinery")</f>
        <v>Flashtech Machinery</v>
      </c>
      <c r="F4431" s="211" t="str">
        <f>IFERROR(__xludf.DUMMYFUNCTION("""COMPUTED_VALUE"""),"a50ce892")</f>
        <v>a50ce892</v>
      </c>
      <c r="G4431" s="211" t="str">
        <f>IFERROR(__xludf.DUMMYFUNCTION("""COMPUTED_VALUE"""),"Nitrogen 6m3")</f>
        <v>Nitrogen 6m3</v>
      </c>
      <c r="H4431" s="211" t="str">
        <f>IFERROR(__xludf.DUMMYFUNCTION("""COMPUTED_VALUE"""),"IN")</f>
        <v>IN</v>
      </c>
      <c r="I4431" s="211" t="str">
        <f>IFERROR(__xludf.DUMMYFUNCTION("""COMPUTED_VALUE"""),"EMPTY")</f>
        <v>EMPTY</v>
      </c>
      <c r="J4431" s="211">
        <f>IFERROR(__xludf.DUMMYFUNCTION("""COMPUTED_VALUE"""),2.0)</f>
        <v>2</v>
      </c>
      <c r="K4431" s="210" t="str">
        <f>IFERROR(__xludf.DUMMYFUNCTION("""COMPUTED_VALUE"""),"14010 14012")</f>
        <v>14010 14012</v>
      </c>
      <c r="L4431" s="211">
        <f>IFERROR(__xludf.DUMMYFUNCTION("""COMPUTED_VALUE"""),0.0)</f>
        <v>0</v>
      </c>
      <c r="M4431" s="211"/>
      <c r="N4431" s="211"/>
      <c r="O4431" s="211" t="b">
        <f>IFERROR(__xludf.DUMMYFUNCTION("""COMPUTED_VALUE"""),FALSE)</f>
        <v>0</v>
      </c>
    </row>
    <row r="4432">
      <c r="A4432" s="210" t="str">
        <f>IFERROR(__xludf.DUMMYFUNCTION("""COMPUTED_VALUE"""),"1261506")</f>
        <v>1261506</v>
      </c>
      <c r="B4432" s="210" t="str">
        <f>IFERROR(__xludf.DUMMYFUNCTION("""COMPUTED_VALUE"""),"1261506")</f>
        <v>1261506</v>
      </c>
      <c r="C4432" s="213">
        <f>IFERROR(__xludf.DUMMYFUNCTION("""COMPUTED_VALUE"""),46120.66931712963)</f>
        <v>46120.66932</v>
      </c>
      <c r="D4432" s="211" t="str">
        <f>IFERROR(__xludf.DUMMYFUNCTION("""COMPUTED_VALUE"""),"8ea74d81")</f>
        <v>8ea74d81</v>
      </c>
      <c r="E4432" s="211" t="str">
        <f>IFERROR(__xludf.DUMMYFUNCTION("""COMPUTED_VALUE"""),"Bengkel Adi Putra")</f>
        <v>Bengkel Adi Putra</v>
      </c>
      <c r="F4432" s="211" t="str">
        <f>IFERROR(__xludf.DUMMYFUNCTION("""COMPUTED_VALUE"""),"8bdbe149")</f>
        <v>8bdbe149</v>
      </c>
      <c r="G4432" s="211" t="str">
        <f>IFERROR(__xludf.DUMMYFUNCTION("""COMPUTED_VALUE"""),"Oksigen 6m3")</f>
        <v>Oksigen 6m3</v>
      </c>
      <c r="H4432" s="211" t="str">
        <f>IFERROR(__xludf.DUMMYFUNCTION("""COMPUTED_VALUE"""),"IN")</f>
        <v>IN</v>
      </c>
      <c r="I4432" s="211" t="str">
        <f>IFERROR(__xludf.DUMMYFUNCTION("""COMPUTED_VALUE"""),"EMPTY")</f>
        <v>EMPTY</v>
      </c>
      <c r="J4432" s="211">
        <f>IFERROR(__xludf.DUMMYFUNCTION("""COMPUTED_VALUE"""),2.0)</f>
        <v>2</v>
      </c>
      <c r="K4432" s="210" t="str">
        <f>IFERROR(__xludf.DUMMYFUNCTION("""COMPUTED_VALUE"""),"1147 11385")</f>
        <v>1147 11385</v>
      </c>
      <c r="L4432" s="211">
        <f>IFERROR(__xludf.DUMMYFUNCTION("""COMPUTED_VALUE"""),0.0)</f>
        <v>0</v>
      </c>
      <c r="M4432" s="211"/>
      <c r="N4432" s="211"/>
      <c r="O4432" s="211" t="b">
        <f>IFERROR(__xludf.DUMMYFUNCTION("""COMPUTED_VALUE"""),FALSE)</f>
        <v>0</v>
      </c>
    </row>
    <row r="4433">
      <c r="A4433" s="210" t="str">
        <f>IFERROR(__xludf.DUMMYFUNCTION("""COMPUTED_VALUE"""),"1261506")</f>
        <v>1261506</v>
      </c>
      <c r="B4433" s="210" t="str">
        <f>IFERROR(__xludf.DUMMYFUNCTION("""COMPUTED_VALUE"""),"1261506")</f>
        <v>1261506</v>
      </c>
      <c r="C4433" s="213">
        <f>IFERROR(__xludf.DUMMYFUNCTION("""COMPUTED_VALUE"""),46120.66931712963)</f>
        <v>46120.66932</v>
      </c>
      <c r="D4433" s="211" t="str">
        <f>IFERROR(__xludf.DUMMYFUNCTION("""COMPUTED_VALUE"""),"8ea74d81")</f>
        <v>8ea74d81</v>
      </c>
      <c r="E4433" s="211" t="str">
        <f>IFERROR(__xludf.DUMMYFUNCTION("""COMPUTED_VALUE"""),"Bengkel Adi Putra")</f>
        <v>Bengkel Adi Putra</v>
      </c>
      <c r="F4433" s="211" t="str">
        <f>IFERROR(__xludf.DUMMYFUNCTION("""COMPUTED_VALUE"""),"ef306e54")</f>
        <v>ef306e54</v>
      </c>
      <c r="G4433" s="211" t="str">
        <f>IFERROR(__xludf.DUMMYFUNCTION("""COMPUTED_VALUE"""),"Karbondioksida")</f>
        <v>Karbondioksida</v>
      </c>
      <c r="H4433" s="211" t="str">
        <f>IFERROR(__xludf.DUMMYFUNCTION("""COMPUTED_VALUE"""),"IN")</f>
        <v>IN</v>
      </c>
      <c r="I4433" s="211" t="str">
        <f>IFERROR(__xludf.DUMMYFUNCTION("""COMPUTED_VALUE"""),"EMPTY")</f>
        <v>EMPTY</v>
      </c>
      <c r="J4433" s="211">
        <f>IFERROR(__xludf.DUMMYFUNCTION("""COMPUTED_VALUE"""),1.0)</f>
        <v>1</v>
      </c>
      <c r="K4433" s="210" t="str">
        <f>IFERROR(__xludf.DUMMYFUNCTION("""COMPUTED_VALUE"""),"13020")</f>
        <v>13020</v>
      </c>
      <c r="L4433" s="211">
        <f>IFERROR(__xludf.DUMMYFUNCTION("""COMPUTED_VALUE"""),0.0)</f>
        <v>0</v>
      </c>
      <c r="M4433" s="211"/>
      <c r="N4433" s="211"/>
      <c r="O4433" s="211" t="b">
        <f>IFERROR(__xludf.DUMMYFUNCTION("""COMPUTED_VALUE"""),FALSE)</f>
        <v>0</v>
      </c>
    </row>
    <row r="4434">
      <c r="A4434" s="210" t="str">
        <f>IFERROR(__xludf.DUMMYFUNCTION("""COMPUTED_VALUE"""),"1261505")</f>
        <v>1261505</v>
      </c>
      <c r="B4434" s="210" t="str">
        <f>IFERROR(__xludf.DUMMYFUNCTION("""COMPUTED_VALUE"""),"1261505")</f>
        <v>1261505</v>
      </c>
      <c r="C4434" s="213">
        <f>IFERROR(__xludf.DUMMYFUNCTION("""COMPUTED_VALUE"""),46120.66972222222)</f>
        <v>46120.66972</v>
      </c>
      <c r="D4434" s="211" t="str">
        <f>IFERROR(__xludf.DUMMYFUNCTION("""COMPUTED_VALUE"""),"440df1db")</f>
        <v>440df1db</v>
      </c>
      <c r="E4434" s="211" t="str">
        <f>IFERROR(__xludf.DUMMYFUNCTION("""COMPUTED_VALUE"""),"PT. Mecca Abadi Sejahtera")</f>
        <v>PT. Mecca Abadi Sejahtera</v>
      </c>
      <c r="F4434" s="211" t="str">
        <f>IFERROR(__xludf.DUMMYFUNCTION("""COMPUTED_VALUE"""),"ef306e54")</f>
        <v>ef306e54</v>
      </c>
      <c r="G4434" s="211" t="str">
        <f>IFERROR(__xludf.DUMMYFUNCTION("""COMPUTED_VALUE"""),"Karbondioksida")</f>
        <v>Karbondioksida</v>
      </c>
      <c r="H4434" s="211" t="str">
        <f>IFERROR(__xludf.DUMMYFUNCTION("""COMPUTED_VALUE"""),"IN")</f>
        <v>IN</v>
      </c>
      <c r="I4434" s="211" t="str">
        <f>IFERROR(__xludf.DUMMYFUNCTION("""COMPUTED_VALUE"""),"EMPTY")</f>
        <v>EMPTY</v>
      </c>
      <c r="J4434" s="211">
        <f>IFERROR(__xludf.DUMMYFUNCTION("""COMPUTED_VALUE"""),2.0)</f>
        <v>2</v>
      </c>
      <c r="K4434" s="210" t="str">
        <f>IFERROR(__xludf.DUMMYFUNCTION("""COMPUTED_VALUE"""),"13055 13026")</f>
        <v>13055 13026</v>
      </c>
      <c r="L4434" s="211">
        <f>IFERROR(__xludf.DUMMYFUNCTION("""COMPUTED_VALUE"""),0.0)</f>
        <v>0</v>
      </c>
      <c r="M4434" s="211"/>
      <c r="N4434" s="211"/>
      <c r="O4434" s="211" t="b">
        <f>IFERROR(__xludf.DUMMYFUNCTION("""COMPUTED_VALUE"""),FALSE)</f>
        <v>0</v>
      </c>
    </row>
    <row r="4435">
      <c r="A4435" s="210" t="str">
        <f>IFERROR(__xludf.DUMMYFUNCTION("""COMPUTED_VALUE"""),"1261504")</f>
        <v>1261504</v>
      </c>
      <c r="B4435" s="210" t="str">
        <f>IFERROR(__xludf.DUMMYFUNCTION("""COMPUTED_VALUE"""),"1261504")</f>
        <v>1261504</v>
      </c>
      <c r="C4435" s="213">
        <f>IFERROR(__xludf.DUMMYFUNCTION("""COMPUTED_VALUE"""),46120.67042824074)</f>
        <v>46120.67043</v>
      </c>
      <c r="D4435" s="211" t="str">
        <f>IFERROR(__xludf.DUMMYFUNCTION("""COMPUTED_VALUE"""),"4ec68cf6")</f>
        <v>4ec68cf6</v>
      </c>
      <c r="E4435" s="211" t="str">
        <f>IFERROR(__xludf.DUMMYFUNCTION("""COMPUTED_VALUE"""),"CV Sido Mukti Karya")</f>
        <v>CV Sido Mukti Karya</v>
      </c>
      <c r="F4435" s="211" t="str">
        <f>IFERROR(__xludf.DUMMYFUNCTION("""COMPUTED_VALUE"""),"7d2764f1")</f>
        <v>7d2764f1</v>
      </c>
      <c r="G4435" s="211" t="str">
        <f>IFERROR(__xludf.DUMMYFUNCTION("""COMPUTED_VALUE"""),"Oksigen 7m3")</f>
        <v>Oksigen 7m3</v>
      </c>
      <c r="H4435" s="211" t="str">
        <f>IFERROR(__xludf.DUMMYFUNCTION("""COMPUTED_VALUE"""),"IN")</f>
        <v>IN</v>
      </c>
      <c r="I4435" s="211" t="str">
        <f>IFERROR(__xludf.DUMMYFUNCTION("""COMPUTED_VALUE"""),"EMPTY")</f>
        <v>EMPTY</v>
      </c>
      <c r="J4435" s="211">
        <f>IFERROR(__xludf.DUMMYFUNCTION("""COMPUTED_VALUE"""),4.0)</f>
        <v>4</v>
      </c>
      <c r="K4435" s="210" t="str">
        <f>IFERROR(__xludf.DUMMYFUNCTION("""COMPUTED_VALUE"""),"11137 11169 11138 11143")</f>
        <v>11137 11169 11138 11143</v>
      </c>
      <c r="L4435" s="211">
        <f>IFERROR(__xludf.DUMMYFUNCTION("""COMPUTED_VALUE"""),0.0)</f>
        <v>0</v>
      </c>
      <c r="M4435" s="211"/>
      <c r="N4435" s="211"/>
      <c r="O4435" s="211" t="b">
        <f>IFERROR(__xludf.DUMMYFUNCTION("""COMPUTED_VALUE"""),FALSE)</f>
        <v>0</v>
      </c>
    </row>
    <row r="4436">
      <c r="A4436" s="210" t="str">
        <f>IFERROR(__xludf.DUMMYFUNCTION("""COMPUTED_VALUE"""),"0426293026")</f>
        <v>0426293026</v>
      </c>
      <c r="B4436" s="210" t="str">
        <f>IFERROR(__xludf.DUMMYFUNCTION("""COMPUTED_VALUE"""),"0426293026")</f>
        <v>0426293026</v>
      </c>
      <c r="C4436" s="213">
        <f>IFERROR(__xludf.DUMMYFUNCTION("""COMPUTED_VALUE"""),46121.36016203704)</f>
        <v>46121.36016</v>
      </c>
      <c r="D4436" s="211" t="str">
        <f>IFERROR(__xludf.DUMMYFUNCTION("""COMPUTED_VALUE"""),"8ea74d81")</f>
        <v>8ea74d81</v>
      </c>
      <c r="E4436" s="211" t="str">
        <f>IFERROR(__xludf.DUMMYFUNCTION("""COMPUTED_VALUE"""),"Bengkel Adi Putra")</f>
        <v>Bengkel Adi Putra</v>
      </c>
      <c r="F4436" s="211" t="str">
        <f>IFERROR(__xludf.DUMMYFUNCTION("""COMPUTED_VALUE"""),"8bdbe149")</f>
        <v>8bdbe149</v>
      </c>
      <c r="G4436" s="211" t="str">
        <f>IFERROR(__xludf.DUMMYFUNCTION("""COMPUTED_VALUE"""),"Oksigen 6m3")</f>
        <v>Oksigen 6m3</v>
      </c>
      <c r="H4436" s="211" t="str">
        <f>IFERROR(__xludf.DUMMYFUNCTION("""COMPUTED_VALUE"""),"OUT")</f>
        <v>OUT</v>
      </c>
      <c r="I4436" s="211" t="str">
        <f>IFERROR(__xludf.DUMMYFUNCTION("""COMPUTED_VALUE"""),"NORMAL")</f>
        <v>NORMAL</v>
      </c>
      <c r="J4436" s="211">
        <f>IFERROR(__xludf.DUMMYFUNCTION("""COMPUTED_VALUE"""),2.0)</f>
        <v>2</v>
      </c>
      <c r="K4436" s="210" t="str">
        <f>IFERROR(__xludf.DUMMYFUNCTION("""COMPUTED_VALUE"""),"1187 1173")</f>
        <v>1187 1173</v>
      </c>
      <c r="L4436" s="211">
        <f>IFERROR(__xludf.DUMMYFUNCTION("""COMPUTED_VALUE"""),70000.0)</f>
        <v>70000</v>
      </c>
      <c r="M4436" s="211"/>
      <c r="N4436" s="211"/>
      <c r="O4436" s="211" t="b">
        <f>IFERROR(__xludf.DUMMYFUNCTION("""COMPUTED_VALUE"""),FALSE)</f>
        <v>0</v>
      </c>
    </row>
    <row r="4437">
      <c r="A4437" s="210" t="str">
        <f>IFERROR(__xludf.DUMMYFUNCTION("""COMPUTED_VALUE"""),"0426293026")</f>
        <v>0426293026</v>
      </c>
      <c r="B4437" s="210" t="str">
        <f>IFERROR(__xludf.DUMMYFUNCTION("""COMPUTED_VALUE"""),"0426293026")</f>
        <v>0426293026</v>
      </c>
      <c r="C4437" s="213">
        <f>IFERROR(__xludf.DUMMYFUNCTION("""COMPUTED_VALUE"""),46121.36016203704)</f>
        <v>46121.36016</v>
      </c>
      <c r="D4437" s="211" t="str">
        <f>IFERROR(__xludf.DUMMYFUNCTION("""COMPUTED_VALUE"""),"8ea74d81")</f>
        <v>8ea74d81</v>
      </c>
      <c r="E4437" s="211" t="str">
        <f>IFERROR(__xludf.DUMMYFUNCTION("""COMPUTED_VALUE"""),"Bengkel Adi Putra")</f>
        <v>Bengkel Adi Putra</v>
      </c>
      <c r="F4437" s="211" t="str">
        <f>IFERROR(__xludf.DUMMYFUNCTION("""COMPUTED_VALUE"""),"ef306e54")</f>
        <v>ef306e54</v>
      </c>
      <c r="G4437" s="211" t="str">
        <f>IFERROR(__xludf.DUMMYFUNCTION("""COMPUTED_VALUE"""),"Karbondioksida")</f>
        <v>Karbondioksida</v>
      </c>
      <c r="H4437" s="211" t="str">
        <f>IFERROR(__xludf.DUMMYFUNCTION("""COMPUTED_VALUE"""),"OUT")</f>
        <v>OUT</v>
      </c>
      <c r="I4437" s="211" t="str">
        <f>IFERROR(__xludf.DUMMYFUNCTION("""COMPUTED_VALUE"""),"NORMAL")</f>
        <v>NORMAL</v>
      </c>
      <c r="J4437" s="211">
        <f>IFERROR(__xludf.DUMMYFUNCTION("""COMPUTED_VALUE"""),1.0)</f>
        <v>1</v>
      </c>
      <c r="K4437" s="210" t="str">
        <f>IFERROR(__xludf.DUMMYFUNCTION("""COMPUTED_VALUE"""),"13017")</f>
        <v>13017</v>
      </c>
      <c r="L4437" s="211">
        <f>IFERROR(__xludf.DUMMYFUNCTION("""COMPUTED_VALUE"""),190000.0)</f>
        <v>190000</v>
      </c>
      <c r="M4437" s="211"/>
      <c r="N4437" s="211"/>
      <c r="O4437" s="211" t="b">
        <f>IFERROR(__xludf.DUMMYFUNCTION("""COMPUTED_VALUE"""),FALSE)</f>
        <v>0</v>
      </c>
    </row>
    <row r="4438">
      <c r="A4438" s="210" t="str">
        <f>IFERROR(__xludf.DUMMYFUNCTION("""COMPUTED_VALUE"""),"0426163036")</f>
        <v>0426163036</v>
      </c>
      <c r="B4438" s="210" t="str">
        <f>IFERROR(__xludf.DUMMYFUNCTION("""COMPUTED_VALUE"""),"0426163036")</f>
        <v>0426163036</v>
      </c>
      <c r="C4438" s="213">
        <f>IFERROR(__xludf.DUMMYFUNCTION("""COMPUTED_VALUE"""),46121.38113425926)</f>
        <v>46121.38113</v>
      </c>
      <c r="D4438" s="211" t="str">
        <f>IFERROR(__xludf.DUMMYFUNCTION("""COMPUTED_VALUE"""),"03ff52db")</f>
        <v>03ff52db</v>
      </c>
      <c r="E4438" s="211" t="str">
        <f>IFERROR(__xludf.DUMMYFUNCTION("""COMPUTED_VALUE"""),"Aneka Teknik Logam")</f>
        <v>Aneka Teknik Logam</v>
      </c>
      <c r="F4438" s="211" t="str">
        <f>IFERROR(__xludf.DUMMYFUNCTION("""COMPUTED_VALUE"""),"f6aab7a9")</f>
        <v>f6aab7a9</v>
      </c>
      <c r="G4438" s="211" t="str">
        <f>IFERROR(__xludf.DUMMYFUNCTION("""COMPUTED_VALUE"""),"Oksigen 6m3 MR")</f>
        <v>Oksigen 6m3 MR</v>
      </c>
      <c r="H4438" s="211" t="str">
        <f>IFERROR(__xludf.DUMMYFUNCTION("""COMPUTED_VALUE"""),"OUT")</f>
        <v>OUT</v>
      </c>
      <c r="I4438" s="211" t="str">
        <f>IFERROR(__xludf.DUMMYFUNCTION("""COMPUTED_VALUE"""),"NORMAL")</f>
        <v>NORMAL</v>
      </c>
      <c r="J4438" s="211">
        <f>IFERROR(__xludf.DUMMYFUNCTION("""COMPUTED_VALUE"""),1.0)</f>
        <v>1</v>
      </c>
      <c r="K4438" s="211"/>
      <c r="L4438" s="211">
        <f>IFERROR(__xludf.DUMMYFUNCTION("""COMPUTED_VALUE"""),55000.0)</f>
        <v>55000</v>
      </c>
      <c r="M4438" s="211"/>
      <c r="N4438" s="211"/>
      <c r="O4438" s="211" t="b">
        <f>IFERROR(__xludf.DUMMYFUNCTION("""COMPUTED_VALUE"""),FALSE)</f>
        <v>0</v>
      </c>
    </row>
    <row r="4439">
      <c r="A4439" s="210" t="str">
        <f>IFERROR(__xludf.DUMMYFUNCTION("""COMPUTED_VALUE"""),"0426243037")</f>
        <v>0426243037</v>
      </c>
      <c r="B4439" s="210" t="str">
        <f>IFERROR(__xludf.DUMMYFUNCTION("""COMPUTED_VALUE"""),"0426243037")</f>
        <v>0426243037</v>
      </c>
      <c r="C4439" s="213">
        <f>IFERROR(__xludf.DUMMYFUNCTION("""COMPUTED_VALUE"""),46121.38958333333)</f>
        <v>46121.38958</v>
      </c>
      <c r="D4439" s="211" t="str">
        <f>IFERROR(__xludf.DUMMYFUNCTION("""COMPUTED_VALUE"""),"b218b89b")</f>
        <v>b218b89b</v>
      </c>
      <c r="E4439" s="211" t="str">
        <f>IFERROR(__xludf.DUMMYFUNCTION("""COMPUTED_VALUE"""),"PT Harapan Sentosa")</f>
        <v>PT Harapan Sentosa</v>
      </c>
      <c r="F4439" s="211" t="str">
        <f>IFERROR(__xludf.DUMMYFUNCTION("""COMPUTED_VALUE"""),"8bdbe149")</f>
        <v>8bdbe149</v>
      </c>
      <c r="G4439" s="211" t="str">
        <f>IFERROR(__xludf.DUMMYFUNCTION("""COMPUTED_VALUE"""),"Oksigen 6m3")</f>
        <v>Oksigen 6m3</v>
      </c>
      <c r="H4439" s="211" t="str">
        <f>IFERROR(__xludf.DUMMYFUNCTION("""COMPUTED_VALUE"""),"OUT")</f>
        <v>OUT</v>
      </c>
      <c r="I4439" s="211" t="str">
        <f>IFERROR(__xludf.DUMMYFUNCTION("""COMPUTED_VALUE"""),"NORMAL")</f>
        <v>NORMAL</v>
      </c>
      <c r="J4439" s="211">
        <f>IFERROR(__xludf.DUMMYFUNCTION("""COMPUTED_VALUE"""),10.0)</f>
        <v>10</v>
      </c>
      <c r="K4439" s="210" t="str">
        <f>IFERROR(__xludf.DUMMYFUNCTION("""COMPUTED_VALUE"""),"11252 11245 1129 11238 11211 11351 11258 11229 11232 11271")</f>
        <v>11252 11245 1129 11238 11211 11351 11258 11229 11232 11271</v>
      </c>
      <c r="L4439" s="211">
        <f>IFERROR(__xludf.DUMMYFUNCTION("""COMPUTED_VALUE"""),60000.0)</f>
        <v>60000</v>
      </c>
      <c r="M4439" s="211"/>
      <c r="N4439" s="211"/>
      <c r="O4439" s="211" t="b">
        <f>IFERROR(__xludf.DUMMYFUNCTION("""COMPUTED_VALUE"""),FALSE)</f>
        <v>0</v>
      </c>
    </row>
    <row r="4440">
      <c r="A4440" s="210" t="str">
        <f>IFERROR(__xludf.DUMMYFUNCTION("""COMPUTED_VALUE"""),"0426243038")</f>
        <v>0426243038</v>
      </c>
      <c r="B4440" s="210" t="str">
        <f>IFERROR(__xludf.DUMMYFUNCTION("""COMPUTED_VALUE"""),"0426243038")</f>
        <v>0426243038</v>
      </c>
      <c r="C4440" s="213">
        <f>IFERROR(__xludf.DUMMYFUNCTION("""COMPUTED_VALUE"""),46121.39466435185)</f>
        <v>46121.39466</v>
      </c>
      <c r="D4440" s="211" t="str">
        <f>IFERROR(__xludf.DUMMYFUNCTION("""COMPUTED_VALUE"""),"a0f0ad2d")</f>
        <v>a0f0ad2d</v>
      </c>
      <c r="E4440" s="211" t="str">
        <f>IFERROR(__xludf.DUMMYFUNCTION("""COMPUTED_VALUE"""),"CV. Yulie Jaya")</f>
        <v>CV. Yulie Jaya</v>
      </c>
      <c r="F4440" s="211" t="str">
        <f>IFERROR(__xludf.DUMMYFUNCTION("""COMPUTED_VALUE"""),"8bdbe149")</f>
        <v>8bdbe149</v>
      </c>
      <c r="G4440" s="211" t="str">
        <f>IFERROR(__xludf.DUMMYFUNCTION("""COMPUTED_VALUE"""),"Oksigen 6m3")</f>
        <v>Oksigen 6m3</v>
      </c>
      <c r="H4440" s="211" t="str">
        <f>IFERROR(__xludf.DUMMYFUNCTION("""COMPUTED_VALUE"""),"OUT")</f>
        <v>OUT</v>
      </c>
      <c r="I4440" s="211" t="str">
        <f>IFERROR(__xludf.DUMMYFUNCTION("""COMPUTED_VALUE"""),"NORMAL")</f>
        <v>NORMAL</v>
      </c>
      <c r="J4440" s="211">
        <f>IFERROR(__xludf.DUMMYFUNCTION("""COMPUTED_VALUE"""),9.0)</f>
        <v>9</v>
      </c>
      <c r="K4440" s="210" t="str">
        <f>IFERROR(__xludf.DUMMYFUNCTION("""COMPUTED_VALUE"""),"1122 1182 1106 1154 11100 11365 11106 1105 11180")</f>
        <v>1122 1182 1106 1154 11100 11365 11106 1105 11180</v>
      </c>
      <c r="L4440" s="211">
        <f>IFERROR(__xludf.DUMMYFUNCTION("""COMPUTED_VALUE"""),60000.0)</f>
        <v>60000</v>
      </c>
      <c r="M4440" s="211"/>
      <c r="N4440" s="211"/>
      <c r="O4440" s="211" t="b">
        <f>IFERROR(__xludf.DUMMYFUNCTION("""COMPUTED_VALUE"""),FALSE)</f>
        <v>0</v>
      </c>
    </row>
    <row r="4441">
      <c r="A4441" s="210" t="str">
        <f>IFERROR(__xludf.DUMMYFUNCTION("""COMPUTED_VALUE"""),"0426243038")</f>
        <v>0426243038</v>
      </c>
      <c r="B4441" s="210" t="str">
        <f>IFERROR(__xludf.DUMMYFUNCTION("""COMPUTED_VALUE"""),"0426243038")</f>
        <v>0426243038</v>
      </c>
      <c r="C4441" s="213">
        <f>IFERROR(__xludf.DUMMYFUNCTION("""COMPUTED_VALUE"""),46121.39466435185)</f>
        <v>46121.39466</v>
      </c>
      <c r="D4441" s="211" t="str">
        <f>IFERROR(__xludf.DUMMYFUNCTION("""COMPUTED_VALUE"""),"a0f0ad2d")</f>
        <v>a0f0ad2d</v>
      </c>
      <c r="E4441" s="211" t="str">
        <f>IFERROR(__xludf.DUMMYFUNCTION("""COMPUTED_VALUE"""),"CV. Yulie Jaya")</f>
        <v>CV. Yulie Jaya</v>
      </c>
      <c r="F4441" s="211" t="str">
        <f>IFERROR(__xludf.DUMMYFUNCTION("""COMPUTED_VALUE"""),"7d2764f1")</f>
        <v>7d2764f1</v>
      </c>
      <c r="G4441" s="211" t="str">
        <f>IFERROR(__xludf.DUMMYFUNCTION("""COMPUTED_VALUE"""),"Oksigen 7m3")</f>
        <v>Oksigen 7m3</v>
      </c>
      <c r="H4441" s="211" t="str">
        <f>IFERROR(__xludf.DUMMYFUNCTION("""COMPUTED_VALUE"""),"OUT")</f>
        <v>OUT</v>
      </c>
      <c r="I4441" s="211" t="str">
        <f>IFERROR(__xludf.DUMMYFUNCTION("""COMPUTED_VALUE"""),"NORMAL")</f>
        <v>NORMAL</v>
      </c>
      <c r="J4441" s="211">
        <f>IFERROR(__xludf.DUMMYFUNCTION("""COMPUTED_VALUE"""),1.0)</f>
        <v>1</v>
      </c>
      <c r="K4441" s="210" t="str">
        <f>IFERROR(__xludf.DUMMYFUNCTION("""COMPUTED_VALUE"""),"11178")</f>
        <v>11178</v>
      </c>
      <c r="L4441" s="211">
        <f>IFERROR(__xludf.DUMMYFUNCTION("""COMPUTED_VALUE"""),65000.0)</f>
        <v>65000</v>
      </c>
      <c r="M4441" s="211"/>
      <c r="N4441" s="211" t="str">
        <f>IFERROR(__xludf.DUMMYFUNCTION("""COMPUTED_VALUE"""),"Botol 6m3, Nomor Doubel sama 7m3")</f>
        <v>Botol 6m3, Nomor Doubel sama 7m3</v>
      </c>
      <c r="O4441" s="211" t="b">
        <f>IFERROR(__xludf.DUMMYFUNCTION("""COMPUTED_VALUE"""),FALSE)</f>
        <v>0</v>
      </c>
    </row>
    <row r="4442">
      <c r="A4442" s="210" t="str">
        <f>IFERROR(__xludf.DUMMYFUNCTION("""COMPUTED_VALUE"""),"1261515")</f>
        <v>1261515</v>
      </c>
      <c r="B4442" s="210" t="str">
        <f>IFERROR(__xludf.DUMMYFUNCTION("""COMPUTED_VALUE"""),"1261515")</f>
        <v>1261515</v>
      </c>
      <c r="C4442" s="213">
        <f>IFERROR(__xludf.DUMMYFUNCTION("""COMPUTED_VALUE"""),46121.5628125)</f>
        <v>46121.56281</v>
      </c>
      <c r="D4442" s="211" t="str">
        <f>IFERROR(__xludf.DUMMYFUNCTION("""COMPUTED_VALUE"""),"a0f0ad2d")</f>
        <v>a0f0ad2d</v>
      </c>
      <c r="E4442" s="211" t="str">
        <f>IFERROR(__xludf.DUMMYFUNCTION("""COMPUTED_VALUE"""),"CV. Yulie Jaya")</f>
        <v>CV. Yulie Jaya</v>
      </c>
      <c r="F4442" s="211" t="str">
        <f>IFERROR(__xludf.DUMMYFUNCTION("""COMPUTED_VALUE"""),"8bdbe149")</f>
        <v>8bdbe149</v>
      </c>
      <c r="G4442" s="211" t="str">
        <f>IFERROR(__xludf.DUMMYFUNCTION("""COMPUTED_VALUE"""),"Oksigen 6m3")</f>
        <v>Oksigen 6m3</v>
      </c>
      <c r="H4442" s="211" t="str">
        <f>IFERROR(__xludf.DUMMYFUNCTION("""COMPUTED_VALUE"""),"IN")</f>
        <v>IN</v>
      </c>
      <c r="I4442" s="211" t="str">
        <f>IFERROR(__xludf.DUMMYFUNCTION("""COMPUTED_VALUE"""),"EMPTY")</f>
        <v>EMPTY</v>
      </c>
      <c r="J4442" s="211">
        <f>IFERROR(__xludf.DUMMYFUNCTION("""COMPUTED_VALUE"""),9.0)</f>
        <v>9</v>
      </c>
      <c r="K4442" s="210" t="str">
        <f>IFERROR(__xludf.DUMMYFUNCTION("""COMPUTED_VALUE"""),"1111 1126 11378 1132 1120 11246 11277 11380 11127")</f>
        <v>1111 1126 11378 1132 1120 11246 11277 11380 11127</v>
      </c>
      <c r="L4442" s="211">
        <f>IFERROR(__xludf.DUMMYFUNCTION("""COMPUTED_VALUE"""),0.0)</f>
        <v>0</v>
      </c>
      <c r="M4442" s="211"/>
      <c r="N4442" s="211"/>
      <c r="O4442" s="211" t="b">
        <f>IFERROR(__xludf.DUMMYFUNCTION("""COMPUTED_VALUE"""),FALSE)</f>
        <v>0</v>
      </c>
    </row>
    <row r="4443">
      <c r="A4443" s="210" t="str">
        <f>IFERROR(__xludf.DUMMYFUNCTION("""COMPUTED_VALUE"""),"1261515")</f>
        <v>1261515</v>
      </c>
      <c r="B4443" s="210" t="str">
        <f>IFERROR(__xludf.DUMMYFUNCTION("""COMPUTED_VALUE"""),"1261515")</f>
        <v>1261515</v>
      </c>
      <c r="C4443" s="213">
        <f>IFERROR(__xludf.DUMMYFUNCTION("""COMPUTED_VALUE"""),46121.5628125)</f>
        <v>46121.56281</v>
      </c>
      <c r="D4443" s="211" t="str">
        <f>IFERROR(__xludf.DUMMYFUNCTION("""COMPUTED_VALUE"""),"a0f0ad2d")</f>
        <v>a0f0ad2d</v>
      </c>
      <c r="E4443" s="211" t="str">
        <f>IFERROR(__xludf.DUMMYFUNCTION("""COMPUTED_VALUE"""),"CV. Yulie Jaya")</f>
        <v>CV. Yulie Jaya</v>
      </c>
      <c r="F4443" s="211" t="str">
        <f>IFERROR(__xludf.DUMMYFUNCTION("""COMPUTED_VALUE"""),"7d2764f1")</f>
        <v>7d2764f1</v>
      </c>
      <c r="G4443" s="211" t="str">
        <f>IFERROR(__xludf.DUMMYFUNCTION("""COMPUTED_VALUE"""),"Oksigen 7m3")</f>
        <v>Oksigen 7m3</v>
      </c>
      <c r="H4443" s="211" t="str">
        <f>IFERROR(__xludf.DUMMYFUNCTION("""COMPUTED_VALUE"""),"IN")</f>
        <v>IN</v>
      </c>
      <c r="I4443" s="211" t="str">
        <f>IFERROR(__xludf.DUMMYFUNCTION("""COMPUTED_VALUE"""),"EMPTY")</f>
        <v>EMPTY</v>
      </c>
      <c r="J4443" s="211">
        <f>IFERROR(__xludf.DUMMYFUNCTION("""COMPUTED_VALUE"""),3.0)</f>
        <v>3</v>
      </c>
      <c r="K4443" s="210" t="str">
        <f>IFERROR(__xludf.DUMMYFUNCTION("""COMPUTED_VALUE"""),"11173 11390 11327")</f>
        <v>11173 11390 11327</v>
      </c>
      <c r="L4443" s="211">
        <f>IFERROR(__xludf.DUMMYFUNCTION("""COMPUTED_VALUE"""),0.0)</f>
        <v>0</v>
      </c>
      <c r="M4443" s="211"/>
      <c r="N4443" s="211"/>
      <c r="O4443" s="211" t="b">
        <f>IFERROR(__xludf.DUMMYFUNCTION("""COMPUTED_VALUE"""),FALSE)</f>
        <v>0</v>
      </c>
    </row>
    <row r="4444">
      <c r="A4444" s="210" t="str">
        <f>IFERROR(__xludf.DUMMYFUNCTION("""COMPUTED_VALUE"""),"1261515")</f>
        <v>1261515</v>
      </c>
      <c r="B4444" s="210" t="str">
        <f>IFERROR(__xludf.DUMMYFUNCTION("""COMPUTED_VALUE"""),"1261515")</f>
        <v>1261515</v>
      </c>
      <c r="C4444" s="213">
        <f>IFERROR(__xludf.DUMMYFUNCTION("""COMPUTED_VALUE"""),46121.5628125)</f>
        <v>46121.56281</v>
      </c>
      <c r="D4444" s="211" t="str">
        <f>IFERROR(__xludf.DUMMYFUNCTION("""COMPUTED_VALUE"""),"a0f0ad2d")</f>
        <v>a0f0ad2d</v>
      </c>
      <c r="E4444" s="211" t="str">
        <f>IFERROR(__xludf.DUMMYFUNCTION("""COMPUTED_VALUE"""),"CV. Yulie Jaya")</f>
        <v>CV. Yulie Jaya</v>
      </c>
      <c r="F4444" s="211" t="str">
        <f>IFERROR(__xludf.DUMMYFUNCTION("""COMPUTED_VALUE"""),"be525f3b")</f>
        <v>be525f3b</v>
      </c>
      <c r="G4444" s="211" t="str">
        <f>IFERROR(__xludf.DUMMYFUNCTION("""COMPUTED_VALUE"""),"LPG 12kg")</f>
        <v>LPG 12kg</v>
      </c>
      <c r="H4444" s="211" t="str">
        <f>IFERROR(__xludf.DUMMYFUNCTION("""COMPUTED_VALUE"""),"IN")</f>
        <v>IN</v>
      </c>
      <c r="I4444" s="211" t="str">
        <f>IFERROR(__xludf.DUMMYFUNCTION("""COMPUTED_VALUE"""),"EMPTY")</f>
        <v>EMPTY</v>
      </c>
      <c r="J4444" s="211">
        <f>IFERROR(__xludf.DUMMYFUNCTION("""COMPUTED_VALUE"""),2.0)</f>
        <v>2</v>
      </c>
      <c r="K4444" s="210" t="str">
        <f>IFERROR(__xludf.DUMMYFUNCTION("""COMPUTED_VALUE"""),"L003 L008")</f>
        <v>L003 L008</v>
      </c>
      <c r="L4444" s="211">
        <f>IFERROR(__xludf.DUMMYFUNCTION("""COMPUTED_VALUE"""),0.0)</f>
        <v>0</v>
      </c>
      <c r="M4444" s="211"/>
      <c r="N4444" s="211"/>
      <c r="O4444" s="211" t="b">
        <f>IFERROR(__xludf.DUMMYFUNCTION("""COMPUTED_VALUE"""),FALSE)</f>
        <v>0</v>
      </c>
    </row>
    <row r="4445">
      <c r="A4445" s="210" t="str">
        <f>IFERROR(__xludf.DUMMYFUNCTION("""COMPUTED_VALUE"""),"1261516")</f>
        <v>1261516</v>
      </c>
      <c r="B4445" s="210" t="str">
        <f>IFERROR(__xludf.DUMMYFUNCTION("""COMPUTED_VALUE"""),"1261516")</f>
        <v>1261516</v>
      </c>
      <c r="C4445" s="213">
        <f>IFERROR(__xludf.DUMMYFUNCTION("""COMPUTED_VALUE"""),46121.5646875)</f>
        <v>46121.56469</v>
      </c>
      <c r="D4445" s="211" t="str">
        <f>IFERROR(__xludf.DUMMYFUNCTION("""COMPUTED_VALUE"""),"d9b2fac5")</f>
        <v>d9b2fac5</v>
      </c>
      <c r="E4445" s="211" t="str">
        <f>IFERROR(__xludf.DUMMYFUNCTION("""COMPUTED_VALUE"""),"Dwi Riza ( Ponokawan)")</f>
        <v>Dwi Riza ( Ponokawan)</v>
      </c>
      <c r="F4445" s="211" t="str">
        <f>IFERROR(__xludf.DUMMYFUNCTION("""COMPUTED_VALUE"""),"7d2764f1")</f>
        <v>7d2764f1</v>
      </c>
      <c r="G4445" s="211" t="str">
        <f>IFERROR(__xludf.DUMMYFUNCTION("""COMPUTED_VALUE"""),"Oksigen 7m3")</f>
        <v>Oksigen 7m3</v>
      </c>
      <c r="H4445" s="211" t="str">
        <f>IFERROR(__xludf.DUMMYFUNCTION("""COMPUTED_VALUE"""),"IN")</f>
        <v>IN</v>
      </c>
      <c r="I4445" s="211" t="str">
        <f>IFERROR(__xludf.DUMMYFUNCTION("""COMPUTED_VALUE"""),"EMPTY")</f>
        <v>EMPTY</v>
      </c>
      <c r="J4445" s="211">
        <f>IFERROR(__xludf.DUMMYFUNCTION("""COMPUTED_VALUE"""),3.0)</f>
        <v>3</v>
      </c>
      <c r="K4445" s="210" t="str">
        <f>IFERROR(__xludf.DUMMYFUNCTION("""COMPUTED_VALUE"""),"11223 11304 11292")</f>
        <v>11223 11304 11292</v>
      </c>
      <c r="L4445" s="211">
        <f>IFERROR(__xludf.DUMMYFUNCTION("""COMPUTED_VALUE"""),0.0)</f>
        <v>0</v>
      </c>
      <c r="M4445" s="211"/>
      <c r="N4445" s="211"/>
      <c r="O4445" s="211" t="b">
        <f>IFERROR(__xludf.DUMMYFUNCTION("""COMPUTED_VALUE"""),FALSE)</f>
        <v>0</v>
      </c>
    </row>
    <row r="4446">
      <c r="A4446" s="210" t="str">
        <f>IFERROR(__xludf.DUMMYFUNCTION("""COMPUTED_VALUE"""),"1261517")</f>
        <v>1261517</v>
      </c>
      <c r="B4446" s="210" t="str">
        <f>IFERROR(__xludf.DUMMYFUNCTION("""COMPUTED_VALUE"""),"1261517")</f>
        <v>1261517</v>
      </c>
      <c r="C4446" s="213">
        <f>IFERROR(__xludf.DUMMYFUNCTION("""COMPUTED_VALUE"""),46121.56539351852)</f>
        <v>46121.56539</v>
      </c>
      <c r="D4446" s="211" t="str">
        <f>IFERROR(__xludf.DUMMYFUNCTION("""COMPUTED_VALUE"""),"b218b89b")</f>
        <v>b218b89b</v>
      </c>
      <c r="E4446" s="211" t="str">
        <f>IFERROR(__xludf.DUMMYFUNCTION("""COMPUTED_VALUE"""),"PT Harapan Sentosa")</f>
        <v>PT Harapan Sentosa</v>
      </c>
      <c r="F4446" s="211" t="str">
        <f>IFERROR(__xludf.DUMMYFUNCTION("""COMPUTED_VALUE"""),"7d2764f1")</f>
        <v>7d2764f1</v>
      </c>
      <c r="G4446" s="211" t="str">
        <f>IFERROR(__xludf.DUMMYFUNCTION("""COMPUTED_VALUE"""),"Oksigen 7m3")</f>
        <v>Oksigen 7m3</v>
      </c>
      <c r="H4446" s="211" t="str">
        <f>IFERROR(__xludf.DUMMYFUNCTION("""COMPUTED_VALUE"""),"IN")</f>
        <v>IN</v>
      </c>
      <c r="I4446" s="211" t="str">
        <f>IFERROR(__xludf.DUMMYFUNCTION("""COMPUTED_VALUE"""),"EMPTY")</f>
        <v>EMPTY</v>
      </c>
      <c r="J4446" s="211">
        <f>IFERROR(__xludf.DUMMYFUNCTION("""COMPUTED_VALUE"""),2.0)</f>
        <v>2</v>
      </c>
      <c r="K4446" s="210" t="str">
        <f>IFERROR(__xludf.DUMMYFUNCTION("""COMPUTED_VALUE"""),"11333 11145")</f>
        <v>11333 11145</v>
      </c>
      <c r="L4446" s="211">
        <f>IFERROR(__xludf.DUMMYFUNCTION("""COMPUTED_VALUE"""),0.0)</f>
        <v>0</v>
      </c>
      <c r="M4446" s="211"/>
      <c r="N4446" s="211"/>
      <c r="O4446" s="211" t="b">
        <f>IFERROR(__xludf.DUMMYFUNCTION("""COMPUTED_VALUE"""),FALSE)</f>
        <v>0</v>
      </c>
    </row>
    <row r="4447">
      <c r="A4447" s="210" t="str">
        <f>IFERROR(__xludf.DUMMYFUNCTION("""COMPUTED_VALUE"""),"0426143039")</f>
        <v>0426143039</v>
      </c>
      <c r="B4447" s="210" t="str">
        <f>IFERROR(__xludf.DUMMYFUNCTION("""COMPUTED_VALUE"""),"0426143039")</f>
        <v>0426143039</v>
      </c>
      <c r="C4447" s="213">
        <f>IFERROR(__xludf.DUMMYFUNCTION("""COMPUTED_VALUE"""),46121.5700462963)</f>
        <v>46121.57005</v>
      </c>
      <c r="D4447" s="211" t="str">
        <f>IFERROR(__xludf.DUMMYFUNCTION("""COMPUTED_VALUE"""),"1c4d5e93")</f>
        <v>1c4d5e93</v>
      </c>
      <c r="E4447" s="211" t="str">
        <f>IFERROR(__xludf.DUMMYFUNCTION("""COMPUTED_VALUE"""),"Karoseri Cipta Mitra Sukses")</f>
        <v>Karoseri Cipta Mitra Sukses</v>
      </c>
      <c r="F4447" s="211" t="str">
        <f>IFERROR(__xludf.DUMMYFUNCTION("""COMPUTED_VALUE"""),"ef306e54")</f>
        <v>ef306e54</v>
      </c>
      <c r="G4447" s="211" t="str">
        <f>IFERROR(__xludf.DUMMYFUNCTION("""COMPUTED_VALUE"""),"Karbondioksida")</f>
        <v>Karbondioksida</v>
      </c>
      <c r="H4447" s="211" t="str">
        <f>IFERROR(__xludf.DUMMYFUNCTION("""COMPUTED_VALUE"""),"OUT")</f>
        <v>OUT</v>
      </c>
      <c r="I4447" s="211" t="str">
        <f>IFERROR(__xludf.DUMMYFUNCTION("""COMPUTED_VALUE"""),"NORMAL")</f>
        <v>NORMAL</v>
      </c>
      <c r="J4447" s="211">
        <f>IFERROR(__xludf.DUMMYFUNCTION("""COMPUTED_VALUE"""),3.0)</f>
        <v>3</v>
      </c>
      <c r="K4447" s="210" t="str">
        <f>IFERROR(__xludf.DUMMYFUNCTION("""COMPUTED_VALUE"""),"13045 13018 13067")</f>
        <v>13045 13018 13067</v>
      </c>
      <c r="L4447" s="211">
        <f>IFERROR(__xludf.DUMMYFUNCTION("""COMPUTED_VALUE"""),190000.0)</f>
        <v>190000</v>
      </c>
      <c r="M4447" s="211"/>
      <c r="N4447" s="211"/>
      <c r="O4447" s="211" t="b">
        <f>IFERROR(__xludf.DUMMYFUNCTION("""COMPUTED_VALUE"""),FALSE)</f>
        <v>0</v>
      </c>
    </row>
    <row r="4448">
      <c r="A4448" s="210" t="str">
        <f>IFERROR(__xludf.DUMMYFUNCTION("""COMPUTED_VALUE"""),"0426143039")</f>
        <v>0426143039</v>
      </c>
      <c r="B4448" s="210" t="str">
        <f>IFERROR(__xludf.DUMMYFUNCTION("""COMPUTED_VALUE"""),"0426143039")</f>
        <v>0426143039</v>
      </c>
      <c r="C4448" s="213">
        <f>IFERROR(__xludf.DUMMYFUNCTION("""COMPUTED_VALUE"""),46121.5700462963)</f>
        <v>46121.57005</v>
      </c>
      <c r="D4448" s="211" t="str">
        <f>IFERROR(__xludf.DUMMYFUNCTION("""COMPUTED_VALUE"""),"1c4d5e93")</f>
        <v>1c4d5e93</v>
      </c>
      <c r="E4448" s="211" t="str">
        <f>IFERROR(__xludf.DUMMYFUNCTION("""COMPUTED_VALUE"""),"Karoseri Cipta Mitra Sukses")</f>
        <v>Karoseri Cipta Mitra Sukses</v>
      </c>
      <c r="F4448" s="211" t="str">
        <f>IFERROR(__xludf.DUMMYFUNCTION("""COMPUTED_VALUE"""),"8bdbe149")</f>
        <v>8bdbe149</v>
      </c>
      <c r="G4448" s="211" t="str">
        <f>IFERROR(__xludf.DUMMYFUNCTION("""COMPUTED_VALUE"""),"Oksigen 6m3")</f>
        <v>Oksigen 6m3</v>
      </c>
      <c r="H4448" s="211" t="str">
        <f>IFERROR(__xludf.DUMMYFUNCTION("""COMPUTED_VALUE"""),"OUT")</f>
        <v>OUT</v>
      </c>
      <c r="I4448" s="211" t="str">
        <f>IFERROR(__xludf.DUMMYFUNCTION("""COMPUTED_VALUE"""),"NORMAL")</f>
        <v>NORMAL</v>
      </c>
      <c r="J4448" s="211">
        <f>IFERROR(__xludf.DUMMYFUNCTION("""COMPUTED_VALUE"""),3.0)</f>
        <v>3</v>
      </c>
      <c r="K4448" s="210" t="str">
        <f>IFERROR(__xludf.DUMMYFUNCTION("""COMPUTED_VALUE"""),"11352 11383 1102")</f>
        <v>11352 11383 1102</v>
      </c>
      <c r="L4448" s="211">
        <f>IFERROR(__xludf.DUMMYFUNCTION("""COMPUTED_VALUE"""),60000.0)</f>
        <v>60000</v>
      </c>
      <c r="M4448" s="211"/>
      <c r="N4448" s="211"/>
      <c r="O4448" s="211" t="b">
        <f>IFERROR(__xludf.DUMMYFUNCTION("""COMPUTED_VALUE"""),FALSE)</f>
        <v>0</v>
      </c>
    </row>
    <row r="4449">
      <c r="A4449" s="210" t="str">
        <f>IFERROR(__xludf.DUMMYFUNCTION("""COMPUTED_VALUE"""),"1261448")</f>
        <v>1261448</v>
      </c>
      <c r="B4449" s="210" t="str">
        <f>IFERROR(__xludf.DUMMYFUNCTION("""COMPUTED_VALUE"""),"1261448")</f>
        <v>1261448</v>
      </c>
      <c r="C4449" s="213">
        <f>IFERROR(__xludf.DUMMYFUNCTION("""COMPUTED_VALUE"""),46107.49145833333)</f>
        <v>46107.49146</v>
      </c>
      <c r="D4449" s="211" t="str">
        <f>IFERROR(__xludf.DUMMYFUNCTION("""COMPUTED_VALUE"""),"a0f0ad2d")</f>
        <v>a0f0ad2d</v>
      </c>
      <c r="E4449" s="211" t="str">
        <f>IFERROR(__xludf.DUMMYFUNCTION("""COMPUTED_VALUE"""),"CV. Yulie Jaya")</f>
        <v>CV. Yulie Jaya</v>
      </c>
      <c r="F4449" s="211" t="str">
        <f>IFERROR(__xludf.DUMMYFUNCTION("""COMPUTED_VALUE"""),"be525f3b")</f>
        <v>be525f3b</v>
      </c>
      <c r="G4449" s="211" t="str">
        <f>IFERROR(__xludf.DUMMYFUNCTION("""COMPUTED_VALUE"""),"LPG 12kg")</f>
        <v>LPG 12kg</v>
      </c>
      <c r="H4449" s="211" t="str">
        <f>IFERROR(__xludf.DUMMYFUNCTION("""COMPUTED_VALUE"""),"IN")</f>
        <v>IN</v>
      </c>
      <c r="I4449" s="211" t="str">
        <f>IFERROR(__xludf.DUMMYFUNCTION("""COMPUTED_VALUE"""),"EMPTY")</f>
        <v>EMPTY</v>
      </c>
      <c r="J4449" s="211">
        <f>IFERROR(__xludf.DUMMYFUNCTION("""COMPUTED_VALUE"""),1.0)</f>
        <v>1</v>
      </c>
      <c r="K4449" s="210" t="str">
        <f>IFERROR(__xludf.DUMMYFUNCTION("""COMPUTED_VALUE"""),"L009")</f>
        <v>L009</v>
      </c>
      <c r="L4449" s="211">
        <f>IFERROR(__xludf.DUMMYFUNCTION("""COMPUTED_VALUE"""),0.0)</f>
        <v>0</v>
      </c>
      <c r="M4449" s="211"/>
      <c r="N4449" s="211"/>
      <c r="O4449" s="211" t="b">
        <f>IFERROR(__xludf.DUMMYFUNCTION("""COMPUTED_VALUE"""),FALSE)</f>
        <v>0</v>
      </c>
    </row>
    <row r="4450">
      <c r="A4450" s="210" t="str">
        <f>IFERROR(__xludf.DUMMYFUNCTION("""COMPUTED_VALUE"""),"1261507")</f>
        <v>1261507</v>
      </c>
      <c r="B4450" s="210" t="str">
        <f>IFERROR(__xludf.DUMMYFUNCTION("""COMPUTED_VALUE"""),"1261507")</f>
        <v>1261507</v>
      </c>
      <c r="C4450" s="213">
        <f>IFERROR(__xludf.DUMMYFUNCTION("""COMPUTED_VALUE"""),46122.35650462963)</f>
        <v>46122.3565</v>
      </c>
      <c r="D4450" s="211" t="str">
        <f>IFERROR(__xludf.DUMMYFUNCTION("""COMPUTED_VALUE"""),"1c4d5e93")</f>
        <v>1c4d5e93</v>
      </c>
      <c r="E4450" s="211" t="str">
        <f>IFERROR(__xludf.DUMMYFUNCTION("""COMPUTED_VALUE"""),"Karoseri Cipta Mitra Sukses")</f>
        <v>Karoseri Cipta Mitra Sukses</v>
      </c>
      <c r="F4450" s="211" t="str">
        <f>IFERROR(__xludf.DUMMYFUNCTION("""COMPUTED_VALUE"""),"8bdbe149")</f>
        <v>8bdbe149</v>
      </c>
      <c r="G4450" s="211" t="str">
        <f>IFERROR(__xludf.DUMMYFUNCTION("""COMPUTED_VALUE"""),"Oksigen 6m3")</f>
        <v>Oksigen 6m3</v>
      </c>
      <c r="H4450" s="211" t="str">
        <f>IFERROR(__xludf.DUMMYFUNCTION("""COMPUTED_VALUE"""),"IN")</f>
        <v>IN</v>
      </c>
      <c r="I4450" s="211" t="str">
        <f>IFERROR(__xludf.DUMMYFUNCTION("""COMPUTED_VALUE"""),"EMPTY")</f>
        <v>EMPTY</v>
      </c>
      <c r="J4450" s="211">
        <f>IFERROR(__xludf.DUMMYFUNCTION("""COMPUTED_VALUE"""),2.0)</f>
        <v>2</v>
      </c>
      <c r="K4450" s="210" t="str">
        <f>IFERROR(__xludf.DUMMYFUNCTION("""COMPUTED_VALUE"""),"1157 11253")</f>
        <v>1157 11253</v>
      </c>
      <c r="L4450" s="211">
        <f>IFERROR(__xludf.DUMMYFUNCTION("""COMPUTED_VALUE"""),0.0)</f>
        <v>0</v>
      </c>
      <c r="M4450" s="211"/>
      <c r="N4450" s="211"/>
      <c r="O4450" s="211" t="b">
        <f>IFERROR(__xludf.DUMMYFUNCTION("""COMPUTED_VALUE"""),FALSE)</f>
        <v>0</v>
      </c>
    </row>
    <row r="4451">
      <c r="A4451" s="210" t="str">
        <f>IFERROR(__xludf.DUMMYFUNCTION("""COMPUTED_VALUE"""),"1261507")</f>
        <v>1261507</v>
      </c>
      <c r="B4451" s="210" t="str">
        <f>IFERROR(__xludf.DUMMYFUNCTION("""COMPUTED_VALUE"""),"1261507")</f>
        <v>1261507</v>
      </c>
      <c r="C4451" s="213">
        <f>IFERROR(__xludf.DUMMYFUNCTION("""COMPUTED_VALUE"""),46122.35650462963)</f>
        <v>46122.3565</v>
      </c>
      <c r="D4451" s="211" t="str">
        <f>IFERROR(__xludf.DUMMYFUNCTION("""COMPUTED_VALUE"""),"1c4d5e93")</f>
        <v>1c4d5e93</v>
      </c>
      <c r="E4451" s="211" t="str">
        <f>IFERROR(__xludf.DUMMYFUNCTION("""COMPUTED_VALUE"""),"Karoseri Cipta Mitra Sukses")</f>
        <v>Karoseri Cipta Mitra Sukses</v>
      </c>
      <c r="F4451" s="211" t="str">
        <f>IFERROR(__xludf.DUMMYFUNCTION("""COMPUTED_VALUE"""),"ef306e54")</f>
        <v>ef306e54</v>
      </c>
      <c r="G4451" s="211" t="str">
        <f>IFERROR(__xludf.DUMMYFUNCTION("""COMPUTED_VALUE"""),"Karbondioksida")</f>
        <v>Karbondioksida</v>
      </c>
      <c r="H4451" s="211" t="str">
        <f>IFERROR(__xludf.DUMMYFUNCTION("""COMPUTED_VALUE"""),"IN")</f>
        <v>IN</v>
      </c>
      <c r="I4451" s="211" t="str">
        <f>IFERROR(__xludf.DUMMYFUNCTION("""COMPUTED_VALUE"""),"EMPTY")</f>
        <v>EMPTY</v>
      </c>
      <c r="J4451" s="211">
        <f>IFERROR(__xludf.DUMMYFUNCTION("""COMPUTED_VALUE"""),1.0)</f>
        <v>1</v>
      </c>
      <c r="K4451" s="210" t="str">
        <f>IFERROR(__xludf.DUMMYFUNCTION("""COMPUTED_VALUE"""),"13023")</f>
        <v>13023</v>
      </c>
      <c r="L4451" s="211">
        <f>IFERROR(__xludf.DUMMYFUNCTION("""COMPUTED_VALUE"""),0.0)</f>
        <v>0</v>
      </c>
      <c r="M4451" s="211"/>
      <c r="N4451" s="211"/>
      <c r="O4451" s="211" t="b">
        <f>IFERROR(__xludf.DUMMYFUNCTION("""COMPUTED_VALUE"""),FALSE)</f>
        <v>0</v>
      </c>
    </row>
    <row r="4452">
      <c r="A4452" s="210" t="str">
        <f>IFERROR(__xludf.DUMMYFUNCTION("""COMPUTED_VALUE"""),"04261013043")</f>
        <v>04261013043</v>
      </c>
      <c r="B4452" s="210" t="str">
        <f>IFERROR(__xludf.DUMMYFUNCTION("""COMPUTED_VALUE"""),"04261013043")</f>
        <v>04261013043</v>
      </c>
      <c r="C4452" s="213">
        <f>IFERROR(__xludf.DUMMYFUNCTION("""COMPUTED_VALUE"""),46122.364224537036)</f>
        <v>46122.36422</v>
      </c>
      <c r="D4452" s="211" t="str">
        <f>IFERROR(__xludf.DUMMYFUNCTION("""COMPUTED_VALUE"""),"b2b5f2c5")</f>
        <v>b2b5f2c5</v>
      </c>
      <c r="E4452" s="211" t="str">
        <f>IFERROR(__xludf.DUMMYFUNCTION("""COMPUTED_VALUE"""),"Bengkel Las Bpk. Ari")</f>
        <v>Bengkel Las Bpk. Ari</v>
      </c>
      <c r="F4452" s="211" t="str">
        <f>IFERROR(__xludf.DUMMYFUNCTION("""COMPUTED_VALUE"""),"8bdbe149")</f>
        <v>8bdbe149</v>
      </c>
      <c r="G4452" s="211" t="str">
        <f>IFERROR(__xludf.DUMMYFUNCTION("""COMPUTED_VALUE"""),"Oksigen 6m3")</f>
        <v>Oksigen 6m3</v>
      </c>
      <c r="H4452" s="211" t="str">
        <f>IFERROR(__xludf.DUMMYFUNCTION("""COMPUTED_VALUE"""),"OUT")</f>
        <v>OUT</v>
      </c>
      <c r="I4452" s="211" t="str">
        <f>IFERROR(__xludf.DUMMYFUNCTION("""COMPUTED_VALUE"""),"NORMAL")</f>
        <v>NORMAL</v>
      </c>
      <c r="J4452" s="211">
        <f>IFERROR(__xludf.DUMMYFUNCTION("""COMPUTED_VALUE"""),4.0)</f>
        <v>4</v>
      </c>
      <c r="K4452" s="210" t="str">
        <f>IFERROR(__xludf.DUMMYFUNCTION("""COMPUTED_VALUE"""),"11186 11188 11355 11341")</f>
        <v>11186 11188 11355 11341</v>
      </c>
      <c r="L4452" s="211">
        <f>IFERROR(__xludf.DUMMYFUNCTION("""COMPUTED_VALUE"""),60000.0)</f>
        <v>60000</v>
      </c>
      <c r="M4452" s="211"/>
      <c r="N4452" s="211"/>
      <c r="O4452" s="211" t="b">
        <f>IFERROR(__xludf.DUMMYFUNCTION("""COMPUTED_VALUE"""),FALSE)</f>
        <v>0</v>
      </c>
    </row>
    <row r="4453">
      <c r="A4453" s="210" t="str">
        <f>IFERROR(__xludf.DUMMYFUNCTION("""COMPUTED_VALUE"""),"04261013043")</f>
        <v>04261013043</v>
      </c>
      <c r="B4453" s="210" t="str">
        <f>IFERROR(__xludf.DUMMYFUNCTION("""COMPUTED_VALUE"""),"04261013043")</f>
        <v>04261013043</v>
      </c>
      <c r="C4453" s="213">
        <f>IFERROR(__xludf.DUMMYFUNCTION("""COMPUTED_VALUE"""),46122.364224537036)</f>
        <v>46122.36422</v>
      </c>
      <c r="D4453" s="211" t="str">
        <f>IFERROR(__xludf.DUMMYFUNCTION("""COMPUTED_VALUE"""),"b2b5f2c5")</f>
        <v>b2b5f2c5</v>
      </c>
      <c r="E4453" s="211" t="str">
        <f>IFERROR(__xludf.DUMMYFUNCTION("""COMPUTED_VALUE"""),"Bengkel Las Bpk. Ari")</f>
        <v>Bengkel Las Bpk. Ari</v>
      </c>
      <c r="F4453" s="211" t="str">
        <f>IFERROR(__xludf.DUMMYFUNCTION("""COMPUTED_VALUE"""),"ef306e54")</f>
        <v>ef306e54</v>
      </c>
      <c r="G4453" s="211" t="str">
        <f>IFERROR(__xludf.DUMMYFUNCTION("""COMPUTED_VALUE"""),"Karbondioksida")</f>
        <v>Karbondioksida</v>
      </c>
      <c r="H4453" s="211" t="str">
        <f>IFERROR(__xludf.DUMMYFUNCTION("""COMPUTED_VALUE"""),"OUT")</f>
        <v>OUT</v>
      </c>
      <c r="I4453" s="211" t="str">
        <f>IFERROR(__xludf.DUMMYFUNCTION("""COMPUTED_VALUE"""),"NORMAL")</f>
        <v>NORMAL</v>
      </c>
      <c r="J4453" s="211">
        <f>IFERROR(__xludf.DUMMYFUNCTION("""COMPUTED_VALUE"""),2.0)</f>
        <v>2</v>
      </c>
      <c r="K4453" s="210" t="str">
        <f>IFERROR(__xludf.DUMMYFUNCTION("""COMPUTED_VALUE"""),"13023 13051")</f>
        <v>13023 13051</v>
      </c>
      <c r="L4453" s="211">
        <f>IFERROR(__xludf.DUMMYFUNCTION("""COMPUTED_VALUE"""),180000.0)</f>
        <v>180000</v>
      </c>
      <c r="M4453" s="211"/>
      <c r="N4453" s="211"/>
      <c r="O4453" s="211" t="b">
        <f>IFERROR(__xludf.DUMMYFUNCTION("""COMPUTED_VALUE"""),FALSE)</f>
        <v>0</v>
      </c>
    </row>
    <row r="4454">
      <c r="A4454" s="210" t="str">
        <f>IFERROR(__xludf.DUMMYFUNCTION("""COMPUTED_VALUE"""),"0426203045")</f>
        <v>0426203045</v>
      </c>
      <c r="B4454" s="210" t="str">
        <f>IFERROR(__xludf.DUMMYFUNCTION("""COMPUTED_VALUE"""),"0426203045")</f>
        <v>0426203045</v>
      </c>
      <c r="C4454" s="213">
        <f>IFERROR(__xludf.DUMMYFUNCTION("""COMPUTED_VALUE"""),46122.54613425926)</f>
        <v>46122.54613</v>
      </c>
      <c r="D4454" s="211" t="str">
        <f>IFERROR(__xludf.DUMMYFUNCTION("""COMPUTED_VALUE"""),"eec2e801")</f>
        <v>eec2e801</v>
      </c>
      <c r="E4454" s="211" t="str">
        <f>IFERROR(__xludf.DUMMYFUNCTION("""COMPUTED_VALUE"""),"Mitra Wood Sejahtera")</f>
        <v>Mitra Wood Sejahtera</v>
      </c>
      <c r="F4454" s="211" t="str">
        <f>IFERROR(__xludf.DUMMYFUNCTION("""COMPUTED_VALUE"""),"8bdbe149")</f>
        <v>8bdbe149</v>
      </c>
      <c r="G4454" s="211" t="str">
        <f>IFERROR(__xludf.DUMMYFUNCTION("""COMPUTED_VALUE"""),"Oksigen 6m3")</f>
        <v>Oksigen 6m3</v>
      </c>
      <c r="H4454" s="211" t="str">
        <f>IFERROR(__xludf.DUMMYFUNCTION("""COMPUTED_VALUE"""),"OUT")</f>
        <v>OUT</v>
      </c>
      <c r="I4454" s="211" t="str">
        <f>IFERROR(__xludf.DUMMYFUNCTION("""COMPUTED_VALUE"""),"NORMAL")</f>
        <v>NORMAL</v>
      </c>
      <c r="J4454" s="211">
        <f>IFERROR(__xludf.DUMMYFUNCTION("""COMPUTED_VALUE"""),7.0)</f>
        <v>7</v>
      </c>
      <c r="K4454" s="210" t="str">
        <f>IFERROR(__xludf.DUMMYFUNCTION("""COMPUTED_VALUE"""),"11246 11121 1140 11240 11250 1120 1132")</f>
        <v>11246 11121 1140 11240 11250 1120 1132</v>
      </c>
      <c r="L4454" s="211">
        <f>IFERROR(__xludf.DUMMYFUNCTION("""COMPUTED_VALUE"""),55000.0)</f>
        <v>55000</v>
      </c>
      <c r="M4454" s="211"/>
      <c r="N4454" s="211"/>
      <c r="O4454" s="211" t="b">
        <f>IFERROR(__xludf.DUMMYFUNCTION("""COMPUTED_VALUE"""),FALSE)</f>
        <v>0</v>
      </c>
    </row>
    <row r="4455">
      <c r="A4455" s="210" t="str">
        <f>IFERROR(__xludf.DUMMYFUNCTION("""COMPUTED_VALUE"""),"1261508")</f>
        <v>1261508</v>
      </c>
      <c r="B4455" s="210" t="str">
        <f>IFERROR(__xludf.DUMMYFUNCTION("""COMPUTED_VALUE"""),"1261508")</f>
        <v>1261508</v>
      </c>
      <c r="C4455" s="213">
        <f>IFERROR(__xludf.DUMMYFUNCTION("""COMPUTED_VALUE"""),46122.58615740741)</f>
        <v>46122.58616</v>
      </c>
      <c r="D4455" s="211" t="str">
        <f>IFERROR(__xludf.DUMMYFUNCTION("""COMPUTED_VALUE"""),"b2b5f2c5")</f>
        <v>b2b5f2c5</v>
      </c>
      <c r="E4455" s="211" t="str">
        <f>IFERROR(__xludf.DUMMYFUNCTION("""COMPUTED_VALUE"""),"Bengkel Las Bpk. Ari")</f>
        <v>Bengkel Las Bpk. Ari</v>
      </c>
      <c r="F4455" s="211" t="str">
        <f>IFERROR(__xludf.DUMMYFUNCTION("""COMPUTED_VALUE"""),"8bdbe149")</f>
        <v>8bdbe149</v>
      </c>
      <c r="G4455" s="211" t="str">
        <f>IFERROR(__xludf.DUMMYFUNCTION("""COMPUTED_VALUE"""),"Oksigen 6m3")</f>
        <v>Oksigen 6m3</v>
      </c>
      <c r="H4455" s="211" t="str">
        <f>IFERROR(__xludf.DUMMYFUNCTION("""COMPUTED_VALUE"""),"IN")</f>
        <v>IN</v>
      </c>
      <c r="I4455" s="211" t="str">
        <f>IFERROR(__xludf.DUMMYFUNCTION("""COMPUTED_VALUE"""),"EMPTY")</f>
        <v>EMPTY</v>
      </c>
      <c r="J4455" s="211">
        <f>IFERROR(__xludf.DUMMYFUNCTION("""COMPUTED_VALUE"""),5.0)</f>
        <v>5</v>
      </c>
      <c r="K4455" s="210" t="str">
        <f>IFERROR(__xludf.DUMMYFUNCTION("""COMPUTED_VALUE"""),"11382 11124 1155 11198 11116")</f>
        <v>11382 11124 1155 11198 11116</v>
      </c>
      <c r="L4455" s="211">
        <f>IFERROR(__xludf.DUMMYFUNCTION("""COMPUTED_VALUE"""),0.0)</f>
        <v>0</v>
      </c>
      <c r="M4455" s="211"/>
      <c r="N4455" s="211"/>
      <c r="O4455" s="211" t="b">
        <f>IFERROR(__xludf.DUMMYFUNCTION("""COMPUTED_VALUE"""),FALSE)</f>
        <v>0</v>
      </c>
    </row>
    <row r="4456">
      <c r="A4456" s="210" t="str">
        <f>IFERROR(__xludf.DUMMYFUNCTION("""COMPUTED_VALUE"""),"04261023046")</f>
        <v>04261023046</v>
      </c>
      <c r="B4456" s="210" t="str">
        <f>IFERROR(__xludf.DUMMYFUNCTION("""COMPUTED_VALUE"""),"04261023046")</f>
        <v>04261023046</v>
      </c>
      <c r="C4456" s="213">
        <f>IFERROR(__xludf.DUMMYFUNCTION("""COMPUTED_VALUE"""),46123.37553240741)</f>
        <v>46123.37553</v>
      </c>
      <c r="D4456" s="211" t="str">
        <f>IFERROR(__xludf.DUMMYFUNCTION("""COMPUTED_VALUE"""),"b2b5f2c5")</f>
        <v>b2b5f2c5</v>
      </c>
      <c r="E4456" s="211" t="str">
        <f>IFERROR(__xludf.DUMMYFUNCTION("""COMPUTED_VALUE"""),"Bengkel Las Bpk. Ari")</f>
        <v>Bengkel Las Bpk. Ari</v>
      </c>
      <c r="F4456" s="211" t="str">
        <f>IFERROR(__xludf.DUMMYFUNCTION("""COMPUTED_VALUE"""),"8bdbe149")</f>
        <v>8bdbe149</v>
      </c>
      <c r="G4456" s="211" t="str">
        <f>IFERROR(__xludf.DUMMYFUNCTION("""COMPUTED_VALUE"""),"Oksigen 6m3")</f>
        <v>Oksigen 6m3</v>
      </c>
      <c r="H4456" s="211" t="str">
        <f>IFERROR(__xludf.DUMMYFUNCTION("""COMPUTED_VALUE"""),"OUT")</f>
        <v>OUT</v>
      </c>
      <c r="I4456" s="211" t="str">
        <f>IFERROR(__xludf.DUMMYFUNCTION("""COMPUTED_VALUE"""),"NORMAL")</f>
        <v>NORMAL</v>
      </c>
      <c r="J4456" s="211">
        <f>IFERROR(__xludf.DUMMYFUNCTION("""COMPUTED_VALUE"""),4.0)</f>
        <v>4</v>
      </c>
      <c r="K4456" s="210" t="str">
        <f>IFERROR(__xludf.DUMMYFUNCTION("""COMPUTED_VALUE"""),"11380 1111 11277 11127")</f>
        <v>11380 1111 11277 11127</v>
      </c>
      <c r="L4456" s="211">
        <f>IFERROR(__xludf.DUMMYFUNCTION("""COMPUTED_VALUE"""),60000.0)</f>
        <v>60000</v>
      </c>
      <c r="M4456" s="211"/>
      <c r="N4456" s="211"/>
      <c r="O4456" s="211" t="b">
        <f>IFERROR(__xludf.DUMMYFUNCTION("""COMPUTED_VALUE"""),FALSE)</f>
        <v>0</v>
      </c>
    </row>
    <row r="4457">
      <c r="A4457" s="210" t="str">
        <f>IFERROR(__xludf.DUMMYFUNCTION("""COMPUTED_VALUE"""),"04261023046")</f>
        <v>04261023046</v>
      </c>
      <c r="B4457" s="210" t="str">
        <f>IFERROR(__xludf.DUMMYFUNCTION("""COMPUTED_VALUE"""),"04261023046")</f>
        <v>04261023046</v>
      </c>
      <c r="C4457" s="213">
        <f>IFERROR(__xludf.DUMMYFUNCTION("""COMPUTED_VALUE"""),46123.37553240741)</f>
        <v>46123.37553</v>
      </c>
      <c r="D4457" s="211" t="str">
        <f>IFERROR(__xludf.DUMMYFUNCTION("""COMPUTED_VALUE"""),"b2b5f2c5")</f>
        <v>b2b5f2c5</v>
      </c>
      <c r="E4457" s="211" t="str">
        <f>IFERROR(__xludf.DUMMYFUNCTION("""COMPUTED_VALUE"""),"Bengkel Las Bpk. Ari")</f>
        <v>Bengkel Las Bpk. Ari</v>
      </c>
      <c r="F4457" s="211" t="str">
        <f>IFERROR(__xludf.DUMMYFUNCTION("""COMPUTED_VALUE"""),"ef306e54")</f>
        <v>ef306e54</v>
      </c>
      <c r="G4457" s="211" t="str">
        <f>IFERROR(__xludf.DUMMYFUNCTION("""COMPUTED_VALUE"""),"Karbondioksida")</f>
        <v>Karbondioksida</v>
      </c>
      <c r="H4457" s="211" t="str">
        <f>IFERROR(__xludf.DUMMYFUNCTION("""COMPUTED_VALUE"""),"OUT")</f>
        <v>OUT</v>
      </c>
      <c r="I4457" s="211" t="str">
        <f>IFERROR(__xludf.DUMMYFUNCTION("""COMPUTED_VALUE"""),"NORMAL")</f>
        <v>NORMAL</v>
      </c>
      <c r="J4457" s="211">
        <f>IFERROR(__xludf.DUMMYFUNCTION("""COMPUTED_VALUE"""),2.0)</f>
        <v>2</v>
      </c>
      <c r="K4457" s="210" t="str">
        <f>IFERROR(__xludf.DUMMYFUNCTION("""COMPUTED_VALUE"""),"13066 13055")</f>
        <v>13066 13055</v>
      </c>
      <c r="L4457" s="211">
        <f>IFERROR(__xludf.DUMMYFUNCTION("""COMPUTED_VALUE"""),180000.0)</f>
        <v>180000</v>
      </c>
      <c r="M4457" s="211"/>
      <c r="N4457" s="211"/>
      <c r="O4457" s="211" t="b">
        <f>IFERROR(__xludf.DUMMYFUNCTION("""COMPUTED_VALUE"""),FALSE)</f>
        <v>0</v>
      </c>
    </row>
    <row r="4458">
      <c r="A4458" s="210" t="str">
        <f>IFERROR(__xludf.DUMMYFUNCTION("""COMPUTED_VALUE"""),"0426403048")</f>
        <v>0426403048</v>
      </c>
      <c r="B4458" s="210" t="str">
        <f>IFERROR(__xludf.DUMMYFUNCTION("""COMPUTED_VALUE"""),"0426403048")</f>
        <v>0426403048</v>
      </c>
      <c r="C4458" s="213">
        <f>IFERROR(__xludf.DUMMYFUNCTION("""COMPUTED_VALUE"""),46123.39258101852)</f>
        <v>46123.39258</v>
      </c>
      <c r="D4458" s="211" t="str">
        <f>IFERROR(__xludf.DUMMYFUNCTION("""COMPUTED_VALUE"""),"63fc688a")</f>
        <v>63fc688a</v>
      </c>
      <c r="E4458" s="211" t="str">
        <f>IFERROR(__xludf.DUMMYFUNCTION("""COMPUTED_VALUE"""),"CV Malik Nusantara")</f>
        <v>CV Malik Nusantara</v>
      </c>
      <c r="F4458" s="211" t="str">
        <f>IFERROR(__xludf.DUMMYFUNCTION("""COMPUTED_VALUE"""),"7d2764f1")</f>
        <v>7d2764f1</v>
      </c>
      <c r="G4458" s="211" t="str">
        <f>IFERROR(__xludf.DUMMYFUNCTION("""COMPUTED_VALUE"""),"Oksigen 7m3")</f>
        <v>Oksigen 7m3</v>
      </c>
      <c r="H4458" s="211" t="str">
        <f>IFERROR(__xludf.DUMMYFUNCTION("""COMPUTED_VALUE"""),"OUT")</f>
        <v>OUT</v>
      </c>
      <c r="I4458" s="211" t="str">
        <f>IFERROR(__xludf.DUMMYFUNCTION("""COMPUTED_VALUE"""),"NORMAL")</f>
        <v>NORMAL</v>
      </c>
      <c r="J4458" s="211">
        <f>IFERROR(__xludf.DUMMYFUNCTION("""COMPUTED_VALUE"""),9.0)</f>
        <v>9</v>
      </c>
      <c r="K4458" s="210" t="str">
        <f>IFERROR(__xludf.DUMMYFUNCTION("""COMPUTED_VALUE"""),"11390 11327 11304 11145 11169 11143 11292 11173 11138")</f>
        <v>11390 11327 11304 11145 11169 11143 11292 11173 11138</v>
      </c>
      <c r="L4458" s="211">
        <f>IFERROR(__xludf.DUMMYFUNCTION("""COMPUTED_VALUE"""),65000.0)</f>
        <v>65000</v>
      </c>
      <c r="M4458" s="211"/>
      <c r="N4458" s="211"/>
      <c r="O4458" s="211" t="b">
        <f>IFERROR(__xludf.DUMMYFUNCTION("""COMPUTED_VALUE"""),FALSE)</f>
        <v>0</v>
      </c>
    </row>
    <row r="4459">
      <c r="A4459" s="210" t="str">
        <f>IFERROR(__xludf.DUMMYFUNCTION("""COMPUTED_VALUE"""),"0426403048")</f>
        <v>0426403048</v>
      </c>
      <c r="B4459" s="210" t="str">
        <f>IFERROR(__xludf.DUMMYFUNCTION("""COMPUTED_VALUE"""),"0426403048")</f>
        <v>0426403048</v>
      </c>
      <c r="C4459" s="213">
        <f>IFERROR(__xludf.DUMMYFUNCTION("""COMPUTED_VALUE"""),46123.39258101852)</f>
        <v>46123.39258</v>
      </c>
      <c r="D4459" s="211" t="str">
        <f>IFERROR(__xludf.DUMMYFUNCTION("""COMPUTED_VALUE"""),"63fc688a")</f>
        <v>63fc688a</v>
      </c>
      <c r="E4459" s="211" t="str">
        <f>IFERROR(__xludf.DUMMYFUNCTION("""COMPUTED_VALUE"""),"CV Malik Nusantara")</f>
        <v>CV Malik Nusantara</v>
      </c>
      <c r="F4459" s="211" t="str">
        <f>IFERROR(__xludf.DUMMYFUNCTION("""COMPUTED_VALUE"""),"7d2764f1")</f>
        <v>7d2764f1</v>
      </c>
      <c r="G4459" s="211" t="str">
        <f>IFERROR(__xludf.DUMMYFUNCTION("""COMPUTED_VALUE"""),"Oksigen 7m3")</f>
        <v>Oksigen 7m3</v>
      </c>
      <c r="H4459" s="211" t="str">
        <f>IFERROR(__xludf.DUMMYFUNCTION("""COMPUTED_VALUE"""),"OUT")</f>
        <v>OUT</v>
      </c>
      <c r="I4459" s="211" t="str">
        <f>IFERROR(__xludf.DUMMYFUNCTION("""COMPUTED_VALUE"""),"NORMAL")</f>
        <v>NORMAL</v>
      </c>
      <c r="J4459" s="211">
        <f>IFERROR(__xludf.DUMMYFUNCTION("""COMPUTED_VALUE"""),1.0)</f>
        <v>1</v>
      </c>
      <c r="K4459" s="210" t="str">
        <f>IFERROR(__xludf.DUMMYFUNCTION("""COMPUTED_VALUE"""),"11178")</f>
        <v>11178</v>
      </c>
      <c r="L4459" s="211">
        <f>IFERROR(__xludf.DUMMYFUNCTION("""COMPUTED_VALUE"""),65000.0)</f>
        <v>65000</v>
      </c>
      <c r="M4459" s="211"/>
      <c r="N4459" s="211" t="str">
        <f>IFERROR(__xludf.DUMMYFUNCTION("""COMPUTED_VALUE"""),"Ini botol 7m3, yang di yulie jaya botol 6m3")</f>
        <v>Ini botol 7m3, yang di yulie jaya botol 6m3</v>
      </c>
      <c r="O4459" s="211" t="b">
        <f>IFERROR(__xludf.DUMMYFUNCTION("""COMPUTED_VALUE"""),TRUE)</f>
        <v>1</v>
      </c>
    </row>
    <row r="4460">
      <c r="A4460" s="210" t="str">
        <f>IFERROR(__xludf.DUMMYFUNCTION("""COMPUTED_VALUE"""),"0426403048")</f>
        <v>0426403048</v>
      </c>
      <c r="B4460" s="210" t="str">
        <f>IFERROR(__xludf.DUMMYFUNCTION("""COMPUTED_VALUE"""),"0426403048")</f>
        <v>0426403048</v>
      </c>
      <c r="C4460" s="213">
        <f>IFERROR(__xludf.DUMMYFUNCTION("""COMPUTED_VALUE"""),46123.39258101852)</f>
        <v>46123.39258</v>
      </c>
      <c r="D4460" s="211" t="str">
        <f>IFERROR(__xludf.DUMMYFUNCTION("""COMPUTED_VALUE"""),"63fc688a")</f>
        <v>63fc688a</v>
      </c>
      <c r="E4460" s="211" t="str">
        <f>IFERROR(__xludf.DUMMYFUNCTION("""COMPUTED_VALUE"""),"CV Malik Nusantara")</f>
        <v>CV Malik Nusantara</v>
      </c>
      <c r="F4460" s="211" t="str">
        <f>IFERROR(__xludf.DUMMYFUNCTION("""COMPUTED_VALUE"""),"ef306e54")</f>
        <v>ef306e54</v>
      </c>
      <c r="G4460" s="211" t="str">
        <f>IFERROR(__xludf.DUMMYFUNCTION("""COMPUTED_VALUE"""),"Karbondioksida")</f>
        <v>Karbondioksida</v>
      </c>
      <c r="H4460" s="211" t="str">
        <f>IFERROR(__xludf.DUMMYFUNCTION("""COMPUTED_VALUE"""),"OUT")</f>
        <v>OUT</v>
      </c>
      <c r="I4460" s="211" t="str">
        <f>IFERROR(__xludf.DUMMYFUNCTION("""COMPUTED_VALUE"""),"NORMAL")</f>
        <v>NORMAL</v>
      </c>
      <c r="J4460" s="211">
        <f>IFERROR(__xludf.DUMMYFUNCTION("""COMPUTED_VALUE"""),3.0)</f>
        <v>3</v>
      </c>
      <c r="K4460" s="210" t="str">
        <f>IFERROR(__xludf.DUMMYFUNCTION("""COMPUTED_VALUE"""),"13052 13020 13026")</f>
        <v>13052 13020 13026</v>
      </c>
      <c r="L4460" s="211">
        <f>IFERROR(__xludf.DUMMYFUNCTION("""COMPUTED_VALUE"""),190000.0)</f>
        <v>190000</v>
      </c>
      <c r="M4460" s="211"/>
      <c r="N4460" s="211"/>
      <c r="O4460" s="211" t="b">
        <f>IFERROR(__xludf.DUMMYFUNCTION("""COMPUTED_VALUE"""),FALSE)</f>
        <v>0</v>
      </c>
    </row>
    <row r="4461">
      <c r="A4461" s="210" t="str">
        <f>IFERROR(__xludf.DUMMYFUNCTION("""COMPUTED_VALUE"""),"0426283049")</f>
        <v>0426283049</v>
      </c>
      <c r="B4461" s="210" t="str">
        <f>IFERROR(__xludf.DUMMYFUNCTION("""COMPUTED_VALUE"""),"0426283049")</f>
        <v>0426283049</v>
      </c>
      <c r="C4461" s="213">
        <f>IFERROR(__xludf.DUMMYFUNCTION("""COMPUTED_VALUE"""),46123.55792824074)</f>
        <v>46123.55793</v>
      </c>
      <c r="D4461" s="211" t="str">
        <f>IFERROR(__xludf.DUMMYFUNCTION("""COMPUTED_VALUE"""),"4ec68cf6")</f>
        <v>4ec68cf6</v>
      </c>
      <c r="E4461" s="211" t="str">
        <f>IFERROR(__xludf.DUMMYFUNCTION("""COMPUTED_VALUE"""),"CV Sido Mukti Karya")</f>
        <v>CV Sido Mukti Karya</v>
      </c>
      <c r="F4461" s="211" t="str">
        <f>IFERROR(__xludf.DUMMYFUNCTION("""COMPUTED_VALUE"""),"8bdbe149")</f>
        <v>8bdbe149</v>
      </c>
      <c r="G4461" s="211" t="str">
        <f>IFERROR(__xludf.DUMMYFUNCTION("""COMPUTED_VALUE"""),"Oksigen 6m3")</f>
        <v>Oksigen 6m3</v>
      </c>
      <c r="H4461" s="211" t="str">
        <f>IFERROR(__xludf.DUMMYFUNCTION("""COMPUTED_VALUE"""),"OUT")</f>
        <v>OUT</v>
      </c>
      <c r="I4461" s="211" t="str">
        <f>IFERROR(__xludf.DUMMYFUNCTION("""COMPUTED_VALUE"""),"NORMAL")</f>
        <v>NORMAL</v>
      </c>
      <c r="J4461" s="211">
        <f>IFERROR(__xludf.DUMMYFUNCTION("""COMPUTED_VALUE"""),6.0)</f>
        <v>6</v>
      </c>
      <c r="K4461" s="210" t="str">
        <f>IFERROR(__xludf.DUMMYFUNCTION("""COMPUTED_VALUE"""),"11116 11382 1157 1155 11124 11198")</f>
        <v>11116 11382 1157 1155 11124 11198</v>
      </c>
      <c r="L4461" s="211">
        <f>IFERROR(__xludf.DUMMYFUNCTION("""COMPUTED_VALUE"""),60000.0)</f>
        <v>60000</v>
      </c>
      <c r="M4461" s="211"/>
      <c r="N4461" s="211"/>
      <c r="O4461" s="211" t="b">
        <f>IFERROR(__xludf.DUMMYFUNCTION("""COMPUTED_VALUE"""),FALSE)</f>
        <v>0</v>
      </c>
    </row>
    <row r="4462">
      <c r="A4462" s="210" t="str">
        <f>IFERROR(__xludf.DUMMYFUNCTION("""COMPUTED_VALUE"""),"0426283049")</f>
        <v>0426283049</v>
      </c>
      <c r="B4462" s="210" t="str">
        <f>IFERROR(__xludf.DUMMYFUNCTION("""COMPUTED_VALUE"""),"0426283049")</f>
        <v>0426283049</v>
      </c>
      <c r="C4462" s="213">
        <f>IFERROR(__xludf.DUMMYFUNCTION("""COMPUTED_VALUE"""),46123.55792824074)</f>
        <v>46123.55793</v>
      </c>
      <c r="D4462" s="211" t="str">
        <f>IFERROR(__xludf.DUMMYFUNCTION("""COMPUTED_VALUE"""),"4ec68cf6")</f>
        <v>4ec68cf6</v>
      </c>
      <c r="E4462" s="211" t="str">
        <f>IFERROR(__xludf.DUMMYFUNCTION("""COMPUTED_VALUE"""),"CV Sido Mukti Karya")</f>
        <v>CV Sido Mukti Karya</v>
      </c>
      <c r="F4462" s="211" t="str">
        <f>IFERROR(__xludf.DUMMYFUNCTION("""COMPUTED_VALUE"""),"ef306e54")</f>
        <v>ef306e54</v>
      </c>
      <c r="G4462" s="211" t="str">
        <f>IFERROR(__xludf.DUMMYFUNCTION("""COMPUTED_VALUE"""),"Karbondioksida")</f>
        <v>Karbondioksida</v>
      </c>
      <c r="H4462" s="211" t="str">
        <f>IFERROR(__xludf.DUMMYFUNCTION("""COMPUTED_VALUE"""),"OUT")</f>
        <v>OUT</v>
      </c>
      <c r="I4462" s="211" t="str">
        <f>IFERROR(__xludf.DUMMYFUNCTION("""COMPUTED_VALUE"""),"NORMAL")</f>
        <v>NORMAL</v>
      </c>
      <c r="J4462" s="211">
        <f>IFERROR(__xludf.DUMMYFUNCTION("""COMPUTED_VALUE"""),3.0)</f>
        <v>3</v>
      </c>
      <c r="K4462" s="210" t="str">
        <f>IFERROR(__xludf.DUMMYFUNCTION("""COMPUTED_VALUE"""),"13004 13005 13006")</f>
        <v>13004 13005 13006</v>
      </c>
      <c r="L4462" s="211">
        <f>IFERROR(__xludf.DUMMYFUNCTION("""COMPUTED_VALUE"""),180000.0)</f>
        <v>180000</v>
      </c>
      <c r="M4462" s="211"/>
      <c r="N4462" s="211"/>
      <c r="O4462" s="211" t="b">
        <f>IFERROR(__xludf.DUMMYFUNCTION("""COMPUTED_VALUE"""),FALSE)</f>
        <v>0</v>
      </c>
    </row>
    <row r="4463">
      <c r="A4463" s="210" t="str">
        <f>IFERROR(__xludf.DUMMYFUNCTION("""COMPUTED_VALUE"""),"1261531")</f>
        <v>1261531</v>
      </c>
      <c r="B4463" s="210" t="str">
        <f>IFERROR(__xludf.DUMMYFUNCTION("""COMPUTED_VALUE"""),"1261531")</f>
        <v>1261531</v>
      </c>
      <c r="C4463" s="213">
        <f>IFERROR(__xludf.DUMMYFUNCTION("""COMPUTED_VALUE"""),46123.55924768518)</f>
        <v>46123.55925</v>
      </c>
      <c r="D4463" s="211" t="str">
        <f>IFERROR(__xludf.DUMMYFUNCTION("""COMPUTED_VALUE"""),"b2b5f2c5")</f>
        <v>b2b5f2c5</v>
      </c>
      <c r="E4463" s="211" t="str">
        <f>IFERROR(__xludf.DUMMYFUNCTION("""COMPUTED_VALUE"""),"Bengkel Las Bpk. Ari")</f>
        <v>Bengkel Las Bpk. Ari</v>
      </c>
      <c r="F4463" s="211" t="str">
        <f>IFERROR(__xludf.DUMMYFUNCTION("""COMPUTED_VALUE"""),"8bdbe149")</f>
        <v>8bdbe149</v>
      </c>
      <c r="G4463" s="211" t="str">
        <f>IFERROR(__xludf.DUMMYFUNCTION("""COMPUTED_VALUE"""),"Oksigen 6m3")</f>
        <v>Oksigen 6m3</v>
      </c>
      <c r="H4463" s="211" t="str">
        <f>IFERROR(__xludf.DUMMYFUNCTION("""COMPUTED_VALUE"""),"IN")</f>
        <v>IN</v>
      </c>
      <c r="I4463" s="211" t="str">
        <f>IFERROR(__xludf.DUMMYFUNCTION("""COMPUTED_VALUE"""),"EMPTY")</f>
        <v>EMPTY</v>
      </c>
      <c r="J4463" s="211">
        <f>IFERROR(__xludf.DUMMYFUNCTION("""COMPUTED_VALUE"""),1.0)</f>
        <v>1</v>
      </c>
      <c r="K4463" s="210" t="str">
        <f>IFERROR(__xludf.DUMMYFUNCTION("""COMPUTED_VALUE"""),"1113")</f>
        <v>1113</v>
      </c>
      <c r="L4463" s="211">
        <f>IFERROR(__xludf.DUMMYFUNCTION("""COMPUTED_VALUE"""),0.0)</f>
        <v>0</v>
      </c>
      <c r="M4463" s="211"/>
      <c r="N4463" s="211"/>
      <c r="O4463" s="211" t="b">
        <f>IFERROR(__xludf.DUMMYFUNCTION("""COMPUTED_VALUE"""),FALSE)</f>
        <v>0</v>
      </c>
    </row>
    <row r="4464">
      <c r="A4464" s="210" t="str">
        <f>IFERROR(__xludf.DUMMYFUNCTION("""COMPUTED_VALUE"""),"1261531")</f>
        <v>1261531</v>
      </c>
      <c r="B4464" s="210" t="str">
        <f>IFERROR(__xludf.DUMMYFUNCTION("""COMPUTED_VALUE"""),"1261531")</f>
        <v>1261531</v>
      </c>
      <c r="C4464" s="213">
        <f>IFERROR(__xludf.DUMMYFUNCTION("""COMPUTED_VALUE"""),46123.55924768518)</f>
        <v>46123.55925</v>
      </c>
      <c r="D4464" s="211" t="str">
        <f>IFERROR(__xludf.DUMMYFUNCTION("""COMPUTED_VALUE"""),"b2b5f2c5")</f>
        <v>b2b5f2c5</v>
      </c>
      <c r="E4464" s="211" t="str">
        <f>IFERROR(__xludf.DUMMYFUNCTION("""COMPUTED_VALUE"""),"Bengkel Las Bpk. Ari")</f>
        <v>Bengkel Las Bpk. Ari</v>
      </c>
      <c r="F4464" s="211" t="str">
        <f>IFERROR(__xludf.DUMMYFUNCTION("""COMPUTED_VALUE"""),"ef306e54")</f>
        <v>ef306e54</v>
      </c>
      <c r="G4464" s="211" t="str">
        <f>IFERROR(__xludf.DUMMYFUNCTION("""COMPUTED_VALUE"""),"Karbondioksida")</f>
        <v>Karbondioksida</v>
      </c>
      <c r="H4464" s="211" t="str">
        <f>IFERROR(__xludf.DUMMYFUNCTION("""COMPUTED_VALUE"""),"IN")</f>
        <v>IN</v>
      </c>
      <c r="I4464" s="211" t="str">
        <f>IFERROR(__xludf.DUMMYFUNCTION("""COMPUTED_VALUE"""),"EMPTY")</f>
        <v>EMPTY</v>
      </c>
      <c r="J4464" s="211">
        <f>IFERROR(__xludf.DUMMYFUNCTION("""COMPUTED_VALUE"""),4.0)</f>
        <v>4</v>
      </c>
      <c r="K4464" s="210" t="str">
        <f>IFERROR(__xludf.DUMMYFUNCTION("""COMPUTED_VALUE"""),"13006 13005 13004 13021")</f>
        <v>13006 13005 13004 13021</v>
      </c>
      <c r="L4464" s="211">
        <f>IFERROR(__xludf.DUMMYFUNCTION("""COMPUTED_VALUE"""),0.0)</f>
        <v>0</v>
      </c>
      <c r="M4464" s="211"/>
      <c r="N4464" s="211"/>
      <c r="O4464" s="211" t="b">
        <f>IFERROR(__xludf.DUMMYFUNCTION("""COMPUTED_VALUE"""),FALSE)</f>
        <v>0</v>
      </c>
    </row>
    <row r="4465">
      <c r="A4465" s="210" t="str">
        <f>IFERROR(__xludf.DUMMYFUNCTION("""COMPUTED_VALUE"""),"1261510")</f>
        <v>1261510</v>
      </c>
      <c r="B4465" s="210" t="str">
        <f>IFERROR(__xludf.DUMMYFUNCTION("""COMPUTED_VALUE"""),"1261510")</f>
        <v>1261510</v>
      </c>
      <c r="C4465" s="213">
        <f>IFERROR(__xludf.DUMMYFUNCTION("""COMPUTED_VALUE"""),46123.56076388889)</f>
        <v>46123.56076</v>
      </c>
      <c r="D4465" s="211" t="str">
        <f>IFERROR(__xludf.DUMMYFUNCTION("""COMPUTED_VALUE"""),"9828dfc5")</f>
        <v>9828dfc5</v>
      </c>
      <c r="E4465" s="211" t="str">
        <f>IFERROR(__xludf.DUMMYFUNCTION("""COMPUTED_VALUE"""),"Bpk. David")</f>
        <v>Bpk. David</v>
      </c>
      <c r="F4465" s="211" t="str">
        <f>IFERROR(__xludf.DUMMYFUNCTION("""COMPUTED_VALUE"""),"8bdbe149")</f>
        <v>8bdbe149</v>
      </c>
      <c r="G4465" s="211" t="str">
        <f>IFERROR(__xludf.DUMMYFUNCTION("""COMPUTED_VALUE"""),"Oksigen 6m3")</f>
        <v>Oksigen 6m3</v>
      </c>
      <c r="H4465" s="211" t="str">
        <f>IFERROR(__xludf.DUMMYFUNCTION("""COMPUTED_VALUE"""),"IN")</f>
        <v>IN</v>
      </c>
      <c r="I4465" s="211" t="str">
        <f>IFERROR(__xludf.DUMMYFUNCTION("""COMPUTED_VALUE"""),"EMPTY")</f>
        <v>EMPTY</v>
      </c>
      <c r="J4465" s="211">
        <f>IFERROR(__xludf.DUMMYFUNCTION("""COMPUTED_VALUE"""),6.0)</f>
        <v>6</v>
      </c>
      <c r="K4465" s="210" t="str">
        <f>IFERROR(__xludf.DUMMYFUNCTION("""COMPUTED_VALUE"""),"11117 11266 11129 1199 11368 11377")</f>
        <v>11117 11266 11129 1199 11368 11377</v>
      </c>
      <c r="L4465" s="211">
        <f>IFERROR(__xludf.DUMMYFUNCTION("""COMPUTED_VALUE"""),0.0)</f>
        <v>0</v>
      </c>
      <c r="M4465" s="211"/>
      <c r="N4465" s="211"/>
      <c r="O4465" s="211" t="b">
        <f>IFERROR(__xludf.DUMMYFUNCTION("""COMPUTED_VALUE"""),FALSE)</f>
        <v>0</v>
      </c>
    </row>
    <row r="4466">
      <c r="A4466" s="210" t="str">
        <f>IFERROR(__xludf.DUMMYFUNCTION("""COMPUTED_VALUE"""),"1261510")</f>
        <v>1261510</v>
      </c>
      <c r="B4466" s="210" t="str">
        <f>IFERROR(__xludf.DUMMYFUNCTION("""COMPUTED_VALUE"""),"1261510")</f>
        <v>1261510</v>
      </c>
      <c r="C4466" s="213">
        <f>IFERROR(__xludf.DUMMYFUNCTION("""COMPUTED_VALUE"""),46123.56076388889)</f>
        <v>46123.56076</v>
      </c>
      <c r="D4466" s="211" t="str">
        <f>IFERROR(__xludf.DUMMYFUNCTION("""COMPUTED_VALUE"""),"9828dfc5")</f>
        <v>9828dfc5</v>
      </c>
      <c r="E4466" s="211" t="str">
        <f>IFERROR(__xludf.DUMMYFUNCTION("""COMPUTED_VALUE"""),"Bpk. David")</f>
        <v>Bpk. David</v>
      </c>
      <c r="F4466" s="211" t="str">
        <f>IFERROR(__xludf.DUMMYFUNCTION("""COMPUTED_VALUE"""),"7d2764f1")</f>
        <v>7d2764f1</v>
      </c>
      <c r="G4466" s="211" t="str">
        <f>IFERROR(__xludf.DUMMYFUNCTION("""COMPUTED_VALUE"""),"Oksigen 7m3")</f>
        <v>Oksigen 7m3</v>
      </c>
      <c r="H4466" s="211" t="str">
        <f>IFERROR(__xludf.DUMMYFUNCTION("""COMPUTED_VALUE"""),"IN")</f>
        <v>IN</v>
      </c>
      <c r="I4466" s="211" t="str">
        <f>IFERROR(__xludf.DUMMYFUNCTION("""COMPUTED_VALUE"""),"EMPTY")</f>
        <v>EMPTY</v>
      </c>
      <c r="J4466" s="211">
        <f>IFERROR(__xludf.DUMMYFUNCTION("""COMPUTED_VALUE"""),1.0)</f>
        <v>1</v>
      </c>
      <c r="K4466" s="210" t="str">
        <f>IFERROR(__xludf.DUMMYFUNCTION("""COMPUTED_VALUE"""),"11136")</f>
        <v>11136</v>
      </c>
      <c r="L4466" s="211">
        <f>IFERROR(__xludf.DUMMYFUNCTION("""COMPUTED_VALUE"""),0.0)</f>
        <v>0</v>
      </c>
      <c r="M4466" s="211"/>
      <c r="N4466" s="211"/>
      <c r="O4466" s="211" t="b">
        <f>IFERROR(__xludf.DUMMYFUNCTION("""COMPUTED_VALUE"""),FALSE)</f>
        <v>0</v>
      </c>
    </row>
    <row r="4467">
      <c r="A4467" s="210" t="str">
        <f>IFERROR(__xludf.DUMMYFUNCTION("""COMPUTED_VALUE"""),"1261509")</f>
        <v>1261509</v>
      </c>
      <c r="B4467" s="210" t="str">
        <f>IFERROR(__xludf.DUMMYFUNCTION("""COMPUTED_VALUE"""),"1261509")</f>
        <v>1261509</v>
      </c>
      <c r="C4467" s="213">
        <f>IFERROR(__xludf.DUMMYFUNCTION("""COMPUTED_VALUE"""),46123.5624537037)</f>
        <v>46123.56245</v>
      </c>
      <c r="D4467" s="211" t="str">
        <f>IFERROR(__xludf.DUMMYFUNCTION("""COMPUTED_VALUE"""),"4ec68cf6")</f>
        <v>4ec68cf6</v>
      </c>
      <c r="E4467" s="211" t="str">
        <f>IFERROR(__xludf.DUMMYFUNCTION("""COMPUTED_VALUE"""),"CV Sido Mukti Karya")</f>
        <v>CV Sido Mukti Karya</v>
      </c>
      <c r="F4467" s="211" t="str">
        <f>IFERROR(__xludf.DUMMYFUNCTION("""COMPUTED_VALUE"""),"7d2764f1")</f>
        <v>7d2764f1</v>
      </c>
      <c r="G4467" s="211" t="str">
        <f>IFERROR(__xludf.DUMMYFUNCTION("""COMPUTED_VALUE"""),"Oksigen 7m3")</f>
        <v>Oksigen 7m3</v>
      </c>
      <c r="H4467" s="211" t="str">
        <f>IFERROR(__xludf.DUMMYFUNCTION("""COMPUTED_VALUE"""),"IN")</f>
        <v>IN</v>
      </c>
      <c r="I4467" s="211" t="str">
        <f>IFERROR(__xludf.DUMMYFUNCTION("""COMPUTED_VALUE"""),"EMPTY")</f>
        <v>EMPTY</v>
      </c>
      <c r="J4467" s="211">
        <f>IFERROR(__xludf.DUMMYFUNCTION("""COMPUTED_VALUE"""),1.0)</f>
        <v>1</v>
      </c>
      <c r="K4467" s="210" t="str">
        <f>IFERROR(__xludf.DUMMYFUNCTION("""COMPUTED_VALUE"""),"11302")</f>
        <v>11302</v>
      </c>
      <c r="L4467" s="211">
        <f>IFERROR(__xludf.DUMMYFUNCTION("""COMPUTED_VALUE"""),0.0)</f>
        <v>0</v>
      </c>
      <c r="M4467" s="211"/>
      <c r="N4467" s="211"/>
      <c r="O4467" s="211" t="b">
        <f>IFERROR(__xludf.DUMMYFUNCTION("""COMPUTED_VALUE"""),FALSE)</f>
        <v>0</v>
      </c>
    </row>
    <row r="4468">
      <c r="A4468" s="210" t="str">
        <f>IFERROR(__xludf.DUMMYFUNCTION("""COMPUTED_VALUE"""),"1261509")</f>
        <v>1261509</v>
      </c>
      <c r="B4468" s="210" t="str">
        <f>IFERROR(__xludf.DUMMYFUNCTION("""COMPUTED_VALUE"""),"1261509")</f>
        <v>1261509</v>
      </c>
      <c r="C4468" s="213">
        <f>IFERROR(__xludf.DUMMYFUNCTION("""COMPUTED_VALUE"""),46123.5624537037)</f>
        <v>46123.56245</v>
      </c>
      <c r="D4468" s="211" t="str">
        <f>IFERROR(__xludf.DUMMYFUNCTION("""COMPUTED_VALUE"""),"4ec68cf6")</f>
        <v>4ec68cf6</v>
      </c>
      <c r="E4468" s="211" t="str">
        <f>IFERROR(__xludf.DUMMYFUNCTION("""COMPUTED_VALUE"""),"CV Sido Mukti Karya")</f>
        <v>CV Sido Mukti Karya</v>
      </c>
      <c r="F4468" s="211" t="str">
        <f>IFERROR(__xludf.DUMMYFUNCTION("""COMPUTED_VALUE"""),"ef306e54")</f>
        <v>ef306e54</v>
      </c>
      <c r="G4468" s="211" t="str">
        <f>IFERROR(__xludf.DUMMYFUNCTION("""COMPUTED_VALUE"""),"Karbondioksida")</f>
        <v>Karbondioksida</v>
      </c>
      <c r="H4468" s="211" t="str">
        <f>IFERROR(__xludf.DUMMYFUNCTION("""COMPUTED_VALUE"""),"IN")</f>
        <v>IN</v>
      </c>
      <c r="I4468" s="211" t="str">
        <f>IFERROR(__xludf.DUMMYFUNCTION("""COMPUTED_VALUE"""),"EMPTY")</f>
        <v>EMPTY</v>
      </c>
      <c r="J4468" s="211">
        <f>IFERROR(__xludf.DUMMYFUNCTION("""COMPUTED_VALUE"""),3.0)</f>
        <v>3</v>
      </c>
      <c r="K4468" s="210" t="str">
        <f>IFERROR(__xludf.DUMMYFUNCTION("""COMPUTED_VALUE"""),"13072 13074 13038")</f>
        <v>13072 13074 13038</v>
      </c>
      <c r="L4468" s="211">
        <f>IFERROR(__xludf.DUMMYFUNCTION("""COMPUTED_VALUE"""),0.0)</f>
        <v>0</v>
      </c>
      <c r="M4468" s="211"/>
      <c r="N4468" s="211"/>
      <c r="O4468" s="211" t="b">
        <f>IFERROR(__xludf.DUMMYFUNCTION("""COMPUTED_VALUE"""),FALSE)</f>
        <v>0</v>
      </c>
    </row>
    <row r="4469">
      <c r="A4469" s="210" t="str">
        <f>IFERROR(__xludf.DUMMYFUNCTION("""COMPUTED_VALUE"""),"1261518")</f>
        <v>1261518</v>
      </c>
      <c r="B4469" s="210" t="str">
        <f>IFERROR(__xludf.DUMMYFUNCTION("""COMPUTED_VALUE"""),"1261518")</f>
        <v>1261518</v>
      </c>
      <c r="C4469" s="213">
        <f>IFERROR(__xludf.DUMMYFUNCTION("""COMPUTED_VALUE"""),46123.56820601852)</f>
        <v>46123.56821</v>
      </c>
      <c r="D4469" s="211" t="str">
        <f>IFERROR(__xludf.DUMMYFUNCTION("""COMPUTED_VALUE"""),"63fc688a")</f>
        <v>63fc688a</v>
      </c>
      <c r="E4469" s="211" t="str">
        <f>IFERROR(__xludf.DUMMYFUNCTION("""COMPUTED_VALUE"""),"CV Malik Nusantara")</f>
        <v>CV Malik Nusantara</v>
      </c>
      <c r="F4469" s="211" t="str">
        <f>IFERROR(__xludf.DUMMYFUNCTION("""COMPUTED_VALUE"""),"be525f3b")</f>
        <v>be525f3b</v>
      </c>
      <c r="G4469" s="211" t="str">
        <f>IFERROR(__xludf.DUMMYFUNCTION("""COMPUTED_VALUE"""),"LPG 12kg")</f>
        <v>LPG 12kg</v>
      </c>
      <c r="H4469" s="211" t="str">
        <f>IFERROR(__xludf.DUMMYFUNCTION("""COMPUTED_VALUE"""),"IN")</f>
        <v>IN</v>
      </c>
      <c r="I4469" s="211" t="str">
        <f>IFERROR(__xludf.DUMMYFUNCTION("""COMPUTED_VALUE"""),"EMPTY")</f>
        <v>EMPTY</v>
      </c>
      <c r="J4469" s="211">
        <f>IFERROR(__xludf.DUMMYFUNCTION("""COMPUTED_VALUE"""),1.0)</f>
        <v>1</v>
      </c>
      <c r="K4469" s="211"/>
      <c r="L4469" s="211">
        <f>IFERROR(__xludf.DUMMYFUNCTION("""COMPUTED_VALUE"""),0.0)</f>
        <v>0</v>
      </c>
      <c r="M4469" s="211"/>
      <c r="N4469" s="211"/>
      <c r="O4469" s="211" t="b">
        <f>IFERROR(__xludf.DUMMYFUNCTION("""COMPUTED_VALUE"""),FALSE)</f>
        <v>0</v>
      </c>
    </row>
    <row r="4470">
      <c r="A4470" s="210" t="str">
        <f>IFERROR(__xludf.DUMMYFUNCTION("""COMPUTED_VALUE"""),"1261518")</f>
        <v>1261518</v>
      </c>
      <c r="B4470" s="210" t="str">
        <f>IFERROR(__xludf.DUMMYFUNCTION("""COMPUTED_VALUE"""),"1261518")</f>
        <v>1261518</v>
      </c>
      <c r="C4470" s="213">
        <f>IFERROR(__xludf.DUMMYFUNCTION("""COMPUTED_VALUE"""),46123.56820601852)</f>
        <v>46123.56821</v>
      </c>
      <c r="D4470" s="211" t="str">
        <f>IFERROR(__xludf.DUMMYFUNCTION("""COMPUTED_VALUE"""),"63fc688a")</f>
        <v>63fc688a</v>
      </c>
      <c r="E4470" s="211" t="str">
        <f>IFERROR(__xludf.DUMMYFUNCTION("""COMPUTED_VALUE"""),"CV Malik Nusantara")</f>
        <v>CV Malik Nusantara</v>
      </c>
      <c r="F4470" s="211" t="str">
        <f>IFERROR(__xludf.DUMMYFUNCTION("""COMPUTED_VALUE"""),"8bdbe149")</f>
        <v>8bdbe149</v>
      </c>
      <c r="G4470" s="211" t="str">
        <f>IFERROR(__xludf.DUMMYFUNCTION("""COMPUTED_VALUE"""),"Oksigen 6m3")</f>
        <v>Oksigen 6m3</v>
      </c>
      <c r="H4470" s="211" t="str">
        <f>IFERROR(__xludf.DUMMYFUNCTION("""COMPUTED_VALUE"""),"IN")</f>
        <v>IN</v>
      </c>
      <c r="I4470" s="211" t="str">
        <f>IFERROR(__xludf.DUMMYFUNCTION("""COMPUTED_VALUE"""),"EMPTY")</f>
        <v>EMPTY</v>
      </c>
      <c r="J4470" s="211">
        <f>IFERROR(__xludf.DUMMYFUNCTION("""COMPUTED_VALUE"""),8.0)</f>
        <v>8</v>
      </c>
      <c r="K4470" s="210" t="str">
        <f>IFERROR(__xludf.DUMMYFUNCTION("""COMPUTED_VALUE"""),"1191 11343 11236 11268 11287 11350 1185 11119")</f>
        <v>1191 11343 11236 11268 11287 11350 1185 11119</v>
      </c>
      <c r="L4470" s="211">
        <f>IFERROR(__xludf.DUMMYFUNCTION("""COMPUTED_VALUE"""),0.0)</f>
        <v>0</v>
      </c>
      <c r="M4470" s="211"/>
      <c r="N4470" s="211"/>
      <c r="O4470" s="211" t="b">
        <f>IFERROR(__xludf.DUMMYFUNCTION("""COMPUTED_VALUE"""),FALSE)</f>
        <v>0</v>
      </c>
    </row>
    <row r="4471">
      <c r="A4471" s="210" t="str">
        <f>IFERROR(__xludf.DUMMYFUNCTION("""COMPUTED_VALUE"""),"1261518")</f>
        <v>1261518</v>
      </c>
      <c r="B4471" s="210" t="str">
        <f>IFERROR(__xludf.DUMMYFUNCTION("""COMPUTED_VALUE"""),"1261518")</f>
        <v>1261518</v>
      </c>
      <c r="C4471" s="213">
        <f>IFERROR(__xludf.DUMMYFUNCTION("""COMPUTED_VALUE"""),46123.56820601852)</f>
        <v>46123.56821</v>
      </c>
      <c r="D4471" s="211" t="str">
        <f>IFERROR(__xludf.DUMMYFUNCTION("""COMPUTED_VALUE"""),"63fc688a")</f>
        <v>63fc688a</v>
      </c>
      <c r="E4471" s="211" t="str">
        <f>IFERROR(__xludf.DUMMYFUNCTION("""COMPUTED_VALUE"""),"CV Malik Nusantara")</f>
        <v>CV Malik Nusantara</v>
      </c>
      <c r="F4471" s="211" t="str">
        <f>IFERROR(__xludf.DUMMYFUNCTION("""COMPUTED_VALUE"""),"8bdbe149")</f>
        <v>8bdbe149</v>
      </c>
      <c r="G4471" s="211" t="str">
        <f>IFERROR(__xludf.DUMMYFUNCTION("""COMPUTED_VALUE"""),"Oksigen 6m3")</f>
        <v>Oksigen 6m3</v>
      </c>
      <c r="H4471" s="211" t="str">
        <f>IFERROR(__xludf.DUMMYFUNCTION("""COMPUTED_VALUE"""),"IN")</f>
        <v>IN</v>
      </c>
      <c r="I4471" s="211" t="str">
        <f>IFERROR(__xludf.DUMMYFUNCTION("""COMPUTED_VALUE"""),"EMPTY")</f>
        <v>EMPTY</v>
      </c>
      <c r="J4471" s="211">
        <f>IFERROR(__xludf.DUMMYFUNCTION("""COMPUTED_VALUE"""),1.0)</f>
        <v>1</v>
      </c>
      <c r="K4471" s="210" t="str">
        <f>IFERROR(__xludf.DUMMYFUNCTION("""COMPUTED_VALUE"""),"11115")</f>
        <v>11115</v>
      </c>
      <c r="L4471" s="211">
        <f>IFERROR(__xludf.DUMMYFUNCTION("""COMPUTED_VALUE"""),0.0)</f>
        <v>0</v>
      </c>
      <c r="M4471" s="211"/>
      <c r="N4471" s="211"/>
      <c r="O4471" s="211" t="b">
        <f>IFERROR(__xludf.DUMMYFUNCTION("""COMPUTED_VALUE"""),TRUE)</f>
        <v>1</v>
      </c>
    </row>
    <row r="4472">
      <c r="A4472" s="210" t="str">
        <f>IFERROR(__xludf.DUMMYFUNCTION("""COMPUTED_VALUE"""),"1261518")</f>
        <v>1261518</v>
      </c>
      <c r="B4472" s="210" t="str">
        <f>IFERROR(__xludf.DUMMYFUNCTION("""COMPUTED_VALUE"""),"1261518")</f>
        <v>1261518</v>
      </c>
      <c r="C4472" s="213">
        <f>IFERROR(__xludf.DUMMYFUNCTION("""COMPUTED_VALUE"""),46123.56820601852)</f>
        <v>46123.56821</v>
      </c>
      <c r="D4472" s="211" t="str">
        <f>IFERROR(__xludf.DUMMYFUNCTION("""COMPUTED_VALUE"""),"63fc688a")</f>
        <v>63fc688a</v>
      </c>
      <c r="E4472" s="211" t="str">
        <f>IFERROR(__xludf.DUMMYFUNCTION("""COMPUTED_VALUE"""),"CV Malik Nusantara")</f>
        <v>CV Malik Nusantara</v>
      </c>
      <c r="F4472" s="211" t="str">
        <f>IFERROR(__xludf.DUMMYFUNCTION("""COMPUTED_VALUE"""),"ef306e54")</f>
        <v>ef306e54</v>
      </c>
      <c r="G4472" s="211" t="str">
        <f>IFERROR(__xludf.DUMMYFUNCTION("""COMPUTED_VALUE"""),"Karbondioksida")</f>
        <v>Karbondioksida</v>
      </c>
      <c r="H4472" s="211" t="str">
        <f>IFERROR(__xludf.DUMMYFUNCTION("""COMPUTED_VALUE"""),"IN")</f>
        <v>IN</v>
      </c>
      <c r="I4472" s="211" t="str">
        <f>IFERROR(__xludf.DUMMYFUNCTION("""COMPUTED_VALUE"""),"EMPTY")</f>
        <v>EMPTY</v>
      </c>
      <c r="J4472" s="211">
        <f>IFERROR(__xludf.DUMMYFUNCTION("""COMPUTED_VALUE"""),2.0)</f>
        <v>2</v>
      </c>
      <c r="K4472" s="210" t="str">
        <f>IFERROR(__xludf.DUMMYFUNCTION("""COMPUTED_VALUE"""),"13048 13028")</f>
        <v>13048 13028</v>
      </c>
      <c r="L4472" s="211">
        <f>IFERROR(__xludf.DUMMYFUNCTION("""COMPUTED_VALUE"""),0.0)</f>
        <v>0</v>
      </c>
      <c r="M4472" s="211"/>
      <c r="N4472" s="211"/>
      <c r="O4472" s="211" t="b">
        <f>IFERROR(__xludf.DUMMYFUNCTION("""COMPUTED_VALUE"""),FALSE)</f>
        <v>0</v>
      </c>
    </row>
    <row r="4473">
      <c r="A4473" s="210" t="str">
        <f>IFERROR(__xludf.DUMMYFUNCTION("""COMPUTED_VALUE"""),"1261521")</f>
        <v>1261521</v>
      </c>
      <c r="B4473" s="210" t="str">
        <f>IFERROR(__xludf.DUMMYFUNCTION("""COMPUTED_VALUE"""),"1261521")</f>
        <v>1261521</v>
      </c>
      <c r="C4473" s="213">
        <f>IFERROR(__xludf.DUMMYFUNCTION("""COMPUTED_VALUE"""),46123.570706018516)</f>
        <v>46123.57071</v>
      </c>
      <c r="D4473" s="211" t="str">
        <f>IFERROR(__xludf.DUMMYFUNCTION("""COMPUTED_VALUE"""),"d9b2fac5")</f>
        <v>d9b2fac5</v>
      </c>
      <c r="E4473" s="211" t="str">
        <f>IFERROR(__xludf.DUMMYFUNCTION("""COMPUTED_VALUE"""),"Dwi Riza ( Ponokawan)")</f>
        <v>Dwi Riza ( Ponokawan)</v>
      </c>
      <c r="F4473" s="211" t="str">
        <f>IFERROR(__xludf.DUMMYFUNCTION("""COMPUTED_VALUE"""),"7d2764f1")</f>
        <v>7d2764f1</v>
      </c>
      <c r="G4473" s="211" t="str">
        <f>IFERROR(__xludf.DUMMYFUNCTION("""COMPUTED_VALUE"""),"Oksigen 7m3")</f>
        <v>Oksigen 7m3</v>
      </c>
      <c r="H4473" s="211" t="str">
        <f>IFERROR(__xludf.DUMMYFUNCTION("""COMPUTED_VALUE"""),"IN")</f>
        <v>IN</v>
      </c>
      <c r="I4473" s="211" t="str">
        <f>IFERROR(__xludf.DUMMYFUNCTION("""COMPUTED_VALUE"""),"EMPTY")</f>
        <v>EMPTY</v>
      </c>
      <c r="J4473" s="211">
        <f>IFERROR(__xludf.DUMMYFUNCTION("""COMPUTED_VALUE"""),2.0)</f>
        <v>2</v>
      </c>
      <c r="K4473" s="210" t="str">
        <f>IFERROR(__xludf.DUMMYFUNCTION("""COMPUTED_VALUE"""),"11222 11213")</f>
        <v>11222 11213</v>
      </c>
      <c r="L4473" s="211">
        <f>IFERROR(__xludf.DUMMYFUNCTION("""COMPUTED_VALUE"""),0.0)</f>
        <v>0</v>
      </c>
      <c r="M4473" s="211"/>
      <c r="N4473" s="211"/>
      <c r="O4473" s="211" t="b">
        <f>IFERROR(__xludf.DUMMYFUNCTION("""COMPUTED_VALUE"""),FALSE)</f>
        <v>0</v>
      </c>
    </row>
    <row r="4474">
      <c r="A4474" s="210" t="str">
        <f>IFERROR(__xludf.DUMMYFUNCTION("""COMPUTED_VALUE"""),"1261520")</f>
        <v>1261520</v>
      </c>
      <c r="B4474" s="210" t="str">
        <f>IFERROR(__xludf.DUMMYFUNCTION("""COMPUTED_VALUE"""),"1261520")</f>
        <v>1261520</v>
      </c>
      <c r="C4474" s="213">
        <f>IFERROR(__xludf.DUMMYFUNCTION("""COMPUTED_VALUE"""),46123.57103009259)</f>
        <v>46123.57103</v>
      </c>
      <c r="D4474" s="211" t="str">
        <f>IFERROR(__xludf.DUMMYFUNCTION("""COMPUTED_VALUE"""),"a0f0ad2d")</f>
        <v>a0f0ad2d</v>
      </c>
      <c r="E4474" s="211" t="str">
        <f>IFERROR(__xludf.DUMMYFUNCTION("""COMPUTED_VALUE"""),"CV. Yulie Jaya")</f>
        <v>CV. Yulie Jaya</v>
      </c>
      <c r="F4474" s="211" t="str">
        <f>IFERROR(__xludf.DUMMYFUNCTION("""COMPUTED_VALUE"""),"8bdbe149")</f>
        <v>8bdbe149</v>
      </c>
      <c r="G4474" s="211" t="str">
        <f>IFERROR(__xludf.DUMMYFUNCTION("""COMPUTED_VALUE"""),"Oksigen 6m3")</f>
        <v>Oksigen 6m3</v>
      </c>
      <c r="H4474" s="211" t="str">
        <f>IFERROR(__xludf.DUMMYFUNCTION("""COMPUTED_VALUE"""),"IN")</f>
        <v>IN</v>
      </c>
      <c r="I4474" s="211" t="str">
        <f>IFERROR(__xludf.DUMMYFUNCTION("""COMPUTED_VALUE"""),"EMPTY")</f>
        <v>EMPTY</v>
      </c>
      <c r="J4474" s="211">
        <f>IFERROR(__xludf.DUMMYFUNCTION("""COMPUTED_VALUE"""),2.0)</f>
        <v>2</v>
      </c>
      <c r="K4474" s="210" t="str">
        <f>IFERROR(__xludf.DUMMYFUNCTION("""COMPUTED_VALUE"""),"11381 11192")</f>
        <v>11381 11192</v>
      </c>
      <c r="L4474" s="211">
        <f>IFERROR(__xludf.DUMMYFUNCTION("""COMPUTED_VALUE"""),0.0)</f>
        <v>0</v>
      </c>
      <c r="M4474" s="211"/>
      <c r="N4474" s="211"/>
      <c r="O4474" s="211" t="b">
        <f>IFERROR(__xludf.DUMMYFUNCTION("""COMPUTED_VALUE"""),FALSE)</f>
        <v>0</v>
      </c>
    </row>
    <row r="4475">
      <c r="A4475" s="210" t="str">
        <f>IFERROR(__xludf.DUMMYFUNCTION("""COMPUTED_VALUE"""),"1261519")</f>
        <v>1261519</v>
      </c>
      <c r="B4475" s="210" t="str">
        <f>IFERROR(__xludf.DUMMYFUNCTION("""COMPUTED_VALUE"""),"1261519")</f>
        <v>1261519</v>
      </c>
      <c r="C4475" s="213">
        <f>IFERROR(__xludf.DUMMYFUNCTION("""COMPUTED_VALUE"""),46123.571388888886)</f>
        <v>46123.57139</v>
      </c>
      <c r="D4475" s="211" t="str">
        <f>IFERROR(__xludf.DUMMYFUNCTION("""COMPUTED_VALUE"""),"ec231cc9")</f>
        <v>ec231cc9</v>
      </c>
      <c r="E4475" s="211" t="str">
        <f>IFERROR(__xludf.DUMMYFUNCTION("""COMPUTED_VALUE"""),"Bpk. Kohir (Maintenance Velg)")</f>
        <v>Bpk. Kohir (Maintenance Velg)</v>
      </c>
      <c r="F4475" s="211" t="str">
        <f>IFERROR(__xludf.DUMMYFUNCTION("""COMPUTED_VALUE"""),"8bdbe149")</f>
        <v>8bdbe149</v>
      </c>
      <c r="G4475" s="211" t="str">
        <f>IFERROR(__xludf.DUMMYFUNCTION("""COMPUTED_VALUE"""),"Oksigen 6m3")</f>
        <v>Oksigen 6m3</v>
      </c>
      <c r="H4475" s="211" t="str">
        <f>IFERROR(__xludf.DUMMYFUNCTION("""COMPUTED_VALUE"""),"IN")</f>
        <v>IN</v>
      </c>
      <c r="I4475" s="211" t="str">
        <f>IFERROR(__xludf.DUMMYFUNCTION("""COMPUTED_VALUE"""),"EMPTY")</f>
        <v>EMPTY</v>
      </c>
      <c r="J4475" s="211">
        <f>IFERROR(__xludf.DUMMYFUNCTION("""COMPUTED_VALUE"""),3.0)</f>
        <v>3</v>
      </c>
      <c r="K4475" s="210" t="str">
        <f>IFERROR(__xludf.DUMMYFUNCTION("""COMPUTED_VALUE"""),"11103 11209 1121")</f>
        <v>11103 11209 1121</v>
      </c>
      <c r="L4475" s="211">
        <f>IFERROR(__xludf.DUMMYFUNCTION("""COMPUTED_VALUE"""),0.0)</f>
        <v>0</v>
      </c>
      <c r="M4475" s="211"/>
      <c r="N4475" s="211"/>
      <c r="O4475" s="211" t="b">
        <f>IFERROR(__xludf.DUMMYFUNCTION("""COMPUTED_VALUE"""),FALSE)</f>
        <v>0</v>
      </c>
    </row>
    <row r="4476">
      <c r="A4476" s="210" t="str">
        <f>IFERROR(__xludf.DUMMYFUNCTION("""COMPUTED_VALUE"""),"1261519")</f>
        <v>1261519</v>
      </c>
      <c r="B4476" s="210" t="str">
        <f>IFERROR(__xludf.DUMMYFUNCTION("""COMPUTED_VALUE"""),"1261519")</f>
        <v>1261519</v>
      </c>
      <c r="C4476" s="213">
        <f>IFERROR(__xludf.DUMMYFUNCTION("""COMPUTED_VALUE"""),46123.571388888886)</f>
        <v>46123.57139</v>
      </c>
      <c r="D4476" s="211" t="str">
        <f>IFERROR(__xludf.DUMMYFUNCTION("""COMPUTED_VALUE"""),"ec231cc9")</f>
        <v>ec231cc9</v>
      </c>
      <c r="E4476" s="211" t="str">
        <f>IFERROR(__xludf.DUMMYFUNCTION("""COMPUTED_VALUE"""),"Bpk. Kohir (Maintenance Velg)")</f>
        <v>Bpk. Kohir (Maintenance Velg)</v>
      </c>
      <c r="F4476" s="211" t="str">
        <f>IFERROR(__xludf.DUMMYFUNCTION("""COMPUTED_VALUE"""),"ef306e54")</f>
        <v>ef306e54</v>
      </c>
      <c r="G4476" s="211" t="str">
        <f>IFERROR(__xludf.DUMMYFUNCTION("""COMPUTED_VALUE"""),"Karbondioksida")</f>
        <v>Karbondioksida</v>
      </c>
      <c r="H4476" s="211" t="str">
        <f>IFERROR(__xludf.DUMMYFUNCTION("""COMPUTED_VALUE"""),"IN")</f>
        <v>IN</v>
      </c>
      <c r="I4476" s="211" t="str">
        <f>IFERROR(__xludf.DUMMYFUNCTION("""COMPUTED_VALUE"""),"EMPTY")</f>
        <v>EMPTY</v>
      </c>
      <c r="J4476" s="211">
        <f>IFERROR(__xludf.DUMMYFUNCTION("""COMPUTED_VALUE"""),1.0)</f>
        <v>1</v>
      </c>
      <c r="K4476" s="210" t="str">
        <f>IFERROR(__xludf.DUMMYFUNCTION("""COMPUTED_VALUE"""),"13062")</f>
        <v>13062</v>
      </c>
      <c r="L4476" s="211">
        <f>IFERROR(__xludf.DUMMYFUNCTION("""COMPUTED_VALUE"""),0.0)</f>
        <v>0</v>
      </c>
      <c r="M4476" s="211"/>
      <c r="N4476" s="211"/>
      <c r="O4476" s="211" t="b">
        <f>IFERROR(__xludf.DUMMYFUNCTION("""COMPUTED_VALUE"""),FALSE)</f>
        <v>0</v>
      </c>
    </row>
    <row r="4477">
      <c r="A4477" s="210" t="str">
        <f>IFERROR(__xludf.DUMMYFUNCTION("""COMPUTED_VALUE"""),"04261033050")</f>
        <v>04261033050</v>
      </c>
      <c r="B4477" s="210" t="str">
        <f>IFERROR(__xludf.DUMMYFUNCTION("""COMPUTED_VALUE"""),"04261033050")</f>
        <v>04261033050</v>
      </c>
      <c r="C4477" s="213">
        <f>IFERROR(__xludf.DUMMYFUNCTION("""COMPUTED_VALUE"""),46125.35922453704)</f>
        <v>46125.35922</v>
      </c>
      <c r="D4477" s="211" t="str">
        <f>IFERROR(__xludf.DUMMYFUNCTION("""COMPUTED_VALUE"""),"b2b5f2c5")</f>
        <v>b2b5f2c5</v>
      </c>
      <c r="E4477" s="211" t="str">
        <f>IFERROR(__xludf.DUMMYFUNCTION("""COMPUTED_VALUE"""),"Bengkel Las Bpk. Ari")</f>
        <v>Bengkel Las Bpk. Ari</v>
      </c>
      <c r="F4477" s="211" t="str">
        <f>IFERROR(__xludf.DUMMYFUNCTION("""COMPUTED_VALUE"""),"7d2764f1")</f>
        <v>7d2764f1</v>
      </c>
      <c r="G4477" s="211" t="str">
        <f>IFERROR(__xludf.DUMMYFUNCTION("""COMPUTED_VALUE"""),"Oksigen 7m3")</f>
        <v>Oksigen 7m3</v>
      </c>
      <c r="H4477" s="211" t="str">
        <f>IFERROR(__xludf.DUMMYFUNCTION("""COMPUTED_VALUE"""),"OUT")</f>
        <v>OUT</v>
      </c>
      <c r="I4477" s="211" t="str">
        <f>IFERROR(__xludf.DUMMYFUNCTION("""COMPUTED_VALUE"""),"NORMAL")</f>
        <v>NORMAL</v>
      </c>
      <c r="J4477" s="211">
        <f>IFERROR(__xludf.DUMMYFUNCTION("""COMPUTED_VALUE"""),3.0)</f>
        <v>3</v>
      </c>
      <c r="K4477" s="210" t="str">
        <f>IFERROR(__xludf.DUMMYFUNCTION("""COMPUTED_VALUE"""),"11137 11146 11163")</f>
        <v>11137 11146 11163</v>
      </c>
      <c r="L4477" s="211">
        <f>IFERROR(__xludf.DUMMYFUNCTION("""COMPUTED_VALUE"""),60000.0)</f>
        <v>60000</v>
      </c>
      <c r="M4477" s="211"/>
      <c r="N4477" s="211"/>
      <c r="O4477" s="211" t="b">
        <f>IFERROR(__xludf.DUMMYFUNCTION("""COMPUTED_VALUE"""),FALSE)</f>
        <v>0</v>
      </c>
    </row>
    <row r="4478">
      <c r="A4478" s="210" t="str">
        <f>IFERROR(__xludf.DUMMYFUNCTION("""COMPUTED_VALUE"""),"04261033050")</f>
        <v>04261033050</v>
      </c>
      <c r="B4478" s="210" t="str">
        <f>IFERROR(__xludf.DUMMYFUNCTION("""COMPUTED_VALUE"""),"04261033050")</f>
        <v>04261033050</v>
      </c>
      <c r="C4478" s="213">
        <f>IFERROR(__xludf.DUMMYFUNCTION("""COMPUTED_VALUE"""),46125.35922453704)</f>
        <v>46125.35922</v>
      </c>
      <c r="D4478" s="211" t="str">
        <f>IFERROR(__xludf.DUMMYFUNCTION("""COMPUTED_VALUE"""),"b2b5f2c5")</f>
        <v>b2b5f2c5</v>
      </c>
      <c r="E4478" s="211" t="str">
        <f>IFERROR(__xludf.DUMMYFUNCTION("""COMPUTED_VALUE"""),"Bengkel Las Bpk. Ari")</f>
        <v>Bengkel Las Bpk. Ari</v>
      </c>
      <c r="F4478" s="211" t="str">
        <f>IFERROR(__xludf.DUMMYFUNCTION("""COMPUTED_VALUE"""),"ef306e54")</f>
        <v>ef306e54</v>
      </c>
      <c r="G4478" s="211" t="str">
        <f>IFERROR(__xludf.DUMMYFUNCTION("""COMPUTED_VALUE"""),"Karbondioksida")</f>
        <v>Karbondioksida</v>
      </c>
      <c r="H4478" s="211" t="str">
        <f>IFERROR(__xludf.DUMMYFUNCTION("""COMPUTED_VALUE"""),"OUT")</f>
        <v>OUT</v>
      </c>
      <c r="I4478" s="211" t="str">
        <f>IFERROR(__xludf.DUMMYFUNCTION("""COMPUTED_VALUE"""),"NORMAL")</f>
        <v>NORMAL</v>
      </c>
      <c r="J4478" s="211">
        <f>IFERROR(__xludf.DUMMYFUNCTION("""COMPUTED_VALUE"""),3.0)</f>
        <v>3</v>
      </c>
      <c r="K4478" s="210" t="str">
        <f>IFERROR(__xludf.DUMMYFUNCTION("""COMPUTED_VALUE"""),"13072 13038 13074")</f>
        <v>13072 13038 13074</v>
      </c>
      <c r="L4478" s="211">
        <f>IFERROR(__xludf.DUMMYFUNCTION("""COMPUTED_VALUE"""),180000.0)</f>
        <v>180000</v>
      </c>
      <c r="M4478" s="211"/>
      <c r="N4478" s="211"/>
      <c r="O4478" s="211" t="b">
        <f>IFERROR(__xludf.DUMMYFUNCTION("""COMPUTED_VALUE"""),FALSE)</f>
        <v>0</v>
      </c>
    </row>
    <row r="4479">
      <c r="A4479" s="210" t="str">
        <f>IFERROR(__xludf.DUMMYFUNCTION("""COMPUTED_VALUE"""),"0426123058")</f>
        <v>0426123058</v>
      </c>
      <c r="B4479" s="210" t="str">
        <f>IFERROR(__xludf.DUMMYFUNCTION("""COMPUTED_VALUE"""),"0426123058")</f>
        <v>0426123058</v>
      </c>
      <c r="C4479" s="213">
        <f>IFERROR(__xludf.DUMMYFUNCTION("""COMPUTED_VALUE"""),46125.360034722224)</f>
        <v>46125.36003</v>
      </c>
      <c r="D4479" s="211" t="str">
        <f>IFERROR(__xludf.DUMMYFUNCTION("""COMPUTED_VALUE"""),"d9b2fac5")</f>
        <v>d9b2fac5</v>
      </c>
      <c r="E4479" s="211" t="str">
        <f>IFERROR(__xludf.DUMMYFUNCTION("""COMPUTED_VALUE"""),"Dwi Riza ( Ponokawan)")</f>
        <v>Dwi Riza ( Ponokawan)</v>
      </c>
      <c r="F4479" s="211" t="str">
        <f>IFERROR(__xludf.DUMMYFUNCTION("""COMPUTED_VALUE"""),"7d2764f1")</f>
        <v>7d2764f1</v>
      </c>
      <c r="G4479" s="211" t="str">
        <f>IFERROR(__xludf.DUMMYFUNCTION("""COMPUTED_VALUE"""),"Oksigen 7m3")</f>
        <v>Oksigen 7m3</v>
      </c>
      <c r="H4479" s="211" t="str">
        <f>IFERROR(__xludf.DUMMYFUNCTION("""COMPUTED_VALUE"""),"OUT")</f>
        <v>OUT</v>
      </c>
      <c r="I4479" s="211" t="str">
        <f>IFERROR(__xludf.DUMMYFUNCTION("""COMPUTED_VALUE"""),"NORMAL")</f>
        <v>NORMAL</v>
      </c>
      <c r="J4479" s="211">
        <f>IFERROR(__xludf.DUMMYFUNCTION("""COMPUTED_VALUE"""),7.0)</f>
        <v>7</v>
      </c>
      <c r="K4479" s="210" t="str">
        <f>IFERROR(__xludf.DUMMYFUNCTION("""COMPUTED_VALUE"""),"11342 11222 11223 11213 11225 11395 11218")</f>
        <v>11342 11222 11223 11213 11225 11395 11218</v>
      </c>
      <c r="L4479" s="211">
        <f>IFERROR(__xludf.DUMMYFUNCTION("""COMPUTED_VALUE"""),50000.0)</f>
        <v>50000</v>
      </c>
      <c r="M4479" s="211"/>
      <c r="N4479" s="211"/>
      <c r="O4479" s="211" t="b">
        <f>IFERROR(__xludf.DUMMYFUNCTION("""COMPUTED_VALUE"""),FALSE)</f>
        <v>0</v>
      </c>
    </row>
    <row r="4480">
      <c r="A4480" s="210" t="str">
        <f>IFERROR(__xludf.DUMMYFUNCTION("""COMPUTED_VALUE"""),"0426153059")</f>
        <v>0426153059</v>
      </c>
      <c r="B4480" s="210" t="str">
        <f>IFERROR(__xludf.DUMMYFUNCTION("""COMPUTED_VALUE"""),"0426153059")</f>
        <v>0426153059</v>
      </c>
      <c r="C4480" s="213">
        <f>IFERROR(__xludf.DUMMYFUNCTION("""COMPUTED_VALUE"""),46125.36314814815)</f>
        <v>46125.36315</v>
      </c>
      <c r="D4480" s="211" t="str">
        <f>IFERROR(__xludf.DUMMYFUNCTION("""COMPUTED_VALUE"""),"9828dfc5")</f>
        <v>9828dfc5</v>
      </c>
      <c r="E4480" s="211" t="str">
        <f>IFERROR(__xludf.DUMMYFUNCTION("""COMPUTED_VALUE"""),"Bpk. David")</f>
        <v>Bpk. David</v>
      </c>
      <c r="F4480" s="211" t="str">
        <f>IFERROR(__xludf.DUMMYFUNCTION("""COMPUTED_VALUE"""),"8bdbe149")</f>
        <v>8bdbe149</v>
      </c>
      <c r="G4480" s="211" t="str">
        <f>IFERROR(__xludf.DUMMYFUNCTION("""COMPUTED_VALUE"""),"Oksigen 6m3")</f>
        <v>Oksigen 6m3</v>
      </c>
      <c r="H4480" s="211" t="str">
        <f>IFERROR(__xludf.DUMMYFUNCTION("""COMPUTED_VALUE"""),"OUT")</f>
        <v>OUT</v>
      </c>
      <c r="I4480" s="211" t="str">
        <f>IFERROR(__xludf.DUMMYFUNCTION("""COMPUTED_VALUE"""),"NORMAL")</f>
        <v>NORMAL</v>
      </c>
      <c r="J4480" s="211">
        <f>IFERROR(__xludf.DUMMYFUNCTION("""COMPUTED_VALUE"""),10.0)</f>
        <v>10</v>
      </c>
      <c r="K4480" s="210" t="str">
        <f>IFERROR(__xludf.DUMMYFUNCTION("""COMPUTED_VALUE"""),"1121 1185 11209 1191 11115 11192 11381 11287 11103 11119")</f>
        <v>1121 1185 11209 1191 11115 11192 11381 11287 11103 11119</v>
      </c>
      <c r="L4480" s="211">
        <f>IFERROR(__xludf.DUMMYFUNCTION("""COMPUTED_VALUE"""),60000.0)</f>
        <v>60000</v>
      </c>
      <c r="M4480" s="211"/>
      <c r="N4480" s="211"/>
      <c r="O4480" s="211" t="b">
        <f>IFERROR(__xludf.DUMMYFUNCTION("""COMPUTED_VALUE"""),FALSE)</f>
        <v>0</v>
      </c>
    </row>
    <row r="4481">
      <c r="A4481" s="210" t="str">
        <f>IFERROR(__xludf.DUMMYFUNCTION("""COMPUTED_VALUE"""),"042663060")</f>
        <v>042663060</v>
      </c>
      <c r="B4481" s="210" t="str">
        <f>IFERROR(__xludf.DUMMYFUNCTION("""COMPUTED_VALUE"""),"042663060")</f>
        <v>042663060</v>
      </c>
      <c r="C4481" s="213">
        <f>IFERROR(__xludf.DUMMYFUNCTION("""COMPUTED_VALUE"""),46125.36599537037)</f>
        <v>46125.366</v>
      </c>
      <c r="D4481" s="211" t="str">
        <f>IFERROR(__xludf.DUMMYFUNCTION("""COMPUTED_VALUE"""),"58b72e0c")</f>
        <v>58b72e0c</v>
      </c>
      <c r="E4481" s="211" t="str">
        <f>IFERROR(__xludf.DUMMYFUNCTION("""COMPUTED_VALUE"""),"UD. Ais Jaya")</f>
        <v>UD. Ais Jaya</v>
      </c>
      <c r="F4481" s="211" t="str">
        <f>IFERROR(__xludf.DUMMYFUNCTION("""COMPUTED_VALUE"""),"8bdbe149")</f>
        <v>8bdbe149</v>
      </c>
      <c r="G4481" s="211" t="str">
        <f>IFERROR(__xludf.DUMMYFUNCTION("""COMPUTED_VALUE"""),"Oksigen 6m3")</f>
        <v>Oksigen 6m3</v>
      </c>
      <c r="H4481" s="211" t="str">
        <f>IFERROR(__xludf.DUMMYFUNCTION("""COMPUTED_VALUE"""),"OUT")</f>
        <v>OUT</v>
      </c>
      <c r="I4481" s="211" t="str">
        <f>IFERROR(__xludf.DUMMYFUNCTION("""COMPUTED_VALUE"""),"NORMAL")</f>
        <v>NORMAL</v>
      </c>
      <c r="J4481" s="211">
        <f>IFERROR(__xludf.DUMMYFUNCTION("""COMPUTED_VALUE"""),7.0)</f>
        <v>7</v>
      </c>
      <c r="K4481" s="210" t="str">
        <f>IFERROR(__xludf.DUMMYFUNCTION("""COMPUTED_VALUE"""),"11385 11378 1147 1126 11268 11343 11236")</f>
        <v>11385 11378 1147 1126 11268 11343 11236</v>
      </c>
      <c r="L4481" s="211">
        <f>IFERROR(__xludf.DUMMYFUNCTION("""COMPUTED_VALUE"""),60000.0)</f>
        <v>60000</v>
      </c>
      <c r="M4481" s="211"/>
      <c r="N4481" s="211"/>
      <c r="O4481" s="211" t="b">
        <f>IFERROR(__xludf.DUMMYFUNCTION("""COMPUTED_VALUE"""),FALSE)</f>
        <v>0</v>
      </c>
    </row>
    <row r="4482">
      <c r="A4482" s="210" t="str">
        <f>IFERROR(__xludf.DUMMYFUNCTION("""COMPUTED_VALUE"""),"042663060")</f>
        <v>042663060</v>
      </c>
      <c r="B4482" s="210" t="str">
        <f>IFERROR(__xludf.DUMMYFUNCTION("""COMPUTED_VALUE"""),"042663060")</f>
        <v>042663060</v>
      </c>
      <c r="C4482" s="213">
        <f>IFERROR(__xludf.DUMMYFUNCTION("""COMPUTED_VALUE"""),46125.36599537037)</f>
        <v>46125.366</v>
      </c>
      <c r="D4482" s="211" t="str">
        <f>IFERROR(__xludf.DUMMYFUNCTION("""COMPUTED_VALUE"""),"58b72e0c")</f>
        <v>58b72e0c</v>
      </c>
      <c r="E4482" s="211" t="str">
        <f>IFERROR(__xludf.DUMMYFUNCTION("""COMPUTED_VALUE"""),"UD. Ais Jaya")</f>
        <v>UD. Ais Jaya</v>
      </c>
      <c r="F4482" s="211" t="str">
        <f>IFERROR(__xludf.DUMMYFUNCTION("""COMPUTED_VALUE"""),"7d2764f1")</f>
        <v>7d2764f1</v>
      </c>
      <c r="G4482" s="211" t="str">
        <f>IFERROR(__xludf.DUMMYFUNCTION("""COMPUTED_VALUE"""),"Oksigen 7m3")</f>
        <v>Oksigen 7m3</v>
      </c>
      <c r="H4482" s="211" t="str">
        <f>IFERROR(__xludf.DUMMYFUNCTION("""COMPUTED_VALUE"""),"OUT")</f>
        <v>OUT</v>
      </c>
      <c r="I4482" s="211" t="str">
        <f>IFERROR(__xludf.DUMMYFUNCTION("""COMPUTED_VALUE"""),"NORMAL")</f>
        <v>NORMAL</v>
      </c>
      <c r="J4482" s="211">
        <f>IFERROR(__xludf.DUMMYFUNCTION("""COMPUTED_VALUE"""),3.0)</f>
        <v>3</v>
      </c>
      <c r="K4482" s="210" t="str">
        <f>IFERROR(__xludf.DUMMYFUNCTION("""COMPUTED_VALUE"""),"11335 11333 11305")</f>
        <v>11335 11333 11305</v>
      </c>
      <c r="L4482" s="211">
        <f>IFERROR(__xludf.DUMMYFUNCTION("""COMPUTED_VALUE"""),60000.0)</f>
        <v>60000</v>
      </c>
      <c r="M4482" s="211"/>
      <c r="N4482" s="211"/>
      <c r="O4482" s="211" t="b">
        <f>IFERROR(__xludf.DUMMYFUNCTION("""COMPUTED_VALUE"""),FALSE)</f>
        <v>0</v>
      </c>
    </row>
    <row r="4483">
      <c r="A4483" s="210" t="str">
        <f>IFERROR(__xludf.DUMMYFUNCTION("""COMPUTED_VALUE"""),"042623061")</f>
        <v>042623061</v>
      </c>
      <c r="B4483" s="210" t="str">
        <f>IFERROR(__xludf.DUMMYFUNCTION("""COMPUTED_VALUE"""),"042623061")</f>
        <v>042623061</v>
      </c>
      <c r="C4483" s="213">
        <f>IFERROR(__xludf.DUMMYFUNCTION("""COMPUTED_VALUE"""),46125.4134375)</f>
        <v>46125.41344</v>
      </c>
      <c r="D4483" s="211" t="str">
        <f>IFERROR(__xludf.DUMMYFUNCTION("""COMPUTED_VALUE"""),"dcc017cb")</f>
        <v>dcc017cb</v>
      </c>
      <c r="E4483" s="211" t="str">
        <f>IFERROR(__xludf.DUMMYFUNCTION("""COMPUTED_VALUE"""),"Bpk Hidayat")</f>
        <v>Bpk Hidayat</v>
      </c>
      <c r="F4483" s="211" t="str">
        <f>IFERROR(__xludf.DUMMYFUNCTION("""COMPUTED_VALUE"""),"7d2764f1")</f>
        <v>7d2764f1</v>
      </c>
      <c r="G4483" s="211" t="str">
        <f>IFERROR(__xludf.DUMMYFUNCTION("""COMPUTED_VALUE"""),"Oksigen 7m3")</f>
        <v>Oksigen 7m3</v>
      </c>
      <c r="H4483" s="211" t="str">
        <f>IFERROR(__xludf.DUMMYFUNCTION("""COMPUTED_VALUE"""),"OUT")</f>
        <v>OUT</v>
      </c>
      <c r="I4483" s="211" t="str">
        <f>IFERROR(__xludf.DUMMYFUNCTION("""COMPUTED_VALUE"""),"NORMAL")</f>
        <v>NORMAL</v>
      </c>
      <c r="J4483" s="211">
        <f>IFERROR(__xludf.DUMMYFUNCTION("""COMPUTED_VALUE"""),2.0)</f>
        <v>2</v>
      </c>
      <c r="K4483" s="210" t="str">
        <f>IFERROR(__xludf.DUMMYFUNCTION("""COMPUTED_VALUE"""),"76 11160")</f>
        <v>76 11160</v>
      </c>
      <c r="L4483" s="211">
        <f>IFERROR(__xludf.DUMMYFUNCTION("""COMPUTED_VALUE"""),65000.0)</f>
        <v>65000</v>
      </c>
      <c r="M4483" s="211"/>
      <c r="N4483" s="211"/>
      <c r="O4483" s="211" t="b">
        <f>IFERROR(__xludf.DUMMYFUNCTION("""COMPUTED_VALUE"""),FALSE)</f>
        <v>0</v>
      </c>
    </row>
    <row r="4484">
      <c r="A4484" s="210" t="str">
        <f>IFERROR(__xludf.DUMMYFUNCTION("""COMPUTED_VALUE"""),"1261522")</f>
        <v>1261522</v>
      </c>
      <c r="B4484" s="210" t="str">
        <f>IFERROR(__xludf.DUMMYFUNCTION("""COMPUTED_VALUE"""),"1261522")</f>
        <v>1261522</v>
      </c>
      <c r="C4484" s="213">
        <f>IFERROR(__xludf.DUMMYFUNCTION("""COMPUTED_VALUE"""),46125.42545138889)</f>
        <v>46125.42545</v>
      </c>
      <c r="D4484" s="211" t="str">
        <f>IFERROR(__xludf.DUMMYFUNCTION("""COMPUTED_VALUE"""),"d9b2fac5")</f>
        <v>d9b2fac5</v>
      </c>
      <c r="E4484" s="211" t="str">
        <f>IFERROR(__xludf.DUMMYFUNCTION("""COMPUTED_VALUE"""),"Dwi Riza ( Ponokawan)")</f>
        <v>Dwi Riza ( Ponokawan)</v>
      </c>
      <c r="F4484" s="211" t="str">
        <f>IFERROR(__xludf.DUMMYFUNCTION("""COMPUTED_VALUE"""),"7d2764f1")</f>
        <v>7d2764f1</v>
      </c>
      <c r="G4484" s="211" t="str">
        <f>IFERROR(__xludf.DUMMYFUNCTION("""COMPUTED_VALUE"""),"Oksigen 7m3")</f>
        <v>Oksigen 7m3</v>
      </c>
      <c r="H4484" s="211" t="str">
        <f>IFERROR(__xludf.DUMMYFUNCTION("""COMPUTED_VALUE"""),"IN")</f>
        <v>IN</v>
      </c>
      <c r="I4484" s="211" t="str">
        <f>IFERROR(__xludf.DUMMYFUNCTION("""COMPUTED_VALUE"""),"EMPTY")</f>
        <v>EMPTY</v>
      </c>
      <c r="J4484" s="211">
        <f>IFERROR(__xludf.DUMMYFUNCTION("""COMPUTED_VALUE"""),1.0)</f>
        <v>1</v>
      </c>
      <c r="K4484" s="210" t="str">
        <f>IFERROR(__xludf.DUMMYFUNCTION("""COMPUTED_VALUE"""),"11216")</f>
        <v>11216</v>
      </c>
      <c r="L4484" s="211">
        <f>IFERROR(__xludf.DUMMYFUNCTION("""COMPUTED_VALUE"""),0.0)</f>
        <v>0</v>
      </c>
      <c r="M4484" s="211"/>
      <c r="N4484" s="211"/>
      <c r="O4484" s="211" t="b">
        <f>IFERROR(__xludf.DUMMYFUNCTION("""COMPUTED_VALUE"""),FALSE)</f>
        <v>0</v>
      </c>
    </row>
    <row r="4485">
      <c r="A4485" s="210" t="str">
        <f>IFERROR(__xludf.DUMMYFUNCTION("""COMPUTED_VALUE"""),"1261523")</f>
        <v>1261523</v>
      </c>
      <c r="B4485" s="210" t="str">
        <f>IFERROR(__xludf.DUMMYFUNCTION("""COMPUTED_VALUE"""),"1261523")</f>
        <v>1261523</v>
      </c>
      <c r="C4485" s="213">
        <f>IFERROR(__xludf.DUMMYFUNCTION("""COMPUTED_VALUE"""),46125.52912037037)</f>
        <v>46125.52912</v>
      </c>
      <c r="D4485" s="211" t="str">
        <f>IFERROR(__xludf.DUMMYFUNCTION("""COMPUTED_VALUE"""),"dcc017cb")</f>
        <v>dcc017cb</v>
      </c>
      <c r="E4485" s="211" t="str">
        <f>IFERROR(__xludf.DUMMYFUNCTION("""COMPUTED_VALUE"""),"Bpk Hidayat")</f>
        <v>Bpk Hidayat</v>
      </c>
      <c r="F4485" s="211" t="str">
        <f>IFERROR(__xludf.DUMMYFUNCTION("""COMPUTED_VALUE"""),"8bdbe149")</f>
        <v>8bdbe149</v>
      </c>
      <c r="G4485" s="211" t="str">
        <f>IFERROR(__xludf.DUMMYFUNCTION("""COMPUTED_VALUE"""),"Oksigen 6m3")</f>
        <v>Oksigen 6m3</v>
      </c>
      <c r="H4485" s="211" t="str">
        <f>IFERROR(__xludf.DUMMYFUNCTION("""COMPUTED_VALUE"""),"IN")</f>
        <v>IN</v>
      </c>
      <c r="I4485" s="211" t="str">
        <f>IFERROR(__xludf.DUMMYFUNCTION("""COMPUTED_VALUE"""),"EMPTY")</f>
        <v>EMPTY</v>
      </c>
      <c r="J4485" s="211">
        <f>IFERROR(__xludf.DUMMYFUNCTION("""COMPUTED_VALUE"""),1.0)</f>
        <v>1</v>
      </c>
      <c r="K4485" s="210" t="str">
        <f>IFERROR(__xludf.DUMMYFUNCTION("""COMPUTED_VALUE"""),"11281")</f>
        <v>11281</v>
      </c>
      <c r="L4485" s="211">
        <f>IFERROR(__xludf.DUMMYFUNCTION("""COMPUTED_VALUE"""),0.0)</f>
        <v>0</v>
      </c>
      <c r="M4485" s="211"/>
      <c r="N4485" s="211"/>
      <c r="O4485" s="211" t="b">
        <f>IFERROR(__xludf.DUMMYFUNCTION("""COMPUTED_VALUE"""),FALSE)</f>
        <v>0</v>
      </c>
    </row>
    <row r="4486">
      <c r="A4486" s="210" t="str">
        <f>IFERROR(__xludf.DUMMYFUNCTION("""COMPUTED_VALUE"""),"1261525")</f>
        <v>1261525</v>
      </c>
      <c r="B4486" s="210" t="str">
        <f>IFERROR(__xludf.DUMMYFUNCTION("""COMPUTED_VALUE"""),"1261525")</f>
        <v>1261525</v>
      </c>
      <c r="C4486" s="213">
        <f>IFERROR(__xludf.DUMMYFUNCTION("""COMPUTED_VALUE"""),46125.52958333334)</f>
        <v>46125.52958</v>
      </c>
      <c r="D4486" s="211" t="str">
        <f>IFERROR(__xludf.DUMMYFUNCTION("""COMPUTED_VALUE"""),"63fc688a")</f>
        <v>63fc688a</v>
      </c>
      <c r="E4486" s="211" t="str">
        <f>IFERROR(__xludf.DUMMYFUNCTION("""COMPUTED_VALUE"""),"CV Malik Nusantara")</f>
        <v>CV Malik Nusantara</v>
      </c>
      <c r="F4486" s="211" t="str">
        <f>IFERROR(__xludf.DUMMYFUNCTION("""COMPUTED_VALUE"""),"8bdbe149")</f>
        <v>8bdbe149</v>
      </c>
      <c r="G4486" s="211" t="str">
        <f>IFERROR(__xludf.DUMMYFUNCTION("""COMPUTED_VALUE"""),"Oksigen 6m3")</f>
        <v>Oksigen 6m3</v>
      </c>
      <c r="H4486" s="211" t="str">
        <f>IFERROR(__xludf.DUMMYFUNCTION("""COMPUTED_VALUE"""),"IN")</f>
        <v>IN</v>
      </c>
      <c r="I4486" s="211" t="str">
        <f>IFERROR(__xludf.DUMMYFUNCTION("""COMPUTED_VALUE"""),"EMPTY")</f>
        <v>EMPTY</v>
      </c>
      <c r="J4486" s="211">
        <f>IFERROR(__xludf.DUMMYFUNCTION("""COMPUTED_VALUE"""),6.0)</f>
        <v>6</v>
      </c>
      <c r="K4486" s="210" t="str">
        <f>IFERROR(__xludf.DUMMYFUNCTION("""COMPUTED_VALUE"""),"11376 1153 11275 11295 11104 11196")</f>
        <v>11376 1153 11275 11295 11104 11196</v>
      </c>
      <c r="L4486" s="211">
        <f>IFERROR(__xludf.DUMMYFUNCTION("""COMPUTED_VALUE"""),0.0)</f>
        <v>0</v>
      </c>
      <c r="M4486" s="211"/>
      <c r="N4486" s="211"/>
      <c r="O4486" s="211" t="b">
        <f>IFERROR(__xludf.DUMMYFUNCTION("""COMPUTED_VALUE"""),FALSE)</f>
        <v>0</v>
      </c>
    </row>
    <row r="4487">
      <c r="A4487" s="210" t="str">
        <f>IFERROR(__xludf.DUMMYFUNCTION("""COMPUTED_VALUE"""),"1261525")</f>
        <v>1261525</v>
      </c>
      <c r="B4487" s="210" t="str">
        <f>IFERROR(__xludf.DUMMYFUNCTION("""COMPUTED_VALUE"""),"1261525")</f>
        <v>1261525</v>
      </c>
      <c r="C4487" s="213">
        <f>IFERROR(__xludf.DUMMYFUNCTION("""COMPUTED_VALUE"""),46125.52958333334)</f>
        <v>46125.52958</v>
      </c>
      <c r="D4487" s="211" t="str">
        <f>IFERROR(__xludf.DUMMYFUNCTION("""COMPUTED_VALUE"""),"63fc688a")</f>
        <v>63fc688a</v>
      </c>
      <c r="E4487" s="211" t="str">
        <f>IFERROR(__xludf.DUMMYFUNCTION("""COMPUTED_VALUE"""),"CV Malik Nusantara")</f>
        <v>CV Malik Nusantara</v>
      </c>
      <c r="F4487" s="211" t="str">
        <f>IFERROR(__xludf.DUMMYFUNCTION("""COMPUTED_VALUE"""),"7d2764f1")</f>
        <v>7d2764f1</v>
      </c>
      <c r="G4487" s="211" t="str">
        <f>IFERROR(__xludf.DUMMYFUNCTION("""COMPUTED_VALUE"""),"Oksigen 7m3")</f>
        <v>Oksigen 7m3</v>
      </c>
      <c r="H4487" s="211" t="str">
        <f>IFERROR(__xludf.DUMMYFUNCTION("""COMPUTED_VALUE"""),"IN")</f>
        <v>IN</v>
      </c>
      <c r="I4487" s="211" t="str">
        <f>IFERROR(__xludf.DUMMYFUNCTION("""COMPUTED_VALUE"""),"EMPTY")</f>
        <v>EMPTY</v>
      </c>
      <c r="J4487" s="211">
        <f>IFERROR(__xludf.DUMMYFUNCTION("""COMPUTED_VALUE"""),2.0)</f>
        <v>2</v>
      </c>
      <c r="K4487" s="210" t="str">
        <f>IFERROR(__xludf.DUMMYFUNCTION("""COMPUTED_VALUE"""),"11391 11138")</f>
        <v>11391 11138</v>
      </c>
      <c r="L4487" s="211">
        <f>IFERROR(__xludf.DUMMYFUNCTION("""COMPUTED_VALUE"""),0.0)</f>
        <v>0</v>
      </c>
      <c r="M4487" s="211"/>
      <c r="N4487" s="211"/>
      <c r="O4487" s="211" t="b">
        <f>IFERROR(__xludf.DUMMYFUNCTION("""COMPUTED_VALUE"""),FALSE)</f>
        <v>0</v>
      </c>
    </row>
    <row r="4488">
      <c r="A4488" s="210" t="str">
        <f>IFERROR(__xludf.DUMMYFUNCTION("""COMPUTED_VALUE"""),"1261533")</f>
        <v>1261533</v>
      </c>
      <c r="B4488" s="210" t="str">
        <f>IFERROR(__xludf.DUMMYFUNCTION("""COMPUTED_VALUE"""),"1261533")</f>
        <v>1261533</v>
      </c>
      <c r="C4488" s="213">
        <f>IFERROR(__xludf.DUMMYFUNCTION("""COMPUTED_VALUE"""),46125.531909722224)</f>
        <v>46125.53191</v>
      </c>
      <c r="D4488" s="211" t="str">
        <f>IFERROR(__xludf.DUMMYFUNCTION("""COMPUTED_VALUE"""),"b2b5f2c5")</f>
        <v>b2b5f2c5</v>
      </c>
      <c r="E4488" s="211" t="str">
        <f>IFERROR(__xludf.DUMMYFUNCTION("""COMPUTED_VALUE"""),"Bengkel Las Bpk. Ari")</f>
        <v>Bengkel Las Bpk. Ari</v>
      </c>
      <c r="F4488" s="211" t="str">
        <f>IFERROR(__xludf.DUMMYFUNCTION("""COMPUTED_VALUE"""),"8bdbe149")</f>
        <v>8bdbe149</v>
      </c>
      <c r="G4488" s="211" t="str">
        <f>IFERROR(__xludf.DUMMYFUNCTION("""COMPUTED_VALUE"""),"Oksigen 6m3")</f>
        <v>Oksigen 6m3</v>
      </c>
      <c r="H4488" s="211" t="str">
        <f>IFERROR(__xludf.DUMMYFUNCTION("""COMPUTED_VALUE"""),"IN")</f>
        <v>IN</v>
      </c>
      <c r="I4488" s="211" t="str">
        <f>IFERROR(__xludf.DUMMYFUNCTION("""COMPUTED_VALUE"""),"EMPTY")</f>
        <v>EMPTY</v>
      </c>
      <c r="J4488" s="211">
        <f>IFERROR(__xludf.DUMMYFUNCTION("""COMPUTED_VALUE"""),3.0)</f>
        <v>3</v>
      </c>
      <c r="K4488" s="210" t="str">
        <f>IFERROR(__xludf.DUMMYFUNCTION("""COMPUTED_VALUE"""),"1145 1188 11184")</f>
        <v>1145 1188 11184</v>
      </c>
      <c r="L4488" s="211">
        <f>IFERROR(__xludf.DUMMYFUNCTION("""COMPUTED_VALUE"""),0.0)</f>
        <v>0</v>
      </c>
      <c r="M4488" s="211"/>
      <c r="N4488" s="211"/>
      <c r="O4488" s="211" t="b">
        <f>IFERROR(__xludf.DUMMYFUNCTION("""COMPUTED_VALUE"""),FALSE)</f>
        <v>0</v>
      </c>
    </row>
    <row r="4489">
      <c r="A4489" s="210" t="str">
        <f>IFERROR(__xludf.DUMMYFUNCTION("""COMPUTED_VALUE"""),"1261533")</f>
        <v>1261533</v>
      </c>
      <c r="B4489" s="210" t="str">
        <f>IFERROR(__xludf.DUMMYFUNCTION("""COMPUTED_VALUE"""),"1261533")</f>
        <v>1261533</v>
      </c>
      <c r="C4489" s="213">
        <f>IFERROR(__xludf.DUMMYFUNCTION("""COMPUTED_VALUE"""),46125.531909722224)</f>
        <v>46125.53191</v>
      </c>
      <c r="D4489" s="211" t="str">
        <f>IFERROR(__xludf.DUMMYFUNCTION("""COMPUTED_VALUE"""),"b2b5f2c5")</f>
        <v>b2b5f2c5</v>
      </c>
      <c r="E4489" s="211" t="str">
        <f>IFERROR(__xludf.DUMMYFUNCTION("""COMPUTED_VALUE"""),"Bengkel Las Bpk. Ari")</f>
        <v>Bengkel Las Bpk. Ari</v>
      </c>
      <c r="F4489" s="211" t="str">
        <f>IFERROR(__xludf.DUMMYFUNCTION("""COMPUTED_VALUE"""),"ef306e54")</f>
        <v>ef306e54</v>
      </c>
      <c r="G4489" s="211" t="str">
        <f>IFERROR(__xludf.DUMMYFUNCTION("""COMPUTED_VALUE"""),"Karbondioksida")</f>
        <v>Karbondioksida</v>
      </c>
      <c r="H4489" s="211" t="str">
        <f>IFERROR(__xludf.DUMMYFUNCTION("""COMPUTED_VALUE"""),"IN")</f>
        <v>IN</v>
      </c>
      <c r="I4489" s="211" t="str">
        <f>IFERROR(__xludf.DUMMYFUNCTION("""COMPUTED_VALUE"""),"EMPTY")</f>
        <v>EMPTY</v>
      </c>
      <c r="J4489" s="211">
        <f>IFERROR(__xludf.DUMMYFUNCTION("""COMPUTED_VALUE"""),2.0)</f>
        <v>2</v>
      </c>
      <c r="K4489" s="210" t="str">
        <f>IFERROR(__xludf.DUMMYFUNCTION("""COMPUTED_VALUE"""),"13023 13051")</f>
        <v>13023 13051</v>
      </c>
      <c r="L4489" s="211">
        <f>IFERROR(__xludf.DUMMYFUNCTION("""COMPUTED_VALUE"""),0.0)</f>
        <v>0</v>
      </c>
      <c r="M4489" s="211"/>
      <c r="N4489" s="211"/>
      <c r="O4489" s="211" t="b">
        <f>IFERROR(__xludf.DUMMYFUNCTION("""COMPUTED_VALUE"""),FALSE)</f>
        <v>0</v>
      </c>
    </row>
    <row r="4490">
      <c r="A4490" s="210" t="str">
        <f>IFERROR(__xludf.DUMMYFUNCTION("""COMPUTED_VALUE"""),"1261532")</f>
        <v>1261532</v>
      </c>
      <c r="B4490" s="210" t="str">
        <f>IFERROR(__xludf.DUMMYFUNCTION("""COMPUTED_VALUE"""),"1261532")</f>
        <v>1261532</v>
      </c>
      <c r="C4490" s="213">
        <f>IFERROR(__xludf.DUMMYFUNCTION("""COMPUTED_VALUE"""),46125.53266203704)</f>
        <v>46125.53266</v>
      </c>
      <c r="D4490" s="211" t="str">
        <f>IFERROR(__xludf.DUMMYFUNCTION("""COMPUTED_VALUE"""),"9828dfc5")</f>
        <v>9828dfc5</v>
      </c>
      <c r="E4490" s="211" t="str">
        <f>IFERROR(__xludf.DUMMYFUNCTION("""COMPUTED_VALUE"""),"Bpk. David")</f>
        <v>Bpk. David</v>
      </c>
      <c r="F4490" s="211" t="str">
        <f>IFERROR(__xludf.DUMMYFUNCTION("""COMPUTED_VALUE"""),"8bdbe149")</f>
        <v>8bdbe149</v>
      </c>
      <c r="G4490" s="211" t="str">
        <f>IFERROR(__xludf.DUMMYFUNCTION("""COMPUTED_VALUE"""),"Oksigen 6m3")</f>
        <v>Oksigen 6m3</v>
      </c>
      <c r="H4490" s="211" t="str">
        <f>IFERROR(__xludf.DUMMYFUNCTION("""COMPUTED_VALUE"""),"IN")</f>
        <v>IN</v>
      </c>
      <c r="I4490" s="211" t="str">
        <f>IFERROR(__xludf.DUMMYFUNCTION("""COMPUTED_VALUE"""),"EMPTY")</f>
        <v>EMPTY</v>
      </c>
      <c r="J4490" s="211">
        <f>IFERROR(__xludf.DUMMYFUNCTION("""COMPUTED_VALUE"""),1.0)</f>
        <v>1</v>
      </c>
      <c r="K4490" s="210" t="str">
        <f>IFERROR(__xludf.DUMMYFUNCTION("""COMPUTED_VALUE"""),"1171")</f>
        <v>1171</v>
      </c>
      <c r="L4490" s="211">
        <f>IFERROR(__xludf.DUMMYFUNCTION("""COMPUTED_VALUE"""),0.0)</f>
        <v>0</v>
      </c>
      <c r="M4490" s="211"/>
      <c r="N4490" s="211"/>
      <c r="O4490" s="211" t="b">
        <f>IFERROR(__xludf.DUMMYFUNCTION("""COMPUTED_VALUE"""),FALSE)</f>
        <v>0</v>
      </c>
    </row>
    <row r="4491">
      <c r="A4491" s="210" t="str">
        <f>IFERROR(__xludf.DUMMYFUNCTION("""COMPUTED_VALUE"""),"1261524")</f>
        <v>1261524</v>
      </c>
      <c r="B4491" s="210" t="str">
        <f>IFERROR(__xludf.DUMMYFUNCTION("""COMPUTED_VALUE"""),"1261524")</f>
        <v>1261524</v>
      </c>
      <c r="C4491" s="213">
        <f>IFERROR(__xludf.DUMMYFUNCTION("""COMPUTED_VALUE"""),46125.53293981482)</f>
        <v>46125.53294</v>
      </c>
      <c r="D4491" s="211" t="str">
        <f>IFERROR(__xludf.DUMMYFUNCTION("""COMPUTED_VALUE"""),"01158be1")</f>
        <v>01158be1</v>
      </c>
      <c r="E4491" s="211" t="str">
        <f>IFERROR(__xludf.DUMMYFUNCTION("""COMPUTED_VALUE"""),"GYF")</f>
        <v>GYF</v>
      </c>
      <c r="F4491" s="211" t="str">
        <f>IFERROR(__xludf.DUMMYFUNCTION("""COMPUTED_VALUE"""),"8bdbe149")</f>
        <v>8bdbe149</v>
      </c>
      <c r="G4491" s="211" t="str">
        <f>IFERROR(__xludf.DUMMYFUNCTION("""COMPUTED_VALUE"""),"Oksigen 6m3")</f>
        <v>Oksigen 6m3</v>
      </c>
      <c r="H4491" s="211" t="str">
        <f>IFERROR(__xludf.DUMMYFUNCTION("""COMPUTED_VALUE"""),"IN")</f>
        <v>IN</v>
      </c>
      <c r="I4491" s="211" t="str">
        <f>IFERROR(__xludf.DUMMYFUNCTION("""COMPUTED_VALUE"""),"EMPTY")</f>
        <v>EMPTY</v>
      </c>
      <c r="J4491" s="211">
        <f>IFERROR(__xludf.DUMMYFUNCTION("""COMPUTED_VALUE"""),2.0)</f>
        <v>2</v>
      </c>
      <c r="K4491" s="210" t="str">
        <f>IFERROR(__xludf.DUMMYFUNCTION("""COMPUTED_VALUE"""),"11361 11261")</f>
        <v>11361 11261</v>
      </c>
      <c r="L4491" s="211">
        <f>IFERROR(__xludf.DUMMYFUNCTION("""COMPUTED_VALUE"""),0.0)</f>
        <v>0</v>
      </c>
      <c r="M4491" s="211"/>
      <c r="N4491" s="211"/>
      <c r="O4491" s="211" t="b">
        <f>IFERROR(__xludf.DUMMYFUNCTION("""COMPUTED_VALUE"""),FALSE)</f>
        <v>0</v>
      </c>
    </row>
    <row r="4492">
      <c r="A4492" s="210" t="str">
        <f>IFERROR(__xludf.DUMMYFUNCTION("""COMPUTED_VALUE"""),"1261524")</f>
        <v>1261524</v>
      </c>
      <c r="B4492" s="210" t="str">
        <f>IFERROR(__xludf.DUMMYFUNCTION("""COMPUTED_VALUE"""),"1261524")</f>
        <v>1261524</v>
      </c>
      <c r="C4492" s="213">
        <f>IFERROR(__xludf.DUMMYFUNCTION("""COMPUTED_VALUE"""),46125.53293981482)</f>
        <v>46125.53294</v>
      </c>
      <c r="D4492" s="211" t="str">
        <f>IFERROR(__xludf.DUMMYFUNCTION("""COMPUTED_VALUE"""),"01158be1")</f>
        <v>01158be1</v>
      </c>
      <c r="E4492" s="211" t="str">
        <f>IFERROR(__xludf.DUMMYFUNCTION("""COMPUTED_VALUE"""),"GYF")</f>
        <v>GYF</v>
      </c>
      <c r="F4492" s="211" t="str">
        <f>IFERROR(__xludf.DUMMYFUNCTION("""COMPUTED_VALUE"""),"7d2764f1")</f>
        <v>7d2764f1</v>
      </c>
      <c r="G4492" s="211" t="str">
        <f>IFERROR(__xludf.DUMMYFUNCTION("""COMPUTED_VALUE"""),"Oksigen 7m3")</f>
        <v>Oksigen 7m3</v>
      </c>
      <c r="H4492" s="211" t="str">
        <f>IFERROR(__xludf.DUMMYFUNCTION("""COMPUTED_VALUE"""),"IN")</f>
        <v>IN</v>
      </c>
      <c r="I4492" s="211" t="str">
        <f>IFERROR(__xludf.DUMMYFUNCTION("""COMPUTED_VALUE"""),"EMPTY")</f>
        <v>EMPTY</v>
      </c>
      <c r="J4492" s="211">
        <f>IFERROR(__xludf.DUMMYFUNCTION("""COMPUTED_VALUE"""),1.0)</f>
        <v>1</v>
      </c>
      <c r="K4492" s="210" t="str">
        <f>IFERROR(__xludf.DUMMYFUNCTION("""COMPUTED_VALUE"""),"11306")</f>
        <v>11306</v>
      </c>
      <c r="L4492" s="211">
        <f>IFERROR(__xludf.DUMMYFUNCTION("""COMPUTED_VALUE"""),0.0)</f>
        <v>0</v>
      </c>
      <c r="M4492" s="211"/>
      <c r="N4492" s="211"/>
      <c r="O4492" s="211" t="b">
        <f>IFERROR(__xludf.DUMMYFUNCTION("""COMPUTED_VALUE"""),FALSE)</f>
        <v>0</v>
      </c>
    </row>
    <row r="4493">
      <c r="A4493" s="210" t="str">
        <f>IFERROR(__xludf.DUMMYFUNCTION("""COMPUTED_VALUE"""),"042653062")</f>
        <v>042653062</v>
      </c>
      <c r="B4493" s="210" t="str">
        <f>IFERROR(__xludf.DUMMYFUNCTION("""COMPUTED_VALUE"""),"042653062")</f>
        <v>042653062</v>
      </c>
      <c r="C4493" s="213">
        <f>IFERROR(__xludf.DUMMYFUNCTION("""COMPUTED_VALUE"""),46125.55100694444)</f>
        <v>46125.55101</v>
      </c>
      <c r="D4493" s="211" t="str">
        <f>IFERROR(__xludf.DUMMYFUNCTION("""COMPUTED_VALUE"""),"8b765561")</f>
        <v>8b765561</v>
      </c>
      <c r="E4493" s="211" t="str">
        <f>IFERROR(__xludf.DUMMYFUNCTION("""COMPUTED_VALUE"""),"Bpk. Idris")</f>
        <v>Bpk. Idris</v>
      </c>
      <c r="F4493" s="211" t="str">
        <f>IFERROR(__xludf.DUMMYFUNCTION("""COMPUTED_VALUE"""),"8bdbe149")</f>
        <v>8bdbe149</v>
      </c>
      <c r="G4493" s="211" t="str">
        <f>IFERROR(__xludf.DUMMYFUNCTION("""COMPUTED_VALUE"""),"Oksigen 6m3")</f>
        <v>Oksigen 6m3</v>
      </c>
      <c r="H4493" s="211" t="str">
        <f>IFERROR(__xludf.DUMMYFUNCTION("""COMPUTED_VALUE"""),"OUT")</f>
        <v>OUT</v>
      </c>
      <c r="I4493" s="211" t="str">
        <f>IFERROR(__xludf.DUMMYFUNCTION("""COMPUTED_VALUE"""),"NORMAL")</f>
        <v>NORMAL</v>
      </c>
      <c r="J4493" s="211">
        <f>IFERROR(__xludf.DUMMYFUNCTION("""COMPUTED_VALUE"""),1.0)</f>
        <v>1</v>
      </c>
      <c r="K4493" s="210" t="str">
        <f>IFERROR(__xludf.DUMMYFUNCTION("""COMPUTED_VALUE"""),"11368")</f>
        <v>11368</v>
      </c>
      <c r="L4493" s="211">
        <f>IFERROR(__xludf.DUMMYFUNCTION("""COMPUTED_VALUE"""),60000.0)</f>
        <v>60000</v>
      </c>
      <c r="M4493" s="211"/>
      <c r="N4493" s="211"/>
      <c r="O4493" s="211" t="b">
        <f>IFERROR(__xludf.DUMMYFUNCTION("""COMPUTED_VALUE"""),FALSE)</f>
        <v>0</v>
      </c>
    </row>
    <row r="4494">
      <c r="A4494" s="210" t="str">
        <f>IFERROR(__xludf.DUMMYFUNCTION("""COMPUTED_VALUE"""),"042643069")</f>
        <v>042643069</v>
      </c>
      <c r="B4494" s="210" t="str">
        <f>IFERROR(__xludf.DUMMYFUNCTION("""COMPUTED_VALUE"""),"042643069")</f>
        <v>042643069</v>
      </c>
      <c r="C4494" s="213">
        <f>IFERROR(__xludf.DUMMYFUNCTION("""COMPUTED_VALUE"""),46125.62530092592)</f>
        <v>46125.6253</v>
      </c>
      <c r="D4494" s="211" t="str">
        <f>IFERROR(__xludf.DUMMYFUNCTION("""COMPUTED_VALUE"""),"370c84d1")</f>
        <v>370c84d1</v>
      </c>
      <c r="E4494" s="211" t="str">
        <f>IFERROR(__xludf.DUMMYFUNCTION("""COMPUTED_VALUE"""),"PT. Citra Bintang Karya")</f>
        <v>PT. Citra Bintang Karya</v>
      </c>
      <c r="F4494" s="211" t="str">
        <f>IFERROR(__xludf.DUMMYFUNCTION("""COMPUTED_VALUE"""),"66af7c72")</f>
        <v>66af7c72</v>
      </c>
      <c r="G4494" s="211" t="str">
        <f>IFERROR(__xludf.DUMMYFUNCTION("""COMPUTED_VALUE"""),"Argon 6m3")</f>
        <v>Argon 6m3</v>
      </c>
      <c r="H4494" s="211" t="str">
        <f>IFERROR(__xludf.DUMMYFUNCTION("""COMPUTED_VALUE"""),"OUT")</f>
        <v>OUT</v>
      </c>
      <c r="I4494" s="211" t="str">
        <f>IFERROR(__xludf.DUMMYFUNCTION("""COMPUTED_VALUE"""),"NORMAL")</f>
        <v>NORMAL</v>
      </c>
      <c r="J4494" s="211">
        <f>IFERROR(__xludf.DUMMYFUNCTION("""COMPUTED_VALUE"""),1.0)</f>
        <v>1</v>
      </c>
      <c r="K4494" s="210" t="str">
        <f>IFERROR(__xludf.DUMMYFUNCTION("""COMPUTED_VALUE"""),"12044")</f>
        <v>12044</v>
      </c>
      <c r="L4494" s="211">
        <f>IFERROR(__xludf.DUMMYFUNCTION("""COMPUTED_VALUE"""),200000.0)</f>
        <v>200000</v>
      </c>
      <c r="M4494" s="211"/>
      <c r="N4494" s="211"/>
      <c r="O4494" s="211" t="b">
        <f>IFERROR(__xludf.DUMMYFUNCTION("""COMPUTED_VALUE"""),FALSE)</f>
        <v>0</v>
      </c>
    </row>
    <row r="4495">
      <c r="A4495" s="210" t="str">
        <f>IFERROR(__xludf.DUMMYFUNCTION("""COMPUTED_VALUE"""),"1261526")</f>
        <v>1261526</v>
      </c>
      <c r="B4495" s="210" t="str">
        <f>IFERROR(__xludf.DUMMYFUNCTION("""COMPUTED_VALUE"""),"1261526")</f>
        <v>1261526</v>
      </c>
      <c r="C4495" s="213">
        <f>IFERROR(__xludf.DUMMYFUNCTION("""COMPUTED_VALUE"""),46125.65087962963)</f>
        <v>46125.65088</v>
      </c>
      <c r="D4495" s="211" t="str">
        <f>IFERROR(__xludf.DUMMYFUNCTION("""COMPUTED_VALUE"""),"370c84d1")</f>
        <v>370c84d1</v>
      </c>
      <c r="E4495" s="211" t="str">
        <f>IFERROR(__xludf.DUMMYFUNCTION("""COMPUTED_VALUE"""),"PT. Citra Bintang Karya")</f>
        <v>PT. Citra Bintang Karya</v>
      </c>
      <c r="F4495" s="211" t="str">
        <f>IFERROR(__xludf.DUMMYFUNCTION("""COMPUTED_VALUE"""),"7d2764f1")</f>
        <v>7d2764f1</v>
      </c>
      <c r="G4495" s="211" t="str">
        <f>IFERROR(__xludf.DUMMYFUNCTION("""COMPUTED_VALUE"""),"Oksigen 7m3")</f>
        <v>Oksigen 7m3</v>
      </c>
      <c r="H4495" s="211" t="str">
        <f>IFERROR(__xludf.DUMMYFUNCTION("""COMPUTED_VALUE"""),"IN")</f>
        <v>IN</v>
      </c>
      <c r="I4495" s="211" t="str">
        <f>IFERROR(__xludf.DUMMYFUNCTION("""COMPUTED_VALUE"""),"CLAIM")</f>
        <v>CLAIM</v>
      </c>
      <c r="J4495" s="211">
        <f>IFERROR(__xludf.DUMMYFUNCTION("""COMPUTED_VALUE"""),2.0)</f>
        <v>2</v>
      </c>
      <c r="K4495" s="210" t="str">
        <f>IFERROR(__xludf.DUMMYFUNCTION("""COMPUTED_VALUE"""),"11230 11220")</f>
        <v>11230 11220</v>
      </c>
      <c r="L4495" s="211">
        <f>IFERROR(__xludf.DUMMYFUNCTION("""COMPUTED_VALUE"""),0.0)</f>
        <v>0</v>
      </c>
      <c r="M4495" s="211"/>
      <c r="N4495" s="211" t="str">
        <f>IFERROR(__xludf.DUMMYFUNCTION("""COMPUTED_VALUE"""),"Di tarik Masih isi full")</f>
        <v>Di tarik Masih isi full</v>
      </c>
      <c r="O4495" s="211" t="b">
        <f>IFERROR(__xludf.DUMMYFUNCTION("""COMPUTED_VALUE"""),TRUE)</f>
        <v>1</v>
      </c>
    </row>
    <row r="4496">
      <c r="A4496" s="210" t="str">
        <f>IFERROR(__xludf.DUMMYFUNCTION("""COMPUTED_VALUE"""),"1261526")</f>
        <v>1261526</v>
      </c>
      <c r="B4496" s="210" t="str">
        <f>IFERROR(__xludf.DUMMYFUNCTION("""COMPUTED_VALUE"""),"1261526")</f>
        <v>1261526</v>
      </c>
      <c r="C4496" s="213">
        <f>IFERROR(__xludf.DUMMYFUNCTION("""COMPUTED_VALUE"""),46125.65087962963)</f>
        <v>46125.65088</v>
      </c>
      <c r="D4496" s="211" t="str">
        <f>IFERROR(__xludf.DUMMYFUNCTION("""COMPUTED_VALUE"""),"370c84d1")</f>
        <v>370c84d1</v>
      </c>
      <c r="E4496" s="211" t="str">
        <f>IFERROR(__xludf.DUMMYFUNCTION("""COMPUTED_VALUE"""),"PT. Citra Bintang Karya")</f>
        <v>PT. Citra Bintang Karya</v>
      </c>
      <c r="F4496" s="211" t="str">
        <f>IFERROR(__xludf.DUMMYFUNCTION("""COMPUTED_VALUE"""),"66af7c72")</f>
        <v>66af7c72</v>
      </c>
      <c r="G4496" s="211" t="str">
        <f>IFERROR(__xludf.DUMMYFUNCTION("""COMPUTED_VALUE"""),"Argon 6m3")</f>
        <v>Argon 6m3</v>
      </c>
      <c r="H4496" s="211" t="str">
        <f>IFERROR(__xludf.DUMMYFUNCTION("""COMPUTED_VALUE"""),"IN")</f>
        <v>IN</v>
      </c>
      <c r="I4496" s="211" t="str">
        <f>IFERROR(__xludf.DUMMYFUNCTION("""COMPUTED_VALUE"""),"EMPTY")</f>
        <v>EMPTY</v>
      </c>
      <c r="J4496" s="211">
        <f>IFERROR(__xludf.DUMMYFUNCTION("""COMPUTED_VALUE"""),1.0)</f>
        <v>1</v>
      </c>
      <c r="K4496" s="210" t="str">
        <f>IFERROR(__xludf.DUMMYFUNCTION("""COMPUTED_VALUE"""),"12049")</f>
        <v>12049</v>
      </c>
      <c r="L4496" s="211">
        <f>IFERROR(__xludf.DUMMYFUNCTION("""COMPUTED_VALUE"""),0.0)</f>
        <v>0</v>
      </c>
      <c r="M4496" s="211"/>
      <c r="N4496" s="211"/>
      <c r="O4496" s="211" t="b">
        <f>IFERROR(__xludf.DUMMYFUNCTION("""COMPUTED_VALUE"""),FALSE)</f>
        <v>0</v>
      </c>
    </row>
    <row r="4497">
      <c r="A4497" s="210" t="str">
        <f>IFERROR(__xludf.DUMMYFUNCTION("""COMPUTED_VALUE"""),"0426183070")</f>
        <v>0426183070</v>
      </c>
      <c r="B4497" s="210" t="str">
        <f>IFERROR(__xludf.DUMMYFUNCTION("""COMPUTED_VALUE"""),"0426183070")</f>
        <v>0426183070</v>
      </c>
      <c r="C4497" s="213">
        <f>IFERROR(__xludf.DUMMYFUNCTION("""COMPUTED_VALUE"""),46126.35537037037)</f>
        <v>46126.35537</v>
      </c>
      <c r="D4497" s="211" t="str">
        <f>IFERROR(__xludf.DUMMYFUNCTION("""COMPUTED_VALUE"""),"9b941888")</f>
        <v>9b941888</v>
      </c>
      <c r="E4497" s="211" t="str">
        <f>IFERROR(__xludf.DUMMYFUNCTION("""COMPUTED_VALUE"""),"Mas Devi ( Parengan )")</f>
        <v>Mas Devi ( Parengan )</v>
      </c>
      <c r="F4497" s="211" t="str">
        <f>IFERROR(__xludf.DUMMYFUNCTION("""COMPUTED_VALUE"""),"7d2764f1")</f>
        <v>7d2764f1</v>
      </c>
      <c r="G4497" s="211" t="str">
        <f>IFERROR(__xludf.DUMMYFUNCTION("""COMPUTED_VALUE"""),"Oksigen 7m3")</f>
        <v>Oksigen 7m3</v>
      </c>
      <c r="H4497" s="211" t="str">
        <f>IFERROR(__xludf.DUMMYFUNCTION("""COMPUTED_VALUE"""),"OUT")</f>
        <v>OUT</v>
      </c>
      <c r="I4497" s="211" t="str">
        <f>IFERROR(__xludf.DUMMYFUNCTION("""COMPUTED_VALUE"""),"NORMAL")</f>
        <v>NORMAL</v>
      </c>
      <c r="J4497" s="211">
        <f>IFERROR(__xludf.DUMMYFUNCTION("""COMPUTED_VALUE"""),2.0)</f>
        <v>2</v>
      </c>
      <c r="K4497" s="210" t="str">
        <f>IFERROR(__xludf.DUMMYFUNCTION("""COMPUTED_VALUE"""),"11138 11136")</f>
        <v>11138 11136</v>
      </c>
      <c r="L4497" s="211">
        <f>IFERROR(__xludf.DUMMYFUNCTION("""COMPUTED_VALUE"""),80000.0)</f>
        <v>80000</v>
      </c>
      <c r="M4497" s="211"/>
      <c r="N4497" s="211"/>
      <c r="O4497" s="211" t="b">
        <f>IFERROR(__xludf.DUMMYFUNCTION("""COMPUTED_VALUE"""),FALSE)</f>
        <v>0</v>
      </c>
    </row>
    <row r="4498">
      <c r="A4498" s="210" t="str">
        <f>IFERROR(__xludf.DUMMYFUNCTION("""COMPUTED_VALUE"""),"042613072")</f>
        <v>042613072</v>
      </c>
      <c r="B4498" s="210" t="str">
        <f>IFERROR(__xludf.DUMMYFUNCTION("""COMPUTED_VALUE"""),"042613072")</f>
        <v>042613072</v>
      </c>
      <c r="C4498" s="213">
        <f>IFERROR(__xludf.DUMMYFUNCTION("""COMPUTED_VALUE"""),46126.36181712963)</f>
        <v>46126.36182</v>
      </c>
      <c r="D4498" s="211" t="str">
        <f>IFERROR(__xludf.DUMMYFUNCTION("""COMPUTED_VALUE"""),"12674d8f")</f>
        <v>12674d8f</v>
      </c>
      <c r="E4498" s="211" t="str">
        <f>IFERROR(__xludf.DUMMYFUNCTION("""COMPUTED_VALUE"""),"PT. Dong Sung Abadi")</f>
        <v>PT. Dong Sung Abadi</v>
      </c>
      <c r="F4498" s="211" t="str">
        <f>IFERROR(__xludf.DUMMYFUNCTION("""COMPUTED_VALUE"""),"b7a8fff1")</f>
        <v>b7a8fff1</v>
      </c>
      <c r="G4498" s="211" t="str">
        <f>IFERROR(__xludf.DUMMYFUNCTION("""COMPUTED_VALUE"""),"LPG 50kg")</f>
        <v>LPG 50kg</v>
      </c>
      <c r="H4498" s="211" t="str">
        <f>IFERROR(__xludf.DUMMYFUNCTION("""COMPUTED_VALUE"""),"OUT")</f>
        <v>OUT</v>
      </c>
      <c r="I4498" s="211" t="str">
        <f>IFERROR(__xludf.DUMMYFUNCTION("""COMPUTED_VALUE"""),"NORMAL")</f>
        <v>NORMAL</v>
      </c>
      <c r="J4498" s="211">
        <f>IFERROR(__xludf.DUMMYFUNCTION("""COMPUTED_VALUE"""),2.0)</f>
        <v>2</v>
      </c>
      <c r="K4498" s="210" t="str">
        <f>IFERROR(__xludf.DUMMYFUNCTION("""COMPUTED_VALUE"""),"LL002 LL003")</f>
        <v>LL002 LL003</v>
      </c>
      <c r="L4498" s="211">
        <f>IFERROR(__xludf.DUMMYFUNCTION("""COMPUTED_VALUE"""),1036036.0)</f>
        <v>1036036</v>
      </c>
      <c r="M4498" s="211"/>
      <c r="N4498" s="211"/>
      <c r="O4498" s="211" t="b">
        <f>IFERROR(__xludf.DUMMYFUNCTION("""COMPUTED_VALUE"""),FALSE)</f>
        <v>0</v>
      </c>
    </row>
    <row r="4499">
      <c r="A4499" s="210" t="str">
        <f>IFERROR(__xludf.DUMMYFUNCTION("""COMPUTED_VALUE"""),"0426413073")</f>
        <v>0426413073</v>
      </c>
      <c r="B4499" s="210" t="str">
        <f>IFERROR(__xludf.DUMMYFUNCTION("""COMPUTED_VALUE"""),"0426413073")</f>
        <v>0426413073</v>
      </c>
      <c r="C4499" s="213">
        <f>IFERROR(__xludf.DUMMYFUNCTION("""COMPUTED_VALUE"""),46126.37909722222)</f>
        <v>46126.3791</v>
      </c>
      <c r="D4499" s="211" t="str">
        <f>IFERROR(__xludf.DUMMYFUNCTION("""COMPUTED_VALUE"""),"63fc688a")</f>
        <v>63fc688a</v>
      </c>
      <c r="E4499" s="211" t="str">
        <f>IFERROR(__xludf.DUMMYFUNCTION("""COMPUTED_VALUE"""),"CV Malik Nusantara")</f>
        <v>CV Malik Nusantara</v>
      </c>
      <c r="F4499" s="211" t="str">
        <f>IFERROR(__xludf.DUMMYFUNCTION("""COMPUTED_VALUE"""),"8bdbe149")</f>
        <v>8bdbe149</v>
      </c>
      <c r="G4499" s="211" t="str">
        <f>IFERROR(__xludf.DUMMYFUNCTION("""COMPUTED_VALUE"""),"Oksigen 6m3")</f>
        <v>Oksigen 6m3</v>
      </c>
      <c r="H4499" s="211" t="str">
        <f>IFERROR(__xludf.DUMMYFUNCTION("""COMPUTED_VALUE"""),"OUT")</f>
        <v>OUT</v>
      </c>
      <c r="I4499" s="211" t="str">
        <f>IFERROR(__xludf.DUMMYFUNCTION("""COMPUTED_VALUE"""),"NORMAL")</f>
        <v>NORMAL</v>
      </c>
      <c r="J4499" s="211">
        <f>IFERROR(__xludf.DUMMYFUNCTION("""COMPUTED_VALUE"""),10.0)</f>
        <v>10</v>
      </c>
      <c r="K4499" s="210" t="str">
        <f>IFERROR(__xludf.DUMMYFUNCTION("""COMPUTED_VALUE"""),"1113 11266 11117 11129 11261 11377 11196 1199 11275 11350")</f>
        <v>1113 11266 11117 11129 11261 11377 11196 1199 11275 11350</v>
      </c>
      <c r="L4499" s="211">
        <f>IFERROR(__xludf.DUMMYFUNCTION("""COMPUTED_VALUE"""),65000.0)</f>
        <v>65000</v>
      </c>
      <c r="M4499" s="211"/>
      <c r="N4499" s="211"/>
      <c r="O4499" s="211" t="b">
        <f>IFERROR(__xludf.DUMMYFUNCTION("""COMPUTED_VALUE"""),FALSE)</f>
        <v>0</v>
      </c>
    </row>
    <row r="4500">
      <c r="A4500" s="210" t="str">
        <f>IFERROR(__xludf.DUMMYFUNCTION("""COMPUTED_VALUE"""),"0426413073")</f>
        <v>0426413073</v>
      </c>
      <c r="B4500" s="210" t="str">
        <f>IFERROR(__xludf.DUMMYFUNCTION("""COMPUTED_VALUE"""),"0426413073")</f>
        <v>0426413073</v>
      </c>
      <c r="C4500" s="213">
        <f>IFERROR(__xludf.DUMMYFUNCTION("""COMPUTED_VALUE"""),46126.37909722222)</f>
        <v>46126.3791</v>
      </c>
      <c r="D4500" s="211" t="str">
        <f>IFERROR(__xludf.DUMMYFUNCTION("""COMPUTED_VALUE"""),"63fc688a")</f>
        <v>63fc688a</v>
      </c>
      <c r="E4500" s="211" t="str">
        <f>IFERROR(__xludf.DUMMYFUNCTION("""COMPUTED_VALUE"""),"CV Malik Nusantara")</f>
        <v>CV Malik Nusantara</v>
      </c>
      <c r="F4500" s="211" t="str">
        <f>IFERROR(__xludf.DUMMYFUNCTION("""COMPUTED_VALUE"""),"ef306e54")</f>
        <v>ef306e54</v>
      </c>
      <c r="G4500" s="211" t="str">
        <f>IFERROR(__xludf.DUMMYFUNCTION("""COMPUTED_VALUE"""),"Karbondioksida")</f>
        <v>Karbondioksida</v>
      </c>
      <c r="H4500" s="211" t="str">
        <f>IFERROR(__xludf.DUMMYFUNCTION("""COMPUTED_VALUE"""),"OUT")</f>
        <v>OUT</v>
      </c>
      <c r="I4500" s="211" t="str">
        <f>IFERROR(__xludf.DUMMYFUNCTION("""COMPUTED_VALUE"""),"NORMAL")</f>
        <v>NORMAL</v>
      </c>
      <c r="J4500" s="211">
        <f>IFERROR(__xludf.DUMMYFUNCTION("""COMPUTED_VALUE"""),2.0)</f>
        <v>2</v>
      </c>
      <c r="K4500" s="210" t="str">
        <f>IFERROR(__xludf.DUMMYFUNCTION("""COMPUTED_VALUE"""),"13028 13062")</f>
        <v>13028 13062</v>
      </c>
      <c r="L4500" s="211">
        <f>IFERROR(__xludf.DUMMYFUNCTION("""COMPUTED_VALUE"""),190000.0)</f>
        <v>190000</v>
      </c>
      <c r="M4500" s="211"/>
      <c r="N4500" s="211"/>
      <c r="O4500" s="211" t="b">
        <f>IFERROR(__xludf.DUMMYFUNCTION("""COMPUTED_VALUE"""),FALSE)</f>
        <v>0</v>
      </c>
    </row>
    <row r="4501">
      <c r="A4501" s="210" t="str">
        <f>IFERROR(__xludf.DUMMYFUNCTION("""COMPUTED_VALUE"""),"042653074")</f>
        <v>042653074</v>
      </c>
      <c r="B4501" s="210" t="str">
        <f>IFERROR(__xludf.DUMMYFUNCTION("""COMPUTED_VALUE"""),"042653074")</f>
        <v>042653074</v>
      </c>
      <c r="C4501" s="213">
        <f>IFERROR(__xludf.DUMMYFUNCTION("""COMPUTED_VALUE"""),46126.3822337963)</f>
        <v>46126.38223</v>
      </c>
      <c r="D4501" s="211" t="str">
        <f>IFERROR(__xludf.DUMMYFUNCTION("""COMPUTED_VALUE"""),"057b6b99")</f>
        <v>057b6b99</v>
      </c>
      <c r="E4501" s="211" t="str">
        <f>IFERROR(__xludf.DUMMYFUNCTION("""COMPUTED_VALUE"""),"PT Anuta Utama Transport")</f>
        <v>PT Anuta Utama Transport</v>
      </c>
      <c r="F4501" s="211" t="str">
        <f>IFERROR(__xludf.DUMMYFUNCTION("""COMPUTED_VALUE"""),"8bdbe149")</f>
        <v>8bdbe149</v>
      </c>
      <c r="G4501" s="211" t="str">
        <f>IFERROR(__xludf.DUMMYFUNCTION("""COMPUTED_VALUE"""),"Oksigen 6m3")</f>
        <v>Oksigen 6m3</v>
      </c>
      <c r="H4501" s="211" t="str">
        <f>IFERROR(__xludf.DUMMYFUNCTION("""COMPUTED_VALUE"""),"OUT")</f>
        <v>OUT</v>
      </c>
      <c r="I4501" s="211" t="str">
        <f>IFERROR(__xludf.DUMMYFUNCTION("""COMPUTED_VALUE"""),"NORMAL")</f>
        <v>NORMAL</v>
      </c>
      <c r="J4501" s="211">
        <f>IFERROR(__xludf.DUMMYFUNCTION("""COMPUTED_VALUE"""),6.0)</f>
        <v>6</v>
      </c>
      <c r="K4501" s="210" t="str">
        <f>IFERROR(__xludf.DUMMYFUNCTION("""COMPUTED_VALUE"""),"11361 11104 11295 1153 11376 11281")</f>
        <v>11361 11104 11295 1153 11376 11281</v>
      </c>
      <c r="L4501" s="211">
        <f>IFERROR(__xludf.DUMMYFUNCTION("""COMPUTED_VALUE"""),58558.56)</f>
        <v>58558.56</v>
      </c>
      <c r="M4501" s="211"/>
      <c r="N4501" s="211"/>
      <c r="O4501" s="211" t="b">
        <f>IFERROR(__xludf.DUMMYFUNCTION("""COMPUTED_VALUE"""),FALSE)</f>
        <v>0</v>
      </c>
    </row>
    <row r="4502">
      <c r="A4502" s="210" t="str">
        <f>IFERROR(__xludf.DUMMYFUNCTION("""COMPUTED_VALUE"""),"042653074")</f>
        <v>042653074</v>
      </c>
      <c r="B4502" s="210" t="str">
        <f>IFERROR(__xludf.DUMMYFUNCTION("""COMPUTED_VALUE"""),"042653074")</f>
        <v>042653074</v>
      </c>
      <c r="C4502" s="213">
        <f>IFERROR(__xludf.DUMMYFUNCTION("""COMPUTED_VALUE"""),46126.3822337963)</f>
        <v>46126.38223</v>
      </c>
      <c r="D4502" s="211" t="str">
        <f>IFERROR(__xludf.DUMMYFUNCTION("""COMPUTED_VALUE"""),"057b6b99")</f>
        <v>057b6b99</v>
      </c>
      <c r="E4502" s="211" t="str">
        <f>IFERROR(__xludf.DUMMYFUNCTION("""COMPUTED_VALUE"""),"PT Anuta Utama Transport")</f>
        <v>PT Anuta Utama Transport</v>
      </c>
      <c r="F4502" s="211" t="str">
        <f>IFERROR(__xludf.DUMMYFUNCTION("""COMPUTED_VALUE"""),"7d2764f1")</f>
        <v>7d2764f1</v>
      </c>
      <c r="G4502" s="211" t="str">
        <f>IFERROR(__xludf.DUMMYFUNCTION("""COMPUTED_VALUE"""),"Oksigen 7m3")</f>
        <v>Oksigen 7m3</v>
      </c>
      <c r="H4502" s="211" t="str">
        <f>IFERROR(__xludf.DUMMYFUNCTION("""COMPUTED_VALUE"""),"OUT")</f>
        <v>OUT</v>
      </c>
      <c r="I4502" s="211" t="str">
        <f>IFERROR(__xludf.DUMMYFUNCTION("""COMPUTED_VALUE"""),"NORMAL")</f>
        <v>NORMAL</v>
      </c>
      <c r="J4502" s="211">
        <f>IFERROR(__xludf.DUMMYFUNCTION("""COMPUTED_VALUE"""),4.0)</f>
        <v>4</v>
      </c>
      <c r="K4502" s="210" t="str">
        <f>IFERROR(__xludf.DUMMYFUNCTION("""COMPUTED_VALUE"""),"11391 11306 11302 11216")</f>
        <v>11391 11306 11302 11216</v>
      </c>
      <c r="L4502" s="211">
        <f>IFERROR(__xludf.DUMMYFUNCTION("""COMPUTED_VALUE"""),58558.56)</f>
        <v>58558.56</v>
      </c>
      <c r="M4502" s="211"/>
      <c r="N4502" s="211"/>
      <c r="O4502" s="211" t="b">
        <f>IFERROR(__xludf.DUMMYFUNCTION("""COMPUTED_VALUE"""),FALSE)</f>
        <v>0</v>
      </c>
    </row>
    <row r="4503">
      <c r="A4503" s="210" t="str">
        <f>IFERROR(__xludf.DUMMYFUNCTION("""COMPUTED_VALUE"""),"042613075")</f>
        <v>042613075</v>
      </c>
      <c r="B4503" s="210" t="str">
        <f>IFERROR(__xludf.DUMMYFUNCTION("""COMPUTED_VALUE"""),"042613075")</f>
        <v>042613075</v>
      </c>
      <c r="C4503" s="213">
        <f>IFERROR(__xludf.DUMMYFUNCTION("""COMPUTED_VALUE"""),46126.4128125)</f>
        <v>46126.41281</v>
      </c>
      <c r="D4503" s="211" t="str">
        <f>IFERROR(__xludf.DUMMYFUNCTION("""COMPUTED_VALUE"""),"405a11b6")</f>
        <v>405a11b6</v>
      </c>
      <c r="E4503" s="211" t="str">
        <f>IFERROR(__xludf.DUMMYFUNCTION("""COMPUTED_VALUE"""),"Ibu Rinta")</f>
        <v>Ibu Rinta</v>
      </c>
      <c r="F4503" s="211" t="str">
        <f>IFERROR(__xludf.DUMMYFUNCTION("""COMPUTED_VALUE"""),"be525f3b")</f>
        <v>be525f3b</v>
      </c>
      <c r="G4503" s="211" t="str">
        <f>IFERROR(__xludf.DUMMYFUNCTION("""COMPUTED_VALUE"""),"LPG 12kg")</f>
        <v>LPG 12kg</v>
      </c>
      <c r="H4503" s="211" t="str">
        <f>IFERROR(__xludf.DUMMYFUNCTION("""COMPUTED_VALUE"""),"OUT")</f>
        <v>OUT</v>
      </c>
      <c r="I4503" s="211" t="str">
        <f>IFERROR(__xludf.DUMMYFUNCTION("""COMPUTED_VALUE"""),"NORMAL")</f>
        <v>NORMAL</v>
      </c>
      <c r="J4503" s="211">
        <f>IFERROR(__xludf.DUMMYFUNCTION("""COMPUTED_VALUE"""),1.0)</f>
        <v>1</v>
      </c>
      <c r="K4503" s="210" t="str">
        <f>IFERROR(__xludf.DUMMYFUNCTION("""COMPUTED_VALUE"""),"L001")</f>
        <v>L001</v>
      </c>
      <c r="L4503" s="211">
        <f>IFERROR(__xludf.DUMMYFUNCTION("""COMPUTED_VALUE"""),205000.0)</f>
        <v>205000</v>
      </c>
      <c r="M4503" s="211"/>
      <c r="N4503" s="211"/>
      <c r="O4503" s="211" t="b">
        <f>IFERROR(__xludf.DUMMYFUNCTION("""COMPUTED_VALUE"""),FALSE)</f>
        <v>0</v>
      </c>
    </row>
    <row r="4504">
      <c r="A4504" s="210" t="str">
        <f>IFERROR(__xludf.DUMMYFUNCTION("""COMPUTED_VALUE"""),"0426153076")</f>
        <v>0426153076</v>
      </c>
      <c r="B4504" s="210" t="str">
        <f>IFERROR(__xludf.DUMMYFUNCTION("""COMPUTED_VALUE"""),"0426153076")</f>
        <v>0426153076</v>
      </c>
      <c r="C4504" s="213">
        <f>IFERROR(__xludf.DUMMYFUNCTION("""COMPUTED_VALUE"""),46126.45863425926)</f>
        <v>46126.45863</v>
      </c>
      <c r="D4504" s="211" t="str">
        <f>IFERROR(__xludf.DUMMYFUNCTION("""COMPUTED_VALUE"""),"dcdf8b31")</f>
        <v>dcdf8b31</v>
      </c>
      <c r="E4504" s="211" t="str">
        <f>IFERROR(__xludf.DUMMYFUNCTION("""COMPUTED_VALUE"""),"Bpk. Samsul (Jetis)")</f>
        <v>Bpk. Samsul (Jetis)</v>
      </c>
      <c r="F4504" s="211" t="str">
        <f>IFERROR(__xludf.DUMMYFUNCTION("""COMPUTED_VALUE"""),"7d2764f1")</f>
        <v>7d2764f1</v>
      </c>
      <c r="G4504" s="211" t="str">
        <f>IFERROR(__xludf.DUMMYFUNCTION("""COMPUTED_VALUE"""),"Oksigen 7m3")</f>
        <v>Oksigen 7m3</v>
      </c>
      <c r="H4504" s="211" t="str">
        <f>IFERROR(__xludf.DUMMYFUNCTION("""COMPUTED_VALUE"""),"OUT")</f>
        <v>OUT</v>
      </c>
      <c r="I4504" s="211" t="str">
        <f>IFERROR(__xludf.DUMMYFUNCTION("""COMPUTED_VALUE"""),"NORMAL")</f>
        <v>NORMAL</v>
      </c>
      <c r="J4504" s="211">
        <f>IFERROR(__xludf.DUMMYFUNCTION("""COMPUTED_VALUE"""),2.0)</f>
        <v>2</v>
      </c>
      <c r="K4504" s="210" t="str">
        <f>IFERROR(__xludf.DUMMYFUNCTION("""COMPUTED_VALUE"""),"11220 11230")</f>
        <v>11220 11230</v>
      </c>
      <c r="L4504" s="211">
        <f>IFERROR(__xludf.DUMMYFUNCTION("""COMPUTED_VALUE"""),70000.0)</f>
        <v>70000</v>
      </c>
      <c r="M4504" s="211"/>
      <c r="N4504" s="211"/>
      <c r="O4504" s="211" t="b">
        <f>IFERROR(__xludf.DUMMYFUNCTION("""COMPUTED_VALUE"""),FALSE)</f>
        <v>0</v>
      </c>
    </row>
    <row r="4505">
      <c r="A4505" s="210" t="str">
        <f>IFERROR(__xludf.DUMMYFUNCTION("""COMPUTED_VALUE"""),"0426433077")</f>
        <v>0426433077</v>
      </c>
      <c r="B4505" s="210" t="str">
        <f>IFERROR(__xludf.DUMMYFUNCTION("""COMPUTED_VALUE"""),"0426433077")</f>
        <v>0426433077</v>
      </c>
      <c r="C4505" s="213">
        <f>IFERROR(__xludf.DUMMYFUNCTION("""COMPUTED_VALUE"""),46126.45951388889)</f>
        <v>46126.45951</v>
      </c>
      <c r="D4505" s="211" t="str">
        <f>IFERROR(__xludf.DUMMYFUNCTION("""COMPUTED_VALUE"""),"ce83e171")</f>
        <v>ce83e171</v>
      </c>
      <c r="E4505" s="211" t="str">
        <f>IFERROR(__xludf.DUMMYFUNCTION("""COMPUTED_VALUE"""),"Bpk. Sulaiman")</f>
        <v>Bpk. Sulaiman</v>
      </c>
      <c r="F4505" s="211" t="str">
        <f>IFERROR(__xludf.DUMMYFUNCTION("""COMPUTED_VALUE"""),"8bdbe149")</f>
        <v>8bdbe149</v>
      </c>
      <c r="G4505" s="211" t="str">
        <f>IFERROR(__xludf.DUMMYFUNCTION("""COMPUTED_VALUE"""),"Oksigen 6m3")</f>
        <v>Oksigen 6m3</v>
      </c>
      <c r="H4505" s="211" t="str">
        <f>IFERROR(__xludf.DUMMYFUNCTION("""COMPUTED_VALUE"""),"OUT")</f>
        <v>OUT</v>
      </c>
      <c r="I4505" s="211" t="str">
        <f>IFERROR(__xludf.DUMMYFUNCTION("""COMPUTED_VALUE"""),"NORMAL")</f>
        <v>NORMAL</v>
      </c>
      <c r="J4505" s="211">
        <f>IFERROR(__xludf.DUMMYFUNCTION("""COMPUTED_VALUE"""),3.0)</f>
        <v>3</v>
      </c>
      <c r="K4505" s="210" t="str">
        <f>IFERROR(__xludf.DUMMYFUNCTION("""COMPUTED_VALUE"""),"1188 1145 11184")</f>
        <v>1188 1145 11184</v>
      </c>
      <c r="L4505" s="211">
        <f>IFERROR(__xludf.DUMMYFUNCTION("""COMPUTED_VALUE"""),55000.0)</f>
        <v>55000</v>
      </c>
      <c r="M4505" s="211"/>
      <c r="N4505" s="211"/>
      <c r="O4505" s="211" t="b">
        <f>IFERROR(__xludf.DUMMYFUNCTION("""COMPUTED_VALUE"""),FALSE)</f>
        <v>0</v>
      </c>
    </row>
    <row r="4506">
      <c r="A4506" s="210" t="str">
        <f>IFERROR(__xludf.DUMMYFUNCTION("""COMPUTED_VALUE"""),"1261534")</f>
        <v>1261534</v>
      </c>
      <c r="B4506" s="210" t="str">
        <f>IFERROR(__xludf.DUMMYFUNCTION("""COMPUTED_VALUE"""),"1261534")</f>
        <v>1261534</v>
      </c>
      <c r="C4506" s="213">
        <f>IFERROR(__xludf.DUMMYFUNCTION("""COMPUTED_VALUE"""),46126.4659375)</f>
        <v>46126.46594</v>
      </c>
      <c r="D4506" s="211" t="str">
        <f>IFERROR(__xludf.DUMMYFUNCTION("""COMPUTED_VALUE"""),"12674d8f")</f>
        <v>12674d8f</v>
      </c>
      <c r="E4506" s="211" t="str">
        <f>IFERROR(__xludf.DUMMYFUNCTION("""COMPUTED_VALUE"""),"PT. Dong Sung Abadi")</f>
        <v>PT. Dong Sung Abadi</v>
      </c>
      <c r="F4506" s="211" t="str">
        <f>IFERROR(__xludf.DUMMYFUNCTION("""COMPUTED_VALUE"""),"b7a8fff1")</f>
        <v>b7a8fff1</v>
      </c>
      <c r="G4506" s="211" t="str">
        <f>IFERROR(__xludf.DUMMYFUNCTION("""COMPUTED_VALUE"""),"LPG 50kg")</f>
        <v>LPG 50kg</v>
      </c>
      <c r="H4506" s="211" t="str">
        <f>IFERROR(__xludf.DUMMYFUNCTION("""COMPUTED_VALUE"""),"IN")</f>
        <v>IN</v>
      </c>
      <c r="I4506" s="211" t="str">
        <f>IFERROR(__xludf.DUMMYFUNCTION("""COMPUTED_VALUE"""),"EMPTY")</f>
        <v>EMPTY</v>
      </c>
      <c r="J4506" s="211">
        <f>IFERROR(__xludf.DUMMYFUNCTION("""COMPUTED_VALUE"""),2.0)</f>
        <v>2</v>
      </c>
      <c r="K4506" s="210" t="str">
        <f>IFERROR(__xludf.DUMMYFUNCTION("""COMPUTED_VALUE"""),"LL003 LL002")</f>
        <v>LL003 LL002</v>
      </c>
      <c r="L4506" s="211">
        <f>IFERROR(__xludf.DUMMYFUNCTION("""COMPUTED_VALUE"""),0.0)</f>
        <v>0</v>
      </c>
      <c r="M4506" s="211"/>
      <c r="N4506" s="211"/>
      <c r="O4506" s="211" t="b">
        <f>IFERROR(__xludf.DUMMYFUNCTION("""COMPUTED_VALUE"""),FALSE)</f>
        <v>0</v>
      </c>
    </row>
    <row r="4507">
      <c r="A4507" s="210" t="str">
        <f>IFERROR(__xludf.DUMMYFUNCTION("""COMPUTED_VALUE"""),"0426523078")</f>
        <v>0426523078</v>
      </c>
      <c r="B4507" s="210" t="str">
        <f>IFERROR(__xludf.DUMMYFUNCTION("""COMPUTED_VALUE"""),"0426523078")</f>
        <v>0426523078</v>
      </c>
      <c r="C4507" s="213">
        <f>IFERROR(__xludf.DUMMYFUNCTION("""COMPUTED_VALUE"""),46126.47209490741)</f>
        <v>46126.47209</v>
      </c>
      <c r="D4507" s="211" t="str">
        <f>IFERROR(__xludf.DUMMYFUNCTION("""COMPUTED_VALUE"""),"ec231cc9")</f>
        <v>ec231cc9</v>
      </c>
      <c r="E4507" s="211" t="str">
        <f>IFERROR(__xludf.DUMMYFUNCTION("""COMPUTED_VALUE"""),"Bpk. Kadir (Maintenance Velg)")</f>
        <v>Bpk. Kadir (Maintenance Velg)</v>
      </c>
      <c r="F4507" s="211" t="str">
        <f>IFERROR(__xludf.DUMMYFUNCTION("""COMPUTED_VALUE"""),"8bdbe149")</f>
        <v>8bdbe149</v>
      </c>
      <c r="G4507" s="211" t="str">
        <f>IFERROR(__xludf.DUMMYFUNCTION("""COMPUTED_VALUE"""),"Oksigen 6m3")</f>
        <v>Oksigen 6m3</v>
      </c>
      <c r="H4507" s="211" t="str">
        <f>IFERROR(__xludf.DUMMYFUNCTION("""COMPUTED_VALUE"""),"OUT")</f>
        <v>OUT</v>
      </c>
      <c r="I4507" s="211" t="str">
        <f>IFERROR(__xludf.DUMMYFUNCTION("""COMPUTED_VALUE"""),"NORMAL")</f>
        <v>NORMAL</v>
      </c>
      <c r="J4507" s="211">
        <f>IFERROR(__xludf.DUMMYFUNCTION("""COMPUTED_VALUE"""),1.0)</f>
        <v>1</v>
      </c>
      <c r="K4507" s="210" t="str">
        <f>IFERROR(__xludf.DUMMYFUNCTION("""COMPUTED_VALUE"""),"1207")</f>
        <v>1207</v>
      </c>
      <c r="L4507" s="211">
        <f>IFERROR(__xludf.DUMMYFUNCTION("""COMPUTED_VALUE"""),55000.0)</f>
        <v>55000</v>
      </c>
      <c r="M4507" s="211"/>
      <c r="N4507" s="211"/>
      <c r="O4507" s="211" t="b">
        <f>IFERROR(__xludf.DUMMYFUNCTION("""COMPUTED_VALUE"""),FALSE)</f>
        <v>0</v>
      </c>
    </row>
    <row r="4508">
      <c r="A4508" s="210" t="str">
        <f>IFERROR(__xludf.DUMMYFUNCTION("""COMPUTED_VALUE"""),"0426523078")</f>
        <v>0426523078</v>
      </c>
      <c r="B4508" s="210" t="str">
        <f>IFERROR(__xludf.DUMMYFUNCTION("""COMPUTED_VALUE"""),"0426523078")</f>
        <v>0426523078</v>
      </c>
      <c r="C4508" s="213">
        <f>IFERROR(__xludf.DUMMYFUNCTION("""COMPUTED_VALUE"""),46126.47209490741)</f>
        <v>46126.47209</v>
      </c>
      <c r="D4508" s="211" t="str">
        <f>IFERROR(__xludf.DUMMYFUNCTION("""COMPUTED_VALUE"""),"ec231cc9")</f>
        <v>ec231cc9</v>
      </c>
      <c r="E4508" s="211" t="str">
        <f>IFERROR(__xludf.DUMMYFUNCTION("""COMPUTED_VALUE"""),"Bpk. Kadir (Maintenance Velg)")</f>
        <v>Bpk. Kadir (Maintenance Velg)</v>
      </c>
      <c r="F4508" s="211" t="str">
        <f>IFERROR(__xludf.DUMMYFUNCTION("""COMPUTED_VALUE"""),"8bdbe149")</f>
        <v>8bdbe149</v>
      </c>
      <c r="G4508" s="211" t="str">
        <f>IFERROR(__xludf.DUMMYFUNCTION("""COMPUTED_VALUE"""),"Oksigen 6m3")</f>
        <v>Oksigen 6m3</v>
      </c>
      <c r="H4508" s="211" t="str">
        <f>IFERROR(__xludf.DUMMYFUNCTION("""COMPUTED_VALUE"""),"OUT")</f>
        <v>OUT</v>
      </c>
      <c r="I4508" s="211" t="str">
        <f>IFERROR(__xludf.DUMMYFUNCTION("""COMPUTED_VALUE"""),"NORMAL")</f>
        <v>NORMAL</v>
      </c>
      <c r="J4508" s="211">
        <f>IFERROR(__xludf.DUMMYFUNCTION("""COMPUTED_VALUE"""),2.0)</f>
        <v>2</v>
      </c>
      <c r="K4508" s="210" t="str">
        <f>IFERROR(__xludf.DUMMYFUNCTION("""COMPUTED_VALUE"""),"1135 12")</f>
        <v>1135 12</v>
      </c>
      <c r="L4508" s="211">
        <f>IFERROR(__xludf.DUMMYFUNCTION("""COMPUTED_VALUE"""),55000.0)</f>
        <v>55000</v>
      </c>
      <c r="M4508" s="211"/>
      <c r="N4508" s="211"/>
      <c r="O4508" s="211" t="b">
        <f>IFERROR(__xludf.DUMMYFUNCTION("""COMPUTED_VALUE"""),TRUE)</f>
        <v>1</v>
      </c>
    </row>
    <row r="4509">
      <c r="A4509" s="210" t="str">
        <f>IFERROR(__xludf.DUMMYFUNCTION("""COMPUTED_VALUE"""),"0426523078")</f>
        <v>0426523078</v>
      </c>
      <c r="B4509" s="210" t="str">
        <f>IFERROR(__xludf.DUMMYFUNCTION("""COMPUTED_VALUE"""),"0426523078")</f>
        <v>0426523078</v>
      </c>
      <c r="C4509" s="213">
        <f>IFERROR(__xludf.DUMMYFUNCTION("""COMPUTED_VALUE"""),46126.47209490741)</f>
        <v>46126.47209</v>
      </c>
      <c r="D4509" s="211" t="str">
        <f>IFERROR(__xludf.DUMMYFUNCTION("""COMPUTED_VALUE"""),"ec231cc9")</f>
        <v>ec231cc9</v>
      </c>
      <c r="E4509" s="211" t="str">
        <f>IFERROR(__xludf.DUMMYFUNCTION("""COMPUTED_VALUE"""),"Bpk. Kadir (Maintenance Velg)")</f>
        <v>Bpk. Kadir (Maintenance Velg)</v>
      </c>
      <c r="F4509" s="211" t="str">
        <f>IFERROR(__xludf.DUMMYFUNCTION("""COMPUTED_VALUE"""),"7d2764f1")</f>
        <v>7d2764f1</v>
      </c>
      <c r="G4509" s="211" t="str">
        <f>IFERROR(__xludf.DUMMYFUNCTION("""COMPUTED_VALUE"""),"Oksigen 7m3")</f>
        <v>Oksigen 7m3</v>
      </c>
      <c r="H4509" s="211" t="str">
        <f>IFERROR(__xludf.DUMMYFUNCTION("""COMPUTED_VALUE"""),"OUT")</f>
        <v>OUT</v>
      </c>
      <c r="I4509" s="211" t="str">
        <f>IFERROR(__xludf.DUMMYFUNCTION("""COMPUTED_VALUE"""),"NORMAL")</f>
        <v>NORMAL</v>
      </c>
      <c r="J4509" s="211">
        <f>IFERROR(__xludf.DUMMYFUNCTION("""COMPUTED_VALUE"""),1.0)</f>
        <v>1</v>
      </c>
      <c r="K4509" s="210" t="str">
        <f>IFERROR(__xludf.DUMMYFUNCTION("""COMPUTED_VALUE"""),"741")</f>
        <v>741</v>
      </c>
      <c r="L4509" s="211">
        <f>IFERROR(__xludf.DUMMYFUNCTION("""COMPUTED_VALUE"""),55000.0)</f>
        <v>55000</v>
      </c>
      <c r="M4509" s="211"/>
      <c r="N4509" s="211"/>
      <c r="O4509" s="211" t="b">
        <f>IFERROR(__xludf.DUMMYFUNCTION("""COMPUTED_VALUE"""),FALSE)</f>
        <v>0</v>
      </c>
    </row>
    <row r="4510">
      <c r="A4510" s="210" t="str">
        <f>IFERROR(__xludf.DUMMYFUNCTION("""COMPUTED_VALUE"""),"0426523078")</f>
        <v>0426523078</v>
      </c>
      <c r="B4510" s="210" t="str">
        <f>IFERROR(__xludf.DUMMYFUNCTION("""COMPUTED_VALUE"""),"0426523078")</f>
        <v>0426523078</v>
      </c>
      <c r="C4510" s="213">
        <f>IFERROR(__xludf.DUMMYFUNCTION("""COMPUTED_VALUE"""),46126.47209490741)</f>
        <v>46126.47209</v>
      </c>
      <c r="D4510" s="211" t="str">
        <f>IFERROR(__xludf.DUMMYFUNCTION("""COMPUTED_VALUE"""),"ec231cc9")</f>
        <v>ec231cc9</v>
      </c>
      <c r="E4510" s="211" t="str">
        <f>IFERROR(__xludf.DUMMYFUNCTION("""COMPUTED_VALUE"""),"Bpk. Kadir (Maintenance Velg)")</f>
        <v>Bpk. Kadir (Maintenance Velg)</v>
      </c>
      <c r="F4510" s="211" t="str">
        <f>IFERROR(__xludf.DUMMYFUNCTION("""COMPUTED_VALUE"""),"ef306e54")</f>
        <v>ef306e54</v>
      </c>
      <c r="G4510" s="211" t="str">
        <f>IFERROR(__xludf.DUMMYFUNCTION("""COMPUTED_VALUE"""),"Karbondioksida")</f>
        <v>Karbondioksida</v>
      </c>
      <c r="H4510" s="211" t="str">
        <f>IFERROR(__xludf.DUMMYFUNCTION("""COMPUTED_VALUE"""),"OUT")</f>
        <v>OUT</v>
      </c>
      <c r="I4510" s="211" t="str">
        <f>IFERROR(__xludf.DUMMYFUNCTION("""COMPUTED_VALUE"""),"NORMAL")</f>
        <v>NORMAL</v>
      </c>
      <c r="J4510" s="211">
        <f>IFERROR(__xludf.DUMMYFUNCTION("""COMPUTED_VALUE"""),2.0)</f>
        <v>2</v>
      </c>
      <c r="K4510" s="210" t="str">
        <f>IFERROR(__xludf.DUMMYFUNCTION("""COMPUTED_VALUE"""),"13023 13048")</f>
        <v>13023 13048</v>
      </c>
      <c r="L4510" s="211">
        <f>IFERROR(__xludf.DUMMYFUNCTION("""COMPUTED_VALUE"""),175000.0)</f>
        <v>175000</v>
      </c>
      <c r="M4510" s="211"/>
      <c r="N4510" s="211"/>
      <c r="O4510" s="211" t="b">
        <f>IFERROR(__xludf.DUMMYFUNCTION("""COMPUTED_VALUE"""),FALSE)</f>
        <v>0</v>
      </c>
    </row>
    <row r="4511">
      <c r="A4511" s="210" t="str">
        <f>IFERROR(__xludf.DUMMYFUNCTION("""COMPUTED_VALUE"""),"1261528")</f>
        <v>1261528</v>
      </c>
      <c r="B4511" s="210" t="str">
        <f>IFERROR(__xludf.DUMMYFUNCTION("""COMPUTED_VALUE"""),"1261528")</f>
        <v>1261528</v>
      </c>
      <c r="C4511" s="213">
        <f>IFERROR(__xludf.DUMMYFUNCTION("""COMPUTED_VALUE"""),46126.473287037035)</f>
        <v>46126.47329</v>
      </c>
      <c r="D4511" s="211" t="str">
        <f>IFERROR(__xludf.DUMMYFUNCTION("""COMPUTED_VALUE"""),"63fc688a")</f>
        <v>63fc688a</v>
      </c>
      <c r="E4511" s="211" t="str">
        <f>IFERROR(__xludf.DUMMYFUNCTION("""COMPUTED_VALUE"""),"CV Malik Nusantara")</f>
        <v>CV Malik Nusantara</v>
      </c>
      <c r="F4511" s="211" t="str">
        <f>IFERROR(__xludf.DUMMYFUNCTION("""COMPUTED_VALUE"""),"7d2764f1")</f>
        <v>7d2764f1</v>
      </c>
      <c r="G4511" s="211" t="str">
        <f>IFERROR(__xludf.DUMMYFUNCTION("""COMPUTED_VALUE"""),"Oksigen 7m3")</f>
        <v>Oksigen 7m3</v>
      </c>
      <c r="H4511" s="211" t="str">
        <f>IFERROR(__xludf.DUMMYFUNCTION("""COMPUTED_VALUE"""),"IN")</f>
        <v>IN</v>
      </c>
      <c r="I4511" s="211" t="str">
        <f>IFERROR(__xludf.DUMMYFUNCTION("""COMPUTED_VALUE"""),"EMPTY")</f>
        <v>EMPTY</v>
      </c>
      <c r="J4511" s="211">
        <f>IFERROR(__xludf.DUMMYFUNCTION("""COMPUTED_VALUE"""),1.0)</f>
        <v>1</v>
      </c>
      <c r="K4511" s="210" t="str">
        <f>IFERROR(__xludf.DUMMYFUNCTION("""COMPUTED_VALUE"""),"11331")</f>
        <v>11331</v>
      </c>
      <c r="L4511" s="211">
        <f>IFERROR(__xludf.DUMMYFUNCTION("""COMPUTED_VALUE"""),0.0)</f>
        <v>0</v>
      </c>
      <c r="M4511" s="211"/>
      <c r="N4511" s="211"/>
      <c r="O4511" s="211" t="b">
        <f>IFERROR(__xludf.DUMMYFUNCTION("""COMPUTED_VALUE"""),FALSE)</f>
        <v>0</v>
      </c>
    </row>
    <row r="4512">
      <c r="A4512" s="210" t="str">
        <f>IFERROR(__xludf.DUMMYFUNCTION("""COMPUTED_VALUE"""),"1261527")</f>
        <v>1261527</v>
      </c>
      <c r="B4512" s="210" t="str">
        <f>IFERROR(__xludf.DUMMYFUNCTION("""COMPUTED_VALUE"""),"1261527")</f>
        <v>1261527</v>
      </c>
      <c r="C4512" s="213">
        <f>IFERROR(__xludf.DUMMYFUNCTION("""COMPUTED_VALUE"""),46126.47398148148)</f>
        <v>46126.47398</v>
      </c>
      <c r="D4512" s="211" t="str">
        <f>IFERROR(__xludf.DUMMYFUNCTION("""COMPUTED_VALUE"""),"9b941888")</f>
        <v>9b941888</v>
      </c>
      <c r="E4512" s="211" t="str">
        <f>IFERROR(__xludf.DUMMYFUNCTION("""COMPUTED_VALUE"""),"Mas Devi ( Parengan )")</f>
        <v>Mas Devi ( Parengan )</v>
      </c>
      <c r="F4512" s="211" t="str">
        <f>IFERROR(__xludf.DUMMYFUNCTION("""COMPUTED_VALUE"""),"7d2764f1")</f>
        <v>7d2764f1</v>
      </c>
      <c r="G4512" s="211" t="str">
        <f>IFERROR(__xludf.DUMMYFUNCTION("""COMPUTED_VALUE"""),"Oksigen 7m3")</f>
        <v>Oksigen 7m3</v>
      </c>
      <c r="H4512" s="211" t="str">
        <f>IFERROR(__xludf.DUMMYFUNCTION("""COMPUTED_VALUE"""),"IN")</f>
        <v>IN</v>
      </c>
      <c r="I4512" s="211" t="str">
        <f>IFERROR(__xludf.DUMMYFUNCTION("""COMPUTED_VALUE"""),"EMPTY")</f>
        <v>EMPTY</v>
      </c>
      <c r="J4512" s="211">
        <f>IFERROR(__xludf.DUMMYFUNCTION("""COMPUTED_VALUE"""),1.0)</f>
        <v>1</v>
      </c>
      <c r="K4512" s="210" t="str">
        <f>IFERROR(__xludf.DUMMYFUNCTION("""COMPUTED_VALUE"""),"11144")</f>
        <v>11144</v>
      </c>
      <c r="L4512" s="211">
        <f>IFERROR(__xludf.DUMMYFUNCTION("""COMPUTED_VALUE"""),0.0)</f>
        <v>0</v>
      </c>
      <c r="M4512" s="211"/>
      <c r="N4512" s="211"/>
      <c r="O4512" s="211" t="b">
        <f>IFERROR(__xludf.DUMMYFUNCTION("""COMPUTED_VALUE"""),FALSE)</f>
        <v>0</v>
      </c>
    </row>
    <row r="4513">
      <c r="A4513" s="210" t="str">
        <f>IFERROR(__xludf.DUMMYFUNCTION("""COMPUTED_VALUE"""),"1261529")</f>
        <v>1261529</v>
      </c>
      <c r="B4513" s="210" t="str">
        <f>IFERROR(__xludf.DUMMYFUNCTION("""COMPUTED_VALUE"""),"1261529")</f>
        <v>1261529</v>
      </c>
      <c r="C4513" s="213">
        <f>IFERROR(__xludf.DUMMYFUNCTION("""COMPUTED_VALUE"""),46126.474699074075)</f>
        <v>46126.4747</v>
      </c>
      <c r="D4513" s="211" t="str">
        <f>IFERROR(__xludf.DUMMYFUNCTION("""COMPUTED_VALUE"""),"405a11b6")</f>
        <v>405a11b6</v>
      </c>
      <c r="E4513" s="211" t="str">
        <f>IFERROR(__xludf.DUMMYFUNCTION("""COMPUTED_VALUE"""),"Ibu Rinta")</f>
        <v>Ibu Rinta</v>
      </c>
      <c r="F4513" s="211" t="str">
        <f>IFERROR(__xludf.DUMMYFUNCTION("""COMPUTED_VALUE"""),"be525f3b")</f>
        <v>be525f3b</v>
      </c>
      <c r="G4513" s="211" t="str">
        <f>IFERROR(__xludf.DUMMYFUNCTION("""COMPUTED_VALUE"""),"LPG 12kg")</f>
        <v>LPG 12kg</v>
      </c>
      <c r="H4513" s="211" t="str">
        <f>IFERROR(__xludf.DUMMYFUNCTION("""COMPUTED_VALUE"""),"IN")</f>
        <v>IN</v>
      </c>
      <c r="I4513" s="211" t="str">
        <f>IFERROR(__xludf.DUMMYFUNCTION("""COMPUTED_VALUE"""),"EMPTY")</f>
        <v>EMPTY</v>
      </c>
      <c r="J4513" s="211">
        <f>IFERROR(__xludf.DUMMYFUNCTION("""COMPUTED_VALUE"""),1.0)</f>
        <v>1</v>
      </c>
      <c r="K4513" s="210" t="str">
        <f>IFERROR(__xludf.DUMMYFUNCTION("""COMPUTED_VALUE"""),"L001")</f>
        <v>L001</v>
      </c>
      <c r="L4513" s="211">
        <f>IFERROR(__xludf.DUMMYFUNCTION("""COMPUTED_VALUE"""),0.0)</f>
        <v>0</v>
      </c>
      <c r="M4513" s="211"/>
      <c r="N4513" s="211"/>
      <c r="O4513" s="211" t="b">
        <f>IFERROR(__xludf.DUMMYFUNCTION("""COMPUTED_VALUE"""),FALSE)</f>
        <v>0</v>
      </c>
    </row>
    <row r="4514">
      <c r="A4514" s="210" t="str">
        <f>IFERROR(__xludf.DUMMYFUNCTION("""COMPUTED_VALUE"""),"1261530")</f>
        <v>1261530</v>
      </c>
      <c r="B4514" s="210" t="str">
        <f>IFERROR(__xludf.DUMMYFUNCTION("""COMPUTED_VALUE"""),"1261530")</f>
        <v>1261530</v>
      </c>
      <c r="C4514" s="213">
        <f>IFERROR(__xludf.DUMMYFUNCTION("""COMPUTED_VALUE"""),46126.55189814815)</f>
        <v>46126.5519</v>
      </c>
      <c r="D4514" s="211" t="str">
        <f>IFERROR(__xludf.DUMMYFUNCTION("""COMPUTED_VALUE"""),"057b6b99")</f>
        <v>057b6b99</v>
      </c>
      <c r="E4514" s="211" t="str">
        <f>IFERROR(__xludf.DUMMYFUNCTION("""COMPUTED_VALUE"""),"PT Anuta Utama Transport")</f>
        <v>PT Anuta Utama Transport</v>
      </c>
      <c r="F4514" s="211" t="str">
        <f>IFERROR(__xludf.DUMMYFUNCTION("""COMPUTED_VALUE"""),"7d2764f1")</f>
        <v>7d2764f1</v>
      </c>
      <c r="G4514" s="211" t="str">
        <f>IFERROR(__xludf.DUMMYFUNCTION("""COMPUTED_VALUE"""),"Oksigen 7m3")</f>
        <v>Oksigen 7m3</v>
      </c>
      <c r="H4514" s="211" t="str">
        <f>IFERROR(__xludf.DUMMYFUNCTION("""COMPUTED_VALUE"""),"IN")</f>
        <v>IN</v>
      </c>
      <c r="I4514" s="211" t="str">
        <f>IFERROR(__xludf.DUMMYFUNCTION("""COMPUTED_VALUE"""),"EMPTY")</f>
        <v>EMPTY</v>
      </c>
      <c r="J4514" s="211">
        <f>IFERROR(__xludf.DUMMYFUNCTION("""COMPUTED_VALUE"""),1.0)</f>
        <v>1</v>
      </c>
      <c r="K4514" s="210" t="str">
        <f>IFERROR(__xludf.DUMMYFUNCTION("""COMPUTED_VALUE"""),"11153")</f>
        <v>11153</v>
      </c>
      <c r="L4514" s="211">
        <f>IFERROR(__xludf.DUMMYFUNCTION("""COMPUTED_VALUE"""),0.0)</f>
        <v>0</v>
      </c>
      <c r="M4514" s="211"/>
      <c r="N4514" s="211"/>
      <c r="O4514" s="211" t="b">
        <f>IFERROR(__xludf.DUMMYFUNCTION("""COMPUTED_VALUE"""),FALSE)</f>
        <v>0</v>
      </c>
    </row>
    <row r="4515">
      <c r="A4515" s="210" t="str">
        <f>IFERROR(__xludf.DUMMYFUNCTION("""COMPUTED_VALUE"""),"1261538")</f>
        <v>1261538</v>
      </c>
      <c r="B4515" s="210" t="str">
        <f>IFERROR(__xludf.DUMMYFUNCTION("""COMPUTED_VALUE"""),"1261538")</f>
        <v>1261538</v>
      </c>
      <c r="C4515" s="213">
        <f>IFERROR(__xludf.DUMMYFUNCTION("""COMPUTED_VALUE"""),46126.64498842593)</f>
        <v>46126.64499</v>
      </c>
      <c r="D4515" s="211" t="str">
        <f>IFERROR(__xludf.DUMMYFUNCTION("""COMPUTED_VALUE"""),"dcdf8b31")</f>
        <v>dcdf8b31</v>
      </c>
      <c r="E4515" s="211" t="str">
        <f>IFERROR(__xludf.DUMMYFUNCTION("""COMPUTED_VALUE"""),"Bpk. Samsul (Jetis)")</f>
        <v>Bpk. Samsul (Jetis)</v>
      </c>
      <c r="F4515" s="211" t="str">
        <f>IFERROR(__xludf.DUMMYFUNCTION("""COMPUTED_VALUE"""),"8bdbe149")</f>
        <v>8bdbe149</v>
      </c>
      <c r="G4515" s="211" t="str">
        <f>IFERROR(__xludf.DUMMYFUNCTION("""COMPUTED_VALUE"""),"Oksigen 6m3")</f>
        <v>Oksigen 6m3</v>
      </c>
      <c r="H4515" s="211" t="str">
        <f>IFERROR(__xludf.DUMMYFUNCTION("""COMPUTED_VALUE"""),"IN")</f>
        <v>IN</v>
      </c>
      <c r="I4515" s="211" t="str">
        <f>IFERROR(__xludf.DUMMYFUNCTION("""COMPUTED_VALUE"""),"EMPTY")</f>
        <v>EMPTY</v>
      </c>
      <c r="J4515" s="211">
        <f>IFERROR(__xludf.DUMMYFUNCTION("""COMPUTED_VALUE"""),3.0)</f>
        <v>3</v>
      </c>
      <c r="K4515" s="210" t="str">
        <f>IFERROR(__xludf.DUMMYFUNCTION("""COMPUTED_VALUE"""),"11126 11324 11326")</f>
        <v>11126 11324 11326</v>
      </c>
      <c r="L4515" s="211">
        <f>IFERROR(__xludf.DUMMYFUNCTION("""COMPUTED_VALUE"""),0.0)</f>
        <v>0</v>
      </c>
      <c r="M4515" s="211"/>
      <c r="N4515" s="211"/>
      <c r="O4515" s="211" t="b">
        <f>IFERROR(__xludf.DUMMYFUNCTION("""COMPUTED_VALUE"""),FALSE)</f>
        <v>0</v>
      </c>
    </row>
    <row r="4516">
      <c r="A4516" s="210" t="str">
        <f>IFERROR(__xludf.DUMMYFUNCTION("""COMPUTED_VALUE"""),"1261535")</f>
        <v>1261535</v>
      </c>
      <c r="B4516" s="210" t="str">
        <f>IFERROR(__xludf.DUMMYFUNCTION("""COMPUTED_VALUE"""),"1261535")</f>
        <v>1261535</v>
      </c>
      <c r="C4516" s="213">
        <f>IFERROR(__xludf.DUMMYFUNCTION("""COMPUTED_VALUE"""),46126.645949074074)</f>
        <v>46126.64595</v>
      </c>
      <c r="D4516" s="211" t="str">
        <f>IFERROR(__xludf.DUMMYFUNCTION("""COMPUTED_VALUE"""),"ec231cc9")</f>
        <v>ec231cc9</v>
      </c>
      <c r="E4516" s="211" t="str">
        <f>IFERROR(__xludf.DUMMYFUNCTION("""COMPUTED_VALUE"""),"Bpk. Kadir (Maintenance Velg)")</f>
        <v>Bpk. Kadir (Maintenance Velg)</v>
      </c>
      <c r="F4516" s="211" t="str">
        <f>IFERROR(__xludf.DUMMYFUNCTION("""COMPUTED_VALUE"""),"8bdbe149")</f>
        <v>8bdbe149</v>
      </c>
      <c r="G4516" s="211" t="str">
        <f>IFERROR(__xludf.DUMMYFUNCTION("""COMPUTED_VALUE"""),"Oksigen 6m3")</f>
        <v>Oksigen 6m3</v>
      </c>
      <c r="H4516" s="211" t="str">
        <f>IFERROR(__xludf.DUMMYFUNCTION("""COMPUTED_VALUE"""),"IN")</f>
        <v>IN</v>
      </c>
      <c r="I4516" s="211" t="str">
        <f>IFERROR(__xludf.DUMMYFUNCTION("""COMPUTED_VALUE"""),"EMPTY")</f>
        <v>EMPTY</v>
      </c>
      <c r="J4516" s="211">
        <f>IFERROR(__xludf.DUMMYFUNCTION("""COMPUTED_VALUE"""),2.0)</f>
        <v>2</v>
      </c>
      <c r="K4516" s="210" t="str">
        <f>IFERROR(__xludf.DUMMYFUNCTION("""COMPUTED_VALUE"""),"11363 1136")</f>
        <v>11363 1136</v>
      </c>
      <c r="L4516" s="211">
        <f>IFERROR(__xludf.DUMMYFUNCTION("""COMPUTED_VALUE"""),0.0)</f>
        <v>0</v>
      </c>
      <c r="M4516" s="211"/>
      <c r="N4516" s="211"/>
      <c r="O4516" s="211" t="b">
        <f>IFERROR(__xludf.DUMMYFUNCTION("""COMPUTED_VALUE"""),FALSE)</f>
        <v>0</v>
      </c>
    </row>
    <row r="4517">
      <c r="A4517" s="210" t="str">
        <f>IFERROR(__xludf.DUMMYFUNCTION("""COMPUTED_VALUE"""),"1261535")</f>
        <v>1261535</v>
      </c>
      <c r="B4517" s="210" t="str">
        <f>IFERROR(__xludf.DUMMYFUNCTION("""COMPUTED_VALUE"""),"1261535")</f>
        <v>1261535</v>
      </c>
      <c r="C4517" s="213">
        <f>IFERROR(__xludf.DUMMYFUNCTION("""COMPUTED_VALUE"""),46126.645949074074)</f>
        <v>46126.64595</v>
      </c>
      <c r="D4517" s="211" t="str">
        <f>IFERROR(__xludf.DUMMYFUNCTION("""COMPUTED_VALUE"""),"ec231cc9")</f>
        <v>ec231cc9</v>
      </c>
      <c r="E4517" s="211" t="str">
        <f>IFERROR(__xludf.DUMMYFUNCTION("""COMPUTED_VALUE"""),"Bpk. Kadir (Maintenance Velg)")</f>
        <v>Bpk. Kadir (Maintenance Velg)</v>
      </c>
      <c r="F4517" s="211" t="str">
        <f>IFERROR(__xludf.DUMMYFUNCTION("""COMPUTED_VALUE"""),"ef306e54")</f>
        <v>ef306e54</v>
      </c>
      <c r="G4517" s="211" t="str">
        <f>IFERROR(__xludf.DUMMYFUNCTION("""COMPUTED_VALUE"""),"Karbondioksida")</f>
        <v>Karbondioksida</v>
      </c>
      <c r="H4517" s="211" t="str">
        <f>IFERROR(__xludf.DUMMYFUNCTION("""COMPUTED_VALUE"""),"IN")</f>
        <v>IN</v>
      </c>
      <c r="I4517" s="211" t="str">
        <f>IFERROR(__xludf.DUMMYFUNCTION("""COMPUTED_VALUE"""),"EMPTY")</f>
        <v>EMPTY</v>
      </c>
      <c r="J4517" s="211">
        <f>IFERROR(__xludf.DUMMYFUNCTION("""COMPUTED_VALUE"""),1.0)</f>
        <v>1</v>
      </c>
      <c r="K4517" s="210" t="str">
        <f>IFERROR(__xludf.DUMMYFUNCTION("""COMPUTED_VALUE"""),"13043")</f>
        <v>13043</v>
      </c>
      <c r="L4517" s="211">
        <f>IFERROR(__xludf.DUMMYFUNCTION("""COMPUTED_VALUE"""),0.0)</f>
        <v>0</v>
      </c>
      <c r="M4517" s="211"/>
      <c r="N4517" s="211"/>
      <c r="O4517" s="211" t="b">
        <f>IFERROR(__xludf.DUMMYFUNCTION("""COMPUTED_VALUE"""),FALSE)</f>
        <v>0</v>
      </c>
    </row>
    <row r="4518">
      <c r="A4518" s="210" t="str">
        <f>IFERROR(__xludf.DUMMYFUNCTION("""COMPUTED_VALUE"""),"1261536")</f>
        <v>1261536</v>
      </c>
      <c r="B4518" s="210" t="str">
        <f>IFERROR(__xludf.DUMMYFUNCTION("""COMPUTED_VALUE"""),"1261536")</f>
        <v>1261536</v>
      </c>
      <c r="C4518" s="213">
        <f>IFERROR(__xludf.DUMMYFUNCTION("""COMPUTED_VALUE"""),46126.64641203704)</f>
        <v>46126.64641</v>
      </c>
      <c r="D4518" s="211" t="str">
        <f>IFERROR(__xludf.DUMMYFUNCTION("""COMPUTED_VALUE"""),"ba97d58d")</f>
        <v>ba97d58d</v>
      </c>
      <c r="E4518" s="211" t="str">
        <f>IFERROR(__xludf.DUMMYFUNCTION("""COMPUTED_VALUE"""),"Bengkel Citra Mojosari")</f>
        <v>Bengkel Citra Mojosari</v>
      </c>
      <c r="F4518" s="211" t="str">
        <f>IFERROR(__xludf.DUMMYFUNCTION("""COMPUTED_VALUE"""),"8bdbe149")</f>
        <v>8bdbe149</v>
      </c>
      <c r="G4518" s="211" t="str">
        <f>IFERROR(__xludf.DUMMYFUNCTION("""COMPUTED_VALUE"""),"Oksigen 6m3")</f>
        <v>Oksigen 6m3</v>
      </c>
      <c r="H4518" s="211" t="str">
        <f>IFERROR(__xludf.DUMMYFUNCTION("""COMPUTED_VALUE"""),"IN")</f>
        <v>IN</v>
      </c>
      <c r="I4518" s="211" t="str">
        <f>IFERROR(__xludf.DUMMYFUNCTION("""COMPUTED_VALUE"""),"EMPTY")</f>
        <v>EMPTY</v>
      </c>
      <c r="J4518" s="211">
        <f>IFERROR(__xludf.DUMMYFUNCTION("""COMPUTED_VALUE"""),1.0)</f>
        <v>1</v>
      </c>
      <c r="K4518" s="210" t="str">
        <f>IFERROR(__xludf.DUMMYFUNCTION("""COMPUTED_VALUE"""),"11282")</f>
        <v>11282</v>
      </c>
      <c r="L4518" s="211">
        <f>IFERROR(__xludf.DUMMYFUNCTION("""COMPUTED_VALUE"""),0.0)</f>
        <v>0</v>
      </c>
      <c r="M4518" s="211"/>
      <c r="N4518" s="211"/>
      <c r="O4518" s="211" t="b">
        <f>IFERROR(__xludf.DUMMYFUNCTION("""COMPUTED_VALUE"""),FALSE)</f>
        <v>0</v>
      </c>
    </row>
    <row r="4519">
      <c r="A4519" s="210" t="str">
        <f>IFERROR(__xludf.DUMMYFUNCTION("""COMPUTED_VALUE"""),"1261537")</f>
        <v>1261537</v>
      </c>
      <c r="B4519" s="210" t="str">
        <f>IFERROR(__xludf.DUMMYFUNCTION("""COMPUTED_VALUE"""),"1261537")</f>
        <v>1261537</v>
      </c>
      <c r="C4519" s="213">
        <f>IFERROR(__xludf.DUMMYFUNCTION("""COMPUTED_VALUE"""),46126.64672453704)</f>
        <v>46126.64672</v>
      </c>
      <c r="D4519" s="211" t="str">
        <f>IFERROR(__xludf.DUMMYFUNCTION("""COMPUTED_VALUE"""),"ce83e171")</f>
        <v>ce83e171</v>
      </c>
      <c r="E4519" s="211" t="str">
        <f>IFERROR(__xludf.DUMMYFUNCTION("""COMPUTED_VALUE"""),"Bpk. Sulaiman")</f>
        <v>Bpk. Sulaiman</v>
      </c>
      <c r="F4519" s="211" t="str">
        <f>IFERROR(__xludf.DUMMYFUNCTION("""COMPUTED_VALUE"""),"f6aab7a9")</f>
        <v>f6aab7a9</v>
      </c>
      <c r="G4519" s="211" t="str">
        <f>IFERROR(__xludf.DUMMYFUNCTION("""COMPUTED_VALUE"""),"Oksigen 6m3 MR")</f>
        <v>Oksigen 6m3 MR</v>
      </c>
      <c r="H4519" s="211" t="str">
        <f>IFERROR(__xludf.DUMMYFUNCTION("""COMPUTED_VALUE"""),"IN")</f>
        <v>IN</v>
      </c>
      <c r="I4519" s="211" t="str">
        <f>IFERROR(__xludf.DUMMYFUNCTION("""COMPUTED_VALUE"""),"EMPTY")</f>
        <v>EMPTY</v>
      </c>
      <c r="J4519" s="211">
        <f>IFERROR(__xludf.DUMMYFUNCTION("""COMPUTED_VALUE"""),3.0)</f>
        <v>3</v>
      </c>
      <c r="K4519" s="211"/>
      <c r="L4519" s="211">
        <f>IFERROR(__xludf.DUMMYFUNCTION("""COMPUTED_VALUE"""),0.0)</f>
        <v>0</v>
      </c>
      <c r="M4519" s="211"/>
      <c r="N4519" s="211"/>
      <c r="O4519" s="211" t="b">
        <f>IFERROR(__xludf.DUMMYFUNCTION("""COMPUTED_VALUE"""),FALSE)</f>
        <v>0</v>
      </c>
    </row>
    <row r="4520">
      <c r="A4520" s="210" t="str">
        <f>IFERROR(__xludf.DUMMYFUNCTION("""COMPUTED_VALUE"""),"04261043080")</f>
        <v>04261043080</v>
      </c>
      <c r="B4520" s="210" t="str">
        <f>IFERROR(__xludf.DUMMYFUNCTION("""COMPUTED_VALUE"""),"04261043080")</f>
        <v>04261043080</v>
      </c>
      <c r="C4520" s="213">
        <f>IFERROR(__xludf.DUMMYFUNCTION("""COMPUTED_VALUE"""),46127.36693287037)</f>
        <v>46127.36693</v>
      </c>
      <c r="D4520" s="211" t="str">
        <f>IFERROR(__xludf.DUMMYFUNCTION("""COMPUTED_VALUE"""),"b2b5f2c5")</f>
        <v>b2b5f2c5</v>
      </c>
      <c r="E4520" s="211" t="str">
        <f>IFERROR(__xludf.DUMMYFUNCTION("""COMPUTED_VALUE"""),"Bengkel Las Bpk. Ari")</f>
        <v>Bengkel Las Bpk. Ari</v>
      </c>
      <c r="F4520" s="211" t="str">
        <f>IFERROR(__xludf.DUMMYFUNCTION("""COMPUTED_VALUE"""),"8bdbe149")</f>
        <v>8bdbe149</v>
      </c>
      <c r="G4520" s="211" t="str">
        <f>IFERROR(__xludf.DUMMYFUNCTION("""COMPUTED_VALUE"""),"Oksigen 6m3")</f>
        <v>Oksigen 6m3</v>
      </c>
      <c r="H4520" s="211" t="str">
        <f>IFERROR(__xludf.DUMMYFUNCTION("""COMPUTED_VALUE"""),"OUT")</f>
        <v>OUT</v>
      </c>
      <c r="I4520" s="211" t="str">
        <f>IFERROR(__xludf.DUMMYFUNCTION("""COMPUTED_VALUE"""),"NORMAL")</f>
        <v>NORMAL</v>
      </c>
      <c r="J4520" s="211">
        <f>IFERROR(__xludf.DUMMYFUNCTION("""COMPUTED_VALUE"""),3.0)</f>
        <v>3</v>
      </c>
      <c r="K4520" s="210" t="str">
        <f>IFERROR(__xludf.DUMMYFUNCTION("""COMPUTED_VALUE"""),"11282 11363 1136")</f>
        <v>11282 11363 1136</v>
      </c>
      <c r="L4520" s="211">
        <f>IFERROR(__xludf.DUMMYFUNCTION("""COMPUTED_VALUE"""),60000.0)</f>
        <v>60000</v>
      </c>
      <c r="M4520" s="211"/>
      <c r="N4520" s="211"/>
      <c r="O4520" s="211" t="b">
        <f>IFERROR(__xludf.DUMMYFUNCTION("""COMPUTED_VALUE"""),FALSE)</f>
        <v>0</v>
      </c>
    </row>
    <row r="4521">
      <c r="A4521" s="210" t="str">
        <f>IFERROR(__xludf.DUMMYFUNCTION("""COMPUTED_VALUE"""),"04261043080")</f>
        <v>04261043080</v>
      </c>
      <c r="B4521" s="210" t="str">
        <f>IFERROR(__xludf.DUMMYFUNCTION("""COMPUTED_VALUE"""),"04261043080")</f>
        <v>04261043080</v>
      </c>
      <c r="C4521" s="213">
        <f>IFERROR(__xludf.DUMMYFUNCTION("""COMPUTED_VALUE"""),46127.36693287037)</f>
        <v>46127.36693</v>
      </c>
      <c r="D4521" s="211" t="str">
        <f>IFERROR(__xludf.DUMMYFUNCTION("""COMPUTED_VALUE"""),"b2b5f2c5")</f>
        <v>b2b5f2c5</v>
      </c>
      <c r="E4521" s="211" t="str">
        <f>IFERROR(__xludf.DUMMYFUNCTION("""COMPUTED_VALUE"""),"Bengkel Las Bpk. Ari")</f>
        <v>Bengkel Las Bpk. Ari</v>
      </c>
      <c r="F4521" s="211" t="str">
        <f>IFERROR(__xludf.DUMMYFUNCTION("""COMPUTED_VALUE"""),"ef306e54")</f>
        <v>ef306e54</v>
      </c>
      <c r="G4521" s="211" t="str">
        <f>IFERROR(__xludf.DUMMYFUNCTION("""COMPUTED_VALUE"""),"Karbondioksida")</f>
        <v>Karbondioksida</v>
      </c>
      <c r="H4521" s="211" t="str">
        <f>IFERROR(__xludf.DUMMYFUNCTION("""COMPUTED_VALUE"""),"OUT")</f>
        <v>OUT</v>
      </c>
      <c r="I4521" s="211" t="str">
        <f>IFERROR(__xludf.DUMMYFUNCTION("""COMPUTED_VALUE"""),"NORMAL")</f>
        <v>NORMAL</v>
      </c>
      <c r="J4521" s="211">
        <f>IFERROR(__xludf.DUMMYFUNCTION("""COMPUTED_VALUE"""),3.0)</f>
        <v>3</v>
      </c>
      <c r="K4521" s="210" t="str">
        <f>IFERROR(__xludf.DUMMYFUNCTION("""COMPUTED_VALUE"""),"13021 13051 13043")</f>
        <v>13021 13051 13043</v>
      </c>
      <c r="L4521" s="211">
        <f>IFERROR(__xludf.DUMMYFUNCTION("""COMPUTED_VALUE"""),180000.0)</f>
        <v>180000</v>
      </c>
      <c r="M4521" s="211"/>
      <c r="N4521" s="211"/>
      <c r="O4521" s="211" t="b">
        <f>IFERROR(__xludf.DUMMYFUNCTION("""COMPUTED_VALUE"""),FALSE)</f>
        <v>0</v>
      </c>
    </row>
    <row r="4522">
      <c r="A4522" s="210" t="str">
        <f>IFERROR(__xludf.DUMMYFUNCTION("""COMPUTED_VALUE"""),"042683089")</f>
        <v>042683089</v>
      </c>
      <c r="B4522" s="210" t="str">
        <f>IFERROR(__xludf.DUMMYFUNCTION("""COMPUTED_VALUE"""),"042683089")</f>
        <v>042683089</v>
      </c>
      <c r="C4522" s="213">
        <f>IFERROR(__xludf.DUMMYFUNCTION("""COMPUTED_VALUE"""),46127.367731481485)</f>
        <v>46127.36773</v>
      </c>
      <c r="D4522" s="211" t="str">
        <f>IFERROR(__xludf.DUMMYFUNCTION("""COMPUTED_VALUE"""),"ca4876e2")</f>
        <v>ca4876e2</v>
      </c>
      <c r="E4522" s="211" t="str">
        <f>IFERROR(__xludf.DUMMYFUNCTION("""COMPUTED_VALUE"""),"Bengkel Mustika Mojosari")</f>
        <v>Bengkel Mustika Mojosari</v>
      </c>
      <c r="F4522" s="211" t="str">
        <f>IFERROR(__xludf.DUMMYFUNCTION("""COMPUTED_VALUE"""),"7d2764f1")</f>
        <v>7d2764f1</v>
      </c>
      <c r="G4522" s="211" t="str">
        <f>IFERROR(__xludf.DUMMYFUNCTION("""COMPUTED_VALUE"""),"Oksigen 7m3")</f>
        <v>Oksigen 7m3</v>
      </c>
      <c r="H4522" s="211" t="str">
        <f>IFERROR(__xludf.DUMMYFUNCTION("""COMPUTED_VALUE"""),"OUT")</f>
        <v>OUT</v>
      </c>
      <c r="I4522" s="211" t="str">
        <f>IFERROR(__xludf.DUMMYFUNCTION("""COMPUTED_VALUE"""),"NORMAL")</f>
        <v>NORMAL</v>
      </c>
      <c r="J4522" s="211">
        <f>IFERROR(__xludf.DUMMYFUNCTION("""COMPUTED_VALUE"""),2.0)</f>
        <v>2</v>
      </c>
      <c r="K4522" s="210" t="str">
        <f>IFERROR(__xludf.DUMMYFUNCTION("""COMPUTED_VALUE"""),"11329 11331")</f>
        <v>11329 11331</v>
      </c>
      <c r="L4522" s="211">
        <f>IFERROR(__xludf.DUMMYFUNCTION("""COMPUTED_VALUE"""),65000.0)</f>
        <v>65000</v>
      </c>
      <c r="M4522" s="211"/>
      <c r="N4522" s="211"/>
      <c r="O4522" s="211" t="b">
        <f>IFERROR(__xludf.DUMMYFUNCTION("""COMPUTED_VALUE"""),FALSE)</f>
        <v>0</v>
      </c>
    </row>
    <row r="4523">
      <c r="A4523" s="210" t="str">
        <f>IFERROR(__xludf.DUMMYFUNCTION("""COMPUTED_VALUE"""),"1261561")</f>
        <v>1261561</v>
      </c>
      <c r="B4523" s="210" t="str">
        <f>IFERROR(__xludf.DUMMYFUNCTION("""COMPUTED_VALUE"""),"1261561")</f>
        <v>1261561</v>
      </c>
      <c r="C4523" s="213">
        <f>IFERROR(__xludf.DUMMYFUNCTION("""COMPUTED_VALUE"""),46127.608506944445)</f>
        <v>46127.60851</v>
      </c>
      <c r="D4523" s="211" t="str">
        <f>IFERROR(__xludf.DUMMYFUNCTION("""COMPUTED_VALUE"""),"d9b2fac5")</f>
        <v>d9b2fac5</v>
      </c>
      <c r="E4523" s="211" t="str">
        <f>IFERROR(__xludf.DUMMYFUNCTION("""COMPUTED_VALUE"""),"Dwi Riza ( Ponokawan)")</f>
        <v>Dwi Riza ( Ponokawan)</v>
      </c>
      <c r="F4523" s="211" t="str">
        <f>IFERROR(__xludf.DUMMYFUNCTION("""COMPUTED_VALUE"""),"7d2764f1")</f>
        <v>7d2764f1</v>
      </c>
      <c r="G4523" s="211" t="str">
        <f>IFERROR(__xludf.DUMMYFUNCTION("""COMPUTED_VALUE"""),"Oksigen 7m3")</f>
        <v>Oksigen 7m3</v>
      </c>
      <c r="H4523" s="211" t="str">
        <f>IFERROR(__xludf.DUMMYFUNCTION("""COMPUTED_VALUE"""),"IN")</f>
        <v>IN</v>
      </c>
      <c r="I4523" s="211" t="str">
        <f>IFERROR(__xludf.DUMMYFUNCTION("""COMPUTED_VALUE"""),"EMPTY")</f>
        <v>EMPTY</v>
      </c>
      <c r="J4523" s="211">
        <f>IFERROR(__xludf.DUMMYFUNCTION("""COMPUTED_VALUE"""),3.0)</f>
        <v>3</v>
      </c>
      <c r="K4523" s="210" t="str">
        <f>IFERROR(__xludf.DUMMYFUNCTION("""COMPUTED_VALUE"""),"11387 11394 11221")</f>
        <v>11387 11394 11221</v>
      </c>
      <c r="L4523" s="211">
        <f>IFERROR(__xludf.DUMMYFUNCTION("""COMPUTED_VALUE"""),0.0)</f>
        <v>0</v>
      </c>
      <c r="M4523" s="211"/>
      <c r="N4523" s="211"/>
      <c r="O4523" s="211" t="b">
        <f>IFERROR(__xludf.DUMMYFUNCTION("""COMPUTED_VALUE"""),FALSE)</f>
        <v>0</v>
      </c>
    </row>
    <row r="4524">
      <c r="A4524" s="210" t="str">
        <f>IFERROR(__xludf.DUMMYFUNCTION("""COMPUTED_VALUE"""),"1261561")</f>
        <v>1261561</v>
      </c>
      <c r="B4524" s="210" t="str">
        <f>IFERROR(__xludf.DUMMYFUNCTION("""COMPUTED_VALUE"""),"1261561")</f>
        <v>1261561</v>
      </c>
      <c r="C4524" s="213">
        <f>IFERROR(__xludf.DUMMYFUNCTION("""COMPUTED_VALUE"""),46127.608506944445)</f>
        <v>46127.60851</v>
      </c>
      <c r="D4524" s="211" t="str">
        <f>IFERROR(__xludf.DUMMYFUNCTION("""COMPUTED_VALUE"""),"d9b2fac5")</f>
        <v>d9b2fac5</v>
      </c>
      <c r="E4524" s="211" t="str">
        <f>IFERROR(__xludf.DUMMYFUNCTION("""COMPUTED_VALUE"""),"Dwi Riza ( Ponokawan)")</f>
        <v>Dwi Riza ( Ponokawan)</v>
      </c>
      <c r="F4524" s="211" t="str">
        <f>IFERROR(__xludf.DUMMYFUNCTION("""COMPUTED_VALUE"""),"7d2764f1")</f>
        <v>7d2764f1</v>
      </c>
      <c r="G4524" s="211" t="str">
        <f>IFERROR(__xludf.DUMMYFUNCTION("""COMPUTED_VALUE"""),"Oksigen 7m3")</f>
        <v>Oksigen 7m3</v>
      </c>
      <c r="H4524" s="211" t="str">
        <f>IFERROR(__xludf.DUMMYFUNCTION("""COMPUTED_VALUE"""),"IN")</f>
        <v>IN</v>
      </c>
      <c r="I4524" s="211" t="str">
        <f>IFERROR(__xludf.DUMMYFUNCTION("""COMPUTED_VALUE"""),"EMPTY")</f>
        <v>EMPTY</v>
      </c>
      <c r="J4524" s="211">
        <f>IFERROR(__xludf.DUMMYFUNCTION("""COMPUTED_VALUE"""),1.0)</f>
        <v>1</v>
      </c>
      <c r="K4524" s="210" t="str">
        <f>IFERROR(__xludf.DUMMYFUNCTION("""COMPUTED_VALUE"""),"11317")</f>
        <v>11317</v>
      </c>
      <c r="L4524" s="211">
        <f>IFERROR(__xludf.DUMMYFUNCTION("""COMPUTED_VALUE"""),0.0)</f>
        <v>0</v>
      </c>
      <c r="M4524" s="211"/>
      <c r="N4524" s="211"/>
      <c r="O4524" s="211" t="b">
        <f>IFERROR(__xludf.DUMMYFUNCTION("""COMPUTED_VALUE"""),TRUE)</f>
        <v>1</v>
      </c>
    </row>
    <row r="4525">
      <c r="A4525" s="210" t="str">
        <f>IFERROR(__xludf.DUMMYFUNCTION("""COMPUTED_VALUE"""),"1261564")</f>
        <v>1261564</v>
      </c>
      <c r="B4525" s="210" t="str">
        <f>IFERROR(__xludf.DUMMYFUNCTION("""COMPUTED_VALUE"""),"1261564")</f>
        <v>1261564</v>
      </c>
      <c r="C4525" s="213">
        <f>IFERROR(__xludf.DUMMYFUNCTION("""COMPUTED_VALUE"""),46127.609560185185)</f>
        <v>46127.60956</v>
      </c>
      <c r="D4525" s="211" t="str">
        <f>IFERROR(__xludf.DUMMYFUNCTION("""COMPUTED_VALUE"""),"a0f0ad2d")</f>
        <v>a0f0ad2d</v>
      </c>
      <c r="E4525" s="211" t="str">
        <f>IFERROR(__xludf.DUMMYFUNCTION("""COMPUTED_VALUE"""),"CV. Yulie Jaya")</f>
        <v>CV. Yulie Jaya</v>
      </c>
      <c r="F4525" s="211" t="str">
        <f>IFERROR(__xludf.DUMMYFUNCTION("""COMPUTED_VALUE"""),"8bdbe149")</f>
        <v>8bdbe149</v>
      </c>
      <c r="G4525" s="211" t="str">
        <f>IFERROR(__xludf.DUMMYFUNCTION("""COMPUTED_VALUE"""),"Oksigen 6m3")</f>
        <v>Oksigen 6m3</v>
      </c>
      <c r="H4525" s="211" t="str">
        <f>IFERROR(__xludf.DUMMYFUNCTION("""COMPUTED_VALUE"""),"IN")</f>
        <v>IN</v>
      </c>
      <c r="I4525" s="211" t="str">
        <f>IFERROR(__xludf.DUMMYFUNCTION("""COMPUTED_VALUE"""),"EMPTY")</f>
        <v>EMPTY</v>
      </c>
      <c r="J4525" s="211">
        <f>IFERROR(__xludf.DUMMYFUNCTION("""COMPUTED_VALUE"""),2.0)</f>
        <v>2</v>
      </c>
      <c r="K4525" s="210" t="str">
        <f>IFERROR(__xludf.DUMMYFUNCTION("""COMPUTED_VALUE"""),"11365 1154")</f>
        <v>11365 1154</v>
      </c>
      <c r="L4525" s="211">
        <f>IFERROR(__xludf.DUMMYFUNCTION("""COMPUTED_VALUE"""),0.0)</f>
        <v>0</v>
      </c>
      <c r="M4525" s="211"/>
      <c r="N4525" s="211"/>
      <c r="O4525" s="211" t="b">
        <f>IFERROR(__xludf.DUMMYFUNCTION("""COMPUTED_VALUE"""),FALSE)</f>
        <v>0</v>
      </c>
    </row>
    <row r="4526">
      <c r="A4526" s="210" t="str">
        <f>IFERROR(__xludf.DUMMYFUNCTION("""COMPUTED_VALUE"""),"1261563")</f>
        <v>1261563</v>
      </c>
      <c r="B4526" s="210" t="str">
        <f>IFERROR(__xludf.DUMMYFUNCTION("""COMPUTED_VALUE"""),"1261563")</f>
        <v>1261563</v>
      </c>
      <c r="C4526" s="213">
        <f>IFERROR(__xludf.DUMMYFUNCTION("""COMPUTED_VALUE"""),46127.609872685185)</f>
        <v>46127.60987</v>
      </c>
      <c r="D4526" s="211" t="str">
        <f>IFERROR(__xludf.DUMMYFUNCTION("""COMPUTED_VALUE"""),"8f5ebaea")</f>
        <v>8f5ebaea</v>
      </c>
      <c r="E4526" s="211" t="str">
        <f>IFERROR(__xludf.DUMMYFUNCTION("""COMPUTED_VALUE"""),"PT Hua Zong Mesindo")</f>
        <v>PT Hua Zong Mesindo</v>
      </c>
      <c r="F4526" s="211" t="str">
        <f>IFERROR(__xludf.DUMMYFUNCTION("""COMPUTED_VALUE"""),"8bdbe149")</f>
        <v>8bdbe149</v>
      </c>
      <c r="G4526" s="211" t="str">
        <f>IFERROR(__xludf.DUMMYFUNCTION("""COMPUTED_VALUE"""),"Oksigen 6m3")</f>
        <v>Oksigen 6m3</v>
      </c>
      <c r="H4526" s="211" t="str">
        <f>IFERROR(__xludf.DUMMYFUNCTION("""COMPUTED_VALUE"""),"IN")</f>
        <v>IN</v>
      </c>
      <c r="I4526" s="211" t="str">
        <f>IFERROR(__xludf.DUMMYFUNCTION("""COMPUTED_VALUE"""),"EMPTY")</f>
        <v>EMPTY</v>
      </c>
      <c r="J4526" s="211">
        <f>IFERROR(__xludf.DUMMYFUNCTION("""COMPUTED_VALUE"""),1.0)</f>
        <v>1</v>
      </c>
      <c r="K4526" s="210" t="str">
        <f>IFERROR(__xludf.DUMMYFUNCTION("""COMPUTED_VALUE"""),"11347")</f>
        <v>11347</v>
      </c>
      <c r="L4526" s="211">
        <f>IFERROR(__xludf.DUMMYFUNCTION("""COMPUTED_VALUE"""),0.0)</f>
        <v>0</v>
      </c>
      <c r="M4526" s="211"/>
      <c r="N4526" s="211"/>
      <c r="O4526" s="211" t="b">
        <f>IFERROR(__xludf.DUMMYFUNCTION("""COMPUTED_VALUE"""),FALSE)</f>
        <v>0</v>
      </c>
    </row>
    <row r="4527">
      <c r="A4527" s="210" t="str">
        <f>IFERROR(__xludf.DUMMYFUNCTION("""COMPUTED_VALUE"""),"1261563")</f>
        <v>1261563</v>
      </c>
      <c r="B4527" s="210" t="str">
        <f>IFERROR(__xludf.DUMMYFUNCTION("""COMPUTED_VALUE"""),"1261563")</f>
        <v>1261563</v>
      </c>
      <c r="C4527" s="213">
        <f>IFERROR(__xludf.DUMMYFUNCTION("""COMPUTED_VALUE"""),46127.609872685185)</f>
        <v>46127.60987</v>
      </c>
      <c r="D4527" s="211" t="str">
        <f>IFERROR(__xludf.DUMMYFUNCTION("""COMPUTED_VALUE"""),"8f5ebaea")</f>
        <v>8f5ebaea</v>
      </c>
      <c r="E4527" s="211" t="str">
        <f>IFERROR(__xludf.DUMMYFUNCTION("""COMPUTED_VALUE"""),"PT Hua Zong Mesindo")</f>
        <v>PT Hua Zong Mesindo</v>
      </c>
      <c r="F4527" s="211" t="str">
        <f>IFERROR(__xludf.DUMMYFUNCTION("""COMPUTED_VALUE"""),"ef306e54")</f>
        <v>ef306e54</v>
      </c>
      <c r="G4527" s="211" t="str">
        <f>IFERROR(__xludf.DUMMYFUNCTION("""COMPUTED_VALUE"""),"Karbondioksida")</f>
        <v>Karbondioksida</v>
      </c>
      <c r="H4527" s="211" t="str">
        <f>IFERROR(__xludf.DUMMYFUNCTION("""COMPUTED_VALUE"""),"IN")</f>
        <v>IN</v>
      </c>
      <c r="I4527" s="211" t="str">
        <f>IFERROR(__xludf.DUMMYFUNCTION("""COMPUTED_VALUE"""),"EMPTY")</f>
        <v>EMPTY</v>
      </c>
      <c r="J4527" s="211">
        <f>IFERROR(__xludf.DUMMYFUNCTION("""COMPUTED_VALUE"""),4.0)</f>
        <v>4</v>
      </c>
      <c r="K4527" s="210" t="str">
        <f>IFERROR(__xludf.DUMMYFUNCTION("""COMPUTED_VALUE"""),"13024 13016 13011 13001")</f>
        <v>13024 13016 13011 13001</v>
      </c>
      <c r="L4527" s="211">
        <f>IFERROR(__xludf.DUMMYFUNCTION("""COMPUTED_VALUE"""),0.0)</f>
        <v>0</v>
      </c>
      <c r="M4527" s="211"/>
      <c r="N4527" s="211"/>
      <c r="O4527" s="211" t="b">
        <f>IFERROR(__xludf.DUMMYFUNCTION("""COMPUTED_VALUE"""),FALSE)</f>
        <v>0</v>
      </c>
    </row>
    <row r="4528">
      <c r="A4528" s="210" t="str">
        <f>IFERROR(__xludf.DUMMYFUNCTION("""COMPUTED_VALUE"""),"1261563")</f>
        <v>1261563</v>
      </c>
      <c r="B4528" s="210" t="str">
        <f>IFERROR(__xludf.DUMMYFUNCTION("""COMPUTED_VALUE"""),"1261563")</f>
        <v>1261563</v>
      </c>
      <c r="C4528" s="213">
        <f>IFERROR(__xludf.DUMMYFUNCTION("""COMPUTED_VALUE"""),46127.609872685185)</f>
        <v>46127.60987</v>
      </c>
      <c r="D4528" s="211" t="str">
        <f>IFERROR(__xludf.DUMMYFUNCTION("""COMPUTED_VALUE"""),"8f5ebaea")</f>
        <v>8f5ebaea</v>
      </c>
      <c r="E4528" s="211" t="str">
        <f>IFERROR(__xludf.DUMMYFUNCTION("""COMPUTED_VALUE"""),"PT Hua Zong Mesindo")</f>
        <v>PT Hua Zong Mesindo</v>
      </c>
      <c r="F4528" s="211" t="str">
        <f>IFERROR(__xludf.DUMMYFUNCTION("""COMPUTED_VALUE"""),"66af7c72")</f>
        <v>66af7c72</v>
      </c>
      <c r="G4528" s="211" t="str">
        <f>IFERROR(__xludf.DUMMYFUNCTION("""COMPUTED_VALUE"""),"Argon 6m3")</f>
        <v>Argon 6m3</v>
      </c>
      <c r="H4528" s="211" t="str">
        <f>IFERROR(__xludf.DUMMYFUNCTION("""COMPUTED_VALUE"""),"IN")</f>
        <v>IN</v>
      </c>
      <c r="I4528" s="211" t="str">
        <f>IFERROR(__xludf.DUMMYFUNCTION("""COMPUTED_VALUE"""),"EMPTY")</f>
        <v>EMPTY</v>
      </c>
      <c r="J4528" s="211">
        <f>IFERROR(__xludf.DUMMYFUNCTION("""COMPUTED_VALUE"""),1.0)</f>
        <v>1</v>
      </c>
      <c r="K4528" s="210" t="str">
        <f>IFERROR(__xludf.DUMMYFUNCTION("""COMPUTED_VALUE"""),"12056")</f>
        <v>12056</v>
      </c>
      <c r="L4528" s="211">
        <f>IFERROR(__xludf.DUMMYFUNCTION("""COMPUTED_VALUE"""),0.0)</f>
        <v>0</v>
      </c>
      <c r="M4528" s="211"/>
      <c r="N4528" s="211"/>
      <c r="O4528" s="211" t="b">
        <f>IFERROR(__xludf.DUMMYFUNCTION("""COMPUTED_VALUE"""),FALSE)</f>
        <v>0</v>
      </c>
    </row>
    <row r="4529">
      <c r="A4529" s="210" t="str">
        <f>IFERROR(__xludf.DUMMYFUNCTION("""COMPUTED_VALUE"""),"1261562")</f>
        <v>1261562</v>
      </c>
      <c r="B4529" s="210" t="str">
        <f>IFERROR(__xludf.DUMMYFUNCTION("""COMPUTED_VALUE"""),"1261562")</f>
        <v>1261562</v>
      </c>
      <c r="C4529" s="213">
        <f>IFERROR(__xludf.DUMMYFUNCTION("""COMPUTED_VALUE"""),46127.61054398148)</f>
        <v>46127.61054</v>
      </c>
      <c r="D4529" s="211" t="str">
        <f>IFERROR(__xludf.DUMMYFUNCTION("""COMPUTED_VALUE"""),"1c4d5e93")</f>
        <v>1c4d5e93</v>
      </c>
      <c r="E4529" s="211" t="str">
        <f>IFERROR(__xludf.DUMMYFUNCTION("""COMPUTED_VALUE"""),"Karoseri Cipta Mitra Sukses")</f>
        <v>Karoseri Cipta Mitra Sukses</v>
      </c>
      <c r="F4529" s="211" t="str">
        <f>IFERROR(__xludf.DUMMYFUNCTION("""COMPUTED_VALUE"""),"8bdbe149")</f>
        <v>8bdbe149</v>
      </c>
      <c r="G4529" s="211" t="str">
        <f>IFERROR(__xludf.DUMMYFUNCTION("""COMPUTED_VALUE"""),"Oksigen 6m3")</f>
        <v>Oksigen 6m3</v>
      </c>
      <c r="H4529" s="211" t="str">
        <f>IFERROR(__xludf.DUMMYFUNCTION("""COMPUTED_VALUE"""),"IN")</f>
        <v>IN</v>
      </c>
      <c r="I4529" s="211" t="str">
        <f>IFERROR(__xludf.DUMMYFUNCTION("""COMPUTED_VALUE"""),"EMPTY")</f>
        <v>EMPTY</v>
      </c>
      <c r="J4529" s="211">
        <f>IFERROR(__xludf.DUMMYFUNCTION("""COMPUTED_VALUE"""),1.0)</f>
        <v>1</v>
      </c>
      <c r="K4529" s="210" t="str">
        <f>IFERROR(__xludf.DUMMYFUNCTION("""COMPUTED_VALUE"""),"1115")</f>
        <v>1115</v>
      </c>
      <c r="L4529" s="211">
        <f>IFERROR(__xludf.DUMMYFUNCTION("""COMPUTED_VALUE"""),0.0)</f>
        <v>0</v>
      </c>
      <c r="M4529" s="211"/>
      <c r="N4529" s="211"/>
      <c r="O4529" s="211" t="b">
        <f>IFERROR(__xludf.DUMMYFUNCTION("""COMPUTED_VALUE"""),FALSE)</f>
        <v>0</v>
      </c>
    </row>
    <row r="4530">
      <c r="A4530" s="210" t="str">
        <f>IFERROR(__xludf.DUMMYFUNCTION("""COMPUTED_VALUE"""),"1261562")</f>
        <v>1261562</v>
      </c>
      <c r="B4530" s="210" t="str">
        <f>IFERROR(__xludf.DUMMYFUNCTION("""COMPUTED_VALUE"""),"1261562")</f>
        <v>1261562</v>
      </c>
      <c r="C4530" s="213">
        <f>IFERROR(__xludf.DUMMYFUNCTION("""COMPUTED_VALUE"""),46127.61054398148)</f>
        <v>46127.61054</v>
      </c>
      <c r="D4530" s="211" t="str">
        <f>IFERROR(__xludf.DUMMYFUNCTION("""COMPUTED_VALUE"""),"1c4d5e93")</f>
        <v>1c4d5e93</v>
      </c>
      <c r="E4530" s="211" t="str">
        <f>IFERROR(__xludf.DUMMYFUNCTION("""COMPUTED_VALUE"""),"Karoseri Cipta Mitra Sukses")</f>
        <v>Karoseri Cipta Mitra Sukses</v>
      </c>
      <c r="F4530" s="211" t="str">
        <f>IFERROR(__xludf.DUMMYFUNCTION("""COMPUTED_VALUE"""),"3b9d6a30")</f>
        <v>3b9d6a30</v>
      </c>
      <c r="G4530" s="211" t="str">
        <f>IFERROR(__xludf.DUMMYFUNCTION("""COMPUTED_VALUE"""),"Acetyline")</f>
        <v>Acetyline</v>
      </c>
      <c r="H4530" s="211" t="str">
        <f>IFERROR(__xludf.DUMMYFUNCTION("""COMPUTED_VALUE"""),"IN")</f>
        <v>IN</v>
      </c>
      <c r="I4530" s="211" t="str">
        <f>IFERROR(__xludf.DUMMYFUNCTION("""COMPUTED_VALUE"""),"EMPTY")</f>
        <v>EMPTY</v>
      </c>
      <c r="J4530" s="211">
        <f>IFERROR(__xludf.DUMMYFUNCTION("""COMPUTED_VALUE"""),1.0)</f>
        <v>1</v>
      </c>
      <c r="K4530" s="210" t="str">
        <f>IFERROR(__xludf.DUMMYFUNCTION("""COMPUTED_VALUE"""),"7002")</f>
        <v>7002</v>
      </c>
      <c r="L4530" s="211">
        <f>IFERROR(__xludf.DUMMYFUNCTION("""COMPUTED_VALUE"""),0.0)</f>
        <v>0</v>
      </c>
      <c r="M4530" s="211"/>
      <c r="N4530" s="211"/>
      <c r="O4530" s="211" t="b">
        <f>IFERROR(__xludf.DUMMYFUNCTION("""COMPUTED_VALUE"""),FALSE)</f>
        <v>0</v>
      </c>
    </row>
    <row r="4531">
      <c r="A4531" s="210" t="str">
        <f>IFERROR(__xludf.DUMMYFUNCTION("""COMPUTED_VALUE"""),"1261541")</f>
        <v>1261541</v>
      </c>
      <c r="B4531" s="210" t="str">
        <f>IFERROR(__xludf.DUMMYFUNCTION("""COMPUTED_VALUE"""),"1261541")</f>
        <v>1261541</v>
      </c>
      <c r="C4531" s="213">
        <f>IFERROR(__xludf.DUMMYFUNCTION("""COMPUTED_VALUE"""),46127.62965277778)</f>
        <v>46127.62965</v>
      </c>
      <c r="D4531" s="211" t="str">
        <f>IFERROR(__xludf.DUMMYFUNCTION("""COMPUTED_VALUE"""),"ca4876e2")</f>
        <v>ca4876e2</v>
      </c>
      <c r="E4531" s="211" t="str">
        <f>IFERROR(__xludf.DUMMYFUNCTION("""COMPUTED_VALUE"""),"Bengkel Mustika Mojosari")</f>
        <v>Bengkel Mustika Mojosari</v>
      </c>
      <c r="F4531" s="211" t="str">
        <f>IFERROR(__xludf.DUMMYFUNCTION("""COMPUTED_VALUE"""),"7d2764f1")</f>
        <v>7d2764f1</v>
      </c>
      <c r="G4531" s="211" t="str">
        <f>IFERROR(__xludf.DUMMYFUNCTION("""COMPUTED_VALUE"""),"Oksigen 7m3")</f>
        <v>Oksigen 7m3</v>
      </c>
      <c r="H4531" s="211" t="str">
        <f>IFERROR(__xludf.DUMMYFUNCTION("""COMPUTED_VALUE"""),"IN")</f>
        <v>IN</v>
      </c>
      <c r="I4531" s="211" t="str">
        <f>IFERROR(__xludf.DUMMYFUNCTION("""COMPUTED_VALUE"""),"EMPTY")</f>
        <v>EMPTY</v>
      </c>
      <c r="J4531" s="211">
        <f>IFERROR(__xludf.DUMMYFUNCTION("""COMPUTED_VALUE"""),3.0)</f>
        <v>3</v>
      </c>
      <c r="K4531" s="210" t="str">
        <f>IFERROR(__xludf.DUMMYFUNCTION("""COMPUTED_VALUE"""),"11174 11217 11168")</f>
        <v>11174 11217 11168</v>
      </c>
      <c r="L4531" s="211">
        <f>IFERROR(__xludf.DUMMYFUNCTION("""COMPUTED_VALUE"""),0.0)</f>
        <v>0</v>
      </c>
      <c r="M4531" s="211"/>
      <c r="N4531" s="211"/>
      <c r="O4531" s="211" t="b">
        <f>IFERROR(__xludf.DUMMYFUNCTION("""COMPUTED_VALUE"""),FALSE)</f>
        <v>0</v>
      </c>
    </row>
    <row r="4532">
      <c r="A4532" s="210" t="str">
        <f>IFERROR(__xludf.DUMMYFUNCTION("""COMPUTED_VALUE"""),"1261539")</f>
        <v>1261539</v>
      </c>
      <c r="B4532" s="210" t="str">
        <f>IFERROR(__xludf.DUMMYFUNCTION("""COMPUTED_VALUE"""),"1261539")</f>
        <v>1261539</v>
      </c>
      <c r="C4532" s="213">
        <f>IFERROR(__xludf.DUMMYFUNCTION("""COMPUTED_VALUE"""),46127.63135416667)</f>
        <v>46127.63135</v>
      </c>
      <c r="D4532" s="211" t="str">
        <f>IFERROR(__xludf.DUMMYFUNCTION("""COMPUTED_VALUE"""),"b218b89b")</f>
        <v>b218b89b</v>
      </c>
      <c r="E4532" s="211" t="str">
        <f>IFERROR(__xludf.DUMMYFUNCTION("""COMPUTED_VALUE"""),"PT Harapan Sentosa")</f>
        <v>PT Harapan Sentosa</v>
      </c>
      <c r="F4532" s="211" t="str">
        <f>IFERROR(__xludf.DUMMYFUNCTION("""COMPUTED_VALUE"""),"7d2764f1")</f>
        <v>7d2764f1</v>
      </c>
      <c r="G4532" s="211" t="str">
        <f>IFERROR(__xludf.DUMMYFUNCTION("""COMPUTED_VALUE"""),"Oksigen 7m3")</f>
        <v>Oksigen 7m3</v>
      </c>
      <c r="H4532" s="211" t="str">
        <f>IFERROR(__xludf.DUMMYFUNCTION("""COMPUTED_VALUE"""),"IN")</f>
        <v>IN</v>
      </c>
      <c r="I4532" s="211" t="str">
        <f>IFERROR(__xludf.DUMMYFUNCTION("""COMPUTED_VALUE"""),"EMPTY")</f>
        <v>EMPTY</v>
      </c>
      <c r="J4532" s="211">
        <f>IFERROR(__xludf.DUMMYFUNCTION("""COMPUTED_VALUE"""),3.0)</f>
        <v>3</v>
      </c>
      <c r="K4532" s="210" t="str">
        <f>IFERROR(__xludf.DUMMYFUNCTION("""COMPUTED_VALUE"""),"11334 11298 11300")</f>
        <v>11334 11298 11300</v>
      </c>
      <c r="L4532" s="211">
        <f>IFERROR(__xludf.DUMMYFUNCTION("""COMPUTED_VALUE"""),0.0)</f>
        <v>0</v>
      </c>
      <c r="M4532" s="211"/>
      <c r="N4532" s="211"/>
      <c r="O4532" s="211" t="b">
        <f>IFERROR(__xludf.DUMMYFUNCTION("""COMPUTED_VALUE"""),FALSE)</f>
        <v>0</v>
      </c>
    </row>
    <row r="4533">
      <c r="A4533" s="210" t="str">
        <f>IFERROR(__xludf.DUMMYFUNCTION("""COMPUTED_VALUE"""),"1261539")</f>
        <v>1261539</v>
      </c>
      <c r="B4533" s="210" t="str">
        <f>IFERROR(__xludf.DUMMYFUNCTION("""COMPUTED_VALUE"""),"1261539")</f>
        <v>1261539</v>
      </c>
      <c r="C4533" s="213">
        <f>IFERROR(__xludf.DUMMYFUNCTION("""COMPUTED_VALUE"""),46127.63135416667)</f>
        <v>46127.63135</v>
      </c>
      <c r="D4533" s="211" t="str">
        <f>IFERROR(__xludf.DUMMYFUNCTION("""COMPUTED_VALUE"""),"b218b89b")</f>
        <v>b218b89b</v>
      </c>
      <c r="E4533" s="211" t="str">
        <f>IFERROR(__xludf.DUMMYFUNCTION("""COMPUTED_VALUE"""),"PT Harapan Sentosa")</f>
        <v>PT Harapan Sentosa</v>
      </c>
      <c r="F4533" s="211" t="str">
        <f>IFERROR(__xludf.DUMMYFUNCTION("""COMPUTED_VALUE"""),"8bdbe149")</f>
        <v>8bdbe149</v>
      </c>
      <c r="G4533" s="211" t="str">
        <f>IFERROR(__xludf.DUMMYFUNCTION("""COMPUTED_VALUE"""),"Oksigen 6m3")</f>
        <v>Oksigen 6m3</v>
      </c>
      <c r="H4533" s="211" t="str">
        <f>IFERROR(__xludf.DUMMYFUNCTION("""COMPUTED_VALUE"""),"IN")</f>
        <v>IN</v>
      </c>
      <c r="I4533" s="211" t="str">
        <f>IFERROR(__xludf.DUMMYFUNCTION("""COMPUTED_VALUE"""),"EMPTY")</f>
        <v>EMPTY</v>
      </c>
      <c r="J4533" s="211">
        <f>IFERROR(__xludf.DUMMYFUNCTION("""COMPUTED_VALUE"""),2.0)</f>
        <v>2</v>
      </c>
      <c r="K4533" s="210" t="str">
        <f>IFERROR(__xludf.DUMMYFUNCTION("""COMPUTED_VALUE"""),"11245 11319")</f>
        <v>11245 11319</v>
      </c>
      <c r="L4533" s="211">
        <f>IFERROR(__xludf.DUMMYFUNCTION("""COMPUTED_VALUE"""),0.0)</f>
        <v>0</v>
      </c>
      <c r="M4533" s="211"/>
      <c r="N4533" s="211"/>
      <c r="O4533" s="211" t="b">
        <f>IFERROR(__xludf.DUMMYFUNCTION("""COMPUTED_VALUE"""),FALSE)</f>
        <v>0</v>
      </c>
    </row>
    <row r="4534">
      <c r="A4534" s="210" t="str">
        <f>IFERROR(__xludf.DUMMYFUNCTION("""COMPUTED_VALUE"""),"1261542")</f>
        <v>1261542</v>
      </c>
      <c r="B4534" s="210" t="str">
        <f>IFERROR(__xludf.DUMMYFUNCTION("""COMPUTED_VALUE"""),"1261542")</f>
        <v>1261542</v>
      </c>
      <c r="C4534" s="213">
        <f>IFERROR(__xludf.DUMMYFUNCTION("""COMPUTED_VALUE"""),46127.633356481485)</f>
        <v>46127.63336</v>
      </c>
      <c r="D4534" s="211" t="str">
        <f>IFERROR(__xludf.DUMMYFUNCTION("""COMPUTED_VALUE"""),"b2b5f2c5")</f>
        <v>b2b5f2c5</v>
      </c>
      <c r="E4534" s="211" t="str">
        <f>IFERROR(__xludf.DUMMYFUNCTION("""COMPUTED_VALUE"""),"Bengkel Las Bpk. Ari")</f>
        <v>Bengkel Las Bpk. Ari</v>
      </c>
      <c r="F4534" s="211" t="str">
        <f>IFERROR(__xludf.DUMMYFUNCTION("""COMPUTED_VALUE"""),"8bdbe149")</f>
        <v>8bdbe149</v>
      </c>
      <c r="G4534" s="211" t="str">
        <f>IFERROR(__xludf.DUMMYFUNCTION("""COMPUTED_VALUE"""),"Oksigen 6m3")</f>
        <v>Oksigen 6m3</v>
      </c>
      <c r="H4534" s="211" t="str">
        <f>IFERROR(__xludf.DUMMYFUNCTION("""COMPUTED_VALUE"""),"IN")</f>
        <v>IN</v>
      </c>
      <c r="I4534" s="211" t="str">
        <f>IFERROR(__xludf.DUMMYFUNCTION("""COMPUTED_VALUE"""),"EMPTY")</f>
        <v>EMPTY</v>
      </c>
      <c r="J4534" s="211">
        <f>IFERROR(__xludf.DUMMYFUNCTION("""COMPUTED_VALUE"""),5.0)</f>
        <v>5</v>
      </c>
      <c r="K4534" s="210" t="str">
        <f>IFERROR(__xludf.DUMMYFUNCTION("""COMPUTED_VALUE"""),"11127 11177 11107 1111 11277")</f>
        <v>11127 11177 11107 1111 11277</v>
      </c>
      <c r="L4534" s="211">
        <f>IFERROR(__xludf.DUMMYFUNCTION("""COMPUTED_VALUE"""),0.0)</f>
        <v>0</v>
      </c>
      <c r="M4534" s="211"/>
      <c r="N4534" s="211"/>
      <c r="O4534" s="211" t="b">
        <f>IFERROR(__xludf.DUMMYFUNCTION("""COMPUTED_VALUE"""),FALSE)</f>
        <v>0</v>
      </c>
    </row>
    <row r="4535">
      <c r="A4535" s="210" t="str">
        <f>IFERROR(__xludf.DUMMYFUNCTION("""COMPUTED_VALUE"""),"1261542")</f>
        <v>1261542</v>
      </c>
      <c r="B4535" s="210" t="str">
        <f>IFERROR(__xludf.DUMMYFUNCTION("""COMPUTED_VALUE"""),"1261542")</f>
        <v>1261542</v>
      </c>
      <c r="C4535" s="213">
        <f>IFERROR(__xludf.DUMMYFUNCTION("""COMPUTED_VALUE"""),46127.633356481485)</f>
        <v>46127.63336</v>
      </c>
      <c r="D4535" s="211" t="str">
        <f>IFERROR(__xludf.DUMMYFUNCTION("""COMPUTED_VALUE"""),"b2b5f2c5")</f>
        <v>b2b5f2c5</v>
      </c>
      <c r="E4535" s="211" t="str">
        <f>IFERROR(__xludf.DUMMYFUNCTION("""COMPUTED_VALUE"""),"Bengkel Las Bpk. Ari")</f>
        <v>Bengkel Las Bpk. Ari</v>
      </c>
      <c r="F4535" s="211" t="str">
        <f>IFERROR(__xludf.DUMMYFUNCTION("""COMPUTED_VALUE"""),"7d2764f1")</f>
        <v>7d2764f1</v>
      </c>
      <c r="G4535" s="211" t="str">
        <f>IFERROR(__xludf.DUMMYFUNCTION("""COMPUTED_VALUE"""),"Oksigen 7m3")</f>
        <v>Oksigen 7m3</v>
      </c>
      <c r="H4535" s="211" t="str">
        <f>IFERROR(__xludf.DUMMYFUNCTION("""COMPUTED_VALUE"""),"IN")</f>
        <v>IN</v>
      </c>
      <c r="I4535" s="211" t="str">
        <f>IFERROR(__xludf.DUMMYFUNCTION("""COMPUTED_VALUE"""),"EMPTY")</f>
        <v>EMPTY</v>
      </c>
      <c r="J4535" s="211">
        <f>IFERROR(__xludf.DUMMYFUNCTION("""COMPUTED_VALUE"""),1.0)</f>
        <v>1</v>
      </c>
      <c r="K4535" s="210" t="str">
        <f>IFERROR(__xludf.DUMMYFUNCTION("""COMPUTED_VALUE"""),"11146")</f>
        <v>11146</v>
      </c>
      <c r="L4535" s="211">
        <f>IFERROR(__xludf.DUMMYFUNCTION("""COMPUTED_VALUE"""),0.0)</f>
        <v>0</v>
      </c>
      <c r="M4535" s="211"/>
      <c r="N4535" s="211"/>
      <c r="O4535" s="211" t="b">
        <f>IFERROR(__xludf.DUMMYFUNCTION("""COMPUTED_VALUE"""),FALSE)</f>
        <v>0</v>
      </c>
    </row>
    <row r="4536">
      <c r="A4536" s="210" t="str">
        <f>IFERROR(__xludf.DUMMYFUNCTION("""COMPUTED_VALUE"""),"1261542")</f>
        <v>1261542</v>
      </c>
      <c r="B4536" s="210" t="str">
        <f>IFERROR(__xludf.DUMMYFUNCTION("""COMPUTED_VALUE"""),"1261542")</f>
        <v>1261542</v>
      </c>
      <c r="C4536" s="213">
        <f>IFERROR(__xludf.DUMMYFUNCTION("""COMPUTED_VALUE"""),46127.633356481485)</f>
        <v>46127.63336</v>
      </c>
      <c r="D4536" s="211" t="str">
        <f>IFERROR(__xludf.DUMMYFUNCTION("""COMPUTED_VALUE"""),"b2b5f2c5")</f>
        <v>b2b5f2c5</v>
      </c>
      <c r="E4536" s="211" t="str">
        <f>IFERROR(__xludf.DUMMYFUNCTION("""COMPUTED_VALUE"""),"Bengkel Las Bpk. Ari")</f>
        <v>Bengkel Las Bpk. Ari</v>
      </c>
      <c r="F4536" s="211" t="str">
        <f>IFERROR(__xludf.DUMMYFUNCTION("""COMPUTED_VALUE"""),"ef306e54")</f>
        <v>ef306e54</v>
      </c>
      <c r="G4536" s="211" t="str">
        <f>IFERROR(__xludf.DUMMYFUNCTION("""COMPUTED_VALUE"""),"Karbondioksida")</f>
        <v>Karbondioksida</v>
      </c>
      <c r="H4536" s="211" t="str">
        <f>IFERROR(__xludf.DUMMYFUNCTION("""COMPUTED_VALUE"""),"IN")</f>
        <v>IN</v>
      </c>
      <c r="I4536" s="211" t="str">
        <f>IFERROR(__xludf.DUMMYFUNCTION("""COMPUTED_VALUE"""),"EMPTY")</f>
        <v>EMPTY</v>
      </c>
      <c r="J4536" s="211">
        <f>IFERROR(__xludf.DUMMYFUNCTION("""COMPUTED_VALUE"""),5.0)</f>
        <v>5</v>
      </c>
      <c r="K4536" s="210" t="str">
        <f>IFERROR(__xludf.DUMMYFUNCTION("""COMPUTED_VALUE"""),"13055 13066 13038 13074 13072")</f>
        <v>13055 13066 13038 13074 13072</v>
      </c>
      <c r="L4536" s="211">
        <f>IFERROR(__xludf.DUMMYFUNCTION("""COMPUTED_VALUE"""),0.0)</f>
        <v>0</v>
      </c>
      <c r="M4536" s="211"/>
      <c r="N4536" s="211"/>
      <c r="O4536" s="211" t="b">
        <f>IFERROR(__xludf.DUMMYFUNCTION("""COMPUTED_VALUE"""),FALSE)</f>
        <v>0</v>
      </c>
    </row>
    <row r="4537">
      <c r="A4537" s="210" t="str">
        <f>IFERROR(__xludf.DUMMYFUNCTION("""COMPUTED_VALUE"""),"1261551")</f>
        <v>1261551</v>
      </c>
      <c r="B4537" s="210" t="str">
        <f>IFERROR(__xludf.DUMMYFUNCTION("""COMPUTED_VALUE"""),"1261551")</f>
        <v>1261551</v>
      </c>
      <c r="C4537" s="213">
        <f>IFERROR(__xludf.DUMMYFUNCTION("""COMPUTED_VALUE"""),46127.64528935185)</f>
        <v>46127.64529</v>
      </c>
      <c r="D4537" s="211" t="str">
        <f>IFERROR(__xludf.DUMMYFUNCTION("""COMPUTED_VALUE"""),"e968afef")</f>
        <v>e968afef</v>
      </c>
      <c r="E4537" s="211" t="str">
        <f>IFERROR(__xludf.DUMMYFUNCTION("""COMPUTED_VALUE"""),"Bpk. Agus")</f>
        <v>Bpk. Agus</v>
      </c>
      <c r="F4537" s="211" t="str">
        <f>IFERROR(__xludf.DUMMYFUNCTION("""COMPUTED_VALUE"""),"8bdbe149")</f>
        <v>8bdbe149</v>
      </c>
      <c r="G4537" s="211" t="str">
        <f>IFERROR(__xludf.DUMMYFUNCTION("""COMPUTED_VALUE"""),"Oksigen 6m3")</f>
        <v>Oksigen 6m3</v>
      </c>
      <c r="H4537" s="211" t="str">
        <f>IFERROR(__xludf.DUMMYFUNCTION("""COMPUTED_VALUE"""),"IN")</f>
        <v>IN</v>
      </c>
      <c r="I4537" s="211" t="str">
        <f>IFERROR(__xludf.DUMMYFUNCTION("""COMPUTED_VALUE"""),"EMPTY")</f>
        <v>EMPTY</v>
      </c>
      <c r="J4537" s="211">
        <f>IFERROR(__xludf.DUMMYFUNCTION("""COMPUTED_VALUE"""),1.0)</f>
        <v>1</v>
      </c>
      <c r="K4537" s="210" t="str">
        <f>IFERROR(__xludf.DUMMYFUNCTION("""COMPUTED_VALUE"""),"1107")</f>
        <v>1107</v>
      </c>
      <c r="L4537" s="211">
        <f>IFERROR(__xludf.DUMMYFUNCTION("""COMPUTED_VALUE"""),0.0)</f>
        <v>0</v>
      </c>
      <c r="M4537" s="211"/>
      <c r="N4537" s="211"/>
      <c r="O4537" s="211" t="b">
        <f>IFERROR(__xludf.DUMMYFUNCTION("""COMPUTED_VALUE"""),FALSE)</f>
        <v>0</v>
      </c>
    </row>
    <row r="4538">
      <c r="A4538" s="210" t="str">
        <f>IFERROR(__xludf.DUMMYFUNCTION("""COMPUTED_VALUE"""),"1261551")</f>
        <v>1261551</v>
      </c>
      <c r="B4538" s="210" t="str">
        <f>IFERROR(__xludf.DUMMYFUNCTION("""COMPUTED_VALUE"""),"1261551")</f>
        <v>1261551</v>
      </c>
      <c r="C4538" s="213">
        <f>IFERROR(__xludf.DUMMYFUNCTION("""COMPUTED_VALUE"""),46127.64528935185)</f>
        <v>46127.64529</v>
      </c>
      <c r="D4538" s="211" t="str">
        <f>IFERROR(__xludf.DUMMYFUNCTION("""COMPUTED_VALUE"""),"e968afef")</f>
        <v>e968afef</v>
      </c>
      <c r="E4538" s="211" t="str">
        <f>IFERROR(__xludf.DUMMYFUNCTION("""COMPUTED_VALUE"""),"Bpk. Agus")</f>
        <v>Bpk. Agus</v>
      </c>
      <c r="F4538" s="211" t="str">
        <f>IFERROR(__xludf.DUMMYFUNCTION("""COMPUTED_VALUE"""),"be525f3b")</f>
        <v>be525f3b</v>
      </c>
      <c r="G4538" s="211" t="str">
        <f>IFERROR(__xludf.DUMMYFUNCTION("""COMPUTED_VALUE"""),"LPG 12kg")</f>
        <v>LPG 12kg</v>
      </c>
      <c r="H4538" s="211" t="str">
        <f>IFERROR(__xludf.DUMMYFUNCTION("""COMPUTED_VALUE"""),"IN")</f>
        <v>IN</v>
      </c>
      <c r="I4538" s="211" t="str">
        <f>IFERROR(__xludf.DUMMYFUNCTION("""COMPUTED_VALUE"""),"EMPTY")</f>
        <v>EMPTY</v>
      </c>
      <c r="J4538" s="211">
        <f>IFERROR(__xludf.DUMMYFUNCTION("""COMPUTED_VALUE"""),1.0)</f>
        <v>1</v>
      </c>
      <c r="K4538" s="211"/>
      <c r="L4538" s="211">
        <f>IFERROR(__xludf.DUMMYFUNCTION("""COMPUTED_VALUE"""),0.0)</f>
        <v>0</v>
      </c>
      <c r="M4538" s="211"/>
      <c r="N4538" s="211"/>
      <c r="O4538" s="211" t="b">
        <f>IFERROR(__xludf.DUMMYFUNCTION("""COMPUTED_VALUE"""),FALSE)</f>
        <v>0</v>
      </c>
    </row>
    <row r="4539">
      <c r="A4539" s="210" t="str">
        <f>IFERROR(__xludf.DUMMYFUNCTION("""COMPUTED_VALUE"""),"042673090")</f>
        <v>042673090</v>
      </c>
      <c r="B4539" s="210" t="str">
        <f>IFERROR(__xludf.DUMMYFUNCTION("""COMPUTED_VALUE"""),"042673090")</f>
        <v>042673090</v>
      </c>
      <c r="C4539" s="213">
        <f>IFERROR(__xludf.DUMMYFUNCTION("""COMPUTED_VALUE"""),46128.32983796296)</f>
        <v>46128.32984</v>
      </c>
      <c r="D4539" s="211" t="str">
        <f>IFERROR(__xludf.DUMMYFUNCTION("""COMPUTED_VALUE"""),"58b72e0c")</f>
        <v>58b72e0c</v>
      </c>
      <c r="E4539" s="211" t="str">
        <f>IFERROR(__xludf.DUMMYFUNCTION("""COMPUTED_VALUE"""),"UD. Ais Jaya")</f>
        <v>UD. Ais Jaya</v>
      </c>
      <c r="F4539" s="211" t="str">
        <f>IFERROR(__xludf.DUMMYFUNCTION("""COMPUTED_VALUE"""),"8bdbe149")</f>
        <v>8bdbe149</v>
      </c>
      <c r="G4539" s="211" t="str">
        <f>IFERROR(__xludf.DUMMYFUNCTION("""COMPUTED_VALUE"""),"Oksigen 6m3")</f>
        <v>Oksigen 6m3</v>
      </c>
      <c r="H4539" s="211" t="str">
        <f>IFERROR(__xludf.DUMMYFUNCTION("""COMPUTED_VALUE"""),"OUT")</f>
        <v>OUT</v>
      </c>
      <c r="I4539" s="211" t="str">
        <f>IFERROR(__xludf.DUMMYFUNCTION("""COMPUTED_VALUE"""),"NORMAL")</f>
        <v>NORMAL</v>
      </c>
      <c r="J4539" s="211">
        <f>IFERROR(__xludf.DUMMYFUNCTION("""COMPUTED_VALUE"""),5.0)</f>
        <v>5</v>
      </c>
      <c r="K4539" s="210" t="str">
        <f>IFERROR(__xludf.DUMMYFUNCTION("""COMPUTED_VALUE"""),"1107 1154 11365 11245 1115")</f>
        <v>1107 1154 11365 11245 1115</v>
      </c>
      <c r="L4539" s="211">
        <f>IFERROR(__xludf.DUMMYFUNCTION("""COMPUTED_VALUE"""),60000.0)</f>
        <v>60000</v>
      </c>
      <c r="M4539" s="211"/>
      <c r="N4539" s="211"/>
      <c r="O4539" s="211" t="b">
        <f>IFERROR(__xludf.DUMMYFUNCTION("""COMPUTED_VALUE"""),FALSE)</f>
        <v>0</v>
      </c>
    </row>
    <row r="4540">
      <c r="A4540" s="210" t="str">
        <f>IFERROR(__xludf.DUMMYFUNCTION("""COMPUTED_VALUE"""),"0426133099")</f>
        <v>0426133099</v>
      </c>
      <c r="B4540" s="210" t="str">
        <f>IFERROR(__xludf.DUMMYFUNCTION("""COMPUTED_VALUE"""),"0426133099")</f>
        <v>0426133099</v>
      </c>
      <c r="C4540" s="213">
        <f>IFERROR(__xludf.DUMMYFUNCTION("""COMPUTED_VALUE"""),46128.36524305555)</f>
        <v>46128.36524</v>
      </c>
      <c r="D4540" s="211" t="str">
        <f>IFERROR(__xludf.DUMMYFUNCTION("""COMPUTED_VALUE"""),"d9b2fac5")</f>
        <v>d9b2fac5</v>
      </c>
      <c r="E4540" s="211" t="str">
        <f>IFERROR(__xludf.DUMMYFUNCTION("""COMPUTED_VALUE"""),"Dwi Riza ( Ponokawan)")</f>
        <v>Dwi Riza ( Ponokawan)</v>
      </c>
      <c r="F4540" s="211" t="str">
        <f>IFERROR(__xludf.DUMMYFUNCTION("""COMPUTED_VALUE"""),"a50ce892")</f>
        <v>a50ce892</v>
      </c>
      <c r="G4540" s="211" t="str">
        <f>IFERROR(__xludf.DUMMYFUNCTION("""COMPUTED_VALUE"""),"Nitrogen 6m3")</f>
        <v>Nitrogen 6m3</v>
      </c>
      <c r="H4540" s="211" t="str">
        <f>IFERROR(__xludf.DUMMYFUNCTION("""COMPUTED_VALUE"""),"OUT")</f>
        <v>OUT</v>
      </c>
      <c r="I4540" s="211" t="str">
        <f>IFERROR(__xludf.DUMMYFUNCTION("""COMPUTED_VALUE"""),"NORMAL")</f>
        <v>NORMAL</v>
      </c>
      <c r="J4540" s="211">
        <f>IFERROR(__xludf.DUMMYFUNCTION("""COMPUTED_VALUE"""),3.0)</f>
        <v>3</v>
      </c>
      <c r="K4540" s="210" t="str">
        <f>IFERROR(__xludf.DUMMYFUNCTION("""COMPUTED_VALUE"""),"14002 14004 14005")</f>
        <v>14002 14004 14005</v>
      </c>
      <c r="L4540" s="211">
        <f>IFERROR(__xludf.DUMMYFUNCTION("""COMPUTED_VALUE"""),75000.0)</f>
        <v>75000</v>
      </c>
      <c r="M4540" s="211"/>
      <c r="N4540" s="211"/>
      <c r="O4540" s="211" t="b">
        <f>IFERROR(__xludf.DUMMYFUNCTION("""COMPUTED_VALUE"""),FALSE)</f>
        <v>0</v>
      </c>
    </row>
    <row r="4541">
      <c r="A4541" s="210" t="str">
        <f>IFERROR(__xludf.DUMMYFUNCTION("""COMPUTED_VALUE"""),"0426443100")</f>
        <v>0426443100</v>
      </c>
      <c r="B4541" s="210" t="str">
        <f>IFERROR(__xludf.DUMMYFUNCTION("""COMPUTED_VALUE"""),"0426443100")</f>
        <v>0426443100</v>
      </c>
      <c r="C4541" s="213">
        <f>IFERROR(__xludf.DUMMYFUNCTION("""COMPUTED_VALUE"""),46128.36734953704)</f>
        <v>46128.36735</v>
      </c>
      <c r="D4541" s="211" t="str">
        <f>IFERROR(__xludf.DUMMYFUNCTION("""COMPUTED_VALUE"""),"ce83e171")</f>
        <v>ce83e171</v>
      </c>
      <c r="E4541" s="211" t="str">
        <f>IFERROR(__xludf.DUMMYFUNCTION("""COMPUTED_VALUE"""),"Bpk. Sulaiman")</f>
        <v>Bpk. Sulaiman</v>
      </c>
      <c r="F4541" s="211" t="str">
        <f>IFERROR(__xludf.DUMMYFUNCTION("""COMPUTED_VALUE"""),"f6aab7a9")</f>
        <v>f6aab7a9</v>
      </c>
      <c r="G4541" s="211" t="str">
        <f>IFERROR(__xludf.DUMMYFUNCTION("""COMPUTED_VALUE"""),"Oksigen 6m3 MR")</f>
        <v>Oksigen 6m3 MR</v>
      </c>
      <c r="H4541" s="211" t="str">
        <f>IFERROR(__xludf.DUMMYFUNCTION("""COMPUTED_VALUE"""),"OUT")</f>
        <v>OUT</v>
      </c>
      <c r="I4541" s="211" t="str">
        <f>IFERROR(__xludf.DUMMYFUNCTION("""COMPUTED_VALUE"""),"NORMAL")</f>
        <v>NORMAL</v>
      </c>
      <c r="J4541" s="211">
        <f>IFERROR(__xludf.DUMMYFUNCTION("""COMPUTED_VALUE"""),3.0)</f>
        <v>3</v>
      </c>
      <c r="K4541" s="211"/>
      <c r="L4541" s="211">
        <f>IFERROR(__xludf.DUMMYFUNCTION("""COMPUTED_VALUE"""),55000.0)</f>
        <v>55000</v>
      </c>
      <c r="M4541" s="211"/>
      <c r="N4541" s="211"/>
      <c r="O4541" s="211" t="b">
        <f>IFERROR(__xludf.DUMMYFUNCTION("""COMPUTED_VALUE"""),FALSE)</f>
        <v>0</v>
      </c>
    </row>
    <row r="4542">
      <c r="A4542" s="210" t="str">
        <f>IFERROR(__xludf.DUMMYFUNCTION("""COMPUTED_VALUE"""),"0426163101")</f>
        <v>0426163101</v>
      </c>
      <c r="B4542" s="210" t="str">
        <f>IFERROR(__xludf.DUMMYFUNCTION("""COMPUTED_VALUE"""),"0426163101")</f>
        <v>0426163101</v>
      </c>
      <c r="C4542" s="213">
        <f>IFERROR(__xludf.DUMMYFUNCTION("""COMPUTED_VALUE"""),46128.36765046296)</f>
        <v>46128.36765</v>
      </c>
      <c r="D4542" s="211" t="str">
        <f>IFERROR(__xludf.DUMMYFUNCTION("""COMPUTED_VALUE"""),"dcdf8b31")</f>
        <v>dcdf8b31</v>
      </c>
      <c r="E4542" s="211" t="str">
        <f>IFERROR(__xludf.DUMMYFUNCTION("""COMPUTED_VALUE"""),"Bpk. Samsul (Jetis)")</f>
        <v>Bpk. Samsul (Jetis)</v>
      </c>
      <c r="F4542" s="211" t="str">
        <f>IFERROR(__xludf.DUMMYFUNCTION("""COMPUTED_VALUE"""),"8bdbe149")</f>
        <v>8bdbe149</v>
      </c>
      <c r="G4542" s="211" t="str">
        <f>IFERROR(__xludf.DUMMYFUNCTION("""COMPUTED_VALUE"""),"Oksigen 6m3")</f>
        <v>Oksigen 6m3</v>
      </c>
      <c r="H4542" s="211" t="str">
        <f>IFERROR(__xludf.DUMMYFUNCTION("""COMPUTED_VALUE"""),"OUT")</f>
        <v>OUT</v>
      </c>
      <c r="I4542" s="211" t="str">
        <f>IFERROR(__xludf.DUMMYFUNCTION("""COMPUTED_VALUE"""),"NORMAL")</f>
        <v>NORMAL</v>
      </c>
      <c r="J4542" s="211">
        <f>IFERROR(__xludf.DUMMYFUNCTION("""COMPUTED_VALUE"""),1.0)</f>
        <v>1</v>
      </c>
      <c r="K4542" s="210" t="str">
        <f>IFERROR(__xludf.DUMMYFUNCTION("""COMPUTED_VALUE"""),"11326")</f>
        <v>11326</v>
      </c>
      <c r="L4542" s="211">
        <f>IFERROR(__xludf.DUMMYFUNCTION("""COMPUTED_VALUE"""),70000.0)</f>
        <v>70000</v>
      </c>
      <c r="M4542" s="211"/>
      <c r="N4542" s="211"/>
      <c r="O4542" s="211" t="b">
        <f>IFERROR(__xludf.DUMMYFUNCTION("""COMPUTED_VALUE"""),FALSE)</f>
        <v>0</v>
      </c>
    </row>
    <row r="4543">
      <c r="A4543" s="210" t="str">
        <f>IFERROR(__xludf.DUMMYFUNCTION("""COMPUTED_VALUE"""),"0426293102")</f>
        <v>0426293102</v>
      </c>
      <c r="B4543" s="210" t="str">
        <f>IFERROR(__xludf.DUMMYFUNCTION("""COMPUTED_VALUE"""),"0426293102")</f>
        <v>0426293102</v>
      </c>
      <c r="C4543" s="213">
        <f>IFERROR(__xludf.DUMMYFUNCTION("""COMPUTED_VALUE"""),46128.36791666667)</f>
        <v>46128.36792</v>
      </c>
      <c r="D4543" s="211" t="str">
        <f>IFERROR(__xludf.DUMMYFUNCTION("""COMPUTED_VALUE"""),"3bcd7fe6")</f>
        <v>3bcd7fe6</v>
      </c>
      <c r="E4543" s="211" t="str">
        <f>IFERROR(__xludf.DUMMYFUNCTION("""COMPUTED_VALUE"""),"Bpk. Alvin (LB Group)")</f>
        <v>Bpk. Alvin (LB Group)</v>
      </c>
      <c r="F4543" s="211" t="str">
        <f>IFERROR(__xludf.DUMMYFUNCTION("""COMPUTED_VALUE"""),"f6aab7a9")</f>
        <v>f6aab7a9</v>
      </c>
      <c r="G4543" s="211" t="str">
        <f>IFERROR(__xludf.DUMMYFUNCTION("""COMPUTED_VALUE"""),"Oksigen 6m3 MR")</f>
        <v>Oksigen 6m3 MR</v>
      </c>
      <c r="H4543" s="211" t="str">
        <f>IFERROR(__xludf.DUMMYFUNCTION("""COMPUTED_VALUE"""),"OUT")</f>
        <v>OUT</v>
      </c>
      <c r="I4543" s="211" t="str">
        <f>IFERROR(__xludf.DUMMYFUNCTION("""COMPUTED_VALUE"""),"NORMAL")</f>
        <v>NORMAL</v>
      </c>
      <c r="J4543" s="211">
        <f>IFERROR(__xludf.DUMMYFUNCTION("""COMPUTED_VALUE"""),1.0)</f>
        <v>1</v>
      </c>
      <c r="K4543" s="211"/>
      <c r="L4543" s="211">
        <f>IFERROR(__xludf.DUMMYFUNCTION("""COMPUTED_VALUE"""),50000.0)</f>
        <v>50000</v>
      </c>
      <c r="M4543" s="211"/>
      <c r="N4543" s="211"/>
      <c r="O4543" s="211" t="b">
        <f>IFERROR(__xludf.DUMMYFUNCTION("""COMPUTED_VALUE"""),FALSE)</f>
        <v>0</v>
      </c>
    </row>
    <row r="4544">
      <c r="A4544" s="210" t="str">
        <f>IFERROR(__xludf.DUMMYFUNCTION("""COMPUTED_VALUE"""),"0426153103")</f>
        <v>0426153103</v>
      </c>
      <c r="B4544" s="210" t="str">
        <f>IFERROR(__xludf.DUMMYFUNCTION("""COMPUTED_VALUE"""),"0426153103")</f>
        <v>0426153103</v>
      </c>
      <c r="C4544" s="213">
        <f>IFERROR(__xludf.DUMMYFUNCTION("""COMPUTED_VALUE"""),46128.60192129629)</f>
        <v>46128.60192</v>
      </c>
      <c r="D4544" s="211" t="str">
        <f>IFERROR(__xludf.DUMMYFUNCTION("""COMPUTED_VALUE"""),"17a8e612")</f>
        <v>17a8e612</v>
      </c>
      <c r="E4544" s="211" t="str">
        <f>IFERROR(__xludf.DUMMYFUNCTION("""COMPUTED_VALUE"""),"Flashtech Machinery")</f>
        <v>Flashtech Machinery</v>
      </c>
      <c r="F4544" s="211" t="str">
        <f>IFERROR(__xludf.DUMMYFUNCTION("""COMPUTED_VALUE"""),"66af7c72")</f>
        <v>66af7c72</v>
      </c>
      <c r="G4544" s="211" t="str">
        <f>IFERROR(__xludf.DUMMYFUNCTION("""COMPUTED_VALUE"""),"Argon 6m3")</f>
        <v>Argon 6m3</v>
      </c>
      <c r="H4544" s="211" t="str">
        <f>IFERROR(__xludf.DUMMYFUNCTION("""COMPUTED_VALUE"""),"OUT")</f>
        <v>OUT</v>
      </c>
      <c r="I4544" s="211" t="str">
        <f>IFERROR(__xludf.DUMMYFUNCTION("""COMPUTED_VALUE"""),"NORMAL")</f>
        <v>NORMAL</v>
      </c>
      <c r="J4544" s="211">
        <f>IFERROR(__xludf.DUMMYFUNCTION("""COMPUTED_VALUE"""),3.0)</f>
        <v>3</v>
      </c>
      <c r="K4544" s="210" t="str">
        <f>IFERROR(__xludf.DUMMYFUNCTION("""COMPUTED_VALUE"""),"12049 12066 12031")</f>
        <v>12049 12066 12031</v>
      </c>
      <c r="L4544" s="211">
        <f>IFERROR(__xludf.DUMMYFUNCTION("""COMPUTED_VALUE"""),210000.0)</f>
        <v>210000</v>
      </c>
      <c r="M4544" s="211"/>
      <c r="N4544" s="211"/>
      <c r="O4544" s="211" t="b">
        <f>IFERROR(__xludf.DUMMYFUNCTION("""COMPUTED_VALUE"""),FALSE)</f>
        <v>0</v>
      </c>
    </row>
    <row r="4545">
      <c r="A4545" s="210" t="str">
        <f>IFERROR(__xludf.DUMMYFUNCTION("""COMPUTED_VALUE"""),"1261552")</f>
        <v>1261552</v>
      </c>
      <c r="B4545" s="210" t="str">
        <f>IFERROR(__xludf.DUMMYFUNCTION("""COMPUTED_VALUE"""),"1261552")</f>
        <v>1261552</v>
      </c>
      <c r="C4545" s="213">
        <f>IFERROR(__xludf.DUMMYFUNCTION("""COMPUTED_VALUE"""),46128.602789351855)</f>
        <v>46128.60279</v>
      </c>
      <c r="D4545" s="211" t="str">
        <f>IFERROR(__xludf.DUMMYFUNCTION("""COMPUTED_VALUE"""),"9828dfc5")</f>
        <v>9828dfc5</v>
      </c>
      <c r="E4545" s="211" t="str">
        <f>IFERROR(__xludf.DUMMYFUNCTION("""COMPUTED_VALUE"""),"Bpk. David")</f>
        <v>Bpk. David</v>
      </c>
      <c r="F4545" s="211" t="str">
        <f>IFERROR(__xludf.DUMMYFUNCTION("""COMPUTED_VALUE"""),"8bdbe149")</f>
        <v>8bdbe149</v>
      </c>
      <c r="G4545" s="211" t="str">
        <f>IFERROR(__xludf.DUMMYFUNCTION("""COMPUTED_VALUE"""),"Oksigen 6m3")</f>
        <v>Oksigen 6m3</v>
      </c>
      <c r="H4545" s="211" t="str">
        <f>IFERROR(__xludf.DUMMYFUNCTION("""COMPUTED_VALUE"""),"IN")</f>
        <v>IN</v>
      </c>
      <c r="I4545" s="211" t="str">
        <f>IFERROR(__xludf.DUMMYFUNCTION("""COMPUTED_VALUE"""),"EMPTY")</f>
        <v>EMPTY</v>
      </c>
      <c r="J4545" s="211">
        <f>IFERROR(__xludf.DUMMYFUNCTION("""COMPUTED_VALUE"""),3.0)</f>
        <v>3</v>
      </c>
      <c r="K4545" s="210" t="str">
        <f>IFERROR(__xludf.DUMMYFUNCTION("""COMPUTED_VALUE"""),"11265 1164 1116")</f>
        <v>11265 1164 1116</v>
      </c>
      <c r="L4545" s="211">
        <f>IFERROR(__xludf.DUMMYFUNCTION("""COMPUTED_VALUE"""),0.0)</f>
        <v>0</v>
      </c>
      <c r="M4545" s="211"/>
      <c r="N4545" s="211"/>
      <c r="O4545" s="211" t="b">
        <f>IFERROR(__xludf.DUMMYFUNCTION("""COMPUTED_VALUE"""),FALSE)</f>
        <v>0</v>
      </c>
    </row>
    <row r="4546">
      <c r="A4546" s="210" t="str">
        <f>IFERROR(__xludf.DUMMYFUNCTION("""COMPUTED_VALUE"""),"1261553")</f>
        <v>1261553</v>
      </c>
      <c r="B4546" s="210" t="str">
        <f>IFERROR(__xludf.DUMMYFUNCTION("""COMPUTED_VALUE"""),"1261553")</f>
        <v>1261553</v>
      </c>
      <c r="C4546" s="213">
        <f>IFERROR(__xludf.DUMMYFUNCTION("""COMPUTED_VALUE"""),46128.60517361111)</f>
        <v>46128.60517</v>
      </c>
      <c r="D4546" s="211" t="str">
        <f>IFERROR(__xludf.DUMMYFUNCTION("""COMPUTED_VALUE"""),"b2b5f2c5")</f>
        <v>b2b5f2c5</v>
      </c>
      <c r="E4546" s="211" t="str">
        <f>IFERROR(__xludf.DUMMYFUNCTION("""COMPUTED_VALUE"""),"Bengkel Las Bpk. Ari")</f>
        <v>Bengkel Las Bpk. Ari</v>
      </c>
      <c r="F4546" s="211" t="str">
        <f>IFERROR(__xludf.DUMMYFUNCTION("""COMPUTED_VALUE"""),"8bdbe149")</f>
        <v>8bdbe149</v>
      </c>
      <c r="G4546" s="211" t="str">
        <f>IFERROR(__xludf.DUMMYFUNCTION("""COMPUTED_VALUE"""),"Oksigen 6m3")</f>
        <v>Oksigen 6m3</v>
      </c>
      <c r="H4546" s="211" t="str">
        <f>IFERROR(__xludf.DUMMYFUNCTION("""COMPUTED_VALUE"""),"IN")</f>
        <v>IN</v>
      </c>
      <c r="I4546" s="211" t="str">
        <f>IFERROR(__xludf.DUMMYFUNCTION("""COMPUTED_VALUE"""),"EMPTY")</f>
        <v>EMPTY</v>
      </c>
      <c r="J4546" s="211">
        <f>IFERROR(__xludf.DUMMYFUNCTION("""COMPUTED_VALUE"""),1.0)</f>
        <v>1</v>
      </c>
      <c r="K4546" s="210" t="str">
        <f>IFERROR(__xludf.DUMMYFUNCTION("""COMPUTED_VALUE"""),"11341")</f>
        <v>11341</v>
      </c>
      <c r="L4546" s="211">
        <f>IFERROR(__xludf.DUMMYFUNCTION("""COMPUTED_VALUE"""),0.0)</f>
        <v>0</v>
      </c>
      <c r="M4546" s="211"/>
      <c r="N4546" s="211"/>
      <c r="O4546" s="211" t="b">
        <f>IFERROR(__xludf.DUMMYFUNCTION("""COMPUTED_VALUE"""),FALSE)</f>
        <v>0</v>
      </c>
    </row>
    <row r="4547">
      <c r="A4547" s="210" t="str">
        <f>IFERROR(__xludf.DUMMYFUNCTION("""COMPUTED_VALUE"""),"1261553")</f>
        <v>1261553</v>
      </c>
      <c r="B4547" s="210" t="str">
        <f>IFERROR(__xludf.DUMMYFUNCTION("""COMPUTED_VALUE"""),"1261553")</f>
        <v>1261553</v>
      </c>
      <c r="C4547" s="213">
        <f>IFERROR(__xludf.DUMMYFUNCTION("""COMPUTED_VALUE"""),46128.60517361111)</f>
        <v>46128.60517</v>
      </c>
      <c r="D4547" s="211" t="str">
        <f>IFERROR(__xludf.DUMMYFUNCTION("""COMPUTED_VALUE"""),"b2b5f2c5")</f>
        <v>b2b5f2c5</v>
      </c>
      <c r="E4547" s="211" t="str">
        <f>IFERROR(__xludf.DUMMYFUNCTION("""COMPUTED_VALUE"""),"Bengkel Las Bpk. Ari")</f>
        <v>Bengkel Las Bpk. Ari</v>
      </c>
      <c r="F4547" s="211" t="str">
        <f>IFERROR(__xludf.DUMMYFUNCTION("""COMPUTED_VALUE"""),"7d2764f1")</f>
        <v>7d2764f1</v>
      </c>
      <c r="G4547" s="211" t="str">
        <f>IFERROR(__xludf.DUMMYFUNCTION("""COMPUTED_VALUE"""),"Oksigen 7m3")</f>
        <v>Oksigen 7m3</v>
      </c>
      <c r="H4547" s="211" t="str">
        <f>IFERROR(__xludf.DUMMYFUNCTION("""COMPUTED_VALUE"""),"IN")</f>
        <v>IN</v>
      </c>
      <c r="I4547" s="211" t="str">
        <f>IFERROR(__xludf.DUMMYFUNCTION("""COMPUTED_VALUE"""),"EMPTY")</f>
        <v>EMPTY</v>
      </c>
      <c r="J4547" s="211">
        <f>IFERROR(__xludf.DUMMYFUNCTION("""COMPUTED_VALUE"""),2.0)</f>
        <v>2</v>
      </c>
      <c r="K4547" s="210" t="str">
        <f>IFERROR(__xludf.DUMMYFUNCTION("""COMPUTED_VALUE"""),"11163 11137")</f>
        <v>11163 11137</v>
      </c>
      <c r="L4547" s="211">
        <f>IFERROR(__xludf.DUMMYFUNCTION("""COMPUTED_VALUE"""),0.0)</f>
        <v>0</v>
      </c>
      <c r="M4547" s="211"/>
      <c r="N4547" s="211"/>
      <c r="O4547" s="211" t="b">
        <f>IFERROR(__xludf.DUMMYFUNCTION("""COMPUTED_VALUE"""),FALSE)</f>
        <v>0</v>
      </c>
    </row>
    <row r="4548">
      <c r="A4548" s="210" t="str">
        <f>IFERROR(__xludf.DUMMYFUNCTION("""COMPUTED_VALUE"""),"1261553")</f>
        <v>1261553</v>
      </c>
      <c r="B4548" s="210" t="str">
        <f>IFERROR(__xludf.DUMMYFUNCTION("""COMPUTED_VALUE"""),"1261553")</f>
        <v>1261553</v>
      </c>
      <c r="C4548" s="213">
        <f>IFERROR(__xludf.DUMMYFUNCTION("""COMPUTED_VALUE"""),46128.60517361111)</f>
        <v>46128.60517</v>
      </c>
      <c r="D4548" s="211" t="str">
        <f>IFERROR(__xludf.DUMMYFUNCTION("""COMPUTED_VALUE"""),"b2b5f2c5")</f>
        <v>b2b5f2c5</v>
      </c>
      <c r="E4548" s="211" t="str">
        <f>IFERROR(__xludf.DUMMYFUNCTION("""COMPUTED_VALUE"""),"Bengkel Las Bpk. Ari")</f>
        <v>Bengkel Las Bpk. Ari</v>
      </c>
      <c r="F4548" s="211" t="str">
        <f>IFERROR(__xludf.DUMMYFUNCTION("""COMPUTED_VALUE"""),"ef306e54")</f>
        <v>ef306e54</v>
      </c>
      <c r="G4548" s="211" t="str">
        <f>IFERROR(__xludf.DUMMYFUNCTION("""COMPUTED_VALUE"""),"Karbondioksida")</f>
        <v>Karbondioksida</v>
      </c>
      <c r="H4548" s="211" t="str">
        <f>IFERROR(__xludf.DUMMYFUNCTION("""COMPUTED_VALUE"""),"IN")</f>
        <v>IN</v>
      </c>
      <c r="I4548" s="211" t="str">
        <f>IFERROR(__xludf.DUMMYFUNCTION("""COMPUTED_VALUE"""),"EMPTY")</f>
        <v>EMPTY</v>
      </c>
      <c r="J4548" s="211">
        <f>IFERROR(__xludf.DUMMYFUNCTION("""COMPUTED_VALUE"""),1.0)</f>
        <v>1</v>
      </c>
      <c r="K4548" s="210" t="str">
        <f>IFERROR(__xludf.DUMMYFUNCTION("""COMPUTED_VALUE"""),"13043")</f>
        <v>13043</v>
      </c>
      <c r="L4548" s="211">
        <f>IFERROR(__xludf.DUMMYFUNCTION("""COMPUTED_VALUE"""),0.0)</f>
        <v>0</v>
      </c>
      <c r="M4548" s="211"/>
      <c r="N4548" s="211"/>
      <c r="O4548" s="211" t="b">
        <f>IFERROR(__xludf.DUMMYFUNCTION("""COMPUTED_VALUE"""),FALSE)</f>
        <v>0</v>
      </c>
    </row>
    <row r="4549">
      <c r="A4549" s="210" t="str">
        <f>IFERROR(__xludf.DUMMYFUNCTION("""COMPUTED_VALUE"""),"1261553")</f>
        <v>1261553</v>
      </c>
      <c r="B4549" s="210" t="str">
        <f>IFERROR(__xludf.DUMMYFUNCTION("""COMPUTED_VALUE"""),"1261553")</f>
        <v>1261553</v>
      </c>
      <c r="C4549" s="213">
        <f>IFERROR(__xludf.DUMMYFUNCTION("""COMPUTED_VALUE"""),46128.60517361111)</f>
        <v>46128.60517</v>
      </c>
      <c r="D4549" s="211" t="str">
        <f>IFERROR(__xludf.DUMMYFUNCTION("""COMPUTED_VALUE"""),"b2b5f2c5")</f>
        <v>b2b5f2c5</v>
      </c>
      <c r="E4549" s="211" t="str">
        <f>IFERROR(__xludf.DUMMYFUNCTION("""COMPUTED_VALUE"""),"Bengkel Las Bpk. Ari")</f>
        <v>Bengkel Las Bpk. Ari</v>
      </c>
      <c r="F4549" s="211" t="str">
        <f>IFERROR(__xludf.DUMMYFUNCTION("""COMPUTED_VALUE"""),"f6aab7a9")</f>
        <v>f6aab7a9</v>
      </c>
      <c r="G4549" s="211" t="str">
        <f>IFERROR(__xludf.DUMMYFUNCTION("""COMPUTED_VALUE"""),"Oksigen 6m3 MR")</f>
        <v>Oksigen 6m3 MR</v>
      </c>
      <c r="H4549" s="211" t="str">
        <f>IFERROR(__xludf.DUMMYFUNCTION("""COMPUTED_VALUE"""),"IN")</f>
        <v>IN</v>
      </c>
      <c r="I4549" s="211" t="str">
        <f>IFERROR(__xludf.DUMMYFUNCTION("""COMPUTED_VALUE"""),"EMPTY")</f>
        <v>EMPTY</v>
      </c>
      <c r="J4549" s="211">
        <f>IFERROR(__xludf.DUMMYFUNCTION("""COMPUTED_VALUE"""),3.0)</f>
        <v>3</v>
      </c>
      <c r="K4549" s="211"/>
      <c r="L4549" s="211">
        <f>IFERROR(__xludf.DUMMYFUNCTION("""COMPUTED_VALUE"""),0.0)</f>
        <v>0</v>
      </c>
      <c r="M4549" s="211"/>
      <c r="N4549" s="211"/>
      <c r="O4549" s="211" t="b">
        <f>IFERROR(__xludf.DUMMYFUNCTION("""COMPUTED_VALUE"""),FALSE)</f>
        <v>0</v>
      </c>
    </row>
    <row r="4550">
      <c r="A4550" s="210" t="str">
        <f>IFERROR(__xludf.DUMMYFUNCTION("""COMPUTED_VALUE"""),"1261543")</f>
        <v>1261543</v>
      </c>
      <c r="B4550" s="210" t="str">
        <f>IFERROR(__xludf.DUMMYFUNCTION("""COMPUTED_VALUE"""),"1261543")</f>
        <v>1261543</v>
      </c>
      <c r="C4550" s="213">
        <f>IFERROR(__xludf.DUMMYFUNCTION("""COMPUTED_VALUE"""),46128.606620370374)</f>
        <v>46128.60662</v>
      </c>
      <c r="D4550" s="211" t="str">
        <f>IFERROR(__xludf.DUMMYFUNCTION("""COMPUTED_VALUE"""),"1c48ae79")</f>
        <v>1c48ae79</v>
      </c>
      <c r="E4550" s="211" t="str">
        <f>IFERROR(__xludf.DUMMYFUNCTION("""COMPUTED_VALUE"""),"Bpk. Jafar Rosokan")</f>
        <v>Bpk. Jafar Rosokan</v>
      </c>
      <c r="F4550" s="211" t="str">
        <f>IFERROR(__xludf.DUMMYFUNCTION("""COMPUTED_VALUE"""),"8bdbe149")</f>
        <v>8bdbe149</v>
      </c>
      <c r="G4550" s="211" t="str">
        <f>IFERROR(__xludf.DUMMYFUNCTION("""COMPUTED_VALUE"""),"Oksigen 6m3")</f>
        <v>Oksigen 6m3</v>
      </c>
      <c r="H4550" s="211" t="str">
        <f>IFERROR(__xludf.DUMMYFUNCTION("""COMPUTED_VALUE"""),"IN")</f>
        <v>IN</v>
      </c>
      <c r="I4550" s="211" t="str">
        <f>IFERROR(__xludf.DUMMYFUNCTION("""COMPUTED_VALUE"""),"EMPTY")</f>
        <v>EMPTY</v>
      </c>
      <c r="J4550" s="211">
        <f>IFERROR(__xludf.DUMMYFUNCTION("""COMPUTED_VALUE"""),1.0)</f>
        <v>1</v>
      </c>
      <c r="K4550" s="210" t="str">
        <f>IFERROR(__xludf.DUMMYFUNCTION("""COMPUTED_VALUE"""),"11235")</f>
        <v>11235</v>
      </c>
      <c r="L4550" s="211">
        <f>IFERROR(__xludf.DUMMYFUNCTION("""COMPUTED_VALUE"""),0.0)</f>
        <v>0</v>
      </c>
      <c r="M4550" s="211"/>
      <c r="N4550" s="211"/>
      <c r="O4550" s="211" t="b">
        <f>IFERROR(__xludf.DUMMYFUNCTION("""COMPUTED_VALUE"""),FALSE)</f>
        <v>0</v>
      </c>
    </row>
    <row r="4551">
      <c r="A4551" s="210" t="str">
        <f>IFERROR(__xludf.DUMMYFUNCTION("""COMPUTED_VALUE"""),"1261546")</f>
        <v>1261546</v>
      </c>
      <c r="B4551" s="210" t="str">
        <f>IFERROR(__xludf.DUMMYFUNCTION("""COMPUTED_VALUE"""),"1261546")</f>
        <v>1261546</v>
      </c>
      <c r="C4551" s="213">
        <f>IFERROR(__xludf.DUMMYFUNCTION("""COMPUTED_VALUE"""),46128.607152777775)</f>
        <v>46128.60715</v>
      </c>
      <c r="D4551" s="211" t="str">
        <f>IFERROR(__xludf.DUMMYFUNCTION("""COMPUTED_VALUE"""),"3b04351a")</f>
        <v>3b04351a</v>
      </c>
      <c r="E4551" s="211" t="str">
        <f>IFERROR(__xludf.DUMMYFUNCTION("""COMPUTED_VALUE"""),"CV Usaha Logam Jaya")</f>
        <v>CV Usaha Logam Jaya</v>
      </c>
      <c r="F4551" s="211" t="str">
        <f>IFERROR(__xludf.DUMMYFUNCTION("""COMPUTED_VALUE"""),"8bdbe149")</f>
        <v>8bdbe149</v>
      </c>
      <c r="G4551" s="211" t="str">
        <f>IFERROR(__xludf.DUMMYFUNCTION("""COMPUTED_VALUE"""),"Oksigen 6m3")</f>
        <v>Oksigen 6m3</v>
      </c>
      <c r="H4551" s="211" t="str">
        <f>IFERROR(__xludf.DUMMYFUNCTION("""COMPUTED_VALUE"""),"IN")</f>
        <v>IN</v>
      </c>
      <c r="I4551" s="211" t="str">
        <f>IFERROR(__xludf.DUMMYFUNCTION("""COMPUTED_VALUE"""),"EMPTY")</f>
        <v>EMPTY</v>
      </c>
      <c r="J4551" s="211">
        <f>IFERROR(__xludf.DUMMYFUNCTION("""COMPUTED_VALUE"""),1.0)</f>
        <v>1</v>
      </c>
      <c r="K4551" s="210" t="str">
        <f>IFERROR(__xludf.DUMMYFUNCTION("""COMPUTED_VALUE"""),"11257")</f>
        <v>11257</v>
      </c>
      <c r="L4551" s="211">
        <f>IFERROR(__xludf.DUMMYFUNCTION("""COMPUTED_VALUE"""),0.0)</f>
        <v>0</v>
      </c>
      <c r="M4551" s="211"/>
      <c r="N4551" s="211"/>
      <c r="O4551" s="211" t="b">
        <f>IFERROR(__xludf.DUMMYFUNCTION("""COMPUTED_VALUE"""),FALSE)</f>
        <v>0</v>
      </c>
    </row>
    <row r="4552">
      <c r="A4552" s="210" t="str">
        <f>IFERROR(__xludf.DUMMYFUNCTION("""COMPUTED_VALUE"""),"1261545")</f>
        <v>1261545</v>
      </c>
      <c r="B4552" s="210" t="str">
        <f>IFERROR(__xludf.DUMMYFUNCTION("""COMPUTED_VALUE"""),"1261545")</f>
        <v>1261545</v>
      </c>
      <c r="C4552" s="213">
        <f>IFERROR(__xludf.DUMMYFUNCTION("""COMPUTED_VALUE"""),46128.60747685185)</f>
        <v>46128.60748</v>
      </c>
      <c r="D4552" s="211" t="str">
        <f>IFERROR(__xludf.DUMMYFUNCTION("""COMPUTED_VALUE"""),"785e0e07")</f>
        <v>785e0e07</v>
      </c>
      <c r="E4552" s="211" t="str">
        <f>IFERROR(__xludf.DUMMYFUNCTION("""COMPUTED_VALUE"""),"Bpk. Sukirno (Bejo)")</f>
        <v>Bpk. Sukirno (Bejo)</v>
      </c>
      <c r="F4552" s="211" t="str">
        <f>IFERROR(__xludf.DUMMYFUNCTION("""COMPUTED_VALUE"""),"8bdbe149")</f>
        <v>8bdbe149</v>
      </c>
      <c r="G4552" s="211" t="str">
        <f>IFERROR(__xludf.DUMMYFUNCTION("""COMPUTED_VALUE"""),"Oksigen 6m3")</f>
        <v>Oksigen 6m3</v>
      </c>
      <c r="H4552" s="211" t="str">
        <f>IFERROR(__xludf.DUMMYFUNCTION("""COMPUTED_VALUE"""),"IN")</f>
        <v>IN</v>
      </c>
      <c r="I4552" s="211" t="str">
        <f>IFERROR(__xludf.DUMMYFUNCTION("""COMPUTED_VALUE"""),"EMPTY")</f>
        <v>EMPTY</v>
      </c>
      <c r="J4552" s="211">
        <f>IFERROR(__xludf.DUMMYFUNCTION("""COMPUTED_VALUE"""),4.0)</f>
        <v>4</v>
      </c>
      <c r="K4552" s="210" t="str">
        <f>IFERROR(__xludf.DUMMYFUNCTION("""COMPUTED_VALUE"""),"11109 11201 11244 11294")</f>
        <v>11109 11201 11244 11294</v>
      </c>
      <c r="L4552" s="211">
        <f>IFERROR(__xludf.DUMMYFUNCTION("""COMPUTED_VALUE"""),0.0)</f>
        <v>0</v>
      </c>
      <c r="M4552" s="211"/>
      <c r="N4552" s="211"/>
      <c r="O4552" s="211" t="b">
        <f>IFERROR(__xludf.DUMMYFUNCTION("""COMPUTED_VALUE"""),FALSE)</f>
        <v>0</v>
      </c>
    </row>
    <row r="4553">
      <c r="A4553" s="210" t="str">
        <f>IFERROR(__xludf.DUMMYFUNCTION("""COMPUTED_VALUE"""),"1261554")</f>
        <v>1261554</v>
      </c>
      <c r="B4553" s="210" t="str">
        <f>IFERROR(__xludf.DUMMYFUNCTION("""COMPUTED_VALUE"""),"1261554")</f>
        <v>1261554</v>
      </c>
      <c r="C4553" s="213">
        <f>IFERROR(__xludf.DUMMYFUNCTION("""COMPUTED_VALUE"""),46128.647048611114)</f>
        <v>46128.64705</v>
      </c>
      <c r="D4553" s="211" t="str">
        <f>IFERROR(__xludf.DUMMYFUNCTION("""COMPUTED_VALUE"""),"58b72e0c")</f>
        <v>58b72e0c</v>
      </c>
      <c r="E4553" s="211" t="str">
        <f>IFERROR(__xludf.DUMMYFUNCTION("""COMPUTED_VALUE"""),"UD. Ais Jaya")</f>
        <v>UD. Ais Jaya</v>
      </c>
      <c r="F4553" s="211" t="str">
        <f>IFERROR(__xludf.DUMMYFUNCTION("""COMPUTED_VALUE"""),"7d2764f1")</f>
        <v>7d2764f1</v>
      </c>
      <c r="G4553" s="211" t="str">
        <f>IFERROR(__xludf.DUMMYFUNCTION("""COMPUTED_VALUE"""),"Oksigen 7m3")</f>
        <v>Oksigen 7m3</v>
      </c>
      <c r="H4553" s="211" t="str">
        <f>IFERROR(__xludf.DUMMYFUNCTION("""COMPUTED_VALUE"""),"IN")</f>
        <v>IN</v>
      </c>
      <c r="I4553" s="211" t="str">
        <f>IFERROR(__xludf.DUMMYFUNCTION("""COMPUTED_VALUE"""),"EMPTY")</f>
        <v>EMPTY</v>
      </c>
      <c r="J4553" s="211">
        <f>IFERROR(__xludf.DUMMYFUNCTION("""COMPUTED_VALUE"""),1.0)</f>
        <v>1</v>
      </c>
      <c r="K4553" s="210" t="str">
        <f>IFERROR(__xludf.DUMMYFUNCTION("""COMPUTED_VALUE"""),"11333")</f>
        <v>11333</v>
      </c>
      <c r="L4553" s="211">
        <f>IFERROR(__xludf.DUMMYFUNCTION("""COMPUTED_VALUE"""),0.0)</f>
        <v>0</v>
      </c>
      <c r="M4553" s="211"/>
      <c r="N4553" s="211"/>
      <c r="O4553" s="211" t="b">
        <f>IFERROR(__xludf.DUMMYFUNCTION("""COMPUTED_VALUE"""),FALSE)</f>
        <v>0</v>
      </c>
    </row>
    <row r="4554">
      <c r="A4554" s="210" t="str">
        <f>IFERROR(__xludf.DUMMYFUNCTION("""COMPUTED_VALUE"""),"1261554")</f>
        <v>1261554</v>
      </c>
      <c r="B4554" s="210" t="str">
        <f>IFERROR(__xludf.DUMMYFUNCTION("""COMPUTED_VALUE"""),"1261554")</f>
        <v>1261554</v>
      </c>
      <c r="C4554" s="213">
        <f>IFERROR(__xludf.DUMMYFUNCTION("""COMPUTED_VALUE"""),46128.647048611114)</f>
        <v>46128.64705</v>
      </c>
      <c r="D4554" s="211" t="str">
        <f>IFERROR(__xludf.DUMMYFUNCTION("""COMPUTED_VALUE"""),"58b72e0c")</f>
        <v>58b72e0c</v>
      </c>
      <c r="E4554" s="211" t="str">
        <f>IFERROR(__xludf.DUMMYFUNCTION("""COMPUTED_VALUE"""),"UD. Ais Jaya")</f>
        <v>UD. Ais Jaya</v>
      </c>
      <c r="F4554" s="211" t="str">
        <f>IFERROR(__xludf.DUMMYFUNCTION("""COMPUTED_VALUE"""),"8bdbe149")</f>
        <v>8bdbe149</v>
      </c>
      <c r="G4554" s="211" t="str">
        <f>IFERROR(__xludf.DUMMYFUNCTION("""COMPUTED_VALUE"""),"Oksigen 6m3")</f>
        <v>Oksigen 6m3</v>
      </c>
      <c r="H4554" s="211" t="str">
        <f>IFERROR(__xludf.DUMMYFUNCTION("""COMPUTED_VALUE"""),"IN")</f>
        <v>IN</v>
      </c>
      <c r="I4554" s="211" t="str">
        <f>IFERROR(__xludf.DUMMYFUNCTION("""COMPUTED_VALUE"""),"EMPTY")</f>
        <v>EMPTY</v>
      </c>
      <c r="J4554" s="211">
        <f>IFERROR(__xludf.DUMMYFUNCTION("""COMPUTED_VALUE"""),5.0)</f>
        <v>5</v>
      </c>
      <c r="K4554" s="210" t="str">
        <f>IFERROR(__xludf.DUMMYFUNCTION("""COMPUTED_VALUE"""),"1126 11268 11385 11236 11343")</f>
        <v>1126 11268 11385 11236 11343</v>
      </c>
      <c r="L4554" s="211">
        <f>IFERROR(__xludf.DUMMYFUNCTION("""COMPUTED_VALUE"""),0.0)</f>
        <v>0</v>
      </c>
      <c r="M4554" s="211"/>
      <c r="N4554" s="211"/>
      <c r="O4554" s="211" t="b">
        <f>IFERROR(__xludf.DUMMYFUNCTION("""COMPUTED_VALUE"""),FALSE)</f>
        <v>0</v>
      </c>
    </row>
    <row r="4555">
      <c r="A4555" s="210" t="str">
        <f>IFERROR(__xludf.DUMMYFUNCTION("""COMPUTED_VALUE"""),"1261547")</f>
        <v>1261547</v>
      </c>
      <c r="B4555" s="210" t="str">
        <f>IFERROR(__xludf.DUMMYFUNCTION("""COMPUTED_VALUE"""),"1261547")</f>
        <v>1261547</v>
      </c>
      <c r="C4555" s="213">
        <f>IFERROR(__xludf.DUMMYFUNCTION("""COMPUTED_VALUE"""),46128.64797453704)</f>
        <v>46128.64797</v>
      </c>
      <c r="D4555" s="211" t="str">
        <f>IFERROR(__xludf.DUMMYFUNCTION("""COMPUTED_VALUE"""),"17a8e612")</f>
        <v>17a8e612</v>
      </c>
      <c r="E4555" s="211" t="str">
        <f>IFERROR(__xludf.DUMMYFUNCTION("""COMPUTED_VALUE"""),"Flashtech Machinery")</f>
        <v>Flashtech Machinery</v>
      </c>
      <c r="F4555" s="211" t="str">
        <f>IFERROR(__xludf.DUMMYFUNCTION("""COMPUTED_VALUE"""),"a50ce892")</f>
        <v>a50ce892</v>
      </c>
      <c r="G4555" s="211" t="str">
        <f>IFERROR(__xludf.DUMMYFUNCTION("""COMPUTED_VALUE"""),"Nitrogen 6m3")</f>
        <v>Nitrogen 6m3</v>
      </c>
      <c r="H4555" s="211" t="str">
        <f>IFERROR(__xludf.DUMMYFUNCTION("""COMPUTED_VALUE"""),"IN")</f>
        <v>IN</v>
      </c>
      <c r="I4555" s="211" t="str">
        <f>IFERROR(__xludf.DUMMYFUNCTION("""COMPUTED_VALUE"""),"EMPTY")</f>
        <v>EMPTY</v>
      </c>
      <c r="J4555" s="211">
        <f>IFERROR(__xludf.DUMMYFUNCTION("""COMPUTED_VALUE"""),4.0)</f>
        <v>4</v>
      </c>
      <c r="K4555" s="210" t="str">
        <f>IFERROR(__xludf.DUMMYFUNCTION("""COMPUTED_VALUE"""),"14001 14003 14008 14015")</f>
        <v>14001 14003 14008 14015</v>
      </c>
      <c r="L4555" s="211">
        <f>IFERROR(__xludf.DUMMYFUNCTION("""COMPUTED_VALUE"""),0.0)</f>
        <v>0</v>
      </c>
      <c r="M4555" s="211"/>
      <c r="N4555" s="211"/>
      <c r="O4555" s="211" t="b">
        <f>IFERROR(__xludf.DUMMYFUNCTION("""COMPUTED_VALUE"""),FALSE)</f>
        <v>0</v>
      </c>
    </row>
    <row r="4556">
      <c r="A4556" s="210" t="str">
        <f>IFERROR(__xludf.DUMMYFUNCTION("""COMPUTED_VALUE"""),"042623104")</f>
        <v>042623104</v>
      </c>
      <c r="B4556" s="210" t="str">
        <f>IFERROR(__xludf.DUMMYFUNCTION("""COMPUTED_VALUE"""),"042623104")</f>
        <v>042623104</v>
      </c>
      <c r="C4556" s="213">
        <f>IFERROR(__xludf.DUMMYFUNCTION("""COMPUTED_VALUE"""),46129.34570601852)</f>
        <v>46129.34571</v>
      </c>
      <c r="D4556" s="211" t="str">
        <f>IFERROR(__xludf.DUMMYFUNCTION("""COMPUTED_VALUE"""),"514e8cd0")</f>
        <v>514e8cd0</v>
      </c>
      <c r="E4556" s="211" t="str">
        <f>IFERROR(__xludf.DUMMYFUNCTION("""COMPUTED_VALUE"""),"Bpk. Nawawi (Balongbendo)")</f>
        <v>Bpk. Nawawi (Balongbendo)</v>
      </c>
      <c r="F4556" s="211" t="str">
        <f>IFERROR(__xludf.DUMMYFUNCTION("""COMPUTED_VALUE"""),"8bdbe149")</f>
        <v>8bdbe149</v>
      </c>
      <c r="G4556" s="211" t="str">
        <f>IFERROR(__xludf.DUMMYFUNCTION("""COMPUTED_VALUE"""),"Oksigen 6m3")</f>
        <v>Oksigen 6m3</v>
      </c>
      <c r="H4556" s="211" t="str">
        <f>IFERROR(__xludf.DUMMYFUNCTION("""COMPUTED_VALUE"""),"OUT")</f>
        <v>OUT</v>
      </c>
      <c r="I4556" s="211" t="str">
        <f>IFERROR(__xludf.DUMMYFUNCTION("""COMPUTED_VALUE"""),"NORMAL")</f>
        <v>NORMAL</v>
      </c>
      <c r="J4556" s="211">
        <f>IFERROR(__xludf.DUMMYFUNCTION("""COMPUTED_VALUE"""),2.0)</f>
        <v>2</v>
      </c>
      <c r="K4556" s="210" t="str">
        <f>IFERROR(__xludf.DUMMYFUNCTION("""COMPUTED_VALUE"""),"11341 11347")</f>
        <v>11341 11347</v>
      </c>
      <c r="L4556" s="211">
        <f>IFERROR(__xludf.DUMMYFUNCTION("""COMPUTED_VALUE"""),65000.0)</f>
        <v>65000</v>
      </c>
      <c r="M4556" s="211"/>
      <c r="N4556" s="211"/>
      <c r="O4556" s="211" t="b">
        <f>IFERROR(__xludf.DUMMYFUNCTION("""COMPUTED_VALUE"""),FALSE)</f>
        <v>0</v>
      </c>
    </row>
    <row r="4557">
      <c r="A4557" s="210" t="str">
        <f>IFERROR(__xludf.DUMMYFUNCTION("""COMPUTED_VALUE"""),"04261053112")</f>
        <v>04261053112</v>
      </c>
      <c r="B4557" s="210" t="str">
        <f>IFERROR(__xludf.DUMMYFUNCTION("""COMPUTED_VALUE"""),"04261053112")</f>
        <v>04261053112</v>
      </c>
      <c r="C4557" s="213">
        <f>IFERROR(__xludf.DUMMYFUNCTION("""COMPUTED_VALUE"""),46129.397939814815)</f>
        <v>46129.39794</v>
      </c>
      <c r="D4557" s="211" t="str">
        <f>IFERROR(__xludf.DUMMYFUNCTION("""COMPUTED_VALUE"""),"b2b5f2c5")</f>
        <v>b2b5f2c5</v>
      </c>
      <c r="E4557" s="211" t="str">
        <f>IFERROR(__xludf.DUMMYFUNCTION("""COMPUTED_VALUE"""),"Bengkel Las Bpk. Ari")</f>
        <v>Bengkel Las Bpk. Ari</v>
      </c>
      <c r="F4557" s="211" t="str">
        <f>IFERROR(__xludf.DUMMYFUNCTION("""COMPUTED_VALUE"""),"f6aab7a9")</f>
        <v>f6aab7a9</v>
      </c>
      <c r="G4557" s="211" t="str">
        <f>IFERROR(__xludf.DUMMYFUNCTION("""COMPUTED_VALUE"""),"Oksigen 6m3 MR")</f>
        <v>Oksigen 6m3 MR</v>
      </c>
      <c r="H4557" s="211" t="str">
        <f>IFERROR(__xludf.DUMMYFUNCTION("""COMPUTED_VALUE"""),"OUT")</f>
        <v>OUT</v>
      </c>
      <c r="I4557" s="211" t="str">
        <f>IFERROR(__xludf.DUMMYFUNCTION("""COMPUTED_VALUE"""),"NORMAL")</f>
        <v>NORMAL</v>
      </c>
      <c r="J4557" s="211">
        <f>IFERROR(__xludf.DUMMYFUNCTION("""COMPUTED_VALUE"""),3.0)</f>
        <v>3</v>
      </c>
      <c r="K4557" s="211"/>
      <c r="L4557" s="211">
        <f>IFERROR(__xludf.DUMMYFUNCTION("""COMPUTED_VALUE"""),55000.0)</f>
        <v>55000</v>
      </c>
      <c r="M4557" s="211"/>
      <c r="N4557" s="211"/>
      <c r="O4557" s="211" t="b">
        <f>IFERROR(__xludf.DUMMYFUNCTION("""COMPUTED_VALUE"""),FALSE)</f>
        <v>0</v>
      </c>
    </row>
    <row r="4558">
      <c r="A4558" s="210" t="str">
        <f>IFERROR(__xludf.DUMMYFUNCTION("""COMPUTED_VALUE"""),"1261548")</f>
        <v>1261548</v>
      </c>
      <c r="B4558" s="210" t="str">
        <f>IFERROR(__xludf.DUMMYFUNCTION("""COMPUTED_VALUE"""),"1261548")</f>
        <v>1261548</v>
      </c>
      <c r="C4558" s="213">
        <f>IFERROR(__xludf.DUMMYFUNCTION("""COMPUTED_VALUE"""),46129.40001157407)</f>
        <v>46129.40001</v>
      </c>
      <c r="D4558" s="211" t="str">
        <f>IFERROR(__xludf.DUMMYFUNCTION("""COMPUTED_VALUE"""),"514e8cd0")</f>
        <v>514e8cd0</v>
      </c>
      <c r="E4558" s="211" t="str">
        <f>IFERROR(__xludf.DUMMYFUNCTION("""COMPUTED_VALUE"""),"Bpk. Nawawi (Balongbendo)")</f>
        <v>Bpk. Nawawi (Balongbendo)</v>
      </c>
      <c r="F4558" s="211" t="str">
        <f>IFERROR(__xludf.DUMMYFUNCTION("""COMPUTED_VALUE"""),"8bdbe149")</f>
        <v>8bdbe149</v>
      </c>
      <c r="G4558" s="211" t="str">
        <f>IFERROR(__xludf.DUMMYFUNCTION("""COMPUTED_VALUE"""),"Oksigen 6m3")</f>
        <v>Oksigen 6m3</v>
      </c>
      <c r="H4558" s="211" t="str">
        <f>IFERROR(__xludf.DUMMYFUNCTION("""COMPUTED_VALUE"""),"IN")</f>
        <v>IN</v>
      </c>
      <c r="I4558" s="211" t="str">
        <f>IFERROR(__xludf.DUMMYFUNCTION("""COMPUTED_VALUE"""),"EMPTY")</f>
        <v>EMPTY</v>
      </c>
      <c r="J4558" s="211">
        <f>IFERROR(__xludf.DUMMYFUNCTION("""COMPUTED_VALUE"""),2.0)</f>
        <v>2</v>
      </c>
      <c r="K4558" s="210" t="str">
        <f>IFERROR(__xludf.DUMMYFUNCTION("""COMPUTED_VALUE"""),"11372 11375")</f>
        <v>11372 11375</v>
      </c>
      <c r="L4558" s="211">
        <f>IFERROR(__xludf.DUMMYFUNCTION("""COMPUTED_VALUE"""),0.0)</f>
        <v>0</v>
      </c>
      <c r="M4558" s="211"/>
      <c r="N4558" s="211"/>
      <c r="O4558" s="211" t="b">
        <f>IFERROR(__xludf.DUMMYFUNCTION("""COMPUTED_VALUE"""),FALSE)</f>
        <v>0</v>
      </c>
    </row>
    <row r="4559">
      <c r="A4559" s="210" t="str">
        <f>IFERROR(__xludf.DUMMYFUNCTION("""COMPUTED_VALUE"""),"1261550")</f>
        <v>1261550</v>
      </c>
      <c r="B4559" s="210" t="str">
        <f>IFERROR(__xludf.DUMMYFUNCTION("""COMPUTED_VALUE"""),"1261550")</f>
        <v>1261550</v>
      </c>
      <c r="C4559" s="213">
        <f>IFERROR(__xludf.DUMMYFUNCTION("""COMPUTED_VALUE"""),46129.400405092594)</f>
        <v>46129.40041</v>
      </c>
      <c r="D4559" s="211" t="str">
        <f>IFERROR(__xludf.DUMMYFUNCTION("""COMPUTED_VALUE"""),"3a48b432")</f>
        <v>3a48b432</v>
      </c>
      <c r="E4559" s="211" t="str">
        <f>IFERROR(__xludf.DUMMYFUNCTION("""COMPUTED_VALUE"""),"Bpk. Dio")</f>
        <v>Bpk. Dio</v>
      </c>
      <c r="F4559" s="211" t="str">
        <f>IFERROR(__xludf.DUMMYFUNCTION("""COMPUTED_VALUE"""),"8bdbe149")</f>
        <v>8bdbe149</v>
      </c>
      <c r="G4559" s="211" t="str">
        <f>IFERROR(__xludf.DUMMYFUNCTION("""COMPUTED_VALUE"""),"Oksigen 6m3")</f>
        <v>Oksigen 6m3</v>
      </c>
      <c r="H4559" s="211" t="str">
        <f>IFERROR(__xludf.DUMMYFUNCTION("""COMPUTED_VALUE"""),"IN")</f>
        <v>IN</v>
      </c>
      <c r="I4559" s="211" t="str">
        <f>IFERROR(__xludf.DUMMYFUNCTION("""COMPUTED_VALUE"""),"EMPTY")</f>
        <v>EMPTY</v>
      </c>
      <c r="J4559" s="211">
        <f>IFERROR(__xludf.DUMMYFUNCTION("""COMPUTED_VALUE"""),1.0)</f>
        <v>1</v>
      </c>
      <c r="K4559" s="210" t="str">
        <f>IFERROR(__xludf.DUMMYFUNCTION("""COMPUTED_VALUE"""),"11204")</f>
        <v>11204</v>
      </c>
      <c r="L4559" s="211">
        <f>IFERROR(__xludf.DUMMYFUNCTION("""COMPUTED_VALUE"""),0.0)</f>
        <v>0</v>
      </c>
      <c r="M4559" s="211"/>
      <c r="N4559" s="211"/>
      <c r="O4559" s="211" t="b">
        <f>IFERROR(__xludf.DUMMYFUNCTION("""COMPUTED_VALUE"""),FALSE)</f>
        <v>0</v>
      </c>
    </row>
    <row r="4560">
      <c r="A4560" s="210" t="str">
        <f>IFERROR(__xludf.DUMMYFUNCTION("""COMPUTED_VALUE"""),"1261550")</f>
        <v>1261550</v>
      </c>
      <c r="B4560" s="210" t="str">
        <f>IFERROR(__xludf.DUMMYFUNCTION("""COMPUTED_VALUE"""),"1261550")</f>
        <v>1261550</v>
      </c>
      <c r="C4560" s="213">
        <f>IFERROR(__xludf.DUMMYFUNCTION("""COMPUTED_VALUE"""),46129.400405092594)</f>
        <v>46129.40041</v>
      </c>
      <c r="D4560" s="211" t="str">
        <f>IFERROR(__xludf.DUMMYFUNCTION("""COMPUTED_VALUE"""),"3a48b432")</f>
        <v>3a48b432</v>
      </c>
      <c r="E4560" s="211" t="str">
        <f>IFERROR(__xludf.DUMMYFUNCTION("""COMPUTED_VALUE"""),"Bpk. Dio")</f>
        <v>Bpk. Dio</v>
      </c>
      <c r="F4560" s="211" t="str">
        <f>IFERROR(__xludf.DUMMYFUNCTION("""COMPUTED_VALUE"""),"8bdbe149")</f>
        <v>8bdbe149</v>
      </c>
      <c r="G4560" s="211" t="str">
        <f>IFERROR(__xludf.DUMMYFUNCTION("""COMPUTED_VALUE"""),"Oksigen 6m3")</f>
        <v>Oksigen 6m3</v>
      </c>
      <c r="H4560" s="211" t="str">
        <f>IFERROR(__xludf.DUMMYFUNCTION("""COMPUTED_VALUE"""),"IN")</f>
        <v>IN</v>
      </c>
      <c r="I4560" s="211" t="str">
        <f>IFERROR(__xludf.DUMMYFUNCTION("""COMPUTED_VALUE"""),"EMPTY")</f>
        <v>EMPTY</v>
      </c>
      <c r="J4560" s="211">
        <f>IFERROR(__xludf.DUMMYFUNCTION("""COMPUTED_VALUE"""),1.0)</f>
        <v>1</v>
      </c>
      <c r="K4560" s="210" t="str">
        <f>IFERROR(__xludf.DUMMYFUNCTION("""COMPUTED_VALUE"""),"1157")</f>
        <v>1157</v>
      </c>
      <c r="L4560" s="211">
        <f>IFERROR(__xludf.DUMMYFUNCTION("""COMPUTED_VALUE"""),0.0)</f>
        <v>0</v>
      </c>
      <c r="M4560" s="211"/>
      <c r="N4560" s="211" t="str">
        <f>IFERROR(__xludf.DUMMYFUNCTION("""COMPUTED_VALUE"""),"Lama cuman blm di tulis ttbk")</f>
        <v>Lama cuman blm di tulis ttbk</v>
      </c>
      <c r="O4560" s="211" t="b">
        <f>IFERROR(__xludf.DUMMYFUNCTION("""COMPUTED_VALUE"""),TRUE)</f>
        <v>1</v>
      </c>
    </row>
    <row r="4561">
      <c r="A4561" s="210" t="str">
        <f>IFERROR(__xludf.DUMMYFUNCTION("""COMPUTED_VALUE"""),"1261549")</f>
        <v>1261549</v>
      </c>
      <c r="B4561" s="210" t="str">
        <f>IFERROR(__xludf.DUMMYFUNCTION("""COMPUTED_VALUE"""),"1261549")</f>
        <v>1261549</v>
      </c>
      <c r="C4561" s="213">
        <f>IFERROR(__xludf.DUMMYFUNCTION("""COMPUTED_VALUE"""),46129.401770833334)</f>
        <v>46129.40177</v>
      </c>
      <c r="D4561" s="211" t="str">
        <f>IFERROR(__xludf.DUMMYFUNCTION("""COMPUTED_VALUE"""),"dfas2312")</f>
        <v>dfas2312</v>
      </c>
      <c r="E4561" s="211" t="str">
        <f>IFERROR(__xludf.DUMMYFUNCTION("""COMPUTED_VALUE"""),"Bpk. Fuad (Parengan)")</f>
        <v>Bpk. Fuad (Parengan)</v>
      </c>
      <c r="F4561" s="211" t="str">
        <f>IFERROR(__xludf.DUMMYFUNCTION("""COMPUTED_VALUE"""),"ce3b37d3")</f>
        <v>ce3b37d3</v>
      </c>
      <c r="G4561" s="211" t="str">
        <f>IFERROR(__xludf.DUMMYFUNCTION("""COMPUTED_VALUE"""),"Argon MR")</f>
        <v>Argon MR</v>
      </c>
      <c r="H4561" s="211" t="str">
        <f>IFERROR(__xludf.DUMMYFUNCTION("""COMPUTED_VALUE"""),"IN")</f>
        <v>IN</v>
      </c>
      <c r="I4561" s="211" t="str">
        <f>IFERROR(__xludf.DUMMYFUNCTION("""COMPUTED_VALUE"""),"EMPTY")</f>
        <v>EMPTY</v>
      </c>
      <c r="J4561" s="211">
        <f>IFERROR(__xludf.DUMMYFUNCTION("""COMPUTED_VALUE"""),2.0)</f>
        <v>2</v>
      </c>
      <c r="K4561" s="211"/>
      <c r="L4561" s="211">
        <f>IFERROR(__xludf.DUMMYFUNCTION("""COMPUTED_VALUE"""),0.0)</f>
        <v>0</v>
      </c>
      <c r="M4561" s="211"/>
      <c r="N4561" s="211"/>
      <c r="O4561" s="211" t="b">
        <f>IFERROR(__xludf.DUMMYFUNCTION("""COMPUTED_VALUE"""),FALSE)</f>
        <v>0</v>
      </c>
    </row>
    <row r="4562">
      <c r="A4562" s="210" t="str">
        <f>IFERROR(__xludf.DUMMYFUNCTION("""COMPUTED_VALUE"""),"1261549")</f>
        <v>1261549</v>
      </c>
      <c r="B4562" s="210" t="str">
        <f>IFERROR(__xludf.DUMMYFUNCTION("""COMPUTED_VALUE"""),"1261549")</f>
        <v>1261549</v>
      </c>
      <c r="C4562" s="213">
        <f>IFERROR(__xludf.DUMMYFUNCTION("""COMPUTED_VALUE"""),46129.401770833334)</f>
        <v>46129.40177</v>
      </c>
      <c r="D4562" s="211" t="str">
        <f>IFERROR(__xludf.DUMMYFUNCTION("""COMPUTED_VALUE"""),"dfas2312")</f>
        <v>dfas2312</v>
      </c>
      <c r="E4562" s="211" t="str">
        <f>IFERROR(__xludf.DUMMYFUNCTION("""COMPUTED_VALUE"""),"Bpk. Fuad (Parengan)")</f>
        <v>Bpk. Fuad (Parengan)</v>
      </c>
      <c r="F4562" s="211" t="str">
        <f>IFERROR(__xludf.DUMMYFUNCTION("""COMPUTED_VALUE"""),"66af7c72")</f>
        <v>66af7c72</v>
      </c>
      <c r="G4562" s="211" t="str">
        <f>IFERROR(__xludf.DUMMYFUNCTION("""COMPUTED_VALUE"""),"Argon 6m3")</f>
        <v>Argon 6m3</v>
      </c>
      <c r="H4562" s="211" t="str">
        <f>IFERROR(__xludf.DUMMYFUNCTION("""COMPUTED_VALUE"""),"IN")</f>
        <v>IN</v>
      </c>
      <c r="I4562" s="211" t="str">
        <f>IFERROR(__xludf.DUMMYFUNCTION("""COMPUTED_VALUE"""),"EMPTY")</f>
        <v>EMPTY</v>
      </c>
      <c r="J4562" s="211">
        <f>IFERROR(__xludf.DUMMYFUNCTION("""COMPUTED_VALUE"""),1.0)</f>
        <v>1</v>
      </c>
      <c r="K4562" s="210" t="str">
        <f>IFERROR(__xludf.DUMMYFUNCTION("""COMPUTED_VALUE"""),"12059")</f>
        <v>12059</v>
      </c>
      <c r="L4562" s="211">
        <f>IFERROR(__xludf.DUMMYFUNCTION("""COMPUTED_VALUE"""),0.0)</f>
        <v>0</v>
      </c>
      <c r="M4562" s="211"/>
      <c r="N4562" s="211"/>
      <c r="O4562" s="211" t="b">
        <f>IFERROR(__xludf.DUMMYFUNCTION("""COMPUTED_VALUE"""),FALSE)</f>
        <v>0</v>
      </c>
    </row>
    <row r="4563">
      <c r="A4563" s="210" t="str">
        <f>IFERROR(__xludf.DUMMYFUNCTION("""COMPUTED_VALUE"""),"0426533113")</f>
        <v>0426533113</v>
      </c>
      <c r="B4563" s="210" t="str">
        <f>IFERROR(__xludf.DUMMYFUNCTION("""COMPUTED_VALUE"""),"0426533113")</f>
        <v>0426533113</v>
      </c>
      <c r="C4563" s="213">
        <f>IFERROR(__xludf.DUMMYFUNCTION("""COMPUTED_VALUE"""),46129.4637037037)</f>
        <v>46129.4637</v>
      </c>
      <c r="D4563" s="211" t="str">
        <f>IFERROR(__xludf.DUMMYFUNCTION("""COMPUTED_VALUE"""),"ec231cc9")</f>
        <v>ec231cc9</v>
      </c>
      <c r="E4563" s="211" t="str">
        <f>IFERROR(__xludf.DUMMYFUNCTION("""COMPUTED_VALUE"""),"Bpk. Kadir (Maintenance Velg)")</f>
        <v>Bpk. Kadir (Maintenance Velg)</v>
      </c>
      <c r="F4563" s="211" t="str">
        <f>IFERROR(__xludf.DUMMYFUNCTION("""COMPUTED_VALUE"""),"8bdbe149")</f>
        <v>8bdbe149</v>
      </c>
      <c r="G4563" s="211" t="str">
        <f>IFERROR(__xludf.DUMMYFUNCTION("""COMPUTED_VALUE"""),"Oksigen 6m3")</f>
        <v>Oksigen 6m3</v>
      </c>
      <c r="H4563" s="211" t="str">
        <f>IFERROR(__xludf.DUMMYFUNCTION("""COMPUTED_VALUE"""),"OUT")</f>
        <v>OUT</v>
      </c>
      <c r="I4563" s="211" t="str">
        <f>IFERROR(__xludf.DUMMYFUNCTION("""COMPUTED_VALUE"""),"NORMAL")</f>
        <v>NORMAL</v>
      </c>
      <c r="J4563" s="211">
        <f>IFERROR(__xludf.DUMMYFUNCTION("""COMPUTED_VALUE"""),4.0)</f>
        <v>4</v>
      </c>
      <c r="K4563" s="210" t="str">
        <f>IFERROR(__xludf.DUMMYFUNCTION("""COMPUTED_VALUE"""),"11343 1116 1164 1111")</f>
        <v>11343 1116 1164 1111</v>
      </c>
      <c r="L4563" s="211">
        <f>IFERROR(__xludf.DUMMYFUNCTION("""COMPUTED_VALUE"""),55000.0)</f>
        <v>55000</v>
      </c>
      <c r="M4563" s="211"/>
      <c r="N4563" s="211"/>
      <c r="O4563" s="211" t="b">
        <f>IFERROR(__xludf.DUMMYFUNCTION("""COMPUTED_VALUE"""),FALSE)</f>
        <v>0</v>
      </c>
    </row>
    <row r="4564">
      <c r="A4564" s="210" t="str">
        <f>IFERROR(__xludf.DUMMYFUNCTION("""COMPUTED_VALUE"""),"0426533113")</f>
        <v>0426533113</v>
      </c>
      <c r="B4564" s="210" t="str">
        <f>IFERROR(__xludf.DUMMYFUNCTION("""COMPUTED_VALUE"""),"0426533113")</f>
        <v>0426533113</v>
      </c>
      <c r="C4564" s="213">
        <f>IFERROR(__xludf.DUMMYFUNCTION("""COMPUTED_VALUE"""),46129.4637037037)</f>
        <v>46129.4637</v>
      </c>
      <c r="D4564" s="211" t="str">
        <f>IFERROR(__xludf.DUMMYFUNCTION("""COMPUTED_VALUE"""),"ec231cc9")</f>
        <v>ec231cc9</v>
      </c>
      <c r="E4564" s="211" t="str">
        <f>IFERROR(__xludf.DUMMYFUNCTION("""COMPUTED_VALUE"""),"Bpk. Kadir (Maintenance Velg)")</f>
        <v>Bpk. Kadir (Maintenance Velg)</v>
      </c>
      <c r="F4564" s="211" t="str">
        <f>IFERROR(__xludf.DUMMYFUNCTION("""COMPUTED_VALUE"""),"8bdbe149")</f>
        <v>8bdbe149</v>
      </c>
      <c r="G4564" s="211" t="str">
        <f>IFERROR(__xludf.DUMMYFUNCTION("""COMPUTED_VALUE"""),"Oksigen 6m3")</f>
        <v>Oksigen 6m3</v>
      </c>
      <c r="H4564" s="211" t="str">
        <f>IFERROR(__xludf.DUMMYFUNCTION("""COMPUTED_VALUE"""),"OUT")</f>
        <v>OUT</v>
      </c>
      <c r="I4564" s="211" t="str">
        <f>IFERROR(__xludf.DUMMYFUNCTION("""COMPUTED_VALUE"""),"NORMAL")</f>
        <v>NORMAL</v>
      </c>
      <c r="J4564" s="211">
        <f>IFERROR(__xludf.DUMMYFUNCTION("""COMPUTED_VALUE"""),1.0)</f>
        <v>1</v>
      </c>
      <c r="K4564" s="210" t="str">
        <f>IFERROR(__xludf.DUMMYFUNCTION("""COMPUTED_VALUE"""),"11175")</f>
        <v>11175</v>
      </c>
      <c r="L4564" s="211">
        <f>IFERROR(__xludf.DUMMYFUNCTION("""COMPUTED_VALUE"""),55000.0)</f>
        <v>55000</v>
      </c>
      <c r="M4564" s="211"/>
      <c r="N4564" s="211"/>
      <c r="O4564" s="211" t="b">
        <f>IFERROR(__xludf.DUMMYFUNCTION("""COMPUTED_VALUE"""),TRUE)</f>
        <v>1</v>
      </c>
    </row>
    <row r="4565">
      <c r="A4565" s="210" t="str">
        <f>IFERROR(__xludf.DUMMYFUNCTION("""COMPUTED_VALUE"""),"1261556")</f>
        <v>1261556</v>
      </c>
      <c r="B4565" s="210" t="str">
        <f>IFERROR(__xludf.DUMMYFUNCTION("""COMPUTED_VALUE"""),"1261556")</f>
        <v>1261556</v>
      </c>
      <c r="C4565" s="213">
        <f>IFERROR(__xludf.DUMMYFUNCTION("""COMPUTED_VALUE"""),46129.47017361111)</f>
        <v>46129.47017</v>
      </c>
      <c r="D4565" s="211" t="str">
        <f>IFERROR(__xludf.DUMMYFUNCTION("""COMPUTED_VALUE"""),"8ea74d81")</f>
        <v>8ea74d81</v>
      </c>
      <c r="E4565" s="211" t="str">
        <f>IFERROR(__xludf.DUMMYFUNCTION("""COMPUTED_VALUE"""),"Bengkel Adi Putra")</f>
        <v>Bengkel Adi Putra</v>
      </c>
      <c r="F4565" s="211" t="str">
        <f>IFERROR(__xludf.DUMMYFUNCTION("""COMPUTED_VALUE"""),"8bdbe149")</f>
        <v>8bdbe149</v>
      </c>
      <c r="G4565" s="211" t="str">
        <f>IFERROR(__xludf.DUMMYFUNCTION("""COMPUTED_VALUE"""),"Oksigen 6m3")</f>
        <v>Oksigen 6m3</v>
      </c>
      <c r="H4565" s="211" t="str">
        <f>IFERROR(__xludf.DUMMYFUNCTION("""COMPUTED_VALUE"""),"IN")</f>
        <v>IN</v>
      </c>
      <c r="I4565" s="211" t="str">
        <f>IFERROR(__xludf.DUMMYFUNCTION("""COMPUTED_VALUE"""),"EMPTY")</f>
        <v>EMPTY</v>
      </c>
      <c r="J4565" s="211">
        <f>IFERROR(__xludf.DUMMYFUNCTION("""COMPUTED_VALUE"""),2.0)</f>
        <v>2</v>
      </c>
      <c r="K4565" s="210" t="str">
        <f>IFERROR(__xludf.DUMMYFUNCTION("""COMPUTED_VALUE"""),"1187 11241")</f>
        <v>1187 11241</v>
      </c>
      <c r="L4565" s="211">
        <f>IFERROR(__xludf.DUMMYFUNCTION("""COMPUTED_VALUE"""),0.0)</f>
        <v>0</v>
      </c>
      <c r="M4565" s="211"/>
      <c r="N4565" s="211"/>
      <c r="O4565" s="211" t="b">
        <f>IFERROR(__xludf.DUMMYFUNCTION("""COMPUTED_VALUE"""),FALSE)</f>
        <v>0</v>
      </c>
    </row>
    <row r="4566">
      <c r="A4566" s="210" t="str">
        <f>IFERROR(__xludf.DUMMYFUNCTION("""COMPUTED_VALUE"""),"1261556")</f>
        <v>1261556</v>
      </c>
      <c r="B4566" s="210" t="str">
        <f>IFERROR(__xludf.DUMMYFUNCTION("""COMPUTED_VALUE"""),"1261556")</f>
        <v>1261556</v>
      </c>
      <c r="C4566" s="213">
        <f>IFERROR(__xludf.DUMMYFUNCTION("""COMPUTED_VALUE"""),46129.47017361111)</f>
        <v>46129.47017</v>
      </c>
      <c r="D4566" s="211" t="str">
        <f>IFERROR(__xludf.DUMMYFUNCTION("""COMPUTED_VALUE"""),"8ea74d81")</f>
        <v>8ea74d81</v>
      </c>
      <c r="E4566" s="211" t="str">
        <f>IFERROR(__xludf.DUMMYFUNCTION("""COMPUTED_VALUE"""),"Bengkel Adi Putra")</f>
        <v>Bengkel Adi Putra</v>
      </c>
      <c r="F4566" s="211" t="str">
        <f>IFERROR(__xludf.DUMMYFUNCTION("""COMPUTED_VALUE"""),"ef306e54")</f>
        <v>ef306e54</v>
      </c>
      <c r="G4566" s="211" t="str">
        <f>IFERROR(__xludf.DUMMYFUNCTION("""COMPUTED_VALUE"""),"Karbondioksida")</f>
        <v>Karbondioksida</v>
      </c>
      <c r="H4566" s="211" t="str">
        <f>IFERROR(__xludf.DUMMYFUNCTION("""COMPUTED_VALUE"""),"IN")</f>
        <v>IN</v>
      </c>
      <c r="I4566" s="211" t="str">
        <f>IFERROR(__xludf.DUMMYFUNCTION("""COMPUTED_VALUE"""),"EMPTY")</f>
        <v>EMPTY</v>
      </c>
      <c r="J4566" s="211">
        <f>IFERROR(__xludf.DUMMYFUNCTION("""COMPUTED_VALUE"""),1.0)</f>
        <v>1</v>
      </c>
      <c r="K4566" s="210" t="str">
        <f>IFERROR(__xludf.DUMMYFUNCTION("""COMPUTED_VALUE"""),"13075")</f>
        <v>13075</v>
      </c>
      <c r="L4566" s="211">
        <f>IFERROR(__xludf.DUMMYFUNCTION("""COMPUTED_VALUE"""),0.0)</f>
        <v>0</v>
      </c>
      <c r="M4566" s="211"/>
      <c r="N4566" s="211"/>
      <c r="O4566" s="211" t="b">
        <f>IFERROR(__xludf.DUMMYFUNCTION("""COMPUTED_VALUE"""),FALSE)</f>
        <v>0</v>
      </c>
    </row>
    <row r="4567">
      <c r="A4567" s="210" t="str">
        <f>IFERROR(__xludf.DUMMYFUNCTION("""COMPUTED_VALUE"""),"1261557")</f>
        <v>1261557</v>
      </c>
      <c r="B4567" s="210" t="str">
        <f>IFERROR(__xludf.DUMMYFUNCTION("""COMPUTED_VALUE"""),"1261557")</f>
        <v>1261557</v>
      </c>
      <c r="C4567" s="213">
        <f>IFERROR(__xludf.DUMMYFUNCTION("""COMPUTED_VALUE"""),46129.4705787037)</f>
        <v>46129.47058</v>
      </c>
      <c r="D4567" s="211" t="str">
        <f>IFERROR(__xludf.DUMMYFUNCTION("""COMPUTED_VALUE"""),"182fb0fe")</f>
        <v>182fb0fe</v>
      </c>
      <c r="E4567" s="211" t="str">
        <f>IFERROR(__xludf.DUMMYFUNCTION("""COMPUTED_VALUE"""),"PT Amtech")</f>
        <v>PT Amtech</v>
      </c>
      <c r="F4567" s="211" t="str">
        <f>IFERROR(__xludf.DUMMYFUNCTION("""COMPUTED_VALUE"""),"8bdbe149")</f>
        <v>8bdbe149</v>
      </c>
      <c r="G4567" s="211" t="str">
        <f>IFERROR(__xludf.DUMMYFUNCTION("""COMPUTED_VALUE"""),"Oksigen 6m3")</f>
        <v>Oksigen 6m3</v>
      </c>
      <c r="H4567" s="211" t="str">
        <f>IFERROR(__xludf.DUMMYFUNCTION("""COMPUTED_VALUE"""),"IN")</f>
        <v>IN</v>
      </c>
      <c r="I4567" s="211" t="str">
        <f>IFERROR(__xludf.DUMMYFUNCTION("""COMPUTED_VALUE"""),"EMPTY")</f>
        <v>EMPTY</v>
      </c>
      <c r="J4567" s="211">
        <f>IFERROR(__xludf.DUMMYFUNCTION("""COMPUTED_VALUE"""),1.0)</f>
        <v>1</v>
      </c>
      <c r="K4567" s="210" t="str">
        <f>IFERROR(__xludf.DUMMYFUNCTION("""COMPUTED_VALUE"""),"11185")</f>
        <v>11185</v>
      </c>
      <c r="L4567" s="211">
        <f>IFERROR(__xludf.DUMMYFUNCTION("""COMPUTED_VALUE"""),0.0)</f>
        <v>0</v>
      </c>
      <c r="M4567" s="211"/>
      <c r="N4567" s="211"/>
      <c r="O4567" s="211" t="b">
        <f>IFERROR(__xludf.DUMMYFUNCTION("""COMPUTED_VALUE"""),FALSE)</f>
        <v>0</v>
      </c>
    </row>
    <row r="4568">
      <c r="A4568" s="210" t="str">
        <f>IFERROR(__xludf.DUMMYFUNCTION("""COMPUTED_VALUE"""),"1261558")</f>
        <v>1261558</v>
      </c>
      <c r="B4568" s="210" t="str">
        <f>IFERROR(__xludf.DUMMYFUNCTION("""COMPUTED_VALUE"""),"1261558")</f>
        <v>1261558</v>
      </c>
      <c r="C4568" s="213">
        <f>IFERROR(__xludf.DUMMYFUNCTION("""COMPUTED_VALUE"""),46129.47087962963)</f>
        <v>46129.47088</v>
      </c>
      <c r="D4568" s="211" t="str">
        <f>IFERROR(__xludf.DUMMYFUNCTION("""COMPUTED_VALUE"""),"a0f0ad2d")</f>
        <v>a0f0ad2d</v>
      </c>
      <c r="E4568" s="211" t="str">
        <f>IFERROR(__xludf.DUMMYFUNCTION("""COMPUTED_VALUE"""),"CV. Yulie Jaya")</f>
        <v>CV. Yulie Jaya</v>
      </c>
      <c r="F4568" s="211" t="str">
        <f>IFERROR(__xludf.DUMMYFUNCTION("""COMPUTED_VALUE"""),"8bdbe149")</f>
        <v>8bdbe149</v>
      </c>
      <c r="G4568" s="211" t="str">
        <f>IFERROR(__xludf.DUMMYFUNCTION("""COMPUTED_VALUE"""),"Oksigen 6m3")</f>
        <v>Oksigen 6m3</v>
      </c>
      <c r="H4568" s="211" t="str">
        <f>IFERROR(__xludf.DUMMYFUNCTION("""COMPUTED_VALUE"""),"IN")</f>
        <v>IN</v>
      </c>
      <c r="I4568" s="211" t="str">
        <f>IFERROR(__xludf.DUMMYFUNCTION("""COMPUTED_VALUE"""),"EMPTY")</f>
        <v>EMPTY</v>
      </c>
      <c r="J4568" s="211">
        <f>IFERROR(__xludf.DUMMYFUNCTION("""COMPUTED_VALUE"""),1.0)</f>
        <v>1</v>
      </c>
      <c r="K4568" s="210" t="str">
        <f>IFERROR(__xludf.DUMMYFUNCTION("""COMPUTED_VALUE"""),"1182")</f>
        <v>1182</v>
      </c>
      <c r="L4568" s="211">
        <f>IFERROR(__xludf.DUMMYFUNCTION("""COMPUTED_VALUE"""),0.0)</f>
        <v>0</v>
      </c>
      <c r="M4568" s="211"/>
      <c r="N4568" s="211"/>
      <c r="O4568" s="211" t="b">
        <f>IFERROR(__xludf.DUMMYFUNCTION("""COMPUTED_VALUE"""),FALSE)</f>
        <v>0</v>
      </c>
    </row>
    <row r="4569">
      <c r="A4569" s="210" t="str">
        <f>IFERROR(__xludf.DUMMYFUNCTION("""COMPUTED_VALUE"""),"1261555")</f>
        <v>1261555</v>
      </c>
      <c r="B4569" s="210" t="str">
        <f>IFERROR(__xludf.DUMMYFUNCTION("""COMPUTED_VALUE"""),"1261555")</f>
        <v>1261555</v>
      </c>
      <c r="C4569" s="213">
        <f>IFERROR(__xludf.DUMMYFUNCTION("""COMPUTED_VALUE"""),46129.47119212963)</f>
        <v>46129.47119</v>
      </c>
      <c r="D4569" s="211" t="str">
        <f>IFERROR(__xludf.DUMMYFUNCTION("""COMPUTED_VALUE"""),"63fc688a")</f>
        <v>63fc688a</v>
      </c>
      <c r="E4569" s="211" t="str">
        <f>IFERROR(__xludf.DUMMYFUNCTION("""COMPUTED_VALUE"""),"CV Malik Nusantara")</f>
        <v>CV Malik Nusantara</v>
      </c>
      <c r="F4569" s="211" t="str">
        <f>IFERROR(__xludf.DUMMYFUNCTION("""COMPUTED_VALUE"""),"8bdbe149")</f>
        <v>8bdbe149</v>
      </c>
      <c r="G4569" s="211" t="str">
        <f>IFERROR(__xludf.DUMMYFUNCTION("""COMPUTED_VALUE"""),"Oksigen 6m3")</f>
        <v>Oksigen 6m3</v>
      </c>
      <c r="H4569" s="211" t="str">
        <f>IFERROR(__xludf.DUMMYFUNCTION("""COMPUTED_VALUE"""),"IN")</f>
        <v>IN</v>
      </c>
      <c r="I4569" s="211" t="str">
        <f>IFERROR(__xludf.DUMMYFUNCTION("""COMPUTED_VALUE"""),"EMPTY")</f>
        <v>EMPTY</v>
      </c>
      <c r="J4569" s="211">
        <f>IFERROR(__xludf.DUMMYFUNCTION("""COMPUTED_VALUE"""),1.0)</f>
        <v>1</v>
      </c>
      <c r="K4569" s="210" t="str">
        <f>IFERROR(__xludf.DUMMYFUNCTION("""COMPUTED_VALUE"""),"11196")</f>
        <v>11196</v>
      </c>
      <c r="L4569" s="211">
        <f>IFERROR(__xludf.DUMMYFUNCTION("""COMPUTED_VALUE"""),0.0)</f>
        <v>0</v>
      </c>
      <c r="M4569" s="211"/>
      <c r="N4569" s="211"/>
      <c r="O4569" s="211" t="b">
        <f>IFERROR(__xludf.DUMMYFUNCTION("""COMPUTED_VALUE"""),FALSE)</f>
        <v>0</v>
      </c>
    </row>
    <row r="4570">
      <c r="A4570" s="210" t="str">
        <f>IFERROR(__xludf.DUMMYFUNCTION("""COMPUTED_VALUE"""),"1261555")</f>
        <v>1261555</v>
      </c>
      <c r="B4570" s="210" t="str">
        <f>IFERROR(__xludf.DUMMYFUNCTION("""COMPUTED_VALUE"""),"1261555")</f>
        <v>1261555</v>
      </c>
      <c r="C4570" s="213">
        <f>IFERROR(__xludf.DUMMYFUNCTION("""COMPUTED_VALUE"""),46129.47119212963)</f>
        <v>46129.47119</v>
      </c>
      <c r="D4570" s="211" t="str">
        <f>IFERROR(__xludf.DUMMYFUNCTION("""COMPUTED_VALUE"""),"63fc688a")</f>
        <v>63fc688a</v>
      </c>
      <c r="E4570" s="211" t="str">
        <f>IFERROR(__xludf.DUMMYFUNCTION("""COMPUTED_VALUE"""),"CV Malik Nusantara")</f>
        <v>CV Malik Nusantara</v>
      </c>
      <c r="F4570" s="211" t="str">
        <f>IFERROR(__xludf.DUMMYFUNCTION("""COMPUTED_VALUE"""),"7d2764f1")</f>
        <v>7d2764f1</v>
      </c>
      <c r="G4570" s="211" t="str">
        <f>IFERROR(__xludf.DUMMYFUNCTION("""COMPUTED_VALUE"""),"Oksigen 7m3")</f>
        <v>Oksigen 7m3</v>
      </c>
      <c r="H4570" s="211" t="str">
        <f>IFERROR(__xludf.DUMMYFUNCTION("""COMPUTED_VALUE"""),"IN")</f>
        <v>IN</v>
      </c>
      <c r="I4570" s="211" t="str">
        <f>IFERROR(__xludf.DUMMYFUNCTION("""COMPUTED_VALUE"""),"EMPTY")</f>
        <v>EMPTY</v>
      </c>
      <c r="J4570" s="211">
        <f>IFERROR(__xludf.DUMMYFUNCTION("""COMPUTED_VALUE"""),1.0)</f>
        <v>1</v>
      </c>
      <c r="K4570" s="210" t="str">
        <f>IFERROR(__xludf.DUMMYFUNCTION("""COMPUTED_VALUE"""),"11178")</f>
        <v>11178</v>
      </c>
      <c r="L4570" s="211">
        <f>IFERROR(__xludf.DUMMYFUNCTION("""COMPUTED_VALUE"""),0.0)</f>
        <v>0</v>
      </c>
      <c r="M4570" s="211"/>
      <c r="N4570" s="211"/>
      <c r="O4570" s="211" t="b">
        <f>IFERROR(__xludf.DUMMYFUNCTION("""COMPUTED_VALUE"""),FALSE)</f>
        <v>0</v>
      </c>
    </row>
    <row r="4571">
      <c r="A4571" s="210" t="str">
        <f>IFERROR(__xludf.DUMMYFUNCTION("""COMPUTED_VALUE"""),"1261555")</f>
        <v>1261555</v>
      </c>
      <c r="B4571" s="210" t="str">
        <f>IFERROR(__xludf.DUMMYFUNCTION("""COMPUTED_VALUE"""),"1261555")</f>
        <v>1261555</v>
      </c>
      <c r="C4571" s="213">
        <f>IFERROR(__xludf.DUMMYFUNCTION("""COMPUTED_VALUE"""),46129.47119212963)</f>
        <v>46129.47119</v>
      </c>
      <c r="D4571" s="211" t="str">
        <f>IFERROR(__xludf.DUMMYFUNCTION("""COMPUTED_VALUE"""),"63fc688a")</f>
        <v>63fc688a</v>
      </c>
      <c r="E4571" s="211" t="str">
        <f>IFERROR(__xludf.DUMMYFUNCTION("""COMPUTED_VALUE"""),"CV Malik Nusantara")</f>
        <v>CV Malik Nusantara</v>
      </c>
      <c r="F4571" s="211" t="str">
        <f>IFERROR(__xludf.DUMMYFUNCTION("""COMPUTED_VALUE"""),"ef306e54")</f>
        <v>ef306e54</v>
      </c>
      <c r="G4571" s="211" t="str">
        <f>IFERROR(__xludf.DUMMYFUNCTION("""COMPUTED_VALUE"""),"Karbondioksida")</f>
        <v>Karbondioksida</v>
      </c>
      <c r="H4571" s="211" t="str">
        <f>IFERROR(__xludf.DUMMYFUNCTION("""COMPUTED_VALUE"""),"IN")</f>
        <v>IN</v>
      </c>
      <c r="I4571" s="211" t="str">
        <f>IFERROR(__xludf.DUMMYFUNCTION("""COMPUTED_VALUE"""),"EMPTY")</f>
        <v>EMPTY</v>
      </c>
      <c r="J4571" s="211">
        <f>IFERROR(__xludf.DUMMYFUNCTION("""COMPUTED_VALUE"""),3.0)</f>
        <v>3</v>
      </c>
      <c r="K4571" s="210" t="str">
        <f>IFERROR(__xludf.DUMMYFUNCTION("""COMPUTED_VALUE"""),"13014 13050 13070")</f>
        <v>13014 13050 13070</v>
      </c>
      <c r="L4571" s="211">
        <f>IFERROR(__xludf.DUMMYFUNCTION("""COMPUTED_VALUE"""),0.0)</f>
        <v>0</v>
      </c>
      <c r="M4571" s="211"/>
      <c r="N4571" s="211"/>
      <c r="O4571" s="211" t="b">
        <f>IFERROR(__xludf.DUMMYFUNCTION("""COMPUTED_VALUE"""),FALSE)</f>
        <v>0</v>
      </c>
    </row>
    <row r="4572">
      <c r="A4572" s="210" t="str">
        <f>IFERROR(__xludf.DUMMYFUNCTION("""COMPUTED_VALUE"""),"04261063117")</f>
        <v>04261063117</v>
      </c>
      <c r="B4572" s="210" t="str">
        <f>IFERROR(__xludf.DUMMYFUNCTION("""COMPUTED_VALUE"""),"04261063117")</f>
        <v>04261063117</v>
      </c>
      <c r="C4572" s="213">
        <f>IFERROR(__xludf.DUMMYFUNCTION("""COMPUTED_VALUE"""),46129.51082175926)</f>
        <v>46129.51082</v>
      </c>
      <c r="D4572" s="211" t="str">
        <f>IFERROR(__xludf.DUMMYFUNCTION("""COMPUTED_VALUE"""),"b2b5f2c5")</f>
        <v>b2b5f2c5</v>
      </c>
      <c r="E4572" s="211" t="str">
        <f>IFERROR(__xludf.DUMMYFUNCTION("""COMPUTED_VALUE"""),"Bengkel Las Bpk. Ari")</f>
        <v>Bengkel Las Bpk. Ari</v>
      </c>
      <c r="F4572" s="211" t="str">
        <f>IFERROR(__xludf.DUMMYFUNCTION("""COMPUTED_VALUE"""),"8bdbe149")</f>
        <v>8bdbe149</v>
      </c>
      <c r="G4572" s="211" t="str">
        <f>IFERROR(__xludf.DUMMYFUNCTION("""COMPUTED_VALUE"""),"Oksigen 6m3")</f>
        <v>Oksigen 6m3</v>
      </c>
      <c r="H4572" s="211" t="str">
        <f>IFERROR(__xludf.DUMMYFUNCTION("""COMPUTED_VALUE"""),"OUT")</f>
        <v>OUT</v>
      </c>
      <c r="I4572" s="211" t="str">
        <f>IFERROR(__xludf.DUMMYFUNCTION("""COMPUTED_VALUE"""),"NORMAL")</f>
        <v>NORMAL</v>
      </c>
      <c r="J4572" s="211">
        <f>IFERROR(__xludf.DUMMYFUNCTION("""COMPUTED_VALUE"""),2.0)</f>
        <v>2</v>
      </c>
      <c r="K4572" s="210" t="str">
        <f>IFERROR(__xludf.DUMMYFUNCTION("""COMPUTED_VALUE"""),"11244 11235")</f>
        <v>11244 11235</v>
      </c>
      <c r="L4572" s="211">
        <f>IFERROR(__xludf.DUMMYFUNCTION("""COMPUTED_VALUE"""),60000.0)</f>
        <v>60000</v>
      </c>
      <c r="M4572" s="211"/>
      <c r="N4572" s="211"/>
      <c r="O4572" s="211" t="b">
        <f>IFERROR(__xludf.DUMMYFUNCTION("""COMPUTED_VALUE"""),FALSE)</f>
        <v>0</v>
      </c>
    </row>
    <row r="4573">
      <c r="A4573" s="210" t="str">
        <f>IFERROR(__xludf.DUMMYFUNCTION("""COMPUTED_VALUE"""),"04261063117")</f>
        <v>04261063117</v>
      </c>
      <c r="B4573" s="210" t="str">
        <f>IFERROR(__xludf.DUMMYFUNCTION("""COMPUTED_VALUE"""),"04261063117")</f>
        <v>04261063117</v>
      </c>
      <c r="C4573" s="213">
        <f>IFERROR(__xludf.DUMMYFUNCTION("""COMPUTED_VALUE"""),46129.51082175926)</f>
        <v>46129.51082</v>
      </c>
      <c r="D4573" s="211" t="str">
        <f>IFERROR(__xludf.DUMMYFUNCTION("""COMPUTED_VALUE"""),"b2b5f2c5")</f>
        <v>b2b5f2c5</v>
      </c>
      <c r="E4573" s="211" t="str">
        <f>IFERROR(__xludf.DUMMYFUNCTION("""COMPUTED_VALUE"""),"Bengkel Las Bpk. Ari")</f>
        <v>Bengkel Las Bpk. Ari</v>
      </c>
      <c r="F4573" s="211" t="str">
        <f>IFERROR(__xludf.DUMMYFUNCTION("""COMPUTED_VALUE"""),"ef306e54")</f>
        <v>ef306e54</v>
      </c>
      <c r="G4573" s="211" t="str">
        <f>IFERROR(__xludf.DUMMYFUNCTION("""COMPUTED_VALUE"""),"Karbondioksida")</f>
        <v>Karbondioksida</v>
      </c>
      <c r="H4573" s="211" t="str">
        <f>IFERROR(__xludf.DUMMYFUNCTION("""COMPUTED_VALUE"""),"OUT")</f>
        <v>OUT</v>
      </c>
      <c r="I4573" s="211" t="str">
        <f>IFERROR(__xludf.DUMMYFUNCTION("""COMPUTED_VALUE"""),"NORMAL")</f>
        <v>NORMAL</v>
      </c>
      <c r="J4573" s="211">
        <f>IFERROR(__xludf.DUMMYFUNCTION("""COMPUTED_VALUE"""),2.0)</f>
        <v>2</v>
      </c>
      <c r="K4573" s="210" t="str">
        <f>IFERROR(__xludf.DUMMYFUNCTION("""COMPUTED_VALUE"""),"13024 13074")</f>
        <v>13024 13074</v>
      </c>
      <c r="L4573" s="211">
        <f>IFERROR(__xludf.DUMMYFUNCTION("""COMPUTED_VALUE"""),180000.0)</f>
        <v>180000</v>
      </c>
      <c r="M4573" s="211"/>
      <c r="N4573" s="211"/>
      <c r="O4573" s="211" t="b">
        <f>IFERROR(__xludf.DUMMYFUNCTION("""COMPUTED_VALUE"""),FALSE)</f>
        <v>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3.71"/>
    <col customWidth="1" min="11" max="11" width="23.57"/>
  </cols>
  <sheetData>
    <row r="1">
      <c r="A1" s="211" t="str">
        <f>IFERROR(__xludf.DUMMYFUNCTION("IMPORTRANGE(""https://docs.google.com/spreadsheets/u/0/d/1al7iHJzC7x-KM-SuDhiQEiN28SZMuXqSapxN_xaVXQs/edit"",""Faktur &amp; Tagihan!A:J"")"),"No Faktur")</f>
        <v>No Faktur</v>
      </c>
      <c r="B1" s="211" t="str">
        <f>IFERROR(__xludf.DUMMYFUNCTION("""COMPUTED_VALUE"""),"Tanggal")</f>
        <v>Tanggal</v>
      </c>
      <c r="C1" s="211" t="str">
        <f>IFERROR(__xludf.DUMMYFUNCTION("""COMPUTED_VALUE"""),"Pelanggan")</f>
        <v>Pelanggan</v>
      </c>
      <c r="D1" s="211" t="str">
        <f>IFERROR(__xludf.DUMMYFUNCTION("""COMPUTED_VALUE"""),"Nama Barang")</f>
        <v>Nama Barang</v>
      </c>
      <c r="E1" s="211" t="str">
        <f>IFERROR(__xludf.DUMMYFUNCTION("""COMPUTED_VALUE"""),"Qty")</f>
        <v>Qty</v>
      </c>
      <c r="F1" s="211" t="str">
        <f>IFERROR(__xludf.DUMMYFUNCTION("""COMPUTED_VALUE"""),"SubTotal")</f>
        <v>SubTotal</v>
      </c>
      <c r="G1" s="211" t="str">
        <f>IFERROR(__xludf.DUMMYFUNCTION("""COMPUTED_VALUE"""),"Ongkir")</f>
        <v>Ongkir</v>
      </c>
      <c r="H1" s="211" t="str">
        <f>IFERROR(__xludf.DUMMYFUNCTION("""COMPUTED_VALUE"""),"Uang Muka")</f>
        <v>Uang Muka</v>
      </c>
      <c r="I1" s="211" t="str">
        <f>IFERROR(__xludf.DUMMYFUNCTION("""COMPUTED_VALUE"""),"GrandTotal")</f>
        <v>GrandTotal</v>
      </c>
      <c r="J1" s="211" t="str">
        <f>IFERROR(__xludf.DUMMYFUNCTION("""COMPUTED_VALUE"""),"Keterangan")</f>
        <v>Keterangan</v>
      </c>
      <c r="L1" s="212" t="str">
        <f>IFERROR(__xludf.DUMMYFUNCTION("IMPORTRANGE(""https://docs.google.com/spreadsheets/u/0/d/1al7iHJzC7x-KM-SuDhiQEiN28SZMuXqSapxN_xaVXQs/edit"",""Progress Faktur!A:J"")"),"Periode")</f>
        <v>Periode</v>
      </c>
      <c r="M1" s="211" t="str">
        <f>IFERROR(__xludf.DUMMYFUNCTION("""COMPUTED_VALUE"""),"Pelanggan")</f>
        <v>Pelanggan</v>
      </c>
      <c r="N1" s="211" t="str">
        <f>IFERROR(__xludf.DUMMYFUNCTION("""COMPUTED_VALUE"""),"Nomor Faktur")</f>
        <v>Nomor Faktur</v>
      </c>
      <c r="O1" s="211" t="str">
        <f>IFERROR(__xludf.DUMMYFUNCTION("""COMPUTED_VALUE"""),"Progress Transaksi")</f>
        <v>Progress Transaksi</v>
      </c>
      <c r="P1" s="211" t="str">
        <f>IFERROR(__xludf.DUMMYFUNCTION("""COMPUTED_VALUE"""),"Grand Total")</f>
        <v>Grand Total</v>
      </c>
      <c r="Q1" s="211" t="str">
        <f>IFERROR(__xludf.DUMMYFUNCTION("""COMPUTED_VALUE"""),"Tagihan")</f>
        <v>Tagihan</v>
      </c>
      <c r="R1" s="211" t="str">
        <f>IFERROR(__xludf.DUMMYFUNCTION("""COMPUTED_VALUE"""),"Referensi")</f>
        <v>Referensi</v>
      </c>
      <c r="S1" s="211"/>
      <c r="T1" s="211"/>
      <c r="U1" s="211"/>
      <c r="X1" s="212" t="s">
        <v>94</v>
      </c>
    </row>
    <row r="2">
      <c r="A2" s="222" t="str">
        <f>IFERROR(__xludf.DUMMYFUNCTION("""COMPUTED_VALUE"""),"08240001")</f>
        <v>08240001</v>
      </c>
      <c r="B2" s="211" t="str">
        <f>IFERROR(__xludf.DUMMYFUNCTION("""COMPUTED_VALUE"""),"23 Aug 2024")</f>
        <v>23 Aug 2024</v>
      </c>
      <c r="C2" s="211" t="str">
        <f>IFERROR(__xludf.DUMMYFUNCTION("""COMPUTED_VALUE"""),"H. Suheiri")</f>
        <v>H. Suheiri</v>
      </c>
      <c r="D2" s="211" t="str">
        <f>IFERROR(__xludf.DUMMYFUNCTION("""COMPUTED_VALUE"""),"Oksigen 6m3")</f>
        <v>Oksigen 6m3</v>
      </c>
      <c r="E2" s="211" t="str">
        <f>IFERROR(__xludf.DUMMYFUNCTION("""COMPUTED_VALUE"""),"20")</f>
        <v>20</v>
      </c>
      <c r="F2" s="211" t="str">
        <f>IFERROR(__xludf.DUMMYFUNCTION("""COMPUTED_VALUE"""),"1000000")</f>
        <v>1000000</v>
      </c>
      <c r="G2" s="211"/>
      <c r="H2" s="211"/>
      <c r="I2" s="211">
        <f>IFERROR(__xludf.DUMMYFUNCTION("""COMPUTED_VALUE"""),1000000.0)</f>
        <v>1000000</v>
      </c>
      <c r="J2" s="211" t="str">
        <f>IFERROR(__xludf.DUMMYFUNCTION("""COMPUTED_VALUE"""),"Ya")</f>
        <v>Ya</v>
      </c>
      <c r="L2" s="223" t="str">
        <f>IFERROR(__xludf.DUMMYFUNCTION("""COMPUTED_VALUE"""),"Aug 2024")</f>
        <v>Aug 2024</v>
      </c>
      <c r="M2" s="211" t="str">
        <f>IFERROR(__xludf.DUMMYFUNCTION("""COMPUTED_VALUE"""),"H. Suheiri")</f>
        <v>H. Suheiri</v>
      </c>
      <c r="N2" s="211" t="str">
        <f>IFERROR(__xludf.DUMMYFUNCTION("""COMPUTED_VALUE"""),"082420")</f>
        <v>082420</v>
      </c>
      <c r="O2" s="211" t="str">
        <f>IFERROR(__xludf.DUMMYFUNCTION("""COMPUTED_VALUE"""),"1/1")</f>
        <v>1/1</v>
      </c>
      <c r="P2" s="224">
        <f>IFERROR(__xludf.DUMMYFUNCTION("""COMPUTED_VALUE"""),1000000.0)</f>
        <v>1000000</v>
      </c>
      <c r="Q2" s="225" t="str">
        <f>IFERROR(__xludf.DUMMYFUNCTION("""COMPUTED_VALUE"""),"✅")</f>
        <v>✅</v>
      </c>
      <c r="R2" s="211" t="str">
        <f>IFERROR(__xludf.DUMMYFUNCTION("""COMPUTED_VALUE"""),"-")</f>
        <v>-</v>
      </c>
      <c r="S2" s="211"/>
      <c r="T2" s="211"/>
      <c r="U2" s="211"/>
      <c r="X2" s="211" t="str">
        <f>IFERROR(__xludf.DUMMYFUNCTION("QUERY(M:N,""SELECT N WHERE M='""&amp;Pelanggan_fakturperiode&amp;""'"")"),"#REF!")</f>
        <v>#REF!</v>
      </c>
    </row>
    <row r="3">
      <c r="A3" s="222" t="str">
        <f>IFERROR(__xludf.DUMMYFUNCTION("""COMPUTED_VALUE"""),"08240002")</f>
        <v>08240002</v>
      </c>
      <c r="B3" s="211" t="str">
        <f>IFERROR(__xludf.DUMMYFUNCTION("""COMPUTED_VALUE"""),"23 Aug 2024")</f>
        <v>23 Aug 2024</v>
      </c>
      <c r="C3" s="211" t="str">
        <f>IFERROR(__xludf.DUMMYFUNCTION("""COMPUTED_VALUE"""),"Bpk. Agus")</f>
        <v>Bpk. Agus</v>
      </c>
      <c r="D3" s="211" t="str">
        <f>IFERROR(__xludf.DUMMYFUNCTION("""COMPUTED_VALUE"""),"Oksigen 6m3")</f>
        <v>Oksigen 6m3</v>
      </c>
      <c r="E3" s="211" t="str">
        <f>IFERROR(__xludf.DUMMYFUNCTION("""COMPUTED_VALUE"""),"10")</f>
        <v>10</v>
      </c>
      <c r="F3" s="211" t="str">
        <f>IFERROR(__xludf.DUMMYFUNCTION("""COMPUTED_VALUE"""),"600000")</f>
        <v>600000</v>
      </c>
      <c r="G3" s="211"/>
      <c r="H3" s="211"/>
      <c r="I3" s="211">
        <f>IFERROR(__xludf.DUMMYFUNCTION("""COMPUTED_VALUE"""),600000.0)</f>
        <v>600000</v>
      </c>
      <c r="J3" s="211" t="str">
        <f>IFERROR(__xludf.DUMMYFUNCTION("""COMPUTED_VALUE"""),"Ya")</f>
        <v>Ya</v>
      </c>
      <c r="L3" s="223" t="str">
        <f>IFERROR(__xludf.DUMMYFUNCTION("""COMPUTED_VALUE"""),"Aug 2024")</f>
        <v>Aug 2024</v>
      </c>
      <c r="M3" s="211" t="str">
        <f>IFERROR(__xludf.DUMMYFUNCTION("""COMPUTED_VALUE"""),"Bpk. Agus")</f>
        <v>Bpk. Agus</v>
      </c>
      <c r="N3" s="211" t="str">
        <f>IFERROR(__xludf.DUMMYFUNCTION("""COMPUTED_VALUE"""),"082430")</f>
        <v>082430</v>
      </c>
      <c r="O3" s="211" t="str">
        <f>IFERROR(__xludf.DUMMYFUNCTION("""COMPUTED_VALUE"""),"3/3")</f>
        <v>3/3</v>
      </c>
      <c r="P3" s="224">
        <f>IFERROR(__xludf.DUMMYFUNCTION("""COMPUTED_VALUE"""),2010000.0)</f>
        <v>2010000</v>
      </c>
      <c r="Q3" s="225" t="str">
        <f>IFERROR(__xludf.DUMMYFUNCTION("""COMPUTED_VALUE"""),"✅")</f>
        <v>✅</v>
      </c>
      <c r="R3" s="211" t="str">
        <f>IFERROR(__xludf.DUMMYFUNCTION("""COMPUTED_VALUE"""),"-")</f>
        <v>-</v>
      </c>
      <c r="S3" s="211"/>
      <c r="T3" s="211"/>
      <c r="U3" s="211"/>
    </row>
    <row r="4">
      <c r="A4" s="222" t="str">
        <f>IFERROR(__xludf.DUMMYFUNCTION("""COMPUTED_VALUE"""),"08240003")</f>
        <v>08240003</v>
      </c>
      <c r="B4" s="211" t="str">
        <f>IFERROR(__xludf.DUMMYFUNCTION("""COMPUTED_VALUE"""),"26 Aug 2024")</f>
        <v>26 Aug 2024</v>
      </c>
      <c r="C4" s="211" t="str">
        <f>IFERROR(__xludf.DUMMYFUNCTION("""COMPUTED_VALUE"""),"Bpk. Agus")</f>
        <v>Bpk. Agus</v>
      </c>
      <c r="D4" s="211" t="str">
        <f>IFERROR(__xludf.DUMMYFUNCTION("""COMPUTED_VALUE"""),"LPG 12kg
Oksigen 6m3")</f>
        <v>LPG 12kg
Oksigen 6m3</v>
      </c>
      <c r="E4" s="211" t="str">
        <f>IFERROR(__xludf.DUMMYFUNCTION("""COMPUTED_VALUE"""),"1
10")</f>
        <v>1
10</v>
      </c>
      <c r="F4" s="211" t="str">
        <f>IFERROR(__xludf.DUMMYFUNCTION("""COMPUTED_VALUE"""),"210000
600000")</f>
        <v>210000
600000</v>
      </c>
      <c r="G4" s="211"/>
      <c r="H4" s="211"/>
      <c r="I4" s="211">
        <f>IFERROR(__xludf.DUMMYFUNCTION("""COMPUTED_VALUE"""),810000.0)</f>
        <v>810000</v>
      </c>
      <c r="J4" s="211" t="str">
        <f>IFERROR(__xludf.DUMMYFUNCTION("""COMPUTED_VALUE"""),"Ya")</f>
        <v>Ya</v>
      </c>
      <c r="L4" s="223" t="str">
        <f>IFERROR(__xludf.DUMMYFUNCTION("""COMPUTED_VALUE"""),"Aug 2024")</f>
        <v>Aug 2024</v>
      </c>
      <c r="M4" s="211" t="str">
        <f>IFERROR(__xludf.DUMMYFUNCTION("""COMPUTED_VALUE"""),"CV RAGAM JAYA ENGINEERING")</f>
        <v>CV RAGAM JAYA ENGINEERING</v>
      </c>
      <c r="N4" s="211" t="str">
        <f>IFERROR(__xludf.DUMMYFUNCTION("""COMPUTED_VALUE"""),"082440")</f>
        <v>082440</v>
      </c>
      <c r="O4" s="211" t="str">
        <f>IFERROR(__xludf.DUMMYFUNCTION("""COMPUTED_VALUE"""),"1/1")</f>
        <v>1/1</v>
      </c>
      <c r="P4" s="224">
        <f>IFERROR(__xludf.DUMMYFUNCTION("""COMPUTED_VALUE"""),1200000.0)</f>
        <v>1200000</v>
      </c>
      <c r="Q4" s="225" t="str">
        <f>IFERROR(__xludf.DUMMYFUNCTION("""COMPUTED_VALUE"""),"✅")</f>
        <v>✅</v>
      </c>
      <c r="R4" s="211" t="str">
        <f>IFERROR(__xludf.DUMMYFUNCTION("""COMPUTED_VALUE"""),"-")</f>
        <v>-</v>
      </c>
      <c r="S4" s="211"/>
      <c r="T4" s="211"/>
      <c r="U4" s="211"/>
    </row>
    <row r="5">
      <c r="A5" s="222" t="str">
        <f>IFERROR(__xludf.DUMMYFUNCTION("""COMPUTED_VALUE"""),"08240004")</f>
        <v>08240004</v>
      </c>
      <c r="B5" s="211" t="str">
        <f>IFERROR(__xludf.DUMMYFUNCTION("""COMPUTED_VALUE"""),"28 Aug 2024")</f>
        <v>28 Aug 2024</v>
      </c>
      <c r="C5" s="211" t="str">
        <f>IFERROR(__xludf.DUMMYFUNCTION("""COMPUTED_VALUE"""),"CV RAGAM JAYA ENGINEERING")</f>
        <v>CV RAGAM JAYA ENGINEERING</v>
      </c>
      <c r="D5" s="211" t="str">
        <f>IFERROR(__xludf.DUMMYFUNCTION("""COMPUTED_VALUE"""),"Oksigen 6m3")</f>
        <v>Oksigen 6m3</v>
      </c>
      <c r="E5" s="211" t="str">
        <f>IFERROR(__xludf.DUMMYFUNCTION("""COMPUTED_VALUE"""),"20")</f>
        <v>20</v>
      </c>
      <c r="F5" s="211" t="str">
        <f>IFERROR(__xludf.DUMMYFUNCTION("""COMPUTED_VALUE"""),"1200000")</f>
        <v>1200000</v>
      </c>
      <c r="G5" s="211"/>
      <c r="H5" s="211"/>
      <c r="I5" s="211">
        <f>IFERROR(__xludf.DUMMYFUNCTION("""COMPUTED_VALUE"""),1200000.0)</f>
        <v>1200000</v>
      </c>
      <c r="J5" s="211" t="str">
        <f>IFERROR(__xludf.DUMMYFUNCTION("""COMPUTED_VALUE"""),"Ya")</f>
        <v>Ya</v>
      </c>
      <c r="L5" s="223" t="str">
        <f>IFERROR(__xludf.DUMMYFUNCTION("""COMPUTED_VALUE"""),"Aug 2024")</f>
        <v>Aug 2024</v>
      </c>
      <c r="M5" s="211" t="str">
        <f>IFERROR(__xludf.DUMMYFUNCTION("""COMPUTED_VALUE"""),"Bpk. Supri")</f>
        <v>Bpk. Supri</v>
      </c>
      <c r="N5" s="211" t="str">
        <f>IFERROR(__xludf.DUMMYFUNCTION("""COMPUTED_VALUE"""),"082450")</f>
        <v>082450</v>
      </c>
      <c r="O5" s="211" t="str">
        <f>IFERROR(__xludf.DUMMYFUNCTION("""COMPUTED_VALUE"""),"1/1")</f>
        <v>1/1</v>
      </c>
      <c r="P5" s="224">
        <f>IFERROR(__xludf.DUMMYFUNCTION("""COMPUTED_VALUE"""),0.0)</f>
        <v>0</v>
      </c>
      <c r="Q5" s="225" t="str">
        <f>IFERROR(__xludf.DUMMYFUNCTION("""COMPUTED_VALUE"""),"✅")</f>
        <v>✅</v>
      </c>
      <c r="R5" s="211" t="str">
        <f>IFERROR(__xludf.DUMMYFUNCTION("""COMPUTED_VALUE"""),"-")</f>
        <v>-</v>
      </c>
      <c r="S5" s="211"/>
      <c r="T5" s="211"/>
      <c r="U5" s="211"/>
    </row>
    <row r="6">
      <c r="A6" s="222" t="str">
        <f>IFERROR(__xludf.DUMMYFUNCTION("""COMPUTED_VALUE"""),"08240006")</f>
        <v>08240006</v>
      </c>
      <c r="B6" s="211" t="str">
        <f>IFERROR(__xludf.DUMMYFUNCTION("""COMPUTED_VALUE"""),"30 Aug 2024")</f>
        <v>30 Aug 2024</v>
      </c>
      <c r="C6" s="211" t="str">
        <f>IFERROR(__xludf.DUMMYFUNCTION("""COMPUTED_VALUE"""),"Bpk. Agus")</f>
        <v>Bpk. Agus</v>
      </c>
      <c r="D6" s="211" t="str">
        <f>IFERROR(__xludf.DUMMYFUNCTION("""COMPUTED_VALUE"""),"Oksigen 6m3")</f>
        <v>Oksigen 6m3</v>
      </c>
      <c r="E6" s="211" t="str">
        <f>IFERROR(__xludf.DUMMYFUNCTION("""COMPUTED_VALUE"""),"10")</f>
        <v>10</v>
      </c>
      <c r="F6" s="211" t="str">
        <f>IFERROR(__xludf.DUMMYFUNCTION("""COMPUTED_VALUE"""),"600000")</f>
        <v>600000</v>
      </c>
      <c r="G6" s="211"/>
      <c r="H6" s="211"/>
      <c r="I6" s="211">
        <f>IFERROR(__xludf.DUMMYFUNCTION("""COMPUTED_VALUE"""),600000.0)</f>
        <v>600000</v>
      </c>
      <c r="J6" s="211" t="str">
        <f>IFERROR(__xludf.DUMMYFUNCTION("""COMPUTED_VALUE"""),"Ya")</f>
        <v>Ya</v>
      </c>
      <c r="L6" s="223" t="str">
        <f>IFERROR(__xludf.DUMMYFUNCTION("""COMPUTED_VALUE"""),"Sep 2024")</f>
        <v>Sep 2024</v>
      </c>
      <c r="M6" s="211" t="str">
        <f>IFERROR(__xludf.DUMMYFUNCTION("""COMPUTED_VALUE"""),"Tiga Putra")</f>
        <v>Tiga Putra</v>
      </c>
      <c r="N6" s="211" t="str">
        <f>IFERROR(__xludf.DUMMYFUNCTION("""COMPUTED_VALUE"""),"092460")</f>
        <v>092460</v>
      </c>
      <c r="O6" s="211" t="str">
        <f>IFERROR(__xludf.DUMMYFUNCTION("""COMPUTED_VALUE"""),"1/1")</f>
        <v>1/1</v>
      </c>
      <c r="P6" s="224">
        <f>IFERROR(__xludf.DUMMYFUNCTION("""COMPUTED_VALUE"""),0.0)</f>
        <v>0</v>
      </c>
      <c r="Q6" s="225" t="str">
        <f>IFERROR(__xludf.DUMMYFUNCTION("""COMPUTED_VALUE"""),"✅")</f>
        <v>✅</v>
      </c>
      <c r="R6" s="211" t="str">
        <f>IFERROR(__xludf.DUMMYFUNCTION("""COMPUTED_VALUE"""),"-")</f>
        <v>-</v>
      </c>
      <c r="S6" s="211"/>
      <c r="T6" s="211"/>
      <c r="U6" s="211"/>
    </row>
    <row r="7">
      <c r="A7" s="222" t="str">
        <f>IFERROR(__xludf.DUMMYFUNCTION("""COMPUTED_VALUE"""),"08240007")</f>
        <v>08240007</v>
      </c>
      <c r="B7" s="211" t="str">
        <f>IFERROR(__xludf.DUMMYFUNCTION("""COMPUTED_VALUE"""),"31 Aug 2024")</f>
        <v>31 Aug 2024</v>
      </c>
      <c r="C7" s="211" t="str">
        <f>IFERROR(__xludf.DUMMYFUNCTION("""COMPUTED_VALUE"""),"Bpk. Supri")</f>
        <v>Bpk. Supri</v>
      </c>
      <c r="D7" s="211" t="str">
        <f>IFERROR(__xludf.DUMMYFUNCTION("""COMPUTED_VALUE"""),"Oksigen 6m3")</f>
        <v>Oksigen 6m3</v>
      </c>
      <c r="E7" s="211" t="str">
        <f>IFERROR(__xludf.DUMMYFUNCTION("""COMPUTED_VALUE"""),"1")</f>
        <v>1</v>
      </c>
      <c r="F7" s="211" t="str">
        <f>IFERROR(__xludf.DUMMYFUNCTION("""COMPUTED_VALUE"""),"0")</f>
        <v>0</v>
      </c>
      <c r="G7" s="211"/>
      <c r="H7" s="211"/>
      <c r="I7" s="211">
        <f>IFERROR(__xludf.DUMMYFUNCTION("""COMPUTED_VALUE"""),0.0)</f>
        <v>0</v>
      </c>
      <c r="J7" s="211" t="str">
        <f>IFERROR(__xludf.DUMMYFUNCTION("""COMPUTED_VALUE"""),"Ya")</f>
        <v>Ya</v>
      </c>
      <c r="L7" s="223" t="str">
        <f>IFERROR(__xludf.DUMMYFUNCTION("""COMPUTED_VALUE"""),"Sep 2024")</f>
        <v>Sep 2024</v>
      </c>
      <c r="M7" s="211" t="str">
        <f>IFERROR(__xludf.DUMMYFUNCTION("""COMPUTED_VALUE"""),"Warkop Sirapan")</f>
        <v>Warkop Sirapan</v>
      </c>
      <c r="N7" s="211" t="str">
        <f>IFERROR(__xludf.DUMMYFUNCTION("""COMPUTED_VALUE"""),"092470")</f>
        <v>092470</v>
      </c>
      <c r="O7" s="211" t="str">
        <f>IFERROR(__xludf.DUMMYFUNCTION("""COMPUTED_VALUE"""),"1/1")</f>
        <v>1/1</v>
      </c>
      <c r="P7" s="224">
        <f>IFERROR(__xludf.DUMMYFUNCTION("""COMPUTED_VALUE"""),0.0)</f>
        <v>0</v>
      </c>
      <c r="Q7" s="225" t="str">
        <f>IFERROR(__xludf.DUMMYFUNCTION("""COMPUTED_VALUE"""),"✅")</f>
        <v>✅</v>
      </c>
      <c r="R7" s="211" t="str">
        <f>IFERROR(__xludf.DUMMYFUNCTION("""COMPUTED_VALUE"""),"-")</f>
        <v>-</v>
      </c>
      <c r="S7" s="211"/>
      <c r="T7" s="211"/>
      <c r="U7" s="211"/>
    </row>
    <row r="8">
      <c r="A8" s="222" t="str">
        <f>IFERROR(__xludf.DUMMYFUNCTION("""COMPUTED_VALUE"""),"09240008")</f>
        <v>09240008</v>
      </c>
      <c r="B8" s="211" t="str">
        <f>IFERROR(__xludf.DUMMYFUNCTION("""COMPUTED_VALUE"""),"02 Sep 2024")</f>
        <v>02 Sep 2024</v>
      </c>
      <c r="C8" s="211" t="str">
        <f>IFERROR(__xludf.DUMMYFUNCTION("""COMPUTED_VALUE"""),"Tiga Putra")</f>
        <v>Tiga Putra</v>
      </c>
      <c r="D8" s="211" t="str">
        <f>IFERROR(__xludf.DUMMYFUNCTION("""COMPUTED_VALUE"""),"Oksigen 6m3 MR")</f>
        <v>Oksigen 6m3 MR</v>
      </c>
      <c r="E8" s="211" t="str">
        <f>IFERROR(__xludf.DUMMYFUNCTION("""COMPUTED_VALUE"""),"1")</f>
        <v>1</v>
      </c>
      <c r="F8" s="211" t="str">
        <f>IFERROR(__xludf.DUMMYFUNCTION("""COMPUTED_VALUE"""),"0")</f>
        <v>0</v>
      </c>
      <c r="G8" s="211"/>
      <c r="H8" s="211"/>
      <c r="I8" s="211">
        <f>IFERROR(__xludf.DUMMYFUNCTION("""COMPUTED_VALUE"""),0.0)</f>
        <v>0</v>
      </c>
      <c r="J8" s="211" t="str">
        <f>IFERROR(__xludf.DUMMYFUNCTION("""COMPUTED_VALUE"""),"Ya")</f>
        <v>Ya</v>
      </c>
      <c r="L8" s="223" t="str">
        <f>IFERROR(__xludf.DUMMYFUNCTION("""COMPUTED_VALUE"""),"Sep 2024")</f>
        <v>Sep 2024</v>
      </c>
      <c r="M8" s="211" t="str">
        <f>IFERROR(__xludf.DUMMYFUNCTION("""COMPUTED_VALUE"""),"H. Suheiri")</f>
        <v>H. Suheiri</v>
      </c>
      <c r="N8" s="211" t="str">
        <f>IFERROR(__xludf.DUMMYFUNCTION("""COMPUTED_VALUE"""),"092480")</f>
        <v>092480</v>
      </c>
      <c r="O8" s="211" t="str">
        <f>IFERROR(__xludf.DUMMYFUNCTION("""COMPUTED_VALUE"""),"1/1")</f>
        <v>1/1</v>
      </c>
      <c r="P8" s="224">
        <f>IFERROR(__xludf.DUMMYFUNCTION("""COMPUTED_VALUE"""),500000.0)</f>
        <v>500000</v>
      </c>
      <c r="Q8" s="225" t="str">
        <f>IFERROR(__xludf.DUMMYFUNCTION("""COMPUTED_VALUE"""),"✅")</f>
        <v>✅</v>
      </c>
      <c r="R8" s="211" t="str">
        <f>IFERROR(__xludf.DUMMYFUNCTION("""COMPUTED_VALUE"""),"-")</f>
        <v>-</v>
      </c>
      <c r="S8" s="211"/>
      <c r="T8" s="211"/>
      <c r="U8" s="211"/>
    </row>
    <row r="9">
      <c r="A9" s="222" t="str">
        <f>IFERROR(__xludf.DUMMYFUNCTION("""COMPUTED_VALUE"""),"09240009")</f>
        <v>09240009</v>
      </c>
      <c r="B9" s="211" t="str">
        <f>IFERROR(__xludf.DUMMYFUNCTION("""COMPUTED_VALUE"""),"02 Sep 2024")</f>
        <v>02 Sep 2024</v>
      </c>
      <c r="C9" s="211" t="str">
        <f>IFERROR(__xludf.DUMMYFUNCTION("""COMPUTED_VALUE"""),"Warkop Sirapan")</f>
        <v>Warkop Sirapan</v>
      </c>
      <c r="D9" s="211" t="str">
        <f>IFERROR(__xludf.DUMMYFUNCTION("""COMPUTED_VALUE"""),"Oksigen 6m3 MR")</f>
        <v>Oksigen 6m3 MR</v>
      </c>
      <c r="E9" s="211" t="str">
        <f>IFERROR(__xludf.DUMMYFUNCTION("""COMPUTED_VALUE"""),"2")</f>
        <v>2</v>
      </c>
      <c r="F9" s="211" t="str">
        <f>IFERROR(__xludf.DUMMYFUNCTION("""COMPUTED_VALUE"""),"0")</f>
        <v>0</v>
      </c>
      <c r="G9" s="211"/>
      <c r="H9" s="211"/>
      <c r="I9" s="211">
        <f>IFERROR(__xludf.DUMMYFUNCTION("""COMPUTED_VALUE"""),0.0)</f>
        <v>0</v>
      </c>
      <c r="J9" s="211" t="str">
        <f>IFERROR(__xludf.DUMMYFUNCTION("""COMPUTED_VALUE"""),"Ya")</f>
        <v>Ya</v>
      </c>
      <c r="L9" s="223" t="str">
        <f>IFERROR(__xludf.DUMMYFUNCTION("""COMPUTED_VALUE"""),"Sep 2024")</f>
        <v>Sep 2024</v>
      </c>
      <c r="M9" s="211" t="str">
        <f>IFERROR(__xludf.DUMMYFUNCTION("""COMPUTED_VALUE"""),"PT GEMILANG CIPTA WAWASAN")</f>
        <v>PT GEMILANG CIPTA WAWASAN</v>
      </c>
      <c r="N9" s="211" t="str">
        <f>IFERROR(__xludf.DUMMYFUNCTION("""COMPUTED_VALUE"""),"092490")</f>
        <v>092490</v>
      </c>
      <c r="O9" s="211" t="str">
        <f>IFERROR(__xludf.DUMMYFUNCTION("""COMPUTED_VALUE"""),"3/3")</f>
        <v>3/3</v>
      </c>
      <c r="P9" s="224">
        <f>IFERROR(__xludf.DUMMYFUNCTION("""COMPUTED_VALUE"""),6249300.0)</f>
        <v>6249300</v>
      </c>
      <c r="Q9" s="225" t="str">
        <f>IFERROR(__xludf.DUMMYFUNCTION("""COMPUTED_VALUE"""),"✅")</f>
        <v>✅</v>
      </c>
      <c r="R9" s="211" t="str">
        <f>IFERROR(__xludf.DUMMYFUNCTION("""COMPUTED_VALUE"""),"-")</f>
        <v>-</v>
      </c>
      <c r="S9" s="211"/>
      <c r="T9" s="211"/>
      <c r="U9" s="211"/>
    </row>
    <row r="10">
      <c r="A10" s="222" t="str">
        <f>IFERROR(__xludf.DUMMYFUNCTION("""COMPUTED_VALUE"""),"09240010")</f>
        <v>09240010</v>
      </c>
      <c r="B10" s="211" t="str">
        <f>IFERROR(__xludf.DUMMYFUNCTION("""COMPUTED_VALUE"""),"03 Sep 2024")</f>
        <v>03 Sep 2024</v>
      </c>
      <c r="C10" s="211" t="str">
        <f>IFERROR(__xludf.DUMMYFUNCTION("""COMPUTED_VALUE"""),"H. Suheiri")</f>
        <v>H. Suheiri</v>
      </c>
      <c r="D10" s="211" t="str">
        <f>IFERROR(__xludf.DUMMYFUNCTION("""COMPUTED_VALUE"""),"Oksigen 6m3")</f>
        <v>Oksigen 6m3</v>
      </c>
      <c r="E10" s="211" t="str">
        <f>IFERROR(__xludf.DUMMYFUNCTION("""COMPUTED_VALUE"""),"10")</f>
        <v>10</v>
      </c>
      <c r="F10" s="211" t="str">
        <f>IFERROR(__xludf.DUMMYFUNCTION("""COMPUTED_VALUE"""),"500000")</f>
        <v>500000</v>
      </c>
      <c r="G10" s="211"/>
      <c r="H10" s="211"/>
      <c r="I10" s="211">
        <f>IFERROR(__xludf.DUMMYFUNCTION("""COMPUTED_VALUE"""),500000.0)</f>
        <v>500000</v>
      </c>
      <c r="J10" s="211" t="str">
        <f>IFERROR(__xludf.DUMMYFUNCTION("""COMPUTED_VALUE"""),"Ya")</f>
        <v>Ya</v>
      </c>
      <c r="L10" s="223" t="str">
        <f>IFERROR(__xludf.DUMMYFUNCTION("""COMPUTED_VALUE"""),"Sep 2024")</f>
        <v>Sep 2024</v>
      </c>
      <c r="M10" s="211" t="str">
        <f>IFERROR(__xludf.DUMMYFUNCTION("""COMPUTED_VALUE"""),"PT Dunia Berkat Marga Mulya")</f>
        <v>PT Dunia Berkat Marga Mulya</v>
      </c>
      <c r="N10" s="211" t="str">
        <f>IFERROR(__xludf.DUMMYFUNCTION("""COMPUTED_VALUE"""),"0924100")</f>
        <v>0924100</v>
      </c>
      <c r="O10" s="211" t="str">
        <f>IFERROR(__xludf.DUMMYFUNCTION("""COMPUTED_VALUE"""),"2/2")</f>
        <v>2/2</v>
      </c>
      <c r="P10" s="224">
        <f>IFERROR(__xludf.DUMMYFUNCTION("""COMPUTED_VALUE"""),466200.0)</f>
        <v>466200</v>
      </c>
      <c r="Q10" s="225" t="str">
        <f>IFERROR(__xludf.DUMMYFUNCTION("""COMPUTED_VALUE"""),"✅")</f>
        <v>✅</v>
      </c>
      <c r="R10" s="211" t="str">
        <f>IFERROR(__xludf.DUMMYFUNCTION("""COMPUTED_VALUE"""),"-")</f>
        <v>-</v>
      </c>
      <c r="S10" s="211"/>
      <c r="T10" s="211"/>
      <c r="U10" s="211"/>
    </row>
    <row r="11">
      <c r="A11" s="222" t="str">
        <f>IFERROR(__xludf.DUMMYFUNCTION("""COMPUTED_VALUE"""),"09240011")</f>
        <v>09240011</v>
      </c>
      <c r="B11" s="211" t="str">
        <f>IFERROR(__xludf.DUMMYFUNCTION("""COMPUTED_VALUE"""),"10 Sep 2024")</f>
        <v>10 Sep 2024</v>
      </c>
      <c r="C11" s="211" t="str">
        <f>IFERROR(__xludf.DUMMYFUNCTION("""COMPUTED_VALUE"""),"PT GEMILANG CIPTA WAWASAN")</f>
        <v>PT GEMILANG CIPTA WAWASAN</v>
      </c>
      <c r="D11" s="211" t="str">
        <f>IFERROR(__xludf.DUMMYFUNCTION("""COMPUTED_VALUE"""),"Oksigen 6m3
LPG 12kg")</f>
        <v>Oksigen 6m3
LPG 12kg</v>
      </c>
      <c r="E11" s="211" t="str">
        <f>IFERROR(__xludf.DUMMYFUNCTION("""COMPUTED_VALUE"""),"15
5")</f>
        <v>15
5</v>
      </c>
      <c r="F11" s="211" t="str">
        <f>IFERROR(__xludf.DUMMYFUNCTION("""COMPUTED_VALUE"""),"999000
1165500")</f>
        <v>999000
1165500</v>
      </c>
      <c r="G11" s="211"/>
      <c r="H11" s="211"/>
      <c r="I11" s="211">
        <f>IFERROR(__xludf.DUMMYFUNCTION("""COMPUTED_VALUE"""),2164500.0)</f>
        <v>2164500</v>
      </c>
      <c r="J11" s="211" t="str">
        <f>IFERROR(__xludf.DUMMYFUNCTION("""COMPUTED_VALUE"""),"Ya")</f>
        <v>Ya</v>
      </c>
      <c r="L11" s="223" t="str">
        <f>IFERROR(__xludf.DUMMYFUNCTION("""COMPUTED_VALUE"""),"Sep 2024")</f>
        <v>Sep 2024</v>
      </c>
      <c r="M11" s="211" t="str">
        <f>IFERROR(__xludf.DUMMYFUNCTION("""COMPUTED_VALUE"""),"CV RAGAM JAYA ENGINEERING")</f>
        <v>CV RAGAM JAYA ENGINEERING</v>
      </c>
      <c r="N11" s="211" t="str">
        <f>IFERROR(__xludf.DUMMYFUNCTION("""COMPUTED_VALUE"""),"0924110")</f>
        <v>0924110</v>
      </c>
      <c r="O11" s="211" t="str">
        <f>IFERROR(__xludf.DUMMYFUNCTION("""COMPUTED_VALUE"""),"3/3")</f>
        <v>3/3</v>
      </c>
      <c r="P11" s="224">
        <f>IFERROR(__xludf.DUMMYFUNCTION("""COMPUTED_VALUE"""),3191250.0)</f>
        <v>3191250</v>
      </c>
      <c r="Q11" s="225" t="str">
        <f>IFERROR(__xludf.DUMMYFUNCTION("""COMPUTED_VALUE"""),"✅")</f>
        <v>✅</v>
      </c>
      <c r="R11" s="211" t="str">
        <f>IFERROR(__xludf.DUMMYFUNCTION("""COMPUTED_VALUE"""),"-")</f>
        <v>-</v>
      </c>
      <c r="S11" s="211"/>
      <c r="T11" s="211"/>
      <c r="U11" s="211"/>
    </row>
    <row r="12">
      <c r="A12" s="222" t="str">
        <f>IFERROR(__xludf.DUMMYFUNCTION("""COMPUTED_VALUE"""),"09240012")</f>
        <v>09240012</v>
      </c>
      <c r="B12" s="211" t="str">
        <f>IFERROR(__xludf.DUMMYFUNCTION("""COMPUTED_VALUE"""),"12 Sep 2024")</f>
        <v>12 Sep 2024</v>
      </c>
      <c r="C12" s="211" t="str">
        <f>IFERROR(__xludf.DUMMYFUNCTION("""COMPUTED_VALUE"""),"PT Dunia Berkat Marga Mulya")</f>
        <v>PT Dunia Berkat Marga Mulya</v>
      </c>
      <c r="D12" s="211" t="str">
        <f>IFERROR(__xludf.DUMMYFUNCTION("""COMPUTED_VALUE"""),"Oksigen 6m3")</f>
        <v>Oksigen 6m3</v>
      </c>
      <c r="E12" s="211" t="str">
        <f>IFERROR(__xludf.DUMMYFUNCTION("""COMPUTED_VALUE"""),"5")</f>
        <v>5</v>
      </c>
      <c r="F12" s="211" t="str">
        <f>IFERROR(__xludf.DUMMYFUNCTION("""COMPUTED_VALUE"""),"333000")</f>
        <v>333000</v>
      </c>
      <c r="G12" s="211"/>
      <c r="H12" s="211"/>
      <c r="I12" s="211">
        <f>IFERROR(__xludf.DUMMYFUNCTION("""COMPUTED_VALUE"""),333000.0)</f>
        <v>333000</v>
      </c>
      <c r="J12" s="211" t="str">
        <f>IFERROR(__xludf.DUMMYFUNCTION("""COMPUTED_VALUE"""),"Ya")</f>
        <v>Ya</v>
      </c>
      <c r="L12" s="223" t="str">
        <f>IFERROR(__xludf.DUMMYFUNCTION("""COMPUTED_VALUE"""),"Sep 2024")</f>
        <v>Sep 2024</v>
      </c>
      <c r="M12" s="211" t="str">
        <f>IFERROR(__xludf.DUMMYFUNCTION("""COMPUTED_VALUE"""),"PT PELANGI INDOKARYA")</f>
        <v>PT PELANGI INDOKARYA</v>
      </c>
      <c r="N12" s="211" t="str">
        <f>IFERROR(__xludf.DUMMYFUNCTION("""COMPUTED_VALUE"""),"0924120")</f>
        <v>0924120</v>
      </c>
      <c r="O12" s="211" t="str">
        <f>IFERROR(__xludf.DUMMYFUNCTION("""COMPUTED_VALUE"""),"7/7")</f>
        <v>7/7</v>
      </c>
      <c r="P12" s="224">
        <f>IFERROR(__xludf.DUMMYFUNCTION("""COMPUTED_VALUE"""),5550000.0)</f>
        <v>5550000</v>
      </c>
      <c r="Q12" s="225" t="str">
        <f>IFERROR(__xludf.DUMMYFUNCTION("""COMPUTED_VALUE"""),"✅")</f>
        <v>✅</v>
      </c>
      <c r="R12" s="211" t="str">
        <f>IFERROR(__xludf.DUMMYFUNCTION("""COMPUTED_VALUE"""),"-")</f>
        <v>-</v>
      </c>
      <c r="S12" s="211"/>
      <c r="T12" s="211"/>
      <c r="U12" s="211"/>
    </row>
    <row r="13">
      <c r="A13" s="222" t="str">
        <f>IFERROR(__xludf.DUMMYFUNCTION("""COMPUTED_VALUE"""),"09240014")</f>
        <v>09240014</v>
      </c>
      <c r="B13" s="211" t="str">
        <f>IFERROR(__xludf.DUMMYFUNCTION("""COMPUTED_VALUE"""),"13 Sep 2024")</f>
        <v>13 Sep 2024</v>
      </c>
      <c r="C13" s="211" t="str">
        <f>IFERROR(__xludf.DUMMYFUNCTION("""COMPUTED_VALUE"""),"CV RAGAM JAYA ENGINEERING")</f>
        <v>CV RAGAM JAYA ENGINEERING</v>
      </c>
      <c r="D13" s="211" t="str">
        <f>IFERROR(__xludf.DUMMYFUNCTION("""COMPUTED_VALUE"""),"LPG 12kg
Karbondioksida")</f>
        <v>LPG 12kg
Karbondioksida</v>
      </c>
      <c r="E13" s="211" t="str">
        <f>IFERROR(__xludf.DUMMYFUNCTION("""COMPUTED_VALUE"""),"3
5")</f>
        <v>3
5</v>
      </c>
      <c r="F13" s="211" t="str">
        <f>IFERROR(__xludf.DUMMYFUNCTION("""COMPUTED_VALUE"""),"749250
888000")</f>
        <v>749250
888000</v>
      </c>
      <c r="G13" s="211"/>
      <c r="H13" s="211"/>
      <c r="I13" s="211">
        <f>IFERROR(__xludf.DUMMYFUNCTION("""COMPUTED_VALUE"""),1637250.0)</f>
        <v>1637250</v>
      </c>
      <c r="J13" s="211" t="str">
        <f>IFERROR(__xludf.DUMMYFUNCTION("""COMPUTED_VALUE"""),"Ya")</f>
        <v>Ya</v>
      </c>
      <c r="L13" s="223" t="str">
        <f>IFERROR(__xludf.DUMMYFUNCTION("""COMPUTED_VALUE"""),"Sep 2024")</f>
        <v>Sep 2024</v>
      </c>
      <c r="M13" s="211" t="str">
        <f>IFERROR(__xludf.DUMMYFUNCTION("""COMPUTED_VALUE"""),"Bpk. Yudi")</f>
        <v>Bpk. Yudi</v>
      </c>
      <c r="N13" s="211" t="str">
        <f>IFERROR(__xludf.DUMMYFUNCTION("""COMPUTED_VALUE"""),"0924130")</f>
        <v>0924130</v>
      </c>
      <c r="O13" s="211" t="str">
        <f>IFERROR(__xludf.DUMMYFUNCTION("""COMPUTED_VALUE"""),"1/1")</f>
        <v>1/1</v>
      </c>
      <c r="P13" s="224">
        <f>IFERROR(__xludf.DUMMYFUNCTION("""COMPUTED_VALUE"""),599400.0)</f>
        <v>599400</v>
      </c>
      <c r="Q13" s="225" t="str">
        <f>IFERROR(__xludf.DUMMYFUNCTION("""COMPUTED_VALUE"""),"✅")</f>
        <v>✅</v>
      </c>
      <c r="R13" s="211" t="str">
        <f>IFERROR(__xludf.DUMMYFUNCTION("""COMPUTED_VALUE"""),"-")</f>
        <v>-</v>
      </c>
      <c r="S13" s="211"/>
      <c r="T13" s="211"/>
      <c r="U13" s="211"/>
    </row>
    <row r="14">
      <c r="A14" s="222" t="str">
        <f>IFERROR(__xludf.DUMMYFUNCTION("""COMPUTED_VALUE"""),"09240015")</f>
        <v>09240015</v>
      </c>
      <c r="B14" s="211" t="str">
        <f>IFERROR(__xludf.DUMMYFUNCTION("""COMPUTED_VALUE"""),"13 Sep 2024")</f>
        <v>13 Sep 2024</v>
      </c>
      <c r="C14" s="211" t="str">
        <f>IFERROR(__xludf.DUMMYFUNCTION("""COMPUTED_VALUE"""),"PT PELANGI INDOKARYA")</f>
        <v>PT PELANGI INDOKARYA</v>
      </c>
      <c r="D14" s="211" t="str">
        <f>IFERROR(__xludf.DUMMYFUNCTION("""COMPUTED_VALUE"""),"Oksigen 6m3")</f>
        <v>Oksigen 6m3</v>
      </c>
      <c r="E14" s="211" t="str">
        <f>IFERROR(__xludf.DUMMYFUNCTION("""COMPUTED_VALUE"""),"5")</f>
        <v>5</v>
      </c>
      <c r="F14" s="211" t="str">
        <f>IFERROR(__xludf.DUMMYFUNCTION("""COMPUTED_VALUE"""),"333000")</f>
        <v>333000</v>
      </c>
      <c r="G14" s="211"/>
      <c r="H14" s="211"/>
      <c r="I14" s="211">
        <f>IFERROR(__xludf.DUMMYFUNCTION("""COMPUTED_VALUE"""),333000.0)</f>
        <v>333000</v>
      </c>
      <c r="J14" s="211" t="str">
        <f>IFERROR(__xludf.DUMMYFUNCTION("""COMPUTED_VALUE"""),"Ya")</f>
        <v>Ya</v>
      </c>
      <c r="L14" s="223" t="str">
        <f>IFERROR(__xludf.DUMMYFUNCTION("""COMPUTED_VALUE"""),"Sep 2024")</f>
        <v>Sep 2024</v>
      </c>
      <c r="M14" s="211" t="str">
        <f>IFERROR(__xludf.DUMMYFUNCTION("""COMPUTED_VALUE"""),"H. Fatoni")</f>
        <v>H. Fatoni</v>
      </c>
      <c r="N14" s="211" t="str">
        <f>IFERROR(__xludf.DUMMYFUNCTION("""COMPUTED_VALUE"""),"0924140")</f>
        <v>0924140</v>
      </c>
      <c r="O14" s="211" t="str">
        <f>IFERROR(__xludf.DUMMYFUNCTION("""COMPUTED_VALUE"""),"1/1")</f>
        <v>1/1</v>
      </c>
      <c r="P14" s="224">
        <f>IFERROR(__xludf.DUMMYFUNCTION("""COMPUTED_VALUE"""),155400.0)</f>
        <v>155400</v>
      </c>
      <c r="Q14" s="225" t="str">
        <f>IFERROR(__xludf.DUMMYFUNCTION("""COMPUTED_VALUE"""),"✅")</f>
        <v>✅</v>
      </c>
      <c r="R14" s="211" t="str">
        <f>IFERROR(__xludf.DUMMYFUNCTION("""COMPUTED_VALUE"""),"-")</f>
        <v>-</v>
      </c>
      <c r="S14" s="211"/>
      <c r="T14" s="211"/>
      <c r="U14" s="211"/>
    </row>
    <row r="15">
      <c r="A15" s="222" t="str">
        <f>IFERROR(__xludf.DUMMYFUNCTION("""COMPUTED_VALUE"""),"09240017")</f>
        <v>09240017</v>
      </c>
      <c r="B15" s="211" t="str">
        <f>IFERROR(__xludf.DUMMYFUNCTION("""COMPUTED_VALUE"""),"17 Sep 2024")</f>
        <v>17 Sep 2024</v>
      </c>
      <c r="C15" s="211" t="str">
        <f>IFERROR(__xludf.DUMMYFUNCTION("""COMPUTED_VALUE"""),"PT PELANGI INDOKARYA")</f>
        <v>PT PELANGI INDOKARYA</v>
      </c>
      <c r="D15" s="211" t="str">
        <f>IFERROR(__xludf.DUMMYFUNCTION("""COMPUTED_VALUE"""),"Oksigen 6m3")</f>
        <v>Oksigen 6m3</v>
      </c>
      <c r="E15" s="211" t="str">
        <f>IFERROR(__xludf.DUMMYFUNCTION("""COMPUTED_VALUE"""),"15")</f>
        <v>15</v>
      </c>
      <c r="F15" s="211" t="str">
        <f>IFERROR(__xludf.DUMMYFUNCTION("""COMPUTED_VALUE"""),"999000")</f>
        <v>999000</v>
      </c>
      <c r="G15" s="211"/>
      <c r="H15" s="211"/>
      <c r="I15" s="211">
        <f>IFERROR(__xludf.DUMMYFUNCTION("""COMPUTED_VALUE"""),999000.0)</f>
        <v>999000</v>
      </c>
      <c r="J15" s="211" t="str">
        <f>IFERROR(__xludf.DUMMYFUNCTION("""COMPUTED_VALUE"""),"Ya")</f>
        <v>Ya</v>
      </c>
      <c r="L15" s="223" t="str">
        <f>IFERROR(__xludf.DUMMYFUNCTION("""COMPUTED_VALUE"""),"Oct 2024")</f>
        <v>Oct 2024</v>
      </c>
      <c r="M15" s="211" t="str">
        <f>IFERROR(__xludf.DUMMYFUNCTION("""COMPUTED_VALUE"""),"PT PELANGI INDOKARYA")</f>
        <v>PT PELANGI INDOKARYA</v>
      </c>
      <c r="N15" s="211" t="str">
        <f>IFERROR(__xludf.DUMMYFUNCTION("""COMPUTED_VALUE"""),"1024150")</f>
        <v>1024150</v>
      </c>
      <c r="O15" s="211" t="str">
        <f>IFERROR(__xludf.DUMMYFUNCTION("""COMPUTED_VALUE"""),"3/3")</f>
        <v>3/3</v>
      </c>
      <c r="P15" s="224">
        <f>IFERROR(__xludf.DUMMYFUNCTION("""COMPUTED_VALUE"""),1332000.0)</f>
        <v>1332000</v>
      </c>
      <c r="Q15" s="225" t="str">
        <f>IFERROR(__xludf.DUMMYFUNCTION("""COMPUTED_VALUE"""),"✅")</f>
        <v>✅</v>
      </c>
      <c r="R15" s="211" t="str">
        <f>IFERROR(__xludf.DUMMYFUNCTION("""COMPUTED_VALUE"""),"-")</f>
        <v>-</v>
      </c>
      <c r="S15" s="211"/>
      <c r="T15" s="211"/>
      <c r="U15" s="211"/>
    </row>
    <row r="16">
      <c r="A16" s="222" t="str">
        <f>IFERROR(__xludf.DUMMYFUNCTION("""COMPUTED_VALUE"""),"09240018")</f>
        <v>09240018</v>
      </c>
      <c r="B16" s="211" t="str">
        <f>IFERROR(__xludf.DUMMYFUNCTION("""COMPUTED_VALUE"""),"18 Sep 2024")</f>
        <v>18 Sep 2024</v>
      </c>
      <c r="C16" s="211" t="str">
        <f>IFERROR(__xludf.DUMMYFUNCTION("""COMPUTED_VALUE"""),"PT GEMILANG CIPTA WAWASAN")</f>
        <v>PT GEMILANG CIPTA WAWASAN</v>
      </c>
      <c r="D16" s="211" t="str">
        <f>IFERROR(__xludf.DUMMYFUNCTION("""COMPUTED_VALUE"""),"Argon 6m3
Oksigen 6m3")</f>
        <v>Argon 6m3
Oksigen 6m3</v>
      </c>
      <c r="E16" s="211" t="str">
        <f>IFERROR(__xludf.DUMMYFUNCTION("""COMPUTED_VALUE"""),"5
5")</f>
        <v>5
5</v>
      </c>
      <c r="F16" s="211" t="str">
        <f>IFERROR(__xludf.DUMMYFUNCTION("""COMPUTED_VALUE"""),"1087800
333000")</f>
        <v>1087800
333000</v>
      </c>
      <c r="G16" s="211"/>
      <c r="H16" s="211"/>
      <c r="I16" s="211">
        <f>IFERROR(__xludf.DUMMYFUNCTION("""COMPUTED_VALUE"""),1420800.0)</f>
        <v>1420800</v>
      </c>
      <c r="J16" s="211" t="str">
        <f>IFERROR(__xludf.DUMMYFUNCTION("""COMPUTED_VALUE"""),"Ya")</f>
        <v>Ya</v>
      </c>
      <c r="L16" s="223" t="str">
        <f>IFERROR(__xludf.DUMMYFUNCTION("""COMPUTED_VALUE"""),"Oct 2024")</f>
        <v>Oct 2024</v>
      </c>
      <c r="M16" s="211" t="str">
        <f>IFERROR(__xludf.DUMMYFUNCTION("""COMPUTED_VALUE"""),"PT GEMILANG CIPTA WAWASAN")</f>
        <v>PT GEMILANG CIPTA WAWASAN</v>
      </c>
      <c r="N16" s="211" t="str">
        <f>IFERROR(__xludf.DUMMYFUNCTION("""COMPUTED_VALUE"""),"1024160")</f>
        <v>1024160</v>
      </c>
      <c r="O16" s="211" t="str">
        <f>IFERROR(__xludf.DUMMYFUNCTION("""COMPUTED_VALUE"""),"4/4")</f>
        <v>4/4</v>
      </c>
      <c r="P16" s="224">
        <f>IFERROR(__xludf.DUMMYFUNCTION("""COMPUTED_VALUE"""),6282600.0)</f>
        <v>6282600</v>
      </c>
      <c r="Q16" s="225" t="str">
        <f>IFERROR(__xludf.DUMMYFUNCTION("""COMPUTED_VALUE"""),"✅")</f>
        <v>✅</v>
      </c>
      <c r="R16" s="211" t="str">
        <f>IFERROR(__xludf.DUMMYFUNCTION("""COMPUTED_VALUE"""),"-")</f>
        <v>-</v>
      </c>
      <c r="S16" s="211"/>
      <c r="T16" s="211"/>
      <c r="U16" s="211"/>
    </row>
    <row r="17">
      <c r="A17" s="222" t="str">
        <f>IFERROR(__xludf.DUMMYFUNCTION("""COMPUTED_VALUE"""),"09240019")</f>
        <v>09240019</v>
      </c>
      <c r="B17" s="211" t="str">
        <f>IFERROR(__xludf.DUMMYFUNCTION("""COMPUTED_VALUE"""),"19 Sep 2024")</f>
        <v>19 Sep 2024</v>
      </c>
      <c r="C17" s="211" t="str">
        <f>IFERROR(__xludf.DUMMYFUNCTION("""COMPUTED_VALUE"""),"CV RAGAM JAYA ENGINEERING")</f>
        <v>CV RAGAM JAYA ENGINEERING</v>
      </c>
      <c r="D17" s="211" t="str">
        <f>IFERROR(__xludf.DUMMYFUNCTION("""COMPUTED_VALUE"""),"Oksigen 6m3")</f>
        <v>Oksigen 6m3</v>
      </c>
      <c r="E17" s="211" t="str">
        <f>IFERROR(__xludf.DUMMYFUNCTION("""COMPUTED_VALUE"""),"5")</f>
        <v>5</v>
      </c>
      <c r="F17" s="211" t="str">
        <f>IFERROR(__xludf.DUMMYFUNCTION("""COMPUTED_VALUE"""),"333000")</f>
        <v>333000</v>
      </c>
      <c r="G17" s="211"/>
      <c r="H17" s="211"/>
      <c r="I17" s="211">
        <f>IFERROR(__xludf.DUMMYFUNCTION("""COMPUTED_VALUE"""),333000.0)</f>
        <v>333000</v>
      </c>
      <c r="J17" s="211" t="str">
        <f>IFERROR(__xludf.DUMMYFUNCTION("""COMPUTED_VALUE"""),"Ya")</f>
        <v>Ya</v>
      </c>
      <c r="L17" s="223" t="str">
        <f>IFERROR(__xludf.DUMMYFUNCTION("""COMPUTED_VALUE"""),"Oct 2024")</f>
        <v>Oct 2024</v>
      </c>
      <c r="M17" s="211" t="str">
        <f>IFERROR(__xludf.DUMMYFUNCTION("""COMPUTED_VALUE"""),"PT Dunia Berkat Marga Mulya")</f>
        <v>PT Dunia Berkat Marga Mulya</v>
      </c>
      <c r="N17" s="211" t="str">
        <f>IFERROR(__xludf.DUMMYFUNCTION("""COMPUTED_VALUE"""),"1024170")</f>
        <v>1024170</v>
      </c>
      <c r="O17" s="211" t="str">
        <f>IFERROR(__xludf.DUMMYFUNCTION("""COMPUTED_VALUE"""),"2/2")</f>
        <v>2/2</v>
      </c>
      <c r="P17" s="224">
        <f>IFERROR(__xludf.DUMMYFUNCTION("""COMPUTED_VALUE"""),599400.0)</f>
        <v>599400</v>
      </c>
      <c r="Q17" s="225" t="str">
        <f>IFERROR(__xludf.DUMMYFUNCTION("""COMPUTED_VALUE"""),"✅")</f>
        <v>✅</v>
      </c>
      <c r="R17" s="211" t="str">
        <f>IFERROR(__xludf.DUMMYFUNCTION("""COMPUTED_VALUE"""),"-")</f>
        <v>-</v>
      </c>
      <c r="S17" s="211"/>
      <c r="T17" s="211"/>
      <c r="U17" s="211"/>
    </row>
    <row r="18">
      <c r="A18" s="222" t="str">
        <f>IFERROR(__xludf.DUMMYFUNCTION("""COMPUTED_VALUE"""),"09240021")</f>
        <v>09240021</v>
      </c>
      <c r="B18" s="211" t="str">
        <f>IFERROR(__xludf.DUMMYFUNCTION("""COMPUTED_VALUE"""),"19 Sep 2024")</f>
        <v>19 Sep 2024</v>
      </c>
      <c r="C18" s="211" t="str">
        <f>IFERROR(__xludf.DUMMYFUNCTION("""COMPUTED_VALUE"""),"PT GEMILANG CIPTA WAWASAN")</f>
        <v>PT GEMILANG CIPTA WAWASAN</v>
      </c>
      <c r="D18" s="211" t="str">
        <f>IFERROR(__xludf.DUMMYFUNCTION("""COMPUTED_VALUE"""),"Oksigen 6m3
LPG 12kg")</f>
        <v>Oksigen 6m3
LPG 12kg</v>
      </c>
      <c r="E18" s="211" t="str">
        <f>IFERROR(__xludf.DUMMYFUNCTION("""COMPUTED_VALUE"""),"5
10")</f>
        <v>5
10</v>
      </c>
      <c r="F18" s="211" t="str">
        <f>IFERROR(__xludf.DUMMYFUNCTION("""COMPUTED_VALUE"""),"333000
2331000")</f>
        <v>333000
2331000</v>
      </c>
      <c r="G18" s="211"/>
      <c r="H18" s="211"/>
      <c r="I18" s="211">
        <f>IFERROR(__xludf.DUMMYFUNCTION("""COMPUTED_VALUE"""),2664000.0)</f>
        <v>2664000</v>
      </c>
      <c r="J18" s="211" t="str">
        <f>IFERROR(__xludf.DUMMYFUNCTION("""COMPUTED_VALUE"""),"Ya")</f>
        <v>Ya</v>
      </c>
      <c r="L18" s="223" t="str">
        <f>IFERROR(__xludf.DUMMYFUNCTION("""COMPUTED_VALUE"""),"Oct 2024")</f>
        <v>Oct 2024</v>
      </c>
      <c r="M18" s="211" t="str">
        <f>IFERROR(__xludf.DUMMYFUNCTION("""COMPUTED_VALUE"""),"CV RAGAM JAYA ENGINEERING")</f>
        <v>CV RAGAM JAYA ENGINEERING</v>
      </c>
      <c r="N18" s="211" t="str">
        <f>IFERROR(__xludf.DUMMYFUNCTION("""COMPUTED_VALUE"""),"1024183")</f>
        <v>1024183</v>
      </c>
      <c r="O18" s="211" t="str">
        <f>IFERROR(__xludf.DUMMYFUNCTION("""COMPUTED_VALUE"""),"2/5")</f>
        <v>2/5</v>
      </c>
      <c r="P18" s="224">
        <f>IFERROR(__xludf.DUMMYFUNCTION("""COMPUTED_VALUE"""),9823500.0)</f>
        <v>9823500</v>
      </c>
      <c r="Q18" s="225">
        <f>IFERROR(__xludf.DUMMYFUNCTION("""COMPUTED_VALUE"""),5161500.0)</f>
        <v>5161500</v>
      </c>
      <c r="R18" s="211" t="str">
        <f>IFERROR(__xludf.DUMMYFUNCTION("""COMPUTED_VALUE"""),"10240051 10240058 10240066")</f>
        <v>10240051 10240058 10240066</v>
      </c>
      <c r="S18" s="211"/>
      <c r="T18" s="211"/>
      <c r="U18" s="211"/>
    </row>
    <row r="19">
      <c r="A19" s="222" t="str">
        <f>IFERROR(__xludf.DUMMYFUNCTION("""COMPUTED_VALUE"""),"09240022")</f>
        <v>09240022</v>
      </c>
      <c r="B19" s="211" t="str">
        <f>IFERROR(__xludf.DUMMYFUNCTION("""COMPUTED_VALUE"""),"24 Sep 2024")</f>
        <v>24 Sep 2024</v>
      </c>
      <c r="C19" s="211" t="str">
        <f>IFERROR(__xludf.DUMMYFUNCTION("""COMPUTED_VALUE"""),"PT PELANGI INDOKARYA")</f>
        <v>PT PELANGI INDOKARYA</v>
      </c>
      <c r="D19" s="211" t="str">
        <f>IFERROR(__xludf.DUMMYFUNCTION("""COMPUTED_VALUE"""),"Oksigen 6m3")</f>
        <v>Oksigen 6m3</v>
      </c>
      <c r="E19" s="211" t="str">
        <f>IFERROR(__xludf.DUMMYFUNCTION("""COMPUTED_VALUE"""),"10")</f>
        <v>10</v>
      </c>
      <c r="F19" s="211" t="str">
        <f>IFERROR(__xludf.DUMMYFUNCTION("""COMPUTED_VALUE"""),"666000")</f>
        <v>666000</v>
      </c>
      <c r="G19" s="211"/>
      <c r="H19" s="211"/>
      <c r="I19" s="211">
        <f>IFERROR(__xludf.DUMMYFUNCTION("""COMPUTED_VALUE"""),666000.0)</f>
        <v>666000</v>
      </c>
      <c r="J19" s="211" t="str">
        <f>IFERROR(__xludf.DUMMYFUNCTION("""COMPUTED_VALUE"""),"Ya")</f>
        <v>Ya</v>
      </c>
      <c r="L19" s="223" t="str">
        <f>IFERROR(__xludf.DUMMYFUNCTION("""COMPUTED_VALUE"""),"Oct 2024")</f>
        <v>Oct 2024</v>
      </c>
      <c r="M19" s="211" t="str">
        <f>IFERROR(__xludf.DUMMYFUNCTION("""COMPUTED_VALUE"""),"PT Hua Zong Mesindo")</f>
        <v>PT Hua Zong Mesindo</v>
      </c>
      <c r="N19" s="211" t="str">
        <f>IFERROR(__xludf.DUMMYFUNCTION("""COMPUTED_VALUE"""),"1024190")</f>
        <v>1024190</v>
      </c>
      <c r="O19" s="211" t="str">
        <f>IFERROR(__xludf.DUMMYFUNCTION("""COMPUTED_VALUE"""),"3/3")</f>
        <v>3/3</v>
      </c>
      <c r="P19" s="224">
        <f>IFERROR(__xludf.DUMMYFUNCTION("""COMPUTED_VALUE"""),3980000.0)</f>
        <v>3980000</v>
      </c>
      <c r="Q19" s="225" t="str">
        <f>IFERROR(__xludf.DUMMYFUNCTION("""COMPUTED_VALUE"""),"✅")</f>
        <v>✅</v>
      </c>
      <c r="R19" s="211" t="str">
        <f>IFERROR(__xludf.DUMMYFUNCTION("""COMPUTED_VALUE"""),"-")</f>
        <v>-</v>
      </c>
      <c r="S19" s="211"/>
      <c r="T19" s="211"/>
      <c r="U19" s="211"/>
    </row>
    <row r="20">
      <c r="A20" s="222" t="str">
        <f>IFERROR(__xludf.DUMMYFUNCTION("""COMPUTED_VALUE"""),"09240024")</f>
        <v>09240024</v>
      </c>
      <c r="B20" s="211" t="str">
        <f>IFERROR(__xludf.DUMMYFUNCTION("""COMPUTED_VALUE"""),"26 Sep 2024")</f>
        <v>26 Sep 2024</v>
      </c>
      <c r="C20" s="211" t="str">
        <f>IFERROR(__xludf.DUMMYFUNCTION("""COMPUTED_VALUE"""),"Bpk. Yudi")</f>
        <v>Bpk. Yudi</v>
      </c>
      <c r="D20" s="211" t="str">
        <f>IFERROR(__xludf.DUMMYFUNCTION("""COMPUTED_VALUE"""),"Argon 6m3")</f>
        <v>Argon 6m3</v>
      </c>
      <c r="E20" s="211" t="str">
        <f>IFERROR(__xludf.DUMMYFUNCTION("""COMPUTED_VALUE"""),"2")</f>
        <v>2</v>
      </c>
      <c r="F20" s="211" t="str">
        <f>IFERROR(__xludf.DUMMYFUNCTION("""COMPUTED_VALUE"""),"599400")</f>
        <v>599400</v>
      </c>
      <c r="G20" s="211"/>
      <c r="H20" s="211"/>
      <c r="I20" s="211">
        <f>IFERROR(__xludf.DUMMYFUNCTION("""COMPUTED_VALUE"""),599400.0)</f>
        <v>599400</v>
      </c>
      <c r="J20" s="211" t="str">
        <f>IFERROR(__xludf.DUMMYFUNCTION("""COMPUTED_VALUE"""),"Ya")</f>
        <v>Ya</v>
      </c>
      <c r="L20" s="223" t="str">
        <f>IFERROR(__xludf.DUMMYFUNCTION("""COMPUTED_VALUE"""),"Oct 2024")</f>
        <v>Oct 2024</v>
      </c>
      <c r="M20" s="211" t="str">
        <f>IFERROR(__xludf.DUMMYFUNCTION("""COMPUTED_VALUE"""),"PT TERAPAN NILAIOSILASI INDONESIA (TENO)")</f>
        <v>PT TERAPAN NILAIOSILASI INDONESIA (TENO)</v>
      </c>
      <c r="N20" s="211" t="str">
        <f>IFERROR(__xludf.DUMMYFUNCTION("""COMPUTED_VALUE"""),"1024200")</f>
        <v>1024200</v>
      </c>
      <c r="O20" s="211" t="str">
        <f>IFERROR(__xludf.DUMMYFUNCTION("""COMPUTED_VALUE"""),"2/2")</f>
        <v>2/2</v>
      </c>
      <c r="P20" s="224">
        <f>IFERROR(__xludf.DUMMYFUNCTION("""COMPUTED_VALUE"""),3904000.0)</f>
        <v>3904000</v>
      </c>
      <c r="Q20" s="225" t="str">
        <f>IFERROR(__xludf.DUMMYFUNCTION("""COMPUTED_VALUE"""),"✅")</f>
        <v>✅</v>
      </c>
      <c r="R20" s="211" t="str">
        <f>IFERROR(__xludf.DUMMYFUNCTION("""COMPUTED_VALUE"""),"-")</f>
        <v>-</v>
      </c>
      <c r="S20" s="211"/>
      <c r="T20" s="211"/>
      <c r="U20" s="211"/>
    </row>
    <row r="21">
      <c r="A21" s="222" t="str">
        <f>IFERROR(__xludf.DUMMYFUNCTION("""COMPUTED_VALUE"""),"09240025")</f>
        <v>09240025</v>
      </c>
      <c r="B21" s="211" t="str">
        <f>IFERROR(__xludf.DUMMYFUNCTION("""COMPUTED_VALUE"""),"26 Sep 2024")</f>
        <v>26 Sep 2024</v>
      </c>
      <c r="C21" s="211" t="str">
        <f>IFERROR(__xludf.DUMMYFUNCTION("""COMPUTED_VALUE"""),"PT Dunia Berkat Marga Mulya")</f>
        <v>PT Dunia Berkat Marga Mulya</v>
      </c>
      <c r="D21" s="211" t="str">
        <f>IFERROR(__xludf.DUMMYFUNCTION("""COMPUTED_VALUE"""),"Oksigen 6m3")</f>
        <v>Oksigen 6m3</v>
      </c>
      <c r="E21" s="211" t="str">
        <f>IFERROR(__xludf.DUMMYFUNCTION("""COMPUTED_VALUE"""),"2")</f>
        <v>2</v>
      </c>
      <c r="F21" s="211" t="str">
        <f>IFERROR(__xludf.DUMMYFUNCTION("""COMPUTED_VALUE"""),"133200")</f>
        <v>133200</v>
      </c>
      <c r="G21" s="211"/>
      <c r="H21" s="211"/>
      <c r="I21" s="211">
        <f>IFERROR(__xludf.DUMMYFUNCTION("""COMPUTED_VALUE"""),133200.0)</f>
        <v>133200</v>
      </c>
      <c r="J21" s="211" t="str">
        <f>IFERROR(__xludf.DUMMYFUNCTION("""COMPUTED_VALUE"""),"Ya")</f>
        <v>Ya</v>
      </c>
      <c r="L21" s="223" t="str">
        <f>IFERROR(__xludf.DUMMYFUNCTION("""COMPUTED_VALUE"""),"Oct 2024")</f>
        <v>Oct 2024</v>
      </c>
      <c r="M21" s="211" t="str">
        <f>IFERROR(__xludf.DUMMYFUNCTION("""COMPUTED_VALUE"""),"UD Sumber Berlian")</f>
        <v>UD Sumber Berlian</v>
      </c>
      <c r="N21" s="211" t="str">
        <f>IFERROR(__xludf.DUMMYFUNCTION("""COMPUTED_VALUE"""),"1024210")</f>
        <v>1024210</v>
      </c>
      <c r="O21" s="211" t="str">
        <f>IFERROR(__xludf.DUMMYFUNCTION("""COMPUTED_VALUE"""),"3/3")</f>
        <v>3/3</v>
      </c>
      <c r="P21" s="224">
        <f>IFERROR(__xludf.DUMMYFUNCTION("""COMPUTED_VALUE"""),1750000.0)</f>
        <v>1750000</v>
      </c>
      <c r="Q21" s="225" t="str">
        <f>IFERROR(__xludf.DUMMYFUNCTION("""COMPUTED_VALUE"""),"✅")</f>
        <v>✅</v>
      </c>
      <c r="R21" s="211" t="str">
        <f>IFERROR(__xludf.DUMMYFUNCTION("""COMPUTED_VALUE"""),"-")</f>
        <v>-</v>
      </c>
      <c r="S21" s="211"/>
      <c r="T21" s="211"/>
      <c r="U21" s="211"/>
    </row>
    <row r="22">
      <c r="A22" s="222" t="str">
        <f>IFERROR(__xludf.DUMMYFUNCTION("""COMPUTED_VALUE"""),"09240026")</f>
        <v>09240026</v>
      </c>
      <c r="B22" s="211" t="str">
        <f>IFERROR(__xludf.DUMMYFUNCTION("""COMPUTED_VALUE"""),"26 Sep 2024")</f>
        <v>26 Sep 2024</v>
      </c>
      <c r="C22" s="211" t="str">
        <f>IFERROR(__xludf.DUMMYFUNCTION("""COMPUTED_VALUE"""),"PT PELANGI INDOKARYA")</f>
        <v>PT PELANGI INDOKARYA</v>
      </c>
      <c r="D22" s="211" t="str">
        <f>IFERROR(__xludf.DUMMYFUNCTION("""COMPUTED_VALUE"""),"Oksigen 6m3")</f>
        <v>Oksigen 6m3</v>
      </c>
      <c r="E22" s="211" t="str">
        <f>IFERROR(__xludf.DUMMYFUNCTION("""COMPUTED_VALUE"""),"10")</f>
        <v>10</v>
      </c>
      <c r="F22" s="211" t="str">
        <f>IFERROR(__xludf.DUMMYFUNCTION("""COMPUTED_VALUE"""),"666000")</f>
        <v>666000</v>
      </c>
      <c r="G22" s="211"/>
      <c r="H22" s="211"/>
      <c r="I22" s="211">
        <f>IFERROR(__xludf.DUMMYFUNCTION("""COMPUTED_VALUE"""),666000.0)</f>
        <v>666000</v>
      </c>
      <c r="J22" s="211" t="str">
        <f>IFERROR(__xludf.DUMMYFUNCTION("""COMPUTED_VALUE"""),"Ya")</f>
        <v>Ya</v>
      </c>
      <c r="L22" s="223" t="str">
        <f>IFERROR(__xludf.DUMMYFUNCTION("""COMPUTED_VALUE"""),"Oct 2024")</f>
        <v>Oct 2024</v>
      </c>
      <c r="M22" s="211" t="str">
        <f>IFERROR(__xludf.DUMMYFUNCTION("""COMPUTED_VALUE"""),"PT Beton Prima Indonesia")</f>
        <v>PT Beton Prima Indonesia</v>
      </c>
      <c r="N22" s="211" t="str">
        <f>IFERROR(__xludf.DUMMYFUNCTION("""COMPUTED_VALUE"""),"1024220")</f>
        <v>1024220</v>
      </c>
      <c r="O22" s="211" t="str">
        <f>IFERROR(__xludf.DUMMYFUNCTION("""COMPUTED_VALUE"""),"3/3")</f>
        <v>3/3</v>
      </c>
      <c r="P22" s="224">
        <f>IFERROR(__xludf.DUMMYFUNCTION("""COMPUTED_VALUE"""),8700000.0)</f>
        <v>8700000</v>
      </c>
      <c r="Q22" s="225" t="str">
        <f>IFERROR(__xludf.DUMMYFUNCTION("""COMPUTED_VALUE"""),"✅")</f>
        <v>✅</v>
      </c>
      <c r="R22" s="211" t="str">
        <f>IFERROR(__xludf.DUMMYFUNCTION("""COMPUTED_VALUE"""),"-")</f>
        <v>-</v>
      </c>
      <c r="S22" s="211"/>
      <c r="T22" s="211"/>
      <c r="U22" s="211"/>
    </row>
    <row r="23">
      <c r="A23" s="222" t="str">
        <f>IFERROR(__xludf.DUMMYFUNCTION("""COMPUTED_VALUE"""),"09240027")</f>
        <v>09240027</v>
      </c>
      <c r="B23" s="211" t="str">
        <f>IFERROR(__xludf.DUMMYFUNCTION("""COMPUTED_VALUE"""),"27 Sep 2024")</f>
        <v>27 Sep 2024</v>
      </c>
      <c r="C23" s="211" t="str">
        <f>IFERROR(__xludf.DUMMYFUNCTION("""COMPUTED_VALUE"""),"CV RAGAM JAYA ENGINEERING")</f>
        <v>CV RAGAM JAYA ENGINEERING</v>
      </c>
      <c r="D23" s="211" t="str">
        <f>IFERROR(__xludf.DUMMYFUNCTION("""COMPUTED_VALUE"""),"Karbondioksida
Oksigen 6m3")</f>
        <v>Karbondioksida
Oksigen 6m3</v>
      </c>
      <c r="E23" s="211" t="str">
        <f>IFERROR(__xludf.DUMMYFUNCTION("""COMPUTED_VALUE"""),"5
5")</f>
        <v>5
5</v>
      </c>
      <c r="F23" s="211" t="str">
        <f>IFERROR(__xludf.DUMMYFUNCTION("""COMPUTED_VALUE"""),"888000
333000")</f>
        <v>888000
333000</v>
      </c>
      <c r="G23" s="211"/>
      <c r="H23" s="211"/>
      <c r="I23" s="211">
        <f>IFERROR(__xludf.DUMMYFUNCTION("""COMPUTED_VALUE"""),1221000.0)</f>
        <v>1221000</v>
      </c>
      <c r="J23" s="211" t="str">
        <f>IFERROR(__xludf.DUMMYFUNCTION("""COMPUTED_VALUE"""),"Ya")</f>
        <v>Ya</v>
      </c>
      <c r="L23" s="223" t="str">
        <f>IFERROR(__xludf.DUMMYFUNCTION("""COMPUTED_VALUE"""),"Oct 2024")</f>
        <v>Oct 2024</v>
      </c>
      <c r="M23" s="211" t="str">
        <f>IFERROR(__xludf.DUMMYFUNCTION("""COMPUTED_VALUE"""),"CV Sido Mukti Karya")</f>
        <v>CV Sido Mukti Karya</v>
      </c>
      <c r="N23" s="211" t="str">
        <f>IFERROR(__xludf.DUMMYFUNCTION("""COMPUTED_VALUE"""),"1024230")</f>
        <v>1024230</v>
      </c>
      <c r="O23" s="211" t="str">
        <f>IFERROR(__xludf.DUMMYFUNCTION("""COMPUTED_VALUE"""),"1/1")</f>
        <v>1/1</v>
      </c>
      <c r="P23" s="224">
        <f>IFERROR(__xludf.DUMMYFUNCTION("""COMPUTED_VALUE"""),600000.0)</f>
        <v>600000</v>
      </c>
      <c r="Q23" s="225" t="str">
        <f>IFERROR(__xludf.DUMMYFUNCTION("""COMPUTED_VALUE"""),"✅")</f>
        <v>✅</v>
      </c>
      <c r="R23" s="211" t="str">
        <f>IFERROR(__xludf.DUMMYFUNCTION("""COMPUTED_VALUE"""),"-")</f>
        <v>-</v>
      </c>
      <c r="S23" s="211"/>
      <c r="T23" s="211"/>
      <c r="U23" s="211"/>
    </row>
    <row r="24">
      <c r="A24" s="222" t="str">
        <f>IFERROR(__xludf.DUMMYFUNCTION("""COMPUTED_VALUE"""),"09240028")</f>
        <v>09240028</v>
      </c>
      <c r="B24" s="211" t="str">
        <f>IFERROR(__xludf.DUMMYFUNCTION("""COMPUTED_VALUE"""),"28 Sep 2024")</f>
        <v>28 Sep 2024</v>
      </c>
      <c r="C24" s="211" t="str">
        <f>IFERROR(__xludf.DUMMYFUNCTION("""COMPUTED_VALUE"""),"PT PELANGI INDOKARYA")</f>
        <v>PT PELANGI INDOKARYA</v>
      </c>
      <c r="D24" s="211" t="str">
        <f>IFERROR(__xludf.DUMMYFUNCTION("""COMPUTED_VALUE"""),"LPG 50kg")</f>
        <v>LPG 50kg</v>
      </c>
      <c r="E24" s="211" t="str">
        <f>IFERROR(__xludf.DUMMYFUNCTION("""COMPUTED_VALUE"""),"1")</f>
        <v>1</v>
      </c>
      <c r="F24" s="211" t="str">
        <f>IFERROR(__xludf.DUMMYFUNCTION("""COMPUTED_VALUE"""),"1554000")</f>
        <v>1554000</v>
      </c>
      <c r="G24" s="211"/>
      <c r="H24" s="211"/>
      <c r="I24" s="211">
        <f>IFERROR(__xludf.DUMMYFUNCTION("""COMPUTED_VALUE"""),1554000.0)</f>
        <v>1554000</v>
      </c>
      <c r="J24" s="211" t="str">
        <f>IFERROR(__xludf.DUMMYFUNCTION("""COMPUTED_VALUE"""),"Ya")</f>
        <v>Ya</v>
      </c>
      <c r="L24" s="223" t="str">
        <f>IFERROR(__xludf.DUMMYFUNCTION("""COMPUTED_VALUE"""),"Oct 2024")</f>
        <v>Oct 2024</v>
      </c>
      <c r="M24" s="211" t="str">
        <f>IFERROR(__xludf.DUMMYFUNCTION("""COMPUTED_VALUE"""),"H. Fatoni")</f>
        <v>H. Fatoni</v>
      </c>
      <c r="N24" s="211" t="str">
        <f>IFERROR(__xludf.DUMMYFUNCTION("""COMPUTED_VALUE"""),"1024240")</f>
        <v>1024240</v>
      </c>
      <c r="O24" s="211" t="str">
        <f>IFERROR(__xludf.DUMMYFUNCTION("""COMPUTED_VALUE"""),"1/1")</f>
        <v>1/1</v>
      </c>
      <c r="P24" s="224">
        <f>IFERROR(__xludf.DUMMYFUNCTION("""COMPUTED_VALUE"""),233100.0)</f>
        <v>233100</v>
      </c>
      <c r="Q24" s="225" t="str">
        <f>IFERROR(__xludf.DUMMYFUNCTION("""COMPUTED_VALUE"""),"✅")</f>
        <v>✅</v>
      </c>
      <c r="R24" s="211" t="str">
        <f>IFERROR(__xludf.DUMMYFUNCTION("""COMPUTED_VALUE"""),"-")</f>
        <v>-</v>
      </c>
      <c r="S24" s="211"/>
      <c r="T24" s="211"/>
      <c r="U24" s="211"/>
    </row>
    <row r="25">
      <c r="A25" s="222" t="str">
        <f>IFERROR(__xludf.DUMMYFUNCTION("""COMPUTED_VALUE"""),"09240030")</f>
        <v>09240030</v>
      </c>
      <c r="B25" s="211" t="str">
        <f>IFERROR(__xludf.DUMMYFUNCTION("""COMPUTED_VALUE"""),"29 Sep 2024")</f>
        <v>29 Sep 2024</v>
      </c>
      <c r="C25" s="211" t="str">
        <f>IFERROR(__xludf.DUMMYFUNCTION("""COMPUTED_VALUE"""),"PT PELANGI INDOKARYA")</f>
        <v>PT PELANGI INDOKARYA</v>
      </c>
      <c r="D25" s="211" t="str">
        <f>IFERROR(__xludf.DUMMYFUNCTION("""COMPUTED_VALUE"""),"Oksigen 6m3")</f>
        <v>Oksigen 6m3</v>
      </c>
      <c r="E25" s="211" t="str">
        <f>IFERROR(__xludf.DUMMYFUNCTION("""COMPUTED_VALUE"""),"7")</f>
        <v>7</v>
      </c>
      <c r="F25" s="211" t="str">
        <f>IFERROR(__xludf.DUMMYFUNCTION("""COMPUTED_VALUE"""),"466200")</f>
        <v>466200</v>
      </c>
      <c r="G25" s="211"/>
      <c r="H25" s="211"/>
      <c r="I25" s="211">
        <f>IFERROR(__xludf.DUMMYFUNCTION("""COMPUTED_VALUE"""),466200.0)</f>
        <v>466200</v>
      </c>
      <c r="J25" s="211" t="str">
        <f>IFERROR(__xludf.DUMMYFUNCTION("""COMPUTED_VALUE"""),"Ya")</f>
        <v>Ya</v>
      </c>
      <c r="L25" s="223" t="str">
        <f>IFERROR(__xludf.DUMMYFUNCTION("""COMPUTED_VALUE"""),"Oct 2024")</f>
        <v>Oct 2024</v>
      </c>
      <c r="M25" s="211" t="str">
        <f>IFERROR(__xludf.DUMMYFUNCTION("""COMPUTED_VALUE"""),"CV ANUGERAH PERSADA TEKNIK")</f>
        <v>CV ANUGERAH PERSADA TEKNIK</v>
      </c>
      <c r="N25" s="211" t="str">
        <f>IFERROR(__xludf.DUMMYFUNCTION("""COMPUTED_VALUE"""),"1024250")</f>
        <v>1024250</v>
      </c>
      <c r="O25" s="211" t="str">
        <f>IFERROR(__xludf.DUMMYFUNCTION("""COMPUTED_VALUE"""),"1/1")</f>
        <v>1/1</v>
      </c>
      <c r="P25" s="224">
        <f>IFERROR(__xludf.DUMMYFUNCTION("""COMPUTED_VALUE"""),632700.0)</f>
        <v>632700</v>
      </c>
      <c r="Q25" s="225" t="str">
        <f>IFERROR(__xludf.DUMMYFUNCTION("""COMPUTED_VALUE"""),"✅")</f>
        <v>✅</v>
      </c>
      <c r="R25" s="211" t="str">
        <f>IFERROR(__xludf.DUMMYFUNCTION("""COMPUTED_VALUE"""),"-")</f>
        <v>-</v>
      </c>
      <c r="S25" s="211"/>
      <c r="T25" s="211"/>
      <c r="U25" s="211"/>
    </row>
    <row r="26">
      <c r="A26" s="222" t="str">
        <f>IFERROR(__xludf.DUMMYFUNCTION("""COMPUTED_VALUE"""),"09240031")</f>
        <v>09240031</v>
      </c>
      <c r="B26" s="211" t="str">
        <f>IFERROR(__xludf.DUMMYFUNCTION("""COMPUTED_VALUE"""),"30 Sep 2024")</f>
        <v>30 Sep 2024</v>
      </c>
      <c r="C26" s="211" t="str">
        <f>IFERROR(__xludf.DUMMYFUNCTION("""COMPUTED_VALUE"""),"PT PELANGI INDOKARYA")</f>
        <v>PT PELANGI INDOKARYA</v>
      </c>
      <c r="D26" s="211" t="str">
        <f>IFERROR(__xludf.DUMMYFUNCTION("""COMPUTED_VALUE"""),"Oksigen 6m3")</f>
        <v>Oksigen 6m3</v>
      </c>
      <c r="E26" s="211" t="str">
        <f>IFERROR(__xludf.DUMMYFUNCTION("""COMPUTED_VALUE"""),"13")</f>
        <v>13</v>
      </c>
      <c r="F26" s="211" t="str">
        <f>IFERROR(__xludf.DUMMYFUNCTION("""COMPUTED_VALUE"""),"865800")</f>
        <v>865800</v>
      </c>
      <c r="G26" s="211"/>
      <c r="H26" s="211"/>
      <c r="I26" s="211">
        <f>IFERROR(__xludf.DUMMYFUNCTION("""COMPUTED_VALUE"""),865800.0)</f>
        <v>865800</v>
      </c>
      <c r="J26" s="211" t="str">
        <f>IFERROR(__xludf.DUMMYFUNCTION("""COMPUTED_VALUE"""),"Ya")</f>
        <v>Ya</v>
      </c>
      <c r="L26" s="223" t="str">
        <f>IFERROR(__xludf.DUMMYFUNCTION("""COMPUTED_VALUE"""),"Oct 2024")</f>
        <v>Oct 2024</v>
      </c>
      <c r="M26" s="211" t="str">
        <f>IFERROR(__xludf.DUMMYFUNCTION("""COMPUTED_VALUE"""),"PT Amtech")</f>
        <v>PT Amtech</v>
      </c>
      <c r="N26" s="211" t="str">
        <f>IFERROR(__xludf.DUMMYFUNCTION("""COMPUTED_VALUE"""),"1024260")</f>
        <v>1024260</v>
      </c>
      <c r="O26" s="211" t="str">
        <f>IFERROR(__xludf.DUMMYFUNCTION("""COMPUTED_VALUE"""),"1/1")</f>
        <v>1/1</v>
      </c>
      <c r="P26" s="224">
        <f>IFERROR(__xludf.DUMMYFUNCTION("""COMPUTED_VALUE"""),210900.0)</f>
        <v>210900</v>
      </c>
      <c r="Q26" s="225" t="str">
        <f>IFERROR(__xludf.DUMMYFUNCTION("""COMPUTED_VALUE"""),"✅")</f>
        <v>✅</v>
      </c>
      <c r="R26" s="211" t="str">
        <f>IFERROR(__xludf.DUMMYFUNCTION("""COMPUTED_VALUE"""),"-")</f>
        <v>-</v>
      </c>
      <c r="S26" s="211"/>
      <c r="T26" s="211"/>
      <c r="U26" s="211"/>
    </row>
    <row r="27">
      <c r="A27" s="222" t="str">
        <f>IFERROR(__xludf.DUMMYFUNCTION("""COMPUTED_VALUE"""),"09240032")</f>
        <v>09240032</v>
      </c>
      <c r="B27" s="211" t="str">
        <f>IFERROR(__xludf.DUMMYFUNCTION("""COMPUTED_VALUE"""),"30 Sep 2024")</f>
        <v>30 Sep 2024</v>
      </c>
      <c r="C27" s="211" t="str">
        <f>IFERROR(__xludf.DUMMYFUNCTION("""COMPUTED_VALUE"""),"H. Fatoni")</f>
        <v>H. Fatoni</v>
      </c>
      <c r="D27" s="211" t="str">
        <f>IFERROR(__xludf.DUMMYFUNCTION("""COMPUTED_VALUE"""),"Oksigen 6m3")</f>
        <v>Oksigen 6m3</v>
      </c>
      <c r="E27" s="211" t="str">
        <f>IFERROR(__xludf.DUMMYFUNCTION("""COMPUTED_VALUE"""),"2")</f>
        <v>2</v>
      </c>
      <c r="F27" s="211" t="str">
        <f>IFERROR(__xludf.DUMMYFUNCTION("""COMPUTED_VALUE"""),"155400")</f>
        <v>155400</v>
      </c>
      <c r="G27" s="211"/>
      <c r="H27" s="211"/>
      <c r="I27" s="211">
        <f>IFERROR(__xludf.DUMMYFUNCTION("""COMPUTED_VALUE"""),155400.0)</f>
        <v>155400</v>
      </c>
      <c r="J27" s="211" t="str">
        <f>IFERROR(__xludf.DUMMYFUNCTION("""COMPUTED_VALUE"""),"Ya")</f>
        <v>Ya</v>
      </c>
      <c r="L27" s="223" t="str">
        <f>IFERROR(__xludf.DUMMYFUNCTION("""COMPUTED_VALUE"""),"Nov 2024")</f>
        <v>Nov 2024</v>
      </c>
      <c r="M27" s="211" t="str">
        <f>IFERROR(__xludf.DUMMYFUNCTION("""COMPUTED_VALUE"""),"CV Sido Mukti Karya")</f>
        <v>CV Sido Mukti Karya</v>
      </c>
      <c r="N27" s="211" t="str">
        <f>IFERROR(__xludf.DUMMYFUNCTION("""COMPUTED_VALUE"""),"1124270")</f>
        <v>1124270</v>
      </c>
      <c r="O27" s="211" t="str">
        <f>IFERROR(__xludf.DUMMYFUNCTION("""COMPUTED_VALUE"""),"2/2")</f>
        <v>2/2</v>
      </c>
      <c r="P27" s="224">
        <f>IFERROR(__xludf.DUMMYFUNCTION("""COMPUTED_VALUE"""),770000.0)</f>
        <v>770000</v>
      </c>
      <c r="Q27" s="225" t="str">
        <f>IFERROR(__xludf.DUMMYFUNCTION("""COMPUTED_VALUE"""),"✅")</f>
        <v>✅</v>
      </c>
      <c r="R27" s="211" t="str">
        <f>IFERROR(__xludf.DUMMYFUNCTION("""COMPUTED_VALUE"""),"-")</f>
        <v>-</v>
      </c>
      <c r="S27" s="211"/>
      <c r="T27" s="211"/>
      <c r="U27" s="211"/>
    </row>
    <row r="28">
      <c r="A28" s="222" t="str">
        <f>IFERROR(__xludf.DUMMYFUNCTION("""COMPUTED_VALUE"""),"10240033")</f>
        <v>10240033</v>
      </c>
      <c r="B28" s="211" t="str">
        <f>IFERROR(__xludf.DUMMYFUNCTION("""COMPUTED_VALUE"""),"02 Oct 2024")</f>
        <v>02 Oct 2024</v>
      </c>
      <c r="C28" s="211" t="str">
        <f>IFERROR(__xludf.DUMMYFUNCTION("""COMPUTED_VALUE"""),"PT PELANGI INDOKARYA")</f>
        <v>PT PELANGI INDOKARYA</v>
      </c>
      <c r="D28" s="211" t="str">
        <f>IFERROR(__xludf.DUMMYFUNCTION("""COMPUTED_VALUE"""),"Oksigen 6m3")</f>
        <v>Oksigen 6m3</v>
      </c>
      <c r="E28" s="211" t="str">
        <f>IFERROR(__xludf.DUMMYFUNCTION("""COMPUTED_VALUE"""),"10")</f>
        <v>10</v>
      </c>
      <c r="F28" s="211" t="str">
        <f>IFERROR(__xludf.DUMMYFUNCTION("""COMPUTED_VALUE"""),"666000")</f>
        <v>666000</v>
      </c>
      <c r="G28" s="211"/>
      <c r="H28" s="211"/>
      <c r="I28" s="211">
        <f>IFERROR(__xludf.DUMMYFUNCTION("""COMPUTED_VALUE"""),666000.0)</f>
        <v>666000</v>
      </c>
      <c r="J28" s="211" t="str">
        <f>IFERROR(__xludf.DUMMYFUNCTION("""COMPUTED_VALUE"""),"Ya")</f>
        <v>Ya</v>
      </c>
      <c r="L28" s="223" t="str">
        <f>IFERROR(__xludf.DUMMYFUNCTION("""COMPUTED_VALUE"""),"Nov 2024")</f>
        <v>Nov 2024</v>
      </c>
      <c r="M28" s="211" t="str">
        <f>IFERROR(__xludf.DUMMYFUNCTION("""COMPUTED_VALUE"""),"UD Sumber Berlian")</f>
        <v>UD Sumber Berlian</v>
      </c>
      <c r="N28" s="211" t="str">
        <f>IFERROR(__xludf.DUMMYFUNCTION("""COMPUTED_VALUE"""),"1124280")</f>
        <v>1124280</v>
      </c>
      <c r="O28" s="211" t="str">
        <f>IFERROR(__xludf.DUMMYFUNCTION("""COMPUTED_VALUE"""),"12/12")</f>
        <v>12/12</v>
      </c>
      <c r="P28" s="224">
        <f>IFERROR(__xludf.DUMMYFUNCTION("""COMPUTED_VALUE"""),1.357E7)</f>
        <v>13570000</v>
      </c>
      <c r="Q28" s="225" t="str">
        <f>IFERROR(__xludf.DUMMYFUNCTION("""COMPUTED_VALUE"""),"✅")</f>
        <v>✅</v>
      </c>
      <c r="R28" s="211" t="str">
        <f>IFERROR(__xludf.DUMMYFUNCTION("""COMPUTED_VALUE"""),"-")</f>
        <v>-</v>
      </c>
      <c r="S28" s="211"/>
      <c r="T28" s="211"/>
      <c r="U28" s="211"/>
    </row>
    <row r="29">
      <c r="A29" s="222" t="str">
        <f>IFERROR(__xludf.DUMMYFUNCTION("""COMPUTED_VALUE"""),"10240034")</f>
        <v>10240034</v>
      </c>
      <c r="B29" s="211" t="str">
        <f>IFERROR(__xludf.DUMMYFUNCTION("""COMPUTED_VALUE"""),"02 Oct 2024")</f>
        <v>02 Oct 2024</v>
      </c>
      <c r="C29" s="211" t="str">
        <f>IFERROR(__xludf.DUMMYFUNCTION("""COMPUTED_VALUE"""),"PT GEMILANG CIPTA WAWASAN")</f>
        <v>PT GEMILANG CIPTA WAWASAN</v>
      </c>
      <c r="D29" s="211" t="str">
        <f>IFERROR(__xludf.DUMMYFUNCTION("""COMPUTED_VALUE"""),"Oksigen 6m3")</f>
        <v>Oksigen 6m3</v>
      </c>
      <c r="E29" s="211" t="str">
        <f>IFERROR(__xludf.DUMMYFUNCTION("""COMPUTED_VALUE"""),"20")</f>
        <v>20</v>
      </c>
      <c r="F29" s="211" t="str">
        <f>IFERROR(__xludf.DUMMYFUNCTION("""COMPUTED_VALUE"""),"1332000")</f>
        <v>1332000</v>
      </c>
      <c r="G29" s="211"/>
      <c r="H29" s="211"/>
      <c r="I29" s="211">
        <f>IFERROR(__xludf.DUMMYFUNCTION("""COMPUTED_VALUE"""),1332000.0)</f>
        <v>1332000</v>
      </c>
      <c r="J29" s="211" t="str">
        <f>IFERROR(__xludf.DUMMYFUNCTION("""COMPUTED_VALUE"""),"Ya")</f>
        <v>Ya</v>
      </c>
      <c r="L29" s="223" t="str">
        <f>IFERROR(__xludf.DUMMYFUNCTION("""COMPUTED_VALUE"""),"Nov 2024")</f>
        <v>Nov 2024</v>
      </c>
      <c r="M29" s="211" t="str">
        <f>IFERROR(__xludf.DUMMYFUNCTION("""COMPUTED_VALUE"""),"PT Beton Prima Indonesia")</f>
        <v>PT Beton Prima Indonesia</v>
      </c>
      <c r="N29" s="211" t="str">
        <f>IFERROR(__xludf.DUMMYFUNCTION("""COMPUTED_VALUE"""),"1124290")</f>
        <v>1124290</v>
      </c>
      <c r="O29" s="211" t="str">
        <f>IFERROR(__xludf.DUMMYFUNCTION("""COMPUTED_VALUE"""),"9/9")</f>
        <v>9/9</v>
      </c>
      <c r="P29" s="224">
        <f>IFERROR(__xludf.DUMMYFUNCTION("""COMPUTED_VALUE"""),9050000.0)</f>
        <v>9050000</v>
      </c>
      <c r="Q29" s="225" t="str">
        <f>IFERROR(__xludf.DUMMYFUNCTION("""COMPUTED_VALUE"""),"✅")</f>
        <v>✅</v>
      </c>
      <c r="R29" s="211" t="str">
        <f>IFERROR(__xludf.DUMMYFUNCTION("""COMPUTED_VALUE"""),"-")</f>
        <v>-</v>
      </c>
      <c r="S29" s="211"/>
      <c r="T29" s="211"/>
      <c r="U29" s="211"/>
    </row>
    <row r="30">
      <c r="A30" s="222" t="str">
        <f>IFERROR(__xludf.DUMMYFUNCTION("""COMPUTED_VALUE"""),"10240035")</f>
        <v>10240035</v>
      </c>
      <c r="B30" s="211" t="str">
        <f>IFERROR(__xludf.DUMMYFUNCTION("""COMPUTED_VALUE"""),"02 Oct 2024")</f>
        <v>02 Oct 2024</v>
      </c>
      <c r="C30" s="211" t="str">
        <f>IFERROR(__xludf.DUMMYFUNCTION("""COMPUTED_VALUE"""),"PT Dunia Berkat Marga Mulya")</f>
        <v>PT Dunia Berkat Marga Mulya</v>
      </c>
      <c r="D30" s="211" t="str">
        <f>IFERROR(__xludf.DUMMYFUNCTION("""COMPUTED_VALUE"""),"Oksigen 6m3")</f>
        <v>Oksigen 6m3</v>
      </c>
      <c r="E30" s="211" t="str">
        <f>IFERROR(__xludf.DUMMYFUNCTION("""COMPUTED_VALUE"""),"4")</f>
        <v>4</v>
      </c>
      <c r="F30" s="211" t="str">
        <f>IFERROR(__xludf.DUMMYFUNCTION("""COMPUTED_VALUE"""),"266400")</f>
        <v>266400</v>
      </c>
      <c r="G30" s="211"/>
      <c r="H30" s="211"/>
      <c r="I30" s="211">
        <f>IFERROR(__xludf.DUMMYFUNCTION("""COMPUTED_VALUE"""),266400.0)</f>
        <v>266400</v>
      </c>
      <c r="J30" s="211" t="str">
        <f>IFERROR(__xludf.DUMMYFUNCTION("""COMPUTED_VALUE"""),"Ya")</f>
        <v>Ya</v>
      </c>
      <c r="L30" s="223" t="str">
        <f>IFERROR(__xludf.DUMMYFUNCTION("""COMPUTED_VALUE"""),"Nov 2024")</f>
        <v>Nov 2024</v>
      </c>
      <c r="M30" s="211" t="str">
        <f>IFERROR(__xludf.DUMMYFUNCTION("""COMPUTED_VALUE"""),"CV RAGAM JAYA ENGINEERING")</f>
        <v>CV RAGAM JAYA ENGINEERING</v>
      </c>
      <c r="N30" s="211" t="str">
        <f>IFERROR(__xludf.DUMMYFUNCTION("""COMPUTED_VALUE"""),"1124304")</f>
        <v>1124304</v>
      </c>
      <c r="O30" s="211" t="str">
        <f>IFERROR(__xludf.DUMMYFUNCTION("""COMPUTED_VALUE"""),"0/4")</f>
        <v>0/4</v>
      </c>
      <c r="P30" s="224">
        <f>IFERROR(__xludf.DUMMYFUNCTION("""COMPUTED_VALUE"""),6937500.0)</f>
        <v>6937500</v>
      </c>
      <c r="Q30" s="225">
        <f>IFERROR(__xludf.DUMMYFUNCTION("""COMPUTED_VALUE"""),6937500.0)</f>
        <v>6937500</v>
      </c>
      <c r="R30" s="211" t="str">
        <f>IFERROR(__xludf.DUMMYFUNCTION("""COMPUTED_VALUE"""),"11240081 11240102 11240117 11240128")</f>
        <v>11240081 11240102 11240117 11240128</v>
      </c>
      <c r="S30" s="211"/>
      <c r="T30" s="211"/>
      <c r="U30" s="211"/>
    </row>
    <row r="31">
      <c r="A31" s="222" t="str">
        <f>IFERROR(__xludf.DUMMYFUNCTION("""COMPUTED_VALUE"""),"10240036")</f>
        <v>10240036</v>
      </c>
      <c r="B31" s="211" t="str">
        <f>IFERROR(__xludf.DUMMYFUNCTION("""COMPUTED_VALUE"""),"08 Oct 2024")</f>
        <v>08 Oct 2024</v>
      </c>
      <c r="C31" s="211" t="str">
        <f>IFERROR(__xludf.DUMMYFUNCTION("""COMPUTED_VALUE"""),"PT GEMILANG CIPTA WAWASAN")</f>
        <v>PT GEMILANG CIPTA WAWASAN</v>
      </c>
      <c r="D31" s="211" t="str">
        <f>IFERROR(__xludf.DUMMYFUNCTION("""COMPUTED_VALUE"""),"Oksigen 6m3
LPG 12kg")</f>
        <v>Oksigen 6m3
LPG 12kg</v>
      </c>
      <c r="E31" s="211" t="str">
        <f>IFERROR(__xludf.DUMMYFUNCTION("""COMPUTED_VALUE"""),"15
5")</f>
        <v>15
5</v>
      </c>
      <c r="F31" s="211" t="str">
        <f>IFERROR(__xludf.DUMMYFUNCTION("""COMPUTED_VALUE"""),"999000
1165500")</f>
        <v>999000
1165500</v>
      </c>
      <c r="G31" s="211"/>
      <c r="H31" s="211"/>
      <c r="I31" s="211">
        <f>IFERROR(__xludf.DUMMYFUNCTION("""COMPUTED_VALUE"""),2164500.0)</f>
        <v>2164500</v>
      </c>
      <c r="J31" s="211" t="str">
        <f>IFERROR(__xludf.DUMMYFUNCTION("""COMPUTED_VALUE"""),"Ya")</f>
        <v>Ya</v>
      </c>
      <c r="L31" s="223" t="str">
        <f>IFERROR(__xludf.DUMMYFUNCTION("""COMPUTED_VALUE"""),"Nov 2024")</f>
        <v>Nov 2024</v>
      </c>
      <c r="M31" s="211" t="str">
        <f>IFERROR(__xludf.DUMMYFUNCTION("""COMPUTED_VALUE"""),"CV ANUGERAH PERSADA TEKNIK")</f>
        <v>CV ANUGERAH PERSADA TEKNIK</v>
      </c>
      <c r="N31" s="211" t="str">
        <f>IFERROR(__xludf.DUMMYFUNCTION("""COMPUTED_VALUE"""),"1124312")</f>
        <v>1124312</v>
      </c>
      <c r="O31" s="211" t="str">
        <f>IFERROR(__xludf.DUMMYFUNCTION("""COMPUTED_VALUE"""),"3/5")</f>
        <v>3/5</v>
      </c>
      <c r="P31" s="224">
        <f>IFERROR(__xludf.DUMMYFUNCTION("""COMPUTED_VALUE"""),4478850.0)</f>
        <v>4478850</v>
      </c>
      <c r="Q31" s="225">
        <f>IFERROR(__xludf.DUMMYFUNCTION("""COMPUTED_VALUE"""),2491950.0)</f>
        <v>2491950</v>
      </c>
      <c r="R31" s="211" t="str">
        <f>IFERROR(__xludf.DUMMYFUNCTION("""COMPUTED_VALUE"""),"11240111 11240126")</f>
        <v>11240111 11240126</v>
      </c>
      <c r="S31" s="211"/>
      <c r="T31" s="211"/>
      <c r="U31" s="211"/>
    </row>
    <row r="32">
      <c r="A32" s="222" t="str">
        <f>IFERROR(__xludf.DUMMYFUNCTION("""COMPUTED_VALUE"""),"10240037")</f>
        <v>10240037</v>
      </c>
      <c r="B32" s="211" t="str">
        <f>IFERROR(__xludf.DUMMYFUNCTION("""COMPUTED_VALUE"""),"09 Oct 2024")</f>
        <v>09 Oct 2024</v>
      </c>
      <c r="C32" s="211" t="str">
        <f>IFERROR(__xludf.DUMMYFUNCTION("""COMPUTED_VALUE"""),"CV RAGAM JAYA ENGINEERING")</f>
        <v>CV RAGAM JAYA ENGINEERING</v>
      </c>
      <c r="D32" s="211" t="str">
        <f>IFERROR(__xludf.DUMMYFUNCTION("""COMPUTED_VALUE"""),"Oksigen 6m3
Karbondioksida")</f>
        <v>Oksigen 6m3
Karbondioksida</v>
      </c>
      <c r="E32" s="211" t="str">
        <f>IFERROR(__xludf.DUMMYFUNCTION("""COMPUTED_VALUE"""),"15
5")</f>
        <v>15
5</v>
      </c>
      <c r="F32" s="211" t="str">
        <f>IFERROR(__xludf.DUMMYFUNCTION("""COMPUTED_VALUE"""),"999000
888000")</f>
        <v>999000
888000</v>
      </c>
      <c r="G32" s="211"/>
      <c r="H32" s="211"/>
      <c r="I32" s="211">
        <f>IFERROR(__xludf.DUMMYFUNCTION("""COMPUTED_VALUE"""),1887000.0)</f>
        <v>1887000</v>
      </c>
      <c r="J32" s="211" t="str">
        <f>IFERROR(__xludf.DUMMYFUNCTION("""COMPUTED_VALUE"""),"Ya")</f>
        <v>Ya</v>
      </c>
      <c r="L32" s="223" t="str">
        <f>IFERROR(__xludf.DUMMYFUNCTION("""COMPUTED_VALUE"""),"Nov 2024")</f>
        <v>Nov 2024</v>
      </c>
      <c r="M32" s="211" t="str">
        <f>IFERROR(__xludf.DUMMYFUNCTION("""COMPUTED_VALUE"""),"PT GEMILANG CIPTA WAWASAN")</f>
        <v>PT GEMILANG CIPTA WAWASAN</v>
      </c>
      <c r="N32" s="211" t="str">
        <f>IFERROR(__xludf.DUMMYFUNCTION("""COMPUTED_VALUE"""),"1124320")</f>
        <v>1124320</v>
      </c>
      <c r="O32" s="211" t="str">
        <f>IFERROR(__xludf.DUMMYFUNCTION("""COMPUTED_VALUE"""),"2/2")</f>
        <v>2/2</v>
      </c>
      <c r="P32" s="224">
        <f>IFERROR(__xludf.DUMMYFUNCTION("""COMPUTED_VALUE"""),4950600.0)</f>
        <v>4950600</v>
      </c>
      <c r="Q32" s="225" t="str">
        <f>IFERROR(__xludf.DUMMYFUNCTION("""COMPUTED_VALUE"""),"✅")</f>
        <v>✅</v>
      </c>
      <c r="R32" s="211" t="str">
        <f>IFERROR(__xludf.DUMMYFUNCTION("""COMPUTED_VALUE"""),"-")</f>
        <v>-</v>
      </c>
      <c r="S32" s="211"/>
      <c r="T32" s="211"/>
      <c r="U32" s="211"/>
    </row>
    <row r="33">
      <c r="A33" s="222" t="str">
        <f>IFERROR(__xludf.DUMMYFUNCTION("""COMPUTED_VALUE"""),"10240039")</f>
        <v>10240039</v>
      </c>
      <c r="B33" s="211" t="str">
        <f>IFERROR(__xludf.DUMMYFUNCTION("""COMPUTED_VALUE"""),"10 Oct 2024")</f>
        <v>10 Oct 2024</v>
      </c>
      <c r="C33" s="211" t="str">
        <f>IFERROR(__xludf.DUMMYFUNCTION("""COMPUTED_VALUE"""),"CV RAGAM JAYA ENGINEERING")</f>
        <v>CV RAGAM JAYA ENGINEERING</v>
      </c>
      <c r="D33" s="211" t="str">
        <f>IFERROR(__xludf.DUMMYFUNCTION("""COMPUTED_VALUE"""),"Karbondioksida
LPG 12kg")</f>
        <v>Karbondioksida
LPG 12kg</v>
      </c>
      <c r="E33" s="211" t="str">
        <f>IFERROR(__xludf.DUMMYFUNCTION("""COMPUTED_VALUE"""),"10
4")</f>
        <v>10
4</v>
      </c>
      <c r="F33" s="211" t="str">
        <f>IFERROR(__xludf.DUMMYFUNCTION("""COMPUTED_VALUE"""),"1776000
999000")</f>
        <v>1776000
999000</v>
      </c>
      <c r="G33" s="211"/>
      <c r="H33" s="211"/>
      <c r="I33" s="211">
        <f>IFERROR(__xludf.DUMMYFUNCTION("""COMPUTED_VALUE"""),2775000.0)</f>
        <v>2775000</v>
      </c>
      <c r="J33" s="211" t="str">
        <f>IFERROR(__xludf.DUMMYFUNCTION("""COMPUTED_VALUE"""),"Ya")</f>
        <v>Ya</v>
      </c>
      <c r="L33" s="223" t="str">
        <f>IFERROR(__xludf.DUMMYFUNCTION("""COMPUTED_VALUE"""),"Nov 2024")</f>
        <v>Nov 2024</v>
      </c>
      <c r="M33" s="211" t="str">
        <f>IFERROR(__xludf.DUMMYFUNCTION("""COMPUTED_VALUE"""),"PT Dunia Berkat Marga Mulya")</f>
        <v>PT Dunia Berkat Marga Mulya</v>
      </c>
      <c r="N33" s="211" t="str">
        <f>IFERROR(__xludf.DUMMYFUNCTION("""COMPUTED_VALUE"""),"1124330")</f>
        <v>1124330</v>
      </c>
      <c r="O33" s="211" t="str">
        <f>IFERROR(__xludf.DUMMYFUNCTION("""COMPUTED_VALUE"""),"3/3")</f>
        <v>3/3</v>
      </c>
      <c r="P33" s="224">
        <f>IFERROR(__xludf.DUMMYFUNCTION("""COMPUTED_VALUE"""),666000.0)</f>
        <v>666000</v>
      </c>
      <c r="Q33" s="225" t="str">
        <f>IFERROR(__xludf.DUMMYFUNCTION("""COMPUTED_VALUE"""),"✅")</f>
        <v>✅</v>
      </c>
      <c r="R33" s="211" t="str">
        <f>IFERROR(__xludf.DUMMYFUNCTION("""COMPUTED_VALUE"""),"-")</f>
        <v>-</v>
      </c>
      <c r="S33" s="211"/>
      <c r="T33" s="211"/>
      <c r="U33" s="211"/>
    </row>
    <row r="34">
      <c r="A34" s="222" t="str">
        <f>IFERROR(__xludf.DUMMYFUNCTION("""COMPUTED_VALUE"""),"10240041")</f>
        <v>10240041</v>
      </c>
      <c r="B34" s="211" t="str">
        <f>IFERROR(__xludf.DUMMYFUNCTION("""COMPUTED_VALUE"""),"11 Oct 2024")</f>
        <v>11 Oct 2024</v>
      </c>
      <c r="C34" s="211" t="str">
        <f>IFERROR(__xludf.DUMMYFUNCTION("""COMPUTED_VALUE"""),"PT Hua Zong Mesindo")</f>
        <v>PT Hua Zong Mesindo</v>
      </c>
      <c r="D34" s="211" t="str">
        <f>IFERROR(__xludf.DUMMYFUNCTION("""COMPUTED_VALUE"""),"Argon 6m3
Oksigen 6m3")</f>
        <v>Argon 6m3
Oksigen 6m3</v>
      </c>
      <c r="E34" s="211" t="str">
        <f>IFERROR(__xludf.DUMMYFUNCTION("""COMPUTED_VALUE"""),"6
1")</f>
        <v>6
1</v>
      </c>
      <c r="F34" s="211" t="str">
        <f>IFERROR(__xludf.DUMMYFUNCTION("""COMPUTED_VALUE"""),"1140000
60000")</f>
        <v>1140000
60000</v>
      </c>
      <c r="G34" s="211"/>
      <c r="H34" s="211"/>
      <c r="I34" s="211">
        <f>IFERROR(__xludf.DUMMYFUNCTION("""COMPUTED_VALUE"""),1200000.0)</f>
        <v>1200000</v>
      </c>
      <c r="J34" s="211" t="str">
        <f>IFERROR(__xludf.DUMMYFUNCTION("""COMPUTED_VALUE"""),"Ya")</f>
        <v>Ya</v>
      </c>
      <c r="L34" s="223" t="str">
        <f>IFERROR(__xludf.DUMMYFUNCTION("""COMPUTED_VALUE"""),"Nov 2024")</f>
        <v>Nov 2024</v>
      </c>
      <c r="M34" s="211" t="str">
        <f>IFERROR(__xludf.DUMMYFUNCTION("""COMPUTED_VALUE"""),"PT TERAPAN NILAIOSILASI INDONESIA (TENO)")</f>
        <v>PT TERAPAN NILAIOSILASI INDONESIA (TENO)</v>
      </c>
      <c r="N34" s="211" t="str">
        <f>IFERROR(__xludf.DUMMYFUNCTION("""COMPUTED_VALUE"""),"1124340")</f>
        <v>1124340</v>
      </c>
      <c r="O34" s="211" t="str">
        <f>IFERROR(__xludf.DUMMYFUNCTION("""COMPUTED_VALUE"""),"2/2")</f>
        <v>2/2</v>
      </c>
      <c r="P34" s="224">
        <f>IFERROR(__xludf.DUMMYFUNCTION("""COMPUTED_VALUE"""),1250000.0)</f>
        <v>1250000</v>
      </c>
      <c r="Q34" s="225" t="str">
        <f>IFERROR(__xludf.DUMMYFUNCTION("""COMPUTED_VALUE"""),"✅")</f>
        <v>✅</v>
      </c>
      <c r="R34" s="211" t="str">
        <f>IFERROR(__xludf.DUMMYFUNCTION("""COMPUTED_VALUE"""),"-")</f>
        <v>-</v>
      </c>
      <c r="S34" s="211"/>
      <c r="T34" s="211"/>
      <c r="U34" s="211"/>
    </row>
    <row r="35">
      <c r="A35" s="222" t="str">
        <f>IFERROR(__xludf.DUMMYFUNCTION("""COMPUTED_VALUE"""),"10240043")</f>
        <v>10240043</v>
      </c>
      <c r="B35" s="211" t="str">
        <f>IFERROR(__xludf.DUMMYFUNCTION("""COMPUTED_VALUE"""),"16 Oct 2024")</f>
        <v>16 Oct 2024</v>
      </c>
      <c r="C35" s="211" t="str">
        <f>IFERROR(__xludf.DUMMYFUNCTION("""COMPUTED_VALUE"""),"PT TERAPAN NILAIOSILASI INDONESIA (TENO)")</f>
        <v>PT TERAPAN NILAIOSILASI INDONESIA (TENO)</v>
      </c>
      <c r="D35" s="211" t="str">
        <f>IFERROR(__xludf.DUMMYFUNCTION("""COMPUTED_VALUE"""),"Karbondioksida")</f>
        <v>Karbondioksida</v>
      </c>
      <c r="E35" s="211" t="str">
        <f>IFERROR(__xludf.DUMMYFUNCTION("""COMPUTED_VALUE"""),"10")</f>
        <v>10</v>
      </c>
      <c r="F35" s="211" t="str">
        <f>IFERROR(__xludf.DUMMYFUNCTION("""COMPUTED_VALUE"""),"1554000")</f>
        <v>1554000</v>
      </c>
      <c r="G35" s="211"/>
      <c r="H35" s="211"/>
      <c r="I35" s="211">
        <f>IFERROR(__xludf.DUMMYFUNCTION("""COMPUTED_VALUE"""),1554000.0)</f>
        <v>1554000</v>
      </c>
      <c r="J35" s="211" t="str">
        <f>IFERROR(__xludf.DUMMYFUNCTION("""COMPUTED_VALUE"""),"Ya")</f>
        <v>Ya</v>
      </c>
      <c r="L35" s="223" t="str">
        <f>IFERROR(__xludf.DUMMYFUNCTION("""COMPUTED_VALUE"""),"Nov 2024")</f>
        <v>Nov 2024</v>
      </c>
      <c r="M35" s="211" t="str">
        <f>IFERROR(__xludf.DUMMYFUNCTION("""COMPUTED_VALUE"""),"Bpk. Sukirno (Bejo)")</f>
        <v>Bpk. Sukirno (Bejo)</v>
      </c>
      <c r="N35" s="211" t="str">
        <f>IFERROR(__xludf.DUMMYFUNCTION("""COMPUTED_VALUE"""),"1124350")</f>
        <v>1124350</v>
      </c>
      <c r="O35" s="211" t="str">
        <f>IFERROR(__xludf.DUMMYFUNCTION("""COMPUTED_VALUE"""),"2/2")</f>
        <v>2/2</v>
      </c>
      <c r="P35" s="224">
        <f>IFERROR(__xludf.DUMMYFUNCTION("""COMPUTED_VALUE"""),2700000.0)</f>
        <v>2700000</v>
      </c>
      <c r="Q35" s="225" t="str">
        <f>IFERROR(__xludf.DUMMYFUNCTION("""COMPUTED_VALUE"""),"✅")</f>
        <v>✅</v>
      </c>
      <c r="R35" s="211" t="str">
        <f>IFERROR(__xludf.DUMMYFUNCTION("""COMPUTED_VALUE"""),"-")</f>
        <v>-</v>
      </c>
      <c r="S35" s="211"/>
      <c r="T35" s="211"/>
      <c r="U35" s="211"/>
    </row>
    <row r="36">
      <c r="A36" s="222" t="str">
        <f>IFERROR(__xludf.DUMMYFUNCTION("""COMPUTED_VALUE"""),"10240044")</f>
        <v>10240044</v>
      </c>
      <c r="B36" s="211" t="str">
        <f>IFERROR(__xludf.DUMMYFUNCTION("""COMPUTED_VALUE"""),"17 Oct 2024")</f>
        <v>17 Oct 2024</v>
      </c>
      <c r="C36" s="211" t="str">
        <f>IFERROR(__xludf.DUMMYFUNCTION("""COMPUTED_VALUE"""),"PT GEMILANG CIPTA WAWASAN")</f>
        <v>PT GEMILANG CIPTA WAWASAN</v>
      </c>
      <c r="D36" s="211" t="str">
        <f>IFERROR(__xludf.DUMMYFUNCTION("""COMPUTED_VALUE"""),"Oksigen 6m3
LPG 12kg")</f>
        <v>Oksigen 6m3
LPG 12kg</v>
      </c>
      <c r="E36" s="211" t="str">
        <f>IFERROR(__xludf.DUMMYFUNCTION("""COMPUTED_VALUE"""),"10
3")</f>
        <v>10
3</v>
      </c>
      <c r="F36" s="211" t="str">
        <f>IFERROR(__xludf.DUMMYFUNCTION("""COMPUTED_VALUE"""),"666000
699300")</f>
        <v>666000
699300</v>
      </c>
      <c r="G36" s="211"/>
      <c r="H36" s="211"/>
      <c r="I36" s="211">
        <f>IFERROR(__xludf.DUMMYFUNCTION("""COMPUTED_VALUE"""),1365300.0)</f>
        <v>1365300</v>
      </c>
      <c r="J36" s="211" t="str">
        <f>IFERROR(__xludf.DUMMYFUNCTION("""COMPUTED_VALUE"""),"Ya")</f>
        <v>Ya</v>
      </c>
      <c r="L36" s="223" t="str">
        <f>IFERROR(__xludf.DUMMYFUNCTION("""COMPUTED_VALUE"""),"Nov 2024")</f>
        <v>Nov 2024</v>
      </c>
      <c r="M36" s="211" t="str">
        <f>IFERROR(__xludf.DUMMYFUNCTION("""COMPUTED_VALUE"""),"PT Hua Zong Mesindo")</f>
        <v>PT Hua Zong Mesindo</v>
      </c>
      <c r="N36" s="211" t="str">
        <f>IFERROR(__xludf.DUMMYFUNCTION("""COMPUTED_VALUE"""),"1124360")</f>
        <v>1124360</v>
      </c>
      <c r="O36" s="211" t="str">
        <f>IFERROR(__xludf.DUMMYFUNCTION("""COMPUTED_VALUE"""),"1/1")</f>
        <v>1/1</v>
      </c>
      <c r="P36" s="224">
        <f>IFERROR(__xludf.DUMMYFUNCTION("""COMPUTED_VALUE"""),810000.0)</f>
        <v>810000</v>
      </c>
      <c r="Q36" s="225" t="str">
        <f>IFERROR(__xludf.DUMMYFUNCTION("""COMPUTED_VALUE"""),"✅")</f>
        <v>✅</v>
      </c>
      <c r="R36" s="211" t="str">
        <f>IFERROR(__xludf.DUMMYFUNCTION("""COMPUTED_VALUE"""),"-")</f>
        <v>-</v>
      </c>
      <c r="S36" s="211"/>
      <c r="T36" s="211"/>
      <c r="U36" s="211"/>
    </row>
    <row r="37">
      <c r="A37" s="222" t="str">
        <f>IFERROR(__xludf.DUMMYFUNCTION("""COMPUTED_VALUE"""),"10240046")</f>
        <v>10240046</v>
      </c>
      <c r="B37" s="211" t="str">
        <f>IFERROR(__xludf.DUMMYFUNCTION("""COMPUTED_VALUE"""),"18 Oct 2024")</f>
        <v>18 Oct 2024</v>
      </c>
      <c r="C37" s="211" t="str">
        <f>IFERROR(__xludf.DUMMYFUNCTION("""COMPUTED_VALUE"""),"UD Sumber Berlian")</f>
        <v>UD Sumber Berlian</v>
      </c>
      <c r="D37" s="211" t="str">
        <f>IFERROR(__xludf.DUMMYFUNCTION("""COMPUTED_VALUE"""),"Oksigen 6m3")</f>
        <v>Oksigen 6m3</v>
      </c>
      <c r="E37" s="211" t="str">
        <f>IFERROR(__xludf.DUMMYFUNCTION("""COMPUTED_VALUE"""),"5")</f>
        <v>5</v>
      </c>
      <c r="F37" s="211" t="str">
        <f>IFERROR(__xludf.DUMMYFUNCTION("""COMPUTED_VALUE"""),"350000")</f>
        <v>350000</v>
      </c>
      <c r="G37" s="211"/>
      <c r="H37" s="211"/>
      <c r="I37" s="211">
        <f>IFERROR(__xludf.DUMMYFUNCTION("""COMPUTED_VALUE"""),350000.0)</f>
        <v>350000</v>
      </c>
      <c r="J37" s="211" t="str">
        <f>IFERROR(__xludf.DUMMYFUNCTION("""COMPUTED_VALUE"""),"Ya")</f>
        <v>Ya</v>
      </c>
      <c r="L37" s="223" t="str">
        <f>IFERROR(__xludf.DUMMYFUNCTION("""COMPUTED_VALUE"""),"Nov 2024")</f>
        <v>Nov 2024</v>
      </c>
      <c r="M37" s="211" t="str">
        <f>IFERROR(__xludf.DUMMYFUNCTION("""COMPUTED_VALUE"""),"Bpk. Agus")</f>
        <v>Bpk. Agus</v>
      </c>
      <c r="N37" s="211" t="str">
        <f>IFERROR(__xludf.DUMMYFUNCTION("""COMPUTED_VALUE"""),"1124372")</f>
        <v>1124372</v>
      </c>
      <c r="O37" s="211" t="str">
        <f>IFERROR(__xludf.DUMMYFUNCTION("""COMPUTED_VALUE"""),"0/2")</f>
        <v>0/2</v>
      </c>
      <c r="P37" s="224">
        <f>IFERROR(__xludf.DUMMYFUNCTION("""COMPUTED_VALUE"""),300000.0)</f>
        <v>300000</v>
      </c>
      <c r="Q37" s="225">
        <f>IFERROR(__xludf.DUMMYFUNCTION("""COMPUTED_VALUE"""),300000.0)</f>
        <v>300000</v>
      </c>
      <c r="R37" s="211" t="str">
        <f>IFERROR(__xludf.DUMMYFUNCTION("""COMPUTED_VALUE"""),"11240125 11240135")</f>
        <v>11240125 11240135</v>
      </c>
      <c r="S37" s="211"/>
      <c r="T37" s="211"/>
      <c r="U37" s="211"/>
    </row>
    <row r="38">
      <c r="A38" s="222" t="str">
        <f>IFERROR(__xludf.DUMMYFUNCTION("""COMPUTED_VALUE"""),"10240047")</f>
        <v>10240047</v>
      </c>
      <c r="B38" s="211" t="str">
        <f>IFERROR(__xludf.DUMMYFUNCTION("""COMPUTED_VALUE"""),"19 Oct 2024")</f>
        <v>19 Oct 2024</v>
      </c>
      <c r="C38" s="211" t="str">
        <f>IFERROR(__xludf.DUMMYFUNCTION("""COMPUTED_VALUE"""),"PT Beton Prima Indonesia")</f>
        <v>PT Beton Prima Indonesia</v>
      </c>
      <c r="D38" s="211" t="str">
        <f>IFERROR(__xludf.DUMMYFUNCTION("""COMPUTED_VALUE"""),"Acetyline
Oksigen 6m3")</f>
        <v>Acetyline
Oksigen 6m3</v>
      </c>
      <c r="E38" s="211" t="str">
        <f>IFERROR(__xludf.DUMMYFUNCTION("""COMPUTED_VALUE"""),"7
10")</f>
        <v>7
10</v>
      </c>
      <c r="F38" s="211" t="str">
        <f>IFERROR(__xludf.DUMMYFUNCTION("""COMPUTED_VALUE"""),"2800000
500000")</f>
        <v>2800000
500000</v>
      </c>
      <c r="G38" s="211"/>
      <c r="H38" s="211"/>
      <c r="I38" s="211">
        <f>IFERROR(__xludf.DUMMYFUNCTION("""COMPUTED_VALUE"""),3300000.0)</f>
        <v>3300000</v>
      </c>
      <c r="J38" s="211" t="str">
        <f>IFERROR(__xludf.DUMMYFUNCTION("""COMPUTED_VALUE"""),"Ya")</f>
        <v>Ya</v>
      </c>
      <c r="L38" s="223" t="str">
        <f>IFERROR(__xludf.DUMMYFUNCTION("""COMPUTED_VALUE"""),"Nov 2024")</f>
        <v>Nov 2024</v>
      </c>
      <c r="M38" s="211" t="str">
        <f>IFERROR(__xludf.DUMMYFUNCTION("""COMPUTED_VALUE"""),"PT PELANGI INDOKARYA")</f>
        <v>PT PELANGI INDOKARYA</v>
      </c>
      <c r="N38" s="211" t="str">
        <f>IFERROR(__xludf.DUMMYFUNCTION("""COMPUTED_VALUE"""),"1124380")</f>
        <v>1124380</v>
      </c>
      <c r="O38" s="211" t="str">
        <f>IFERROR(__xludf.DUMMYFUNCTION("""COMPUTED_VALUE"""),"1/1")</f>
        <v>1/1</v>
      </c>
      <c r="P38" s="224">
        <f>IFERROR(__xludf.DUMMYFUNCTION("""COMPUTED_VALUE"""),333000.0)</f>
        <v>333000</v>
      </c>
      <c r="Q38" s="225" t="str">
        <f>IFERROR(__xludf.DUMMYFUNCTION("""COMPUTED_VALUE"""),"✅")</f>
        <v>✅</v>
      </c>
      <c r="R38" s="211" t="str">
        <f>IFERROR(__xludf.DUMMYFUNCTION("""COMPUTED_VALUE"""),"-")</f>
        <v>-</v>
      </c>
      <c r="S38" s="211"/>
      <c r="T38" s="211"/>
      <c r="U38" s="211"/>
    </row>
    <row r="39">
      <c r="A39" s="222" t="str">
        <f>IFERROR(__xludf.DUMMYFUNCTION("""COMPUTED_VALUE"""),"10240049")</f>
        <v>10240049</v>
      </c>
      <c r="B39" s="211" t="str">
        <f>IFERROR(__xludf.DUMMYFUNCTION("""COMPUTED_VALUE"""),"21 Oct 2024")</f>
        <v>21 Oct 2024</v>
      </c>
      <c r="C39" s="211" t="str">
        <f>IFERROR(__xludf.DUMMYFUNCTION("""COMPUTED_VALUE"""),"PT Hua Zong Mesindo")</f>
        <v>PT Hua Zong Mesindo</v>
      </c>
      <c r="D39" s="211" t="str">
        <f>IFERROR(__xludf.DUMMYFUNCTION("""COMPUTED_VALUE"""),"Argon 6m3")</f>
        <v>Argon 6m3</v>
      </c>
      <c r="E39" s="211" t="str">
        <f>IFERROR(__xludf.DUMMYFUNCTION("""COMPUTED_VALUE"""),"6")</f>
        <v>6</v>
      </c>
      <c r="F39" s="211" t="str">
        <f>IFERROR(__xludf.DUMMYFUNCTION("""COMPUTED_VALUE"""),"1140000")</f>
        <v>1140000</v>
      </c>
      <c r="G39" s="211"/>
      <c r="H39" s="211"/>
      <c r="I39" s="211">
        <f>IFERROR(__xludf.DUMMYFUNCTION("""COMPUTED_VALUE"""),1140000.0)</f>
        <v>1140000</v>
      </c>
      <c r="J39" s="211" t="str">
        <f>IFERROR(__xludf.DUMMYFUNCTION("""COMPUTED_VALUE"""),"Ya")</f>
        <v>Ya</v>
      </c>
      <c r="L39" s="223" t="str">
        <f>IFERROR(__xludf.DUMMYFUNCTION("""COMPUTED_VALUE"""),"Nov 2024")</f>
        <v>Nov 2024</v>
      </c>
      <c r="M39" s="211" t="str">
        <f>IFERROR(__xludf.DUMMYFUNCTION("""COMPUTED_VALUE"""),"Bpk. Yudi")</f>
        <v>Bpk. Yudi</v>
      </c>
      <c r="N39" s="211" t="str">
        <f>IFERROR(__xludf.DUMMYFUNCTION("""COMPUTED_VALUE"""),"1124390")</f>
        <v>1124390</v>
      </c>
      <c r="O39" s="211" t="str">
        <f>IFERROR(__xludf.DUMMYFUNCTION("""COMPUTED_VALUE"""),"1/1")</f>
        <v>1/1</v>
      </c>
      <c r="P39" s="224">
        <f>IFERROR(__xludf.DUMMYFUNCTION("""COMPUTED_VALUE"""),599400.0)</f>
        <v>599400</v>
      </c>
      <c r="Q39" s="225" t="str">
        <f>IFERROR(__xludf.DUMMYFUNCTION("""COMPUTED_VALUE"""),"✅")</f>
        <v>✅</v>
      </c>
      <c r="R39" s="211" t="str">
        <f>IFERROR(__xludf.DUMMYFUNCTION("""COMPUTED_VALUE"""),"-")</f>
        <v>-</v>
      </c>
      <c r="S39" s="211"/>
      <c r="T39" s="211"/>
      <c r="U39" s="211"/>
    </row>
    <row r="40">
      <c r="A40" s="222" t="str">
        <f>IFERROR(__xludf.DUMMYFUNCTION("""COMPUTED_VALUE"""),"10240050")</f>
        <v>10240050</v>
      </c>
      <c r="B40" s="211" t="str">
        <f>IFERROR(__xludf.DUMMYFUNCTION("""COMPUTED_VALUE"""),"21 Oct 2024")</f>
        <v>21 Oct 2024</v>
      </c>
      <c r="C40" s="211" t="str">
        <f>IFERROR(__xludf.DUMMYFUNCTION("""COMPUTED_VALUE"""),"CV Sido Mukti Karya")</f>
        <v>CV Sido Mukti Karya</v>
      </c>
      <c r="D40" s="211" t="str">
        <f>IFERROR(__xludf.DUMMYFUNCTION("""COMPUTED_VALUE"""),"Oksigen 6m3")</f>
        <v>Oksigen 6m3</v>
      </c>
      <c r="E40" s="211" t="str">
        <f>IFERROR(__xludf.DUMMYFUNCTION("""COMPUTED_VALUE"""),"10")</f>
        <v>10</v>
      </c>
      <c r="F40" s="211" t="str">
        <f>IFERROR(__xludf.DUMMYFUNCTION("""COMPUTED_VALUE"""),"600000")</f>
        <v>600000</v>
      </c>
      <c r="G40" s="211"/>
      <c r="H40" s="211"/>
      <c r="I40" s="211">
        <f>IFERROR(__xludf.DUMMYFUNCTION("""COMPUTED_VALUE"""),600000.0)</f>
        <v>600000</v>
      </c>
      <c r="J40" s="211" t="str">
        <f>IFERROR(__xludf.DUMMYFUNCTION("""COMPUTED_VALUE"""),"Ya")</f>
        <v>Ya</v>
      </c>
      <c r="L40" s="223" t="str">
        <f>IFERROR(__xludf.DUMMYFUNCTION("""COMPUTED_VALUE"""),"Dec 2024")</f>
        <v>Dec 2024</v>
      </c>
      <c r="M40" s="211" t="str">
        <f>IFERROR(__xludf.DUMMYFUNCTION("""COMPUTED_VALUE"""),"PT GEMILANG CIPTA WAWASAN")</f>
        <v>PT GEMILANG CIPTA WAWASAN</v>
      </c>
      <c r="N40" s="211" t="str">
        <f>IFERROR(__xludf.DUMMYFUNCTION("""COMPUTED_VALUE"""),"1224400")</f>
        <v>1224400</v>
      </c>
      <c r="O40" s="211" t="str">
        <f>IFERROR(__xludf.DUMMYFUNCTION("""COMPUTED_VALUE"""),"1/1")</f>
        <v>1/1</v>
      </c>
      <c r="P40" s="224">
        <f>IFERROR(__xludf.DUMMYFUNCTION("""COMPUTED_VALUE"""),2162280.0)</f>
        <v>2162280</v>
      </c>
      <c r="Q40" s="225" t="str">
        <f>IFERROR(__xludf.DUMMYFUNCTION("""COMPUTED_VALUE"""),"✅")</f>
        <v>✅</v>
      </c>
      <c r="R40" s="211" t="str">
        <f>IFERROR(__xludf.DUMMYFUNCTION("""COMPUTED_VALUE"""),"-")</f>
        <v>-</v>
      </c>
      <c r="S40" s="211"/>
      <c r="T40" s="211"/>
      <c r="U40" s="211"/>
    </row>
    <row r="41">
      <c r="A41" s="222" t="str">
        <f>IFERROR(__xludf.DUMMYFUNCTION("""COMPUTED_VALUE"""),"10240051")</f>
        <v>10240051</v>
      </c>
      <c r="B41" s="211" t="str">
        <f>IFERROR(__xludf.DUMMYFUNCTION("""COMPUTED_VALUE"""),"22 Oct 2024")</f>
        <v>22 Oct 2024</v>
      </c>
      <c r="C41" s="211" t="str">
        <f>IFERROR(__xludf.DUMMYFUNCTION("""COMPUTED_VALUE"""),"CV RAGAM JAYA ENGINEERING")</f>
        <v>CV RAGAM JAYA ENGINEERING</v>
      </c>
      <c r="D41" s="211" t="str">
        <f>IFERROR(__xludf.DUMMYFUNCTION("""COMPUTED_VALUE"""),"Karbondioksida
Oksigen 6m3
LPG 12kg")</f>
        <v>Karbondioksida
Oksigen 6m3
LPG 12kg</v>
      </c>
      <c r="E41" s="211" t="str">
        <f>IFERROR(__xludf.DUMMYFUNCTION("""COMPUTED_VALUE"""),"5
10
6")</f>
        <v>5
10
6</v>
      </c>
      <c r="F41" s="211" t="str">
        <f>IFERROR(__xludf.DUMMYFUNCTION("""COMPUTED_VALUE"""),"888000
666000
1498500")</f>
        <v>888000
666000
1498500</v>
      </c>
      <c r="G41" s="211"/>
      <c r="H41" s="211"/>
      <c r="I41" s="211">
        <f>IFERROR(__xludf.DUMMYFUNCTION("""COMPUTED_VALUE"""),3052500.0)</f>
        <v>3052500</v>
      </c>
      <c r="J41" s="211" t="str">
        <f>IFERROR(__xludf.DUMMYFUNCTION("""COMPUTED_VALUE"""),"Penagihan")</f>
        <v>Penagihan</v>
      </c>
      <c r="L41" s="223" t="str">
        <f>IFERROR(__xludf.DUMMYFUNCTION("""COMPUTED_VALUE"""),"Dec 2024")</f>
        <v>Dec 2024</v>
      </c>
      <c r="M41" s="211" t="str">
        <f>IFERROR(__xludf.DUMMYFUNCTION("""COMPUTED_VALUE"""),"PT REKAYASA CAHAYA CEMERLANG")</f>
        <v>PT REKAYASA CAHAYA CEMERLANG</v>
      </c>
      <c r="N41" s="211" t="str">
        <f>IFERROR(__xludf.DUMMYFUNCTION("""COMPUTED_VALUE"""),"1224410")</f>
        <v>1224410</v>
      </c>
      <c r="O41" s="211" t="str">
        <f>IFERROR(__xludf.DUMMYFUNCTION("""COMPUTED_VALUE"""),"2/2")</f>
        <v>2/2</v>
      </c>
      <c r="P41" s="224">
        <f>IFERROR(__xludf.DUMMYFUNCTION("""COMPUTED_VALUE"""),430000.0)</f>
        <v>430000</v>
      </c>
      <c r="Q41" s="225" t="str">
        <f>IFERROR(__xludf.DUMMYFUNCTION("""COMPUTED_VALUE"""),"✅")</f>
        <v>✅</v>
      </c>
      <c r="R41" s="211" t="str">
        <f>IFERROR(__xludf.DUMMYFUNCTION("""COMPUTED_VALUE"""),"-")</f>
        <v>-</v>
      </c>
      <c r="S41" s="211"/>
      <c r="T41" s="211"/>
      <c r="U41" s="211"/>
    </row>
    <row r="42">
      <c r="A42" s="222" t="str">
        <f>IFERROR(__xludf.DUMMYFUNCTION("""COMPUTED_VALUE"""),"10240054")</f>
        <v>10240054</v>
      </c>
      <c r="B42" s="211" t="str">
        <f>IFERROR(__xludf.DUMMYFUNCTION("""COMPUTED_VALUE"""),"22 Oct 2024")</f>
        <v>22 Oct 2024</v>
      </c>
      <c r="C42" s="211" t="str">
        <f>IFERROR(__xludf.DUMMYFUNCTION("""COMPUTED_VALUE"""),"PT PELANGI INDOKARYA")</f>
        <v>PT PELANGI INDOKARYA</v>
      </c>
      <c r="D42" s="211" t="str">
        <f>IFERROR(__xludf.DUMMYFUNCTION("""COMPUTED_VALUE"""),"Oksigen 6m3")</f>
        <v>Oksigen 6m3</v>
      </c>
      <c r="E42" s="211" t="str">
        <f>IFERROR(__xludf.DUMMYFUNCTION("""COMPUTED_VALUE"""),"5")</f>
        <v>5</v>
      </c>
      <c r="F42" s="211" t="str">
        <f>IFERROR(__xludf.DUMMYFUNCTION("""COMPUTED_VALUE"""),"333000")</f>
        <v>333000</v>
      </c>
      <c r="G42" s="211"/>
      <c r="H42" s="211"/>
      <c r="I42" s="211">
        <f>IFERROR(__xludf.DUMMYFUNCTION("""COMPUTED_VALUE"""),333000.0)</f>
        <v>333000</v>
      </c>
      <c r="J42" s="211" t="str">
        <f>IFERROR(__xludf.DUMMYFUNCTION("""COMPUTED_VALUE"""),"Ya")</f>
        <v>Ya</v>
      </c>
      <c r="L42" s="223" t="str">
        <f>IFERROR(__xludf.DUMMYFUNCTION("""COMPUTED_VALUE"""),"Dec 2024")</f>
        <v>Dec 2024</v>
      </c>
      <c r="M42" s="211" t="str">
        <f>IFERROR(__xludf.DUMMYFUNCTION("""COMPUTED_VALUE"""),"PT Hua Zong Mesindo")</f>
        <v>PT Hua Zong Mesindo</v>
      </c>
      <c r="N42" s="211" t="str">
        <f>IFERROR(__xludf.DUMMYFUNCTION("""COMPUTED_VALUE"""),"1224420")</f>
        <v>1224420</v>
      </c>
      <c r="O42" s="211" t="str">
        <f>IFERROR(__xludf.DUMMYFUNCTION("""COMPUTED_VALUE"""),"2/2")</f>
        <v>2/2</v>
      </c>
      <c r="P42" s="224">
        <f>IFERROR(__xludf.DUMMYFUNCTION("""COMPUTED_VALUE"""),1300000.0)</f>
        <v>1300000</v>
      </c>
      <c r="Q42" s="225" t="str">
        <f>IFERROR(__xludf.DUMMYFUNCTION("""COMPUTED_VALUE"""),"✅")</f>
        <v>✅</v>
      </c>
      <c r="R42" s="211" t="str">
        <f>IFERROR(__xludf.DUMMYFUNCTION("""COMPUTED_VALUE"""),"-")</f>
        <v>-</v>
      </c>
      <c r="S42" s="211"/>
      <c r="T42" s="211"/>
      <c r="U42" s="211"/>
    </row>
    <row r="43">
      <c r="A43" s="222" t="str">
        <f>IFERROR(__xludf.DUMMYFUNCTION("""COMPUTED_VALUE"""),"10240055")</f>
        <v>10240055</v>
      </c>
      <c r="B43" s="211" t="str">
        <f>IFERROR(__xludf.DUMMYFUNCTION("""COMPUTED_VALUE"""),"23 Oct 2024")</f>
        <v>23 Oct 2024</v>
      </c>
      <c r="C43" s="211" t="str">
        <f>IFERROR(__xludf.DUMMYFUNCTION("""COMPUTED_VALUE"""),"UD Sumber Berlian")</f>
        <v>UD Sumber Berlian</v>
      </c>
      <c r="D43" s="211" t="str">
        <f>IFERROR(__xludf.DUMMYFUNCTION("""COMPUTED_VALUE"""),"Oksigen 6m3")</f>
        <v>Oksigen 6m3</v>
      </c>
      <c r="E43" s="211" t="str">
        <f>IFERROR(__xludf.DUMMYFUNCTION("""COMPUTED_VALUE"""),"10")</f>
        <v>10</v>
      </c>
      <c r="F43" s="211" t="str">
        <f>IFERROR(__xludf.DUMMYFUNCTION("""COMPUTED_VALUE"""),"700000")</f>
        <v>700000</v>
      </c>
      <c r="G43" s="211"/>
      <c r="H43" s="211"/>
      <c r="I43" s="211">
        <f>IFERROR(__xludf.DUMMYFUNCTION("""COMPUTED_VALUE"""),700000.0)</f>
        <v>700000</v>
      </c>
      <c r="J43" s="211" t="str">
        <f>IFERROR(__xludf.DUMMYFUNCTION("""COMPUTED_VALUE"""),"Ya")</f>
        <v>Ya</v>
      </c>
      <c r="L43" s="223" t="str">
        <f>IFERROR(__xludf.DUMMYFUNCTION("""COMPUTED_VALUE"""),"Dec 2024")</f>
        <v>Dec 2024</v>
      </c>
      <c r="M43" s="211" t="str">
        <f>IFERROR(__xludf.DUMMYFUNCTION("""COMPUTED_VALUE"""),"Bpk. Sukirno (Bejo)")</f>
        <v>Bpk. Sukirno (Bejo)</v>
      </c>
      <c r="N43" s="211" t="str">
        <f>IFERROR(__xludf.DUMMYFUNCTION("""COMPUTED_VALUE"""),"1224430")</f>
        <v>1224430</v>
      </c>
      <c r="O43" s="211" t="str">
        <f>IFERROR(__xludf.DUMMYFUNCTION("""COMPUTED_VALUE"""),"4/4")</f>
        <v>4/4</v>
      </c>
      <c r="P43" s="224">
        <f>IFERROR(__xludf.DUMMYFUNCTION("""COMPUTED_VALUE"""),3300000.0)</f>
        <v>3300000</v>
      </c>
      <c r="Q43" s="225" t="str">
        <f>IFERROR(__xludf.DUMMYFUNCTION("""COMPUTED_VALUE"""),"✅")</f>
        <v>✅</v>
      </c>
      <c r="R43" s="211" t="str">
        <f>IFERROR(__xludf.DUMMYFUNCTION("""COMPUTED_VALUE"""),"-")</f>
        <v>-</v>
      </c>
      <c r="S43" s="211"/>
      <c r="T43" s="211"/>
      <c r="U43" s="211"/>
    </row>
    <row r="44">
      <c r="A44" s="222" t="str">
        <f>IFERROR(__xludf.DUMMYFUNCTION("""COMPUTED_VALUE"""),"10240056")</f>
        <v>10240056</v>
      </c>
      <c r="B44" s="211" t="str">
        <f>IFERROR(__xludf.DUMMYFUNCTION("""COMPUTED_VALUE"""),"24 Oct 2024")</f>
        <v>24 Oct 2024</v>
      </c>
      <c r="C44" s="211" t="str">
        <f>IFERROR(__xludf.DUMMYFUNCTION("""COMPUTED_VALUE"""),"H. Fatoni")</f>
        <v>H. Fatoni</v>
      </c>
      <c r="D44" s="211" t="str">
        <f>IFERROR(__xludf.DUMMYFUNCTION("""COMPUTED_VALUE"""),"Oksigen 6m3")</f>
        <v>Oksigen 6m3</v>
      </c>
      <c r="E44" s="211" t="str">
        <f>IFERROR(__xludf.DUMMYFUNCTION("""COMPUTED_VALUE"""),"3")</f>
        <v>3</v>
      </c>
      <c r="F44" s="211" t="str">
        <f>IFERROR(__xludf.DUMMYFUNCTION("""COMPUTED_VALUE"""),"233100")</f>
        <v>233100</v>
      </c>
      <c r="G44" s="211"/>
      <c r="H44" s="211"/>
      <c r="I44" s="211">
        <f>IFERROR(__xludf.DUMMYFUNCTION("""COMPUTED_VALUE"""),233100.0)</f>
        <v>233100</v>
      </c>
      <c r="J44" s="211" t="str">
        <f>IFERROR(__xludf.DUMMYFUNCTION("""COMPUTED_VALUE"""),"Ya")</f>
        <v>Ya</v>
      </c>
      <c r="L44" s="223" t="str">
        <f>IFERROR(__xludf.DUMMYFUNCTION("""COMPUTED_VALUE"""),"Dec 2024")</f>
        <v>Dec 2024</v>
      </c>
      <c r="M44" s="211" t="str">
        <f>IFERROR(__xludf.DUMMYFUNCTION("""COMPUTED_VALUE"""),"CV Sido Mukti Karya")</f>
        <v>CV Sido Mukti Karya</v>
      </c>
      <c r="N44" s="211" t="str">
        <f>IFERROR(__xludf.DUMMYFUNCTION("""COMPUTED_VALUE"""),"1224440")</f>
        <v>1224440</v>
      </c>
      <c r="O44" s="211" t="str">
        <f>IFERROR(__xludf.DUMMYFUNCTION("""COMPUTED_VALUE"""),"3/3")</f>
        <v>3/3</v>
      </c>
      <c r="P44" s="224">
        <f>IFERROR(__xludf.DUMMYFUNCTION("""COMPUTED_VALUE"""),1520000.0)</f>
        <v>1520000</v>
      </c>
      <c r="Q44" s="225" t="str">
        <f>IFERROR(__xludf.DUMMYFUNCTION("""COMPUTED_VALUE"""),"✅")</f>
        <v>✅</v>
      </c>
      <c r="R44" s="211" t="str">
        <f>IFERROR(__xludf.DUMMYFUNCTION("""COMPUTED_VALUE"""),"-")</f>
        <v>-</v>
      </c>
      <c r="S44" s="211"/>
      <c r="T44" s="211"/>
      <c r="U44" s="211"/>
    </row>
    <row r="45">
      <c r="A45" s="222" t="str">
        <f>IFERROR(__xludf.DUMMYFUNCTION("""COMPUTED_VALUE"""),"10240057")</f>
        <v>10240057</v>
      </c>
      <c r="B45" s="211" t="str">
        <f>IFERROR(__xludf.DUMMYFUNCTION("""COMPUTED_VALUE"""),"25 Oct 2024")</f>
        <v>25 Oct 2024</v>
      </c>
      <c r="C45" s="211" t="str">
        <f>IFERROR(__xludf.DUMMYFUNCTION("""COMPUTED_VALUE"""),"PT Dunia Berkat Marga Mulya")</f>
        <v>PT Dunia Berkat Marga Mulya</v>
      </c>
      <c r="D45" s="211" t="str">
        <f>IFERROR(__xludf.DUMMYFUNCTION("""COMPUTED_VALUE"""),"Oksigen 6m3")</f>
        <v>Oksigen 6m3</v>
      </c>
      <c r="E45" s="211" t="str">
        <f>IFERROR(__xludf.DUMMYFUNCTION("""COMPUTED_VALUE"""),"5")</f>
        <v>5</v>
      </c>
      <c r="F45" s="211" t="str">
        <f>IFERROR(__xludf.DUMMYFUNCTION("""COMPUTED_VALUE"""),"333000")</f>
        <v>333000</v>
      </c>
      <c r="G45" s="211"/>
      <c r="H45" s="211"/>
      <c r="I45" s="211">
        <f>IFERROR(__xludf.DUMMYFUNCTION("""COMPUTED_VALUE"""),333000.0)</f>
        <v>333000</v>
      </c>
      <c r="J45" s="211" t="str">
        <f>IFERROR(__xludf.DUMMYFUNCTION("""COMPUTED_VALUE"""),"Ya")</f>
        <v>Ya</v>
      </c>
      <c r="L45" s="223" t="str">
        <f>IFERROR(__xludf.DUMMYFUNCTION("""COMPUTED_VALUE"""),"Dec 2024")</f>
        <v>Dec 2024</v>
      </c>
      <c r="M45" s="211" t="str">
        <f>IFERROR(__xludf.DUMMYFUNCTION("""COMPUTED_VALUE"""),"PT TERAPAN NILAIOSILASI INDONESIA (TENO)")</f>
        <v>PT TERAPAN NILAIOSILASI INDONESIA (TENO)</v>
      </c>
      <c r="N45" s="211" t="str">
        <f>IFERROR(__xludf.DUMMYFUNCTION("""COMPUTED_VALUE"""),"1224450")</f>
        <v>1224450</v>
      </c>
      <c r="O45" s="211" t="str">
        <f>IFERROR(__xludf.DUMMYFUNCTION("""COMPUTED_VALUE"""),"3/3")</f>
        <v>3/3</v>
      </c>
      <c r="P45" s="224">
        <f>IFERROR(__xludf.DUMMYFUNCTION("""COMPUTED_VALUE"""),3400000.0)</f>
        <v>3400000</v>
      </c>
      <c r="Q45" s="225" t="str">
        <f>IFERROR(__xludf.DUMMYFUNCTION("""COMPUTED_VALUE"""),"✅")</f>
        <v>✅</v>
      </c>
      <c r="R45" s="211" t="str">
        <f>IFERROR(__xludf.DUMMYFUNCTION("""COMPUTED_VALUE"""),"-")</f>
        <v>-</v>
      </c>
      <c r="S45" s="211"/>
      <c r="T45" s="211"/>
      <c r="U45" s="211"/>
    </row>
    <row r="46">
      <c r="A46" s="222" t="str">
        <f>IFERROR(__xludf.DUMMYFUNCTION("""COMPUTED_VALUE"""),"10240058")</f>
        <v>10240058</v>
      </c>
      <c r="B46" s="211" t="str">
        <f>IFERROR(__xludf.DUMMYFUNCTION("""COMPUTED_VALUE"""),"26 Oct 2024")</f>
        <v>26 Oct 2024</v>
      </c>
      <c r="C46" s="211" t="str">
        <f>IFERROR(__xludf.DUMMYFUNCTION("""COMPUTED_VALUE"""),"CV RAGAM JAYA ENGINEERING")</f>
        <v>CV RAGAM JAYA ENGINEERING</v>
      </c>
      <c r="D46" s="211" t="str">
        <f>IFERROR(__xludf.DUMMYFUNCTION("""COMPUTED_VALUE"""),"Karbondioksida")</f>
        <v>Karbondioksida</v>
      </c>
      <c r="E46" s="211" t="str">
        <f>IFERROR(__xludf.DUMMYFUNCTION("""COMPUTED_VALUE"""),"5")</f>
        <v>5</v>
      </c>
      <c r="F46" s="211" t="str">
        <f>IFERROR(__xludf.DUMMYFUNCTION("""COMPUTED_VALUE"""),"888000")</f>
        <v>888000</v>
      </c>
      <c r="G46" s="211"/>
      <c r="H46" s="211"/>
      <c r="I46" s="211">
        <f>IFERROR(__xludf.DUMMYFUNCTION("""COMPUTED_VALUE"""),888000.0)</f>
        <v>888000</v>
      </c>
      <c r="J46" s="211" t="str">
        <f>IFERROR(__xludf.DUMMYFUNCTION("""COMPUTED_VALUE"""),"Penagihan")</f>
        <v>Penagihan</v>
      </c>
      <c r="L46" s="223" t="str">
        <f>IFERROR(__xludf.DUMMYFUNCTION("""COMPUTED_VALUE"""),"Dec 2024")</f>
        <v>Dec 2024</v>
      </c>
      <c r="M46" s="211" t="str">
        <f>IFERROR(__xludf.DUMMYFUNCTION("""COMPUTED_VALUE"""),"PT ARYANA CAKASANA")</f>
        <v>PT ARYANA CAKASANA</v>
      </c>
      <c r="N46" s="211" t="str">
        <f>IFERROR(__xludf.DUMMYFUNCTION("""COMPUTED_VALUE"""),"1224463")</f>
        <v>1224463</v>
      </c>
      <c r="O46" s="211" t="str">
        <f>IFERROR(__xludf.DUMMYFUNCTION("""COMPUTED_VALUE"""),"0/3")</f>
        <v>0/3</v>
      </c>
      <c r="P46" s="224">
        <f>IFERROR(__xludf.DUMMYFUNCTION("""COMPUTED_VALUE"""),1050001.0)</f>
        <v>1050001</v>
      </c>
      <c r="Q46" s="225">
        <f>IFERROR(__xludf.DUMMYFUNCTION("""COMPUTED_VALUE"""),1050001.0)</f>
        <v>1050001</v>
      </c>
      <c r="R46" s="211" t="str">
        <f>IFERROR(__xludf.DUMMYFUNCTION("""COMPUTED_VALUE"""),"12240151 12240167 12240171")</f>
        <v>12240151 12240167 12240171</v>
      </c>
      <c r="S46" s="211"/>
      <c r="T46" s="211"/>
      <c r="U46" s="211"/>
    </row>
    <row r="47">
      <c r="A47" s="222" t="str">
        <f>IFERROR(__xludf.DUMMYFUNCTION("""COMPUTED_VALUE"""),"10240059")</f>
        <v>10240059</v>
      </c>
      <c r="B47" s="211" t="str">
        <f>IFERROR(__xludf.DUMMYFUNCTION("""COMPUTED_VALUE"""),"28 Oct 2024")</f>
        <v>28 Oct 2024</v>
      </c>
      <c r="C47" s="211" t="str">
        <f>IFERROR(__xludf.DUMMYFUNCTION("""COMPUTED_VALUE"""),"CV ANUGERAH PERSADA TEKNIK")</f>
        <v>CV ANUGERAH PERSADA TEKNIK</v>
      </c>
      <c r="D47" s="211" t="str">
        <f>IFERROR(__xludf.DUMMYFUNCTION("""COMPUTED_VALUE"""),"Argon 6m3")</f>
        <v>Argon 6m3</v>
      </c>
      <c r="E47" s="211" t="str">
        <f>IFERROR(__xludf.DUMMYFUNCTION("""COMPUTED_VALUE"""),"3")</f>
        <v>3</v>
      </c>
      <c r="F47" s="211" t="str">
        <f>IFERROR(__xludf.DUMMYFUNCTION("""COMPUTED_VALUE"""),"632700")</f>
        <v>632700</v>
      </c>
      <c r="G47" s="211"/>
      <c r="H47" s="211"/>
      <c r="I47" s="211">
        <f>IFERROR(__xludf.DUMMYFUNCTION("""COMPUTED_VALUE"""),632700.0)</f>
        <v>632700</v>
      </c>
      <c r="J47" s="211" t="str">
        <f>IFERROR(__xludf.DUMMYFUNCTION("""COMPUTED_VALUE"""),"Ya")</f>
        <v>Ya</v>
      </c>
      <c r="L47" s="223" t="str">
        <f>IFERROR(__xludf.DUMMYFUNCTION("""COMPUTED_VALUE"""),"Dec 2024")</f>
        <v>Dec 2024</v>
      </c>
      <c r="M47" s="211" t="str">
        <f>IFERROR(__xludf.DUMMYFUNCTION("""COMPUTED_VALUE"""),"Bpk. Joko (Gresik)")</f>
        <v>Bpk. Joko (Gresik)</v>
      </c>
      <c r="N47" s="211" t="str">
        <f>IFERROR(__xludf.DUMMYFUNCTION("""COMPUTED_VALUE"""),"1224470")</f>
        <v>1224470</v>
      </c>
      <c r="O47" s="211" t="str">
        <f>IFERROR(__xludf.DUMMYFUNCTION("""COMPUTED_VALUE"""),"2/2")</f>
        <v>2/2</v>
      </c>
      <c r="P47" s="224">
        <f>IFERROR(__xludf.DUMMYFUNCTION("""COMPUTED_VALUE"""),1430000.0)</f>
        <v>1430000</v>
      </c>
      <c r="Q47" s="225" t="str">
        <f>IFERROR(__xludf.DUMMYFUNCTION("""COMPUTED_VALUE"""),"✅")</f>
        <v>✅</v>
      </c>
      <c r="R47" s="211" t="str">
        <f>IFERROR(__xludf.DUMMYFUNCTION("""COMPUTED_VALUE"""),"-")</f>
        <v>-</v>
      </c>
      <c r="S47" s="211"/>
      <c r="T47" s="211"/>
      <c r="U47" s="211"/>
    </row>
    <row r="48">
      <c r="A48" s="222" t="str">
        <f>IFERROR(__xludf.DUMMYFUNCTION("""COMPUTED_VALUE"""),"10240060")</f>
        <v>10240060</v>
      </c>
      <c r="B48" s="211" t="str">
        <f>IFERROR(__xludf.DUMMYFUNCTION("""COMPUTED_VALUE"""),"28 Oct 2024")</f>
        <v>28 Oct 2024</v>
      </c>
      <c r="C48" s="211" t="str">
        <f>IFERROR(__xludf.DUMMYFUNCTION("""COMPUTED_VALUE"""),"PT PELANGI INDOKARYA")</f>
        <v>PT PELANGI INDOKARYA</v>
      </c>
      <c r="D48" s="211" t="str">
        <f>IFERROR(__xludf.DUMMYFUNCTION("""COMPUTED_VALUE"""),"Oksigen 6m3")</f>
        <v>Oksigen 6m3</v>
      </c>
      <c r="E48" s="211" t="str">
        <f>IFERROR(__xludf.DUMMYFUNCTION("""COMPUTED_VALUE"""),"5")</f>
        <v>5</v>
      </c>
      <c r="F48" s="211" t="str">
        <f>IFERROR(__xludf.DUMMYFUNCTION("""COMPUTED_VALUE"""),"333000")</f>
        <v>333000</v>
      </c>
      <c r="G48" s="211"/>
      <c r="H48" s="211"/>
      <c r="I48" s="211">
        <f>IFERROR(__xludf.DUMMYFUNCTION("""COMPUTED_VALUE"""),333000.0)</f>
        <v>333000</v>
      </c>
      <c r="J48" s="211" t="str">
        <f>IFERROR(__xludf.DUMMYFUNCTION("""COMPUTED_VALUE"""),"Ya")</f>
        <v>Ya</v>
      </c>
      <c r="L48" s="223" t="str">
        <f>IFERROR(__xludf.DUMMYFUNCTION("""COMPUTED_VALUE"""),"Dec 2024")</f>
        <v>Dec 2024</v>
      </c>
      <c r="M48" s="211" t="str">
        <f>IFERROR(__xludf.DUMMYFUNCTION("""COMPUTED_VALUE"""),"PT PELANGI INDOKARYA")</f>
        <v>PT PELANGI INDOKARYA</v>
      </c>
      <c r="N48" s="211" t="str">
        <f>IFERROR(__xludf.DUMMYFUNCTION("""COMPUTED_VALUE"""),"1224480")</f>
        <v>1224480</v>
      </c>
      <c r="O48" s="211" t="str">
        <f>IFERROR(__xludf.DUMMYFUNCTION("""COMPUTED_VALUE"""),"1/1")</f>
        <v>1/1</v>
      </c>
      <c r="P48" s="224">
        <f>IFERROR(__xludf.DUMMYFUNCTION("""COMPUTED_VALUE"""),333000.0)</f>
        <v>333000</v>
      </c>
      <c r="Q48" s="225" t="str">
        <f>IFERROR(__xludf.DUMMYFUNCTION("""COMPUTED_VALUE"""),"✅")</f>
        <v>✅</v>
      </c>
      <c r="R48" s="211" t="str">
        <f>IFERROR(__xludf.DUMMYFUNCTION("""COMPUTED_VALUE"""),"-")</f>
        <v>-</v>
      </c>
      <c r="S48" s="211"/>
      <c r="T48" s="211"/>
      <c r="U48" s="211"/>
    </row>
    <row r="49">
      <c r="A49" s="222" t="str">
        <f>IFERROR(__xludf.DUMMYFUNCTION("""COMPUTED_VALUE"""),"10240061")</f>
        <v>10240061</v>
      </c>
      <c r="B49" s="211" t="str">
        <f>IFERROR(__xludf.DUMMYFUNCTION("""COMPUTED_VALUE"""),"29 Oct 2024")</f>
        <v>29 Oct 2024</v>
      </c>
      <c r="C49" s="211" t="str">
        <f>IFERROR(__xludf.DUMMYFUNCTION("""COMPUTED_VALUE"""),"PT Beton Prima Indonesia")</f>
        <v>PT Beton Prima Indonesia</v>
      </c>
      <c r="D49" s="211" t="str">
        <f>IFERROR(__xludf.DUMMYFUNCTION("""COMPUTED_VALUE"""),"Oksigen 6m3")</f>
        <v>Oksigen 6m3</v>
      </c>
      <c r="E49" s="211" t="str">
        <f>IFERROR(__xludf.DUMMYFUNCTION("""COMPUTED_VALUE"""),"20")</f>
        <v>20</v>
      </c>
      <c r="F49" s="211" t="str">
        <f>IFERROR(__xludf.DUMMYFUNCTION("""COMPUTED_VALUE"""),"1000000")</f>
        <v>1000000</v>
      </c>
      <c r="G49" s="211"/>
      <c r="H49" s="211"/>
      <c r="I49" s="211">
        <f>IFERROR(__xludf.DUMMYFUNCTION("""COMPUTED_VALUE"""),1000000.0)</f>
        <v>1000000</v>
      </c>
      <c r="J49" s="211" t="str">
        <f>IFERROR(__xludf.DUMMYFUNCTION("""COMPUTED_VALUE"""),"Ya")</f>
        <v>Ya</v>
      </c>
      <c r="L49" s="223" t="str">
        <f>IFERROR(__xludf.DUMMYFUNCTION("""COMPUTED_VALUE"""),"Dec 2024")</f>
        <v>Dec 2024</v>
      </c>
      <c r="M49" s="211" t="str">
        <f>IFERROR(__xludf.DUMMYFUNCTION("""COMPUTED_VALUE"""),"PT Beton Prima Indonesia")</f>
        <v>PT Beton Prima Indonesia</v>
      </c>
      <c r="N49" s="211" t="str">
        <f>IFERROR(__xludf.DUMMYFUNCTION("""COMPUTED_VALUE"""),"1224490")</f>
        <v>1224490</v>
      </c>
      <c r="O49" s="211" t="str">
        <f>IFERROR(__xludf.DUMMYFUNCTION("""COMPUTED_VALUE"""),"1/1")</f>
        <v>1/1</v>
      </c>
      <c r="P49" s="224">
        <f>IFERROR(__xludf.DUMMYFUNCTION("""COMPUTED_VALUE"""),500000.0)</f>
        <v>500000</v>
      </c>
      <c r="Q49" s="225" t="str">
        <f>IFERROR(__xludf.DUMMYFUNCTION("""COMPUTED_VALUE"""),"✅")</f>
        <v>✅</v>
      </c>
      <c r="R49" s="211" t="str">
        <f>IFERROR(__xludf.DUMMYFUNCTION("""COMPUTED_VALUE"""),"-")</f>
        <v>-</v>
      </c>
      <c r="S49" s="211"/>
      <c r="T49" s="211"/>
      <c r="U49" s="211"/>
    </row>
    <row r="50">
      <c r="A50" s="222" t="str">
        <f>IFERROR(__xludf.DUMMYFUNCTION("""COMPUTED_VALUE"""),"10240062")</f>
        <v>10240062</v>
      </c>
      <c r="B50" s="211" t="str">
        <f>IFERROR(__xludf.DUMMYFUNCTION("""COMPUTED_VALUE"""),"29 Oct 2024")</f>
        <v>29 Oct 2024</v>
      </c>
      <c r="C50" s="211" t="str">
        <f>IFERROR(__xludf.DUMMYFUNCTION("""COMPUTED_VALUE"""),"PT TERAPAN NILAIOSILASI INDONESIA (TENO)")</f>
        <v>PT TERAPAN NILAIOSILASI INDONESIA (TENO)</v>
      </c>
      <c r="D50" s="211" t="str">
        <f>IFERROR(__xludf.DUMMYFUNCTION("""COMPUTED_VALUE"""),"Oksigen 6m3
Acetyline")</f>
        <v>Oksigen 6m3
Acetyline</v>
      </c>
      <c r="E50" s="211" t="str">
        <f>IFERROR(__xludf.DUMMYFUNCTION("""COMPUTED_VALUE"""),"15
4")</f>
        <v>15
4</v>
      </c>
      <c r="F50" s="211" t="str">
        <f>IFERROR(__xludf.DUMMYFUNCTION("""COMPUTED_VALUE"""),"750000
1600000")</f>
        <v>750000
1600000</v>
      </c>
      <c r="G50" s="211"/>
      <c r="H50" s="211"/>
      <c r="I50" s="211">
        <f>IFERROR(__xludf.DUMMYFUNCTION("""COMPUTED_VALUE"""),2350000.0)</f>
        <v>2350000</v>
      </c>
      <c r="J50" s="211" t="str">
        <f>IFERROR(__xludf.DUMMYFUNCTION("""COMPUTED_VALUE"""),"Ya")</f>
        <v>Ya</v>
      </c>
      <c r="L50" s="223" t="str">
        <f>IFERROR(__xludf.DUMMYFUNCTION("""COMPUTED_VALUE"""),"Dec 2024")</f>
        <v>Dec 2024</v>
      </c>
      <c r="M50" s="211" t="str">
        <f>IFERROR(__xludf.DUMMYFUNCTION("""COMPUTED_VALUE"""),"Bengkel Adi Putra")</f>
        <v>Bengkel Adi Putra</v>
      </c>
      <c r="N50" s="211" t="str">
        <f>IFERROR(__xludf.DUMMYFUNCTION("""COMPUTED_VALUE"""),"1224500")</f>
        <v>1224500</v>
      </c>
      <c r="O50" s="211" t="str">
        <f>IFERROR(__xludf.DUMMYFUNCTION("""COMPUTED_VALUE"""),"1/1")</f>
        <v>1/1</v>
      </c>
      <c r="P50" s="224">
        <f>IFERROR(__xludf.DUMMYFUNCTION("""COMPUTED_VALUE"""),1080000.0)</f>
        <v>1080000</v>
      </c>
      <c r="Q50" s="225" t="str">
        <f>IFERROR(__xludf.DUMMYFUNCTION("""COMPUTED_VALUE"""),"✅")</f>
        <v>✅</v>
      </c>
      <c r="R50" s="211" t="str">
        <f>IFERROR(__xludf.DUMMYFUNCTION("""COMPUTED_VALUE"""),"-")</f>
        <v>-</v>
      </c>
      <c r="S50" s="211"/>
      <c r="T50" s="211"/>
      <c r="U50" s="211"/>
    </row>
    <row r="51">
      <c r="A51" s="222" t="str">
        <f>IFERROR(__xludf.DUMMYFUNCTION("""COMPUTED_VALUE"""),"10240064")</f>
        <v>10240064</v>
      </c>
      <c r="B51" s="211" t="str">
        <f>IFERROR(__xludf.DUMMYFUNCTION("""COMPUTED_VALUE"""),"30 Oct 2024")</f>
        <v>30 Oct 2024</v>
      </c>
      <c r="C51" s="211" t="str">
        <f>IFERROR(__xludf.DUMMYFUNCTION("""COMPUTED_VALUE"""),"PT GEMILANG CIPTA WAWASAN")</f>
        <v>PT GEMILANG CIPTA WAWASAN</v>
      </c>
      <c r="D51" s="211" t="str">
        <f>IFERROR(__xludf.DUMMYFUNCTION("""COMPUTED_VALUE"""),"Oksigen 6m3
Argon 6m3")</f>
        <v>Oksigen 6m3
Argon 6m3</v>
      </c>
      <c r="E51" s="211" t="str">
        <f>IFERROR(__xludf.DUMMYFUNCTION("""COMPUTED_VALUE"""),"5
5")</f>
        <v>5
5</v>
      </c>
      <c r="F51" s="211" t="str">
        <f>IFERROR(__xludf.DUMMYFUNCTION("""COMPUTED_VALUE"""),"333000
1087800")</f>
        <v>333000
1087800</v>
      </c>
      <c r="G51" s="211"/>
      <c r="H51" s="211"/>
      <c r="I51" s="211">
        <f>IFERROR(__xludf.DUMMYFUNCTION("""COMPUTED_VALUE"""),1420800.0)</f>
        <v>1420800</v>
      </c>
      <c r="J51" s="211" t="str">
        <f>IFERROR(__xludf.DUMMYFUNCTION("""COMPUTED_VALUE"""),"Ya")</f>
        <v>Ya</v>
      </c>
      <c r="L51" s="223" t="str">
        <f>IFERROR(__xludf.DUMMYFUNCTION("""COMPUTED_VALUE"""),"Dec 2024")</f>
        <v>Dec 2024</v>
      </c>
      <c r="M51" s="211" t="str">
        <f>IFERROR(__xludf.DUMMYFUNCTION("""COMPUTED_VALUE"""),"GYF")</f>
        <v>GYF</v>
      </c>
      <c r="N51" s="211" t="str">
        <f>IFERROR(__xludf.DUMMYFUNCTION("""COMPUTED_VALUE"""),"1224510")</f>
        <v>1224510</v>
      </c>
      <c r="O51" s="211" t="str">
        <f>IFERROR(__xludf.DUMMYFUNCTION("""COMPUTED_VALUE"""),"3/3")</f>
        <v>3/3</v>
      </c>
      <c r="P51" s="224">
        <f>IFERROR(__xludf.DUMMYFUNCTION("""COMPUTED_VALUE"""),2250000.0)</f>
        <v>2250000</v>
      </c>
      <c r="Q51" s="225" t="str">
        <f>IFERROR(__xludf.DUMMYFUNCTION("""COMPUTED_VALUE"""),"✅")</f>
        <v>✅</v>
      </c>
      <c r="R51" s="211" t="str">
        <f>IFERROR(__xludf.DUMMYFUNCTION("""COMPUTED_VALUE"""),"-")</f>
        <v>-</v>
      </c>
      <c r="S51" s="211"/>
      <c r="T51" s="211"/>
      <c r="U51" s="211"/>
    </row>
    <row r="52">
      <c r="A52" s="222" t="str">
        <f>IFERROR(__xludf.DUMMYFUNCTION("""COMPUTED_VALUE"""),"10240066")</f>
        <v>10240066</v>
      </c>
      <c r="B52" s="211" t="str">
        <f>IFERROR(__xludf.DUMMYFUNCTION("""COMPUTED_VALUE"""),"30 Oct 2024")</f>
        <v>30 Oct 2024</v>
      </c>
      <c r="C52" s="211" t="str">
        <f>IFERROR(__xludf.DUMMYFUNCTION("""COMPUTED_VALUE"""),"CV RAGAM JAYA ENGINEERING")</f>
        <v>CV RAGAM JAYA ENGINEERING</v>
      </c>
      <c r="D52" s="211" t="str">
        <f>IFERROR(__xludf.DUMMYFUNCTION("""COMPUTED_VALUE"""),"Oksigen 6m3
Karbondioksida")</f>
        <v>Oksigen 6m3
Karbondioksida</v>
      </c>
      <c r="E52" s="211" t="str">
        <f>IFERROR(__xludf.DUMMYFUNCTION("""COMPUTED_VALUE"""),"5
5")</f>
        <v>5
5</v>
      </c>
      <c r="F52" s="211" t="str">
        <f>IFERROR(__xludf.DUMMYFUNCTION("""COMPUTED_VALUE"""),"333000
888000")</f>
        <v>333000
888000</v>
      </c>
      <c r="G52" s="211"/>
      <c r="H52" s="211"/>
      <c r="I52" s="211">
        <f>IFERROR(__xludf.DUMMYFUNCTION("""COMPUTED_VALUE"""),1221000.0)</f>
        <v>1221000</v>
      </c>
      <c r="J52" s="211" t="str">
        <f>IFERROR(__xludf.DUMMYFUNCTION("""COMPUTED_VALUE"""),"Penagihan")</f>
        <v>Penagihan</v>
      </c>
      <c r="L52" s="223" t="str">
        <f>IFERROR(__xludf.DUMMYFUNCTION("""COMPUTED_VALUE"""),"Dec 2024")</f>
        <v>Dec 2024</v>
      </c>
      <c r="M52" s="211" t="str">
        <f>IFERROR(__xludf.DUMMYFUNCTION("""COMPUTED_VALUE"""),"CV RAGAM JAYA ENGINEERING")</f>
        <v>CV RAGAM JAYA ENGINEERING</v>
      </c>
      <c r="N52" s="211" t="str">
        <f>IFERROR(__xludf.DUMMYFUNCTION("""COMPUTED_VALUE"""),"1224522")</f>
        <v>1224522</v>
      </c>
      <c r="O52" s="211" t="str">
        <f>IFERROR(__xludf.DUMMYFUNCTION("""COMPUTED_VALUE"""),"0/2")</f>
        <v>0/2</v>
      </c>
      <c r="P52" s="224">
        <f>IFERROR(__xludf.DUMMYFUNCTION("""COMPUTED_VALUE"""),2941500.0)</f>
        <v>2941500</v>
      </c>
      <c r="Q52" s="225">
        <f>IFERROR(__xludf.DUMMYFUNCTION("""COMPUTED_VALUE"""),2941500.0)</f>
        <v>2941500</v>
      </c>
      <c r="R52" s="211" t="str">
        <f>IFERROR(__xludf.DUMMYFUNCTION("""COMPUTED_VALUE"""),"12240161 12240163")</f>
        <v>12240161 12240163</v>
      </c>
      <c r="S52" s="211"/>
      <c r="T52" s="211"/>
      <c r="U52" s="211"/>
    </row>
    <row r="53">
      <c r="A53" s="222" t="str">
        <f>IFERROR(__xludf.DUMMYFUNCTION("""COMPUTED_VALUE"""),"10240068")</f>
        <v>10240068</v>
      </c>
      <c r="B53" s="211" t="str">
        <f>IFERROR(__xludf.DUMMYFUNCTION("""COMPUTED_VALUE"""),"30 Oct 2024")</f>
        <v>30 Oct 2024</v>
      </c>
      <c r="C53" s="211" t="str">
        <f>IFERROR(__xludf.DUMMYFUNCTION("""COMPUTED_VALUE"""),"PT Beton Prima Indonesia")</f>
        <v>PT Beton Prima Indonesia</v>
      </c>
      <c r="D53" s="211" t="str">
        <f>IFERROR(__xludf.DUMMYFUNCTION("""COMPUTED_VALUE"""),"Acetyline")</f>
        <v>Acetyline</v>
      </c>
      <c r="E53" s="211" t="str">
        <f>IFERROR(__xludf.DUMMYFUNCTION("""COMPUTED_VALUE"""),"11")</f>
        <v>11</v>
      </c>
      <c r="F53" s="211" t="str">
        <f>IFERROR(__xludf.DUMMYFUNCTION("""COMPUTED_VALUE"""),"4400000")</f>
        <v>4400000</v>
      </c>
      <c r="G53" s="211"/>
      <c r="H53" s="211"/>
      <c r="I53" s="211">
        <f>IFERROR(__xludf.DUMMYFUNCTION("""COMPUTED_VALUE"""),4400000.0)</f>
        <v>4400000</v>
      </c>
      <c r="J53" s="211" t="str">
        <f>IFERROR(__xludf.DUMMYFUNCTION("""COMPUTED_VALUE"""),"Ya")</f>
        <v>Ya</v>
      </c>
      <c r="L53" s="223" t="str">
        <f>IFERROR(__xludf.DUMMYFUNCTION("""COMPUTED_VALUE"""),"Dec 2024")</f>
        <v>Dec 2024</v>
      </c>
      <c r="M53" s="211" t="str">
        <f>IFERROR(__xludf.DUMMYFUNCTION("""COMPUTED_VALUE"""),"PT Dunia Berkat Marga Mulya")</f>
        <v>PT Dunia Berkat Marga Mulya</v>
      </c>
      <c r="N53" s="211" t="str">
        <f>IFERROR(__xludf.DUMMYFUNCTION("""COMPUTED_VALUE"""),"1224530")</f>
        <v>1224530</v>
      </c>
      <c r="O53" s="211" t="str">
        <f>IFERROR(__xludf.DUMMYFUNCTION("""COMPUTED_VALUE"""),"1/1")</f>
        <v>1/1</v>
      </c>
      <c r="P53" s="224">
        <f>IFERROR(__xludf.DUMMYFUNCTION("""COMPUTED_VALUE"""),266400.0)</f>
        <v>266400</v>
      </c>
      <c r="Q53" s="225" t="str">
        <f>IFERROR(__xludf.DUMMYFUNCTION("""COMPUTED_VALUE"""),"✅")</f>
        <v>✅</v>
      </c>
      <c r="R53" s="211" t="str">
        <f>IFERROR(__xludf.DUMMYFUNCTION("""COMPUTED_VALUE"""),"-")</f>
        <v>-</v>
      </c>
      <c r="S53" s="211"/>
      <c r="T53" s="211"/>
      <c r="U53" s="211"/>
    </row>
    <row r="54">
      <c r="A54" s="222" t="str">
        <f>IFERROR(__xludf.DUMMYFUNCTION("""COMPUTED_VALUE"""),"10240069")</f>
        <v>10240069</v>
      </c>
      <c r="B54" s="211" t="str">
        <f>IFERROR(__xludf.DUMMYFUNCTION("""COMPUTED_VALUE"""),"30 Oct 2024")</f>
        <v>30 Oct 2024</v>
      </c>
      <c r="C54" s="211" t="str">
        <f>IFERROR(__xludf.DUMMYFUNCTION("""COMPUTED_VALUE"""),"PT Amtech")</f>
        <v>PT Amtech</v>
      </c>
      <c r="D54" s="211" t="str">
        <f>IFERROR(__xludf.DUMMYFUNCTION("""COMPUTED_VALUE"""),"Argon 6m3")</f>
        <v>Argon 6m3</v>
      </c>
      <c r="E54" s="211" t="str">
        <f>IFERROR(__xludf.DUMMYFUNCTION("""COMPUTED_VALUE"""),"1")</f>
        <v>1</v>
      </c>
      <c r="F54" s="211" t="str">
        <f>IFERROR(__xludf.DUMMYFUNCTION("""COMPUTED_VALUE"""),"210900")</f>
        <v>210900</v>
      </c>
      <c r="G54" s="211"/>
      <c r="H54" s="211"/>
      <c r="I54" s="211">
        <f>IFERROR(__xludf.DUMMYFUNCTION("""COMPUTED_VALUE"""),210900.0)</f>
        <v>210900</v>
      </c>
      <c r="J54" s="211" t="str">
        <f>IFERROR(__xludf.DUMMYFUNCTION("""COMPUTED_VALUE"""),"Ya")</f>
        <v>Ya</v>
      </c>
      <c r="L54" s="223" t="str">
        <f>IFERROR(__xludf.DUMMYFUNCTION("""COMPUTED_VALUE"""),"Dec 2024")</f>
        <v>Dec 2024</v>
      </c>
      <c r="M54" s="211" t="str">
        <f>IFERROR(__xludf.DUMMYFUNCTION("""COMPUTED_VALUE"""),"PT Dingsheng Metal Indonesia (Ngoro)")</f>
        <v>PT Dingsheng Metal Indonesia (Ngoro)</v>
      </c>
      <c r="N54" s="211" t="str">
        <f>IFERROR(__xludf.DUMMYFUNCTION("""COMPUTED_VALUE"""),"1224540")</f>
        <v>1224540</v>
      </c>
      <c r="O54" s="211" t="str">
        <f>IFERROR(__xludf.DUMMYFUNCTION("""COMPUTED_VALUE"""),"2/2")</f>
        <v>2/2</v>
      </c>
      <c r="P54" s="224">
        <f>IFERROR(__xludf.DUMMYFUNCTION("""COMPUTED_VALUE"""),733100.0)</f>
        <v>733100</v>
      </c>
      <c r="Q54" s="225" t="str">
        <f>IFERROR(__xludf.DUMMYFUNCTION("""COMPUTED_VALUE"""),"✅")</f>
        <v>✅</v>
      </c>
      <c r="R54" s="211" t="str">
        <f>IFERROR(__xludf.DUMMYFUNCTION("""COMPUTED_VALUE"""),"-")</f>
        <v>-</v>
      </c>
      <c r="S54" s="211"/>
      <c r="T54" s="211"/>
      <c r="U54" s="211"/>
    </row>
    <row r="55">
      <c r="A55" s="222" t="str">
        <f>IFERROR(__xludf.DUMMYFUNCTION("""COMPUTED_VALUE"""),"10240070")</f>
        <v>10240070</v>
      </c>
      <c r="B55" s="211" t="str">
        <f>IFERROR(__xludf.DUMMYFUNCTION("""COMPUTED_VALUE"""),"31 Oct 2024")</f>
        <v>31 Oct 2024</v>
      </c>
      <c r="C55" s="211" t="str">
        <f>IFERROR(__xludf.DUMMYFUNCTION("""COMPUTED_VALUE"""),"PT Hua Zong Mesindo")</f>
        <v>PT Hua Zong Mesindo</v>
      </c>
      <c r="D55" s="211" t="str">
        <f>IFERROR(__xludf.DUMMYFUNCTION("""COMPUTED_VALUE"""),"Oksigen 6m3
Argon 6m3
Karbondioksida")</f>
        <v>Oksigen 6m3
Argon 6m3
Karbondioksida</v>
      </c>
      <c r="E55" s="211" t="str">
        <f>IFERROR(__xludf.DUMMYFUNCTION("""COMPUTED_VALUE"""),"4
4
4")</f>
        <v>4
4
4</v>
      </c>
      <c r="F55" s="211" t="str">
        <f>IFERROR(__xludf.DUMMYFUNCTION("""COMPUTED_VALUE"""),"240000
760000
640000")</f>
        <v>240000
760000
640000</v>
      </c>
      <c r="G55" s="211"/>
      <c r="H55" s="211"/>
      <c r="I55" s="211">
        <f>IFERROR(__xludf.DUMMYFUNCTION("""COMPUTED_VALUE"""),1640000.0)</f>
        <v>1640000</v>
      </c>
      <c r="J55" s="211" t="str">
        <f>IFERROR(__xludf.DUMMYFUNCTION("""COMPUTED_VALUE"""),"Ya")</f>
        <v>Ya</v>
      </c>
      <c r="L55" s="223" t="str">
        <f>IFERROR(__xludf.DUMMYFUNCTION("""COMPUTED_VALUE"""),"Dec 2024")</f>
        <v>Dec 2024</v>
      </c>
      <c r="M55" s="211" t="str">
        <f>IFERROR(__xludf.DUMMYFUNCTION("""COMPUTED_VALUE"""),"PT Jatim Abadi Perkasa Steel")</f>
        <v>PT Jatim Abadi Perkasa Steel</v>
      </c>
      <c r="N55" s="211" t="str">
        <f>IFERROR(__xludf.DUMMYFUNCTION("""COMPUTED_VALUE"""),"1224550")</f>
        <v>1224550</v>
      </c>
      <c r="O55" s="211" t="str">
        <f>IFERROR(__xludf.DUMMYFUNCTION("""COMPUTED_VALUE"""),"5/5")</f>
        <v>5/5</v>
      </c>
      <c r="P55" s="224">
        <f>IFERROR(__xludf.DUMMYFUNCTION("""COMPUTED_VALUE"""),1.879148E7)</f>
        <v>18791480</v>
      </c>
      <c r="Q55" s="225" t="str">
        <f>IFERROR(__xludf.DUMMYFUNCTION("""COMPUTED_VALUE"""),"✅")</f>
        <v>✅</v>
      </c>
      <c r="R55" s="211" t="str">
        <f>IFERROR(__xludf.DUMMYFUNCTION("""COMPUTED_VALUE"""),"-")</f>
        <v>-</v>
      </c>
      <c r="S55" s="211"/>
      <c r="T55" s="211"/>
      <c r="U55" s="211"/>
    </row>
    <row r="56">
      <c r="A56" s="222" t="str">
        <f>IFERROR(__xludf.DUMMYFUNCTION("""COMPUTED_VALUE"""),"10240073")</f>
        <v>10240073</v>
      </c>
      <c r="B56" s="211" t="str">
        <f>IFERROR(__xludf.DUMMYFUNCTION("""COMPUTED_VALUE"""),"31 Oct 2024")</f>
        <v>31 Oct 2024</v>
      </c>
      <c r="C56" s="211" t="str">
        <f>IFERROR(__xludf.DUMMYFUNCTION("""COMPUTED_VALUE"""),"UD Sumber Berlian")</f>
        <v>UD Sumber Berlian</v>
      </c>
      <c r="D56" s="211" t="str">
        <f>IFERROR(__xludf.DUMMYFUNCTION("""COMPUTED_VALUE"""),"Oksigen 6m3")</f>
        <v>Oksigen 6m3</v>
      </c>
      <c r="E56" s="211" t="str">
        <f>IFERROR(__xludf.DUMMYFUNCTION("""COMPUTED_VALUE"""),"10")</f>
        <v>10</v>
      </c>
      <c r="F56" s="211" t="str">
        <f>IFERROR(__xludf.DUMMYFUNCTION("""COMPUTED_VALUE"""),"700000")</f>
        <v>700000</v>
      </c>
      <c r="G56" s="211"/>
      <c r="H56" s="211"/>
      <c r="I56" s="211">
        <f>IFERROR(__xludf.DUMMYFUNCTION("""COMPUTED_VALUE"""),700000.0)</f>
        <v>700000</v>
      </c>
      <c r="J56" s="211" t="str">
        <f>IFERROR(__xludf.DUMMYFUNCTION("""COMPUTED_VALUE"""),"Ya")</f>
        <v>Ya</v>
      </c>
      <c r="L56" s="223" t="str">
        <f>IFERROR(__xludf.DUMMYFUNCTION("""COMPUTED_VALUE"""),"Dec 2024")</f>
        <v>Dec 2024</v>
      </c>
      <c r="M56" s="211" t="str">
        <f>IFERROR(__xludf.DUMMYFUNCTION("""COMPUTED_VALUE"""),"Dio")</f>
        <v>Dio</v>
      </c>
      <c r="N56" s="211" t="str">
        <f>IFERROR(__xludf.DUMMYFUNCTION("""COMPUTED_VALUE"""),"1224560")</f>
        <v>1224560</v>
      </c>
      <c r="O56" s="211" t="str">
        <f>IFERROR(__xludf.DUMMYFUNCTION("""COMPUTED_VALUE"""),"1/1")</f>
        <v>1/1</v>
      </c>
      <c r="P56" s="224">
        <f>IFERROR(__xludf.DUMMYFUNCTION("""COMPUTED_VALUE"""),0.0)</f>
        <v>0</v>
      </c>
      <c r="Q56" s="225" t="str">
        <f>IFERROR(__xludf.DUMMYFUNCTION("""COMPUTED_VALUE"""),"✅")</f>
        <v>✅</v>
      </c>
      <c r="R56" s="211" t="str">
        <f>IFERROR(__xludf.DUMMYFUNCTION("""COMPUTED_VALUE"""),"-")</f>
        <v>-</v>
      </c>
      <c r="S56" s="211"/>
      <c r="T56" s="211"/>
      <c r="U56" s="211"/>
    </row>
    <row r="57">
      <c r="A57" s="222" t="str">
        <f>IFERROR(__xludf.DUMMYFUNCTION("""COMPUTED_VALUE"""),"11240074")</f>
        <v>11240074</v>
      </c>
      <c r="B57" s="211" t="str">
        <f>IFERROR(__xludf.DUMMYFUNCTION("""COMPUTED_VALUE"""),"01 Nov 2024")</f>
        <v>01 Nov 2024</v>
      </c>
      <c r="C57" s="211" t="str">
        <f>IFERROR(__xludf.DUMMYFUNCTION("""COMPUTED_VALUE"""),"CV Sido Mukti Karya")</f>
        <v>CV Sido Mukti Karya</v>
      </c>
      <c r="D57" s="211" t="str">
        <f>IFERROR(__xludf.DUMMYFUNCTION("""COMPUTED_VALUE"""),"Oksigen 6m3")</f>
        <v>Oksigen 6m3</v>
      </c>
      <c r="E57" s="211" t="str">
        <f>IFERROR(__xludf.DUMMYFUNCTION("""COMPUTED_VALUE"""),"10")</f>
        <v>10</v>
      </c>
      <c r="F57" s="211" t="str">
        <f>IFERROR(__xludf.DUMMYFUNCTION("""COMPUTED_VALUE"""),"600000")</f>
        <v>600000</v>
      </c>
      <c r="G57" s="211"/>
      <c r="H57" s="211"/>
      <c r="I57" s="211">
        <f>IFERROR(__xludf.DUMMYFUNCTION("""COMPUTED_VALUE"""),600000.0)</f>
        <v>600000</v>
      </c>
      <c r="J57" s="211" t="str">
        <f>IFERROR(__xludf.DUMMYFUNCTION("""COMPUTED_VALUE"""),"Ya")</f>
        <v>Ya</v>
      </c>
      <c r="L57" s="223" t="str">
        <f>IFERROR(__xludf.DUMMYFUNCTION("""COMPUTED_VALUE"""),"Dec 2024")</f>
        <v>Dec 2024</v>
      </c>
      <c r="M57" s="211" t="str">
        <f>IFERROR(__xludf.DUMMYFUNCTION("""COMPUTED_VALUE"""),"Bpk. Agus (Trowulan)")</f>
        <v>Bpk. Agus (Trowulan)</v>
      </c>
      <c r="N57" s="211" t="str">
        <f>IFERROR(__xludf.DUMMYFUNCTION("""COMPUTED_VALUE"""),"1224570")</f>
        <v>1224570</v>
      </c>
      <c r="O57" s="211" t="str">
        <f>IFERROR(__xludf.DUMMYFUNCTION("""COMPUTED_VALUE"""),"1/1")</f>
        <v>1/1</v>
      </c>
      <c r="P57" s="224">
        <f>IFERROR(__xludf.DUMMYFUNCTION("""COMPUTED_VALUE"""),515000.0)</f>
        <v>515000</v>
      </c>
      <c r="Q57" s="225" t="str">
        <f>IFERROR(__xludf.DUMMYFUNCTION("""COMPUTED_VALUE"""),"✅")</f>
        <v>✅</v>
      </c>
      <c r="R57" s="211" t="str">
        <f>IFERROR(__xludf.DUMMYFUNCTION("""COMPUTED_VALUE"""),"-")</f>
        <v>-</v>
      </c>
      <c r="S57" s="211"/>
      <c r="T57" s="211"/>
      <c r="U57" s="211"/>
    </row>
    <row r="58">
      <c r="A58" s="222" t="str">
        <f>IFERROR(__xludf.DUMMYFUNCTION("""COMPUTED_VALUE"""),"11240075")</f>
        <v>11240075</v>
      </c>
      <c r="B58" s="211" t="str">
        <f>IFERROR(__xludf.DUMMYFUNCTION("""COMPUTED_VALUE"""),"03 Nov 2024")</f>
        <v>03 Nov 2024</v>
      </c>
      <c r="C58" s="211" t="str">
        <f>IFERROR(__xludf.DUMMYFUNCTION("""COMPUTED_VALUE"""),"UD Sumber Berlian")</f>
        <v>UD Sumber Berlian</v>
      </c>
      <c r="D58" s="211" t="str">
        <f>IFERROR(__xludf.DUMMYFUNCTION("""COMPUTED_VALUE"""),"Oksigen 6m3
LPG 12kg")</f>
        <v>Oksigen 6m3
LPG 12kg</v>
      </c>
      <c r="E58" s="211" t="str">
        <f>IFERROR(__xludf.DUMMYFUNCTION("""COMPUTED_VALUE"""),"13
4")</f>
        <v>13
4</v>
      </c>
      <c r="F58" s="211" t="str">
        <f>IFERROR(__xludf.DUMMYFUNCTION("""COMPUTED_VALUE"""),"910000
860000")</f>
        <v>910000
860000</v>
      </c>
      <c r="G58" s="211">
        <f>IFERROR(__xludf.DUMMYFUNCTION("""COMPUTED_VALUE"""),100000.0)</f>
        <v>100000</v>
      </c>
      <c r="H58" s="211"/>
      <c r="I58" s="211">
        <f>IFERROR(__xludf.DUMMYFUNCTION("""COMPUTED_VALUE"""),1870000.0)</f>
        <v>1870000</v>
      </c>
      <c r="J58" s="211" t="str">
        <f>IFERROR(__xludf.DUMMYFUNCTION("""COMPUTED_VALUE"""),"Ya")</f>
        <v>Ya</v>
      </c>
      <c r="L58" s="223" t="str">
        <f>IFERROR(__xludf.DUMMYFUNCTION("""COMPUTED_VALUE"""),"Dec 2024")</f>
        <v>Dec 2024</v>
      </c>
      <c r="M58" s="211" t="str">
        <f>IFERROR(__xludf.DUMMYFUNCTION("""COMPUTED_VALUE"""),"Bengkel Putra Sanjaya (Bpk. Amin)")</f>
        <v>Bengkel Putra Sanjaya (Bpk. Amin)</v>
      </c>
      <c r="N58" s="211" t="str">
        <f>IFERROR(__xludf.DUMMYFUNCTION("""COMPUTED_VALUE"""),"1224580")</f>
        <v>1224580</v>
      </c>
      <c r="O58" s="211" t="str">
        <f>IFERROR(__xludf.DUMMYFUNCTION("""COMPUTED_VALUE"""),"1/1")</f>
        <v>1/1</v>
      </c>
      <c r="P58" s="224">
        <f>IFERROR(__xludf.DUMMYFUNCTION("""COMPUTED_VALUE"""),210000.0)</f>
        <v>210000</v>
      </c>
      <c r="Q58" s="225" t="str">
        <f>IFERROR(__xludf.DUMMYFUNCTION("""COMPUTED_VALUE"""),"✅")</f>
        <v>✅</v>
      </c>
      <c r="R58" s="211" t="str">
        <f>IFERROR(__xludf.DUMMYFUNCTION("""COMPUTED_VALUE"""),"-")</f>
        <v>-</v>
      </c>
      <c r="S58" s="211"/>
      <c r="T58" s="211"/>
      <c r="U58" s="211"/>
    </row>
    <row r="59">
      <c r="A59" s="222" t="str">
        <f>IFERROR(__xludf.DUMMYFUNCTION("""COMPUTED_VALUE"""),"11240077")</f>
        <v>11240077</v>
      </c>
      <c r="B59" s="211" t="str">
        <f>IFERROR(__xludf.DUMMYFUNCTION("""COMPUTED_VALUE"""),"04 Nov 2024")</f>
        <v>04 Nov 2024</v>
      </c>
      <c r="C59" s="211" t="str">
        <f>IFERROR(__xludf.DUMMYFUNCTION("""COMPUTED_VALUE"""),"UD Sumber Berlian")</f>
        <v>UD Sumber Berlian</v>
      </c>
      <c r="D59" s="211" t="str">
        <f>IFERROR(__xludf.DUMMYFUNCTION("""COMPUTED_VALUE"""),"Oksigen 6m3")</f>
        <v>Oksigen 6m3</v>
      </c>
      <c r="E59" s="211" t="str">
        <f>IFERROR(__xludf.DUMMYFUNCTION("""COMPUTED_VALUE"""),"20")</f>
        <v>20</v>
      </c>
      <c r="F59" s="211" t="str">
        <f>IFERROR(__xludf.DUMMYFUNCTION("""COMPUTED_VALUE"""),"1400000")</f>
        <v>1400000</v>
      </c>
      <c r="G59" s="211">
        <f>IFERROR(__xludf.DUMMYFUNCTION("""COMPUTED_VALUE"""),100000.0)</f>
        <v>100000</v>
      </c>
      <c r="H59" s="211"/>
      <c r="I59" s="211">
        <f>IFERROR(__xludf.DUMMYFUNCTION("""COMPUTED_VALUE"""),1500000.0)</f>
        <v>1500000</v>
      </c>
      <c r="J59" s="211" t="str">
        <f>IFERROR(__xludf.DUMMYFUNCTION("""COMPUTED_VALUE"""),"Ya")</f>
        <v>Ya</v>
      </c>
      <c r="L59" s="223" t="str">
        <f>IFERROR(__xludf.DUMMYFUNCTION("""COMPUTED_VALUE"""),"Dec 2024")</f>
        <v>Dec 2024</v>
      </c>
      <c r="M59" s="211" t="str">
        <f>IFERROR(__xludf.DUMMYFUNCTION("""COMPUTED_VALUE"""),"H. Suheiri")</f>
        <v>H. Suheiri</v>
      </c>
      <c r="N59" s="211" t="str">
        <f>IFERROR(__xludf.DUMMYFUNCTION("""COMPUTED_VALUE"""),"1224590")</f>
        <v>1224590</v>
      </c>
      <c r="O59" s="211" t="str">
        <f>IFERROR(__xludf.DUMMYFUNCTION("""COMPUTED_VALUE"""),"2/2")</f>
        <v>2/2</v>
      </c>
      <c r="P59" s="224">
        <f>IFERROR(__xludf.DUMMYFUNCTION("""COMPUTED_VALUE"""),3250000.0)</f>
        <v>3250000</v>
      </c>
      <c r="Q59" s="225" t="str">
        <f>IFERROR(__xludf.DUMMYFUNCTION("""COMPUTED_VALUE"""),"✅")</f>
        <v>✅</v>
      </c>
      <c r="R59" s="211" t="str">
        <f>IFERROR(__xludf.DUMMYFUNCTION("""COMPUTED_VALUE"""),"-")</f>
        <v>-</v>
      </c>
      <c r="S59" s="211"/>
      <c r="T59" s="211"/>
      <c r="U59" s="211"/>
    </row>
    <row r="60">
      <c r="A60" s="222" t="str">
        <f>IFERROR(__xludf.DUMMYFUNCTION("""COMPUTED_VALUE"""),"11240078")</f>
        <v>11240078</v>
      </c>
      <c r="B60" s="211" t="str">
        <f>IFERROR(__xludf.DUMMYFUNCTION("""COMPUTED_VALUE"""),"04 Nov 2024")</f>
        <v>04 Nov 2024</v>
      </c>
      <c r="C60" s="211" t="str">
        <f>IFERROR(__xludf.DUMMYFUNCTION("""COMPUTED_VALUE"""),"PT Beton Prima Indonesia")</f>
        <v>PT Beton Prima Indonesia</v>
      </c>
      <c r="D60" s="211" t="str">
        <f>IFERROR(__xludf.DUMMYFUNCTION("""COMPUTED_VALUE"""),"Oksigen 6m3")</f>
        <v>Oksigen 6m3</v>
      </c>
      <c r="E60" s="211" t="str">
        <f>IFERROR(__xludf.DUMMYFUNCTION("""COMPUTED_VALUE"""),"8")</f>
        <v>8</v>
      </c>
      <c r="F60" s="211" t="str">
        <f>IFERROR(__xludf.DUMMYFUNCTION("""COMPUTED_VALUE"""),"400000")</f>
        <v>400000</v>
      </c>
      <c r="G60" s="211"/>
      <c r="H60" s="211"/>
      <c r="I60" s="211">
        <f>IFERROR(__xludf.DUMMYFUNCTION("""COMPUTED_VALUE"""),400000.0)</f>
        <v>400000</v>
      </c>
      <c r="J60" s="211" t="str">
        <f>IFERROR(__xludf.DUMMYFUNCTION("""COMPUTED_VALUE"""),"Ya")</f>
        <v>Ya</v>
      </c>
      <c r="L60" s="223" t="str">
        <f>IFERROR(__xludf.DUMMYFUNCTION("""COMPUTED_VALUE"""),"Dec 2024")</f>
        <v>Dec 2024</v>
      </c>
      <c r="M60" s="211" t="str">
        <f>IFERROR(__xludf.DUMMYFUNCTION("""COMPUTED_VALUE"""),"Bpk. Supar")</f>
        <v>Bpk. Supar</v>
      </c>
      <c r="N60" s="211" t="str">
        <f>IFERROR(__xludf.DUMMYFUNCTION("""COMPUTED_VALUE"""),"1224600")</f>
        <v>1224600</v>
      </c>
      <c r="O60" s="211" t="str">
        <f>IFERROR(__xludf.DUMMYFUNCTION("""COMPUTED_VALUE"""),"1/1")</f>
        <v>1/1</v>
      </c>
      <c r="P60" s="224">
        <f>IFERROR(__xludf.DUMMYFUNCTION("""COMPUTED_VALUE"""),70000.0)</f>
        <v>70000</v>
      </c>
      <c r="Q60" s="225" t="str">
        <f>IFERROR(__xludf.DUMMYFUNCTION("""COMPUTED_VALUE"""),"✅")</f>
        <v>✅</v>
      </c>
      <c r="R60" s="211" t="str">
        <f>IFERROR(__xludf.DUMMYFUNCTION("""COMPUTED_VALUE"""),"-")</f>
        <v>-</v>
      </c>
      <c r="S60" s="211"/>
      <c r="T60" s="211"/>
      <c r="U60" s="211"/>
    </row>
    <row r="61">
      <c r="A61" s="222" t="str">
        <f>IFERROR(__xludf.DUMMYFUNCTION("""COMPUTED_VALUE"""),"11240079")</f>
        <v>11240079</v>
      </c>
      <c r="B61" s="211" t="str">
        <f>IFERROR(__xludf.DUMMYFUNCTION("""COMPUTED_VALUE"""),"05 Nov 2024")</f>
        <v>05 Nov 2024</v>
      </c>
      <c r="C61" s="211" t="str">
        <f>IFERROR(__xludf.DUMMYFUNCTION("""COMPUTED_VALUE"""),"PT Beton Prima Indonesia")</f>
        <v>PT Beton Prima Indonesia</v>
      </c>
      <c r="D61" s="211" t="str">
        <f>IFERROR(__xludf.DUMMYFUNCTION("""COMPUTED_VALUE"""),"Oksigen 6m3")</f>
        <v>Oksigen 6m3</v>
      </c>
      <c r="E61" s="211" t="str">
        <f>IFERROR(__xludf.DUMMYFUNCTION("""COMPUTED_VALUE"""),"12")</f>
        <v>12</v>
      </c>
      <c r="F61" s="211" t="str">
        <f>IFERROR(__xludf.DUMMYFUNCTION("""COMPUTED_VALUE"""),"600000")</f>
        <v>600000</v>
      </c>
      <c r="G61" s="211"/>
      <c r="H61" s="211"/>
      <c r="I61" s="211">
        <f>IFERROR(__xludf.DUMMYFUNCTION("""COMPUTED_VALUE"""),600000.0)</f>
        <v>600000</v>
      </c>
      <c r="J61" s="211" t="str">
        <f>IFERROR(__xludf.DUMMYFUNCTION("""COMPUTED_VALUE"""),"Ya")</f>
        <v>Ya</v>
      </c>
      <c r="L61" s="223" t="str">
        <f>IFERROR(__xludf.DUMMYFUNCTION("""COMPUTED_VALUE"""),"Dec 2024")</f>
        <v>Dec 2024</v>
      </c>
      <c r="M61" s="211" t="str">
        <f>IFERROR(__xludf.DUMMYFUNCTION("""COMPUTED_VALUE"""),"Ibu Ida")</f>
        <v>Ibu Ida</v>
      </c>
      <c r="N61" s="211" t="str">
        <f>IFERROR(__xludf.DUMMYFUNCTION("""COMPUTED_VALUE"""),"1224610")</f>
        <v>1224610</v>
      </c>
      <c r="O61" s="211" t="str">
        <f>IFERROR(__xludf.DUMMYFUNCTION("""COMPUTED_VALUE"""),"1/1")</f>
        <v>1/1</v>
      </c>
      <c r="P61" s="224">
        <f>IFERROR(__xludf.DUMMYFUNCTION("""COMPUTED_VALUE"""),500000.0)</f>
        <v>500000</v>
      </c>
      <c r="Q61" s="225" t="str">
        <f>IFERROR(__xludf.DUMMYFUNCTION("""COMPUTED_VALUE"""),"✅")</f>
        <v>✅</v>
      </c>
      <c r="R61" s="211" t="str">
        <f>IFERROR(__xludf.DUMMYFUNCTION("""COMPUTED_VALUE"""),"-")</f>
        <v>-</v>
      </c>
      <c r="S61" s="211"/>
      <c r="T61" s="211"/>
      <c r="U61" s="211"/>
    </row>
    <row r="62">
      <c r="A62" s="222" t="str">
        <f>IFERROR(__xludf.DUMMYFUNCTION("""COMPUTED_VALUE"""),"11240080")</f>
        <v>11240080</v>
      </c>
      <c r="B62" s="211" t="str">
        <f>IFERROR(__xludf.DUMMYFUNCTION("""COMPUTED_VALUE"""),"06 Nov 2024")</f>
        <v>06 Nov 2024</v>
      </c>
      <c r="C62" s="211" t="str">
        <f>IFERROR(__xludf.DUMMYFUNCTION("""COMPUTED_VALUE"""),"UD Sumber Berlian")</f>
        <v>UD Sumber Berlian</v>
      </c>
      <c r="D62" s="211" t="str">
        <f>IFERROR(__xludf.DUMMYFUNCTION("""COMPUTED_VALUE"""),"Oksigen 6m3")</f>
        <v>Oksigen 6m3</v>
      </c>
      <c r="E62" s="211" t="str">
        <f>IFERROR(__xludf.DUMMYFUNCTION("""COMPUTED_VALUE"""),"15")</f>
        <v>15</v>
      </c>
      <c r="F62" s="211" t="str">
        <f>IFERROR(__xludf.DUMMYFUNCTION("""COMPUTED_VALUE"""),"1050000")</f>
        <v>1050000</v>
      </c>
      <c r="G62" s="211">
        <f>IFERROR(__xludf.DUMMYFUNCTION("""COMPUTED_VALUE"""),100000.0)</f>
        <v>100000</v>
      </c>
      <c r="H62" s="211"/>
      <c r="I62" s="211">
        <f>IFERROR(__xludf.DUMMYFUNCTION("""COMPUTED_VALUE"""),1150000.0)</f>
        <v>1150000</v>
      </c>
      <c r="J62" s="211" t="str">
        <f>IFERROR(__xludf.DUMMYFUNCTION("""COMPUTED_VALUE"""),"Ya")</f>
        <v>Ya</v>
      </c>
      <c r="L62" s="223" t="str">
        <f>IFERROR(__xludf.DUMMYFUNCTION("""COMPUTED_VALUE"""),"Dec 2024")</f>
        <v>Dec 2024</v>
      </c>
      <c r="M62" s="211" t="str">
        <f>IFERROR(__xludf.DUMMYFUNCTION("""COMPUTED_VALUE"""),"Ibu Yanti")</f>
        <v>Ibu Yanti</v>
      </c>
      <c r="N62" s="211" t="str">
        <f>IFERROR(__xludf.DUMMYFUNCTION("""COMPUTED_VALUE"""),"1224620")</f>
        <v>1224620</v>
      </c>
      <c r="O62" s="211" t="str">
        <f>IFERROR(__xludf.DUMMYFUNCTION("""COMPUTED_VALUE"""),"1/1")</f>
        <v>1/1</v>
      </c>
      <c r="P62" s="224">
        <f>IFERROR(__xludf.DUMMYFUNCTION("""COMPUTED_VALUE"""),120000.0)</f>
        <v>120000</v>
      </c>
      <c r="Q62" s="225" t="str">
        <f>IFERROR(__xludf.DUMMYFUNCTION("""COMPUTED_VALUE"""),"✅")</f>
        <v>✅</v>
      </c>
      <c r="R62" s="211" t="str">
        <f>IFERROR(__xludf.DUMMYFUNCTION("""COMPUTED_VALUE"""),"-")</f>
        <v>-</v>
      </c>
      <c r="S62" s="211"/>
      <c r="T62" s="211"/>
      <c r="U62" s="211"/>
    </row>
    <row r="63">
      <c r="A63" s="222" t="str">
        <f>IFERROR(__xludf.DUMMYFUNCTION("""COMPUTED_VALUE"""),"11240081")</f>
        <v>11240081</v>
      </c>
      <c r="B63" s="211" t="str">
        <f>IFERROR(__xludf.DUMMYFUNCTION("""COMPUTED_VALUE"""),"07 Nov 2024")</f>
        <v>07 Nov 2024</v>
      </c>
      <c r="C63" s="211" t="str">
        <f>IFERROR(__xludf.DUMMYFUNCTION("""COMPUTED_VALUE"""),"CV RAGAM JAYA ENGINEERING")</f>
        <v>CV RAGAM JAYA ENGINEERING</v>
      </c>
      <c r="D63" s="211" t="str">
        <f>IFERROR(__xludf.DUMMYFUNCTION("""COMPUTED_VALUE"""),"Oksigen 6m3
Karbondioksida")</f>
        <v>Oksigen 6m3
Karbondioksida</v>
      </c>
      <c r="E63" s="211" t="str">
        <f>IFERROR(__xludf.DUMMYFUNCTION("""COMPUTED_VALUE"""),"10
5")</f>
        <v>10
5</v>
      </c>
      <c r="F63" s="211" t="str">
        <f>IFERROR(__xludf.DUMMYFUNCTION("""COMPUTED_VALUE"""),"666000
888000")</f>
        <v>666000
888000</v>
      </c>
      <c r="G63" s="211"/>
      <c r="H63" s="211"/>
      <c r="I63" s="211">
        <f>IFERROR(__xludf.DUMMYFUNCTION("""COMPUTED_VALUE"""),1554000.0)</f>
        <v>1554000</v>
      </c>
      <c r="J63" s="211" t="str">
        <f>IFERROR(__xludf.DUMMYFUNCTION("""COMPUTED_VALUE"""),"Penagihan")</f>
        <v>Penagihan</v>
      </c>
      <c r="L63" s="223" t="str">
        <f>IFERROR(__xludf.DUMMYFUNCTION("""COMPUTED_VALUE"""),"Jan 2025")</f>
        <v>Jan 2025</v>
      </c>
      <c r="M63" s="211" t="str">
        <f>IFERROR(__xludf.DUMMYFUNCTION("""COMPUTED_VALUE"""),"Bpk. Sukirno (Bejo)")</f>
        <v>Bpk. Sukirno (Bejo)</v>
      </c>
      <c r="N63" s="211" t="str">
        <f>IFERROR(__xludf.DUMMYFUNCTION("""COMPUTED_VALUE"""),"0125630")</f>
        <v>0125630</v>
      </c>
      <c r="O63" s="211" t="str">
        <f>IFERROR(__xludf.DUMMYFUNCTION("""COMPUTED_VALUE"""),"5/5")</f>
        <v>5/5</v>
      </c>
      <c r="P63" s="224">
        <f>IFERROR(__xludf.DUMMYFUNCTION("""COMPUTED_VALUE"""),4200000.0)</f>
        <v>4200000</v>
      </c>
      <c r="Q63" s="225" t="str">
        <f>IFERROR(__xludf.DUMMYFUNCTION("""COMPUTED_VALUE"""),"✅")</f>
        <v>✅</v>
      </c>
      <c r="R63" s="211" t="str">
        <f>IFERROR(__xludf.DUMMYFUNCTION("""COMPUTED_VALUE"""),"-")</f>
        <v>-</v>
      </c>
      <c r="S63" s="211"/>
      <c r="T63" s="211"/>
      <c r="U63" s="211"/>
    </row>
    <row r="64">
      <c r="A64" s="222" t="str">
        <f>IFERROR(__xludf.DUMMYFUNCTION("""COMPUTED_VALUE"""),"11240083")</f>
        <v>11240083</v>
      </c>
      <c r="B64" s="211" t="str">
        <f>IFERROR(__xludf.DUMMYFUNCTION("""COMPUTED_VALUE"""),"07 Nov 2024")</f>
        <v>07 Nov 2024</v>
      </c>
      <c r="C64" s="211" t="str">
        <f>IFERROR(__xludf.DUMMYFUNCTION("""COMPUTED_VALUE"""),"UD Sumber Berlian")</f>
        <v>UD Sumber Berlian</v>
      </c>
      <c r="D64" s="211" t="str">
        <f>IFERROR(__xludf.DUMMYFUNCTION("""COMPUTED_VALUE"""),"Oksigen 6m3
LPG 12kg")</f>
        <v>Oksigen 6m3
LPG 12kg</v>
      </c>
      <c r="E64" s="211" t="str">
        <f>IFERROR(__xludf.DUMMYFUNCTION("""COMPUTED_VALUE"""),"15
2")</f>
        <v>15
2</v>
      </c>
      <c r="F64" s="211" t="str">
        <f>IFERROR(__xludf.DUMMYFUNCTION("""COMPUTED_VALUE"""),"1050000
430000")</f>
        <v>1050000
430000</v>
      </c>
      <c r="G64" s="211">
        <f>IFERROR(__xludf.DUMMYFUNCTION("""COMPUTED_VALUE"""),100000.0)</f>
        <v>100000</v>
      </c>
      <c r="H64" s="211"/>
      <c r="I64" s="211">
        <f>IFERROR(__xludf.DUMMYFUNCTION("""COMPUTED_VALUE"""),1580000.0)</f>
        <v>1580000</v>
      </c>
      <c r="J64" s="211" t="str">
        <f>IFERROR(__xludf.DUMMYFUNCTION("""COMPUTED_VALUE"""),"Ya")</f>
        <v>Ya</v>
      </c>
      <c r="L64" s="223" t="str">
        <f>IFERROR(__xludf.DUMMYFUNCTION("""COMPUTED_VALUE"""),"Jan 2025")</f>
        <v>Jan 2025</v>
      </c>
      <c r="M64" s="211" t="str">
        <f>IFERROR(__xludf.DUMMYFUNCTION("""COMPUTED_VALUE"""),"PT Dingsheng Metal Indonesia (Ngoro)")</f>
        <v>PT Dingsheng Metal Indonesia (Ngoro)</v>
      </c>
      <c r="N64" s="211" t="str">
        <f>IFERROR(__xludf.DUMMYFUNCTION("""COMPUTED_VALUE"""),"0125640")</f>
        <v>0125640</v>
      </c>
      <c r="O64" s="211" t="str">
        <f>IFERROR(__xludf.DUMMYFUNCTION("""COMPUTED_VALUE"""),"2/2")</f>
        <v>2/2</v>
      </c>
      <c r="P64" s="224">
        <f>IFERROR(__xludf.DUMMYFUNCTION("""COMPUTED_VALUE"""),733100.0)</f>
        <v>733100</v>
      </c>
      <c r="Q64" s="225" t="str">
        <f>IFERROR(__xludf.DUMMYFUNCTION("""COMPUTED_VALUE"""),"✅")</f>
        <v>✅</v>
      </c>
      <c r="R64" s="211" t="str">
        <f>IFERROR(__xludf.DUMMYFUNCTION("""COMPUTED_VALUE"""),"-")</f>
        <v>-</v>
      </c>
      <c r="S64" s="211"/>
      <c r="T64" s="211"/>
      <c r="U64" s="211"/>
    </row>
    <row r="65">
      <c r="A65" s="222" t="str">
        <f>IFERROR(__xludf.DUMMYFUNCTION("""COMPUTED_VALUE"""),"11240085")</f>
        <v>11240085</v>
      </c>
      <c r="B65" s="211" t="str">
        <f>IFERROR(__xludf.DUMMYFUNCTION("""COMPUTED_VALUE"""),"08 Nov 2024")</f>
        <v>08 Nov 2024</v>
      </c>
      <c r="C65" s="211" t="str">
        <f>IFERROR(__xludf.DUMMYFUNCTION("""COMPUTED_VALUE"""),"PT Beton Prima Indonesia")</f>
        <v>PT Beton Prima Indonesia</v>
      </c>
      <c r="D65" s="211" t="str">
        <f>IFERROR(__xludf.DUMMYFUNCTION("""COMPUTED_VALUE"""),"Oksigen 6m3
Acetyline")</f>
        <v>Oksigen 6m3
Acetyline</v>
      </c>
      <c r="E65" s="211" t="str">
        <f>IFERROR(__xludf.DUMMYFUNCTION("""COMPUTED_VALUE"""),"15
7")</f>
        <v>15
7</v>
      </c>
      <c r="F65" s="211" t="str">
        <f>IFERROR(__xludf.DUMMYFUNCTION("""COMPUTED_VALUE"""),"750000
2800000")</f>
        <v>750000
2800000</v>
      </c>
      <c r="G65" s="211"/>
      <c r="H65" s="211"/>
      <c r="I65" s="211">
        <f>IFERROR(__xludf.DUMMYFUNCTION("""COMPUTED_VALUE"""),3550000.0)</f>
        <v>3550000</v>
      </c>
      <c r="J65" s="211" t="str">
        <f>IFERROR(__xludf.DUMMYFUNCTION("""COMPUTED_VALUE"""),"Ya")</f>
        <v>Ya</v>
      </c>
      <c r="L65" s="223" t="str">
        <f>IFERROR(__xludf.DUMMYFUNCTION("""COMPUTED_VALUE"""),"Jan 2025")</f>
        <v>Jan 2025</v>
      </c>
      <c r="M65" s="211" t="str">
        <f>IFERROR(__xludf.DUMMYFUNCTION("""COMPUTED_VALUE"""),"GYF")</f>
        <v>GYF</v>
      </c>
      <c r="N65" s="211" t="str">
        <f>IFERROR(__xludf.DUMMYFUNCTION("""COMPUTED_VALUE"""),"0125650")</f>
        <v>0125650</v>
      </c>
      <c r="O65" s="211" t="str">
        <f>IFERROR(__xludf.DUMMYFUNCTION("""COMPUTED_VALUE"""),"3/3")</f>
        <v>3/3</v>
      </c>
      <c r="P65" s="224">
        <f>IFERROR(__xludf.DUMMYFUNCTION("""COMPUTED_VALUE"""),1800000.0)</f>
        <v>1800000</v>
      </c>
      <c r="Q65" s="225" t="str">
        <f>IFERROR(__xludf.DUMMYFUNCTION("""COMPUTED_VALUE"""),"✅")</f>
        <v>✅</v>
      </c>
      <c r="R65" s="211" t="str">
        <f>IFERROR(__xludf.DUMMYFUNCTION("""COMPUTED_VALUE"""),"-")</f>
        <v>-</v>
      </c>
      <c r="S65" s="211"/>
      <c r="T65" s="211"/>
      <c r="U65" s="211"/>
    </row>
    <row r="66">
      <c r="A66" s="222" t="str">
        <f>IFERROR(__xludf.DUMMYFUNCTION("""COMPUTED_VALUE"""),"11240087")</f>
        <v>11240087</v>
      </c>
      <c r="B66" s="211" t="str">
        <f>IFERROR(__xludf.DUMMYFUNCTION("""COMPUTED_VALUE"""),"08 Nov 2024")</f>
        <v>08 Nov 2024</v>
      </c>
      <c r="C66" s="211" t="str">
        <f>IFERROR(__xludf.DUMMYFUNCTION("""COMPUTED_VALUE"""),"CV ANUGERAH PERSADA TEKNIK")</f>
        <v>CV ANUGERAH PERSADA TEKNIK</v>
      </c>
      <c r="D66" s="211" t="str">
        <f>IFERROR(__xludf.DUMMYFUNCTION("""COMPUTED_VALUE"""),"Argon 6m3")</f>
        <v>Argon 6m3</v>
      </c>
      <c r="E66" s="211" t="str">
        <f>IFERROR(__xludf.DUMMYFUNCTION("""COMPUTED_VALUE"""),"3")</f>
        <v>3</v>
      </c>
      <c r="F66" s="211" t="str">
        <f>IFERROR(__xludf.DUMMYFUNCTION("""COMPUTED_VALUE"""),"632700")</f>
        <v>632700</v>
      </c>
      <c r="G66" s="211"/>
      <c r="H66" s="211"/>
      <c r="I66" s="211">
        <f>IFERROR(__xludf.DUMMYFUNCTION("""COMPUTED_VALUE"""),632700.0)</f>
        <v>632700</v>
      </c>
      <c r="J66" s="211" t="str">
        <f>IFERROR(__xludf.DUMMYFUNCTION("""COMPUTED_VALUE"""),"Ya")</f>
        <v>Ya</v>
      </c>
      <c r="L66" s="223" t="str">
        <f>IFERROR(__xludf.DUMMYFUNCTION("""COMPUTED_VALUE"""),"Jan 2025")</f>
        <v>Jan 2025</v>
      </c>
      <c r="M66" s="211" t="str">
        <f>IFERROR(__xludf.DUMMYFUNCTION("""COMPUTED_VALUE"""),"PT Dunia Berkat Marga Mulya")</f>
        <v>PT Dunia Berkat Marga Mulya</v>
      </c>
      <c r="N66" s="211" t="str">
        <f>IFERROR(__xludf.DUMMYFUNCTION("""COMPUTED_VALUE"""),"0125661")</f>
        <v>0125661</v>
      </c>
      <c r="O66" s="211" t="str">
        <f>IFERROR(__xludf.DUMMYFUNCTION("""COMPUTED_VALUE"""),"1/2")</f>
        <v>1/2</v>
      </c>
      <c r="P66" s="224">
        <f>IFERROR(__xludf.DUMMYFUNCTION("""COMPUTED_VALUE"""),666000.0)</f>
        <v>666000</v>
      </c>
      <c r="Q66" s="225">
        <f>IFERROR(__xludf.DUMMYFUNCTION("""COMPUTED_VALUE"""),333000.0)</f>
        <v>333000</v>
      </c>
      <c r="R66" s="211" t="str">
        <f>IFERROR(__xludf.DUMMYFUNCTION("""COMPUTED_VALUE"""),"01250221")</f>
        <v>01250221</v>
      </c>
      <c r="S66" s="211"/>
      <c r="T66" s="211"/>
      <c r="U66" s="211"/>
    </row>
    <row r="67">
      <c r="A67" s="222" t="str">
        <f>IFERROR(__xludf.DUMMYFUNCTION("""COMPUTED_VALUE"""),"11240088")</f>
        <v>11240088</v>
      </c>
      <c r="B67" s="211" t="str">
        <f>IFERROR(__xludf.DUMMYFUNCTION("""COMPUTED_VALUE"""),"08 Nov 2024")</f>
        <v>08 Nov 2024</v>
      </c>
      <c r="C67" s="211" t="str">
        <f>IFERROR(__xludf.DUMMYFUNCTION("""COMPUTED_VALUE"""),"PT GEMILANG CIPTA WAWASAN")</f>
        <v>PT GEMILANG CIPTA WAWASAN</v>
      </c>
      <c r="D67" s="211" t="str">
        <f>IFERROR(__xludf.DUMMYFUNCTION("""COMPUTED_VALUE"""),"Oksigen 6m3
Argon 6m3
LPG 12kg")</f>
        <v>Oksigen 6m3
Argon 6m3
LPG 12kg</v>
      </c>
      <c r="E67" s="211" t="str">
        <f>IFERROR(__xludf.DUMMYFUNCTION("""COMPUTED_VALUE"""),"15
5
5")</f>
        <v>15
5
5</v>
      </c>
      <c r="F67" s="211" t="str">
        <f>IFERROR(__xludf.DUMMYFUNCTION("""COMPUTED_VALUE"""),"999000
1087800
1165500")</f>
        <v>999000
1087800
1165500</v>
      </c>
      <c r="G67" s="211"/>
      <c r="H67" s="211"/>
      <c r="I67" s="211">
        <f>IFERROR(__xludf.DUMMYFUNCTION("""COMPUTED_VALUE"""),3252300.0)</f>
        <v>3252300</v>
      </c>
      <c r="J67" s="211" t="str">
        <f>IFERROR(__xludf.DUMMYFUNCTION("""COMPUTED_VALUE"""),"Ya")</f>
        <v>Ya</v>
      </c>
      <c r="L67" s="223" t="str">
        <f>IFERROR(__xludf.DUMMYFUNCTION("""COMPUTED_VALUE"""),"Jan 2025")</f>
        <v>Jan 2025</v>
      </c>
      <c r="M67" s="211" t="str">
        <f>IFERROR(__xludf.DUMMYFUNCTION("""COMPUTED_VALUE"""),"PT ARYANA CAKASANA")</f>
        <v>PT ARYANA CAKASANA</v>
      </c>
      <c r="N67" s="211" t="str">
        <f>IFERROR(__xludf.DUMMYFUNCTION("""COMPUTED_VALUE"""),"0125671")</f>
        <v>0125671</v>
      </c>
      <c r="O67" s="211" t="str">
        <f>IFERROR(__xludf.DUMMYFUNCTION("""COMPUTED_VALUE"""),"0/1")</f>
        <v>0/1</v>
      </c>
      <c r="P67" s="224">
        <f>IFERROR(__xludf.DUMMYFUNCTION("""COMPUTED_VALUE"""),525001.0)</f>
        <v>525001</v>
      </c>
      <c r="Q67" s="225">
        <f>IFERROR(__xludf.DUMMYFUNCTION("""COMPUTED_VALUE"""),525001.0)</f>
        <v>525001</v>
      </c>
      <c r="R67" s="211" t="str">
        <f>IFERROR(__xludf.DUMMYFUNCTION("""COMPUTED_VALUE"""),"01250199")</f>
        <v>01250199</v>
      </c>
      <c r="S67" s="211"/>
      <c r="T67" s="211"/>
      <c r="U67" s="211"/>
    </row>
    <row r="68">
      <c r="A68" s="222" t="str">
        <f>IFERROR(__xludf.DUMMYFUNCTION("""COMPUTED_VALUE"""),"11240091")</f>
        <v>11240091</v>
      </c>
      <c r="B68" s="211" t="str">
        <f>IFERROR(__xludf.DUMMYFUNCTION("""COMPUTED_VALUE"""),"09 Nov 2024")</f>
        <v>09 Nov 2024</v>
      </c>
      <c r="C68" s="211" t="str">
        <f>IFERROR(__xludf.DUMMYFUNCTION("""COMPUTED_VALUE"""),"UD Sumber Berlian")</f>
        <v>UD Sumber Berlian</v>
      </c>
      <c r="D68" s="211" t="str">
        <f>IFERROR(__xludf.DUMMYFUNCTION("""COMPUTED_VALUE"""),"Oksigen 6m3")</f>
        <v>Oksigen 6m3</v>
      </c>
      <c r="E68" s="211" t="str">
        <f>IFERROR(__xludf.DUMMYFUNCTION("""COMPUTED_VALUE"""),"9")</f>
        <v>9</v>
      </c>
      <c r="F68" s="211" t="str">
        <f>IFERROR(__xludf.DUMMYFUNCTION("""COMPUTED_VALUE"""),"630000")</f>
        <v>630000</v>
      </c>
      <c r="G68" s="211">
        <f>IFERROR(__xludf.DUMMYFUNCTION("""COMPUTED_VALUE"""),100000.0)</f>
        <v>100000</v>
      </c>
      <c r="H68" s="211"/>
      <c r="I68" s="211">
        <f>IFERROR(__xludf.DUMMYFUNCTION("""COMPUTED_VALUE"""),730000.0)</f>
        <v>730000</v>
      </c>
      <c r="J68" s="211" t="str">
        <f>IFERROR(__xludf.DUMMYFUNCTION("""COMPUTED_VALUE"""),"Ya")</f>
        <v>Ya</v>
      </c>
      <c r="L68" s="223" t="str">
        <f>IFERROR(__xludf.DUMMYFUNCTION("""COMPUTED_VALUE"""),"Jan 2025")</f>
        <v>Jan 2025</v>
      </c>
      <c r="M68" s="211" t="str">
        <f>IFERROR(__xludf.DUMMYFUNCTION("""COMPUTED_VALUE"""),"H. Suheiri")</f>
        <v>H. Suheiri</v>
      </c>
      <c r="N68" s="211" t="str">
        <f>IFERROR(__xludf.DUMMYFUNCTION("""COMPUTED_VALUE"""),"0125680")</f>
        <v>0125680</v>
      </c>
      <c r="O68" s="211" t="str">
        <f>IFERROR(__xludf.DUMMYFUNCTION("""COMPUTED_VALUE"""),"2/2")</f>
        <v>2/2</v>
      </c>
      <c r="P68" s="224">
        <f>IFERROR(__xludf.DUMMYFUNCTION("""COMPUTED_VALUE"""),1000000.0)</f>
        <v>1000000</v>
      </c>
      <c r="Q68" s="225" t="str">
        <f>IFERROR(__xludf.DUMMYFUNCTION("""COMPUTED_VALUE"""),"✅")</f>
        <v>✅</v>
      </c>
      <c r="R68" s="211" t="str">
        <f>IFERROR(__xludf.DUMMYFUNCTION("""COMPUTED_VALUE"""),"-")</f>
        <v>-</v>
      </c>
      <c r="S68" s="211"/>
      <c r="T68" s="211"/>
      <c r="U68" s="211"/>
    </row>
    <row r="69">
      <c r="A69" s="222" t="str">
        <f>IFERROR(__xludf.DUMMYFUNCTION("""COMPUTED_VALUE"""),"11240092")</f>
        <v>11240092</v>
      </c>
      <c r="B69" s="211" t="str">
        <f>IFERROR(__xludf.DUMMYFUNCTION("""COMPUTED_VALUE"""),"11 Nov 2024")</f>
        <v>11 Nov 2024</v>
      </c>
      <c r="C69" s="211" t="str">
        <f>IFERROR(__xludf.DUMMYFUNCTION("""COMPUTED_VALUE"""),"CV ANUGERAH PERSADA TEKNIK")</f>
        <v>CV ANUGERAH PERSADA TEKNIK</v>
      </c>
      <c r="D69" s="211" t="str">
        <f>IFERROR(__xludf.DUMMYFUNCTION("""COMPUTED_VALUE"""),"Oksigen 6m3
Argon 6m3")</f>
        <v>Oksigen 6m3
Argon 6m3</v>
      </c>
      <c r="E69" s="211" t="str">
        <f>IFERROR(__xludf.DUMMYFUNCTION("""COMPUTED_VALUE"""),"5
3")</f>
        <v>5
3</v>
      </c>
      <c r="F69" s="211" t="str">
        <f>IFERROR(__xludf.DUMMYFUNCTION("""COMPUTED_VALUE"""),"360750
632700")</f>
        <v>360750
632700</v>
      </c>
      <c r="G69" s="211"/>
      <c r="H69" s="211"/>
      <c r="I69" s="211">
        <f>IFERROR(__xludf.DUMMYFUNCTION("""COMPUTED_VALUE"""),993450.0)</f>
        <v>993450</v>
      </c>
      <c r="J69" s="211" t="str">
        <f>IFERROR(__xludf.DUMMYFUNCTION("""COMPUTED_VALUE"""),"Ya")</f>
        <v>Ya</v>
      </c>
      <c r="L69" s="223" t="str">
        <f>IFERROR(__xludf.DUMMYFUNCTION("""COMPUTED_VALUE"""),"Oct 2024")</f>
        <v>Oct 2024</v>
      </c>
      <c r="M69" s="211" t="str">
        <f>IFERROR(__xludf.DUMMYFUNCTION("""COMPUTED_VALUE"""),"Abah Sochib")</f>
        <v>Abah Sochib</v>
      </c>
      <c r="N69" s="211" t="str">
        <f>IFERROR(__xludf.DUMMYFUNCTION("""COMPUTED_VALUE"""),"1024690")</f>
        <v>1024690</v>
      </c>
      <c r="O69" s="211" t="str">
        <f>IFERROR(__xludf.DUMMYFUNCTION("""COMPUTED_VALUE"""),"1/1")</f>
        <v>1/1</v>
      </c>
      <c r="P69" s="224">
        <f>IFERROR(__xludf.DUMMYFUNCTION("""COMPUTED_VALUE"""),0.0)</f>
        <v>0</v>
      </c>
      <c r="Q69" s="225" t="str">
        <f>IFERROR(__xludf.DUMMYFUNCTION("""COMPUTED_VALUE"""),"✅")</f>
        <v>✅</v>
      </c>
      <c r="R69" s="211" t="str">
        <f>IFERROR(__xludf.DUMMYFUNCTION("""COMPUTED_VALUE"""),"-")</f>
        <v>-</v>
      </c>
      <c r="S69" s="211"/>
      <c r="T69" s="211"/>
      <c r="U69" s="211"/>
    </row>
    <row r="70">
      <c r="A70" s="222" t="str">
        <f>IFERROR(__xludf.DUMMYFUNCTION("""COMPUTED_VALUE"""),"11240094")</f>
        <v>11240094</v>
      </c>
      <c r="B70" s="211" t="str">
        <f>IFERROR(__xludf.DUMMYFUNCTION("""COMPUTED_VALUE"""),"11 Nov 2024")</f>
        <v>11 Nov 2024</v>
      </c>
      <c r="C70" s="211" t="str">
        <f>IFERROR(__xludf.DUMMYFUNCTION("""COMPUTED_VALUE"""),"PT Dunia Berkat Marga Mulya")</f>
        <v>PT Dunia Berkat Marga Mulya</v>
      </c>
      <c r="D70" s="211" t="str">
        <f>IFERROR(__xludf.DUMMYFUNCTION("""COMPUTED_VALUE"""),"Oksigen 6m3")</f>
        <v>Oksigen 6m3</v>
      </c>
      <c r="E70" s="211" t="str">
        <f>IFERROR(__xludf.DUMMYFUNCTION("""COMPUTED_VALUE"""),"2")</f>
        <v>2</v>
      </c>
      <c r="F70" s="211" t="str">
        <f>IFERROR(__xludf.DUMMYFUNCTION("""COMPUTED_VALUE"""),"133200")</f>
        <v>133200</v>
      </c>
      <c r="G70" s="211"/>
      <c r="H70" s="211"/>
      <c r="I70" s="211">
        <f>IFERROR(__xludf.DUMMYFUNCTION("""COMPUTED_VALUE"""),133200.0)</f>
        <v>133200</v>
      </c>
      <c r="J70" s="211" t="str">
        <f>IFERROR(__xludf.DUMMYFUNCTION("""COMPUTED_VALUE"""),"Ya")</f>
        <v>Ya</v>
      </c>
      <c r="L70" s="223" t="str">
        <f>IFERROR(__xludf.DUMMYFUNCTION("""COMPUTED_VALUE"""),"Jan 2025")</f>
        <v>Jan 2025</v>
      </c>
      <c r="M70" s="211" t="str">
        <f>IFERROR(__xludf.DUMMYFUNCTION("""COMPUTED_VALUE"""),"PT Jatim Abadi Perkasa Steel")</f>
        <v>PT Jatim Abadi Perkasa Steel</v>
      </c>
      <c r="N70" s="211" t="str">
        <f>IFERROR(__xludf.DUMMYFUNCTION("""COMPUTED_VALUE"""),"0125700")</f>
        <v>0125700</v>
      </c>
      <c r="O70" s="211" t="str">
        <f>IFERROR(__xludf.DUMMYFUNCTION("""COMPUTED_VALUE"""),"6/6")</f>
        <v>6/6</v>
      </c>
      <c r="P70" s="224">
        <f>IFERROR(__xludf.DUMMYFUNCTION("""COMPUTED_VALUE"""),2.7E7)</f>
        <v>27000000</v>
      </c>
      <c r="Q70" s="225" t="str">
        <f>IFERROR(__xludf.DUMMYFUNCTION("""COMPUTED_VALUE"""),"✅")</f>
        <v>✅</v>
      </c>
      <c r="R70" s="211" t="str">
        <f>IFERROR(__xludf.DUMMYFUNCTION("""COMPUTED_VALUE"""),"-")</f>
        <v>-</v>
      </c>
      <c r="S70" s="211"/>
      <c r="T70" s="211"/>
      <c r="U70" s="211"/>
    </row>
    <row r="71">
      <c r="A71" s="222" t="str">
        <f>IFERROR(__xludf.DUMMYFUNCTION("""COMPUTED_VALUE"""),"11240095")</f>
        <v>11240095</v>
      </c>
      <c r="B71" s="211" t="str">
        <f>IFERROR(__xludf.DUMMYFUNCTION("""COMPUTED_VALUE"""),"12 Nov 2024")</f>
        <v>12 Nov 2024</v>
      </c>
      <c r="C71" s="211" t="str">
        <f>IFERROR(__xludf.DUMMYFUNCTION("""COMPUTED_VALUE"""),"PT TERAPAN NILAIOSILASI INDONESIA (TENO)")</f>
        <v>PT TERAPAN NILAIOSILASI INDONESIA (TENO)</v>
      </c>
      <c r="D71" s="211" t="str">
        <f>IFERROR(__xludf.DUMMYFUNCTION("""COMPUTED_VALUE"""),"Oksigen 6m3")</f>
        <v>Oksigen 6m3</v>
      </c>
      <c r="E71" s="211" t="str">
        <f>IFERROR(__xludf.DUMMYFUNCTION("""COMPUTED_VALUE"""),"10")</f>
        <v>10</v>
      </c>
      <c r="F71" s="211" t="str">
        <f>IFERROR(__xludf.DUMMYFUNCTION("""COMPUTED_VALUE"""),"500000")</f>
        <v>500000</v>
      </c>
      <c r="G71" s="211"/>
      <c r="H71" s="211"/>
      <c r="I71" s="211">
        <f>IFERROR(__xludf.DUMMYFUNCTION("""COMPUTED_VALUE"""),500000.0)</f>
        <v>500000</v>
      </c>
      <c r="J71" s="211" t="str">
        <f>IFERROR(__xludf.DUMMYFUNCTION("""COMPUTED_VALUE"""),"Ya")</f>
        <v>Ya</v>
      </c>
      <c r="L71" s="223" t="str">
        <f>IFERROR(__xludf.DUMMYFUNCTION("""COMPUTED_VALUE"""),"Jan 2025")</f>
        <v>Jan 2025</v>
      </c>
      <c r="M71" s="211" t="str">
        <f>IFERROR(__xludf.DUMMYFUNCTION("""COMPUTED_VALUE"""),"PT Surya Langit Biru")</f>
        <v>PT Surya Langit Biru</v>
      </c>
      <c r="N71" s="211" t="str">
        <f>IFERROR(__xludf.DUMMYFUNCTION("""COMPUTED_VALUE"""),"0125711")</f>
        <v>0125711</v>
      </c>
      <c r="O71" s="211" t="str">
        <f>IFERROR(__xludf.DUMMYFUNCTION("""COMPUTED_VALUE"""),"0/1")</f>
        <v>0/1</v>
      </c>
      <c r="P71" s="224">
        <f>IFERROR(__xludf.DUMMYFUNCTION("""COMPUTED_VALUE"""),199800.0)</f>
        <v>199800</v>
      </c>
      <c r="Q71" s="225">
        <f>IFERROR(__xludf.DUMMYFUNCTION("""COMPUTED_VALUE"""),199800.0)</f>
        <v>199800</v>
      </c>
      <c r="R71" s="211" t="str">
        <f>IFERROR(__xludf.DUMMYFUNCTION("""COMPUTED_VALUE"""),"01250203")</f>
        <v>01250203</v>
      </c>
      <c r="S71" s="211"/>
      <c r="T71" s="211"/>
      <c r="U71" s="211"/>
    </row>
    <row r="72">
      <c r="A72" s="222" t="str">
        <f>IFERROR(__xludf.DUMMYFUNCTION("""COMPUTED_VALUE"""),"11240096")</f>
        <v>11240096</v>
      </c>
      <c r="B72" s="211" t="str">
        <f>IFERROR(__xludf.DUMMYFUNCTION("""COMPUTED_VALUE"""),"13 Nov 2024")</f>
        <v>13 Nov 2024</v>
      </c>
      <c r="C72" s="211" t="str">
        <f>IFERROR(__xludf.DUMMYFUNCTION("""COMPUTED_VALUE"""),"PT Beton Prima Indonesia")</f>
        <v>PT Beton Prima Indonesia</v>
      </c>
      <c r="D72" s="211" t="str">
        <f>IFERROR(__xludf.DUMMYFUNCTION("""COMPUTED_VALUE"""),"Acetyline")</f>
        <v>Acetyline</v>
      </c>
      <c r="E72" s="211" t="str">
        <f>IFERROR(__xludf.DUMMYFUNCTION("""COMPUTED_VALUE"""),"5")</f>
        <v>5</v>
      </c>
      <c r="F72" s="211" t="str">
        <f>IFERROR(__xludf.DUMMYFUNCTION("""COMPUTED_VALUE"""),"2000000")</f>
        <v>2000000</v>
      </c>
      <c r="G72" s="211"/>
      <c r="H72" s="211"/>
      <c r="I72" s="211">
        <f>IFERROR(__xludf.DUMMYFUNCTION("""COMPUTED_VALUE"""),2000000.0)</f>
        <v>2000000</v>
      </c>
      <c r="J72" s="211" t="str">
        <f>IFERROR(__xludf.DUMMYFUNCTION("""COMPUTED_VALUE"""),"Ya")</f>
        <v>Ya</v>
      </c>
      <c r="L72" s="223" t="str">
        <f>IFERROR(__xludf.DUMMYFUNCTION("""COMPUTED_VALUE"""),"Jan 2025")</f>
        <v>Jan 2025</v>
      </c>
      <c r="M72" s="211" t="str">
        <f>IFERROR(__xludf.DUMMYFUNCTION("""COMPUTED_VALUE"""),"CV Sido Mukti Karya")</f>
        <v>CV Sido Mukti Karya</v>
      </c>
      <c r="N72" s="211" t="str">
        <f>IFERROR(__xludf.DUMMYFUNCTION("""COMPUTED_VALUE"""),"0125720")</f>
        <v>0125720</v>
      </c>
      <c r="O72" s="211" t="str">
        <f>IFERROR(__xludf.DUMMYFUNCTION("""COMPUTED_VALUE"""),"1/1")</f>
        <v>1/1</v>
      </c>
      <c r="P72" s="224">
        <f>IFERROR(__xludf.DUMMYFUNCTION("""COMPUTED_VALUE"""),340000.0)</f>
        <v>340000</v>
      </c>
      <c r="Q72" s="225" t="str">
        <f>IFERROR(__xludf.DUMMYFUNCTION("""COMPUTED_VALUE"""),"✅")</f>
        <v>✅</v>
      </c>
      <c r="R72" s="211" t="str">
        <f>IFERROR(__xludf.DUMMYFUNCTION("""COMPUTED_VALUE"""),"-")</f>
        <v>-</v>
      </c>
      <c r="S72" s="211"/>
      <c r="T72" s="211"/>
      <c r="U72" s="211"/>
    </row>
    <row r="73">
      <c r="A73" s="222" t="str">
        <f>IFERROR(__xludf.DUMMYFUNCTION("""COMPUTED_VALUE"""),"11240097")</f>
        <v>11240097</v>
      </c>
      <c r="B73" s="211" t="str">
        <f>IFERROR(__xludf.DUMMYFUNCTION("""COMPUTED_VALUE"""),"14 Nov 2024")</f>
        <v>14 Nov 2024</v>
      </c>
      <c r="C73" s="211" t="str">
        <f>IFERROR(__xludf.DUMMYFUNCTION("""COMPUTED_VALUE"""),"Bpk. Sukirno (Bejo)")</f>
        <v>Bpk. Sukirno (Bejo)</v>
      </c>
      <c r="D73" s="211" t="str">
        <f>IFERROR(__xludf.DUMMYFUNCTION("""COMPUTED_VALUE"""),"Oksigen 6m3
LPG 50kg")</f>
        <v>Oksigen 6m3
LPG 50kg</v>
      </c>
      <c r="E73" s="211" t="str">
        <f>IFERROR(__xludf.DUMMYFUNCTION("""COMPUTED_VALUE"""),"30
1")</f>
        <v>30
1</v>
      </c>
      <c r="F73" s="211" t="str">
        <f>IFERROR(__xludf.DUMMYFUNCTION("""COMPUTED_VALUE"""),"1800000
0")</f>
        <v>1800000
0</v>
      </c>
      <c r="G73" s="211"/>
      <c r="H73" s="211"/>
      <c r="I73" s="211">
        <f>IFERROR(__xludf.DUMMYFUNCTION("""COMPUTED_VALUE"""),1800000.0)</f>
        <v>1800000</v>
      </c>
      <c r="J73" s="211" t="str">
        <f>IFERROR(__xludf.DUMMYFUNCTION("""COMPUTED_VALUE"""),"Ya")</f>
        <v>Ya</v>
      </c>
      <c r="L73" s="223" t="str">
        <f>IFERROR(__xludf.DUMMYFUNCTION("""COMPUTED_VALUE"""),"Jan 2025")</f>
        <v>Jan 2025</v>
      </c>
      <c r="M73" s="211" t="str">
        <f>IFERROR(__xludf.DUMMYFUNCTION("""COMPUTED_VALUE"""),"Bpk. Joko (Gresik)")</f>
        <v>Bpk. Joko (Gresik)</v>
      </c>
      <c r="N73" s="211" t="str">
        <f>IFERROR(__xludf.DUMMYFUNCTION("""COMPUTED_VALUE"""),"0125730")</f>
        <v>0125730</v>
      </c>
      <c r="O73" s="211" t="str">
        <f>IFERROR(__xludf.DUMMYFUNCTION("""COMPUTED_VALUE"""),"2/2")</f>
        <v>2/2</v>
      </c>
      <c r="P73" s="224">
        <f>IFERROR(__xludf.DUMMYFUNCTION("""COMPUTED_VALUE"""),1320000.0)</f>
        <v>1320000</v>
      </c>
      <c r="Q73" s="225" t="str">
        <f>IFERROR(__xludf.DUMMYFUNCTION("""COMPUTED_VALUE"""),"✅")</f>
        <v>✅</v>
      </c>
      <c r="R73" s="211" t="str">
        <f>IFERROR(__xludf.DUMMYFUNCTION("""COMPUTED_VALUE"""),"-")</f>
        <v>-</v>
      </c>
      <c r="S73" s="211"/>
      <c r="T73" s="211"/>
      <c r="U73" s="211"/>
    </row>
    <row r="74">
      <c r="A74" s="222" t="str">
        <f>IFERROR(__xludf.DUMMYFUNCTION("""COMPUTED_VALUE"""),"11240099")</f>
        <v>11240099</v>
      </c>
      <c r="B74" s="211" t="str">
        <f>IFERROR(__xludf.DUMMYFUNCTION("""COMPUTED_VALUE"""),"13 Nov 2024")</f>
        <v>13 Nov 2024</v>
      </c>
      <c r="C74" s="211" t="str">
        <f>IFERROR(__xludf.DUMMYFUNCTION("""COMPUTED_VALUE"""),"UD Sumber Berlian")</f>
        <v>UD Sumber Berlian</v>
      </c>
      <c r="D74" s="211" t="str">
        <f>IFERROR(__xludf.DUMMYFUNCTION("""COMPUTED_VALUE"""),"Oksigen 6m3")</f>
        <v>Oksigen 6m3</v>
      </c>
      <c r="E74" s="211" t="str">
        <f>IFERROR(__xludf.DUMMYFUNCTION("""COMPUTED_VALUE"""),"10")</f>
        <v>10</v>
      </c>
      <c r="F74" s="211" t="str">
        <f>IFERROR(__xludf.DUMMYFUNCTION("""COMPUTED_VALUE"""),"700000")</f>
        <v>700000</v>
      </c>
      <c r="G74" s="211"/>
      <c r="H74" s="211"/>
      <c r="I74" s="211">
        <f>IFERROR(__xludf.DUMMYFUNCTION("""COMPUTED_VALUE"""),700000.0)</f>
        <v>700000</v>
      </c>
      <c r="J74" s="211" t="str">
        <f>IFERROR(__xludf.DUMMYFUNCTION("""COMPUTED_VALUE"""),"Ya")</f>
        <v>Ya</v>
      </c>
      <c r="L74" s="223" t="str">
        <f>IFERROR(__xludf.DUMMYFUNCTION("""COMPUTED_VALUE"""),"Jan 2025")</f>
        <v>Jan 2025</v>
      </c>
      <c r="M74" s="211" t="str">
        <f>IFERROR(__xludf.DUMMYFUNCTION("""COMPUTED_VALUE"""),"PT Hua Zong Mesindo")</f>
        <v>PT Hua Zong Mesindo</v>
      </c>
      <c r="N74" s="211" t="str">
        <f>IFERROR(__xludf.DUMMYFUNCTION("""COMPUTED_VALUE"""),"0125740")</f>
        <v>0125740</v>
      </c>
      <c r="O74" s="211" t="str">
        <f>IFERROR(__xludf.DUMMYFUNCTION("""COMPUTED_VALUE"""),"1/1")</f>
        <v>1/1</v>
      </c>
      <c r="P74" s="224">
        <f>IFERROR(__xludf.DUMMYFUNCTION("""COMPUTED_VALUE"""),760000.0)</f>
        <v>760000</v>
      </c>
      <c r="Q74" s="225" t="str">
        <f>IFERROR(__xludf.DUMMYFUNCTION("""COMPUTED_VALUE"""),"✅")</f>
        <v>✅</v>
      </c>
      <c r="R74" s="211" t="str">
        <f>IFERROR(__xludf.DUMMYFUNCTION("""COMPUTED_VALUE"""),"-")</f>
        <v>-</v>
      </c>
      <c r="S74" s="211"/>
      <c r="T74" s="211"/>
      <c r="U74" s="211"/>
    </row>
    <row r="75">
      <c r="A75" s="222" t="str">
        <f>IFERROR(__xludf.DUMMYFUNCTION("""COMPUTED_VALUE"""),"11240100")</f>
        <v>11240100</v>
      </c>
      <c r="B75" s="211" t="str">
        <f>IFERROR(__xludf.DUMMYFUNCTION("""COMPUTED_VALUE"""),"13 Nov 2024")</f>
        <v>13 Nov 2024</v>
      </c>
      <c r="C75" s="211" t="str">
        <f>IFERROR(__xludf.DUMMYFUNCTION("""COMPUTED_VALUE"""),"UD Sumber Berlian")</f>
        <v>UD Sumber Berlian</v>
      </c>
      <c r="D75" s="211" t="str">
        <f>IFERROR(__xludf.DUMMYFUNCTION("""COMPUTED_VALUE"""),"Oksigen 6m3
LPG 12kg")</f>
        <v>Oksigen 6m3
LPG 12kg</v>
      </c>
      <c r="E75" s="211" t="str">
        <f>IFERROR(__xludf.DUMMYFUNCTION("""COMPUTED_VALUE"""),"15
2")</f>
        <v>15
2</v>
      </c>
      <c r="F75" s="211" t="str">
        <f>IFERROR(__xludf.DUMMYFUNCTION("""COMPUTED_VALUE"""),"1050000
430000")</f>
        <v>1050000
430000</v>
      </c>
      <c r="G75" s="211">
        <f>IFERROR(__xludf.DUMMYFUNCTION("""COMPUTED_VALUE"""),100000.0)</f>
        <v>100000</v>
      </c>
      <c r="H75" s="211"/>
      <c r="I75" s="211">
        <f>IFERROR(__xludf.DUMMYFUNCTION("""COMPUTED_VALUE"""),1580000.0)</f>
        <v>1580000</v>
      </c>
      <c r="J75" s="211" t="str">
        <f>IFERROR(__xludf.DUMMYFUNCTION("""COMPUTED_VALUE"""),"Ya")</f>
        <v>Ya</v>
      </c>
      <c r="L75" s="223" t="str">
        <f>IFERROR(__xludf.DUMMYFUNCTION("""COMPUTED_VALUE"""),"Jan 2025")</f>
        <v>Jan 2025</v>
      </c>
      <c r="M75" s="211" t="str">
        <f>IFERROR(__xludf.DUMMYFUNCTION("""COMPUTED_VALUE"""),"PT GEMILANG CIPTA WAWASAN")</f>
        <v>PT GEMILANG CIPTA WAWASAN</v>
      </c>
      <c r="N75" s="211" t="str">
        <f>IFERROR(__xludf.DUMMYFUNCTION("""COMPUTED_VALUE"""),"0125750")</f>
        <v>0125750</v>
      </c>
      <c r="O75" s="211" t="str">
        <f>IFERROR(__xludf.DUMMYFUNCTION("""COMPUTED_VALUE"""),"5/5")</f>
        <v>5/5</v>
      </c>
      <c r="P75" s="224">
        <f>IFERROR(__xludf.DUMMYFUNCTION("""COMPUTED_VALUE"""),6815400.0)</f>
        <v>6815400</v>
      </c>
      <c r="Q75" s="225" t="str">
        <f>IFERROR(__xludf.DUMMYFUNCTION("""COMPUTED_VALUE"""),"✅")</f>
        <v>✅</v>
      </c>
      <c r="R75" s="211" t="str">
        <f>IFERROR(__xludf.DUMMYFUNCTION("""COMPUTED_VALUE"""),"-")</f>
        <v>-</v>
      </c>
      <c r="S75" s="211"/>
      <c r="T75" s="211"/>
      <c r="U75" s="211"/>
    </row>
    <row r="76">
      <c r="A76" s="222" t="str">
        <f>IFERROR(__xludf.DUMMYFUNCTION("""COMPUTED_VALUE"""),"11240102")</f>
        <v>11240102</v>
      </c>
      <c r="B76" s="211" t="str">
        <f>IFERROR(__xludf.DUMMYFUNCTION("""COMPUTED_VALUE"""),"15 Nov 2024")</f>
        <v>15 Nov 2024</v>
      </c>
      <c r="C76" s="211" t="str">
        <f>IFERROR(__xludf.DUMMYFUNCTION("""COMPUTED_VALUE"""),"CV RAGAM JAYA ENGINEERING")</f>
        <v>CV RAGAM JAYA ENGINEERING</v>
      </c>
      <c r="D76" s="211" t="str">
        <f>IFERROR(__xludf.DUMMYFUNCTION("""COMPUTED_VALUE"""),"Oksigen 6m3
Karbondioksida")</f>
        <v>Oksigen 6m3
Karbondioksida</v>
      </c>
      <c r="E76" s="211" t="str">
        <f>IFERROR(__xludf.DUMMYFUNCTION("""COMPUTED_VALUE"""),"5
5")</f>
        <v>5
5</v>
      </c>
      <c r="F76" s="211" t="str">
        <f>IFERROR(__xludf.DUMMYFUNCTION("""COMPUTED_VALUE"""),"333000
888000")</f>
        <v>333000
888000</v>
      </c>
      <c r="G76" s="211"/>
      <c r="H76" s="211"/>
      <c r="I76" s="211">
        <f>IFERROR(__xludf.DUMMYFUNCTION("""COMPUTED_VALUE"""),1221000.0)</f>
        <v>1221000</v>
      </c>
      <c r="J76" s="211" t="str">
        <f>IFERROR(__xludf.DUMMYFUNCTION("""COMPUTED_VALUE"""),"Penagihan")</f>
        <v>Penagihan</v>
      </c>
      <c r="L76" s="223" t="str">
        <f>IFERROR(__xludf.DUMMYFUNCTION("""COMPUTED_VALUE"""),"Jan 2025")</f>
        <v>Jan 2025</v>
      </c>
      <c r="M76" s="211" t="str">
        <f>IFERROR(__xludf.DUMMYFUNCTION("""COMPUTED_VALUE"""),"Ibu Yanti")</f>
        <v>Ibu Yanti</v>
      </c>
      <c r="N76" s="211" t="str">
        <f>IFERROR(__xludf.DUMMYFUNCTION("""COMPUTED_VALUE"""),"0125760")</f>
        <v>0125760</v>
      </c>
      <c r="O76" s="211" t="str">
        <f>IFERROR(__xludf.DUMMYFUNCTION("""COMPUTED_VALUE"""),"1/1")</f>
        <v>1/1</v>
      </c>
      <c r="P76" s="224">
        <f>IFERROR(__xludf.DUMMYFUNCTION("""COMPUTED_VALUE"""),120000.0)</f>
        <v>120000</v>
      </c>
      <c r="Q76" s="225" t="str">
        <f>IFERROR(__xludf.DUMMYFUNCTION("""COMPUTED_VALUE"""),"✅")</f>
        <v>✅</v>
      </c>
      <c r="R76" s="211" t="str">
        <f>IFERROR(__xludf.DUMMYFUNCTION("""COMPUTED_VALUE"""),"-")</f>
        <v>-</v>
      </c>
      <c r="S76" s="211"/>
      <c r="T76" s="211"/>
      <c r="U76" s="211"/>
    </row>
    <row r="77">
      <c r="A77" s="222" t="str">
        <f>IFERROR(__xludf.DUMMYFUNCTION("""COMPUTED_VALUE"""),"11240104")</f>
        <v>11240104</v>
      </c>
      <c r="B77" s="211" t="str">
        <f>IFERROR(__xludf.DUMMYFUNCTION("""COMPUTED_VALUE"""),"15 Nov 2024")</f>
        <v>15 Nov 2024</v>
      </c>
      <c r="C77" s="211" t="str">
        <f>IFERROR(__xludf.DUMMYFUNCTION("""COMPUTED_VALUE"""),"UD Sumber Berlian")</f>
        <v>UD Sumber Berlian</v>
      </c>
      <c r="D77" s="211" t="str">
        <f>IFERROR(__xludf.DUMMYFUNCTION("""COMPUTED_VALUE"""),"Oksigen 6m3")</f>
        <v>Oksigen 6m3</v>
      </c>
      <c r="E77" s="211" t="str">
        <f>IFERROR(__xludf.DUMMYFUNCTION("""COMPUTED_VALUE"""),"10")</f>
        <v>10</v>
      </c>
      <c r="F77" s="211" t="str">
        <f>IFERROR(__xludf.DUMMYFUNCTION("""COMPUTED_VALUE"""),"700000")</f>
        <v>700000</v>
      </c>
      <c r="G77" s="211"/>
      <c r="H77" s="211"/>
      <c r="I77" s="211">
        <f>IFERROR(__xludf.DUMMYFUNCTION("""COMPUTED_VALUE"""),700000.0)</f>
        <v>700000</v>
      </c>
      <c r="J77" s="211" t="str">
        <f>IFERROR(__xludf.DUMMYFUNCTION("""COMPUTED_VALUE"""),"Ya")</f>
        <v>Ya</v>
      </c>
      <c r="L77" s="223" t="str">
        <f>IFERROR(__xludf.DUMMYFUNCTION("""COMPUTED_VALUE"""),"Jan 2025")</f>
        <v>Jan 2025</v>
      </c>
      <c r="M77" s="211" t="str">
        <f>IFERROR(__xludf.DUMMYFUNCTION("""COMPUTED_VALUE"""),"Saiful Fuad")</f>
        <v>Saiful Fuad</v>
      </c>
      <c r="N77" s="211" t="str">
        <f>IFERROR(__xludf.DUMMYFUNCTION("""COMPUTED_VALUE"""),"0125770")</f>
        <v>0125770</v>
      </c>
      <c r="O77" s="211" t="str">
        <f>IFERROR(__xludf.DUMMYFUNCTION("""COMPUTED_VALUE"""),"1/1")</f>
        <v>1/1</v>
      </c>
      <c r="P77" s="224">
        <f>IFERROR(__xludf.DUMMYFUNCTION("""COMPUTED_VALUE"""),220000.0)</f>
        <v>220000</v>
      </c>
      <c r="Q77" s="225" t="str">
        <f>IFERROR(__xludf.DUMMYFUNCTION("""COMPUTED_VALUE"""),"✅")</f>
        <v>✅</v>
      </c>
      <c r="R77" s="211" t="str">
        <f>IFERROR(__xludf.DUMMYFUNCTION("""COMPUTED_VALUE"""),"-")</f>
        <v>-</v>
      </c>
      <c r="S77" s="211"/>
      <c r="T77" s="211"/>
      <c r="U77" s="211"/>
    </row>
    <row r="78">
      <c r="A78" s="222" t="str">
        <f>IFERROR(__xludf.DUMMYFUNCTION("""COMPUTED_VALUE"""),"11240105")</f>
        <v>11240105</v>
      </c>
      <c r="B78" s="211" t="str">
        <f>IFERROR(__xludf.DUMMYFUNCTION("""COMPUTED_VALUE"""),"16 Nov 2024")</f>
        <v>16 Nov 2024</v>
      </c>
      <c r="C78" s="211" t="str">
        <f>IFERROR(__xludf.DUMMYFUNCTION("""COMPUTED_VALUE"""),"UD Sumber Berlian")</f>
        <v>UD Sumber Berlian</v>
      </c>
      <c r="D78" s="211" t="str">
        <f>IFERROR(__xludf.DUMMYFUNCTION("""COMPUTED_VALUE"""),"Oksigen 6m3
LPG 12kg")</f>
        <v>Oksigen 6m3
LPG 12kg</v>
      </c>
      <c r="E78" s="211" t="str">
        <f>IFERROR(__xludf.DUMMYFUNCTION("""COMPUTED_VALUE"""),"15
2")</f>
        <v>15
2</v>
      </c>
      <c r="F78" s="211" t="str">
        <f>IFERROR(__xludf.DUMMYFUNCTION("""COMPUTED_VALUE"""),"1050000
430000")</f>
        <v>1050000
430000</v>
      </c>
      <c r="G78" s="211">
        <f>IFERROR(__xludf.DUMMYFUNCTION("""COMPUTED_VALUE"""),100000.0)</f>
        <v>100000</v>
      </c>
      <c r="H78" s="211"/>
      <c r="I78" s="211">
        <f>IFERROR(__xludf.DUMMYFUNCTION("""COMPUTED_VALUE"""),1580000.0)</f>
        <v>1580000</v>
      </c>
      <c r="J78" s="211" t="str">
        <f>IFERROR(__xludf.DUMMYFUNCTION("""COMPUTED_VALUE"""),"Ya")</f>
        <v>Ya</v>
      </c>
      <c r="L78" s="223" t="str">
        <f>IFERROR(__xludf.DUMMYFUNCTION("""COMPUTED_VALUE"""),"Jan 2025")</f>
        <v>Jan 2025</v>
      </c>
      <c r="M78" s="211" t="str">
        <f>IFERROR(__xludf.DUMMYFUNCTION("""COMPUTED_VALUE"""),"Bpk. Sulaiman")</f>
        <v>Bpk. Sulaiman</v>
      </c>
      <c r="N78" s="211" t="str">
        <f>IFERROR(__xludf.DUMMYFUNCTION("""COMPUTED_VALUE"""),"0125780")</f>
        <v>0125780</v>
      </c>
      <c r="O78" s="211" t="str">
        <f>IFERROR(__xludf.DUMMYFUNCTION("""COMPUTED_VALUE"""),"3/3")</f>
        <v>3/3</v>
      </c>
      <c r="P78" s="224">
        <f>IFERROR(__xludf.DUMMYFUNCTION("""COMPUTED_VALUE"""),825000.0)</f>
        <v>825000</v>
      </c>
      <c r="Q78" s="225" t="str">
        <f>IFERROR(__xludf.DUMMYFUNCTION("""COMPUTED_VALUE"""),"✅")</f>
        <v>✅</v>
      </c>
      <c r="R78" s="211" t="str">
        <f>IFERROR(__xludf.DUMMYFUNCTION("""COMPUTED_VALUE"""),"-")</f>
        <v>-</v>
      </c>
      <c r="S78" s="211"/>
      <c r="T78" s="211"/>
      <c r="U78" s="211"/>
    </row>
    <row r="79">
      <c r="A79" s="222" t="str">
        <f>IFERROR(__xludf.DUMMYFUNCTION("""COMPUTED_VALUE"""),"11240107")</f>
        <v>11240107</v>
      </c>
      <c r="B79" s="211" t="str">
        <f>IFERROR(__xludf.DUMMYFUNCTION("""COMPUTED_VALUE"""),"16 Nov 2024")</f>
        <v>16 Nov 2024</v>
      </c>
      <c r="C79" s="211" t="str">
        <f>IFERROR(__xludf.DUMMYFUNCTION("""COMPUTED_VALUE"""),"UD Sumber Berlian")</f>
        <v>UD Sumber Berlian</v>
      </c>
      <c r="D79" s="211" t="str">
        <f>IFERROR(__xludf.DUMMYFUNCTION("""COMPUTED_VALUE"""),"Oksigen 6m3
LPG 12kg")</f>
        <v>Oksigen 6m3
LPG 12kg</v>
      </c>
      <c r="E79" s="211" t="str">
        <f>IFERROR(__xludf.DUMMYFUNCTION("""COMPUTED_VALUE"""),"5
2")</f>
        <v>5
2</v>
      </c>
      <c r="F79" s="211" t="str">
        <f>IFERROR(__xludf.DUMMYFUNCTION("""COMPUTED_VALUE"""),"350000
430000")</f>
        <v>350000
430000</v>
      </c>
      <c r="G79" s="211"/>
      <c r="H79" s="211"/>
      <c r="I79" s="211">
        <f>IFERROR(__xludf.DUMMYFUNCTION("""COMPUTED_VALUE"""),780000.0)</f>
        <v>780000</v>
      </c>
      <c r="J79" s="211" t="str">
        <f>IFERROR(__xludf.DUMMYFUNCTION("""COMPUTED_VALUE"""),"Ya")</f>
        <v>Ya</v>
      </c>
      <c r="L79" s="223" t="str">
        <f>IFERROR(__xludf.DUMMYFUNCTION("""COMPUTED_VALUE"""),"Jan 2025")</f>
        <v>Jan 2025</v>
      </c>
      <c r="M79" s="211" t="str">
        <f>IFERROR(__xludf.DUMMYFUNCTION("""COMPUTED_VALUE"""),"Bpk. Supar")</f>
        <v>Bpk. Supar</v>
      </c>
      <c r="N79" s="211" t="str">
        <f>IFERROR(__xludf.DUMMYFUNCTION("""COMPUTED_VALUE"""),"0125790")</f>
        <v>0125790</v>
      </c>
      <c r="O79" s="211" t="str">
        <f>IFERROR(__xludf.DUMMYFUNCTION("""COMPUTED_VALUE"""),"1/1")</f>
        <v>1/1</v>
      </c>
      <c r="P79" s="224">
        <f>IFERROR(__xludf.DUMMYFUNCTION("""COMPUTED_VALUE"""),70000.0)</f>
        <v>70000</v>
      </c>
      <c r="Q79" s="225" t="str">
        <f>IFERROR(__xludf.DUMMYFUNCTION("""COMPUTED_VALUE"""),"✅")</f>
        <v>✅</v>
      </c>
      <c r="R79" s="211" t="str">
        <f>IFERROR(__xludf.DUMMYFUNCTION("""COMPUTED_VALUE"""),"-")</f>
        <v>-</v>
      </c>
      <c r="S79" s="211"/>
      <c r="T79" s="211"/>
      <c r="U79" s="211"/>
    </row>
    <row r="80">
      <c r="A80" s="222" t="str">
        <f>IFERROR(__xludf.DUMMYFUNCTION("""COMPUTED_VALUE"""),"11240109")</f>
        <v>11240109</v>
      </c>
      <c r="B80" s="211" t="str">
        <f>IFERROR(__xludf.DUMMYFUNCTION("""COMPUTED_VALUE"""),"18 Nov 2024")</f>
        <v>18 Nov 2024</v>
      </c>
      <c r="C80" s="211" t="str">
        <f>IFERROR(__xludf.DUMMYFUNCTION("""COMPUTED_VALUE"""),"PT Beton Prima Indonesia")</f>
        <v>PT Beton Prima Indonesia</v>
      </c>
      <c r="D80" s="211" t="str">
        <f>IFERROR(__xludf.DUMMYFUNCTION("""COMPUTED_VALUE"""),"Oksigen 6m3")</f>
        <v>Oksigen 6m3</v>
      </c>
      <c r="E80" s="211" t="str">
        <f>IFERROR(__xludf.DUMMYFUNCTION("""COMPUTED_VALUE"""),"10")</f>
        <v>10</v>
      </c>
      <c r="F80" s="211" t="str">
        <f>IFERROR(__xludf.DUMMYFUNCTION("""COMPUTED_VALUE"""),"500000")</f>
        <v>500000</v>
      </c>
      <c r="G80" s="211"/>
      <c r="H80" s="211"/>
      <c r="I80" s="211">
        <f>IFERROR(__xludf.DUMMYFUNCTION("""COMPUTED_VALUE"""),500000.0)</f>
        <v>500000</v>
      </c>
      <c r="J80" s="211" t="str">
        <f>IFERROR(__xludf.DUMMYFUNCTION("""COMPUTED_VALUE"""),"Ya")</f>
        <v>Ya</v>
      </c>
      <c r="L80" s="223" t="str">
        <f>IFERROR(__xludf.DUMMYFUNCTION("""COMPUTED_VALUE"""),"Jan 2025")</f>
        <v>Jan 2025</v>
      </c>
      <c r="M80" s="211" t="str">
        <f>IFERROR(__xludf.DUMMYFUNCTION("""COMPUTED_VALUE"""),"Bengkel Dian Jaya")</f>
        <v>Bengkel Dian Jaya</v>
      </c>
      <c r="N80" s="211" t="str">
        <f>IFERROR(__xludf.DUMMYFUNCTION("""COMPUTED_VALUE"""),"0125800")</f>
        <v>0125800</v>
      </c>
      <c r="O80" s="211" t="str">
        <f>IFERROR(__xludf.DUMMYFUNCTION("""COMPUTED_VALUE"""),"2/2")</f>
        <v>2/2</v>
      </c>
      <c r="P80" s="224">
        <f>IFERROR(__xludf.DUMMYFUNCTION("""COMPUTED_VALUE"""),930000.0)</f>
        <v>930000</v>
      </c>
      <c r="Q80" s="225" t="str">
        <f>IFERROR(__xludf.DUMMYFUNCTION("""COMPUTED_VALUE"""),"✅")</f>
        <v>✅</v>
      </c>
      <c r="R80" s="211" t="str">
        <f>IFERROR(__xludf.DUMMYFUNCTION("""COMPUTED_VALUE"""),"-")</f>
        <v>-</v>
      </c>
      <c r="S80" s="211"/>
      <c r="T80" s="211"/>
      <c r="U80" s="211"/>
    </row>
    <row r="81">
      <c r="A81" s="222" t="str">
        <f>IFERROR(__xludf.DUMMYFUNCTION("""COMPUTED_VALUE"""),"11240110")</f>
        <v>11240110</v>
      </c>
      <c r="B81" s="211" t="str">
        <f>IFERROR(__xludf.DUMMYFUNCTION("""COMPUTED_VALUE"""),"19 Nov 2024")</f>
        <v>19 Nov 2024</v>
      </c>
      <c r="C81" s="211" t="str">
        <f>IFERROR(__xludf.DUMMYFUNCTION("""COMPUTED_VALUE"""),"UD Sumber Berlian")</f>
        <v>UD Sumber Berlian</v>
      </c>
      <c r="D81" s="211" t="str">
        <f>IFERROR(__xludf.DUMMYFUNCTION("""COMPUTED_VALUE"""),"Oksigen 6m3")</f>
        <v>Oksigen 6m3</v>
      </c>
      <c r="E81" s="211" t="str">
        <f>IFERROR(__xludf.DUMMYFUNCTION("""COMPUTED_VALUE"""),"10")</f>
        <v>10</v>
      </c>
      <c r="F81" s="211" t="str">
        <f>IFERROR(__xludf.DUMMYFUNCTION("""COMPUTED_VALUE"""),"700000")</f>
        <v>700000</v>
      </c>
      <c r="G81" s="211"/>
      <c r="H81" s="211"/>
      <c r="I81" s="211">
        <f>IFERROR(__xludf.DUMMYFUNCTION("""COMPUTED_VALUE"""),700000.0)</f>
        <v>700000</v>
      </c>
      <c r="J81" s="211" t="str">
        <f>IFERROR(__xludf.DUMMYFUNCTION("""COMPUTED_VALUE"""),"Ya")</f>
        <v>Ya</v>
      </c>
      <c r="L81" s="223" t="str">
        <f>IFERROR(__xludf.DUMMYFUNCTION("""COMPUTED_VALUE"""),"Jan 2025")</f>
        <v>Jan 2025</v>
      </c>
      <c r="M81" s="211" t="str">
        <f>IFERROR(__xludf.DUMMYFUNCTION("""COMPUTED_VALUE"""),"Abah Mad")</f>
        <v>Abah Mad</v>
      </c>
      <c r="N81" s="211" t="str">
        <f>IFERROR(__xludf.DUMMYFUNCTION("""COMPUTED_VALUE"""),"0125810")</f>
        <v>0125810</v>
      </c>
      <c r="O81" s="211" t="str">
        <f>IFERROR(__xludf.DUMMYFUNCTION("""COMPUTED_VALUE"""),"1/1")</f>
        <v>1/1</v>
      </c>
      <c r="P81" s="224">
        <f>IFERROR(__xludf.DUMMYFUNCTION("""COMPUTED_VALUE"""),500000.0)</f>
        <v>500000</v>
      </c>
      <c r="Q81" s="225" t="str">
        <f>IFERROR(__xludf.DUMMYFUNCTION("""COMPUTED_VALUE"""),"✅")</f>
        <v>✅</v>
      </c>
      <c r="R81" s="211" t="str">
        <f>IFERROR(__xludf.DUMMYFUNCTION("""COMPUTED_VALUE"""),"-")</f>
        <v>-</v>
      </c>
      <c r="S81" s="211"/>
      <c r="T81" s="211"/>
      <c r="U81" s="211"/>
    </row>
    <row r="82">
      <c r="A82" s="222" t="str">
        <f>IFERROR(__xludf.DUMMYFUNCTION("""COMPUTED_VALUE"""),"11240111")</f>
        <v>11240111</v>
      </c>
      <c r="B82" s="211" t="str">
        <f>IFERROR(__xludf.DUMMYFUNCTION("""COMPUTED_VALUE"""),"19 Nov 2024")</f>
        <v>19 Nov 2024</v>
      </c>
      <c r="C82" s="211" t="str">
        <f>IFERROR(__xludf.DUMMYFUNCTION("""COMPUTED_VALUE"""),"CV ANUGERAH PERSADA TEKNIK")</f>
        <v>CV ANUGERAH PERSADA TEKNIK</v>
      </c>
      <c r="D82" s="211" t="str">
        <f>IFERROR(__xludf.DUMMYFUNCTION("""COMPUTED_VALUE"""),"Argon 6m3
Karbondioksida")</f>
        <v>Argon 6m3
Karbondioksida</v>
      </c>
      <c r="E82" s="211" t="str">
        <f>IFERROR(__xludf.DUMMYFUNCTION("""COMPUTED_VALUE"""),"4
5")</f>
        <v>4
5</v>
      </c>
      <c r="F82" s="211" t="str">
        <f>IFERROR(__xludf.DUMMYFUNCTION("""COMPUTED_VALUE"""),"843600
926850")</f>
        <v>843600
926850</v>
      </c>
      <c r="G82" s="211"/>
      <c r="H82" s="211"/>
      <c r="I82" s="211">
        <f>IFERROR(__xludf.DUMMYFUNCTION("""COMPUTED_VALUE"""),1770450.0)</f>
        <v>1770450</v>
      </c>
      <c r="J82" s="211" t="str">
        <f>IFERROR(__xludf.DUMMYFUNCTION("""COMPUTED_VALUE"""),"Tidak")</f>
        <v>Tidak</v>
      </c>
      <c r="L82" s="223" t="str">
        <f>IFERROR(__xludf.DUMMYFUNCTION("""COMPUTED_VALUE"""),"Feb 2025")</f>
        <v>Feb 2025</v>
      </c>
      <c r="M82" s="211" t="str">
        <f>IFERROR(__xludf.DUMMYFUNCTION("""COMPUTED_VALUE"""),"Bpk. Sukirno (Bejo)")</f>
        <v>Bpk. Sukirno (Bejo)</v>
      </c>
      <c r="N82" s="211" t="str">
        <f>IFERROR(__xludf.DUMMYFUNCTION("""COMPUTED_VALUE"""),"0225820")</f>
        <v>0225820</v>
      </c>
      <c r="O82" s="211" t="str">
        <f>IFERROR(__xludf.DUMMYFUNCTION("""COMPUTED_VALUE"""),"9/9")</f>
        <v>9/9</v>
      </c>
      <c r="P82" s="224">
        <f>IFERROR(__xludf.DUMMYFUNCTION("""COMPUTED_VALUE"""),8160000.0)</f>
        <v>8160000</v>
      </c>
      <c r="Q82" s="225" t="str">
        <f>IFERROR(__xludf.DUMMYFUNCTION("""COMPUTED_VALUE"""),"✅")</f>
        <v>✅</v>
      </c>
      <c r="R82" s="211" t="str">
        <f>IFERROR(__xludf.DUMMYFUNCTION("""COMPUTED_VALUE"""),"-")</f>
        <v>-</v>
      </c>
      <c r="S82" s="211"/>
      <c r="T82" s="211"/>
      <c r="U82" s="211"/>
    </row>
    <row r="83">
      <c r="A83" s="222" t="str">
        <f>IFERROR(__xludf.DUMMYFUNCTION("""COMPUTED_VALUE"""),"11240113")</f>
        <v>11240113</v>
      </c>
      <c r="B83" s="211" t="str">
        <f>IFERROR(__xludf.DUMMYFUNCTION("""COMPUTED_VALUE"""),"19 Nov 2024")</f>
        <v>19 Nov 2024</v>
      </c>
      <c r="C83" s="211" t="str">
        <f>IFERROR(__xludf.DUMMYFUNCTION("""COMPUTED_VALUE"""),"PT Beton Prima Indonesia")</f>
        <v>PT Beton Prima Indonesia</v>
      </c>
      <c r="D83" s="211" t="str">
        <f>IFERROR(__xludf.DUMMYFUNCTION("""COMPUTED_VALUE"""),"Oksigen 6m3")</f>
        <v>Oksigen 6m3</v>
      </c>
      <c r="E83" s="211" t="str">
        <f>IFERROR(__xludf.DUMMYFUNCTION("""COMPUTED_VALUE"""),"10")</f>
        <v>10</v>
      </c>
      <c r="F83" s="211" t="str">
        <f>IFERROR(__xludf.DUMMYFUNCTION("""COMPUTED_VALUE"""),"500000")</f>
        <v>500000</v>
      </c>
      <c r="G83" s="211"/>
      <c r="H83" s="211"/>
      <c r="I83" s="211">
        <f>IFERROR(__xludf.DUMMYFUNCTION("""COMPUTED_VALUE"""),500000.0)</f>
        <v>500000</v>
      </c>
      <c r="J83" s="211" t="str">
        <f>IFERROR(__xludf.DUMMYFUNCTION("""COMPUTED_VALUE"""),"Ya")</f>
        <v>Ya</v>
      </c>
      <c r="L83" s="223" t="str">
        <f>IFERROR(__xludf.DUMMYFUNCTION("""COMPUTED_VALUE"""),"Feb 2025")</f>
        <v>Feb 2025</v>
      </c>
      <c r="M83" s="211" t="str">
        <f>IFERROR(__xludf.DUMMYFUNCTION("""COMPUTED_VALUE"""),"Bpk. Joko (Gresik)")</f>
        <v>Bpk. Joko (Gresik)</v>
      </c>
      <c r="N83" s="211" t="str">
        <f>IFERROR(__xludf.DUMMYFUNCTION("""COMPUTED_VALUE"""),"0225830")</f>
        <v>0225830</v>
      </c>
      <c r="O83" s="211" t="str">
        <f>IFERROR(__xludf.DUMMYFUNCTION("""COMPUTED_VALUE"""),"3/3")</f>
        <v>3/3</v>
      </c>
      <c r="P83" s="224">
        <f>IFERROR(__xludf.DUMMYFUNCTION("""COMPUTED_VALUE"""),1590000.0)</f>
        <v>1590000</v>
      </c>
      <c r="Q83" s="225" t="str">
        <f>IFERROR(__xludf.DUMMYFUNCTION("""COMPUTED_VALUE"""),"✅")</f>
        <v>✅</v>
      </c>
      <c r="R83" s="211" t="str">
        <f>IFERROR(__xludf.DUMMYFUNCTION("""COMPUTED_VALUE"""),"-")</f>
        <v>-</v>
      </c>
      <c r="S83" s="211"/>
      <c r="T83" s="211"/>
      <c r="U83" s="211"/>
    </row>
    <row r="84">
      <c r="A84" s="222" t="str">
        <f>IFERROR(__xludf.DUMMYFUNCTION("""COMPUTED_VALUE"""),"11240114")</f>
        <v>11240114</v>
      </c>
      <c r="B84" s="211" t="str">
        <f>IFERROR(__xludf.DUMMYFUNCTION("""COMPUTED_VALUE"""),"20 Nov 2024")</f>
        <v>20 Nov 2024</v>
      </c>
      <c r="C84" s="211" t="str">
        <f>IFERROR(__xludf.DUMMYFUNCTION("""COMPUTED_VALUE"""),"UD Sumber Berlian")</f>
        <v>UD Sumber Berlian</v>
      </c>
      <c r="D84" s="211" t="str">
        <f>IFERROR(__xludf.DUMMYFUNCTION("""COMPUTED_VALUE"""),"Oksigen 6m3")</f>
        <v>Oksigen 6m3</v>
      </c>
      <c r="E84" s="211" t="str">
        <f>IFERROR(__xludf.DUMMYFUNCTION("""COMPUTED_VALUE"""),"10")</f>
        <v>10</v>
      </c>
      <c r="F84" s="211" t="str">
        <f>IFERROR(__xludf.DUMMYFUNCTION("""COMPUTED_VALUE"""),"700000")</f>
        <v>700000</v>
      </c>
      <c r="G84" s="211"/>
      <c r="H84" s="211"/>
      <c r="I84" s="211">
        <f>IFERROR(__xludf.DUMMYFUNCTION("""COMPUTED_VALUE"""),700000.0)</f>
        <v>700000</v>
      </c>
      <c r="J84" s="211" t="str">
        <f>IFERROR(__xludf.DUMMYFUNCTION("""COMPUTED_VALUE"""),"Ya")</f>
        <v>Ya</v>
      </c>
      <c r="L84" s="223" t="str">
        <f>IFERROR(__xludf.DUMMYFUNCTION("""COMPUTED_VALUE"""),"Feb 2025")</f>
        <v>Feb 2025</v>
      </c>
      <c r="M84" s="211" t="str">
        <f>IFERROR(__xludf.DUMMYFUNCTION("""COMPUTED_VALUE"""),"PT Jatim Abadi Perkasa Steel")</f>
        <v>PT Jatim Abadi Perkasa Steel</v>
      </c>
      <c r="N84" s="211" t="str">
        <f>IFERROR(__xludf.DUMMYFUNCTION("""COMPUTED_VALUE"""),"0225840")</f>
        <v>0225840</v>
      </c>
      <c r="O84" s="211" t="str">
        <f>IFERROR(__xludf.DUMMYFUNCTION("""COMPUTED_VALUE"""),"1/1")</f>
        <v>1/1</v>
      </c>
      <c r="P84" s="224">
        <f>IFERROR(__xludf.DUMMYFUNCTION("""COMPUTED_VALUE"""),4000000.0)</f>
        <v>4000000</v>
      </c>
      <c r="Q84" s="225" t="str">
        <f>IFERROR(__xludf.DUMMYFUNCTION("""COMPUTED_VALUE"""),"✅")</f>
        <v>✅</v>
      </c>
      <c r="R84" s="211" t="str">
        <f>IFERROR(__xludf.DUMMYFUNCTION("""COMPUTED_VALUE"""),"-")</f>
        <v>-</v>
      </c>
      <c r="S84" s="211"/>
      <c r="T84" s="211"/>
      <c r="U84" s="211"/>
    </row>
    <row r="85">
      <c r="A85" s="222" t="str">
        <f>IFERROR(__xludf.DUMMYFUNCTION("""COMPUTED_VALUE"""),"11240115")</f>
        <v>11240115</v>
      </c>
      <c r="B85" s="211" t="str">
        <f>IFERROR(__xludf.DUMMYFUNCTION("""COMPUTED_VALUE"""),"20 Nov 2024")</f>
        <v>20 Nov 2024</v>
      </c>
      <c r="C85" s="211" t="str">
        <f>IFERROR(__xludf.DUMMYFUNCTION("""COMPUTED_VALUE"""),"PT TERAPAN NILAIOSILASI INDONESIA (TENO)")</f>
        <v>PT TERAPAN NILAIOSILASI INDONESIA (TENO)</v>
      </c>
      <c r="D85" s="211" t="str">
        <f>IFERROR(__xludf.DUMMYFUNCTION("""COMPUTED_VALUE"""),"Oksigen 6m3")</f>
        <v>Oksigen 6m3</v>
      </c>
      <c r="E85" s="211" t="str">
        <f>IFERROR(__xludf.DUMMYFUNCTION("""COMPUTED_VALUE"""),"15")</f>
        <v>15</v>
      </c>
      <c r="F85" s="211" t="str">
        <f>IFERROR(__xludf.DUMMYFUNCTION("""COMPUTED_VALUE"""),"750000")</f>
        <v>750000</v>
      </c>
      <c r="G85" s="211"/>
      <c r="H85" s="211"/>
      <c r="I85" s="211">
        <f>IFERROR(__xludf.DUMMYFUNCTION("""COMPUTED_VALUE"""),750000.0)</f>
        <v>750000</v>
      </c>
      <c r="J85" s="211" t="str">
        <f>IFERROR(__xludf.DUMMYFUNCTION("""COMPUTED_VALUE"""),"Ya")</f>
        <v>Ya</v>
      </c>
      <c r="L85" s="223" t="str">
        <f>IFERROR(__xludf.DUMMYFUNCTION("""COMPUTED_VALUE"""),"Feb 2025")</f>
        <v>Feb 2025</v>
      </c>
      <c r="M85" s="211" t="str">
        <f>IFERROR(__xludf.DUMMYFUNCTION("""COMPUTED_VALUE"""),"PT ARYANA CAKASANA")</f>
        <v>PT ARYANA CAKASANA</v>
      </c>
      <c r="N85" s="211" t="str">
        <f>IFERROR(__xludf.DUMMYFUNCTION("""COMPUTED_VALUE"""),"0225852")</f>
        <v>0225852</v>
      </c>
      <c r="O85" s="211" t="str">
        <f>IFERROR(__xludf.DUMMYFUNCTION("""COMPUTED_VALUE"""),"0/2")</f>
        <v>0/2</v>
      </c>
      <c r="P85" s="224">
        <f>IFERROR(__xludf.DUMMYFUNCTION("""COMPUTED_VALUE"""),787500.0)</f>
        <v>787500</v>
      </c>
      <c r="Q85" s="225">
        <f>IFERROR(__xludf.DUMMYFUNCTION("""COMPUTED_VALUE"""),787500.0)</f>
        <v>787500</v>
      </c>
      <c r="R85" s="211" t="str">
        <f>IFERROR(__xludf.DUMMYFUNCTION("""COMPUTED_VALUE"""),"02250241 02250270")</f>
        <v>02250241 02250270</v>
      </c>
      <c r="S85" s="211"/>
      <c r="T85" s="211"/>
      <c r="U85" s="211"/>
    </row>
    <row r="86">
      <c r="A86" s="222" t="str">
        <f>IFERROR(__xludf.DUMMYFUNCTION("""COMPUTED_VALUE"""),"11240116")</f>
        <v>11240116</v>
      </c>
      <c r="B86" s="211" t="str">
        <f>IFERROR(__xludf.DUMMYFUNCTION("""COMPUTED_VALUE"""),"21 Nov 2024")</f>
        <v>21 Nov 2024</v>
      </c>
      <c r="C86" s="211" t="str">
        <f>IFERROR(__xludf.DUMMYFUNCTION("""COMPUTED_VALUE"""),"PT Beton Prima Indonesia")</f>
        <v>PT Beton Prima Indonesia</v>
      </c>
      <c r="D86" s="211" t="str">
        <f>IFERROR(__xludf.DUMMYFUNCTION("""COMPUTED_VALUE"""),"Oksigen 6m3")</f>
        <v>Oksigen 6m3</v>
      </c>
      <c r="E86" s="211" t="str">
        <f>IFERROR(__xludf.DUMMYFUNCTION("""COMPUTED_VALUE"""),"15")</f>
        <v>15</v>
      </c>
      <c r="F86" s="211" t="str">
        <f>IFERROR(__xludf.DUMMYFUNCTION("""COMPUTED_VALUE"""),"750000")</f>
        <v>750000</v>
      </c>
      <c r="G86" s="211"/>
      <c r="H86" s="211"/>
      <c r="I86" s="211">
        <f>IFERROR(__xludf.DUMMYFUNCTION("""COMPUTED_VALUE"""),750000.0)</f>
        <v>750000</v>
      </c>
      <c r="J86" s="211" t="str">
        <f>IFERROR(__xludf.DUMMYFUNCTION("""COMPUTED_VALUE"""),"Ya")</f>
        <v>Ya</v>
      </c>
      <c r="L86" s="223" t="str">
        <f>IFERROR(__xludf.DUMMYFUNCTION("""COMPUTED_VALUE"""),"Feb 2025")</f>
        <v>Feb 2025</v>
      </c>
      <c r="M86" s="211" t="str">
        <f>IFERROR(__xludf.DUMMYFUNCTION("""COMPUTED_VALUE"""),"CV Sido Mukti Karya")</f>
        <v>CV Sido Mukti Karya</v>
      </c>
      <c r="N86" s="211" t="str">
        <f>IFERROR(__xludf.DUMMYFUNCTION("""COMPUTED_VALUE"""),"0225860")</f>
        <v>0225860</v>
      </c>
      <c r="O86" s="211" t="str">
        <f>IFERROR(__xludf.DUMMYFUNCTION("""COMPUTED_VALUE"""),"5/5")</f>
        <v>5/5</v>
      </c>
      <c r="P86" s="224">
        <f>IFERROR(__xludf.DUMMYFUNCTION("""COMPUTED_VALUE"""),2830000.0)</f>
        <v>2830000</v>
      </c>
      <c r="Q86" s="225" t="str">
        <f>IFERROR(__xludf.DUMMYFUNCTION("""COMPUTED_VALUE"""),"✅")</f>
        <v>✅</v>
      </c>
      <c r="R86" s="211" t="str">
        <f>IFERROR(__xludf.DUMMYFUNCTION("""COMPUTED_VALUE"""),"-")</f>
        <v>-</v>
      </c>
      <c r="S86" s="211"/>
      <c r="T86" s="211"/>
      <c r="U86" s="211"/>
    </row>
    <row r="87">
      <c r="A87" s="222" t="str">
        <f>IFERROR(__xludf.DUMMYFUNCTION("""COMPUTED_VALUE"""),"11240117")</f>
        <v>11240117</v>
      </c>
      <c r="B87" s="211" t="str">
        <f>IFERROR(__xludf.DUMMYFUNCTION("""COMPUTED_VALUE"""),"21 Nov 2024")</f>
        <v>21 Nov 2024</v>
      </c>
      <c r="C87" s="211" t="str">
        <f>IFERROR(__xludf.DUMMYFUNCTION("""COMPUTED_VALUE"""),"CV RAGAM JAYA ENGINEERING")</f>
        <v>CV RAGAM JAYA ENGINEERING</v>
      </c>
      <c r="D87" s="211" t="str">
        <f>IFERROR(__xludf.DUMMYFUNCTION("""COMPUTED_VALUE"""),"Oksigen 6m3
Karbondioksida
LPG 12kg")</f>
        <v>Oksigen 6m3
Karbondioksida
LPG 12kg</v>
      </c>
      <c r="E87" s="211" t="str">
        <f>IFERROR(__xludf.DUMMYFUNCTION("""COMPUTED_VALUE"""),"5
5
2")</f>
        <v>5
5
2</v>
      </c>
      <c r="F87" s="211" t="str">
        <f>IFERROR(__xludf.DUMMYFUNCTION("""COMPUTED_VALUE"""),"333000
888000
499500")</f>
        <v>333000
888000
499500</v>
      </c>
      <c r="G87" s="211"/>
      <c r="H87" s="211"/>
      <c r="I87" s="211">
        <f>IFERROR(__xludf.DUMMYFUNCTION("""COMPUTED_VALUE"""),1720500.0)</f>
        <v>1720500</v>
      </c>
      <c r="J87" s="211" t="str">
        <f>IFERROR(__xludf.DUMMYFUNCTION("""COMPUTED_VALUE"""),"Penagihan")</f>
        <v>Penagihan</v>
      </c>
      <c r="L87" s="223" t="str">
        <f>IFERROR(__xludf.DUMMYFUNCTION("""COMPUTED_VALUE"""),"Feb 2025")</f>
        <v>Feb 2025</v>
      </c>
      <c r="M87" s="211" t="str">
        <f>IFERROR(__xludf.DUMMYFUNCTION("""COMPUTED_VALUE"""),"PT Hua Zong Mesindo")</f>
        <v>PT Hua Zong Mesindo</v>
      </c>
      <c r="N87" s="211" t="str">
        <f>IFERROR(__xludf.DUMMYFUNCTION("""COMPUTED_VALUE"""),"0225870")</f>
        <v>0225870</v>
      </c>
      <c r="O87" s="211" t="str">
        <f>IFERROR(__xludf.DUMMYFUNCTION("""COMPUTED_VALUE"""),"4/4")</f>
        <v>4/4</v>
      </c>
      <c r="P87" s="224">
        <f>IFERROR(__xludf.DUMMYFUNCTION("""COMPUTED_VALUE"""),1290000.0)</f>
        <v>1290000</v>
      </c>
      <c r="Q87" s="225" t="str">
        <f>IFERROR(__xludf.DUMMYFUNCTION("""COMPUTED_VALUE"""),"✅")</f>
        <v>✅</v>
      </c>
      <c r="R87" s="211" t="str">
        <f>IFERROR(__xludf.DUMMYFUNCTION("""COMPUTED_VALUE"""),"-")</f>
        <v>-</v>
      </c>
      <c r="S87" s="211"/>
      <c r="T87" s="211"/>
      <c r="U87" s="211"/>
    </row>
    <row r="88">
      <c r="A88" s="222" t="str">
        <f>IFERROR(__xludf.DUMMYFUNCTION("""COMPUTED_VALUE"""),"11240120")</f>
        <v>11240120</v>
      </c>
      <c r="B88" s="211" t="str">
        <f>IFERROR(__xludf.DUMMYFUNCTION("""COMPUTED_VALUE"""),"21 Nov 2024")</f>
        <v>21 Nov 2024</v>
      </c>
      <c r="C88" s="211" t="str">
        <f>IFERROR(__xludf.DUMMYFUNCTION("""COMPUTED_VALUE"""),"PT Hua Zong Mesindo")</f>
        <v>PT Hua Zong Mesindo</v>
      </c>
      <c r="D88" s="211" t="str">
        <f>IFERROR(__xludf.DUMMYFUNCTION("""COMPUTED_VALUE"""),"Argon 6m3
Oksigen 6m3")</f>
        <v>Argon 6m3
Oksigen 6m3</v>
      </c>
      <c r="E88" s="211" t="str">
        <f>IFERROR(__xludf.DUMMYFUNCTION("""COMPUTED_VALUE"""),"3
4")</f>
        <v>3
4</v>
      </c>
      <c r="F88" s="211" t="str">
        <f>IFERROR(__xludf.DUMMYFUNCTION("""COMPUTED_VALUE"""),"570000
240000")</f>
        <v>570000
240000</v>
      </c>
      <c r="G88" s="211"/>
      <c r="H88" s="211"/>
      <c r="I88" s="211">
        <f>IFERROR(__xludf.DUMMYFUNCTION("""COMPUTED_VALUE"""),810000.0)</f>
        <v>810000</v>
      </c>
      <c r="J88" s="211" t="str">
        <f>IFERROR(__xludf.DUMMYFUNCTION("""COMPUTED_VALUE"""),"Ya")</f>
        <v>Ya</v>
      </c>
      <c r="L88" s="223" t="str">
        <f>IFERROR(__xludf.DUMMYFUNCTION("""COMPUTED_VALUE"""),"Feb 2025")</f>
        <v>Feb 2025</v>
      </c>
      <c r="M88" s="211" t="str">
        <f>IFERROR(__xludf.DUMMYFUNCTION("""COMPUTED_VALUE"""),"Bpk. Pendik")</f>
        <v>Bpk. Pendik</v>
      </c>
      <c r="N88" s="211" t="str">
        <f>IFERROR(__xludf.DUMMYFUNCTION("""COMPUTED_VALUE"""),"0225880")</f>
        <v>0225880</v>
      </c>
      <c r="O88" s="211" t="str">
        <f>IFERROR(__xludf.DUMMYFUNCTION("""COMPUTED_VALUE"""),"1/1")</f>
        <v>1/1</v>
      </c>
      <c r="P88" s="224">
        <f>IFERROR(__xludf.DUMMYFUNCTION("""COMPUTED_VALUE"""),500000.0)</f>
        <v>500000</v>
      </c>
      <c r="Q88" s="225" t="str">
        <f>IFERROR(__xludf.DUMMYFUNCTION("""COMPUTED_VALUE"""),"✅")</f>
        <v>✅</v>
      </c>
      <c r="R88" s="211" t="str">
        <f>IFERROR(__xludf.DUMMYFUNCTION("""COMPUTED_VALUE"""),"-")</f>
        <v>-</v>
      </c>
      <c r="S88" s="211"/>
      <c r="T88" s="211"/>
      <c r="U88" s="211"/>
    </row>
    <row r="89">
      <c r="A89" s="222" t="str">
        <f>IFERROR(__xludf.DUMMYFUNCTION("""COMPUTED_VALUE"""),"11240122")</f>
        <v>11240122</v>
      </c>
      <c r="B89" s="211" t="str">
        <f>IFERROR(__xludf.DUMMYFUNCTION("""COMPUTED_VALUE"""),"21 Nov 2024")</f>
        <v>21 Nov 2024</v>
      </c>
      <c r="C89" s="211" t="str">
        <f>IFERROR(__xludf.DUMMYFUNCTION("""COMPUTED_VALUE"""),"CV ANUGERAH PERSADA TEKNIK")</f>
        <v>CV ANUGERAH PERSADA TEKNIK</v>
      </c>
      <c r="D89" s="211" t="str">
        <f>IFERROR(__xludf.DUMMYFUNCTION("""COMPUTED_VALUE"""),"Oksigen 6m3")</f>
        <v>Oksigen 6m3</v>
      </c>
      <c r="E89" s="211" t="str">
        <f>IFERROR(__xludf.DUMMYFUNCTION("""COMPUTED_VALUE"""),"5")</f>
        <v>5</v>
      </c>
      <c r="F89" s="211" t="str">
        <f>IFERROR(__xludf.DUMMYFUNCTION("""COMPUTED_VALUE"""),"360750")</f>
        <v>360750</v>
      </c>
      <c r="G89" s="211"/>
      <c r="H89" s="211"/>
      <c r="I89" s="211">
        <f>IFERROR(__xludf.DUMMYFUNCTION("""COMPUTED_VALUE"""),360750.0)</f>
        <v>360750</v>
      </c>
      <c r="J89" s="211" t="str">
        <f>IFERROR(__xludf.DUMMYFUNCTION("""COMPUTED_VALUE"""),"Ya")</f>
        <v>Ya</v>
      </c>
      <c r="L89" s="223" t="str">
        <f>IFERROR(__xludf.DUMMYFUNCTION("""COMPUTED_VALUE"""),"Feb 2025")</f>
        <v>Feb 2025</v>
      </c>
      <c r="M89" s="211" t="str">
        <f>IFERROR(__xludf.DUMMYFUNCTION("""COMPUTED_VALUE"""),"Bpk. Sulaiman")</f>
        <v>Bpk. Sulaiman</v>
      </c>
      <c r="N89" s="211" t="str">
        <f>IFERROR(__xludf.DUMMYFUNCTION("""COMPUTED_VALUE"""),"0225890")</f>
        <v>0225890</v>
      </c>
      <c r="O89" s="211" t="str">
        <f>IFERROR(__xludf.DUMMYFUNCTION("""COMPUTED_VALUE"""),"1/1")</f>
        <v>1/1</v>
      </c>
      <c r="P89" s="224">
        <f>IFERROR(__xludf.DUMMYFUNCTION("""COMPUTED_VALUE"""),275000.0)</f>
        <v>275000</v>
      </c>
      <c r="Q89" s="225" t="str">
        <f>IFERROR(__xludf.DUMMYFUNCTION("""COMPUTED_VALUE"""),"✅")</f>
        <v>✅</v>
      </c>
      <c r="R89" s="211" t="str">
        <f>IFERROR(__xludf.DUMMYFUNCTION("""COMPUTED_VALUE"""),"-")</f>
        <v>-</v>
      </c>
      <c r="S89" s="211"/>
      <c r="T89" s="211"/>
      <c r="U89" s="211"/>
    </row>
    <row r="90">
      <c r="A90" s="222" t="str">
        <f>IFERROR(__xludf.DUMMYFUNCTION("""COMPUTED_VALUE"""),"11240123")</f>
        <v>11240123</v>
      </c>
      <c r="B90" s="211" t="str">
        <f>IFERROR(__xludf.DUMMYFUNCTION("""COMPUTED_VALUE"""),"23 Nov 2024")</f>
        <v>23 Nov 2024</v>
      </c>
      <c r="C90" s="211" t="str">
        <f>IFERROR(__xludf.DUMMYFUNCTION("""COMPUTED_VALUE"""),"PT GEMILANG CIPTA WAWASAN")</f>
        <v>PT GEMILANG CIPTA WAWASAN</v>
      </c>
      <c r="D90" s="211" t="str">
        <f>IFERROR(__xludf.DUMMYFUNCTION("""COMPUTED_VALUE"""),"Oksigen 6m3
LPG 12kg")</f>
        <v>Oksigen 6m3
LPG 12kg</v>
      </c>
      <c r="E90" s="211" t="str">
        <f>IFERROR(__xludf.DUMMYFUNCTION("""COMPUTED_VALUE"""),"15
3")</f>
        <v>15
3</v>
      </c>
      <c r="F90" s="211" t="str">
        <f>IFERROR(__xludf.DUMMYFUNCTION("""COMPUTED_VALUE"""),"999000
699300")</f>
        <v>999000
699300</v>
      </c>
      <c r="G90" s="211"/>
      <c r="H90" s="211"/>
      <c r="I90" s="211">
        <f>IFERROR(__xludf.DUMMYFUNCTION("""COMPUTED_VALUE"""),1698300.0)</f>
        <v>1698300</v>
      </c>
      <c r="J90" s="211" t="str">
        <f>IFERROR(__xludf.DUMMYFUNCTION("""COMPUTED_VALUE"""),"Ya")</f>
        <v>Ya</v>
      </c>
      <c r="L90" s="223" t="str">
        <f>IFERROR(__xludf.DUMMYFUNCTION("""COMPUTED_VALUE"""),"Feb 2025")</f>
        <v>Feb 2025</v>
      </c>
      <c r="M90" s="211" t="str">
        <f>IFERROR(__xludf.DUMMYFUNCTION("""COMPUTED_VALUE"""),"GYF")</f>
        <v>GYF</v>
      </c>
      <c r="N90" s="211" t="str">
        <f>IFERROR(__xludf.DUMMYFUNCTION("""COMPUTED_VALUE"""),"0225900")</f>
        <v>0225900</v>
      </c>
      <c r="O90" s="211" t="str">
        <f>IFERROR(__xludf.DUMMYFUNCTION("""COMPUTED_VALUE"""),"5/5")</f>
        <v>5/5</v>
      </c>
      <c r="P90" s="224">
        <f>IFERROR(__xludf.DUMMYFUNCTION("""COMPUTED_VALUE"""),2250000.0)</f>
        <v>2250000</v>
      </c>
      <c r="Q90" s="225" t="str">
        <f>IFERROR(__xludf.DUMMYFUNCTION("""COMPUTED_VALUE"""),"✅")</f>
        <v>✅</v>
      </c>
      <c r="R90" s="211" t="str">
        <f>IFERROR(__xludf.DUMMYFUNCTION("""COMPUTED_VALUE"""),"-")</f>
        <v>-</v>
      </c>
      <c r="S90" s="211"/>
      <c r="T90" s="211"/>
      <c r="U90" s="211"/>
    </row>
    <row r="91">
      <c r="A91" s="222" t="str">
        <f>IFERROR(__xludf.DUMMYFUNCTION("""COMPUTED_VALUE"""),"11240125")</f>
        <v>11240125</v>
      </c>
      <c r="B91" s="211" t="str">
        <f>IFERROR(__xludf.DUMMYFUNCTION("""COMPUTED_VALUE"""),"23 Nov 2024")</f>
        <v>23 Nov 2024</v>
      </c>
      <c r="C91" s="211" t="str">
        <f>IFERROR(__xludf.DUMMYFUNCTION("""COMPUTED_VALUE"""),"Bpk. Agus")</f>
        <v>Bpk. Agus</v>
      </c>
      <c r="D91" s="211" t="str">
        <f>IFERROR(__xludf.DUMMYFUNCTION("""COMPUTED_VALUE"""),"Oksigen 6m3")</f>
        <v>Oksigen 6m3</v>
      </c>
      <c r="E91" s="211" t="str">
        <f>IFERROR(__xludf.DUMMYFUNCTION("""COMPUTED_VALUE"""),"3")</f>
        <v>3</v>
      </c>
      <c r="F91" s="211" t="str">
        <f>IFERROR(__xludf.DUMMYFUNCTION("""COMPUTED_VALUE"""),"180000")</f>
        <v>180000</v>
      </c>
      <c r="G91" s="211"/>
      <c r="H91" s="211"/>
      <c r="I91" s="211">
        <f>IFERROR(__xludf.DUMMYFUNCTION("""COMPUTED_VALUE"""),180000.0)</f>
        <v>180000</v>
      </c>
      <c r="J91" s="211" t="str">
        <f>IFERROR(__xludf.DUMMYFUNCTION("""COMPUTED_VALUE"""),"Tidak")</f>
        <v>Tidak</v>
      </c>
      <c r="L91" s="223" t="str">
        <f>IFERROR(__xludf.DUMMYFUNCTION("""COMPUTED_VALUE"""),"Feb 2025")</f>
        <v>Feb 2025</v>
      </c>
      <c r="M91" s="211" t="str">
        <f>IFERROR(__xludf.DUMMYFUNCTION("""COMPUTED_VALUE"""),"Abah Mad")</f>
        <v>Abah Mad</v>
      </c>
      <c r="N91" s="211" t="str">
        <f>IFERROR(__xludf.DUMMYFUNCTION("""COMPUTED_VALUE"""),"0225910")</f>
        <v>0225910</v>
      </c>
      <c r="O91" s="211" t="str">
        <f>IFERROR(__xludf.DUMMYFUNCTION("""COMPUTED_VALUE"""),"1/1")</f>
        <v>1/1</v>
      </c>
      <c r="P91" s="224">
        <f>IFERROR(__xludf.DUMMYFUNCTION("""COMPUTED_VALUE"""),2450000.0)</f>
        <v>2450000</v>
      </c>
      <c r="Q91" s="225" t="str">
        <f>IFERROR(__xludf.DUMMYFUNCTION("""COMPUTED_VALUE"""),"✅")</f>
        <v>✅</v>
      </c>
      <c r="R91" s="211" t="str">
        <f>IFERROR(__xludf.DUMMYFUNCTION("""COMPUTED_VALUE"""),"-")</f>
        <v>-</v>
      </c>
      <c r="S91" s="211"/>
      <c r="T91" s="211"/>
      <c r="U91" s="211"/>
    </row>
    <row r="92">
      <c r="A92" s="222" t="str">
        <f>IFERROR(__xludf.DUMMYFUNCTION("""COMPUTED_VALUE"""),"11240126")</f>
        <v>11240126</v>
      </c>
      <c r="B92" s="211" t="str">
        <f>IFERROR(__xludf.DUMMYFUNCTION("""COMPUTED_VALUE"""),"23 Nov 2024")</f>
        <v>23 Nov 2024</v>
      </c>
      <c r="C92" s="211" t="str">
        <f>IFERROR(__xludf.DUMMYFUNCTION("""COMPUTED_VALUE"""),"CV ANUGERAH PERSADA TEKNIK")</f>
        <v>CV ANUGERAH PERSADA TEKNIK</v>
      </c>
      <c r="D92" s="211" t="str">
        <f>IFERROR(__xludf.DUMMYFUNCTION("""COMPUTED_VALUE"""),"Oksigen 6m3")</f>
        <v>Oksigen 6m3</v>
      </c>
      <c r="E92" s="211" t="str">
        <f>IFERROR(__xludf.DUMMYFUNCTION("""COMPUTED_VALUE"""),"10")</f>
        <v>10</v>
      </c>
      <c r="F92" s="211" t="str">
        <f>IFERROR(__xludf.DUMMYFUNCTION("""COMPUTED_VALUE"""),"721500")</f>
        <v>721500</v>
      </c>
      <c r="G92" s="211"/>
      <c r="H92" s="211"/>
      <c r="I92" s="211">
        <f>IFERROR(__xludf.DUMMYFUNCTION("""COMPUTED_VALUE"""),721500.0)</f>
        <v>721500</v>
      </c>
      <c r="J92" s="211" t="str">
        <f>IFERROR(__xludf.DUMMYFUNCTION("""COMPUTED_VALUE"""),"Tidak")</f>
        <v>Tidak</v>
      </c>
      <c r="L92" s="223" t="str">
        <f>IFERROR(__xludf.DUMMYFUNCTION("""COMPUTED_VALUE"""),"Feb 2025")</f>
        <v>Feb 2025</v>
      </c>
      <c r="M92" s="211" t="str">
        <f>IFERROR(__xludf.DUMMYFUNCTION("""COMPUTED_VALUE"""),"PT GEMILANG CIPTA WAWASAN")</f>
        <v>PT GEMILANG CIPTA WAWASAN</v>
      </c>
      <c r="N92" s="211" t="str">
        <f>IFERROR(__xludf.DUMMYFUNCTION("""COMPUTED_VALUE"""),"0225920")</f>
        <v>0225920</v>
      </c>
      <c r="O92" s="211" t="str">
        <f>IFERROR(__xludf.DUMMYFUNCTION("""COMPUTED_VALUE"""),"3/3")</f>
        <v>3/3</v>
      </c>
      <c r="P92" s="224">
        <f>IFERROR(__xludf.DUMMYFUNCTION("""COMPUTED_VALUE"""),3163500.0)</f>
        <v>3163500</v>
      </c>
      <c r="Q92" s="225" t="str">
        <f>IFERROR(__xludf.DUMMYFUNCTION("""COMPUTED_VALUE"""),"✅")</f>
        <v>✅</v>
      </c>
      <c r="R92" s="211" t="str">
        <f>IFERROR(__xludf.DUMMYFUNCTION("""COMPUTED_VALUE"""),"-")</f>
        <v>-</v>
      </c>
      <c r="S92" s="211"/>
      <c r="T92" s="211"/>
      <c r="U92" s="211"/>
    </row>
    <row r="93">
      <c r="A93" s="222" t="str">
        <f>IFERROR(__xludf.DUMMYFUNCTION("""COMPUTED_VALUE"""),"11240127")</f>
        <v>11240127</v>
      </c>
      <c r="B93" s="211" t="str">
        <f>IFERROR(__xludf.DUMMYFUNCTION("""COMPUTED_VALUE"""),"25 Nov 2024")</f>
        <v>25 Nov 2024</v>
      </c>
      <c r="C93" s="211" t="str">
        <f>IFERROR(__xludf.DUMMYFUNCTION("""COMPUTED_VALUE"""),"PT Beton Prima Indonesia")</f>
        <v>PT Beton Prima Indonesia</v>
      </c>
      <c r="D93" s="211" t="str">
        <f>IFERROR(__xludf.DUMMYFUNCTION("""COMPUTED_VALUE"""),"Oksigen 6m3")</f>
        <v>Oksigen 6m3</v>
      </c>
      <c r="E93" s="211" t="str">
        <f>IFERROR(__xludf.DUMMYFUNCTION("""COMPUTED_VALUE"""),"5")</f>
        <v>5</v>
      </c>
      <c r="F93" s="211" t="str">
        <f>IFERROR(__xludf.DUMMYFUNCTION("""COMPUTED_VALUE"""),"250000")</f>
        <v>250000</v>
      </c>
      <c r="G93" s="211"/>
      <c r="H93" s="211"/>
      <c r="I93" s="211">
        <f>IFERROR(__xludf.DUMMYFUNCTION("""COMPUTED_VALUE"""),250000.0)</f>
        <v>250000</v>
      </c>
      <c r="J93" s="211" t="str">
        <f>IFERROR(__xludf.DUMMYFUNCTION("""COMPUTED_VALUE"""),"Ya")</f>
        <v>Ya</v>
      </c>
      <c r="L93" s="223" t="str">
        <f>IFERROR(__xludf.DUMMYFUNCTION("""COMPUTED_VALUE"""),"Feb 2025")</f>
        <v>Feb 2025</v>
      </c>
      <c r="M93" s="211" t="str">
        <f>IFERROR(__xludf.DUMMYFUNCTION("""COMPUTED_VALUE"""),"PT Dunia Berkat Marga Mulya")</f>
        <v>PT Dunia Berkat Marga Mulya</v>
      </c>
      <c r="N93" s="211" t="str">
        <f>IFERROR(__xludf.DUMMYFUNCTION("""COMPUTED_VALUE"""),"0225930")</f>
        <v>0225930</v>
      </c>
      <c r="O93" s="211" t="str">
        <f>IFERROR(__xludf.DUMMYFUNCTION("""COMPUTED_VALUE"""),"3/3")</f>
        <v>3/3</v>
      </c>
      <c r="P93" s="224">
        <f>IFERROR(__xludf.DUMMYFUNCTION("""COMPUTED_VALUE"""),732600.0)</f>
        <v>732600</v>
      </c>
      <c r="Q93" s="225" t="str">
        <f>IFERROR(__xludf.DUMMYFUNCTION("""COMPUTED_VALUE"""),"✅")</f>
        <v>✅</v>
      </c>
      <c r="R93" s="211" t="str">
        <f>IFERROR(__xludf.DUMMYFUNCTION("""COMPUTED_VALUE"""),"-")</f>
        <v>-</v>
      </c>
      <c r="S93" s="211"/>
      <c r="T93" s="211"/>
      <c r="U93" s="211"/>
    </row>
    <row r="94">
      <c r="A94" s="222" t="str">
        <f>IFERROR(__xludf.DUMMYFUNCTION("""COMPUTED_VALUE"""),"11240128")</f>
        <v>11240128</v>
      </c>
      <c r="B94" s="211" t="str">
        <f>IFERROR(__xludf.DUMMYFUNCTION("""COMPUTED_VALUE"""),"25 Nov 2024")</f>
        <v>25 Nov 2024</v>
      </c>
      <c r="C94" s="211" t="str">
        <f>IFERROR(__xludf.DUMMYFUNCTION("""COMPUTED_VALUE"""),"CV RAGAM JAYA ENGINEERING")</f>
        <v>CV RAGAM JAYA ENGINEERING</v>
      </c>
      <c r="D94" s="211" t="str">
        <f>IFERROR(__xludf.DUMMYFUNCTION("""COMPUTED_VALUE"""),"Oksigen 6m3
Karbondioksida")</f>
        <v>Oksigen 6m3
Karbondioksida</v>
      </c>
      <c r="E94" s="211" t="str">
        <f>IFERROR(__xludf.DUMMYFUNCTION("""COMPUTED_VALUE"""),"10
10")</f>
        <v>10
10</v>
      </c>
      <c r="F94" s="211" t="str">
        <f>IFERROR(__xludf.DUMMYFUNCTION("""COMPUTED_VALUE"""),"666000
1776000")</f>
        <v>666000
1776000</v>
      </c>
      <c r="G94" s="211"/>
      <c r="H94" s="211"/>
      <c r="I94" s="211">
        <f>IFERROR(__xludf.DUMMYFUNCTION("""COMPUTED_VALUE"""),2442000.0)</f>
        <v>2442000</v>
      </c>
      <c r="J94" s="211" t="str">
        <f>IFERROR(__xludf.DUMMYFUNCTION("""COMPUTED_VALUE"""),"Penagihan")</f>
        <v>Penagihan</v>
      </c>
      <c r="L94" s="223" t="str">
        <f>IFERROR(__xludf.DUMMYFUNCTION("""COMPUTED_VALUE"""),"Feb 2025")</f>
        <v>Feb 2025</v>
      </c>
      <c r="M94" s="211" t="str">
        <f>IFERROR(__xludf.DUMMYFUNCTION("""COMPUTED_VALUE"""),"PT LONG XING LOGAM INDONESIA")</f>
        <v>PT LONG XING LOGAM INDONESIA</v>
      </c>
      <c r="N94" s="211" t="str">
        <f>IFERROR(__xludf.DUMMYFUNCTION("""COMPUTED_VALUE"""),"0225940")</f>
        <v>0225940</v>
      </c>
      <c r="O94" s="211" t="str">
        <f>IFERROR(__xludf.DUMMYFUNCTION("""COMPUTED_VALUE"""),"1/1")</f>
        <v>1/1</v>
      </c>
      <c r="P94" s="224">
        <f>IFERROR(__xludf.DUMMYFUNCTION("""COMPUTED_VALUE"""),1200000.0)</f>
        <v>1200000</v>
      </c>
      <c r="Q94" s="225" t="str">
        <f>IFERROR(__xludf.DUMMYFUNCTION("""COMPUTED_VALUE"""),"✅")</f>
        <v>✅</v>
      </c>
      <c r="R94" s="211" t="str">
        <f>IFERROR(__xludf.DUMMYFUNCTION("""COMPUTED_VALUE"""),"-")</f>
        <v>-</v>
      </c>
      <c r="S94" s="211"/>
      <c r="T94" s="211"/>
      <c r="U94" s="211"/>
    </row>
    <row r="95">
      <c r="A95" s="222" t="str">
        <f>IFERROR(__xludf.DUMMYFUNCTION("""COMPUTED_VALUE"""),"11240130")</f>
        <v>11240130</v>
      </c>
      <c r="B95" s="211" t="str">
        <f>IFERROR(__xludf.DUMMYFUNCTION("""COMPUTED_VALUE"""),"26 Nov 2024")</f>
        <v>26 Nov 2024</v>
      </c>
      <c r="C95" s="211" t="str">
        <f>IFERROR(__xludf.DUMMYFUNCTION("""COMPUTED_VALUE"""),"Bpk. Sukirno (Bejo)")</f>
        <v>Bpk. Sukirno (Bejo)</v>
      </c>
      <c r="D95" s="211" t="str">
        <f>IFERROR(__xludf.DUMMYFUNCTION("""COMPUTED_VALUE"""),"Oksigen 6m3
LPG 50kg")</f>
        <v>Oksigen 6m3
LPG 50kg</v>
      </c>
      <c r="E95" s="211" t="str">
        <f>IFERROR(__xludf.DUMMYFUNCTION("""COMPUTED_VALUE""")," ")</f>
        <v> </v>
      </c>
      <c r="F95" s="211" t="str">
        <f>IFERROR(__xludf.DUMMYFUNCTION("""COMPUTED_VALUE"""),"900000
0")</f>
        <v>900000
0</v>
      </c>
      <c r="G95" s="211"/>
      <c r="H95" s="211"/>
      <c r="I95" s="211">
        <f>IFERROR(__xludf.DUMMYFUNCTION("""COMPUTED_VALUE"""),900000.0)</f>
        <v>900000</v>
      </c>
      <c r="J95" s="211" t="str">
        <f>IFERROR(__xludf.DUMMYFUNCTION("""COMPUTED_VALUE"""),"Ya")</f>
        <v>Ya</v>
      </c>
      <c r="L95" s="223" t="str">
        <f>IFERROR(__xludf.DUMMYFUNCTION("""COMPUTED_VALUE"""),"Feb 2025")</f>
        <v>Feb 2025</v>
      </c>
      <c r="M95" s="211" t="str">
        <f>IFERROR(__xludf.DUMMYFUNCTION("""COMPUTED_VALUE"""),"Bengkel Dian Jaya")</f>
        <v>Bengkel Dian Jaya</v>
      </c>
      <c r="N95" s="211" t="str">
        <f>IFERROR(__xludf.DUMMYFUNCTION("""COMPUTED_VALUE"""),"0225950")</f>
        <v>0225950</v>
      </c>
      <c r="O95" s="211" t="str">
        <f>IFERROR(__xludf.DUMMYFUNCTION("""COMPUTED_VALUE"""),"1/1")</f>
        <v>1/1</v>
      </c>
      <c r="P95" s="224">
        <f>IFERROR(__xludf.DUMMYFUNCTION("""COMPUTED_VALUE"""),300000.0)</f>
        <v>300000</v>
      </c>
      <c r="Q95" s="225" t="str">
        <f>IFERROR(__xludf.DUMMYFUNCTION("""COMPUTED_VALUE"""),"✅")</f>
        <v>✅</v>
      </c>
      <c r="R95" s="211" t="str">
        <f>IFERROR(__xludf.DUMMYFUNCTION("""COMPUTED_VALUE"""),"-")</f>
        <v>-</v>
      </c>
      <c r="S95" s="211"/>
      <c r="T95" s="211"/>
      <c r="U95" s="211"/>
    </row>
    <row r="96">
      <c r="A96" s="222" t="str">
        <f>IFERROR(__xludf.DUMMYFUNCTION("""COMPUTED_VALUE"""),"11240132")</f>
        <v>11240132</v>
      </c>
      <c r="B96" s="211" t="str">
        <f>IFERROR(__xludf.DUMMYFUNCTION("""COMPUTED_VALUE"""),"26 Nov 2024")</f>
        <v>26 Nov 2024</v>
      </c>
      <c r="C96" s="211" t="str">
        <f>IFERROR(__xludf.DUMMYFUNCTION("""COMPUTED_VALUE"""),"PT PELANGI INDOKARYA")</f>
        <v>PT PELANGI INDOKARYA</v>
      </c>
      <c r="D96" s="211" t="str">
        <f>IFERROR(__xludf.DUMMYFUNCTION("""COMPUTED_VALUE"""),"Oksigen 6m3")</f>
        <v>Oksigen 6m3</v>
      </c>
      <c r="E96" s="211" t="str">
        <f>IFERROR(__xludf.DUMMYFUNCTION("""COMPUTED_VALUE"""),"5")</f>
        <v>5</v>
      </c>
      <c r="F96" s="211" t="str">
        <f>IFERROR(__xludf.DUMMYFUNCTION("""COMPUTED_VALUE"""),"333000")</f>
        <v>333000</v>
      </c>
      <c r="G96" s="211"/>
      <c r="H96" s="211"/>
      <c r="I96" s="211">
        <f>IFERROR(__xludf.DUMMYFUNCTION("""COMPUTED_VALUE"""),333000.0)</f>
        <v>333000</v>
      </c>
      <c r="J96" s="211" t="str">
        <f>IFERROR(__xludf.DUMMYFUNCTION("""COMPUTED_VALUE"""),"Ya")</f>
        <v>Ya</v>
      </c>
      <c r="L96" s="223" t="str">
        <f>IFERROR(__xludf.DUMMYFUNCTION("""COMPUTED_VALUE"""),"Mar 2025")</f>
        <v>Mar 2025</v>
      </c>
      <c r="M96" s="211" t="str">
        <f>IFERROR(__xludf.DUMMYFUNCTION("""COMPUTED_VALUE"""),"Bpk. Sukirno (Bejo)")</f>
        <v>Bpk. Sukirno (Bejo)</v>
      </c>
      <c r="N96" s="211" t="str">
        <f>IFERROR(__xludf.DUMMYFUNCTION("""COMPUTED_VALUE"""),"0325960")</f>
        <v>0325960</v>
      </c>
      <c r="O96" s="211" t="str">
        <f>IFERROR(__xludf.DUMMYFUNCTION("""COMPUTED_VALUE"""),"10/10")</f>
        <v>10/10</v>
      </c>
      <c r="P96" s="224">
        <f>IFERROR(__xludf.DUMMYFUNCTION("""COMPUTED_VALUE"""),7710000.0)</f>
        <v>7710000</v>
      </c>
      <c r="Q96" s="225" t="str">
        <f>IFERROR(__xludf.DUMMYFUNCTION("""COMPUTED_VALUE"""),"✅")</f>
        <v>✅</v>
      </c>
      <c r="R96" s="211" t="str">
        <f>IFERROR(__xludf.DUMMYFUNCTION("""COMPUTED_VALUE"""),"-")</f>
        <v>-</v>
      </c>
      <c r="S96" s="211"/>
      <c r="T96" s="211"/>
      <c r="U96" s="211"/>
    </row>
    <row r="97">
      <c r="A97" s="222" t="str">
        <f>IFERROR(__xludf.DUMMYFUNCTION("""COMPUTED_VALUE"""),"11240133")</f>
        <v>11240133</v>
      </c>
      <c r="B97" s="211" t="str">
        <f>IFERROR(__xludf.DUMMYFUNCTION("""COMPUTED_VALUE"""),"28 Nov 2024")</f>
        <v>28 Nov 2024</v>
      </c>
      <c r="C97" s="211" t="str">
        <f>IFERROR(__xludf.DUMMYFUNCTION("""COMPUTED_VALUE"""),"PT Dunia Berkat Marga Mulya")</f>
        <v>PT Dunia Berkat Marga Mulya</v>
      </c>
      <c r="D97" s="211" t="str">
        <f>IFERROR(__xludf.DUMMYFUNCTION("""COMPUTED_VALUE"""),"Oksigen 6m3")</f>
        <v>Oksigen 6m3</v>
      </c>
      <c r="E97" s="211" t="str">
        <f>IFERROR(__xludf.DUMMYFUNCTION("""COMPUTED_VALUE"""),"3")</f>
        <v>3</v>
      </c>
      <c r="F97" s="211" t="str">
        <f>IFERROR(__xludf.DUMMYFUNCTION("""COMPUTED_VALUE"""),"199800")</f>
        <v>199800</v>
      </c>
      <c r="G97" s="211"/>
      <c r="H97" s="211"/>
      <c r="I97" s="211">
        <f>IFERROR(__xludf.DUMMYFUNCTION("""COMPUTED_VALUE"""),199800.0)</f>
        <v>199800</v>
      </c>
      <c r="J97" s="211" t="str">
        <f>IFERROR(__xludf.DUMMYFUNCTION("""COMPUTED_VALUE"""),"Ya")</f>
        <v>Ya</v>
      </c>
      <c r="L97" s="223" t="str">
        <f>IFERROR(__xludf.DUMMYFUNCTION("""COMPUTED_VALUE"""),"Mar 2025")</f>
        <v>Mar 2025</v>
      </c>
      <c r="M97" s="211" t="str">
        <f>IFERROR(__xludf.DUMMYFUNCTION("""COMPUTED_VALUE"""),"PT GEMILANG CIPTA WAWASAN")</f>
        <v>PT GEMILANG CIPTA WAWASAN</v>
      </c>
      <c r="N97" s="211" t="str">
        <f>IFERROR(__xludf.DUMMYFUNCTION("""COMPUTED_VALUE"""),"0325973")</f>
        <v>0325973</v>
      </c>
      <c r="O97" s="211" t="str">
        <f>IFERROR(__xludf.DUMMYFUNCTION("""COMPUTED_VALUE"""),"0/3")</f>
        <v>0/3</v>
      </c>
      <c r="P97" s="224">
        <f>IFERROR(__xludf.DUMMYFUNCTION("""COMPUTED_VALUE"""),4795200.0)</f>
        <v>4795200</v>
      </c>
      <c r="Q97" s="225">
        <f>IFERROR(__xludf.DUMMYFUNCTION("""COMPUTED_VALUE"""),4795200.0)</f>
        <v>4795200</v>
      </c>
      <c r="R97" s="211" t="str">
        <f>IFERROR(__xludf.DUMMYFUNCTION("""COMPUTED_VALUE"""),"03250285 03250289 03250337")</f>
        <v>03250285 03250289 03250337</v>
      </c>
      <c r="S97" s="211"/>
      <c r="T97" s="211"/>
      <c r="U97" s="211"/>
    </row>
    <row r="98">
      <c r="A98" s="222" t="str">
        <f>IFERROR(__xludf.DUMMYFUNCTION("""COMPUTED_VALUE"""),"11240134")</f>
        <v>11240134</v>
      </c>
      <c r="B98" s="211" t="str">
        <f>IFERROR(__xludf.DUMMYFUNCTION("""COMPUTED_VALUE"""),"29 Nov 2024")</f>
        <v>29 Nov 2024</v>
      </c>
      <c r="C98" s="211" t="str">
        <f>IFERROR(__xludf.DUMMYFUNCTION("""COMPUTED_VALUE"""),"PT Beton Prima Indonesia")</f>
        <v>PT Beton Prima Indonesia</v>
      </c>
      <c r="D98" s="211" t="str">
        <f>IFERROR(__xludf.DUMMYFUNCTION("""COMPUTED_VALUE"""),"Oksigen 6m3")</f>
        <v>Oksigen 6m3</v>
      </c>
      <c r="E98" s="211" t="str">
        <f>IFERROR(__xludf.DUMMYFUNCTION("""COMPUTED_VALUE"""),"10")</f>
        <v>10</v>
      </c>
      <c r="F98" s="211" t="str">
        <f>IFERROR(__xludf.DUMMYFUNCTION("""COMPUTED_VALUE"""),"500000")</f>
        <v>500000</v>
      </c>
      <c r="G98" s="211"/>
      <c r="H98" s="211"/>
      <c r="I98" s="211">
        <f>IFERROR(__xludf.DUMMYFUNCTION("""COMPUTED_VALUE"""),500000.0)</f>
        <v>500000</v>
      </c>
      <c r="J98" s="211" t="str">
        <f>IFERROR(__xludf.DUMMYFUNCTION("""COMPUTED_VALUE"""),"Ya")</f>
        <v>Ya</v>
      </c>
      <c r="L98" s="223" t="str">
        <f>IFERROR(__xludf.DUMMYFUNCTION("""COMPUTED_VALUE"""),"Mar 2025")</f>
        <v>Mar 2025</v>
      </c>
      <c r="M98" s="211" t="str">
        <f>IFERROR(__xludf.DUMMYFUNCTION("""COMPUTED_VALUE"""),"Bpk. Maruf")</f>
        <v>Bpk. Maruf</v>
      </c>
      <c r="N98" s="211" t="str">
        <f>IFERROR(__xludf.DUMMYFUNCTION("""COMPUTED_VALUE"""),"0325980")</f>
        <v>0325980</v>
      </c>
      <c r="O98" s="211" t="str">
        <f>IFERROR(__xludf.DUMMYFUNCTION("""COMPUTED_VALUE"""),"7/7")</f>
        <v>7/7</v>
      </c>
      <c r="P98" s="224">
        <f>IFERROR(__xludf.DUMMYFUNCTION("""COMPUTED_VALUE"""),9350000.0)</f>
        <v>9350000</v>
      </c>
      <c r="Q98" s="225" t="str">
        <f>IFERROR(__xludf.DUMMYFUNCTION("""COMPUTED_VALUE"""),"✅")</f>
        <v>✅</v>
      </c>
      <c r="R98" s="211" t="str">
        <f>IFERROR(__xludf.DUMMYFUNCTION("""COMPUTED_VALUE"""),"-")</f>
        <v>-</v>
      </c>
      <c r="S98" s="211"/>
      <c r="T98" s="211"/>
      <c r="U98" s="211"/>
    </row>
    <row r="99">
      <c r="A99" s="222" t="str">
        <f>IFERROR(__xludf.DUMMYFUNCTION("""COMPUTED_VALUE"""),"11240135")</f>
        <v>11240135</v>
      </c>
      <c r="B99" s="211" t="str">
        <f>IFERROR(__xludf.DUMMYFUNCTION("""COMPUTED_VALUE"""),"29 Nov 2024")</f>
        <v>29 Nov 2024</v>
      </c>
      <c r="C99" s="211" t="str">
        <f>IFERROR(__xludf.DUMMYFUNCTION("""COMPUTED_VALUE"""),"Bpk. Agus")</f>
        <v>Bpk. Agus</v>
      </c>
      <c r="D99" s="211" t="str">
        <f>IFERROR(__xludf.DUMMYFUNCTION("""COMPUTED_VALUE"""),"Oksigen 6m3")</f>
        <v>Oksigen 6m3</v>
      </c>
      <c r="E99" s="211" t="str">
        <f>IFERROR(__xludf.DUMMYFUNCTION("""COMPUTED_VALUE"""),"2")</f>
        <v>2</v>
      </c>
      <c r="F99" s="211" t="str">
        <f>IFERROR(__xludf.DUMMYFUNCTION("""COMPUTED_VALUE"""),"120000")</f>
        <v>120000</v>
      </c>
      <c r="G99" s="211"/>
      <c r="H99" s="211"/>
      <c r="I99" s="211">
        <f>IFERROR(__xludf.DUMMYFUNCTION("""COMPUTED_VALUE"""),120000.0)</f>
        <v>120000</v>
      </c>
      <c r="J99" s="211" t="str">
        <f>IFERROR(__xludf.DUMMYFUNCTION("""COMPUTED_VALUE"""),"Tidak")</f>
        <v>Tidak</v>
      </c>
      <c r="L99" s="223" t="str">
        <f>IFERROR(__xludf.DUMMYFUNCTION("""COMPUTED_VALUE"""),"Mar 2025")</f>
        <v>Mar 2025</v>
      </c>
      <c r="M99" s="211" t="str">
        <f>IFERROR(__xludf.DUMMYFUNCTION("""COMPUTED_VALUE"""),"Bpk. Joko (Gresik)")</f>
        <v>Bpk. Joko (Gresik)</v>
      </c>
      <c r="N99" s="211" t="str">
        <f>IFERROR(__xludf.DUMMYFUNCTION("""COMPUTED_VALUE"""),"0325990")</f>
        <v>0325990</v>
      </c>
      <c r="O99" s="211" t="str">
        <f>IFERROR(__xludf.DUMMYFUNCTION("""COMPUTED_VALUE"""),"5/5")</f>
        <v>5/5</v>
      </c>
      <c r="P99" s="224">
        <f>IFERROR(__xludf.DUMMYFUNCTION("""COMPUTED_VALUE"""),2020000.0)</f>
        <v>2020000</v>
      </c>
      <c r="Q99" s="225" t="str">
        <f>IFERROR(__xludf.DUMMYFUNCTION("""COMPUTED_VALUE"""),"✅")</f>
        <v>✅</v>
      </c>
      <c r="R99" s="211" t="str">
        <f>IFERROR(__xludf.DUMMYFUNCTION("""COMPUTED_VALUE"""),"-")</f>
        <v>-</v>
      </c>
      <c r="S99" s="211"/>
      <c r="T99" s="211"/>
      <c r="U99" s="211"/>
    </row>
    <row r="100">
      <c r="A100" s="222" t="str">
        <f>IFERROR(__xludf.DUMMYFUNCTION("""COMPUTED_VALUE"""),"11240136")</f>
        <v>11240136</v>
      </c>
      <c r="B100" s="211" t="str">
        <f>IFERROR(__xludf.DUMMYFUNCTION("""COMPUTED_VALUE"""),"29 Nov 2024")</f>
        <v>29 Nov 2024</v>
      </c>
      <c r="C100" s="211" t="str">
        <f>IFERROR(__xludf.DUMMYFUNCTION("""COMPUTED_VALUE"""),"Bpk. Yudi")</f>
        <v>Bpk. Yudi</v>
      </c>
      <c r="D100" s="211" t="str">
        <f>IFERROR(__xludf.DUMMYFUNCTION("""COMPUTED_VALUE"""),"Argon 6m3")</f>
        <v>Argon 6m3</v>
      </c>
      <c r="E100" s="211" t="str">
        <f>IFERROR(__xludf.DUMMYFUNCTION("""COMPUTED_VALUE"""),"2")</f>
        <v>2</v>
      </c>
      <c r="F100" s="211" t="str">
        <f>IFERROR(__xludf.DUMMYFUNCTION("""COMPUTED_VALUE"""),"599400")</f>
        <v>599400</v>
      </c>
      <c r="G100" s="211"/>
      <c r="H100" s="211"/>
      <c r="I100" s="211">
        <f>IFERROR(__xludf.DUMMYFUNCTION("""COMPUTED_VALUE"""),599400.0)</f>
        <v>599400</v>
      </c>
      <c r="J100" s="211" t="str">
        <f>IFERROR(__xludf.DUMMYFUNCTION("""COMPUTED_VALUE"""),"Ya")</f>
        <v>Ya</v>
      </c>
      <c r="L100" s="223" t="str">
        <f>IFERROR(__xludf.DUMMYFUNCTION("""COMPUTED_VALUE"""),"Mar 2025")</f>
        <v>Mar 2025</v>
      </c>
      <c r="M100" s="211" t="str">
        <f>IFERROR(__xludf.DUMMYFUNCTION("""COMPUTED_VALUE"""),"PT PELANGI INDOKARYA")</f>
        <v>PT PELANGI INDOKARYA</v>
      </c>
      <c r="N100" s="211" t="str">
        <f>IFERROR(__xludf.DUMMYFUNCTION("""COMPUTED_VALUE"""),"03251000")</f>
        <v>03251000</v>
      </c>
      <c r="O100" s="211" t="str">
        <f>IFERROR(__xludf.DUMMYFUNCTION("""COMPUTED_VALUE"""),"1/1")</f>
        <v>1/1</v>
      </c>
      <c r="P100" s="224">
        <f>IFERROR(__xludf.DUMMYFUNCTION("""COMPUTED_VALUE"""),199800.0)</f>
        <v>199800</v>
      </c>
      <c r="Q100" s="225" t="str">
        <f>IFERROR(__xludf.DUMMYFUNCTION("""COMPUTED_VALUE"""),"✅")</f>
        <v>✅</v>
      </c>
      <c r="R100" s="211" t="str">
        <f>IFERROR(__xludf.DUMMYFUNCTION("""COMPUTED_VALUE"""),"-")</f>
        <v>-</v>
      </c>
      <c r="S100" s="211"/>
      <c r="T100" s="211"/>
      <c r="U100" s="211"/>
    </row>
    <row r="101">
      <c r="A101" s="222" t="str">
        <f>IFERROR(__xludf.DUMMYFUNCTION("""COMPUTED_VALUE"""),"11240137")</f>
        <v>11240137</v>
      </c>
      <c r="B101" s="211" t="str">
        <f>IFERROR(__xludf.DUMMYFUNCTION("""COMPUTED_VALUE"""),"30 Nov 2024")</f>
        <v>30 Nov 2024</v>
      </c>
      <c r="C101" s="211" t="str">
        <f>IFERROR(__xludf.DUMMYFUNCTION("""COMPUTED_VALUE"""),"PT Dunia Berkat Marga Mulya")</f>
        <v>PT Dunia Berkat Marga Mulya</v>
      </c>
      <c r="D101" s="211" t="str">
        <f>IFERROR(__xludf.DUMMYFUNCTION("""COMPUTED_VALUE"""),"Oksigen 6m3")</f>
        <v>Oksigen 6m3</v>
      </c>
      <c r="E101" s="211" t="str">
        <f>IFERROR(__xludf.DUMMYFUNCTION("""COMPUTED_VALUE"""),"5")</f>
        <v>5</v>
      </c>
      <c r="F101" s="211" t="str">
        <f>IFERROR(__xludf.DUMMYFUNCTION("""COMPUTED_VALUE"""),"333000")</f>
        <v>333000</v>
      </c>
      <c r="G101" s="211"/>
      <c r="H101" s="211"/>
      <c r="I101" s="211">
        <f>IFERROR(__xludf.DUMMYFUNCTION("""COMPUTED_VALUE"""),333000.0)</f>
        <v>333000</v>
      </c>
      <c r="J101" s="211" t="str">
        <f>IFERROR(__xludf.DUMMYFUNCTION("""COMPUTED_VALUE"""),"Ya")</f>
        <v>Ya</v>
      </c>
      <c r="L101" s="223" t="str">
        <f>IFERROR(__xludf.DUMMYFUNCTION("""COMPUTED_VALUE"""),"Mar 2025")</f>
        <v>Mar 2025</v>
      </c>
      <c r="M101" s="211" t="str">
        <f>IFERROR(__xludf.DUMMYFUNCTION("""COMPUTED_VALUE"""),"GYF")</f>
        <v>GYF</v>
      </c>
      <c r="N101" s="211" t="str">
        <f>IFERROR(__xludf.DUMMYFUNCTION("""COMPUTED_VALUE"""),"03251010")</f>
        <v>03251010</v>
      </c>
      <c r="O101" s="211" t="str">
        <f>IFERROR(__xludf.DUMMYFUNCTION("""COMPUTED_VALUE"""),"3/3")</f>
        <v>3/3</v>
      </c>
      <c r="P101" s="224">
        <f>IFERROR(__xludf.DUMMYFUNCTION("""COMPUTED_VALUE"""),1800000.0)</f>
        <v>1800000</v>
      </c>
      <c r="Q101" s="225" t="str">
        <f>IFERROR(__xludf.DUMMYFUNCTION("""COMPUTED_VALUE"""),"✅")</f>
        <v>✅</v>
      </c>
      <c r="R101" s="211" t="str">
        <f>IFERROR(__xludf.DUMMYFUNCTION("""COMPUTED_VALUE"""),"-")</f>
        <v>-</v>
      </c>
      <c r="S101" s="211"/>
      <c r="T101" s="211"/>
      <c r="U101" s="211"/>
    </row>
    <row r="102">
      <c r="A102" s="222" t="str">
        <f>IFERROR(__xludf.DUMMYFUNCTION("""COMPUTED_VALUE"""),"11240138")</f>
        <v>11240138</v>
      </c>
      <c r="B102" s="211" t="str">
        <f>IFERROR(__xludf.DUMMYFUNCTION("""COMPUTED_VALUE"""),"30 Nov 2024")</f>
        <v>30 Nov 2024</v>
      </c>
      <c r="C102" s="211" t="str">
        <f>IFERROR(__xludf.DUMMYFUNCTION("""COMPUTED_VALUE"""),"CV Sido Mukti Karya")</f>
        <v>CV Sido Mukti Karya</v>
      </c>
      <c r="D102" s="211" t="str">
        <f>IFERROR(__xludf.DUMMYFUNCTION("""COMPUTED_VALUE"""),"Karbondioksida")</f>
        <v>Karbondioksida</v>
      </c>
      <c r="E102" s="211" t="str">
        <f>IFERROR(__xludf.DUMMYFUNCTION("""COMPUTED_VALUE"""),"1")</f>
        <v>1</v>
      </c>
      <c r="F102" s="211" t="str">
        <f>IFERROR(__xludf.DUMMYFUNCTION("""COMPUTED_VALUE"""),"170000")</f>
        <v>170000</v>
      </c>
      <c r="G102" s="211"/>
      <c r="H102" s="211"/>
      <c r="I102" s="211">
        <f>IFERROR(__xludf.DUMMYFUNCTION("""COMPUTED_VALUE"""),170000.0)</f>
        <v>170000</v>
      </c>
      <c r="J102" s="211" t="str">
        <f>IFERROR(__xludf.DUMMYFUNCTION("""COMPUTED_VALUE"""),"Ya")</f>
        <v>Ya</v>
      </c>
      <c r="L102" s="223" t="str">
        <f>IFERROR(__xludf.DUMMYFUNCTION("""COMPUTED_VALUE"""),"Mar 2025")</f>
        <v>Mar 2025</v>
      </c>
      <c r="M102" s="211" t="str">
        <f>IFERROR(__xludf.DUMMYFUNCTION("""COMPUTED_VALUE"""),"PT ARYANA CAKASANA")</f>
        <v>PT ARYANA CAKASANA</v>
      </c>
      <c r="N102" s="211" t="str">
        <f>IFERROR(__xludf.DUMMYFUNCTION("""COMPUTED_VALUE"""),"03251024")</f>
        <v>03251024</v>
      </c>
      <c r="O102" s="211" t="str">
        <f>IFERROR(__xludf.DUMMYFUNCTION("""COMPUTED_VALUE"""),"0/4")</f>
        <v>0/4</v>
      </c>
      <c r="P102" s="224">
        <f>IFERROR(__xludf.DUMMYFUNCTION("""COMPUTED_VALUE"""),2100000.0)</f>
        <v>2100000</v>
      </c>
      <c r="Q102" s="225">
        <f>IFERROR(__xludf.DUMMYFUNCTION("""COMPUTED_VALUE"""),2100000.0)</f>
        <v>2100000</v>
      </c>
      <c r="R102" s="211" t="str">
        <f>IFERROR(__xludf.DUMMYFUNCTION("""COMPUTED_VALUE"""),"03250297 03250320 03250333 03250341")</f>
        <v>03250297 03250320 03250333 03250341</v>
      </c>
      <c r="S102" s="211"/>
      <c r="T102" s="211"/>
      <c r="U102" s="211"/>
    </row>
    <row r="103">
      <c r="A103" s="222" t="str">
        <f>IFERROR(__xludf.DUMMYFUNCTION("""COMPUTED_VALUE"""),"12240139")</f>
        <v>12240139</v>
      </c>
      <c r="B103" s="211" t="str">
        <f>IFERROR(__xludf.DUMMYFUNCTION("""COMPUTED_VALUE"""),"02 Dec 2024")</f>
        <v>02 Dec 2024</v>
      </c>
      <c r="C103" s="211" t="str">
        <f>IFERROR(__xludf.DUMMYFUNCTION("""COMPUTED_VALUE"""),"PT GEMILANG CIPTA WAWASAN")</f>
        <v>PT GEMILANG CIPTA WAWASAN</v>
      </c>
      <c r="D103" s="211" t="str">
        <f>IFERROR(__xludf.DUMMYFUNCTION("""COMPUTED_VALUE"""),"Oksigen 6m3
Karbondioksida
Argon 6m3")</f>
        <v>Oksigen 6m3
Karbondioksida
Argon 6m3</v>
      </c>
      <c r="E103" s="211" t="str">
        <f>IFERROR(__xludf.DUMMYFUNCTION("""COMPUTED_VALUE"""),"5
4
5")</f>
        <v>5
4
5</v>
      </c>
      <c r="F103" s="211" t="str">
        <f>IFERROR(__xludf.DUMMYFUNCTION("""COMPUTED_VALUE"""),"333000
741480
1087800")</f>
        <v>333000
741480
1087800</v>
      </c>
      <c r="G103" s="211"/>
      <c r="H103" s="211"/>
      <c r="I103" s="211">
        <f>IFERROR(__xludf.DUMMYFUNCTION("""COMPUTED_VALUE"""),2162280.0)</f>
        <v>2162280</v>
      </c>
      <c r="J103" s="211" t="str">
        <f>IFERROR(__xludf.DUMMYFUNCTION("""COMPUTED_VALUE"""),"Ya")</f>
        <v>Ya</v>
      </c>
      <c r="L103" s="223" t="str">
        <f>IFERROR(__xludf.DUMMYFUNCTION("""COMPUTED_VALUE"""),"Mar 2025")</f>
        <v>Mar 2025</v>
      </c>
      <c r="M103" s="211" t="str">
        <f>IFERROR(__xludf.DUMMYFUNCTION("""COMPUTED_VALUE"""),"PT Jatim Abadi Perkasa Steel")</f>
        <v>PT Jatim Abadi Perkasa Steel</v>
      </c>
      <c r="N103" s="211" t="str">
        <f>IFERROR(__xludf.DUMMYFUNCTION("""COMPUTED_VALUE"""),"03251030")</f>
        <v>03251030</v>
      </c>
      <c r="O103" s="211" t="str">
        <f>IFERROR(__xludf.DUMMYFUNCTION("""COMPUTED_VALUE"""),"3/3")</f>
        <v>3/3</v>
      </c>
      <c r="P103" s="224">
        <f>IFERROR(__xludf.DUMMYFUNCTION("""COMPUTED_VALUE"""),1832220.0)</f>
        <v>1832220</v>
      </c>
      <c r="Q103" s="225" t="str">
        <f>IFERROR(__xludf.DUMMYFUNCTION("""COMPUTED_VALUE"""),"✅")</f>
        <v>✅</v>
      </c>
      <c r="R103" s="211" t="str">
        <f>IFERROR(__xludf.DUMMYFUNCTION("""COMPUTED_VALUE"""),"-")</f>
        <v>-</v>
      </c>
      <c r="S103" s="211"/>
      <c r="T103" s="211"/>
      <c r="U103" s="211"/>
    </row>
    <row r="104">
      <c r="A104" s="222" t="str">
        <f>IFERROR(__xludf.DUMMYFUNCTION("""COMPUTED_VALUE"""),"12240142")</f>
        <v>12240142</v>
      </c>
      <c r="B104" s="211" t="str">
        <f>IFERROR(__xludf.DUMMYFUNCTION("""COMPUTED_VALUE"""),"02 Dec 2024")</f>
        <v>02 Dec 2024</v>
      </c>
      <c r="C104" s="211" t="str">
        <f>IFERROR(__xludf.DUMMYFUNCTION("""COMPUTED_VALUE"""),"PT REKAYASA CAHAYA CEMERLANG")</f>
        <v>PT REKAYASA CAHAYA CEMERLANG</v>
      </c>
      <c r="D104" s="211" t="str">
        <f>IFERROR(__xludf.DUMMYFUNCTION("""COMPUTED_VALUE"""),"Tabung 6m3 + O2
LPG 12kg")</f>
        <v>Tabung 6m3 + O2
LPG 12kg</v>
      </c>
      <c r="E104" s="211" t="str">
        <f>IFERROR(__xludf.DUMMYFUNCTION("""COMPUTED_VALUE"""),"2
2")</f>
        <v>2
2</v>
      </c>
      <c r="F104" s="211" t="str">
        <f>IFERROR(__xludf.DUMMYFUNCTION("""COMPUTED_VALUE"""),"0
430000")</f>
        <v>0
430000</v>
      </c>
      <c r="G104" s="211"/>
      <c r="H104" s="211"/>
      <c r="I104" s="211">
        <f>IFERROR(__xludf.DUMMYFUNCTION("""COMPUTED_VALUE"""),430000.0)</f>
        <v>430000</v>
      </c>
      <c r="J104" s="211" t="str">
        <f>IFERROR(__xludf.DUMMYFUNCTION("""COMPUTED_VALUE"""),"Ya")</f>
        <v>Ya</v>
      </c>
      <c r="L104" s="223" t="str">
        <f>IFERROR(__xludf.DUMMYFUNCTION("""COMPUTED_VALUE"""),"Mar 2025")</f>
        <v>Mar 2025</v>
      </c>
      <c r="M104" s="211" t="str">
        <f>IFERROR(__xludf.DUMMYFUNCTION("""COMPUTED_VALUE"""),"Bpk. Irul")</f>
        <v>Bpk. Irul</v>
      </c>
      <c r="N104" s="211" t="str">
        <f>IFERROR(__xludf.DUMMYFUNCTION("""COMPUTED_VALUE"""),"03251040")</f>
        <v>03251040</v>
      </c>
      <c r="O104" s="211" t="str">
        <f>IFERROR(__xludf.DUMMYFUNCTION("""COMPUTED_VALUE"""),"2/2")</f>
        <v>2/2</v>
      </c>
      <c r="P104" s="224">
        <f>IFERROR(__xludf.DUMMYFUNCTION("""COMPUTED_VALUE"""),195000.0)</f>
        <v>195000</v>
      </c>
      <c r="Q104" s="225" t="str">
        <f>IFERROR(__xludf.DUMMYFUNCTION("""COMPUTED_VALUE"""),"✅")</f>
        <v>✅</v>
      </c>
      <c r="R104" s="211" t="str">
        <f>IFERROR(__xludf.DUMMYFUNCTION("""COMPUTED_VALUE"""),"-")</f>
        <v>-</v>
      </c>
      <c r="S104" s="211"/>
      <c r="T104" s="211"/>
      <c r="U104" s="211"/>
    </row>
    <row r="105">
      <c r="A105" s="222" t="str">
        <f>IFERROR(__xludf.DUMMYFUNCTION("""COMPUTED_VALUE"""),"12240143")</f>
        <v>12240143</v>
      </c>
      <c r="B105" s="211" t="str">
        <f>IFERROR(__xludf.DUMMYFUNCTION("""COMPUTED_VALUE"""),"03 Dec 2024")</f>
        <v>03 Dec 2024</v>
      </c>
      <c r="C105" s="211" t="str">
        <f>IFERROR(__xludf.DUMMYFUNCTION("""COMPUTED_VALUE"""),"PT REKAYASA CAHAYA CEMERLANG")</f>
        <v>PT REKAYASA CAHAYA CEMERLANG</v>
      </c>
      <c r="D105" s="211" t="str">
        <f>IFERROR(__xludf.DUMMYFUNCTION("""COMPUTED_VALUE"""),"Tabung 6m3 + CO2")</f>
        <v>Tabung 6m3 + CO2</v>
      </c>
      <c r="E105" s="211" t="str">
        <f>IFERROR(__xludf.DUMMYFUNCTION("""COMPUTED_VALUE"""),"1")</f>
        <v>1</v>
      </c>
      <c r="F105" s="211" t="str">
        <f>IFERROR(__xludf.DUMMYFUNCTION("""COMPUTED_VALUE"""),"0")</f>
        <v>0</v>
      </c>
      <c r="G105" s="211"/>
      <c r="H105" s="211"/>
      <c r="I105" s="211">
        <f>IFERROR(__xludf.DUMMYFUNCTION("""COMPUTED_VALUE"""),0.0)</f>
        <v>0</v>
      </c>
      <c r="J105" s="211" t="str">
        <f>IFERROR(__xludf.DUMMYFUNCTION("""COMPUTED_VALUE"""),"Ya")</f>
        <v>Ya</v>
      </c>
      <c r="L105" s="223" t="str">
        <f>IFERROR(__xludf.DUMMYFUNCTION("""COMPUTED_VALUE"""),"Mar 2025")</f>
        <v>Mar 2025</v>
      </c>
      <c r="M105" s="211" t="str">
        <f>IFERROR(__xludf.DUMMYFUNCTION("""COMPUTED_VALUE"""),"PT Sinar Indogreen Kencana")</f>
        <v>PT Sinar Indogreen Kencana</v>
      </c>
      <c r="N105" s="211" t="str">
        <f>IFERROR(__xludf.DUMMYFUNCTION("""COMPUTED_VALUE"""),"03251050")</f>
        <v>03251050</v>
      </c>
      <c r="O105" s="211" t="str">
        <f>IFERROR(__xludf.DUMMYFUNCTION("""COMPUTED_VALUE"""),"1/1")</f>
        <v>1/1</v>
      </c>
      <c r="P105" s="224">
        <f>IFERROR(__xludf.DUMMYFUNCTION("""COMPUTED_VALUE"""),630001.0)</f>
        <v>630001</v>
      </c>
      <c r="Q105" s="225" t="str">
        <f>IFERROR(__xludf.DUMMYFUNCTION("""COMPUTED_VALUE"""),"✅")</f>
        <v>✅</v>
      </c>
      <c r="R105" s="211" t="str">
        <f>IFERROR(__xludf.DUMMYFUNCTION("""COMPUTED_VALUE"""),"-")</f>
        <v>-</v>
      </c>
      <c r="S105" s="211"/>
      <c r="T105" s="211"/>
      <c r="U105" s="211"/>
    </row>
    <row r="106">
      <c r="A106" s="222" t="str">
        <f>IFERROR(__xludf.DUMMYFUNCTION("""COMPUTED_VALUE"""),"12240145")</f>
        <v>12240145</v>
      </c>
      <c r="B106" s="211" t="str">
        <f>IFERROR(__xludf.DUMMYFUNCTION("""COMPUTED_VALUE"""),"02 Dec 2024")</f>
        <v>02 Dec 2024</v>
      </c>
      <c r="C106" s="211" t="str">
        <f>IFERROR(__xludf.DUMMYFUNCTION("""COMPUTED_VALUE"""),"PT Hua Zong Mesindo")</f>
        <v>PT Hua Zong Mesindo</v>
      </c>
      <c r="D106" s="211" t="str">
        <f>IFERROR(__xludf.DUMMYFUNCTION("""COMPUTED_VALUE"""),"Oksigen 6m3")</f>
        <v>Oksigen 6m3</v>
      </c>
      <c r="E106" s="211" t="str">
        <f>IFERROR(__xludf.DUMMYFUNCTION("""COMPUTED_VALUE"""),"4")</f>
        <v>4</v>
      </c>
      <c r="F106" s="211" t="str">
        <f>IFERROR(__xludf.DUMMYFUNCTION("""COMPUTED_VALUE"""),"240000")</f>
        <v>240000</v>
      </c>
      <c r="G106" s="211"/>
      <c r="H106" s="211"/>
      <c r="I106" s="211">
        <f>IFERROR(__xludf.DUMMYFUNCTION("""COMPUTED_VALUE"""),240000.0)</f>
        <v>240000</v>
      </c>
      <c r="J106" s="211" t="str">
        <f>IFERROR(__xludf.DUMMYFUNCTION("""COMPUTED_VALUE"""),"Ya")</f>
        <v>Ya</v>
      </c>
      <c r="L106" s="223" t="str">
        <f>IFERROR(__xludf.DUMMYFUNCTION("""COMPUTED_VALUE"""),"Mar 2025")</f>
        <v>Mar 2025</v>
      </c>
      <c r="M106" s="211" t="str">
        <f>IFERROR(__xludf.DUMMYFUNCTION("""COMPUTED_VALUE"""),"Ibu Siti Barokah")</f>
        <v>Ibu Siti Barokah</v>
      </c>
      <c r="N106" s="211" t="str">
        <f>IFERROR(__xludf.DUMMYFUNCTION("""COMPUTED_VALUE"""),"03251060")</f>
        <v>03251060</v>
      </c>
      <c r="O106" s="211" t="str">
        <f>IFERROR(__xludf.DUMMYFUNCTION("""COMPUTED_VALUE"""),"1/1")</f>
        <v>1/1</v>
      </c>
      <c r="P106" s="224">
        <f>IFERROR(__xludf.DUMMYFUNCTION("""COMPUTED_VALUE"""),80000.0)</f>
        <v>80000</v>
      </c>
      <c r="Q106" s="225" t="str">
        <f>IFERROR(__xludf.DUMMYFUNCTION("""COMPUTED_VALUE"""),"✅")</f>
        <v>✅</v>
      </c>
      <c r="R106" s="211" t="str">
        <f>IFERROR(__xludf.DUMMYFUNCTION("""COMPUTED_VALUE"""),"-")</f>
        <v>-</v>
      </c>
      <c r="S106" s="211"/>
      <c r="T106" s="211"/>
      <c r="U106" s="211"/>
    </row>
    <row r="107">
      <c r="A107" s="222" t="str">
        <f>IFERROR(__xludf.DUMMYFUNCTION("""COMPUTED_VALUE"""),"12240146")</f>
        <v>12240146</v>
      </c>
      <c r="B107" s="211" t="str">
        <f>IFERROR(__xludf.DUMMYFUNCTION("""COMPUTED_VALUE"""),"02 Dec 2024")</f>
        <v>02 Dec 2024</v>
      </c>
      <c r="C107" s="211" t="str">
        <f>IFERROR(__xludf.DUMMYFUNCTION("""COMPUTED_VALUE"""),"Bpk. Sukirno (Bejo)")</f>
        <v>Bpk. Sukirno (Bejo)</v>
      </c>
      <c r="D107" s="211" t="str">
        <f>IFERROR(__xludf.DUMMYFUNCTION("""COMPUTED_VALUE"""),"Oksigen 6m3")</f>
        <v>Oksigen 6m3</v>
      </c>
      <c r="E107" s="211" t="str">
        <f>IFERROR(__xludf.DUMMYFUNCTION("""COMPUTED_VALUE"""),"15")</f>
        <v>15</v>
      </c>
      <c r="F107" s="211" t="str">
        <f>IFERROR(__xludf.DUMMYFUNCTION("""COMPUTED_VALUE"""),"900000")</f>
        <v>900000</v>
      </c>
      <c r="G107" s="211"/>
      <c r="H107" s="211"/>
      <c r="I107" s="211">
        <f>IFERROR(__xludf.DUMMYFUNCTION("""COMPUTED_VALUE"""),900000.0)</f>
        <v>900000</v>
      </c>
      <c r="J107" s="211" t="str">
        <f>IFERROR(__xludf.DUMMYFUNCTION("""COMPUTED_VALUE"""),"Ya")</f>
        <v>Ya</v>
      </c>
      <c r="L107" s="223" t="str">
        <f>IFERROR(__xludf.DUMMYFUNCTION("""COMPUTED_VALUE"""),"Mar 2025")</f>
        <v>Mar 2025</v>
      </c>
      <c r="M107" s="211" t="str">
        <f>IFERROR(__xludf.DUMMYFUNCTION("""COMPUTED_VALUE"""),"Bengkel Adi Putra")</f>
        <v>Bengkel Adi Putra</v>
      </c>
      <c r="N107" s="211" t="str">
        <f>IFERROR(__xludf.DUMMYFUNCTION("""COMPUTED_VALUE"""),"03251070")</f>
        <v>03251070</v>
      </c>
      <c r="O107" s="211" t="str">
        <f>IFERROR(__xludf.DUMMYFUNCTION("""COMPUTED_VALUE"""),"1/1")</f>
        <v>1/1</v>
      </c>
      <c r="P107" s="224">
        <f>IFERROR(__xludf.DUMMYFUNCTION("""COMPUTED_VALUE"""),140000.0)</f>
        <v>140000</v>
      </c>
      <c r="Q107" s="225" t="str">
        <f>IFERROR(__xludf.DUMMYFUNCTION("""COMPUTED_VALUE"""),"✅")</f>
        <v>✅</v>
      </c>
      <c r="R107" s="211" t="str">
        <f>IFERROR(__xludf.DUMMYFUNCTION("""COMPUTED_VALUE"""),"-")</f>
        <v>-</v>
      </c>
      <c r="S107" s="211"/>
      <c r="T107" s="211"/>
      <c r="U107" s="211"/>
    </row>
    <row r="108">
      <c r="A108" s="222" t="str">
        <f>IFERROR(__xludf.DUMMYFUNCTION("""COMPUTED_VALUE"""),"12240147")</f>
        <v>12240147</v>
      </c>
      <c r="B108" s="211" t="str">
        <f>IFERROR(__xludf.DUMMYFUNCTION("""COMPUTED_VALUE"""),"03 Dec 2024")</f>
        <v>03 Dec 2024</v>
      </c>
      <c r="C108" s="211" t="str">
        <f>IFERROR(__xludf.DUMMYFUNCTION("""COMPUTED_VALUE"""),"CV Sido Mukti Karya")</f>
        <v>CV Sido Mukti Karya</v>
      </c>
      <c r="D108" s="211" t="str">
        <f>IFERROR(__xludf.DUMMYFUNCTION("""COMPUTED_VALUE"""),"Oksigen 6m3")</f>
        <v>Oksigen 6m3</v>
      </c>
      <c r="E108" s="211" t="str">
        <f>IFERROR(__xludf.DUMMYFUNCTION("""COMPUTED_VALUE"""),"10")</f>
        <v>10</v>
      </c>
      <c r="F108" s="211" t="str">
        <f>IFERROR(__xludf.DUMMYFUNCTION("""COMPUTED_VALUE"""),"600000")</f>
        <v>600000</v>
      </c>
      <c r="G108" s="211"/>
      <c r="H108" s="211"/>
      <c r="I108" s="211">
        <f>IFERROR(__xludf.DUMMYFUNCTION("""COMPUTED_VALUE"""),600000.0)</f>
        <v>600000</v>
      </c>
      <c r="J108" s="211" t="str">
        <f>IFERROR(__xludf.DUMMYFUNCTION("""COMPUTED_VALUE"""),"Ya")</f>
        <v>Ya</v>
      </c>
      <c r="L108" s="223" t="str">
        <f>IFERROR(__xludf.DUMMYFUNCTION("""COMPUTED_VALUE"""),"Mar 2025")</f>
        <v>Mar 2025</v>
      </c>
      <c r="M108" s="211" t="str">
        <f>IFERROR(__xludf.DUMMYFUNCTION("""COMPUTED_VALUE"""),"Abah Mad")</f>
        <v>Abah Mad</v>
      </c>
      <c r="N108" s="211" t="str">
        <f>IFERROR(__xludf.DUMMYFUNCTION("""COMPUTED_VALUE"""),"03251080")</f>
        <v>03251080</v>
      </c>
      <c r="O108" s="211" t="str">
        <f>IFERROR(__xludf.DUMMYFUNCTION("""COMPUTED_VALUE"""),"1/1")</f>
        <v>1/1</v>
      </c>
      <c r="P108" s="224">
        <f>IFERROR(__xludf.DUMMYFUNCTION("""COMPUTED_VALUE"""),90000.0)</f>
        <v>90000</v>
      </c>
      <c r="Q108" s="225" t="str">
        <f>IFERROR(__xludf.DUMMYFUNCTION("""COMPUTED_VALUE"""),"✅")</f>
        <v>✅</v>
      </c>
      <c r="R108" s="211" t="str">
        <f>IFERROR(__xludf.DUMMYFUNCTION("""COMPUTED_VALUE"""),"-")</f>
        <v>-</v>
      </c>
      <c r="S108" s="211"/>
      <c r="T108" s="211"/>
      <c r="U108" s="211"/>
    </row>
    <row r="109">
      <c r="A109" s="222" t="str">
        <f>IFERROR(__xludf.DUMMYFUNCTION("""COMPUTED_VALUE"""),"12240148")</f>
        <v>12240148</v>
      </c>
      <c r="B109" s="211" t="str">
        <f>IFERROR(__xludf.DUMMYFUNCTION("""COMPUTED_VALUE"""),"04 Dec 2024")</f>
        <v>04 Dec 2024</v>
      </c>
      <c r="C109" s="211" t="str">
        <f>IFERROR(__xludf.DUMMYFUNCTION("""COMPUTED_VALUE"""),"Bpk. Sukirno (Bejo)")</f>
        <v>Bpk. Sukirno (Bejo)</v>
      </c>
      <c r="D109" s="211" t="str">
        <f>IFERROR(__xludf.DUMMYFUNCTION("""COMPUTED_VALUE"""),"Oksigen 6m3")</f>
        <v>Oksigen 6m3</v>
      </c>
      <c r="E109" s="211" t="str">
        <f>IFERROR(__xludf.DUMMYFUNCTION("""COMPUTED_VALUE"""),"10")</f>
        <v>10</v>
      </c>
      <c r="F109" s="211" t="str">
        <f>IFERROR(__xludf.DUMMYFUNCTION("""COMPUTED_VALUE"""),"600000")</f>
        <v>600000</v>
      </c>
      <c r="G109" s="211"/>
      <c r="H109" s="211"/>
      <c r="I109" s="211">
        <f>IFERROR(__xludf.DUMMYFUNCTION("""COMPUTED_VALUE"""),600000.0)</f>
        <v>600000</v>
      </c>
      <c r="J109" s="211" t="str">
        <f>IFERROR(__xludf.DUMMYFUNCTION("""COMPUTED_VALUE"""),"Ya")</f>
        <v>Ya</v>
      </c>
      <c r="L109" s="223" t="str">
        <f>IFERROR(__xludf.DUMMYFUNCTION("""COMPUTED_VALUE"""),"Mar 2025")</f>
        <v>Mar 2025</v>
      </c>
      <c r="M109" s="211" t="str">
        <f>IFERROR(__xludf.DUMMYFUNCTION("""COMPUTED_VALUE"""),"Bengkel Dian Jaya")</f>
        <v>Bengkel Dian Jaya</v>
      </c>
      <c r="N109" s="211" t="str">
        <f>IFERROR(__xludf.DUMMYFUNCTION("""COMPUTED_VALUE"""),"03251090")</f>
        <v>03251090</v>
      </c>
      <c r="O109" s="211" t="str">
        <f>IFERROR(__xludf.DUMMYFUNCTION("""COMPUTED_VALUE"""),"1/1")</f>
        <v>1/1</v>
      </c>
      <c r="P109" s="224">
        <f>IFERROR(__xludf.DUMMYFUNCTION("""COMPUTED_VALUE"""),715000.0)</f>
        <v>715000</v>
      </c>
      <c r="Q109" s="225" t="str">
        <f>IFERROR(__xludf.DUMMYFUNCTION("""COMPUTED_VALUE"""),"✅")</f>
        <v>✅</v>
      </c>
      <c r="R109" s="211" t="str">
        <f>IFERROR(__xludf.DUMMYFUNCTION("""COMPUTED_VALUE"""),"-")</f>
        <v>-</v>
      </c>
      <c r="S109" s="211"/>
      <c r="T109" s="211"/>
      <c r="U109" s="211"/>
    </row>
    <row r="110">
      <c r="A110" s="222" t="str">
        <f>IFERROR(__xludf.DUMMYFUNCTION("""COMPUTED_VALUE"""),"12240149")</f>
        <v>12240149</v>
      </c>
      <c r="B110" s="211" t="str">
        <f>IFERROR(__xludf.DUMMYFUNCTION("""COMPUTED_VALUE"""),"04 Dec 2024")</f>
        <v>04 Dec 2024</v>
      </c>
      <c r="C110" s="211" t="str">
        <f>IFERROR(__xludf.DUMMYFUNCTION("""COMPUTED_VALUE"""),"PT TERAPAN NILAIOSILASI INDONESIA (TENO)")</f>
        <v>PT TERAPAN NILAIOSILASI INDONESIA (TENO)</v>
      </c>
      <c r="D110" s="211" t="str">
        <f>IFERROR(__xludf.DUMMYFUNCTION("""COMPUTED_VALUE"""),"Oksigen 6m3")</f>
        <v>Oksigen 6m3</v>
      </c>
      <c r="E110" s="211" t="str">
        <f>IFERROR(__xludf.DUMMYFUNCTION("""COMPUTED_VALUE"""),"10")</f>
        <v>10</v>
      </c>
      <c r="F110" s="211" t="str">
        <f>IFERROR(__xludf.DUMMYFUNCTION("""COMPUTED_VALUE"""),"500000")</f>
        <v>500000</v>
      </c>
      <c r="G110" s="211"/>
      <c r="H110" s="211"/>
      <c r="I110" s="211">
        <f>IFERROR(__xludf.DUMMYFUNCTION("""COMPUTED_VALUE"""),500000.0)</f>
        <v>500000</v>
      </c>
      <c r="J110" s="211" t="str">
        <f>IFERROR(__xludf.DUMMYFUNCTION("""COMPUTED_VALUE"""),"Ya")</f>
        <v>Ya</v>
      </c>
      <c r="L110" s="223" t="str">
        <f>IFERROR(__xludf.DUMMYFUNCTION("""COMPUTED_VALUE"""),"Mar 2025")</f>
        <v>Mar 2025</v>
      </c>
      <c r="M110" s="211" t="str">
        <f>IFERROR(__xludf.DUMMYFUNCTION("""COMPUTED_VALUE"""),"PT Dunia Berkat Marga Mulya")</f>
        <v>PT Dunia Berkat Marga Mulya</v>
      </c>
      <c r="N110" s="211" t="str">
        <f>IFERROR(__xludf.DUMMYFUNCTION("""COMPUTED_VALUE"""),"03251100")</f>
        <v>03251100</v>
      </c>
      <c r="O110" s="211" t="str">
        <f>IFERROR(__xludf.DUMMYFUNCTION("""COMPUTED_VALUE"""),"2/2")</f>
        <v>2/2</v>
      </c>
      <c r="P110" s="224">
        <f>IFERROR(__xludf.DUMMYFUNCTION("""COMPUTED_VALUE"""),532800.0)</f>
        <v>532800</v>
      </c>
      <c r="Q110" s="225" t="str">
        <f>IFERROR(__xludf.DUMMYFUNCTION("""COMPUTED_VALUE"""),"✅")</f>
        <v>✅</v>
      </c>
      <c r="R110" s="211" t="str">
        <f>IFERROR(__xludf.DUMMYFUNCTION("""COMPUTED_VALUE"""),"-")</f>
        <v>-</v>
      </c>
      <c r="S110" s="211"/>
      <c r="T110" s="211"/>
      <c r="U110" s="211"/>
    </row>
    <row r="111">
      <c r="A111" s="222" t="str">
        <f>IFERROR(__xludf.DUMMYFUNCTION("""COMPUTED_VALUE"""),"12240150")</f>
        <v>12240150</v>
      </c>
      <c r="B111" s="211" t="str">
        <f>IFERROR(__xludf.DUMMYFUNCTION("""COMPUTED_VALUE"""),"04 Dec 2024")</f>
        <v>04 Dec 2024</v>
      </c>
      <c r="C111" s="211" t="str">
        <f>IFERROR(__xludf.DUMMYFUNCTION("""COMPUTED_VALUE"""),"CV Sido Mukti Karya")</f>
        <v>CV Sido Mukti Karya</v>
      </c>
      <c r="D111" s="211" t="str">
        <f>IFERROR(__xludf.DUMMYFUNCTION("""COMPUTED_VALUE"""),"Karbondioksida")</f>
        <v>Karbondioksida</v>
      </c>
      <c r="E111" s="211" t="str">
        <f>IFERROR(__xludf.DUMMYFUNCTION("""COMPUTED_VALUE"""),"2")</f>
        <v>2</v>
      </c>
      <c r="F111" s="211" t="str">
        <f>IFERROR(__xludf.DUMMYFUNCTION("""COMPUTED_VALUE"""),"340000")</f>
        <v>340000</v>
      </c>
      <c r="G111" s="211"/>
      <c r="H111" s="211"/>
      <c r="I111" s="211">
        <f>IFERROR(__xludf.DUMMYFUNCTION("""COMPUTED_VALUE"""),340000.0)</f>
        <v>340000</v>
      </c>
      <c r="J111" s="211" t="str">
        <f>IFERROR(__xludf.DUMMYFUNCTION("""COMPUTED_VALUE"""),"Ya")</f>
        <v>Ya</v>
      </c>
      <c r="L111" s="223" t="str">
        <f>IFERROR(__xludf.DUMMYFUNCTION("""COMPUTED_VALUE"""),"Mar 2025")</f>
        <v>Mar 2025</v>
      </c>
      <c r="M111" s="211" t="str">
        <f>IFERROR(__xludf.DUMMYFUNCTION("""COMPUTED_VALUE"""),"Ibu Ida")</f>
        <v>Ibu Ida</v>
      </c>
      <c r="N111" s="211" t="str">
        <f>IFERROR(__xludf.DUMMYFUNCTION("""COMPUTED_VALUE"""),"03251110")</f>
        <v>03251110</v>
      </c>
      <c r="O111" s="211" t="str">
        <f>IFERROR(__xludf.DUMMYFUNCTION("""COMPUTED_VALUE"""),"1/1")</f>
        <v>1/1</v>
      </c>
      <c r="P111" s="224">
        <f>IFERROR(__xludf.DUMMYFUNCTION("""COMPUTED_VALUE"""),300000.0)</f>
        <v>300000</v>
      </c>
      <c r="Q111" s="225" t="str">
        <f>IFERROR(__xludf.DUMMYFUNCTION("""COMPUTED_VALUE"""),"✅")</f>
        <v>✅</v>
      </c>
      <c r="R111" s="211" t="str">
        <f>IFERROR(__xludf.DUMMYFUNCTION("""COMPUTED_VALUE"""),"-")</f>
        <v>-</v>
      </c>
      <c r="S111" s="211"/>
      <c r="T111" s="211"/>
      <c r="U111" s="211"/>
    </row>
    <row r="112">
      <c r="A112" s="222" t="str">
        <f>IFERROR(__xludf.DUMMYFUNCTION("""COMPUTED_VALUE"""),"12240151")</f>
        <v>12240151</v>
      </c>
      <c r="B112" s="211" t="str">
        <f>IFERROR(__xludf.DUMMYFUNCTION("""COMPUTED_VALUE"""),"05 Dec 2024")</f>
        <v>05 Dec 2024</v>
      </c>
      <c r="C112" s="211" t="str">
        <f>IFERROR(__xludf.DUMMYFUNCTION("""COMPUTED_VALUE"""),"PT ARYANA CAKASANA")</f>
        <v>PT ARYANA CAKASANA</v>
      </c>
      <c r="D112" s="211" t="str">
        <f>IFERROR(__xludf.DUMMYFUNCTION("""COMPUTED_VALUE"""),"Oksigen 6m3")</f>
        <v>Oksigen 6m3</v>
      </c>
      <c r="E112" s="211" t="str">
        <f>IFERROR(__xludf.DUMMYFUNCTION("""COMPUTED_VALUE"""),"10")</f>
        <v>10</v>
      </c>
      <c r="F112" s="211" t="str">
        <f>IFERROR(__xludf.DUMMYFUNCTION("""COMPUTED_VALUE"""),"525001")</f>
        <v>525001</v>
      </c>
      <c r="G112" s="211"/>
      <c r="H112" s="211"/>
      <c r="I112" s="211">
        <f>IFERROR(__xludf.DUMMYFUNCTION("""COMPUTED_VALUE"""),525001.0)</f>
        <v>525001</v>
      </c>
      <c r="J112" s="211" t="str">
        <f>IFERROR(__xludf.DUMMYFUNCTION("""COMPUTED_VALUE"""),"Penagihan")</f>
        <v>Penagihan</v>
      </c>
      <c r="L112" s="223" t="str">
        <f>IFERROR(__xludf.DUMMYFUNCTION("""COMPUTED_VALUE"""),"Mar 2025")</f>
        <v>Mar 2025</v>
      </c>
      <c r="M112" s="211" t="str">
        <f>IFERROR(__xludf.DUMMYFUNCTION("""COMPUTED_VALUE"""),"Bpk. Sulaiman")</f>
        <v>Bpk. Sulaiman</v>
      </c>
      <c r="N112" s="211" t="str">
        <f>IFERROR(__xludf.DUMMYFUNCTION("""COMPUTED_VALUE"""),"03251120")</f>
        <v>03251120</v>
      </c>
      <c r="O112" s="211" t="str">
        <f>IFERROR(__xludf.DUMMYFUNCTION("""COMPUTED_VALUE"""),"1/1")</f>
        <v>1/1</v>
      </c>
      <c r="P112" s="224">
        <f>IFERROR(__xludf.DUMMYFUNCTION("""COMPUTED_VALUE"""),165000.0)</f>
        <v>165000</v>
      </c>
      <c r="Q112" s="225" t="str">
        <f>IFERROR(__xludf.DUMMYFUNCTION("""COMPUTED_VALUE"""),"✅")</f>
        <v>✅</v>
      </c>
      <c r="R112" s="211" t="str">
        <f>IFERROR(__xludf.DUMMYFUNCTION("""COMPUTED_VALUE"""),"-")</f>
        <v>-</v>
      </c>
      <c r="S112" s="211"/>
      <c r="T112" s="211"/>
      <c r="U112" s="211"/>
    </row>
    <row r="113">
      <c r="A113" s="222" t="str">
        <f>IFERROR(__xludf.DUMMYFUNCTION("""COMPUTED_VALUE"""),"12240152")</f>
        <v>12240152</v>
      </c>
      <c r="B113" s="211" t="str">
        <f>IFERROR(__xludf.DUMMYFUNCTION("""COMPUTED_VALUE"""),"05 Dec 2024")</f>
        <v>05 Dec 2024</v>
      </c>
      <c r="C113" s="211" t="str">
        <f>IFERROR(__xludf.DUMMYFUNCTION("""COMPUTED_VALUE"""),"Bpk. Joko (Gresik)")</f>
        <v>Bpk. Joko (Gresik)</v>
      </c>
      <c r="D113" s="211" t="str">
        <f>IFERROR(__xludf.DUMMYFUNCTION("""COMPUTED_VALUE"""),"Oksigen 6m3")</f>
        <v>Oksigen 6m3</v>
      </c>
      <c r="E113" s="211" t="str">
        <f>IFERROR(__xludf.DUMMYFUNCTION("""COMPUTED_VALUE"""),"12")</f>
        <v>12</v>
      </c>
      <c r="F113" s="211" t="str">
        <f>IFERROR(__xludf.DUMMYFUNCTION("""COMPUTED_VALUE"""),"660000")</f>
        <v>660000</v>
      </c>
      <c r="G113" s="211"/>
      <c r="H113" s="211"/>
      <c r="I113" s="211">
        <f>IFERROR(__xludf.DUMMYFUNCTION("""COMPUTED_VALUE"""),660000.0)</f>
        <v>660000</v>
      </c>
      <c r="J113" s="211" t="str">
        <f>IFERROR(__xludf.DUMMYFUNCTION("""COMPUTED_VALUE"""),"Ya")</f>
        <v>Ya</v>
      </c>
      <c r="L113" s="223" t="str">
        <f>IFERROR(__xludf.DUMMYFUNCTION("""COMPUTED_VALUE"""),"Mar 2025")</f>
        <v>Mar 2025</v>
      </c>
      <c r="M113" s="211" t="str">
        <f>IFERROR(__xludf.DUMMYFUNCTION("""COMPUTED_VALUE"""),"PT LONG XING LOGAM INDONESIA")</f>
        <v>PT LONG XING LOGAM INDONESIA</v>
      </c>
      <c r="N113" s="211" t="str">
        <f>IFERROR(__xludf.DUMMYFUNCTION("""COMPUTED_VALUE"""),"03251130")</f>
        <v>03251130</v>
      </c>
      <c r="O113" s="211" t="str">
        <f>IFERROR(__xludf.DUMMYFUNCTION("""COMPUTED_VALUE"""),"1/1")</f>
        <v>1/1</v>
      </c>
      <c r="P113" s="224">
        <f>IFERROR(__xludf.DUMMYFUNCTION("""COMPUTED_VALUE"""),560000.0)</f>
        <v>560000</v>
      </c>
      <c r="Q113" s="225" t="str">
        <f>IFERROR(__xludf.DUMMYFUNCTION("""COMPUTED_VALUE"""),"✅")</f>
        <v>✅</v>
      </c>
      <c r="R113" s="211" t="str">
        <f>IFERROR(__xludf.DUMMYFUNCTION("""COMPUTED_VALUE"""),"-")</f>
        <v>-</v>
      </c>
      <c r="S113" s="211"/>
      <c r="T113" s="211"/>
      <c r="U113" s="211"/>
    </row>
    <row r="114">
      <c r="A114" s="222" t="str">
        <f>IFERROR(__xludf.DUMMYFUNCTION("""COMPUTED_VALUE"""),"12240153")</f>
        <v>12240153</v>
      </c>
      <c r="B114" s="211" t="str">
        <f>IFERROR(__xludf.DUMMYFUNCTION("""COMPUTED_VALUE"""),"05 Dec 2024")</f>
        <v>05 Dec 2024</v>
      </c>
      <c r="C114" s="211" t="str">
        <f>IFERROR(__xludf.DUMMYFUNCTION("""COMPUTED_VALUE"""),"PT PELANGI INDOKARYA")</f>
        <v>PT PELANGI INDOKARYA</v>
      </c>
      <c r="D114" s="211" t="str">
        <f>IFERROR(__xludf.DUMMYFUNCTION("""COMPUTED_VALUE"""),"Oksigen 6m3")</f>
        <v>Oksigen 6m3</v>
      </c>
      <c r="E114" s="211" t="str">
        <f>IFERROR(__xludf.DUMMYFUNCTION("""COMPUTED_VALUE"""),"5")</f>
        <v>5</v>
      </c>
      <c r="F114" s="211" t="str">
        <f>IFERROR(__xludf.DUMMYFUNCTION("""COMPUTED_VALUE"""),"333000")</f>
        <v>333000</v>
      </c>
      <c r="G114" s="211"/>
      <c r="H114" s="211"/>
      <c r="I114" s="211">
        <f>IFERROR(__xludf.DUMMYFUNCTION("""COMPUTED_VALUE"""),333000.0)</f>
        <v>333000</v>
      </c>
      <c r="J114" s="211" t="str">
        <f>IFERROR(__xludf.DUMMYFUNCTION("""COMPUTED_VALUE"""),"Ya")</f>
        <v>Ya</v>
      </c>
      <c r="L114" s="223" t="str">
        <f>IFERROR(__xludf.DUMMYFUNCTION("""COMPUTED_VALUE"""),"Mar 2025")</f>
        <v>Mar 2025</v>
      </c>
      <c r="M114" s="211" t="str">
        <f>IFERROR(__xludf.DUMMYFUNCTION("""COMPUTED_VALUE"""),"PT Hua Zong Mesindo")</f>
        <v>PT Hua Zong Mesindo</v>
      </c>
      <c r="N114" s="211" t="str">
        <f>IFERROR(__xludf.DUMMYFUNCTION("""COMPUTED_VALUE"""),"03251140")</f>
        <v>03251140</v>
      </c>
      <c r="O114" s="211" t="str">
        <f>IFERROR(__xludf.DUMMYFUNCTION("""COMPUTED_VALUE"""),"1/1")</f>
        <v>1/1</v>
      </c>
      <c r="P114" s="224">
        <f>IFERROR(__xludf.DUMMYFUNCTION("""COMPUTED_VALUE"""),180000.0)</f>
        <v>180000</v>
      </c>
      <c r="Q114" s="225" t="str">
        <f>IFERROR(__xludf.DUMMYFUNCTION("""COMPUTED_VALUE"""),"✅")</f>
        <v>✅</v>
      </c>
      <c r="R114" s="211" t="str">
        <f>IFERROR(__xludf.DUMMYFUNCTION("""COMPUTED_VALUE"""),"-")</f>
        <v>-</v>
      </c>
      <c r="S114" s="211"/>
      <c r="T114" s="211"/>
      <c r="U114" s="211"/>
    </row>
    <row r="115">
      <c r="A115" s="222" t="str">
        <f>IFERROR(__xludf.DUMMYFUNCTION("""COMPUTED_VALUE"""),"12240154")</f>
        <v>12240154</v>
      </c>
      <c r="B115" s="211" t="str">
        <f>IFERROR(__xludf.DUMMYFUNCTION("""COMPUTED_VALUE"""),"06 Dec 2024")</f>
        <v>06 Dec 2024</v>
      </c>
      <c r="C115" s="211" t="str">
        <f>IFERROR(__xludf.DUMMYFUNCTION("""COMPUTED_VALUE"""),"PT Beton Prima Indonesia")</f>
        <v>PT Beton Prima Indonesia</v>
      </c>
      <c r="D115" s="211" t="str">
        <f>IFERROR(__xludf.DUMMYFUNCTION("""COMPUTED_VALUE"""),"Oksigen 6m3")</f>
        <v>Oksigen 6m3</v>
      </c>
      <c r="E115" s="211" t="str">
        <f>IFERROR(__xludf.DUMMYFUNCTION("""COMPUTED_VALUE"""),"10")</f>
        <v>10</v>
      </c>
      <c r="F115" s="211" t="str">
        <f>IFERROR(__xludf.DUMMYFUNCTION("""COMPUTED_VALUE"""),"500000")</f>
        <v>500000</v>
      </c>
      <c r="G115" s="211"/>
      <c r="H115" s="211"/>
      <c r="I115" s="211">
        <f>IFERROR(__xludf.DUMMYFUNCTION("""COMPUTED_VALUE"""),500000.0)</f>
        <v>500000</v>
      </c>
      <c r="J115" s="211" t="str">
        <f>IFERROR(__xludf.DUMMYFUNCTION("""COMPUTED_VALUE"""),"Ya")</f>
        <v>Ya</v>
      </c>
      <c r="L115" s="223" t="str">
        <f>IFERROR(__xludf.DUMMYFUNCTION("""COMPUTED_VALUE"""),"Mar 2025")</f>
        <v>Mar 2025</v>
      </c>
      <c r="M115" s="211" t="str">
        <f>IFERROR(__xludf.DUMMYFUNCTION("""COMPUTED_VALUE"""),"Bpk. Pendik")</f>
        <v>Bpk. Pendik</v>
      </c>
      <c r="N115" s="211" t="str">
        <f>IFERROR(__xludf.DUMMYFUNCTION("""COMPUTED_VALUE"""),"03251150")</f>
        <v>03251150</v>
      </c>
      <c r="O115" s="211" t="str">
        <f>IFERROR(__xludf.DUMMYFUNCTION("""COMPUTED_VALUE"""),"1/1")</f>
        <v>1/1</v>
      </c>
      <c r="P115" s="224">
        <f>IFERROR(__xludf.DUMMYFUNCTION("""COMPUTED_VALUE"""),450000.0)</f>
        <v>450000</v>
      </c>
      <c r="Q115" s="225" t="str">
        <f>IFERROR(__xludf.DUMMYFUNCTION("""COMPUTED_VALUE"""),"✅")</f>
        <v>✅</v>
      </c>
      <c r="R115" s="211" t="str">
        <f>IFERROR(__xludf.DUMMYFUNCTION("""COMPUTED_VALUE"""),"-")</f>
        <v>-</v>
      </c>
      <c r="S115" s="211"/>
      <c r="T115" s="211"/>
      <c r="U115" s="211"/>
    </row>
    <row r="116">
      <c r="A116" s="222" t="str">
        <f>IFERROR(__xludf.DUMMYFUNCTION("""COMPUTED_VALUE"""),"12240155")</f>
        <v>12240155</v>
      </c>
      <c r="B116" s="211" t="str">
        <f>IFERROR(__xludf.DUMMYFUNCTION("""COMPUTED_VALUE"""),"06 Dec 2024")</f>
        <v>06 Dec 2024</v>
      </c>
      <c r="C116" s="211" t="str">
        <f>IFERROR(__xludf.DUMMYFUNCTION("""COMPUTED_VALUE"""),"PT TERAPAN NILAIOSILASI INDONESIA (TENO)")</f>
        <v>PT TERAPAN NILAIOSILASI INDONESIA (TENO)</v>
      </c>
      <c r="D116" s="211" t="str">
        <f>IFERROR(__xludf.DUMMYFUNCTION("""COMPUTED_VALUE"""),"Acetyline")</f>
        <v>Acetyline</v>
      </c>
      <c r="E116" s="211" t="str">
        <f>IFERROR(__xludf.DUMMYFUNCTION("""COMPUTED_VALUE"""),"6")</f>
        <v>6</v>
      </c>
      <c r="F116" s="211" t="str">
        <f>IFERROR(__xludf.DUMMYFUNCTION("""COMPUTED_VALUE"""),"2400000")</f>
        <v>2400000</v>
      </c>
      <c r="G116" s="211"/>
      <c r="H116" s="211"/>
      <c r="I116" s="211">
        <f>IFERROR(__xludf.DUMMYFUNCTION("""COMPUTED_VALUE"""),2400000.0)</f>
        <v>2400000</v>
      </c>
      <c r="J116" s="211" t="str">
        <f>IFERROR(__xludf.DUMMYFUNCTION("""COMPUTED_VALUE"""),"Ya")</f>
        <v>Ya</v>
      </c>
      <c r="L116" s="223" t="str">
        <f>IFERROR(__xludf.DUMMYFUNCTION("""COMPUTED_VALUE"""),"Mar 2025")</f>
        <v>Mar 2025</v>
      </c>
      <c r="M116" s="211" t="str">
        <f>IFERROR(__xludf.DUMMYFUNCTION("""COMPUTED_VALUE"""),"Bpk. Slamet")</f>
        <v>Bpk. Slamet</v>
      </c>
      <c r="N116" s="211" t="str">
        <f>IFERROR(__xludf.DUMMYFUNCTION("""COMPUTED_VALUE"""),"03251160")</f>
        <v>03251160</v>
      </c>
      <c r="O116" s="211" t="str">
        <f>IFERROR(__xludf.DUMMYFUNCTION("""COMPUTED_VALUE"""),"1/1")</f>
        <v>1/1</v>
      </c>
      <c r="P116" s="224">
        <f>IFERROR(__xludf.DUMMYFUNCTION("""COMPUTED_VALUE"""),0.0)</f>
        <v>0</v>
      </c>
      <c r="Q116" s="225" t="str">
        <f>IFERROR(__xludf.DUMMYFUNCTION("""COMPUTED_VALUE"""),"✅")</f>
        <v>✅</v>
      </c>
      <c r="R116" s="211" t="str">
        <f>IFERROR(__xludf.DUMMYFUNCTION("""COMPUTED_VALUE"""),"-")</f>
        <v>-</v>
      </c>
      <c r="S116" s="211"/>
      <c r="T116" s="211"/>
      <c r="U116" s="211"/>
    </row>
    <row r="117">
      <c r="A117" s="222" t="str">
        <f>IFERROR(__xludf.DUMMYFUNCTION("""COMPUTED_VALUE"""),"12240156")</f>
        <v>12240156</v>
      </c>
      <c r="B117" s="211" t="str">
        <f>IFERROR(__xludf.DUMMYFUNCTION("""COMPUTED_VALUE"""),"07 Dec 2024")</f>
        <v>07 Dec 2024</v>
      </c>
      <c r="C117" s="211" t="str">
        <f>IFERROR(__xludf.DUMMYFUNCTION("""COMPUTED_VALUE"""),"Bengkel Adi Putra")</f>
        <v>Bengkel Adi Putra</v>
      </c>
      <c r="D117" s="211" t="str">
        <f>IFERROR(__xludf.DUMMYFUNCTION("""COMPUTED_VALUE"""),"Oksigen 6m3
Acetyline")</f>
        <v>Oksigen 6m3
Acetyline</v>
      </c>
      <c r="E117" s="211" t="str">
        <f>IFERROR(__xludf.DUMMYFUNCTION("""COMPUTED_VALUE"""),"4
2")</f>
        <v>4
2</v>
      </c>
      <c r="F117" s="211" t="str">
        <f>IFERROR(__xludf.DUMMYFUNCTION("""COMPUTED_VALUE"""),"280000
800000")</f>
        <v>280000
800000</v>
      </c>
      <c r="G117" s="211"/>
      <c r="H117" s="211"/>
      <c r="I117" s="211">
        <f>IFERROR(__xludf.DUMMYFUNCTION("""COMPUTED_VALUE"""),1080000.0)</f>
        <v>1080000</v>
      </c>
      <c r="J117" s="211" t="str">
        <f>IFERROR(__xludf.DUMMYFUNCTION("""COMPUTED_VALUE"""),"Ya")</f>
        <v>Ya</v>
      </c>
      <c r="L117" s="223" t="str">
        <f>IFERROR(__xludf.DUMMYFUNCTION("""COMPUTED_VALUE"""),"Apr 2025")</f>
        <v>Apr 2025</v>
      </c>
      <c r="M117" s="211" t="str">
        <f>IFERROR(__xludf.DUMMYFUNCTION("""COMPUTED_VALUE"""),"Bpk. Supar")</f>
        <v>Bpk. Supar</v>
      </c>
      <c r="N117" s="211" t="str">
        <f>IFERROR(__xludf.DUMMYFUNCTION("""COMPUTED_VALUE"""),"04251170")</f>
        <v>04251170</v>
      </c>
      <c r="O117" s="211" t="str">
        <f>IFERROR(__xludf.DUMMYFUNCTION("""COMPUTED_VALUE"""),"2/2")</f>
        <v>2/2</v>
      </c>
      <c r="P117" s="224">
        <f>IFERROR(__xludf.DUMMYFUNCTION("""COMPUTED_VALUE"""),140000.0)</f>
        <v>140000</v>
      </c>
      <c r="Q117" s="225" t="str">
        <f>IFERROR(__xludf.DUMMYFUNCTION("""COMPUTED_VALUE"""),"✅")</f>
        <v>✅</v>
      </c>
      <c r="R117" s="211" t="str">
        <f>IFERROR(__xludf.DUMMYFUNCTION("""COMPUTED_VALUE"""),"-")</f>
        <v>-</v>
      </c>
      <c r="S117" s="211"/>
      <c r="T117" s="211"/>
      <c r="U117" s="211"/>
    </row>
    <row r="118">
      <c r="A118" s="222" t="str">
        <f>IFERROR(__xludf.DUMMYFUNCTION("""COMPUTED_VALUE"""),"12240158")</f>
        <v>12240158</v>
      </c>
      <c r="B118" s="211" t="str">
        <f>IFERROR(__xludf.DUMMYFUNCTION("""COMPUTED_VALUE"""),"07 Dec 2024")</f>
        <v>07 Dec 2024</v>
      </c>
      <c r="C118" s="211" t="str">
        <f>IFERROR(__xludf.DUMMYFUNCTION("""COMPUTED_VALUE"""),"CV Sido Mukti Karya")</f>
        <v>CV Sido Mukti Karya</v>
      </c>
      <c r="D118" s="211" t="str">
        <f>IFERROR(__xludf.DUMMYFUNCTION("""COMPUTED_VALUE"""),"Karbondioksida
Oksigen 6m3")</f>
        <v>Karbondioksida
Oksigen 6m3</v>
      </c>
      <c r="E118" s="211" t="str">
        <f>IFERROR(__xludf.DUMMYFUNCTION("""COMPUTED_VALUE"""),"2
4")</f>
        <v>2
4</v>
      </c>
      <c r="F118" s="211" t="str">
        <f>IFERROR(__xludf.DUMMYFUNCTION("""COMPUTED_VALUE"""),"340000
240000")</f>
        <v>340000
240000</v>
      </c>
      <c r="G118" s="211"/>
      <c r="H118" s="211"/>
      <c r="I118" s="211">
        <f>IFERROR(__xludf.DUMMYFUNCTION("""COMPUTED_VALUE"""),580000.0)</f>
        <v>580000</v>
      </c>
      <c r="J118" s="211" t="str">
        <f>IFERROR(__xludf.DUMMYFUNCTION("""COMPUTED_VALUE"""),"Ya")</f>
        <v>Ya</v>
      </c>
      <c r="L118" s="223" t="str">
        <f>IFERROR(__xludf.DUMMYFUNCTION("""COMPUTED_VALUE"""),"Apr 2025")</f>
        <v>Apr 2025</v>
      </c>
      <c r="M118" s="211" t="str">
        <f>IFERROR(__xludf.DUMMYFUNCTION("""COMPUTED_VALUE"""),"PT Hua Zong Mesindo")</f>
        <v>PT Hua Zong Mesindo</v>
      </c>
      <c r="N118" s="211" t="str">
        <f>IFERROR(__xludf.DUMMYFUNCTION("""COMPUTED_VALUE"""),"04251180")</f>
        <v>04251180</v>
      </c>
      <c r="O118" s="211" t="str">
        <f>IFERROR(__xludf.DUMMYFUNCTION("""COMPUTED_VALUE"""),"2/2")</f>
        <v>2/2</v>
      </c>
      <c r="P118" s="224">
        <f>IFERROR(__xludf.DUMMYFUNCTION("""COMPUTED_VALUE"""),1540000.0)</f>
        <v>1540000</v>
      </c>
      <c r="Q118" s="225" t="str">
        <f>IFERROR(__xludf.DUMMYFUNCTION("""COMPUTED_VALUE"""),"✅")</f>
        <v>✅</v>
      </c>
      <c r="R118" s="211" t="str">
        <f>IFERROR(__xludf.DUMMYFUNCTION("""COMPUTED_VALUE"""),"-")</f>
        <v>-</v>
      </c>
      <c r="S118" s="211"/>
      <c r="T118" s="211"/>
      <c r="U118" s="211"/>
    </row>
    <row r="119">
      <c r="A119" s="222" t="str">
        <f>IFERROR(__xludf.DUMMYFUNCTION("""COMPUTED_VALUE"""),"12240160")</f>
        <v>12240160</v>
      </c>
      <c r="B119" s="211" t="str">
        <f>IFERROR(__xludf.DUMMYFUNCTION("""COMPUTED_VALUE"""),"07 Dec 2024")</f>
        <v>07 Dec 2024</v>
      </c>
      <c r="C119" s="211" t="str">
        <f>IFERROR(__xludf.DUMMYFUNCTION("""COMPUTED_VALUE"""),"GYF")</f>
        <v>GYF</v>
      </c>
      <c r="D119" s="211" t="str">
        <f>IFERROR(__xludf.DUMMYFUNCTION("""COMPUTED_VALUE"""),"Oksigen 6m3")</f>
        <v>Oksigen 6m3</v>
      </c>
      <c r="E119" s="211" t="str">
        <f>IFERROR(__xludf.DUMMYFUNCTION("""COMPUTED_VALUE"""),"20")</f>
        <v>20</v>
      </c>
      <c r="F119" s="211" t="str">
        <f>IFERROR(__xludf.DUMMYFUNCTION("""COMPUTED_VALUE"""),"900000")</f>
        <v>900000</v>
      </c>
      <c r="G119" s="211"/>
      <c r="H119" s="211"/>
      <c r="I119" s="211">
        <f>IFERROR(__xludf.DUMMYFUNCTION("""COMPUTED_VALUE"""),900000.0)</f>
        <v>900000</v>
      </c>
      <c r="J119" s="211" t="str">
        <f>IFERROR(__xludf.DUMMYFUNCTION("""COMPUTED_VALUE"""),"Ya")</f>
        <v>Ya</v>
      </c>
      <c r="L119" s="223" t="str">
        <f>IFERROR(__xludf.DUMMYFUNCTION("""COMPUTED_VALUE"""),"Apr 2025")</f>
        <v>Apr 2025</v>
      </c>
      <c r="M119" s="211" t="str">
        <f>IFERROR(__xludf.DUMMYFUNCTION("""COMPUTED_VALUE"""),"PT Dingsheng Metal Indonesia (Ngoro)")</f>
        <v>PT Dingsheng Metal Indonesia (Ngoro)</v>
      </c>
      <c r="N119" s="211" t="str">
        <f>IFERROR(__xludf.DUMMYFUNCTION("""COMPUTED_VALUE"""),"04251191")</f>
        <v>04251191</v>
      </c>
      <c r="O119" s="211" t="str">
        <f>IFERROR(__xludf.DUMMYFUNCTION("""COMPUTED_VALUE"""),"1/2")</f>
        <v>1/2</v>
      </c>
      <c r="P119" s="224">
        <f>IFERROR(__xludf.DUMMYFUNCTION("""COMPUTED_VALUE"""),1000000.0)</f>
        <v>1000000</v>
      </c>
      <c r="Q119" s="225">
        <f>IFERROR(__xludf.DUMMYFUNCTION("""COMPUTED_VALUE"""),500000.0)</f>
        <v>500000</v>
      </c>
      <c r="R119" s="211" t="str">
        <f>IFERROR(__xludf.DUMMYFUNCTION("""COMPUTED_VALUE"""),"04250352")</f>
        <v>04250352</v>
      </c>
      <c r="S119" s="211"/>
      <c r="T119" s="211"/>
      <c r="U119" s="211"/>
    </row>
    <row r="120">
      <c r="A120" s="222" t="str">
        <f>IFERROR(__xludf.DUMMYFUNCTION("""COMPUTED_VALUE"""),"12240161")</f>
        <v>12240161</v>
      </c>
      <c r="B120" s="211" t="str">
        <f>IFERROR(__xludf.DUMMYFUNCTION("""COMPUTED_VALUE"""),"10 Dec 2024")</f>
        <v>10 Dec 2024</v>
      </c>
      <c r="C120" s="211" t="str">
        <f>IFERROR(__xludf.DUMMYFUNCTION("""COMPUTED_VALUE"""),"CV RAGAM JAYA ENGINEERING")</f>
        <v>CV RAGAM JAYA ENGINEERING</v>
      </c>
      <c r="D120" s="211" t="str">
        <f>IFERROR(__xludf.DUMMYFUNCTION("""COMPUTED_VALUE"""),"Karbondioksida
Oksigen 6m3")</f>
        <v>Karbondioksida
Oksigen 6m3</v>
      </c>
      <c r="E120" s="211" t="str">
        <f>IFERROR(__xludf.DUMMYFUNCTION("""COMPUTED_VALUE"""),"5
5")</f>
        <v>5
5</v>
      </c>
      <c r="F120" s="211" t="str">
        <f>IFERROR(__xludf.DUMMYFUNCTION("""COMPUTED_VALUE"""),"888000
333000")</f>
        <v>888000
333000</v>
      </c>
      <c r="G120" s="211"/>
      <c r="H120" s="211"/>
      <c r="I120" s="211">
        <f>IFERROR(__xludf.DUMMYFUNCTION("""COMPUTED_VALUE"""),1221000.0)</f>
        <v>1221000</v>
      </c>
      <c r="J120" s="211" t="str">
        <f>IFERROR(__xludf.DUMMYFUNCTION("""COMPUTED_VALUE"""),"Penagihan")</f>
        <v>Penagihan</v>
      </c>
      <c r="L120" s="223" t="str">
        <f>IFERROR(__xludf.DUMMYFUNCTION("""COMPUTED_VALUE"""),"Apr 2025")</f>
        <v>Apr 2025</v>
      </c>
      <c r="M120" s="211" t="str">
        <f>IFERROR(__xludf.DUMMYFUNCTION("""COMPUTED_VALUE"""),"Ibu Siti Barokah")</f>
        <v>Ibu Siti Barokah</v>
      </c>
      <c r="N120" s="211" t="str">
        <f>IFERROR(__xludf.DUMMYFUNCTION("""COMPUTED_VALUE"""),"04251200")</f>
        <v>04251200</v>
      </c>
      <c r="O120" s="211" t="str">
        <f>IFERROR(__xludf.DUMMYFUNCTION("""COMPUTED_VALUE"""),"1/1")</f>
        <v>1/1</v>
      </c>
      <c r="P120" s="224">
        <f>IFERROR(__xludf.DUMMYFUNCTION("""COMPUTED_VALUE"""),80000.0)</f>
        <v>80000</v>
      </c>
      <c r="Q120" s="225" t="str">
        <f>IFERROR(__xludf.DUMMYFUNCTION("""COMPUTED_VALUE"""),"✅")</f>
        <v>✅</v>
      </c>
      <c r="R120" s="211" t="str">
        <f>IFERROR(__xludf.DUMMYFUNCTION("""COMPUTED_VALUE"""),"-")</f>
        <v>-</v>
      </c>
      <c r="S120" s="211"/>
      <c r="T120" s="211"/>
      <c r="U120" s="211"/>
    </row>
    <row r="121">
      <c r="A121" s="222" t="str">
        <f>IFERROR(__xludf.DUMMYFUNCTION("""COMPUTED_VALUE"""),"12240163")</f>
        <v>12240163</v>
      </c>
      <c r="B121" s="211" t="str">
        <f>IFERROR(__xludf.DUMMYFUNCTION("""COMPUTED_VALUE"""),"12 Dec 2024")</f>
        <v>12 Dec 2024</v>
      </c>
      <c r="C121" s="211" t="str">
        <f>IFERROR(__xludf.DUMMYFUNCTION("""COMPUTED_VALUE"""),"CV RAGAM JAYA ENGINEERING")</f>
        <v>CV RAGAM JAYA ENGINEERING</v>
      </c>
      <c r="D121" s="211" t="str">
        <f>IFERROR(__xludf.DUMMYFUNCTION("""COMPUTED_VALUE"""),"Oksigen 6m3
Karbondioksida
LPG 12kg")</f>
        <v>Oksigen 6m3
Karbondioksida
LPG 12kg</v>
      </c>
      <c r="E121" s="211" t="str">
        <f>IFERROR(__xludf.DUMMYFUNCTION("""COMPUTED_VALUE"""),"5
5
2")</f>
        <v>5
5
2</v>
      </c>
      <c r="F121" s="211" t="str">
        <f>IFERROR(__xludf.DUMMYFUNCTION("""COMPUTED_VALUE"""),"333000
888000
499500")</f>
        <v>333000
888000
499500</v>
      </c>
      <c r="G121" s="211"/>
      <c r="H121" s="211"/>
      <c r="I121" s="211">
        <f>IFERROR(__xludf.DUMMYFUNCTION("""COMPUTED_VALUE"""),1720500.0)</f>
        <v>1720500</v>
      </c>
      <c r="J121" s="211" t="str">
        <f>IFERROR(__xludf.DUMMYFUNCTION("""COMPUTED_VALUE"""),"Penagihan")</f>
        <v>Penagihan</v>
      </c>
      <c r="L121" s="223" t="str">
        <f>IFERROR(__xludf.DUMMYFUNCTION("""COMPUTED_VALUE"""),"Apr 2025")</f>
        <v>Apr 2025</v>
      </c>
      <c r="M121" s="211" t="str">
        <f>IFERROR(__xludf.DUMMYFUNCTION("""COMPUTED_VALUE"""),"PT ARYANA CAKASANA")</f>
        <v>PT ARYANA CAKASANA</v>
      </c>
      <c r="N121" s="211" t="str">
        <f>IFERROR(__xludf.DUMMYFUNCTION("""COMPUTED_VALUE"""),"04251212")</f>
        <v>04251212</v>
      </c>
      <c r="O121" s="211" t="str">
        <f>IFERROR(__xludf.DUMMYFUNCTION("""COMPUTED_VALUE"""),"0/2")</f>
        <v>0/2</v>
      </c>
      <c r="P121" s="224">
        <f>IFERROR(__xludf.DUMMYFUNCTION("""COMPUTED_VALUE"""),787502.0)</f>
        <v>787502</v>
      </c>
      <c r="Q121" s="225">
        <f>IFERROR(__xludf.DUMMYFUNCTION("""COMPUTED_VALUE"""),787502.0)</f>
        <v>787502</v>
      </c>
      <c r="R121" s="211" t="str">
        <f>IFERROR(__xludf.DUMMYFUNCTION("""COMPUTED_VALUE"""),"04250354 04250373")</f>
        <v>04250354 04250373</v>
      </c>
      <c r="S121" s="211"/>
      <c r="T121" s="211"/>
      <c r="U121" s="211"/>
    </row>
    <row r="122">
      <c r="A122" s="222" t="str">
        <f>IFERROR(__xludf.DUMMYFUNCTION("""COMPUTED_VALUE"""),"12240166")</f>
        <v>12240166</v>
      </c>
      <c r="B122" s="211" t="str">
        <f>IFERROR(__xludf.DUMMYFUNCTION("""COMPUTED_VALUE"""),"13 Dec 2024")</f>
        <v>13 Dec 2024</v>
      </c>
      <c r="C122" s="211" t="str">
        <f>IFERROR(__xludf.DUMMYFUNCTION("""COMPUTED_VALUE"""),"PT Dunia Berkat Marga Mulya")</f>
        <v>PT Dunia Berkat Marga Mulya</v>
      </c>
      <c r="D122" s="211" t="str">
        <f>IFERROR(__xludf.DUMMYFUNCTION("""COMPUTED_VALUE"""),"Oksigen 6m3")</f>
        <v>Oksigen 6m3</v>
      </c>
      <c r="E122" s="211" t="str">
        <f>IFERROR(__xludf.DUMMYFUNCTION("""COMPUTED_VALUE"""),"4")</f>
        <v>4</v>
      </c>
      <c r="F122" s="211" t="str">
        <f>IFERROR(__xludf.DUMMYFUNCTION("""COMPUTED_VALUE"""),"266400")</f>
        <v>266400</v>
      </c>
      <c r="G122" s="211"/>
      <c r="H122" s="211"/>
      <c r="I122" s="211">
        <f>IFERROR(__xludf.DUMMYFUNCTION("""COMPUTED_VALUE"""),266400.0)</f>
        <v>266400</v>
      </c>
      <c r="J122" s="211" t="str">
        <f>IFERROR(__xludf.DUMMYFUNCTION("""COMPUTED_VALUE"""),"Ya")</f>
        <v>Ya</v>
      </c>
      <c r="L122" s="223" t="str">
        <f>IFERROR(__xludf.DUMMYFUNCTION("""COMPUTED_VALUE"""),"Apr 2025")</f>
        <v>Apr 2025</v>
      </c>
      <c r="M122" s="211" t="str">
        <f>IFERROR(__xludf.DUMMYFUNCTION("""COMPUTED_VALUE"""),"Bengkel Las Bpk. Ari")</f>
        <v>Bengkel Las Bpk. Ari</v>
      </c>
      <c r="N122" s="211" t="str">
        <f>IFERROR(__xludf.DUMMYFUNCTION("""COMPUTED_VALUE"""),"04251220")</f>
        <v>04251220</v>
      </c>
      <c r="O122" s="211" t="str">
        <f>IFERROR(__xludf.DUMMYFUNCTION("""COMPUTED_VALUE"""),"3/3")</f>
        <v>3/3</v>
      </c>
      <c r="P122" s="224">
        <f>IFERROR(__xludf.DUMMYFUNCTION("""COMPUTED_VALUE"""),1120000.0)</f>
        <v>1120000</v>
      </c>
      <c r="Q122" s="225" t="str">
        <f>IFERROR(__xludf.DUMMYFUNCTION("""COMPUTED_VALUE"""),"✅")</f>
        <v>✅</v>
      </c>
      <c r="R122" s="211" t="str">
        <f>IFERROR(__xludf.DUMMYFUNCTION("""COMPUTED_VALUE"""),"-")</f>
        <v>-</v>
      </c>
      <c r="S122" s="211"/>
      <c r="T122" s="211"/>
      <c r="U122" s="211"/>
    </row>
    <row r="123">
      <c r="A123" s="222" t="str">
        <f>IFERROR(__xludf.DUMMYFUNCTION("""COMPUTED_VALUE"""),"12240167")</f>
        <v>12240167</v>
      </c>
      <c r="B123" s="211" t="str">
        <f>IFERROR(__xludf.DUMMYFUNCTION("""COMPUTED_VALUE"""),"14 Dec 2024")</f>
        <v>14 Dec 2024</v>
      </c>
      <c r="C123" s="211" t="str">
        <f>IFERROR(__xludf.DUMMYFUNCTION("""COMPUTED_VALUE"""),"PT ARYANA CAKASANA")</f>
        <v>PT ARYANA CAKASANA</v>
      </c>
      <c r="D123" s="211" t="str">
        <f>IFERROR(__xludf.DUMMYFUNCTION("""COMPUTED_VALUE"""),"Oksigen 6m3")</f>
        <v>Oksigen 6m3</v>
      </c>
      <c r="E123" s="211" t="str">
        <f>IFERROR(__xludf.DUMMYFUNCTION("""COMPUTED_VALUE"""),"5")</f>
        <v>5</v>
      </c>
      <c r="F123" s="211" t="str">
        <f>IFERROR(__xludf.DUMMYFUNCTION("""COMPUTED_VALUE"""),"262500")</f>
        <v>262500</v>
      </c>
      <c r="G123" s="211"/>
      <c r="H123" s="211"/>
      <c r="I123" s="211">
        <f>IFERROR(__xludf.DUMMYFUNCTION("""COMPUTED_VALUE"""),262500.0)</f>
        <v>262500</v>
      </c>
      <c r="J123" s="211" t="str">
        <f>IFERROR(__xludf.DUMMYFUNCTION("""COMPUTED_VALUE"""),"Penagihan")</f>
        <v>Penagihan</v>
      </c>
      <c r="L123" s="223" t="str">
        <f>IFERROR(__xludf.DUMMYFUNCTION("""COMPUTED_VALUE"""),"Apr 2025")</f>
        <v>Apr 2025</v>
      </c>
      <c r="M123" s="211" t="str">
        <f>IFERROR(__xludf.DUMMYFUNCTION("""COMPUTED_VALUE"""),"GYF")</f>
        <v>GYF</v>
      </c>
      <c r="N123" s="211" t="str">
        <f>IFERROR(__xludf.DUMMYFUNCTION("""COMPUTED_VALUE"""),"04251230")</f>
        <v>04251230</v>
      </c>
      <c r="O123" s="211" t="str">
        <f>IFERROR(__xludf.DUMMYFUNCTION("""COMPUTED_VALUE"""),"2/2")</f>
        <v>2/2</v>
      </c>
      <c r="P123" s="224">
        <f>IFERROR(__xludf.DUMMYFUNCTION("""COMPUTED_VALUE"""),1725000.0)</f>
        <v>1725000</v>
      </c>
      <c r="Q123" s="225" t="str">
        <f>IFERROR(__xludf.DUMMYFUNCTION("""COMPUTED_VALUE"""),"✅")</f>
        <v>✅</v>
      </c>
      <c r="R123" s="211" t="str">
        <f>IFERROR(__xludf.DUMMYFUNCTION("""COMPUTED_VALUE"""),"-")</f>
        <v>-</v>
      </c>
      <c r="S123" s="211"/>
      <c r="T123" s="211"/>
      <c r="U123" s="211"/>
    </row>
    <row r="124">
      <c r="A124" s="222" t="str">
        <f>IFERROR(__xludf.DUMMYFUNCTION("""COMPUTED_VALUE"""),"12240168")</f>
        <v>12240168</v>
      </c>
      <c r="B124" s="211" t="str">
        <f>IFERROR(__xludf.DUMMYFUNCTION("""COMPUTED_VALUE"""),"16 Dec 2024")</f>
        <v>16 Dec 2024</v>
      </c>
      <c r="C124" s="211" t="str">
        <f>IFERROR(__xludf.DUMMYFUNCTION("""COMPUTED_VALUE"""),"PT Dingsheng Metal Indonesia (Ngoro)")</f>
        <v>PT Dingsheng Metal Indonesia (Ngoro)</v>
      </c>
      <c r="D124" s="211" t="str">
        <f>IFERROR(__xludf.DUMMYFUNCTION("""COMPUTED_VALUE"""),"Oksigen 6m3")</f>
        <v>Oksigen 6m3</v>
      </c>
      <c r="E124" s="211" t="str">
        <f>IFERROR(__xludf.DUMMYFUNCTION("""COMPUTED_VALUE"""),"10")</f>
        <v>10</v>
      </c>
      <c r="F124" s="211" t="str">
        <f>IFERROR(__xludf.DUMMYFUNCTION("""COMPUTED_VALUE"""),"500000")</f>
        <v>500000</v>
      </c>
      <c r="G124" s="211"/>
      <c r="H124" s="211"/>
      <c r="I124" s="211">
        <f>IFERROR(__xludf.DUMMYFUNCTION("""COMPUTED_VALUE"""),500000.0)</f>
        <v>500000</v>
      </c>
      <c r="J124" s="211" t="str">
        <f>IFERROR(__xludf.DUMMYFUNCTION("""COMPUTED_VALUE"""),"Ya")</f>
        <v>Ya</v>
      </c>
      <c r="L124" s="223" t="str">
        <f>IFERROR(__xludf.DUMMYFUNCTION("""COMPUTED_VALUE"""),"Apr 2025")</f>
        <v>Apr 2025</v>
      </c>
      <c r="M124" s="211" t="str">
        <f>IFERROR(__xludf.DUMMYFUNCTION("""COMPUTED_VALUE"""),"Bpk. Sulaiman")</f>
        <v>Bpk. Sulaiman</v>
      </c>
      <c r="N124" s="211" t="str">
        <f>IFERROR(__xludf.DUMMYFUNCTION("""COMPUTED_VALUE"""),"04251240")</f>
        <v>04251240</v>
      </c>
      <c r="O124" s="211" t="str">
        <f>IFERROR(__xludf.DUMMYFUNCTION("""COMPUTED_VALUE"""),"4/4")</f>
        <v>4/4</v>
      </c>
      <c r="P124" s="224">
        <f>IFERROR(__xludf.DUMMYFUNCTION("""COMPUTED_VALUE"""),715000.0)</f>
        <v>715000</v>
      </c>
      <c r="Q124" s="225" t="str">
        <f>IFERROR(__xludf.DUMMYFUNCTION("""COMPUTED_VALUE"""),"✅")</f>
        <v>✅</v>
      </c>
      <c r="R124" s="211" t="str">
        <f>IFERROR(__xludf.DUMMYFUNCTION("""COMPUTED_VALUE"""),"-")</f>
        <v>-</v>
      </c>
      <c r="S124" s="211"/>
      <c r="T124" s="211"/>
      <c r="U124" s="211"/>
    </row>
    <row r="125">
      <c r="A125" s="222" t="str">
        <f>IFERROR(__xludf.DUMMYFUNCTION("""COMPUTED_VALUE"""),"12240169")</f>
        <v>12240169</v>
      </c>
      <c r="B125" s="211" t="str">
        <f>IFERROR(__xludf.DUMMYFUNCTION("""COMPUTED_VALUE"""),"17 Dec 2024")</f>
        <v>17 Dec 2024</v>
      </c>
      <c r="C125" s="211" t="str">
        <f>IFERROR(__xludf.DUMMYFUNCTION("""COMPUTED_VALUE"""),"PT Jatim Abadi Perkasa Steel")</f>
        <v>PT Jatim Abadi Perkasa Steel</v>
      </c>
      <c r="D125" s="211" t="str">
        <f>IFERROR(__xludf.DUMMYFUNCTION("""COMPUTED_VALUE"""),"LPG 50kg")</f>
        <v>LPG 50kg</v>
      </c>
      <c r="E125" s="211" t="str">
        <f>IFERROR(__xludf.DUMMYFUNCTION("""COMPUTED_VALUE"""),"5")</f>
        <v>5</v>
      </c>
      <c r="F125" s="211" t="str">
        <f>IFERROR(__xludf.DUMMYFUNCTION("""COMPUTED_VALUE"""),"4750000")</f>
        <v>4750000</v>
      </c>
      <c r="G125" s="211"/>
      <c r="H125" s="211"/>
      <c r="I125" s="211">
        <f>IFERROR(__xludf.DUMMYFUNCTION("""COMPUTED_VALUE"""),4750000.0)</f>
        <v>4750000</v>
      </c>
      <c r="J125" s="211" t="str">
        <f>IFERROR(__xludf.DUMMYFUNCTION("""COMPUTED_VALUE"""),"Ya")</f>
        <v>Ya</v>
      </c>
      <c r="L125" s="223" t="str">
        <f>IFERROR(__xludf.DUMMYFUNCTION("""COMPUTED_VALUE"""),"Apr 2025")</f>
        <v>Apr 2025</v>
      </c>
      <c r="M125" s="211" t="str">
        <f>IFERROR(__xludf.DUMMYFUNCTION("""COMPUTED_VALUE"""),"PT GEMILANG CIPTA WAWASAN")</f>
        <v>PT GEMILANG CIPTA WAWASAN</v>
      </c>
      <c r="N125" s="211" t="str">
        <f>IFERROR(__xludf.DUMMYFUNCTION("""COMPUTED_VALUE"""),"04251250")</f>
        <v>04251250</v>
      </c>
      <c r="O125" s="211" t="str">
        <f>IFERROR(__xludf.DUMMYFUNCTION("""COMPUTED_VALUE"""),"4/4")</f>
        <v>4/4</v>
      </c>
      <c r="P125" s="224">
        <f>IFERROR(__xludf.DUMMYFUNCTION("""COMPUTED_VALUE"""),5777550.0)</f>
        <v>5777550</v>
      </c>
      <c r="Q125" s="225" t="str">
        <f>IFERROR(__xludf.DUMMYFUNCTION("""COMPUTED_VALUE"""),"✅")</f>
        <v>✅</v>
      </c>
      <c r="R125" s="211" t="str">
        <f>IFERROR(__xludf.DUMMYFUNCTION("""COMPUTED_VALUE"""),"-")</f>
        <v>-</v>
      </c>
      <c r="S125" s="211"/>
      <c r="T125" s="211"/>
      <c r="U125" s="211"/>
    </row>
    <row r="126">
      <c r="A126" s="222" t="str">
        <f>IFERROR(__xludf.DUMMYFUNCTION("""COMPUTED_VALUE"""),"12240170")</f>
        <v>12240170</v>
      </c>
      <c r="B126" s="211" t="str">
        <f>IFERROR(__xludf.DUMMYFUNCTION("""COMPUTED_VALUE"""),"17 Dec 2024")</f>
        <v>17 Dec 2024</v>
      </c>
      <c r="C126" s="211" t="str">
        <f>IFERROR(__xludf.DUMMYFUNCTION("""COMPUTED_VALUE"""),"Dio")</f>
        <v>Dio</v>
      </c>
      <c r="D126" s="211" t="str">
        <f>IFERROR(__xludf.DUMMYFUNCTION("""COMPUTED_VALUE"""),"Oksigen 1m3")</f>
        <v>Oksigen 1m3</v>
      </c>
      <c r="E126" s="211" t="str">
        <f>IFERROR(__xludf.DUMMYFUNCTION("""COMPUTED_VALUE"""),"1")</f>
        <v>1</v>
      </c>
      <c r="F126" s="211" t="str">
        <f>IFERROR(__xludf.DUMMYFUNCTION("""COMPUTED_VALUE"""),"0")</f>
        <v>0</v>
      </c>
      <c r="G126" s="211"/>
      <c r="H126" s="211"/>
      <c r="I126" s="211">
        <f>IFERROR(__xludf.DUMMYFUNCTION("""COMPUTED_VALUE"""),0.0)</f>
        <v>0</v>
      </c>
      <c r="J126" s="211" t="str">
        <f>IFERROR(__xludf.DUMMYFUNCTION("""COMPUTED_VALUE"""),"Ya")</f>
        <v>Ya</v>
      </c>
      <c r="L126" s="223" t="str">
        <f>IFERROR(__xludf.DUMMYFUNCTION("""COMPUTED_VALUE"""),"Apr 2025")</f>
        <v>Apr 2025</v>
      </c>
      <c r="M126" s="211" t="str">
        <f>IFERROR(__xludf.DUMMYFUNCTION("""COMPUTED_VALUE"""),"PT Jatim Abadi Perkasa Steel")</f>
        <v>PT Jatim Abadi Perkasa Steel</v>
      </c>
      <c r="N126" s="211" t="str">
        <f>IFERROR(__xludf.DUMMYFUNCTION("""COMPUTED_VALUE"""),"04251260")</f>
        <v>04251260</v>
      </c>
      <c r="O126" s="211" t="str">
        <f>IFERROR(__xludf.DUMMYFUNCTION("""COMPUTED_VALUE"""),"4/4")</f>
        <v>4/4</v>
      </c>
      <c r="P126" s="224">
        <f>IFERROR(__xludf.DUMMYFUNCTION("""COMPUTED_VALUE"""),1.690148E7)</f>
        <v>16901480</v>
      </c>
      <c r="Q126" s="225" t="str">
        <f>IFERROR(__xludf.DUMMYFUNCTION("""COMPUTED_VALUE"""),"✅")</f>
        <v>✅</v>
      </c>
      <c r="R126" s="211" t="str">
        <f>IFERROR(__xludf.DUMMYFUNCTION("""COMPUTED_VALUE"""),"-")</f>
        <v>-</v>
      </c>
      <c r="S126" s="211"/>
      <c r="T126" s="211"/>
      <c r="U126" s="211"/>
    </row>
    <row r="127">
      <c r="A127" s="222" t="str">
        <f>IFERROR(__xludf.DUMMYFUNCTION("""COMPUTED_VALUE"""),"12240171")</f>
        <v>12240171</v>
      </c>
      <c r="B127" s="211" t="str">
        <f>IFERROR(__xludf.DUMMYFUNCTION("""COMPUTED_VALUE"""),"19 Dec 2024")</f>
        <v>19 Dec 2024</v>
      </c>
      <c r="C127" s="211" t="str">
        <f>IFERROR(__xludf.DUMMYFUNCTION("""COMPUTED_VALUE"""),"PT ARYANA CAKASANA")</f>
        <v>PT ARYANA CAKASANA</v>
      </c>
      <c r="D127" s="211" t="str">
        <f>IFERROR(__xludf.DUMMYFUNCTION("""COMPUTED_VALUE"""),"Oksigen 6m3")</f>
        <v>Oksigen 6m3</v>
      </c>
      <c r="E127" s="211" t="str">
        <f>IFERROR(__xludf.DUMMYFUNCTION("""COMPUTED_VALUE"""),"5")</f>
        <v>5</v>
      </c>
      <c r="F127" s="211" t="str">
        <f>IFERROR(__xludf.DUMMYFUNCTION("""COMPUTED_VALUE"""),"262500")</f>
        <v>262500</v>
      </c>
      <c r="G127" s="211"/>
      <c r="H127" s="211"/>
      <c r="I127" s="211">
        <f>IFERROR(__xludf.DUMMYFUNCTION("""COMPUTED_VALUE"""),262500.0)</f>
        <v>262500</v>
      </c>
      <c r="J127" s="211" t="str">
        <f>IFERROR(__xludf.DUMMYFUNCTION("""COMPUTED_VALUE"""),"Penagihan")</f>
        <v>Penagihan</v>
      </c>
      <c r="L127" s="223" t="str">
        <f>IFERROR(__xludf.DUMMYFUNCTION("""COMPUTED_VALUE"""),"Apr 2025")</f>
        <v>Apr 2025</v>
      </c>
      <c r="M127" s="211" t="str">
        <f>IFERROR(__xludf.DUMMYFUNCTION("""COMPUTED_VALUE"""),"PT Pandu Mulia Bersama")</f>
        <v>PT Pandu Mulia Bersama</v>
      </c>
      <c r="N127" s="211" t="str">
        <f>IFERROR(__xludf.DUMMYFUNCTION("""COMPUTED_VALUE"""),"04251271")</f>
        <v>04251271</v>
      </c>
      <c r="O127" s="211" t="str">
        <f>IFERROR(__xludf.DUMMYFUNCTION("""COMPUTED_VALUE"""),"0/1")</f>
        <v>0/1</v>
      </c>
      <c r="P127" s="224">
        <f>IFERROR(__xludf.DUMMYFUNCTION("""COMPUTED_VALUE"""),1332000.0)</f>
        <v>1332000</v>
      </c>
      <c r="Q127" s="225">
        <f>IFERROR(__xludf.DUMMYFUNCTION("""COMPUTED_VALUE"""),1332000.0)</f>
        <v>1332000</v>
      </c>
      <c r="R127" s="211" t="str">
        <f>IFERROR(__xludf.DUMMYFUNCTION("""COMPUTED_VALUE"""),"04250363")</f>
        <v>04250363</v>
      </c>
      <c r="S127" s="211"/>
      <c r="T127" s="211"/>
      <c r="U127" s="211"/>
    </row>
    <row r="128">
      <c r="A128" s="222" t="str">
        <f>IFERROR(__xludf.DUMMYFUNCTION("""COMPUTED_VALUE"""),"12240172")</f>
        <v>12240172</v>
      </c>
      <c r="B128" s="211" t="str">
        <f>IFERROR(__xludf.DUMMYFUNCTION("""COMPUTED_VALUE"""),"19 Dec 2024")</f>
        <v>19 Dec 2024</v>
      </c>
      <c r="C128" s="211" t="str">
        <f>IFERROR(__xludf.DUMMYFUNCTION("""COMPUTED_VALUE"""),"PT TERAPAN NILAIOSILASI INDONESIA (TENO)")</f>
        <v>PT TERAPAN NILAIOSILASI INDONESIA (TENO)</v>
      </c>
      <c r="D128" s="211" t="str">
        <f>IFERROR(__xludf.DUMMYFUNCTION("""COMPUTED_VALUE"""),"Oksigen 6m3")</f>
        <v>Oksigen 6m3</v>
      </c>
      <c r="E128" s="211" t="str">
        <f>IFERROR(__xludf.DUMMYFUNCTION("""COMPUTED_VALUE"""),"10")</f>
        <v>10</v>
      </c>
      <c r="F128" s="211" t="str">
        <f>IFERROR(__xludf.DUMMYFUNCTION("""COMPUTED_VALUE"""),"500000")</f>
        <v>500000</v>
      </c>
      <c r="G128" s="211"/>
      <c r="H128" s="211"/>
      <c r="I128" s="211">
        <f>IFERROR(__xludf.DUMMYFUNCTION("""COMPUTED_VALUE"""),500000.0)</f>
        <v>500000</v>
      </c>
      <c r="J128" s="211" t="str">
        <f>IFERROR(__xludf.DUMMYFUNCTION("""COMPUTED_VALUE"""),"Ya")</f>
        <v>Ya</v>
      </c>
      <c r="L128" s="223" t="str">
        <f>IFERROR(__xludf.DUMMYFUNCTION("""COMPUTED_VALUE"""),"Apr 2025")</f>
        <v>Apr 2025</v>
      </c>
      <c r="M128" s="211" t="str">
        <f>IFERROR(__xludf.DUMMYFUNCTION("""COMPUTED_VALUE"""),"Bpk. Anwar")</f>
        <v>Bpk. Anwar</v>
      </c>
      <c r="N128" s="211" t="str">
        <f>IFERROR(__xludf.DUMMYFUNCTION("""COMPUTED_VALUE"""),"04251280")</f>
        <v>04251280</v>
      </c>
      <c r="O128" s="211" t="str">
        <f>IFERROR(__xludf.DUMMYFUNCTION("""COMPUTED_VALUE"""),"1/1")</f>
        <v>1/1</v>
      </c>
      <c r="P128" s="224">
        <f>IFERROR(__xludf.DUMMYFUNCTION("""COMPUTED_VALUE"""),120000.0)</f>
        <v>120000</v>
      </c>
      <c r="Q128" s="225" t="str">
        <f>IFERROR(__xludf.DUMMYFUNCTION("""COMPUTED_VALUE"""),"✅")</f>
        <v>✅</v>
      </c>
      <c r="R128" s="211" t="str">
        <f>IFERROR(__xludf.DUMMYFUNCTION("""COMPUTED_VALUE"""),"-")</f>
        <v>-</v>
      </c>
      <c r="S128" s="211"/>
      <c r="T128" s="211"/>
      <c r="U128" s="211"/>
    </row>
    <row r="129">
      <c r="A129" s="222" t="str">
        <f>IFERROR(__xludf.DUMMYFUNCTION("""COMPUTED_VALUE"""),"12240173")</f>
        <v>12240173</v>
      </c>
      <c r="B129" s="211" t="str">
        <f>IFERROR(__xludf.DUMMYFUNCTION("""COMPUTED_VALUE"""),"20 Dec 2024")</f>
        <v>20 Dec 2024</v>
      </c>
      <c r="C129" s="211" t="str">
        <f>IFERROR(__xludf.DUMMYFUNCTION("""COMPUTED_VALUE"""),"PT Dingsheng Metal Indonesia (Ngoro)")</f>
        <v>PT Dingsheng Metal Indonesia (Ngoro)</v>
      </c>
      <c r="D129" s="211" t="str">
        <f>IFERROR(__xludf.DUMMYFUNCTION("""COMPUTED_VALUE"""),"Argon 6m3")</f>
        <v>Argon 6m3</v>
      </c>
      <c r="E129" s="211" t="str">
        <f>IFERROR(__xludf.DUMMYFUNCTION("""COMPUTED_VALUE"""),"1")</f>
        <v>1</v>
      </c>
      <c r="F129" s="211" t="str">
        <f>IFERROR(__xludf.DUMMYFUNCTION("""COMPUTED_VALUE"""),"233100")</f>
        <v>233100</v>
      </c>
      <c r="G129" s="211"/>
      <c r="H129" s="211"/>
      <c r="I129" s="211">
        <f>IFERROR(__xludf.DUMMYFUNCTION("""COMPUTED_VALUE"""),233100.0)</f>
        <v>233100</v>
      </c>
      <c r="J129" s="211" t="str">
        <f>IFERROR(__xludf.DUMMYFUNCTION("""COMPUTED_VALUE"""),"Ya")</f>
        <v>Ya</v>
      </c>
      <c r="L129" s="223" t="str">
        <f>IFERROR(__xludf.DUMMYFUNCTION("""COMPUTED_VALUE"""),"Apr 2025")</f>
        <v>Apr 2025</v>
      </c>
      <c r="M129" s="211" t="str">
        <f>IFERROR(__xludf.DUMMYFUNCTION("""COMPUTED_VALUE"""),"PT Dunia Berkat Marga Mulya")</f>
        <v>PT Dunia Berkat Marga Mulya</v>
      </c>
      <c r="N129" s="211" t="str">
        <f>IFERROR(__xludf.DUMMYFUNCTION("""COMPUTED_VALUE"""),"04251290")</f>
        <v>04251290</v>
      </c>
      <c r="O129" s="211" t="str">
        <f>IFERROR(__xludf.DUMMYFUNCTION("""COMPUTED_VALUE"""),"1/1")</f>
        <v>1/1</v>
      </c>
      <c r="P129" s="224">
        <f>IFERROR(__xludf.DUMMYFUNCTION("""COMPUTED_VALUE"""),266400.0)</f>
        <v>266400</v>
      </c>
      <c r="Q129" s="225" t="str">
        <f>IFERROR(__xludf.DUMMYFUNCTION("""COMPUTED_VALUE"""),"✅")</f>
        <v>✅</v>
      </c>
      <c r="R129" s="211" t="str">
        <f>IFERROR(__xludf.DUMMYFUNCTION("""COMPUTED_VALUE"""),"-")</f>
        <v>-</v>
      </c>
      <c r="S129" s="211"/>
      <c r="T129" s="211"/>
      <c r="U129" s="211"/>
    </row>
    <row r="130">
      <c r="A130" s="222" t="str">
        <f>IFERROR(__xludf.DUMMYFUNCTION("""COMPUTED_VALUE"""),"12240174")</f>
        <v>12240174</v>
      </c>
      <c r="B130" s="211" t="str">
        <f>IFERROR(__xludf.DUMMYFUNCTION("""COMPUTED_VALUE"""),"20 Dec 2024")</f>
        <v>20 Dec 2024</v>
      </c>
      <c r="C130" s="211" t="str">
        <f>IFERROR(__xludf.DUMMYFUNCTION("""COMPUTED_VALUE"""),"GYF")</f>
        <v>GYF</v>
      </c>
      <c r="D130" s="211" t="str">
        <f>IFERROR(__xludf.DUMMYFUNCTION("""COMPUTED_VALUE"""),"Oksigen 6m3")</f>
        <v>Oksigen 6m3</v>
      </c>
      <c r="E130" s="211" t="str">
        <f>IFERROR(__xludf.DUMMYFUNCTION("""COMPUTED_VALUE"""),"10")</f>
        <v>10</v>
      </c>
      <c r="F130" s="211" t="str">
        <f>IFERROR(__xludf.DUMMYFUNCTION("""COMPUTED_VALUE"""),"450000")</f>
        <v>450000</v>
      </c>
      <c r="G130" s="211"/>
      <c r="H130" s="211"/>
      <c r="I130" s="211">
        <f>IFERROR(__xludf.DUMMYFUNCTION("""COMPUTED_VALUE"""),450000.0)</f>
        <v>450000</v>
      </c>
      <c r="J130" s="211" t="str">
        <f>IFERROR(__xludf.DUMMYFUNCTION("""COMPUTED_VALUE"""),"Ya")</f>
        <v>Ya</v>
      </c>
      <c r="L130" s="223" t="str">
        <f>IFERROR(__xludf.DUMMYFUNCTION("""COMPUTED_VALUE"""),"Apr 2025")</f>
        <v>Apr 2025</v>
      </c>
      <c r="M130" s="211" t="str">
        <f>IFERROR(__xludf.DUMMYFUNCTION("""COMPUTED_VALUE"""),"Bpk. Andi (Jetis)")</f>
        <v>Bpk. Andi (Jetis)</v>
      </c>
      <c r="N130" s="211" t="str">
        <f>IFERROR(__xludf.DUMMYFUNCTION("""COMPUTED_VALUE"""),"04251300")</f>
        <v>04251300</v>
      </c>
      <c r="O130" s="211" t="str">
        <f>IFERROR(__xludf.DUMMYFUNCTION("""COMPUTED_VALUE"""),"1/1")</f>
        <v>1/1</v>
      </c>
      <c r="P130" s="224">
        <f>IFERROR(__xludf.DUMMYFUNCTION("""COMPUTED_VALUE"""),1500000.0)</f>
        <v>1500000</v>
      </c>
      <c r="Q130" s="225" t="str">
        <f>IFERROR(__xludf.DUMMYFUNCTION("""COMPUTED_VALUE"""),"✅")</f>
        <v>✅</v>
      </c>
      <c r="R130" s="211" t="str">
        <f>IFERROR(__xludf.DUMMYFUNCTION("""COMPUTED_VALUE"""),"-")</f>
        <v>-</v>
      </c>
      <c r="S130" s="211"/>
      <c r="T130" s="211"/>
      <c r="U130" s="211"/>
    </row>
    <row r="131">
      <c r="A131" s="222" t="str">
        <f>IFERROR(__xludf.DUMMYFUNCTION("""COMPUTED_VALUE"""),"12240175")</f>
        <v>12240175</v>
      </c>
      <c r="B131" s="211" t="str">
        <f>IFERROR(__xludf.DUMMYFUNCTION("""COMPUTED_VALUE"""),"20 Dec 2024")</f>
        <v>20 Dec 2024</v>
      </c>
      <c r="C131" s="211" t="str">
        <f>IFERROR(__xludf.DUMMYFUNCTION("""COMPUTED_VALUE"""),"Bpk. Agus (Trowulan)")</f>
        <v>Bpk. Agus (Trowulan)</v>
      </c>
      <c r="D131" s="211" t="str">
        <f>IFERROR(__xludf.DUMMYFUNCTION("""COMPUTED_VALUE"""),"Oksigen 6m3
LPG 12kg")</f>
        <v>Oksigen 6m3
LPG 12kg</v>
      </c>
      <c r="E131" s="211" t="str">
        <f>IFERROR(__xludf.DUMMYFUNCTION("""COMPUTED_VALUE"""),"5
1")</f>
        <v>5
1</v>
      </c>
      <c r="F131" s="211" t="str">
        <f>IFERROR(__xludf.DUMMYFUNCTION("""COMPUTED_VALUE"""),"300000
215000")</f>
        <v>300000
215000</v>
      </c>
      <c r="G131" s="211"/>
      <c r="H131" s="211"/>
      <c r="I131" s="211">
        <f>IFERROR(__xludf.DUMMYFUNCTION("""COMPUTED_VALUE"""),515000.0)</f>
        <v>515000</v>
      </c>
      <c r="J131" s="211" t="str">
        <f>IFERROR(__xludf.DUMMYFUNCTION("""COMPUTED_VALUE"""),"Ya")</f>
        <v>Ya</v>
      </c>
      <c r="L131" s="223" t="str">
        <f>IFERROR(__xludf.DUMMYFUNCTION("""COMPUTED_VALUE"""),"Apr 2025")</f>
        <v>Apr 2025</v>
      </c>
      <c r="M131" s="211" t="str">
        <f>IFERROR(__xludf.DUMMYFUNCTION("""COMPUTED_VALUE"""),"Bpk. Sukirno (Bejo)")</f>
        <v>Bpk. Sukirno (Bejo)</v>
      </c>
      <c r="N131" s="211" t="str">
        <f>IFERROR(__xludf.DUMMYFUNCTION("""COMPUTED_VALUE"""),"04251310")</f>
        <v>04251310</v>
      </c>
      <c r="O131" s="211" t="str">
        <f>IFERROR(__xludf.DUMMYFUNCTION("""COMPUTED_VALUE"""),"2/2")</f>
        <v>2/2</v>
      </c>
      <c r="P131" s="224">
        <f>IFERROR(__xludf.DUMMYFUNCTION("""COMPUTED_VALUE"""),1200000.0)</f>
        <v>1200000</v>
      </c>
      <c r="Q131" s="225" t="str">
        <f>IFERROR(__xludf.DUMMYFUNCTION("""COMPUTED_VALUE"""),"✅")</f>
        <v>✅</v>
      </c>
      <c r="R131" s="211" t="str">
        <f>IFERROR(__xludf.DUMMYFUNCTION("""COMPUTED_VALUE"""),"-")</f>
        <v>-</v>
      </c>
      <c r="S131" s="211"/>
      <c r="T131" s="211"/>
      <c r="U131" s="211"/>
    </row>
    <row r="132">
      <c r="A132" s="222" t="str">
        <f>IFERROR(__xludf.DUMMYFUNCTION("""COMPUTED_VALUE"""),"12240177")</f>
        <v>12240177</v>
      </c>
      <c r="B132" s="211" t="str">
        <f>IFERROR(__xludf.DUMMYFUNCTION("""COMPUTED_VALUE"""),"21 Dec 2024")</f>
        <v>21 Dec 2024</v>
      </c>
      <c r="C132" s="211" t="str">
        <f>IFERROR(__xludf.DUMMYFUNCTION("""COMPUTED_VALUE"""),"Bengkel Putra Sanjaya (Bpk. Amin)")</f>
        <v>Bengkel Putra Sanjaya (Bpk. Amin)</v>
      </c>
      <c r="D132" s="211" t="str">
        <f>IFERROR(__xludf.DUMMYFUNCTION("""COMPUTED_VALUE"""),"Argon 6m3")</f>
        <v>Argon 6m3</v>
      </c>
      <c r="E132" s="211" t="str">
        <f>IFERROR(__xludf.DUMMYFUNCTION("""COMPUTED_VALUE"""),"1")</f>
        <v>1</v>
      </c>
      <c r="F132" s="211" t="str">
        <f>IFERROR(__xludf.DUMMYFUNCTION("""COMPUTED_VALUE"""),"210000")</f>
        <v>210000</v>
      </c>
      <c r="G132" s="211"/>
      <c r="H132" s="211"/>
      <c r="I132" s="211">
        <f>IFERROR(__xludf.DUMMYFUNCTION("""COMPUTED_VALUE"""),210000.0)</f>
        <v>210000</v>
      </c>
      <c r="J132" s="211" t="str">
        <f>IFERROR(__xludf.DUMMYFUNCTION("""COMPUTED_VALUE"""),"Ya")</f>
        <v>Ya</v>
      </c>
      <c r="L132" s="223" t="str">
        <f>IFERROR(__xludf.DUMMYFUNCTION("""COMPUTED_VALUE"""),"Apr 2025")</f>
        <v>Apr 2025</v>
      </c>
      <c r="M132" s="211" t="str">
        <f>IFERROR(__xludf.DUMMYFUNCTION("""COMPUTED_VALUE"""),"Bengkel Dian Jaya")</f>
        <v>Bengkel Dian Jaya</v>
      </c>
      <c r="N132" s="211" t="str">
        <f>IFERROR(__xludf.DUMMYFUNCTION("""COMPUTED_VALUE"""),"04251320")</f>
        <v>04251320</v>
      </c>
      <c r="O132" s="211" t="str">
        <f>IFERROR(__xludf.DUMMYFUNCTION("""COMPUTED_VALUE"""),"1/1")</f>
        <v>1/1</v>
      </c>
      <c r="P132" s="224">
        <f>IFERROR(__xludf.DUMMYFUNCTION("""COMPUTED_VALUE"""),680000.0)</f>
        <v>680000</v>
      </c>
      <c r="Q132" s="225" t="str">
        <f>IFERROR(__xludf.DUMMYFUNCTION("""COMPUTED_VALUE"""),"✅")</f>
        <v>✅</v>
      </c>
      <c r="R132" s="211" t="str">
        <f>IFERROR(__xludf.DUMMYFUNCTION("""COMPUTED_VALUE"""),"-")</f>
        <v>-</v>
      </c>
      <c r="S132" s="211"/>
      <c r="T132" s="211"/>
      <c r="U132" s="211"/>
    </row>
    <row r="133">
      <c r="A133" s="222" t="str">
        <f>IFERROR(__xludf.DUMMYFUNCTION("""COMPUTED_VALUE"""),"12240178")</f>
        <v>12240178</v>
      </c>
      <c r="B133" s="211" t="str">
        <f>IFERROR(__xludf.DUMMYFUNCTION("""COMPUTED_VALUE"""),"23 Dec 2024")</f>
        <v>23 Dec 2024</v>
      </c>
      <c r="C133" s="211" t="str">
        <f>IFERROR(__xludf.DUMMYFUNCTION("""COMPUTED_VALUE"""),"PT Jatim Abadi Perkasa Steel")</f>
        <v>PT Jatim Abadi Perkasa Steel</v>
      </c>
      <c r="D133" s="211" t="str">
        <f>IFERROR(__xludf.DUMMYFUNCTION("""COMPUTED_VALUE"""),"Karbondioksida")</f>
        <v>Karbondioksida</v>
      </c>
      <c r="E133" s="211" t="str">
        <f>IFERROR(__xludf.DUMMYFUNCTION("""COMPUTED_VALUE"""),"4")</f>
        <v>4</v>
      </c>
      <c r="F133" s="211" t="str">
        <f>IFERROR(__xludf.DUMMYFUNCTION("""COMPUTED_VALUE"""),"741480")</f>
        <v>741480</v>
      </c>
      <c r="G133" s="211"/>
      <c r="H133" s="211"/>
      <c r="I133" s="211">
        <f>IFERROR(__xludf.DUMMYFUNCTION("""COMPUTED_VALUE"""),741480.0)</f>
        <v>741480</v>
      </c>
      <c r="J133" s="211" t="str">
        <f>IFERROR(__xludf.DUMMYFUNCTION("""COMPUTED_VALUE"""),"Ya")</f>
        <v>Ya</v>
      </c>
      <c r="L133" s="223" t="str">
        <f>IFERROR(__xludf.DUMMYFUNCTION("""COMPUTED_VALUE"""),"Apr 2025")</f>
        <v>Apr 2025</v>
      </c>
      <c r="M133" s="211" t="str">
        <f>IFERROR(__xludf.DUMMYFUNCTION("""COMPUTED_VALUE"""),"PT Sinar Indogreen Kencana")</f>
        <v>PT Sinar Indogreen Kencana</v>
      </c>
      <c r="N133" s="211" t="str">
        <f>IFERROR(__xludf.DUMMYFUNCTION("""COMPUTED_VALUE"""),"04251330")</f>
        <v>04251330</v>
      </c>
      <c r="O133" s="211" t="str">
        <f>IFERROR(__xludf.DUMMYFUNCTION("""COMPUTED_VALUE"""),"2/2")</f>
        <v>2/2</v>
      </c>
      <c r="P133" s="224">
        <f>IFERROR(__xludf.DUMMYFUNCTION("""COMPUTED_VALUE"""),420002.0)</f>
        <v>420002</v>
      </c>
      <c r="Q133" s="225" t="str">
        <f>IFERROR(__xludf.DUMMYFUNCTION("""COMPUTED_VALUE"""),"✅")</f>
        <v>✅</v>
      </c>
      <c r="R133" s="211" t="str">
        <f>IFERROR(__xludf.DUMMYFUNCTION("""COMPUTED_VALUE"""),"-")</f>
        <v>-</v>
      </c>
      <c r="S133" s="211"/>
      <c r="T133" s="211"/>
      <c r="U133" s="211"/>
    </row>
    <row r="134">
      <c r="A134" s="222" t="str">
        <f>IFERROR(__xludf.DUMMYFUNCTION("""COMPUTED_VALUE"""),"12240179")</f>
        <v>12240179</v>
      </c>
      <c r="B134" s="211" t="str">
        <f>IFERROR(__xludf.DUMMYFUNCTION("""COMPUTED_VALUE"""),"23 Dec 2024")</f>
        <v>23 Dec 2024</v>
      </c>
      <c r="C134" s="211" t="str">
        <f>IFERROR(__xludf.DUMMYFUNCTION("""COMPUTED_VALUE"""),"PT Jatim Abadi Perkasa Steel")</f>
        <v>PT Jatim Abadi Perkasa Steel</v>
      </c>
      <c r="D134" s="211" t="str">
        <f>IFERROR(__xludf.DUMMYFUNCTION("""COMPUTED_VALUE"""),"LPG 50kg")</f>
        <v>LPG 50kg</v>
      </c>
      <c r="E134" s="211" t="str">
        <f>IFERROR(__xludf.DUMMYFUNCTION("""COMPUTED_VALUE"""),"5")</f>
        <v>5</v>
      </c>
      <c r="F134" s="211" t="str">
        <f>IFERROR(__xludf.DUMMYFUNCTION("""COMPUTED_VALUE"""),"4750000")</f>
        <v>4750000</v>
      </c>
      <c r="G134" s="211"/>
      <c r="H134" s="211"/>
      <c r="I134" s="211">
        <f>IFERROR(__xludf.DUMMYFUNCTION("""COMPUTED_VALUE"""),4750000.0)</f>
        <v>4750000</v>
      </c>
      <c r="J134" s="211" t="str">
        <f>IFERROR(__xludf.DUMMYFUNCTION("""COMPUTED_VALUE"""),"Ya")</f>
        <v>Ya</v>
      </c>
      <c r="L134" s="223" t="str">
        <f>IFERROR(__xludf.DUMMYFUNCTION("""COMPUTED_VALUE"""),"Apr 2025")</f>
        <v>Apr 2025</v>
      </c>
      <c r="M134" s="211" t="str">
        <f>IFERROR(__xludf.DUMMYFUNCTION("""COMPUTED_VALUE"""),"PT PELANGI INDOKARYA")</f>
        <v>PT PELANGI INDOKARYA</v>
      </c>
      <c r="N134" s="211" t="str">
        <f>IFERROR(__xludf.DUMMYFUNCTION("""COMPUTED_VALUE"""),"04251340")</f>
        <v>04251340</v>
      </c>
      <c r="O134" s="211" t="str">
        <f>IFERROR(__xludf.DUMMYFUNCTION("""COMPUTED_VALUE"""),"1/1")</f>
        <v>1/1</v>
      </c>
      <c r="P134" s="224">
        <f>IFERROR(__xludf.DUMMYFUNCTION("""COMPUTED_VALUE"""),333000.0)</f>
        <v>333000</v>
      </c>
      <c r="Q134" s="225" t="str">
        <f>IFERROR(__xludf.DUMMYFUNCTION("""COMPUTED_VALUE"""),"✅")</f>
        <v>✅</v>
      </c>
      <c r="R134" s="211" t="str">
        <f>IFERROR(__xludf.DUMMYFUNCTION("""COMPUTED_VALUE"""),"-")</f>
        <v>-</v>
      </c>
      <c r="S134" s="211"/>
      <c r="T134" s="211"/>
      <c r="U134" s="211"/>
    </row>
    <row r="135">
      <c r="A135" s="222" t="str">
        <f>IFERROR(__xludf.DUMMYFUNCTION("""COMPUTED_VALUE"""),"12240180")</f>
        <v>12240180</v>
      </c>
      <c r="B135" s="211" t="str">
        <f>IFERROR(__xludf.DUMMYFUNCTION("""COMPUTED_VALUE"""),"24 Dec 2024")</f>
        <v>24 Dec 2024</v>
      </c>
      <c r="C135" s="211" t="str">
        <f>IFERROR(__xludf.DUMMYFUNCTION("""COMPUTED_VALUE"""),"H. Suheiri")</f>
        <v>H. Suheiri</v>
      </c>
      <c r="D135" s="211" t="str">
        <f>IFERROR(__xludf.DUMMYFUNCTION("""COMPUTED_VALUE"""),"Oksigen 6m3")</f>
        <v>Oksigen 6m3</v>
      </c>
      <c r="E135" s="211" t="str">
        <f>IFERROR(__xludf.DUMMYFUNCTION("""COMPUTED_VALUE"""),"30")</f>
        <v>30</v>
      </c>
      <c r="F135" s="211" t="str">
        <f>IFERROR(__xludf.DUMMYFUNCTION("""COMPUTED_VALUE"""),"1500000")</f>
        <v>1500000</v>
      </c>
      <c r="G135" s="211"/>
      <c r="H135" s="211"/>
      <c r="I135" s="211">
        <f>IFERROR(__xludf.DUMMYFUNCTION("""COMPUTED_VALUE"""),1500000.0)</f>
        <v>1500000</v>
      </c>
      <c r="J135" s="211" t="str">
        <f>IFERROR(__xludf.DUMMYFUNCTION("""COMPUTED_VALUE"""),"Ya")</f>
        <v>Ya</v>
      </c>
      <c r="L135" s="223" t="str">
        <f>IFERROR(__xludf.DUMMYFUNCTION("""COMPUTED_VALUE"""),"Apr 2025")</f>
        <v>Apr 2025</v>
      </c>
      <c r="M135" s="211" t="str">
        <f>IFERROR(__xludf.DUMMYFUNCTION("""COMPUTED_VALUE"""),"Bpk. Joko (Gresik)")</f>
        <v>Bpk. Joko (Gresik)</v>
      </c>
      <c r="N135" s="211" t="str">
        <f>IFERROR(__xludf.DUMMYFUNCTION("""COMPUTED_VALUE"""),"04251350")</f>
        <v>04251350</v>
      </c>
      <c r="O135" s="211" t="str">
        <f>IFERROR(__xludf.DUMMYFUNCTION("""COMPUTED_VALUE"""),"1/1")</f>
        <v>1/1</v>
      </c>
      <c r="P135" s="224">
        <f>IFERROR(__xludf.DUMMYFUNCTION("""COMPUTED_VALUE"""),220000.0)</f>
        <v>220000</v>
      </c>
      <c r="Q135" s="225" t="str">
        <f>IFERROR(__xludf.DUMMYFUNCTION("""COMPUTED_VALUE"""),"✅")</f>
        <v>✅</v>
      </c>
      <c r="R135" s="211" t="str">
        <f>IFERROR(__xludf.DUMMYFUNCTION("""COMPUTED_VALUE"""),"-")</f>
        <v>-</v>
      </c>
      <c r="S135" s="211"/>
      <c r="T135" s="211"/>
      <c r="U135" s="211"/>
    </row>
    <row r="136">
      <c r="A136" s="222" t="str">
        <f>IFERROR(__xludf.DUMMYFUNCTION("""COMPUTED_VALUE"""),"12240181")</f>
        <v>12240181</v>
      </c>
      <c r="B136" s="211" t="str">
        <f>IFERROR(__xludf.DUMMYFUNCTION("""COMPUTED_VALUE"""),"24 Dec 2024")</f>
        <v>24 Dec 2024</v>
      </c>
      <c r="C136" s="211" t="str">
        <f>IFERROR(__xludf.DUMMYFUNCTION("""COMPUTED_VALUE"""),"PT Jatim Abadi Perkasa Steel")</f>
        <v>PT Jatim Abadi Perkasa Steel</v>
      </c>
      <c r="D136" s="211" t="str">
        <f>IFERROR(__xludf.DUMMYFUNCTION("""COMPUTED_VALUE"""),"LPG 50kg")</f>
        <v>LPG 50kg</v>
      </c>
      <c r="E136" s="211" t="str">
        <f>IFERROR(__xludf.DUMMYFUNCTION("""COMPUTED_VALUE"""),"4")</f>
        <v>4</v>
      </c>
      <c r="F136" s="211" t="str">
        <f>IFERROR(__xludf.DUMMYFUNCTION("""COMPUTED_VALUE"""),"3800000")</f>
        <v>3800000</v>
      </c>
      <c r="G136" s="211"/>
      <c r="H136" s="211"/>
      <c r="I136" s="211">
        <f>IFERROR(__xludf.DUMMYFUNCTION("""COMPUTED_VALUE"""),3800000.0)</f>
        <v>3800000</v>
      </c>
      <c r="J136" s="211" t="str">
        <f>IFERROR(__xludf.DUMMYFUNCTION("""COMPUTED_VALUE"""),"Ya")</f>
        <v>Ya</v>
      </c>
      <c r="L136" s="223" t="str">
        <f>IFERROR(__xludf.DUMMYFUNCTION("""COMPUTED_VALUE"""),"Apr 2025")</f>
        <v>Apr 2025</v>
      </c>
      <c r="M136" s="211" t="str">
        <f>IFERROR(__xludf.DUMMYFUNCTION("""COMPUTED_VALUE"""),"Bpk. Sugiantoro")</f>
        <v>Bpk. Sugiantoro</v>
      </c>
      <c r="N136" s="211" t="str">
        <f>IFERROR(__xludf.DUMMYFUNCTION("""COMPUTED_VALUE"""),"04251360")</f>
        <v>04251360</v>
      </c>
      <c r="O136" s="211" t="str">
        <f>IFERROR(__xludf.DUMMYFUNCTION("""COMPUTED_VALUE"""),"2/2")</f>
        <v>2/2</v>
      </c>
      <c r="P136" s="224">
        <f>IFERROR(__xludf.DUMMYFUNCTION("""COMPUTED_VALUE"""),420000.0)</f>
        <v>420000</v>
      </c>
      <c r="Q136" s="225" t="str">
        <f>IFERROR(__xludf.DUMMYFUNCTION("""COMPUTED_VALUE"""),"✅")</f>
        <v>✅</v>
      </c>
      <c r="R136" s="211" t="str">
        <f>IFERROR(__xludf.DUMMYFUNCTION("""COMPUTED_VALUE"""),"-")</f>
        <v>-</v>
      </c>
      <c r="S136" s="211"/>
      <c r="T136" s="211"/>
      <c r="U136" s="211"/>
    </row>
    <row r="137">
      <c r="A137" s="222" t="str">
        <f>IFERROR(__xludf.DUMMYFUNCTION("""COMPUTED_VALUE"""),"12240182")</f>
        <v>12240182</v>
      </c>
      <c r="B137" s="211" t="str">
        <f>IFERROR(__xludf.DUMMYFUNCTION("""COMPUTED_VALUE"""),"24 Dec 2024")</f>
        <v>24 Dec 2024</v>
      </c>
      <c r="C137" s="211" t="str">
        <f>IFERROR(__xludf.DUMMYFUNCTION("""COMPUTED_VALUE"""),"Bpk. Supar")</f>
        <v>Bpk. Supar</v>
      </c>
      <c r="D137" s="211" t="str">
        <f>IFERROR(__xludf.DUMMYFUNCTION("""COMPUTED_VALUE"""),"Oksigen 6m3")</f>
        <v>Oksigen 6m3</v>
      </c>
      <c r="E137" s="211" t="str">
        <f>IFERROR(__xludf.DUMMYFUNCTION("""COMPUTED_VALUE"""),"1")</f>
        <v>1</v>
      </c>
      <c r="F137" s="211" t="str">
        <f>IFERROR(__xludf.DUMMYFUNCTION("""COMPUTED_VALUE"""),"70000")</f>
        <v>70000</v>
      </c>
      <c r="G137" s="211"/>
      <c r="H137" s="211"/>
      <c r="I137" s="211">
        <f>IFERROR(__xludf.DUMMYFUNCTION("""COMPUTED_VALUE"""),70000.0)</f>
        <v>70000</v>
      </c>
      <c r="J137" s="211" t="str">
        <f>IFERROR(__xludf.DUMMYFUNCTION("""COMPUTED_VALUE"""),"Ya")</f>
        <v>Ya</v>
      </c>
      <c r="L137" s="223" t="str">
        <f>IFERROR(__xludf.DUMMYFUNCTION("""COMPUTED_VALUE"""),"Apr 2025")</f>
        <v>Apr 2025</v>
      </c>
      <c r="M137" s="211" t="str">
        <f>IFERROR(__xludf.DUMMYFUNCTION("""COMPUTED_VALUE"""),"Bpk. Yudi")</f>
        <v>Bpk. Yudi</v>
      </c>
      <c r="N137" s="211" t="str">
        <f>IFERROR(__xludf.DUMMYFUNCTION("""COMPUTED_VALUE"""),"04251371")</f>
        <v>04251371</v>
      </c>
      <c r="O137" s="211" t="str">
        <f>IFERROR(__xludf.DUMMYFUNCTION("""COMPUTED_VALUE"""),"0/1")</f>
        <v>0/1</v>
      </c>
      <c r="P137" s="224">
        <f>IFERROR(__xludf.DUMMYFUNCTION("""COMPUTED_VALUE"""),299700.0)</f>
        <v>299700</v>
      </c>
      <c r="Q137" s="225">
        <f>IFERROR(__xludf.DUMMYFUNCTION("""COMPUTED_VALUE"""),299700.0)</f>
        <v>299700</v>
      </c>
      <c r="R137" s="211" t="str">
        <f>IFERROR(__xludf.DUMMYFUNCTION("""COMPUTED_VALUE"""),"04250394")</f>
        <v>04250394</v>
      </c>
      <c r="S137" s="211"/>
      <c r="T137" s="211"/>
      <c r="U137" s="211"/>
    </row>
    <row r="138">
      <c r="A138" s="222" t="str">
        <f>IFERROR(__xludf.DUMMYFUNCTION("""COMPUTED_VALUE"""),"12240183")</f>
        <v>12240183</v>
      </c>
      <c r="B138" s="211" t="str">
        <f>IFERROR(__xludf.DUMMYFUNCTION("""COMPUTED_VALUE"""),"24 Dec 2024")</f>
        <v>24 Dec 2024</v>
      </c>
      <c r="C138" s="211" t="str">
        <f>IFERROR(__xludf.DUMMYFUNCTION("""COMPUTED_VALUE"""),"PT Hua Zong Mesindo")</f>
        <v>PT Hua Zong Mesindo</v>
      </c>
      <c r="D138" s="211" t="str">
        <f>IFERROR(__xludf.DUMMYFUNCTION("""COMPUTED_VALUE"""),"Oksigen 6m3
Argon 6m3")</f>
        <v>Oksigen 6m3
Argon 6m3</v>
      </c>
      <c r="E138" s="211" t="str">
        <f>IFERROR(__xludf.DUMMYFUNCTION("""COMPUTED_VALUE"""),"5
4")</f>
        <v>5
4</v>
      </c>
      <c r="F138" s="211" t="str">
        <f>IFERROR(__xludf.DUMMYFUNCTION("""COMPUTED_VALUE"""),"300000
760000")</f>
        <v>300000
760000</v>
      </c>
      <c r="G138" s="211"/>
      <c r="H138" s="211"/>
      <c r="I138" s="211">
        <f>IFERROR(__xludf.DUMMYFUNCTION("""COMPUTED_VALUE"""),1060000.0)</f>
        <v>1060000</v>
      </c>
      <c r="J138" s="211" t="str">
        <f>IFERROR(__xludf.DUMMYFUNCTION("""COMPUTED_VALUE"""),"Ya")</f>
        <v>Ya</v>
      </c>
      <c r="L138" s="223" t="str">
        <f>IFERROR(__xludf.DUMMYFUNCTION("""COMPUTED_VALUE"""),"May 2025")</f>
        <v>May 2025</v>
      </c>
      <c r="M138" s="211" t="str">
        <f>IFERROR(__xludf.DUMMYFUNCTION("""COMPUTED_VALUE"""),"GYF")</f>
        <v>GYF</v>
      </c>
      <c r="N138" s="211" t="str">
        <f>IFERROR(__xludf.DUMMYFUNCTION("""COMPUTED_VALUE"""),"05251380")</f>
        <v>05251380</v>
      </c>
      <c r="O138" s="211" t="str">
        <f>IFERROR(__xludf.DUMMYFUNCTION("""COMPUTED_VALUE"""),"2/4")</f>
        <v>2/4</v>
      </c>
      <c r="P138" s="224">
        <f>IFERROR(__xludf.DUMMYFUNCTION("""COMPUTED_VALUE"""),2425000.0)</f>
        <v>2425000</v>
      </c>
      <c r="Q138" s="225" t="str">
        <f>IFERROR(__xludf.DUMMYFUNCTION("""COMPUTED_VALUE"""),"✅")</f>
        <v>✅</v>
      </c>
      <c r="R138" s="211" t="str">
        <f>IFERROR(__xludf.DUMMYFUNCTION("""COMPUTED_VALUE"""),"-")</f>
        <v>-</v>
      </c>
      <c r="S138" s="211"/>
      <c r="T138" s="211"/>
      <c r="U138" s="211"/>
    </row>
    <row r="139">
      <c r="A139" s="222" t="str">
        <f>IFERROR(__xludf.DUMMYFUNCTION("""COMPUTED_VALUE"""),"12240185")</f>
        <v>12240185</v>
      </c>
      <c r="B139" s="211" t="str">
        <f>IFERROR(__xludf.DUMMYFUNCTION("""COMPUTED_VALUE"""),"25 Dec 2024")</f>
        <v>25 Dec 2024</v>
      </c>
      <c r="C139" s="211" t="str">
        <f>IFERROR(__xludf.DUMMYFUNCTION("""COMPUTED_VALUE"""),"GYF")</f>
        <v>GYF</v>
      </c>
      <c r="D139" s="211" t="str">
        <f>IFERROR(__xludf.DUMMYFUNCTION("""COMPUTED_VALUE"""),"Oksigen 6m3")</f>
        <v>Oksigen 6m3</v>
      </c>
      <c r="E139" s="211" t="str">
        <f>IFERROR(__xludf.DUMMYFUNCTION("""COMPUTED_VALUE"""),"20")</f>
        <v>20</v>
      </c>
      <c r="F139" s="211" t="str">
        <f>IFERROR(__xludf.DUMMYFUNCTION("""COMPUTED_VALUE"""),"900000")</f>
        <v>900000</v>
      </c>
      <c r="G139" s="211"/>
      <c r="H139" s="211"/>
      <c r="I139" s="211">
        <f>IFERROR(__xludf.DUMMYFUNCTION("""COMPUTED_VALUE"""),900000.0)</f>
        <v>900000</v>
      </c>
      <c r="J139" s="211" t="str">
        <f>IFERROR(__xludf.DUMMYFUNCTION("""COMPUTED_VALUE"""),"Ya")</f>
        <v>Ya</v>
      </c>
      <c r="L139" s="223" t="str">
        <f>IFERROR(__xludf.DUMMYFUNCTION("""COMPUTED_VALUE"""),"May 2025")</f>
        <v>May 2025</v>
      </c>
      <c r="M139" s="211" t="str">
        <f>IFERROR(__xludf.DUMMYFUNCTION("""COMPUTED_VALUE"""),"PT GEMILANG CIPTA WAWASAN")</f>
        <v>PT GEMILANG CIPTA WAWASAN</v>
      </c>
      <c r="N139" s="211" t="str">
        <f>IFERROR(__xludf.DUMMYFUNCTION("""COMPUTED_VALUE"""),"05251394")</f>
        <v>05251394</v>
      </c>
      <c r="O139" s="211" t="str">
        <f>IFERROR(__xludf.DUMMYFUNCTION("""COMPUTED_VALUE"""),"0/4")</f>
        <v>0/4</v>
      </c>
      <c r="P139" s="224">
        <f>IFERROR(__xludf.DUMMYFUNCTION("""COMPUTED_VALUE"""),3774000.0)</f>
        <v>3774000</v>
      </c>
      <c r="Q139" s="225">
        <f>IFERROR(__xludf.DUMMYFUNCTION("""COMPUTED_VALUE"""),3774000.0)</f>
        <v>3774000</v>
      </c>
      <c r="R139" s="211" t="str">
        <f>IFERROR(__xludf.DUMMYFUNCTION("""COMPUTED_VALUE"""),"05250398 05250406 05250414 05250446")</f>
        <v>05250398 05250406 05250414 05250446</v>
      </c>
      <c r="S139" s="211"/>
      <c r="T139" s="211"/>
      <c r="U139" s="211"/>
    </row>
    <row r="140">
      <c r="A140" s="222" t="str">
        <f>IFERROR(__xludf.DUMMYFUNCTION("""COMPUTED_VALUE"""),"12240186")</f>
        <v>12240186</v>
      </c>
      <c r="B140" s="211" t="str">
        <f>IFERROR(__xludf.DUMMYFUNCTION("""COMPUTED_VALUE"""),"27 Dec 2024")</f>
        <v>27 Dec 2024</v>
      </c>
      <c r="C140" s="211" t="str">
        <f>IFERROR(__xludf.DUMMYFUNCTION("""COMPUTED_VALUE"""),"Bpk. Sukirno (Bejo)")</f>
        <v>Bpk. Sukirno (Bejo)</v>
      </c>
      <c r="D140" s="211" t="str">
        <f>IFERROR(__xludf.DUMMYFUNCTION("""COMPUTED_VALUE"""),"Oksigen 6m3")</f>
        <v>Oksigen 6m3</v>
      </c>
      <c r="E140" s="211" t="str">
        <f>IFERROR(__xludf.DUMMYFUNCTION("""COMPUTED_VALUE"""),"15")</f>
        <v>15</v>
      </c>
      <c r="F140" s="211" t="str">
        <f>IFERROR(__xludf.DUMMYFUNCTION("""COMPUTED_VALUE"""),"900000")</f>
        <v>900000</v>
      </c>
      <c r="G140" s="211"/>
      <c r="H140" s="211"/>
      <c r="I140" s="211">
        <f>IFERROR(__xludf.DUMMYFUNCTION("""COMPUTED_VALUE"""),900000.0)</f>
        <v>900000</v>
      </c>
      <c r="J140" s="211" t="str">
        <f>IFERROR(__xludf.DUMMYFUNCTION("""COMPUTED_VALUE"""),"Ya")</f>
        <v>Ya</v>
      </c>
      <c r="L140" s="223" t="str">
        <f>IFERROR(__xludf.DUMMYFUNCTION("""COMPUTED_VALUE"""),"May 2025")</f>
        <v>May 2025</v>
      </c>
      <c r="M140" s="211" t="str">
        <f>IFERROR(__xludf.DUMMYFUNCTION("""COMPUTED_VALUE"""),"Bpk. Rokhim (Kraton)")</f>
        <v>Bpk. Rokhim (Kraton)</v>
      </c>
      <c r="N140" s="211" t="str">
        <f>IFERROR(__xludf.DUMMYFUNCTION("""COMPUTED_VALUE"""),"05251400")</f>
        <v>05251400</v>
      </c>
      <c r="O140" s="211" t="str">
        <f>IFERROR(__xludf.DUMMYFUNCTION("""COMPUTED_VALUE"""),"1/2")</f>
        <v>1/2</v>
      </c>
      <c r="P140" s="224">
        <f>IFERROR(__xludf.DUMMYFUNCTION("""COMPUTED_VALUE"""),490000.0)</f>
        <v>490000</v>
      </c>
      <c r="Q140" s="225" t="str">
        <f>IFERROR(__xludf.DUMMYFUNCTION("""COMPUTED_VALUE"""),"✅")</f>
        <v>✅</v>
      </c>
      <c r="R140" s="211" t="str">
        <f>IFERROR(__xludf.DUMMYFUNCTION("""COMPUTED_VALUE"""),"-")</f>
        <v>-</v>
      </c>
      <c r="S140" s="211"/>
      <c r="T140" s="211"/>
      <c r="U140" s="211"/>
    </row>
    <row r="141">
      <c r="A141" s="222" t="str">
        <f>IFERROR(__xludf.DUMMYFUNCTION("""COMPUTED_VALUE"""),"12240187")</f>
        <v>12240187</v>
      </c>
      <c r="B141" s="211" t="str">
        <f>IFERROR(__xludf.DUMMYFUNCTION("""COMPUTED_VALUE"""),"28 Dec 2024")</f>
        <v>28 Dec 2024</v>
      </c>
      <c r="C141" s="211" t="str">
        <f>IFERROR(__xludf.DUMMYFUNCTION("""COMPUTED_VALUE"""),"Ibu Ida")</f>
        <v>Ibu Ida</v>
      </c>
      <c r="D141" s="211" t="str">
        <f>IFERROR(__xludf.DUMMYFUNCTION("""COMPUTED_VALUE"""),"Oksigen 6m3
Oksigen 6m3 MR")</f>
        <v>Oksigen 6m3
Oksigen 6m3 MR</v>
      </c>
      <c r="E141" s="211" t="str">
        <f>IFERROR(__xludf.DUMMYFUNCTION("""COMPUTED_VALUE"""),"4
6")</f>
        <v>4
6</v>
      </c>
      <c r="F141" s="211" t="str">
        <f>IFERROR(__xludf.DUMMYFUNCTION("""COMPUTED_VALUE"""),"200000
300000")</f>
        <v>200000
300000</v>
      </c>
      <c r="G141" s="211"/>
      <c r="H141" s="211"/>
      <c r="I141" s="211">
        <f>IFERROR(__xludf.DUMMYFUNCTION("""COMPUTED_VALUE"""),500000.0)</f>
        <v>500000</v>
      </c>
      <c r="J141" s="211" t="str">
        <f>IFERROR(__xludf.DUMMYFUNCTION("""COMPUTED_VALUE"""),"Ya")</f>
        <v>Ya</v>
      </c>
      <c r="L141" s="223" t="str">
        <f>IFERROR(__xludf.DUMMYFUNCTION("""COMPUTED_VALUE"""),"May 2025")</f>
        <v>May 2025</v>
      </c>
      <c r="M141" s="211" t="str">
        <f>IFERROR(__xludf.DUMMYFUNCTION("""COMPUTED_VALUE"""),"PT LONG XING LOGAM INDONESIA")</f>
        <v>PT LONG XING LOGAM INDONESIA</v>
      </c>
      <c r="N141" s="211" t="str">
        <f>IFERROR(__xludf.DUMMYFUNCTION("""COMPUTED_VALUE"""),"05251410")</f>
        <v>05251410</v>
      </c>
      <c r="O141" s="211" t="str">
        <f>IFERROR(__xludf.DUMMYFUNCTION("""COMPUTED_VALUE"""),"1/1")</f>
        <v>1/1</v>
      </c>
      <c r="P141" s="224">
        <f>IFERROR(__xludf.DUMMYFUNCTION("""COMPUTED_VALUE"""),1200000.0)</f>
        <v>1200000</v>
      </c>
      <c r="Q141" s="225" t="str">
        <f>IFERROR(__xludf.DUMMYFUNCTION("""COMPUTED_VALUE"""),"✅")</f>
        <v>✅</v>
      </c>
      <c r="R141" s="211" t="str">
        <f>IFERROR(__xludf.DUMMYFUNCTION("""COMPUTED_VALUE"""),"-")</f>
        <v>-</v>
      </c>
      <c r="S141" s="211"/>
      <c r="T141" s="211"/>
      <c r="U141" s="211"/>
    </row>
    <row r="142">
      <c r="A142" s="222" t="str">
        <f>IFERROR(__xludf.DUMMYFUNCTION("""COMPUTED_VALUE"""),"12240189")</f>
        <v>12240189</v>
      </c>
      <c r="B142" s="211" t="str">
        <f>IFERROR(__xludf.DUMMYFUNCTION("""COMPUTED_VALUE"""),"28 Dec 2024")</f>
        <v>28 Dec 2024</v>
      </c>
      <c r="C142" s="211" t="str">
        <f>IFERROR(__xludf.DUMMYFUNCTION("""COMPUTED_VALUE"""),"Ibu Yanti")</f>
        <v>Ibu Yanti</v>
      </c>
      <c r="D142" s="211" t="str">
        <f>IFERROR(__xludf.DUMMYFUNCTION("""COMPUTED_VALUE"""),"Oksigen 1m3")</f>
        <v>Oksigen 1m3</v>
      </c>
      <c r="E142" s="211" t="str">
        <f>IFERROR(__xludf.DUMMYFUNCTION("""COMPUTED_VALUE"""),"2")</f>
        <v>2</v>
      </c>
      <c r="F142" s="211" t="str">
        <f>IFERROR(__xludf.DUMMYFUNCTION("""COMPUTED_VALUE"""),"120000")</f>
        <v>120000</v>
      </c>
      <c r="G142" s="211"/>
      <c r="H142" s="211"/>
      <c r="I142" s="211">
        <f>IFERROR(__xludf.DUMMYFUNCTION("""COMPUTED_VALUE"""),120000.0)</f>
        <v>120000</v>
      </c>
      <c r="J142" s="211" t="str">
        <f>IFERROR(__xludf.DUMMYFUNCTION("""COMPUTED_VALUE"""),"Ya")</f>
        <v>Ya</v>
      </c>
      <c r="L142" s="223" t="str">
        <f>IFERROR(__xludf.DUMMYFUNCTION("""COMPUTED_VALUE"""),"May 2025")</f>
        <v>May 2025</v>
      </c>
      <c r="M142" s="211" t="str">
        <f>IFERROR(__xludf.DUMMYFUNCTION("""COMPUTED_VALUE"""),"PT Dunia Berkat Marga Mulya")</f>
        <v>PT Dunia Berkat Marga Mulya</v>
      </c>
      <c r="N142" s="211" t="str">
        <f>IFERROR(__xludf.DUMMYFUNCTION("""COMPUTED_VALUE"""),"05251420")</f>
        <v>05251420</v>
      </c>
      <c r="O142" s="211" t="str">
        <f>IFERROR(__xludf.DUMMYFUNCTION("""COMPUTED_VALUE"""),"1/1")</f>
        <v>1/1</v>
      </c>
      <c r="P142" s="224">
        <f>IFERROR(__xludf.DUMMYFUNCTION("""COMPUTED_VALUE"""),333000.0)</f>
        <v>333000</v>
      </c>
      <c r="Q142" s="225" t="str">
        <f>IFERROR(__xludf.DUMMYFUNCTION("""COMPUTED_VALUE"""),"✅")</f>
        <v>✅</v>
      </c>
      <c r="R142" s="211" t="str">
        <f>IFERROR(__xludf.DUMMYFUNCTION("""COMPUTED_VALUE"""),"-")</f>
        <v>-</v>
      </c>
      <c r="S142" s="211"/>
      <c r="T142" s="211"/>
      <c r="U142" s="211"/>
    </row>
    <row r="143">
      <c r="A143" s="222" t="str">
        <f>IFERROR(__xludf.DUMMYFUNCTION("""COMPUTED_VALUE"""),"12240190")</f>
        <v>12240190</v>
      </c>
      <c r="B143" s="211" t="str">
        <f>IFERROR(__xludf.DUMMYFUNCTION("""COMPUTED_VALUE"""),"28 Dec 2024")</f>
        <v>28 Dec 2024</v>
      </c>
      <c r="C143" s="211" t="str">
        <f>IFERROR(__xludf.DUMMYFUNCTION("""COMPUTED_VALUE"""),"Bpk. Joko (Gresik)")</f>
        <v>Bpk. Joko (Gresik)</v>
      </c>
      <c r="D143" s="211" t="str">
        <f>IFERROR(__xludf.DUMMYFUNCTION("""COMPUTED_VALUE"""),"Oksigen 6m3
Oksigen 6m3 MR")</f>
        <v>Oksigen 6m3
Oksigen 6m3 MR</v>
      </c>
      <c r="E143" s="211" t="str">
        <f>IFERROR(__xludf.DUMMYFUNCTION("""COMPUTED_VALUE"""),"4
10")</f>
        <v>4
10</v>
      </c>
      <c r="F143" s="211" t="str">
        <f>IFERROR(__xludf.DUMMYFUNCTION("""COMPUTED_VALUE"""),"220000
550000")</f>
        <v>220000
550000</v>
      </c>
      <c r="G143" s="211"/>
      <c r="H143" s="211"/>
      <c r="I143" s="211">
        <f>IFERROR(__xludf.DUMMYFUNCTION("""COMPUTED_VALUE"""),770000.0)</f>
        <v>770000</v>
      </c>
      <c r="J143" s="211" t="str">
        <f>IFERROR(__xludf.DUMMYFUNCTION("""COMPUTED_VALUE"""),"Ya")</f>
        <v>Ya</v>
      </c>
      <c r="L143" s="223" t="str">
        <f>IFERROR(__xludf.DUMMYFUNCTION("""COMPUTED_VALUE"""),"May 2025")</f>
        <v>May 2025</v>
      </c>
      <c r="M143" s="211" t="str">
        <f>IFERROR(__xludf.DUMMYFUNCTION("""COMPUTED_VALUE"""),"Bpk. Sulaiman")</f>
        <v>Bpk. Sulaiman</v>
      </c>
      <c r="N143" s="211" t="str">
        <f>IFERROR(__xludf.DUMMYFUNCTION("""COMPUTED_VALUE"""),"05251430")</f>
        <v>05251430</v>
      </c>
      <c r="O143" s="211" t="str">
        <f>IFERROR(__xludf.DUMMYFUNCTION("""COMPUTED_VALUE"""),"9/12")</f>
        <v>9/12</v>
      </c>
      <c r="P143" s="224">
        <f>IFERROR(__xludf.DUMMYFUNCTION("""COMPUTED_VALUE"""),9010000.0)</f>
        <v>9010000</v>
      </c>
      <c r="Q143" s="225" t="str">
        <f>IFERROR(__xludf.DUMMYFUNCTION("""COMPUTED_VALUE"""),"✅")</f>
        <v>✅</v>
      </c>
      <c r="R143" s="211" t="str">
        <f>IFERROR(__xludf.DUMMYFUNCTION("""COMPUTED_VALUE"""),"-")</f>
        <v>-</v>
      </c>
      <c r="S143" s="211"/>
      <c r="T143" s="211"/>
      <c r="U143" s="211"/>
    </row>
    <row r="144">
      <c r="A144" s="222" t="str">
        <f>IFERROR(__xludf.DUMMYFUNCTION("""COMPUTED_VALUE"""),"12240192")</f>
        <v>12240192</v>
      </c>
      <c r="B144" s="211" t="str">
        <f>IFERROR(__xludf.DUMMYFUNCTION("""COMPUTED_VALUE"""),"29 Dec 2024")</f>
        <v>29 Dec 2024</v>
      </c>
      <c r="C144" s="211" t="str">
        <f>IFERROR(__xludf.DUMMYFUNCTION("""COMPUTED_VALUE"""),"H. Suheiri")</f>
        <v>H. Suheiri</v>
      </c>
      <c r="D144" s="211" t="str">
        <f>IFERROR(__xludf.DUMMYFUNCTION("""COMPUTED_VALUE"""),"Oksigen 6m3")</f>
        <v>Oksigen 6m3</v>
      </c>
      <c r="E144" s="211" t="str">
        <f>IFERROR(__xludf.DUMMYFUNCTION("""COMPUTED_VALUE"""),"35")</f>
        <v>35</v>
      </c>
      <c r="F144" s="211" t="str">
        <f>IFERROR(__xludf.DUMMYFUNCTION("""COMPUTED_VALUE"""),"1750000")</f>
        <v>1750000</v>
      </c>
      <c r="G144" s="211"/>
      <c r="H144" s="211"/>
      <c r="I144" s="211">
        <f>IFERROR(__xludf.DUMMYFUNCTION("""COMPUTED_VALUE"""),1750000.0)</f>
        <v>1750000</v>
      </c>
      <c r="J144" s="211" t="str">
        <f>IFERROR(__xludf.DUMMYFUNCTION("""COMPUTED_VALUE"""),"Ya")</f>
        <v>Ya</v>
      </c>
      <c r="L144" s="223" t="str">
        <f>IFERROR(__xludf.DUMMYFUNCTION("""COMPUTED_VALUE"""),"May 2025")</f>
        <v>May 2025</v>
      </c>
      <c r="M144" s="211" t="str">
        <f>IFERROR(__xludf.DUMMYFUNCTION("""COMPUTED_VALUE"""),"PT Jatim Abadi Perkasa Steel")</f>
        <v>PT Jatim Abadi Perkasa Steel</v>
      </c>
      <c r="N144" s="211" t="str">
        <f>IFERROR(__xludf.DUMMYFUNCTION("""COMPUTED_VALUE"""),"05251440")</f>
        <v>05251440</v>
      </c>
      <c r="O144" s="211" t="str">
        <f>IFERROR(__xludf.DUMMYFUNCTION("""COMPUTED_VALUE"""),"4/4")</f>
        <v>4/4</v>
      </c>
      <c r="P144" s="224">
        <f>IFERROR(__xludf.DUMMYFUNCTION("""COMPUTED_VALUE"""),2.121E7)</f>
        <v>21210000</v>
      </c>
      <c r="Q144" s="225" t="str">
        <f>IFERROR(__xludf.DUMMYFUNCTION("""COMPUTED_VALUE"""),"✅")</f>
        <v>✅</v>
      </c>
      <c r="R144" s="211" t="str">
        <f>IFERROR(__xludf.DUMMYFUNCTION("""COMPUTED_VALUE"""),"-")</f>
        <v>-</v>
      </c>
      <c r="S144" s="211"/>
      <c r="T144" s="211"/>
      <c r="U144" s="211"/>
    </row>
    <row r="145">
      <c r="A145" s="222" t="str">
        <f>IFERROR(__xludf.DUMMYFUNCTION("""COMPUTED_VALUE"""),"12240193")</f>
        <v>12240193</v>
      </c>
      <c r="B145" s="211" t="str">
        <f>IFERROR(__xludf.DUMMYFUNCTION("""COMPUTED_VALUE"""),"30 Dec 2024")</f>
        <v>30 Dec 2024</v>
      </c>
      <c r="C145" s="211" t="str">
        <f>IFERROR(__xludf.DUMMYFUNCTION("""COMPUTED_VALUE"""),"Bpk. Sukirno (Bejo)")</f>
        <v>Bpk. Sukirno (Bejo)</v>
      </c>
      <c r="D145" s="211" t="str">
        <f>IFERROR(__xludf.DUMMYFUNCTION("""COMPUTED_VALUE"""),"Oksigen 6m3")</f>
        <v>Oksigen 6m3</v>
      </c>
      <c r="E145" s="211" t="str">
        <f>IFERROR(__xludf.DUMMYFUNCTION("""COMPUTED_VALUE"""),"15")</f>
        <v>15</v>
      </c>
      <c r="F145" s="211" t="str">
        <f>IFERROR(__xludf.DUMMYFUNCTION("""COMPUTED_VALUE"""),"900000")</f>
        <v>900000</v>
      </c>
      <c r="G145" s="211"/>
      <c r="H145" s="211"/>
      <c r="I145" s="211">
        <f>IFERROR(__xludf.DUMMYFUNCTION("""COMPUTED_VALUE"""),900000.0)</f>
        <v>900000</v>
      </c>
      <c r="J145" s="211" t="str">
        <f>IFERROR(__xludf.DUMMYFUNCTION("""COMPUTED_VALUE"""),"Ya")</f>
        <v>Ya</v>
      </c>
      <c r="L145" s="223" t="str">
        <f>IFERROR(__xludf.DUMMYFUNCTION("""COMPUTED_VALUE"""),"May 2025")</f>
        <v>May 2025</v>
      </c>
      <c r="M145" s="211" t="str">
        <f>IFERROR(__xludf.DUMMYFUNCTION("""COMPUTED_VALUE"""),"Flashtech Machinery")</f>
        <v>Flashtech Machinery</v>
      </c>
      <c r="N145" s="211" t="str">
        <f>IFERROR(__xludf.DUMMYFUNCTION("""COMPUTED_VALUE"""),"05251450")</f>
        <v>05251450</v>
      </c>
      <c r="O145" s="211" t="str">
        <f>IFERROR(__xludf.DUMMYFUNCTION("""COMPUTED_VALUE"""),"1/1")</f>
        <v>1/1</v>
      </c>
      <c r="P145" s="224">
        <f>IFERROR(__xludf.DUMMYFUNCTION("""COMPUTED_VALUE"""),315000.0)</f>
        <v>315000</v>
      </c>
      <c r="Q145" s="225" t="str">
        <f>IFERROR(__xludf.DUMMYFUNCTION("""COMPUTED_VALUE"""),"✅")</f>
        <v>✅</v>
      </c>
      <c r="R145" s="211" t="str">
        <f>IFERROR(__xludf.DUMMYFUNCTION("""COMPUTED_VALUE"""),"-")</f>
        <v>-</v>
      </c>
      <c r="S145" s="211"/>
      <c r="T145" s="211"/>
      <c r="U145" s="211"/>
    </row>
    <row r="146">
      <c r="A146" s="222" t="str">
        <f>IFERROR(__xludf.DUMMYFUNCTION("""COMPUTED_VALUE"""),"12240194")</f>
        <v>12240194</v>
      </c>
      <c r="B146" s="211" t="str">
        <f>IFERROR(__xludf.DUMMYFUNCTION("""COMPUTED_VALUE"""),"31 Dec 2024")</f>
        <v>31 Dec 2024</v>
      </c>
      <c r="C146" s="211" t="str">
        <f>IFERROR(__xludf.DUMMYFUNCTION("""COMPUTED_VALUE"""),"PT Jatim Abadi Perkasa Steel")</f>
        <v>PT Jatim Abadi Perkasa Steel</v>
      </c>
      <c r="D146" s="211" t="str">
        <f>IFERROR(__xludf.DUMMYFUNCTION("""COMPUTED_VALUE"""),"LPG 50kg")</f>
        <v>LPG 50kg</v>
      </c>
      <c r="E146" s="211" t="str">
        <f>IFERROR(__xludf.DUMMYFUNCTION("""COMPUTED_VALUE"""),"5")</f>
        <v>5</v>
      </c>
      <c r="F146" s="211" t="str">
        <f>IFERROR(__xludf.DUMMYFUNCTION("""COMPUTED_VALUE"""),"4750000")</f>
        <v>4750000</v>
      </c>
      <c r="G146" s="211"/>
      <c r="H146" s="211"/>
      <c r="I146" s="211">
        <f>IFERROR(__xludf.DUMMYFUNCTION("""COMPUTED_VALUE"""),4750000.0)</f>
        <v>4750000</v>
      </c>
      <c r="J146" s="211" t="str">
        <f>IFERROR(__xludf.DUMMYFUNCTION("""COMPUTED_VALUE"""),"Ya")</f>
        <v>Ya</v>
      </c>
      <c r="L146" s="223" t="str">
        <f>IFERROR(__xludf.DUMMYFUNCTION("""COMPUTED_VALUE"""),"May 2025")</f>
        <v>May 2025</v>
      </c>
      <c r="M146" s="211" t="str">
        <f>IFERROR(__xludf.DUMMYFUNCTION("""COMPUTED_VALUE"""),"Dio")</f>
        <v>Dio</v>
      </c>
      <c r="N146" s="211" t="str">
        <f>IFERROR(__xludf.DUMMYFUNCTION("""COMPUTED_VALUE"""),"05251460")</f>
        <v>05251460</v>
      </c>
      <c r="O146" s="211" t="str">
        <f>IFERROR(__xludf.DUMMYFUNCTION("""COMPUTED_VALUE"""),"1/1")</f>
        <v>1/1</v>
      </c>
      <c r="P146" s="224">
        <f>IFERROR(__xludf.DUMMYFUNCTION("""COMPUTED_VALUE"""),80000.0)</f>
        <v>80000</v>
      </c>
      <c r="Q146" s="225" t="str">
        <f>IFERROR(__xludf.DUMMYFUNCTION("""COMPUTED_VALUE"""),"✅")</f>
        <v>✅</v>
      </c>
      <c r="R146" s="211" t="str">
        <f>IFERROR(__xludf.DUMMYFUNCTION("""COMPUTED_VALUE"""),"-")</f>
        <v>-</v>
      </c>
      <c r="S146" s="211"/>
      <c r="T146" s="211"/>
      <c r="U146" s="211"/>
    </row>
    <row r="147">
      <c r="A147" s="222" t="str">
        <f>IFERROR(__xludf.DUMMYFUNCTION("""COMPUTED_VALUE"""),"01250195")</f>
        <v>01250195</v>
      </c>
      <c r="B147" s="211" t="str">
        <f>IFERROR(__xludf.DUMMYFUNCTION("""COMPUTED_VALUE"""),"02 Jan 2025")</f>
        <v>02 Jan 2025</v>
      </c>
      <c r="C147" s="211" t="str">
        <f>IFERROR(__xludf.DUMMYFUNCTION("""COMPUTED_VALUE"""),"Bpk. Sukirno (Bejo)")</f>
        <v>Bpk. Sukirno (Bejo)</v>
      </c>
      <c r="D147" s="211" t="str">
        <f>IFERROR(__xludf.DUMMYFUNCTION("""COMPUTED_VALUE"""),"Oksigen 6m3")</f>
        <v>Oksigen 6m3</v>
      </c>
      <c r="E147" s="211" t="str">
        <f>IFERROR(__xludf.DUMMYFUNCTION("""COMPUTED_VALUE"""),"15")</f>
        <v>15</v>
      </c>
      <c r="F147" s="211" t="str">
        <f>IFERROR(__xludf.DUMMYFUNCTION("""COMPUTED_VALUE"""),"900000")</f>
        <v>900000</v>
      </c>
      <c r="G147" s="211"/>
      <c r="H147" s="211"/>
      <c r="I147" s="211">
        <f>IFERROR(__xludf.DUMMYFUNCTION("""COMPUTED_VALUE"""),900000.0)</f>
        <v>900000</v>
      </c>
      <c r="J147" s="211" t="str">
        <f>IFERROR(__xludf.DUMMYFUNCTION("""COMPUTED_VALUE"""),"Ya")</f>
        <v>Ya</v>
      </c>
      <c r="L147" s="223" t="str">
        <f>IFERROR(__xludf.DUMMYFUNCTION("""COMPUTED_VALUE"""),"May 2025")</f>
        <v>May 2025</v>
      </c>
      <c r="M147" s="211" t="str">
        <f>IFERROR(__xludf.DUMMYFUNCTION("""COMPUTED_VALUE"""),"Bpk. Sukirno (Bejo)")</f>
        <v>Bpk. Sukirno (Bejo)</v>
      </c>
      <c r="N147" s="211" t="str">
        <f>IFERROR(__xludf.DUMMYFUNCTION("""COMPUTED_VALUE"""),"05251470")</f>
        <v>05251470</v>
      </c>
      <c r="O147" s="211" t="str">
        <f>IFERROR(__xludf.DUMMYFUNCTION("""COMPUTED_VALUE"""),"2/3")</f>
        <v>2/3</v>
      </c>
      <c r="P147" s="224">
        <f>IFERROR(__xludf.DUMMYFUNCTION("""COMPUTED_VALUE"""),2450000.0)</f>
        <v>2450000</v>
      </c>
      <c r="Q147" s="225" t="str">
        <f>IFERROR(__xludf.DUMMYFUNCTION("""COMPUTED_VALUE"""),"✅")</f>
        <v>✅</v>
      </c>
      <c r="R147" s="211" t="str">
        <f>IFERROR(__xludf.DUMMYFUNCTION("""COMPUTED_VALUE"""),"-")</f>
        <v>-</v>
      </c>
      <c r="S147" s="211"/>
      <c r="T147" s="211"/>
      <c r="U147" s="211"/>
    </row>
    <row r="148">
      <c r="A148" s="222" t="str">
        <f>IFERROR(__xludf.DUMMYFUNCTION("""COMPUTED_VALUE"""),"01250196")</f>
        <v>01250196</v>
      </c>
      <c r="B148" s="211" t="str">
        <f>IFERROR(__xludf.DUMMYFUNCTION("""COMPUTED_VALUE"""),"03 Jan 2025")</f>
        <v>03 Jan 2025</v>
      </c>
      <c r="C148" s="211" t="str">
        <f>IFERROR(__xludf.DUMMYFUNCTION("""COMPUTED_VALUE"""),"PT Dingsheng Metal Indonesia (Ngoro)")</f>
        <v>PT Dingsheng Metal Indonesia (Ngoro)</v>
      </c>
      <c r="D148" s="211" t="str">
        <f>IFERROR(__xludf.DUMMYFUNCTION("""COMPUTED_VALUE"""),"Argon 6m3")</f>
        <v>Argon 6m3</v>
      </c>
      <c r="E148" s="211" t="str">
        <f>IFERROR(__xludf.DUMMYFUNCTION("""COMPUTED_VALUE"""),"1")</f>
        <v>1</v>
      </c>
      <c r="F148" s="211" t="str">
        <f>IFERROR(__xludf.DUMMYFUNCTION("""COMPUTED_VALUE"""),"233100")</f>
        <v>233100</v>
      </c>
      <c r="G148" s="211"/>
      <c r="H148" s="211"/>
      <c r="I148" s="211">
        <f>IFERROR(__xludf.DUMMYFUNCTION("""COMPUTED_VALUE"""),233100.0)</f>
        <v>233100</v>
      </c>
      <c r="J148" s="211" t="str">
        <f>IFERROR(__xludf.DUMMYFUNCTION("""COMPUTED_VALUE"""),"Ya")</f>
        <v>Ya</v>
      </c>
      <c r="L148" s="223" t="str">
        <f>IFERROR(__xludf.DUMMYFUNCTION("""COMPUTED_VALUE"""),"May 2025")</f>
        <v>May 2025</v>
      </c>
      <c r="M148" s="211" t="str">
        <f>IFERROR(__xludf.DUMMYFUNCTION("""COMPUTED_VALUE"""),"PT Hua Zong Mesindo")</f>
        <v>PT Hua Zong Mesindo</v>
      </c>
      <c r="N148" s="211" t="str">
        <f>IFERROR(__xludf.DUMMYFUNCTION("""COMPUTED_VALUE"""),"05251481")</f>
        <v>05251481</v>
      </c>
      <c r="O148" s="211" t="str">
        <f>IFERROR(__xludf.DUMMYFUNCTION("""COMPUTED_VALUE"""),"0/2")</f>
        <v>0/2</v>
      </c>
      <c r="P148" s="224">
        <f>IFERROR(__xludf.DUMMYFUNCTION("""COMPUTED_VALUE"""),1560000.0)</f>
        <v>1560000</v>
      </c>
      <c r="Q148" s="225">
        <f>IFERROR(__xludf.DUMMYFUNCTION("""COMPUTED_VALUE"""),620000.0)</f>
        <v>620000</v>
      </c>
      <c r="R148" s="211" t="str">
        <f>IFERROR(__xludf.DUMMYFUNCTION("""COMPUTED_VALUE"""),"05250411")</f>
        <v>05250411</v>
      </c>
      <c r="S148" s="211"/>
      <c r="T148" s="211"/>
      <c r="U148" s="211"/>
    </row>
    <row r="149">
      <c r="A149" s="222" t="str">
        <f>IFERROR(__xludf.DUMMYFUNCTION("""COMPUTED_VALUE"""),"01250197")</f>
        <v>01250197</v>
      </c>
      <c r="B149" s="211" t="str">
        <f>IFERROR(__xludf.DUMMYFUNCTION("""COMPUTED_VALUE"""),"03 Jan 2025")</f>
        <v>03 Jan 2025</v>
      </c>
      <c r="C149" s="211" t="str">
        <f>IFERROR(__xludf.DUMMYFUNCTION("""COMPUTED_VALUE"""),"GYF")</f>
        <v>GYF</v>
      </c>
      <c r="D149" s="211" t="str">
        <f>IFERROR(__xludf.DUMMYFUNCTION("""COMPUTED_VALUE"""),"Oksigen 6m3")</f>
        <v>Oksigen 6m3</v>
      </c>
      <c r="E149" s="211" t="str">
        <f>IFERROR(__xludf.DUMMYFUNCTION("""COMPUTED_VALUE"""),"10")</f>
        <v>10</v>
      </c>
      <c r="F149" s="211" t="str">
        <f>IFERROR(__xludf.DUMMYFUNCTION("""COMPUTED_VALUE"""),"450000")</f>
        <v>450000</v>
      </c>
      <c r="G149" s="211"/>
      <c r="H149" s="211"/>
      <c r="I149" s="211">
        <f>IFERROR(__xludf.DUMMYFUNCTION("""COMPUTED_VALUE"""),450000.0)</f>
        <v>450000</v>
      </c>
      <c r="J149" s="211" t="str">
        <f>IFERROR(__xludf.DUMMYFUNCTION("""COMPUTED_VALUE"""),"Ya")</f>
        <v>Ya</v>
      </c>
      <c r="L149" s="223" t="str">
        <f>IFERROR(__xludf.DUMMYFUNCTION("""COMPUTED_VALUE"""),"May 2025")</f>
        <v>May 2025</v>
      </c>
      <c r="M149" s="211" t="str">
        <f>IFERROR(__xludf.DUMMYFUNCTION("""COMPUTED_VALUE"""),"Bpk. Joko (Gresik)")</f>
        <v>Bpk. Joko (Gresik)</v>
      </c>
      <c r="N149" s="211" t="str">
        <f>IFERROR(__xludf.DUMMYFUNCTION("""COMPUTED_VALUE"""),"05251490")</f>
        <v>05251490</v>
      </c>
      <c r="O149" s="211" t="str">
        <f>IFERROR(__xludf.DUMMYFUNCTION("""COMPUTED_VALUE"""),"1/1")</f>
        <v>1/1</v>
      </c>
      <c r="P149" s="224">
        <f>IFERROR(__xludf.DUMMYFUNCTION("""COMPUTED_VALUE"""),360000.0)</f>
        <v>360000</v>
      </c>
      <c r="Q149" s="225" t="str">
        <f>IFERROR(__xludf.DUMMYFUNCTION("""COMPUTED_VALUE"""),"✅")</f>
        <v>✅</v>
      </c>
      <c r="R149" s="211" t="str">
        <f>IFERROR(__xludf.DUMMYFUNCTION("""COMPUTED_VALUE"""),"-")</f>
        <v>-</v>
      </c>
      <c r="S149" s="211"/>
      <c r="T149" s="211"/>
      <c r="U149" s="211"/>
    </row>
    <row r="150">
      <c r="A150" s="222" t="str">
        <f>IFERROR(__xludf.DUMMYFUNCTION("""COMPUTED_VALUE"""),"01250198")</f>
        <v>01250198</v>
      </c>
      <c r="B150" s="211" t="str">
        <f>IFERROR(__xludf.DUMMYFUNCTION("""COMPUTED_VALUE"""),"03 Jan 2025")</f>
        <v>03 Jan 2025</v>
      </c>
      <c r="C150" s="211" t="str">
        <f>IFERROR(__xludf.DUMMYFUNCTION("""COMPUTED_VALUE"""),"PT Dunia Berkat Marga Mulya")</f>
        <v>PT Dunia Berkat Marga Mulya</v>
      </c>
      <c r="D150" s="211" t="str">
        <f>IFERROR(__xludf.DUMMYFUNCTION("""COMPUTED_VALUE"""),"Oksigen 6m3")</f>
        <v>Oksigen 6m3</v>
      </c>
      <c r="E150" s="211" t="str">
        <f>IFERROR(__xludf.DUMMYFUNCTION("""COMPUTED_VALUE"""),"5")</f>
        <v>5</v>
      </c>
      <c r="F150" s="211" t="str">
        <f>IFERROR(__xludf.DUMMYFUNCTION("""COMPUTED_VALUE"""),"333000")</f>
        <v>333000</v>
      </c>
      <c r="G150" s="211"/>
      <c r="H150" s="211"/>
      <c r="I150" s="211">
        <f>IFERROR(__xludf.DUMMYFUNCTION("""COMPUTED_VALUE"""),333000.0)</f>
        <v>333000</v>
      </c>
      <c r="J150" s="211" t="str">
        <f>IFERROR(__xludf.DUMMYFUNCTION("""COMPUTED_VALUE"""),"Ya")</f>
        <v>Ya</v>
      </c>
      <c r="L150" s="223" t="str">
        <f>IFERROR(__xludf.DUMMYFUNCTION("""COMPUTED_VALUE"""),"May 2025")</f>
        <v>May 2025</v>
      </c>
      <c r="M150" s="211" t="str">
        <f>IFERROR(__xludf.DUMMYFUNCTION("""COMPUTED_VALUE"""),"Bpk. Samsul (Jetis)")</f>
        <v>Bpk. Samsul (Jetis)</v>
      </c>
      <c r="N150" s="211" t="str">
        <f>IFERROR(__xludf.DUMMYFUNCTION("""COMPUTED_VALUE"""),"05251500")</f>
        <v>05251500</v>
      </c>
      <c r="O150" s="211" t="str">
        <f>IFERROR(__xludf.DUMMYFUNCTION("""COMPUTED_VALUE"""),"1/1")</f>
        <v>1/1</v>
      </c>
      <c r="P150" s="224">
        <f>IFERROR(__xludf.DUMMYFUNCTION("""COMPUTED_VALUE"""),150000.0)</f>
        <v>150000</v>
      </c>
      <c r="Q150" s="225" t="str">
        <f>IFERROR(__xludf.DUMMYFUNCTION("""COMPUTED_VALUE"""),"✅")</f>
        <v>✅</v>
      </c>
      <c r="R150" s="211" t="str">
        <f>IFERROR(__xludf.DUMMYFUNCTION("""COMPUTED_VALUE"""),"-")</f>
        <v>-</v>
      </c>
      <c r="S150" s="211"/>
      <c r="T150" s="211"/>
      <c r="U150" s="211"/>
    </row>
    <row r="151">
      <c r="A151" s="222" t="str">
        <f>IFERROR(__xludf.DUMMYFUNCTION("""COMPUTED_VALUE"""),"01250199")</f>
        <v>01250199</v>
      </c>
      <c r="B151" s="211" t="str">
        <f>IFERROR(__xludf.DUMMYFUNCTION("""COMPUTED_VALUE"""),"04 Jan 2025")</f>
        <v>04 Jan 2025</v>
      </c>
      <c r="C151" s="211" t="str">
        <f>IFERROR(__xludf.DUMMYFUNCTION("""COMPUTED_VALUE"""),"PT ARYANA CAKASANA")</f>
        <v>PT ARYANA CAKASANA</v>
      </c>
      <c r="D151" s="211" t="str">
        <f>IFERROR(__xludf.DUMMYFUNCTION("""COMPUTED_VALUE"""),"Oksigen 6m3")</f>
        <v>Oksigen 6m3</v>
      </c>
      <c r="E151" s="211" t="str">
        <f>IFERROR(__xludf.DUMMYFUNCTION("""COMPUTED_VALUE"""),"10")</f>
        <v>10</v>
      </c>
      <c r="F151" s="211" t="str">
        <f>IFERROR(__xludf.DUMMYFUNCTION("""COMPUTED_VALUE"""),"525001")</f>
        <v>525001</v>
      </c>
      <c r="G151" s="211"/>
      <c r="H151" s="211"/>
      <c r="I151" s="211">
        <f>IFERROR(__xludf.DUMMYFUNCTION("""COMPUTED_VALUE"""),525001.0)</f>
        <v>525001</v>
      </c>
      <c r="J151" s="211" t="str">
        <f>IFERROR(__xludf.DUMMYFUNCTION("""COMPUTED_VALUE"""),"Penagihan")</f>
        <v>Penagihan</v>
      </c>
      <c r="L151" s="223" t="str">
        <f>IFERROR(__xludf.DUMMYFUNCTION("""COMPUTED_VALUE"""),"May 2025")</f>
        <v>May 2025</v>
      </c>
      <c r="M151" s="211" t="str">
        <f>IFERROR(__xludf.DUMMYFUNCTION("""COMPUTED_VALUE"""),"Bengkel Dian Jaya")</f>
        <v>Bengkel Dian Jaya</v>
      </c>
      <c r="N151" s="211" t="str">
        <f>IFERROR(__xludf.DUMMYFUNCTION("""COMPUTED_VALUE"""),"05251510")</f>
        <v>05251510</v>
      </c>
      <c r="O151" s="211" t="str">
        <f>IFERROR(__xludf.DUMMYFUNCTION("""COMPUTED_VALUE"""),"1/1")</f>
        <v>1/1</v>
      </c>
      <c r="P151" s="224">
        <f>IFERROR(__xludf.DUMMYFUNCTION("""COMPUTED_VALUE"""),680000.0)</f>
        <v>680000</v>
      </c>
      <c r="Q151" s="225" t="str">
        <f>IFERROR(__xludf.DUMMYFUNCTION("""COMPUTED_VALUE"""),"✅")</f>
        <v>✅</v>
      </c>
      <c r="R151" s="211" t="str">
        <f>IFERROR(__xludf.DUMMYFUNCTION("""COMPUTED_VALUE"""),"-")</f>
        <v>-</v>
      </c>
      <c r="S151" s="211"/>
      <c r="T151" s="211"/>
      <c r="U151" s="211"/>
    </row>
    <row r="152">
      <c r="A152" s="222" t="str">
        <f>IFERROR(__xludf.DUMMYFUNCTION("""COMPUTED_VALUE"""),"01250200")</f>
        <v>01250200</v>
      </c>
      <c r="B152" s="211" t="str">
        <f>IFERROR(__xludf.DUMMYFUNCTION("""COMPUTED_VALUE"""),"06 Jan 2025")</f>
        <v>06 Jan 2025</v>
      </c>
      <c r="C152" s="211" t="str">
        <f>IFERROR(__xludf.DUMMYFUNCTION("""COMPUTED_VALUE"""),"H. Suheiri")</f>
        <v>H. Suheiri</v>
      </c>
      <c r="D152" s="211" t="str">
        <f>IFERROR(__xludf.DUMMYFUNCTION("""COMPUTED_VALUE"""),"Oksigen 6m3")</f>
        <v>Oksigen 6m3</v>
      </c>
      <c r="E152" s="211" t="str">
        <f>IFERROR(__xludf.DUMMYFUNCTION("""COMPUTED_VALUE"""),"10")</f>
        <v>10</v>
      </c>
      <c r="F152" s="211" t="str">
        <f>IFERROR(__xludf.DUMMYFUNCTION("""COMPUTED_VALUE"""),"500000")</f>
        <v>500000</v>
      </c>
      <c r="G152" s="211"/>
      <c r="H152" s="211"/>
      <c r="I152" s="211">
        <f>IFERROR(__xludf.DUMMYFUNCTION("""COMPUTED_VALUE"""),500000.0)</f>
        <v>500000</v>
      </c>
      <c r="J152" s="211" t="str">
        <f>IFERROR(__xludf.DUMMYFUNCTION("""COMPUTED_VALUE"""),"Ya")</f>
        <v>Ya</v>
      </c>
      <c r="L152" s="223" t="str">
        <f>IFERROR(__xludf.DUMMYFUNCTION("""COMPUTED_VALUE"""),"May 2025")</f>
        <v>May 2025</v>
      </c>
      <c r="M152" s="211" t="str">
        <f>IFERROR(__xludf.DUMMYFUNCTION("""COMPUTED_VALUE"""),"Bengkel Las Bpk. Ari")</f>
        <v>Bengkel Las Bpk. Ari</v>
      </c>
      <c r="N152" s="211" t="str">
        <f>IFERROR(__xludf.DUMMYFUNCTION("""COMPUTED_VALUE"""),"05251520")</f>
        <v>05251520</v>
      </c>
      <c r="O152" s="211" t="str">
        <f>IFERROR(__xludf.DUMMYFUNCTION("""COMPUTED_VALUE"""),"0/3")</f>
        <v>0/3</v>
      </c>
      <c r="P152" s="224">
        <f>IFERROR(__xludf.DUMMYFUNCTION("""COMPUTED_VALUE"""),760000.0)</f>
        <v>760000</v>
      </c>
      <c r="Q152" s="225" t="str">
        <f>IFERROR(__xludf.DUMMYFUNCTION("""COMPUTED_VALUE"""),"✅")</f>
        <v>✅</v>
      </c>
      <c r="R152" s="211" t="str">
        <f>IFERROR(__xludf.DUMMYFUNCTION("""COMPUTED_VALUE"""),"-")</f>
        <v>-</v>
      </c>
      <c r="S152" s="211"/>
      <c r="T152" s="211"/>
      <c r="U152" s="211"/>
    </row>
    <row r="153">
      <c r="A153" s="222" t="str">
        <f>IFERROR(__xludf.DUMMYFUNCTION("""COMPUTED_VALUE"""),"10240201")</f>
        <v>10240201</v>
      </c>
      <c r="B153" s="211" t="str">
        <f>IFERROR(__xludf.DUMMYFUNCTION("""COMPUTED_VALUE"""),"31 Oct 2024")</f>
        <v>31 Oct 2024</v>
      </c>
      <c r="C153" s="211" t="str">
        <f>IFERROR(__xludf.DUMMYFUNCTION("""COMPUTED_VALUE"""),"Abah Sochib")</f>
        <v>Abah Sochib</v>
      </c>
      <c r="D153" s="211" t="str">
        <f>IFERROR(__xludf.DUMMYFUNCTION("""COMPUTED_VALUE"""),"Oksigen 1m3")</f>
        <v>Oksigen 1m3</v>
      </c>
      <c r="E153" s="211" t="str">
        <f>IFERROR(__xludf.DUMMYFUNCTION("""COMPUTED_VALUE"""),"1")</f>
        <v>1</v>
      </c>
      <c r="F153" s="211" t="str">
        <f>IFERROR(__xludf.DUMMYFUNCTION("""COMPUTED_VALUE"""),"0")</f>
        <v>0</v>
      </c>
      <c r="G153" s="211"/>
      <c r="H153" s="211"/>
      <c r="I153" s="211">
        <f>IFERROR(__xludf.DUMMYFUNCTION("""COMPUTED_VALUE"""),0.0)</f>
        <v>0</v>
      </c>
      <c r="J153" s="211" t="str">
        <f>IFERROR(__xludf.DUMMYFUNCTION("""COMPUTED_VALUE"""),"Ya")</f>
        <v>Ya</v>
      </c>
      <c r="L153" s="223" t="str">
        <f>IFERROR(__xludf.DUMMYFUNCTION("""COMPUTED_VALUE"""),"May 2025")</f>
        <v>May 2025</v>
      </c>
      <c r="M153" s="211" t="str">
        <f>IFERROR(__xludf.DUMMYFUNCTION("""COMPUTED_VALUE"""),"PT Sinar Indogreen Kencana")</f>
        <v>PT Sinar Indogreen Kencana</v>
      </c>
      <c r="N153" s="211" t="str">
        <f>IFERROR(__xludf.DUMMYFUNCTION("""COMPUTED_VALUE"""),"05251530")</f>
        <v>05251530</v>
      </c>
      <c r="O153" s="211" t="str">
        <f>IFERROR(__xludf.DUMMYFUNCTION("""COMPUTED_VALUE"""),"3/3")</f>
        <v>3/3</v>
      </c>
      <c r="P153" s="224">
        <f>IFERROR(__xludf.DUMMYFUNCTION("""COMPUTED_VALUE"""),630003.0)</f>
        <v>630003</v>
      </c>
      <c r="Q153" s="225" t="str">
        <f>IFERROR(__xludf.DUMMYFUNCTION("""COMPUTED_VALUE"""),"✅")</f>
        <v>✅</v>
      </c>
      <c r="R153" s="211" t="str">
        <f>IFERROR(__xludf.DUMMYFUNCTION("""COMPUTED_VALUE"""),"-")</f>
        <v>-</v>
      </c>
      <c r="S153" s="211"/>
      <c r="T153" s="211"/>
      <c r="U153" s="211"/>
    </row>
    <row r="154">
      <c r="A154" s="222" t="str">
        <f>IFERROR(__xludf.DUMMYFUNCTION("""COMPUTED_VALUE"""),"01250202")</f>
        <v>01250202</v>
      </c>
      <c r="B154" s="211" t="str">
        <f>IFERROR(__xludf.DUMMYFUNCTION("""COMPUTED_VALUE"""),"07 Jan 2025")</f>
        <v>07 Jan 2025</v>
      </c>
      <c r="C154" s="211" t="str">
        <f>IFERROR(__xludf.DUMMYFUNCTION("""COMPUTED_VALUE"""),"PT Jatim Abadi Perkasa Steel")</f>
        <v>PT Jatim Abadi Perkasa Steel</v>
      </c>
      <c r="D154" s="211" t="str">
        <f>IFERROR(__xludf.DUMMYFUNCTION("""COMPUTED_VALUE"""),"LPG 50kg")</f>
        <v>LPG 50kg</v>
      </c>
      <c r="E154" s="211" t="str">
        <f>IFERROR(__xludf.DUMMYFUNCTION("""COMPUTED_VALUE"""),"5")</f>
        <v>5</v>
      </c>
      <c r="F154" s="211" t="str">
        <f>IFERROR(__xludf.DUMMYFUNCTION("""COMPUTED_VALUE"""),"5000000")</f>
        <v>5000000</v>
      </c>
      <c r="G154" s="211"/>
      <c r="H154" s="211"/>
      <c r="I154" s="211">
        <f>IFERROR(__xludf.DUMMYFUNCTION("""COMPUTED_VALUE"""),5000000.0)</f>
        <v>5000000</v>
      </c>
      <c r="J154" s="211" t="str">
        <f>IFERROR(__xludf.DUMMYFUNCTION("""COMPUTED_VALUE"""),"Ya")</f>
        <v>Ya</v>
      </c>
      <c r="L154" s="223" t="str">
        <f>IFERROR(__xludf.DUMMYFUNCTION("""COMPUTED_VALUE"""),"May 2025")</f>
        <v>May 2025</v>
      </c>
      <c r="M154" s="211" t="str">
        <f>IFERROR(__xludf.DUMMYFUNCTION("""COMPUTED_VALUE"""),"Bengkel Adi Putra")</f>
        <v>Bengkel Adi Putra</v>
      </c>
      <c r="N154" s="211" t="str">
        <f>IFERROR(__xludf.DUMMYFUNCTION("""COMPUTED_VALUE"""),"05251540")</f>
        <v>05251540</v>
      </c>
      <c r="O154" s="211" t="str">
        <f>IFERROR(__xludf.DUMMYFUNCTION("""COMPUTED_VALUE"""),"1/1")</f>
        <v>1/1</v>
      </c>
      <c r="P154" s="224">
        <f>IFERROR(__xludf.DUMMYFUNCTION("""COMPUTED_VALUE"""),400000.0)</f>
        <v>400000</v>
      </c>
      <c r="Q154" s="225" t="str">
        <f>IFERROR(__xludf.DUMMYFUNCTION("""COMPUTED_VALUE"""),"✅")</f>
        <v>✅</v>
      </c>
      <c r="R154" s="211" t="str">
        <f>IFERROR(__xludf.DUMMYFUNCTION("""COMPUTED_VALUE"""),"-")</f>
        <v>-</v>
      </c>
      <c r="S154" s="211"/>
      <c r="T154" s="211"/>
      <c r="U154" s="211"/>
    </row>
    <row r="155">
      <c r="A155" s="222" t="str">
        <f>IFERROR(__xludf.DUMMYFUNCTION("""COMPUTED_VALUE"""),"01250203")</f>
        <v>01250203</v>
      </c>
      <c r="B155" s="211" t="str">
        <f>IFERROR(__xludf.DUMMYFUNCTION("""COMPUTED_VALUE"""),"09 Jan 2025")</f>
        <v>09 Jan 2025</v>
      </c>
      <c r="C155" s="211" t="str">
        <f>IFERROR(__xludf.DUMMYFUNCTION("""COMPUTED_VALUE"""),"PT Surya Langit Biru")</f>
        <v>PT Surya Langit Biru</v>
      </c>
      <c r="D155" s="211" t="str">
        <f>IFERROR(__xludf.DUMMYFUNCTION("""COMPUTED_VALUE"""),"Oksigen 6m3")</f>
        <v>Oksigen 6m3</v>
      </c>
      <c r="E155" s="211" t="str">
        <f>IFERROR(__xludf.DUMMYFUNCTION("""COMPUTED_VALUE"""),"3")</f>
        <v>3</v>
      </c>
      <c r="F155" s="211" t="str">
        <f>IFERROR(__xludf.DUMMYFUNCTION("""COMPUTED_VALUE"""),"199800")</f>
        <v>199800</v>
      </c>
      <c r="G155" s="211"/>
      <c r="H155" s="211"/>
      <c r="I155" s="211">
        <f>IFERROR(__xludf.DUMMYFUNCTION("""COMPUTED_VALUE"""),199800.0)</f>
        <v>199800</v>
      </c>
      <c r="J155" s="211" t="str">
        <f>IFERROR(__xludf.DUMMYFUNCTION("""COMPUTED_VALUE"""),"Tidak")</f>
        <v>Tidak</v>
      </c>
      <c r="L155" s="223" t="str">
        <f>IFERROR(__xludf.DUMMYFUNCTION("""COMPUTED_VALUE"""),"May 2025")</f>
        <v>May 2025</v>
      </c>
      <c r="M155" s="211" t="str">
        <f>IFERROR(__xludf.DUMMYFUNCTION("""COMPUTED_VALUE"""),"PT ARYANA CAKASANA")</f>
        <v>PT ARYANA CAKASANA</v>
      </c>
      <c r="N155" s="211" t="str">
        <f>IFERROR(__xludf.DUMMYFUNCTION("""COMPUTED_VALUE"""),"05251552")</f>
        <v>05251552</v>
      </c>
      <c r="O155" s="211" t="str">
        <f>IFERROR(__xludf.DUMMYFUNCTION("""COMPUTED_VALUE"""),"0/2")</f>
        <v>0/2</v>
      </c>
      <c r="P155" s="224">
        <f>IFERROR(__xludf.DUMMYFUNCTION("""COMPUTED_VALUE"""),1050002.0)</f>
        <v>1050002</v>
      </c>
      <c r="Q155" s="225">
        <f>IFERROR(__xludf.DUMMYFUNCTION("""COMPUTED_VALUE"""),1050002.0)</f>
        <v>1050002</v>
      </c>
      <c r="R155" s="211" t="str">
        <f>IFERROR(__xludf.DUMMYFUNCTION("""COMPUTED_VALUE"""),"05250428 05250453")</f>
        <v>05250428 05250453</v>
      </c>
      <c r="S155" s="211"/>
      <c r="T155" s="211"/>
      <c r="U155" s="211"/>
    </row>
    <row r="156">
      <c r="A156" s="222" t="str">
        <f>IFERROR(__xludf.DUMMYFUNCTION("""COMPUTED_VALUE"""),"01250204")</f>
        <v>01250204</v>
      </c>
      <c r="B156" s="211" t="str">
        <f>IFERROR(__xludf.DUMMYFUNCTION("""COMPUTED_VALUE"""),"09 Jan 2025")</f>
        <v>09 Jan 2025</v>
      </c>
      <c r="C156" s="211" t="str">
        <f>IFERROR(__xludf.DUMMYFUNCTION("""COMPUTED_VALUE"""),"CV Sido Mukti Karya")</f>
        <v>CV Sido Mukti Karya</v>
      </c>
      <c r="D156" s="211" t="str">
        <f>IFERROR(__xludf.DUMMYFUNCTION("""COMPUTED_VALUE"""),"Karbondioksida")</f>
        <v>Karbondioksida</v>
      </c>
      <c r="E156" s="211" t="str">
        <f>IFERROR(__xludf.DUMMYFUNCTION("""COMPUTED_VALUE"""),"2")</f>
        <v>2</v>
      </c>
      <c r="F156" s="211" t="str">
        <f>IFERROR(__xludf.DUMMYFUNCTION("""COMPUTED_VALUE"""),"340000")</f>
        <v>340000</v>
      </c>
      <c r="G156" s="211"/>
      <c r="H156" s="211"/>
      <c r="I156" s="211">
        <f>IFERROR(__xludf.DUMMYFUNCTION("""COMPUTED_VALUE"""),340000.0)</f>
        <v>340000</v>
      </c>
      <c r="J156" s="211" t="str">
        <f>IFERROR(__xludf.DUMMYFUNCTION("""COMPUTED_VALUE"""),"Ya")</f>
        <v>Ya</v>
      </c>
      <c r="L156" s="223" t="str">
        <f>IFERROR(__xludf.DUMMYFUNCTION("""COMPUTED_VALUE"""),"May 2025")</f>
        <v>May 2025</v>
      </c>
      <c r="M156" s="211" t="str">
        <f>IFERROR(__xludf.DUMMYFUNCTION("""COMPUTED_VALUE"""),"Bpk. Ari Budiarto")</f>
        <v>Bpk. Ari Budiarto</v>
      </c>
      <c r="N156" s="211" t="str">
        <f>IFERROR(__xludf.DUMMYFUNCTION("""COMPUTED_VALUE"""),"05251560")</f>
        <v>05251560</v>
      </c>
      <c r="O156" s="211" t="str">
        <f>IFERROR(__xludf.DUMMYFUNCTION("""COMPUTED_VALUE"""),"1/3")</f>
        <v>1/3</v>
      </c>
      <c r="P156" s="224">
        <f>IFERROR(__xludf.DUMMYFUNCTION("""COMPUTED_VALUE"""),800000.0)</f>
        <v>800000</v>
      </c>
      <c r="Q156" s="225" t="str">
        <f>IFERROR(__xludf.DUMMYFUNCTION("""COMPUTED_VALUE"""),"✅")</f>
        <v>✅</v>
      </c>
      <c r="R156" s="211" t="str">
        <f>IFERROR(__xludf.DUMMYFUNCTION("""COMPUTED_VALUE"""),"-")</f>
        <v>-</v>
      </c>
      <c r="S156" s="211"/>
      <c r="T156" s="211"/>
      <c r="U156" s="211"/>
    </row>
    <row r="157">
      <c r="A157" s="222" t="str">
        <f>IFERROR(__xludf.DUMMYFUNCTION("""COMPUTED_VALUE"""),"01250205")</f>
        <v>01250205</v>
      </c>
      <c r="B157" s="211" t="str">
        <f>IFERROR(__xludf.DUMMYFUNCTION("""COMPUTED_VALUE"""),"10 Jan 2025")</f>
        <v>10 Jan 2025</v>
      </c>
      <c r="C157" s="211" t="str">
        <f>IFERROR(__xludf.DUMMYFUNCTION("""COMPUTED_VALUE"""),"Bpk. Joko (Gresik)")</f>
        <v>Bpk. Joko (Gresik)</v>
      </c>
      <c r="D157" s="211" t="str">
        <f>IFERROR(__xludf.DUMMYFUNCTION("""COMPUTED_VALUE"""),"Oksigen 6m3
Oksigen 6m3 MR")</f>
        <v>Oksigen 6m3
Oksigen 6m3 MR</v>
      </c>
      <c r="E157" s="211" t="str">
        <f>IFERROR(__xludf.DUMMYFUNCTION("""COMPUTED_VALUE"""),"3
7")</f>
        <v>3
7</v>
      </c>
      <c r="F157" s="211" t="str">
        <f>IFERROR(__xludf.DUMMYFUNCTION("""COMPUTED_VALUE"""),"165000
385000")</f>
        <v>165000
385000</v>
      </c>
      <c r="G157" s="211"/>
      <c r="H157" s="211"/>
      <c r="I157" s="211">
        <f>IFERROR(__xludf.DUMMYFUNCTION("""COMPUTED_VALUE"""),550000.0)</f>
        <v>550000</v>
      </c>
      <c r="J157" s="211" t="str">
        <f>IFERROR(__xludf.DUMMYFUNCTION("""COMPUTED_VALUE"""),"Ya")</f>
        <v>Ya</v>
      </c>
      <c r="L157" s="223" t="str">
        <f>IFERROR(__xludf.DUMMYFUNCTION("""COMPUTED_VALUE"""),"May 2025")</f>
        <v>May 2025</v>
      </c>
      <c r="M157" s="211" t="str">
        <f>IFERROR(__xludf.DUMMYFUNCTION("""COMPUTED_VALUE"""),"Bpk. Alvin (LB Group)")</f>
        <v>Bpk. Alvin (LB Group)</v>
      </c>
      <c r="N157" s="211" t="str">
        <f>IFERROR(__xludf.DUMMYFUNCTION("""COMPUTED_VALUE"""),"05251570")</f>
        <v>05251570</v>
      </c>
      <c r="O157" s="211" t="str">
        <f>IFERROR(__xludf.DUMMYFUNCTION("""COMPUTED_VALUE"""),"1/2")</f>
        <v>1/2</v>
      </c>
      <c r="P157" s="224">
        <f>IFERROR(__xludf.DUMMYFUNCTION("""COMPUTED_VALUE"""),550000.0)</f>
        <v>550000</v>
      </c>
      <c r="Q157" s="225" t="str">
        <f>IFERROR(__xludf.DUMMYFUNCTION("""COMPUTED_VALUE"""),"✅")</f>
        <v>✅</v>
      </c>
      <c r="R157" s="211" t="str">
        <f>IFERROR(__xludf.DUMMYFUNCTION("""COMPUTED_VALUE"""),"-")</f>
        <v>-</v>
      </c>
      <c r="S157" s="211"/>
      <c r="T157" s="211"/>
      <c r="U157" s="211"/>
    </row>
    <row r="158">
      <c r="A158" s="222" t="str">
        <f>IFERROR(__xludf.DUMMYFUNCTION("""COMPUTED_VALUE"""),"01250207")</f>
        <v>01250207</v>
      </c>
      <c r="B158" s="211" t="str">
        <f>IFERROR(__xludf.DUMMYFUNCTION("""COMPUTED_VALUE"""),"10 Jan 2025")</f>
        <v>10 Jan 2025</v>
      </c>
      <c r="C158" s="211" t="str">
        <f>IFERROR(__xludf.DUMMYFUNCTION("""COMPUTED_VALUE"""),"PT Hua Zong Mesindo")</f>
        <v>PT Hua Zong Mesindo</v>
      </c>
      <c r="D158" s="211" t="str">
        <f>IFERROR(__xludf.DUMMYFUNCTION("""COMPUTED_VALUE"""),"Argon 6m3")</f>
        <v>Argon 6m3</v>
      </c>
      <c r="E158" s="211" t="str">
        <f>IFERROR(__xludf.DUMMYFUNCTION("""COMPUTED_VALUE"""),"4")</f>
        <v>4</v>
      </c>
      <c r="F158" s="211" t="str">
        <f>IFERROR(__xludf.DUMMYFUNCTION("""COMPUTED_VALUE"""),"760000")</f>
        <v>760000</v>
      </c>
      <c r="G158" s="211"/>
      <c r="H158" s="211"/>
      <c r="I158" s="211">
        <f>IFERROR(__xludf.DUMMYFUNCTION("""COMPUTED_VALUE"""),760000.0)</f>
        <v>760000</v>
      </c>
      <c r="J158" s="211" t="str">
        <f>IFERROR(__xludf.DUMMYFUNCTION("""COMPUTED_VALUE"""),"Ya")</f>
        <v>Ya</v>
      </c>
      <c r="L158" s="223" t="str">
        <f>IFERROR(__xludf.DUMMYFUNCTION("""COMPUTED_VALUE"""),"May 2025")</f>
        <v>May 2025</v>
      </c>
      <c r="M158" s="211" t="str">
        <f>IFERROR(__xludf.DUMMYFUNCTION("""COMPUTED_VALUE"""),"PT PELANGI INDOKARYA")</f>
        <v>PT PELANGI INDOKARYA</v>
      </c>
      <c r="N158" s="211" t="str">
        <f>IFERROR(__xludf.DUMMYFUNCTION("""COMPUTED_VALUE"""),"05251581")</f>
        <v>05251581</v>
      </c>
      <c r="O158" s="211" t="str">
        <f>IFERROR(__xludf.DUMMYFUNCTION("""COMPUTED_VALUE"""),"0/2")</f>
        <v>0/2</v>
      </c>
      <c r="P158" s="224">
        <f>IFERROR(__xludf.DUMMYFUNCTION("""COMPUTED_VALUE"""),666000.0)</f>
        <v>666000</v>
      </c>
      <c r="Q158" s="225">
        <f>IFERROR(__xludf.DUMMYFUNCTION("""COMPUTED_VALUE"""),333000.0)</f>
        <v>333000</v>
      </c>
      <c r="R158" s="211" t="str">
        <f>IFERROR(__xludf.DUMMYFUNCTION("""COMPUTED_VALUE"""),"05250434")</f>
        <v>05250434</v>
      </c>
      <c r="S158" s="211"/>
      <c r="T158" s="211"/>
      <c r="U158" s="211"/>
    </row>
    <row r="159">
      <c r="A159" s="222" t="str">
        <f>IFERROR(__xludf.DUMMYFUNCTION("""COMPUTED_VALUE"""),"01250208")</f>
        <v>01250208</v>
      </c>
      <c r="B159" s="211" t="str">
        <f>IFERROR(__xludf.DUMMYFUNCTION("""COMPUTED_VALUE"""),"11 Jan 2025")</f>
        <v>11 Jan 2025</v>
      </c>
      <c r="C159" s="211" t="str">
        <f>IFERROR(__xludf.DUMMYFUNCTION("""COMPUTED_VALUE"""),"PT Jatim Abadi Perkasa Steel")</f>
        <v>PT Jatim Abadi Perkasa Steel</v>
      </c>
      <c r="D159" s="211" t="str">
        <f>IFERROR(__xludf.DUMMYFUNCTION("""COMPUTED_VALUE"""),"LPG 50kg")</f>
        <v>LPG 50kg</v>
      </c>
      <c r="E159" s="211" t="str">
        <f>IFERROR(__xludf.DUMMYFUNCTION("""COMPUTED_VALUE"""),"6")</f>
        <v>6</v>
      </c>
      <c r="F159" s="211" t="str">
        <f>IFERROR(__xludf.DUMMYFUNCTION("""COMPUTED_VALUE"""),"6000000")</f>
        <v>6000000</v>
      </c>
      <c r="G159" s="211"/>
      <c r="H159" s="211"/>
      <c r="I159" s="211">
        <f>IFERROR(__xludf.DUMMYFUNCTION("""COMPUTED_VALUE"""),6000000.0)</f>
        <v>6000000</v>
      </c>
      <c r="J159" s="211" t="str">
        <f>IFERROR(__xludf.DUMMYFUNCTION("""COMPUTED_VALUE"""),"Ya")</f>
        <v>Ya</v>
      </c>
      <c r="L159" s="223" t="str">
        <f>IFERROR(__xludf.DUMMYFUNCTION("""COMPUTED_VALUE"""),"May 2025")</f>
        <v>May 2025</v>
      </c>
      <c r="M159" s="211" t="str">
        <f>IFERROR(__xludf.DUMMYFUNCTION("""COMPUTED_VALUE"""),"Bpk. Kohir (Maintenance Velg)")</f>
        <v>Bpk. Kohir (Maintenance Velg)</v>
      </c>
      <c r="N159" s="211" t="str">
        <f>IFERROR(__xludf.DUMMYFUNCTION("""COMPUTED_VALUE"""),"05251590")</f>
        <v>05251590</v>
      </c>
      <c r="O159" s="211" t="str">
        <f>IFERROR(__xludf.DUMMYFUNCTION("""COMPUTED_VALUE"""),"1/3")</f>
        <v>1/3</v>
      </c>
      <c r="P159" s="224">
        <f>IFERROR(__xludf.DUMMYFUNCTION("""COMPUTED_VALUE"""),1045000.0)</f>
        <v>1045000</v>
      </c>
      <c r="Q159" s="225" t="str">
        <f>IFERROR(__xludf.DUMMYFUNCTION("""COMPUTED_VALUE"""),"✅")</f>
        <v>✅</v>
      </c>
      <c r="R159" s="211" t="str">
        <f>IFERROR(__xludf.DUMMYFUNCTION("""COMPUTED_VALUE"""),"-")</f>
        <v>-</v>
      </c>
      <c r="S159" s="211"/>
      <c r="T159" s="211"/>
      <c r="U159" s="211"/>
    </row>
    <row r="160">
      <c r="A160" s="222" t="str">
        <f>IFERROR(__xludf.DUMMYFUNCTION("""COMPUTED_VALUE"""),"01250209")</f>
        <v>01250209</v>
      </c>
      <c r="B160" s="211" t="str">
        <f>IFERROR(__xludf.DUMMYFUNCTION("""COMPUTED_VALUE"""),"13 Jan 2025")</f>
        <v>13 Jan 2025</v>
      </c>
      <c r="C160" s="211" t="str">
        <f>IFERROR(__xludf.DUMMYFUNCTION("""COMPUTED_VALUE"""),"PT GEMILANG CIPTA WAWASAN")</f>
        <v>PT GEMILANG CIPTA WAWASAN</v>
      </c>
      <c r="D160" s="211" t="str">
        <f>IFERROR(__xludf.DUMMYFUNCTION("""COMPUTED_VALUE"""),"Argon 6m3")</f>
        <v>Argon 6m3</v>
      </c>
      <c r="E160" s="211" t="str">
        <f>IFERROR(__xludf.DUMMYFUNCTION("""COMPUTED_VALUE"""),"7")</f>
        <v>7</v>
      </c>
      <c r="F160" s="211" t="str">
        <f>IFERROR(__xludf.DUMMYFUNCTION("""COMPUTED_VALUE"""),"1437450")</f>
        <v>1437450</v>
      </c>
      <c r="G160" s="211"/>
      <c r="H160" s="211"/>
      <c r="I160" s="211">
        <f>IFERROR(__xludf.DUMMYFUNCTION("""COMPUTED_VALUE"""),1437450.0)</f>
        <v>1437450</v>
      </c>
      <c r="J160" s="211" t="str">
        <f>IFERROR(__xludf.DUMMYFUNCTION("""COMPUTED_VALUE"""),"Ya")</f>
        <v>Ya</v>
      </c>
      <c r="L160" s="223" t="str">
        <f>IFERROR(__xludf.DUMMYFUNCTION("""COMPUTED_VALUE"""),"May 2025")</f>
        <v>May 2025</v>
      </c>
      <c r="M160" s="211" t="str">
        <f>IFERROR(__xludf.DUMMYFUNCTION("""COMPUTED_VALUE"""),"Ibu Ida")</f>
        <v>Ibu Ida</v>
      </c>
      <c r="N160" s="211" t="str">
        <f>IFERROR(__xludf.DUMMYFUNCTION("""COMPUTED_VALUE"""),"05251600")</f>
        <v>05251600</v>
      </c>
      <c r="O160" s="211" t="str">
        <f>IFERROR(__xludf.DUMMYFUNCTION("""COMPUTED_VALUE"""),"0/1")</f>
        <v>0/1</v>
      </c>
      <c r="P160" s="224">
        <f>IFERROR(__xludf.DUMMYFUNCTION("""COMPUTED_VALUE"""),300000.0)</f>
        <v>300000</v>
      </c>
      <c r="Q160" s="225" t="str">
        <f>IFERROR(__xludf.DUMMYFUNCTION("""COMPUTED_VALUE"""),"✅")</f>
        <v>✅</v>
      </c>
      <c r="R160" s="211" t="str">
        <f>IFERROR(__xludf.DUMMYFUNCTION("""COMPUTED_VALUE"""),"-")</f>
        <v>-</v>
      </c>
      <c r="S160" s="211"/>
      <c r="T160" s="211"/>
      <c r="U160" s="211"/>
    </row>
    <row r="161">
      <c r="A161" s="222" t="str">
        <f>IFERROR(__xludf.DUMMYFUNCTION("""COMPUTED_VALUE"""),"01250210")</f>
        <v>01250210</v>
      </c>
      <c r="B161" s="211" t="str">
        <f>IFERROR(__xludf.DUMMYFUNCTION("""COMPUTED_VALUE"""),"13 Jan 2025")</f>
        <v>13 Jan 2025</v>
      </c>
      <c r="C161" s="211" t="str">
        <f>IFERROR(__xludf.DUMMYFUNCTION("""COMPUTED_VALUE"""),"Ibu Yanti")</f>
        <v>Ibu Yanti</v>
      </c>
      <c r="D161" s="211" t="str">
        <f>IFERROR(__xludf.DUMMYFUNCTION("""COMPUTED_VALUE"""),"Oksigen 1m3
Oksigen 1m3 MR")</f>
        <v>Oksigen 1m3
Oksigen 1m3 MR</v>
      </c>
      <c r="E161" s="211" t="str">
        <f>IFERROR(__xludf.DUMMYFUNCTION("""COMPUTED_VALUE"""),"1
1")</f>
        <v>1
1</v>
      </c>
      <c r="F161" s="211" t="str">
        <f>IFERROR(__xludf.DUMMYFUNCTION("""COMPUTED_VALUE"""),"60000
60000")</f>
        <v>60000
60000</v>
      </c>
      <c r="G161" s="211"/>
      <c r="H161" s="211"/>
      <c r="I161" s="211">
        <f>IFERROR(__xludf.DUMMYFUNCTION("""COMPUTED_VALUE"""),120000.0)</f>
        <v>120000</v>
      </c>
      <c r="J161" s="211" t="str">
        <f>IFERROR(__xludf.DUMMYFUNCTION("""COMPUTED_VALUE"""),"Ya")</f>
        <v>Ya</v>
      </c>
      <c r="L161" s="223" t="str">
        <f>IFERROR(__xludf.DUMMYFUNCTION("""COMPUTED_VALUE"""),"May 2025")</f>
        <v>May 2025</v>
      </c>
      <c r="M161" s="211" t="str">
        <f>IFERROR(__xludf.DUMMYFUNCTION("""COMPUTED_VALUE"""),"PT Pandu Mulia Bersama")</f>
        <v>PT Pandu Mulia Bersama</v>
      </c>
      <c r="N161" s="211" t="str">
        <f>IFERROR(__xludf.DUMMYFUNCTION("""COMPUTED_VALUE"""),"05251611")</f>
        <v>05251611</v>
      </c>
      <c r="O161" s="211" t="str">
        <f>IFERROR(__xludf.DUMMYFUNCTION("""COMPUTED_VALUE"""),"0/1")</f>
        <v>0/1</v>
      </c>
      <c r="P161" s="224">
        <f>IFERROR(__xludf.DUMMYFUNCTION("""COMPUTED_VALUE"""),1332000.0)</f>
        <v>1332000</v>
      </c>
      <c r="Q161" s="225">
        <f>IFERROR(__xludf.DUMMYFUNCTION("""COMPUTED_VALUE"""),1332000.0)</f>
        <v>1332000</v>
      </c>
      <c r="R161" s="211" t="str">
        <f>IFERROR(__xludf.DUMMYFUNCTION("""COMPUTED_VALUE"""),"05250439")</f>
        <v>05250439</v>
      </c>
      <c r="S161" s="211"/>
      <c r="T161" s="211"/>
      <c r="U161" s="211"/>
    </row>
    <row r="162">
      <c r="A162" s="222" t="str">
        <f>IFERROR(__xludf.DUMMYFUNCTION("""COMPUTED_VALUE"""),"01250212")</f>
        <v>01250212</v>
      </c>
      <c r="B162" s="211" t="str">
        <f>IFERROR(__xludf.DUMMYFUNCTION("""COMPUTED_VALUE"""),"13 Jan 2025")</f>
        <v>13 Jan 2025</v>
      </c>
      <c r="C162" s="211" t="str">
        <f>IFERROR(__xludf.DUMMYFUNCTION("""COMPUTED_VALUE"""),"Saiful Fuad")</f>
        <v>Saiful Fuad</v>
      </c>
      <c r="D162" s="211" t="str">
        <f>IFERROR(__xludf.DUMMYFUNCTION("""COMPUTED_VALUE"""),"LPG 12kg")</f>
        <v>LPG 12kg</v>
      </c>
      <c r="E162" s="211" t="str">
        <f>IFERROR(__xludf.DUMMYFUNCTION("""COMPUTED_VALUE"""),"1")</f>
        <v>1</v>
      </c>
      <c r="F162" s="211" t="str">
        <f>IFERROR(__xludf.DUMMYFUNCTION("""COMPUTED_VALUE"""),"220000")</f>
        <v>220000</v>
      </c>
      <c r="G162" s="211"/>
      <c r="H162" s="211"/>
      <c r="I162" s="211">
        <f>IFERROR(__xludf.DUMMYFUNCTION("""COMPUTED_VALUE"""),220000.0)</f>
        <v>220000</v>
      </c>
      <c r="J162" s="211" t="str">
        <f>IFERROR(__xludf.DUMMYFUNCTION("""COMPUTED_VALUE"""),"Ya")</f>
        <v>Ya</v>
      </c>
      <c r="L162" s="223" t="str">
        <f>IFERROR(__xludf.DUMMYFUNCTION("""COMPUTED_VALUE"""),"May 2025")</f>
        <v>May 2025</v>
      </c>
      <c r="M162" s="211" t="str">
        <f>IFERROR(__xludf.DUMMYFUNCTION("""COMPUTED_VALUE"""),"Bpk. Ibnu")</f>
        <v>Bpk. Ibnu</v>
      </c>
      <c r="N162" s="211" t="str">
        <f>IFERROR(__xludf.DUMMYFUNCTION("""COMPUTED_VALUE"""),"05251620")</f>
        <v>05251620</v>
      </c>
      <c r="O162" s="211" t="str">
        <f>IFERROR(__xludf.DUMMYFUNCTION("""COMPUTED_VALUE"""),"2/2")</f>
        <v>2/2</v>
      </c>
      <c r="P162" s="224">
        <f>IFERROR(__xludf.DUMMYFUNCTION("""COMPUTED_VALUE"""),525000.0)</f>
        <v>525000</v>
      </c>
      <c r="Q162" s="225" t="str">
        <f>IFERROR(__xludf.DUMMYFUNCTION("""COMPUTED_VALUE"""),"✅")</f>
        <v>✅</v>
      </c>
      <c r="R162" s="211" t="str">
        <f>IFERROR(__xludf.DUMMYFUNCTION("""COMPUTED_VALUE"""),"-")</f>
        <v>-</v>
      </c>
      <c r="S162" s="211"/>
      <c r="T162" s="211"/>
      <c r="U162" s="211"/>
    </row>
    <row r="163">
      <c r="A163" s="222" t="str">
        <f>IFERROR(__xludf.DUMMYFUNCTION("""COMPUTED_VALUE"""),"01250213")</f>
        <v>01250213</v>
      </c>
      <c r="B163" s="211" t="str">
        <f>IFERROR(__xludf.DUMMYFUNCTION("""COMPUTED_VALUE"""),"14 Jan 2025")</f>
        <v>14 Jan 2025</v>
      </c>
      <c r="C163" s="211" t="str">
        <f>IFERROR(__xludf.DUMMYFUNCTION("""COMPUTED_VALUE"""),"Bpk. Sulaiman")</f>
        <v>Bpk. Sulaiman</v>
      </c>
      <c r="D163" s="211" t="str">
        <f>IFERROR(__xludf.DUMMYFUNCTION("""COMPUTED_VALUE"""),"Oksigen 6m3")</f>
        <v>Oksigen 6m3</v>
      </c>
      <c r="E163" s="211" t="str">
        <f>IFERROR(__xludf.DUMMYFUNCTION("""COMPUTED_VALUE"""),"5")</f>
        <v>5</v>
      </c>
      <c r="F163" s="211" t="str">
        <f>IFERROR(__xludf.DUMMYFUNCTION("""COMPUTED_VALUE"""),"275000")</f>
        <v>275000</v>
      </c>
      <c r="G163" s="211"/>
      <c r="H163" s="211"/>
      <c r="I163" s="211">
        <f>IFERROR(__xludf.DUMMYFUNCTION("""COMPUTED_VALUE"""),275000.0)</f>
        <v>275000</v>
      </c>
      <c r="J163" s="211" t="str">
        <f>IFERROR(__xludf.DUMMYFUNCTION("""COMPUTED_VALUE"""),"Ya")</f>
        <v>Ya</v>
      </c>
      <c r="L163" s="223" t="str">
        <f>IFERROR(__xludf.DUMMYFUNCTION("""COMPUTED_VALUE"""),"May 2025")</f>
        <v>May 2025</v>
      </c>
      <c r="M163" s="211" t="str">
        <f>IFERROR(__xludf.DUMMYFUNCTION("""COMPUTED_VALUE"""),"Ibu Siti Barokah")</f>
        <v>Ibu Siti Barokah</v>
      </c>
      <c r="N163" s="211" t="str">
        <f>IFERROR(__xludf.DUMMYFUNCTION("""COMPUTED_VALUE"""),"05251630")</f>
        <v>05251630</v>
      </c>
      <c r="O163" s="211" t="str">
        <f>IFERROR(__xludf.DUMMYFUNCTION("""COMPUTED_VALUE"""),"0/1")</f>
        <v>0/1</v>
      </c>
      <c r="P163" s="224">
        <f>IFERROR(__xludf.DUMMYFUNCTION("""COMPUTED_VALUE"""),80000.0)</f>
        <v>80000</v>
      </c>
      <c r="Q163" s="225" t="str">
        <f>IFERROR(__xludf.DUMMYFUNCTION("""COMPUTED_VALUE"""),"✅")</f>
        <v>✅</v>
      </c>
      <c r="R163" s="211" t="str">
        <f>IFERROR(__xludf.DUMMYFUNCTION("""COMPUTED_VALUE"""),"-")</f>
        <v>-</v>
      </c>
      <c r="S163" s="211"/>
      <c r="T163" s="211"/>
      <c r="U163" s="211"/>
    </row>
    <row r="164">
      <c r="A164" s="222" t="str">
        <f>IFERROR(__xludf.DUMMYFUNCTION("""COMPUTED_VALUE"""),"01250214")</f>
        <v>01250214</v>
      </c>
      <c r="B164" s="211" t="str">
        <f>IFERROR(__xludf.DUMMYFUNCTION("""COMPUTED_VALUE"""),"15 Jan 2025")</f>
        <v>15 Jan 2025</v>
      </c>
      <c r="C164" s="211" t="str">
        <f>IFERROR(__xludf.DUMMYFUNCTION("""COMPUTED_VALUE"""),"Bpk. Joko (Gresik)")</f>
        <v>Bpk. Joko (Gresik)</v>
      </c>
      <c r="D164" s="211" t="str">
        <f>IFERROR(__xludf.DUMMYFUNCTION("""COMPUTED_VALUE"""),"Oksigen 6m3 MR")</f>
        <v>Oksigen 6m3 MR</v>
      </c>
      <c r="E164" s="211" t="str">
        <f>IFERROR(__xludf.DUMMYFUNCTION("""COMPUTED_VALUE"""),"14")</f>
        <v>14</v>
      </c>
      <c r="F164" s="211" t="str">
        <f>IFERROR(__xludf.DUMMYFUNCTION("""COMPUTED_VALUE"""),"770000")</f>
        <v>770000</v>
      </c>
      <c r="G164" s="211"/>
      <c r="H164" s="211"/>
      <c r="I164" s="211">
        <f>IFERROR(__xludf.DUMMYFUNCTION("""COMPUTED_VALUE"""),770000.0)</f>
        <v>770000</v>
      </c>
      <c r="J164" s="211" t="str">
        <f>IFERROR(__xludf.DUMMYFUNCTION("""COMPUTED_VALUE"""),"Ya")</f>
        <v>Ya</v>
      </c>
      <c r="L164" s="223" t="str">
        <f>IFERROR(__xludf.DUMMYFUNCTION("""COMPUTED_VALUE"""),"May 2025")</f>
        <v>May 2025</v>
      </c>
      <c r="M164" s="211" t="str">
        <f>IFERROR(__xludf.DUMMYFUNCTION("""COMPUTED_VALUE"""),"Bpk. Abdul")</f>
        <v>Bpk. Abdul</v>
      </c>
      <c r="N164" s="211" t="str">
        <f>IFERROR(__xludf.DUMMYFUNCTION("""COMPUTED_VALUE"""),"05251640")</f>
        <v>05251640</v>
      </c>
      <c r="O164" s="211" t="str">
        <f>IFERROR(__xludf.DUMMYFUNCTION("""COMPUTED_VALUE"""),"0/1")</f>
        <v>0/1</v>
      </c>
      <c r="P164" s="224">
        <f>IFERROR(__xludf.DUMMYFUNCTION("""COMPUTED_VALUE"""),80000.0)</f>
        <v>80000</v>
      </c>
      <c r="Q164" s="225" t="str">
        <f>IFERROR(__xludf.DUMMYFUNCTION("""COMPUTED_VALUE"""),"✅")</f>
        <v>✅</v>
      </c>
      <c r="R164" s="211" t="str">
        <f>IFERROR(__xludf.DUMMYFUNCTION("""COMPUTED_VALUE"""),"-")</f>
        <v>-</v>
      </c>
      <c r="S164" s="211"/>
      <c r="T164" s="211"/>
      <c r="U164" s="211"/>
    </row>
    <row r="165">
      <c r="A165" s="222" t="str">
        <f>IFERROR(__xludf.DUMMYFUNCTION("""COMPUTED_VALUE"""),"01250215")</f>
        <v>01250215</v>
      </c>
      <c r="B165" s="211" t="str">
        <f>IFERROR(__xludf.DUMMYFUNCTION("""COMPUTED_VALUE"""),"15 Jan 2025")</f>
        <v>15 Jan 2025</v>
      </c>
      <c r="C165" s="211" t="str">
        <f>IFERROR(__xludf.DUMMYFUNCTION("""COMPUTED_VALUE"""),"PT GEMILANG CIPTA WAWASAN")</f>
        <v>PT GEMILANG CIPTA WAWASAN</v>
      </c>
      <c r="D165" s="211" t="str">
        <f>IFERROR(__xludf.DUMMYFUNCTION("""COMPUTED_VALUE"""),"Oksigen 6m3")</f>
        <v>Oksigen 6m3</v>
      </c>
      <c r="E165" s="211" t="str">
        <f>IFERROR(__xludf.DUMMYFUNCTION("""COMPUTED_VALUE"""),"10")</f>
        <v>10</v>
      </c>
      <c r="F165" s="211" t="str">
        <f>IFERROR(__xludf.DUMMYFUNCTION("""COMPUTED_VALUE"""),"666000")</f>
        <v>666000</v>
      </c>
      <c r="G165" s="211"/>
      <c r="H165" s="211"/>
      <c r="I165" s="211">
        <f>IFERROR(__xludf.DUMMYFUNCTION("""COMPUTED_VALUE"""),666000.0)</f>
        <v>666000</v>
      </c>
      <c r="J165" s="211" t="str">
        <f>IFERROR(__xludf.DUMMYFUNCTION("""COMPUTED_VALUE"""),"Ya")</f>
        <v>Ya</v>
      </c>
      <c r="L165" s="223" t="str">
        <f>IFERROR(__xludf.DUMMYFUNCTION("""COMPUTED_VALUE"""),"Jun 2025")</f>
        <v>Jun 2025</v>
      </c>
      <c r="M165" s="211" t="str">
        <f>IFERROR(__xludf.DUMMYFUNCTION("""COMPUTED_VALUE"""),"Bpk. Supar")</f>
        <v>Bpk. Supar</v>
      </c>
      <c r="N165" s="211" t="str">
        <f>IFERROR(__xludf.DUMMYFUNCTION("""COMPUTED_VALUE"""),"06251650")</f>
        <v>06251650</v>
      </c>
      <c r="O165" s="211" t="str">
        <f>IFERROR(__xludf.DUMMYFUNCTION("""COMPUTED_VALUE"""),"0/1")</f>
        <v>0/1</v>
      </c>
      <c r="P165" s="224">
        <f>IFERROR(__xludf.DUMMYFUNCTION("""COMPUTED_VALUE"""),70000.0)</f>
        <v>70000</v>
      </c>
      <c r="Q165" s="225" t="str">
        <f>IFERROR(__xludf.DUMMYFUNCTION("""COMPUTED_VALUE"""),"✅")</f>
        <v>✅</v>
      </c>
      <c r="R165" s="211" t="str">
        <f>IFERROR(__xludf.DUMMYFUNCTION("""COMPUTED_VALUE"""),"-")</f>
        <v>-</v>
      </c>
      <c r="S165" s="211"/>
      <c r="T165" s="211"/>
      <c r="U165" s="211"/>
    </row>
    <row r="166">
      <c r="A166" s="222" t="str">
        <f>IFERROR(__xludf.DUMMYFUNCTION("""COMPUTED_VALUE"""),"01250216")</f>
        <v>01250216</v>
      </c>
      <c r="B166" s="211" t="str">
        <f>IFERROR(__xludf.DUMMYFUNCTION("""COMPUTED_VALUE"""),"16 Jan 2025")</f>
        <v>16 Jan 2025</v>
      </c>
      <c r="C166" s="211" t="str">
        <f>IFERROR(__xludf.DUMMYFUNCTION("""COMPUTED_VALUE"""),"PT Jatim Abadi Perkasa Steel")</f>
        <v>PT Jatim Abadi Perkasa Steel</v>
      </c>
      <c r="D166" s="211" t="str">
        <f>IFERROR(__xludf.DUMMYFUNCTION("""COMPUTED_VALUE"""),"LPG 50kg")</f>
        <v>LPG 50kg</v>
      </c>
      <c r="E166" s="211" t="str">
        <f>IFERROR(__xludf.DUMMYFUNCTION("""COMPUTED_VALUE"""),"5")</f>
        <v>5</v>
      </c>
      <c r="F166" s="211" t="str">
        <f>IFERROR(__xludf.DUMMYFUNCTION("""COMPUTED_VALUE"""),"5000000")</f>
        <v>5000000</v>
      </c>
      <c r="G166" s="211"/>
      <c r="H166" s="211"/>
      <c r="I166" s="211">
        <f>IFERROR(__xludf.DUMMYFUNCTION("""COMPUTED_VALUE"""),5000000.0)</f>
        <v>5000000</v>
      </c>
      <c r="J166" s="211" t="str">
        <f>IFERROR(__xludf.DUMMYFUNCTION("""COMPUTED_VALUE"""),"Ya")</f>
        <v>Ya</v>
      </c>
      <c r="L166" s="223" t="str">
        <f>IFERROR(__xludf.DUMMYFUNCTION("""COMPUTED_VALUE"""),"Jun 2025")</f>
        <v>Jun 2025</v>
      </c>
      <c r="M166" s="211" t="str">
        <f>IFERROR(__xludf.DUMMYFUNCTION("""COMPUTED_VALUE"""),"PT Jatim Abadi Perkasa Steel")</f>
        <v>PT Jatim Abadi Perkasa Steel</v>
      </c>
      <c r="N166" s="211" t="str">
        <f>IFERROR(__xludf.DUMMYFUNCTION("""COMPUTED_VALUE"""),"06251661")</f>
        <v>06251661</v>
      </c>
      <c r="O166" s="211" t="str">
        <f>IFERROR(__xludf.DUMMYFUNCTION("""COMPUTED_VALUE"""),"2/3")</f>
        <v>2/3</v>
      </c>
      <c r="P166" s="224">
        <f>IFERROR(__xludf.DUMMYFUNCTION("""COMPUTED_VALUE"""),1.414E7)</f>
        <v>14140000</v>
      </c>
      <c r="Q166" s="225">
        <f>IFERROR(__xludf.DUMMYFUNCTION("""COMPUTED_VALUE"""),4040000.0)</f>
        <v>4040000</v>
      </c>
      <c r="R166" s="211" t="str">
        <f>IFERROR(__xludf.DUMMYFUNCTION("""COMPUTED_VALUE"""),"06250517")</f>
        <v>06250517</v>
      </c>
      <c r="S166" s="211"/>
      <c r="T166" s="211"/>
      <c r="U166" s="211"/>
    </row>
    <row r="167">
      <c r="A167" s="222" t="str">
        <f>IFERROR(__xludf.DUMMYFUNCTION("""COMPUTED_VALUE"""),"01250217")</f>
        <v>01250217</v>
      </c>
      <c r="B167" s="211" t="str">
        <f>IFERROR(__xludf.DUMMYFUNCTION("""COMPUTED_VALUE"""),"15 Jan 2025")</f>
        <v>15 Jan 2025</v>
      </c>
      <c r="C167" s="211" t="str">
        <f>IFERROR(__xludf.DUMMYFUNCTION("""COMPUTED_VALUE"""),"Bpk. Supar")</f>
        <v>Bpk. Supar</v>
      </c>
      <c r="D167" s="211" t="str">
        <f>IFERROR(__xludf.DUMMYFUNCTION("""COMPUTED_VALUE"""),"Oksigen 6m3")</f>
        <v>Oksigen 6m3</v>
      </c>
      <c r="E167" s="211" t="str">
        <f>IFERROR(__xludf.DUMMYFUNCTION("""COMPUTED_VALUE"""),"1")</f>
        <v>1</v>
      </c>
      <c r="F167" s="211" t="str">
        <f>IFERROR(__xludf.DUMMYFUNCTION("""COMPUTED_VALUE"""),"70000")</f>
        <v>70000</v>
      </c>
      <c r="G167" s="211"/>
      <c r="H167" s="211"/>
      <c r="I167" s="211">
        <f>IFERROR(__xludf.DUMMYFUNCTION("""COMPUTED_VALUE"""),70000.0)</f>
        <v>70000</v>
      </c>
      <c r="J167" s="211" t="str">
        <f>IFERROR(__xludf.DUMMYFUNCTION("""COMPUTED_VALUE"""),"Ya")</f>
        <v>Ya</v>
      </c>
      <c r="L167" s="223" t="str">
        <f>IFERROR(__xludf.DUMMYFUNCTION("""COMPUTED_VALUE"""),"Jun 2025")</f>
        <v>Jun 2025</v>
      </c>
      <c r="M167" s="211" t="str">
        <f>IFERROR(__xludf.DUMMYFUNCTION("""COMPUTED_VALUE"""),"Bpk. Subiantoro (Parengan)")</f>
        <v>Bpk. Subiantoro (Parengan)</v>
      </c>
      <c r="N167" s="211" t="str">
        <f>IFERROR(__xludf.DUMMYFUNCTION("""COMPUTED_VALUE"""),"06251670")</f>
        <v>06251670</v>
      </c>
      <c r="O167" s="211" t="str">
        <f>IFERROR(__xludf.DUMMYFUNCTION("""COMPUTED_VALUE"""),"0/1")</f>
        <v>0/1</v>
      </c>
      <c r="P167" s="224">
        <f>IFERROR(__xludf.DUMMYFUNCTION("""COMPUTED_VALUE"""),1400000.0)</f>
        <v>1400000</v>
      </c>
      <c r="Q167" s="225" t="str">
        <f>IFERROR(__xludf.DUMMYFUNCTION("""COMPUTED_VALUE"""),"✅")</f>
        <v>✅</v>
      </c>
      <c r="R167" s="211" t="str">
        <f>IFERROR(__xludf.DUMMYFUNCTION("""COMPUTED_VALUE"""),"-")</f>
        <v>-</v>
      </c>
      <c r="S167" s="211"/>
      <c r="T167" s="211"/>
      <c r="U167" s="211"/>
    </row>
    <row r="168">
      <c r="A168" s="222" t="str">
        <f>IFERROR(__xludf.DUMMYFUNCTION("""COMPUTED_VALUE"""),"01250218")</f>
        <v>01250218</v>
      </c>
      <c r="B168" s="211" t="str">
        <f>IFERROR(__xludf.DUMMYFUNCTION("""COMPUTED_VALUE"""),"17 Jan 2025")</f>
        <v>17 Jan 2025</v>
      </c>
      <c r="C168" s="211" t="str">
        <f>IFERROR(__xludf.DUMMYFUNCTION("""COMPUTED_VALUE"""),"GYF")</f>
        <v>GYF</v>
      </c>
      <c r="D168" s="211" t="str">
        <f>IFERROR(__xludf.DUMMYFUNCTION("""COMPUTED_VALUE"""),"Oksigen 6m3")</f>
        <v>Oksigen 6m3</v>
      </c>
      <c r="E168" s="211" t="str">
        <f>IFERROR(__xludf.DUMMYFUNCTION("""COMPUTED_VALUE"""),"20")</f>
        <v>20</v>
      </c>
      <c r="F168" s="211" t="str">
        <f>IFERROR(__xludf.DUMMYFUNCTION("""COMPUTED_VALUE"""),"900000")</f>
        <v>900000</v>
      </c>
      <c r="G168" s="211"/>
      <c r="H168" s="211"/>
      <c r="I168" s="211">
        <f>IFERROR(__xludf.DUMMYFUNCTION("""COMPUTED_VALUE"""),900000.0)</f>
        <v>900000</v>
      </c>
      <c r="J168" s="211" t="str">
        <f>IFERROR(__xludf.DUMMYFUNCTION("""COMPUTED_VALUE"""),"Ya")</f>
        <v>Ya</v>
      </c>
      <c r="L168" s="223" t="str">
        <f>IFERROR(__xludf.DUMMYFUNCTION("""COMPUTED_VALUE"""),"Jun 2025")</f>
        <v>Jun 2025</v>
      </c>
      <c r="M168" s="211" t="str">
        <f>IFERROR(__xludf.DUMMYFUNCTION("""COMPUTED_VALUE"""),"Bpk. Joko (Ponokawan)")</f>
        <v>Bpk. Joko (Ponokawan)</v>
      </c>
      <c r="N168" s="211" t="str">
        <f>IFERROR(__xludf.DUMMYFUNCTION("""COMPUTED_VALUE"""),"06251680")</f>
        <v>06251680</v>
      </c>
      <c r="O168" s="211" t="str">
        <f>IFERROR(__xludf.DUMMYFUNCTION("""COMPUTED_VALUE"""),"0/1")</f>
        <v>0/1</v>
      </c>
      <c r="P168" s="224">
        <f>IFERROR(__xludf.DUMMYFUNCTION("""COMPUTED_VALUE"""),320000.0)</f>
        <v>320000</v>
      </c>
      <c r="Q168" s="225" t="str">
        <f>IFERROR(__xludf.DUMMYFUNCTION("""COMPUTED_VALUE"""),"✅")</f>
        <v>✅</v>
      </c>
      <c r="R168" s="211" t="str">
        <f>IFERROR(__xludf.DUMMYFUNCTION("""COMPUTED_VALUE"""),"-")</f>
        <v>-</v>
      </c>
      <c r="S168" s="211"/>
      <c r="T168" s="211"/>
      <c r="U168" s="211"/>
    </row>
    <row r="169">
      <c r="A169" s="222" t="str">
        <f>IFERROR(__xludf.DUMMYFUNCTION("""COMPUTED_VALUE"""),"01250219")</f>
        <v>01250219</v>
      </c>
      <c r="B169" s="211" t="str">
        <f>IFERROR(__xludf.DUMMYFUNCTION("""COMPUTED_VALUE"""),"16 Jan 2025")</f>
        <v>16 Jan 2025</v>
      </c>
      <c r="C169" s="211" t="str">
        <f>IFERROR(__xludf.DUMMYFUNCTION("""COMPUTED_VALUE"""),"PT GEMILANG CIPTA WAWASAN")</f>
        <v>PT GEMILANG CIPTA WAWASAN</v>
      </c>
      <c r="D169" s="211" t="str">
        <f>IFERROR(__xludf.DUMMYFUNCTION("""COMPUTED_VALUE"""),"Argon 6m3")</f>
        <v>Argon 6m3</v>
      </c>
      <c r="E169" s="211" t="str">
        <f>IFERROR(__xludf.DUMMYFUNCTION("""COMPUTED_VALUE"""),"10")</f>
        <v>10</v>
      </c>
      <c r="F169" s="211" t="str">
        <f>IFERROR(__xludf.DUMMYFUNCTION("""COMPUTED_VALUE"""),"2053500")</f>
        <v>2053500</v>
      </c>
      <c r="G169" s="211"/>
      <c r="H169" s="211"/>
      <c r="I169" s="211">
        <f>IFERROR(__xludf.DUMMYFUNCTION("""COMPUTED_VALUE"""),2053500.0)</f>
        <v>2053500</v>
      </c>
      <c r="J169" s="211" t="str">
        <f>IFERROR(__xludf.DUMMYFUNCTION("""COMPUTED_VALUE"""),"Ya")</f>
        <v>Ya</v>
      </c>
      <c r="L169" s="223" t="str">
        <f>IFERROR(__xludf.DUMMYFUNCTION("""COMPUTED_VALUE"""),"Jun 2025")</f>
        <v>Jun 2025</v>
      </c>
      <c r="M169" s="211" t="str">
        <f>IFERROR(__xludf.DUMMYFUNCTION("""COMPUTED_VALUE"""),"PT Dunia Berkat Marga Mulya")</f>
        <v>PT Dunia Berkat Marga Mulya</v>
      </c>
      <c r="N169" s="211" t="str">
        <f>IFERROR(__xludf.DUMMYFUNCTION("""COMPUTED_VALUE"""),"06251690")</f>
        <v>06251690</v>
      </c>
      <c r="O169" s="211" t="str">
        <f>IFERROR(__xludf.DUMMYFUNCTION("""COMPUTED_VALUE"""),"0/2")</f>
        <v>0/2</v>
      </c>
      <c r="P169" s="224">
        <f>IFERROR(__xludf.DUMMYFUNCTION("""COMPUTED_VALUE"""),666000.0)</f>
        <v>666000</v>
      </c>
      <c r="Q169" s="225" t="str">
        <f>IFERROR(__xludf.DUMMYFUNCTION("""COMPUTED_VALUE"""),"✅")</f>
        <v>✅</v>
      </c>
      <c r="R169" s="211" t="str">
        <f>IFERROR(__xludf.DUMMYFUNCTION("""COMPUTED_VALUE"""),"-")</f>
        <v>-</v>
      </c>
      <c r="S169" s="211"/>
      <c r="T169" s="211"/>
      <c r="U169" s="211"/>
    </row>
    <row r="170">
      <c r="A170" s="222" t="str">
        <f>IFERROR(__xludf.DUMMYFUNCTION("""COMPUTED_VALUE"""),"01250220")</f>
        <v>01250220</v>
      </c>
      <c r="B170" s="211" t="str">
        <f>IFERROR(__xludf.DUMMYFUNCTION("""COMPUTED_VALUE"""),"20 Jan 2025")</f>
        <v>20 Jan 2025</v>
      </c>
      <c r="C170" s="211" t="str">
        <f>IFERROR(__xludf.DUMMYFUNCTION("""COMPUTED_VALUE"""),"Bpk. Sukirno (Bejo)")</f>
        <v>Bpk. Sukirno (Bejo)</v>
      </c>
      <c r="D170" s="211" t="str">
        <f>IFERROR(__xludf.DUMMYFUNCTION("""COMPUTED_VALUE"""),"Oksigen 6m3")</f>
        <v>Oksigen 6m3</v>
      </c>
      <c r="E170" s="211" t="str">
        <f>IFERROR(__xludf.DUMMYFUNCTION("""COMPUTED_VALUE"""),"15")</f>
        <v>15</v>
      </c>
      <c r="F170" s="211" t="str">
        <f>IFERROR(__xludf.DUMMYFUNCTION("""COMPUTED_VALUE"""),"900000")</f>
        <v>900000</v>
      </c>
      <c r="G170" s="211"/>
      <c r="H170" s="211"/>
      <c r="I170" s="211">
        <f>IFERROR(__xludf.DUMMYFUNCTION("""COMPUTED_VALUE"""),900000.0)</f>
        <v>900000</v>
      </c>
      <c r="J170" s="211" t="str">
        <f>IFERROR(__xludf.DUMMYFUNCTION("""COMPUTED_VALUE"""),"Ya")</f>
        <v>Ya</v>
      </c>
      <c r="L170" s="223" t="str">
        <f>IFERROR(__xludf.DUMMYFUNCTION("""COMPUTED_VALUE"""),"Jun 2025")</f>
        <v>Jun 2025</v>
      </c>
      <c r="M170" s="211" t="str">
        <f>IFERROR(__xludf.DUMMYFUNCTION("""COMPUTED_VALUE"""),"PT Sinar Indogreen Kencana")</f>
        <v>PT Sinar Indogreen Kencana</v>
      </c>
      <c r="N170" s="211" t="str">
        <f>IFERROR(__xludf.DUMMYFUNCTION("""COMPUTED_VALUE"""),"06251702")</f>
        <v>06251702</v>
      </c>
      <c r="O170" s="211" t="str">
        <f>IFERROR(__xludf.DUMMYFUNCTION("""COMPUTED_VALUE"""),"1/3")</f>
        <v>1/3</v>
      </c>
      <c r="P170" s="224">
        <f>IFERROR(__xludf.DUMMYFUNCTION("""COMPUTED_VALUE"""),630003.0)</f>
        <v>630003</v>
      </c>
      <c r="Q170" s="225">
        <f>IFERROR(__xludf.DUMMYFUNCTION("""COMPUTED_VALUE"""),420002.0)</f>
        <v>420002</v>
      </c>
      <c r="R170" s="211" t="str">
        <f>IFERROR(__xludf.DUMMYFUNCTION("""COMPUTED_VALUE"""),"06250502 06250536")</f>
        <v>06250502 06250536</v>
      </c>
      <c r="S170" s="211"/>
      <c r="T170" s="211"/>
      <c r="U170" s="211"/>
    </row>
    <row r="171">
      <c r="A171" s="222" t="str">
        <f>IFERROR(__xludf.DUMMYFUNCTION("""COMPUTED_VALUE"""),"01250221")</f>
        <v>01250221</v>
      </c>
      <c r="B171" s="211" t="str">
        <f>IFERROR(__xludf.DUMMYFUNCTION("""COMPUTED_VALUE"""),"21 Jan 2025")</f>
        <v>21 Jan 2025</v>
      </c>
      <c r="C171" s="211" t="str">
        <f>IFERROR(__xludf.DUMMYFUNCTION("""COMPUTED_VALUE"""),"PT Dunia Berkat Marga Mulya")</f>
        <v>PT Dunia Berkat Marga Mulya</v>
      </c>
      <c r="D171" s="211" t="str">
        <f>IFERROR(__xludf.DUMMYFUNCTION("""COMPUTED_VALUE"""),"Oksigen 6m3")</f>
        <v>Oksigen 6m3</v>
      </c>
      <c r="E171" s="211" t="str">
        <f>IFERROR(__xludf.DUMMYFUNCTION("""COMPUTED_VALUE"""),"5")</f>
        <v>5</v>
      </c>
      <c r="F171" s="211" t="str">
        <f>IFERROR(__xludf.DUMMYFUNCTION("""COMPUTED_VALUE"""),"333000")</f>
        <v>333000</v>
      </c>
      <c r="G171" s="211"/>
      <c r="H171" s="211"/>
      <c r="I171" s="211">
        <f>IFERROR(__xludf.DUMMYFUNCTION("""COMPUTED_VALUE"""),333000.0)</f>
        <v>333000</v>
      </c>
      <c r="J171" s="211" t="str">
        <f>IFERROR(__xludf.DUMMYFUNCTION("""COMPUTED_VALUE"""),"Tidak")</f>
        <v>Tidak</v>
      </c>
      <c r="L171" s="223" t="str">
        <f>IFERROR(__xludf.DUMMYFUNCTION("""COMPUTED_VALUE"""),"Jun 2025")</f>
        <v>Jun 2025</v>
      </c>
      <c r="M171" s="211" t="str">
        <f>IFERROR(__xludf.DUMMYFUNCTION("""COMPUTED_VALUE"""),"PT Pandu Mulia Bersama")</f>
        <v>PT Pandu Mulia Bersama</v>
      </c>
      <c r="N171" s="211" t="str">
        <f>IFERROR(__xludf.DUMMYFUNCTION("""COMPUTED_VALUE"""),"06251711")</f>
        <v>06251711</v>
      </c>
      <c r="O171" s="211" t="str">
        <f>IFERROR(__xludf.DUMMYFUNCTION("""COMPUTED_VALUE"""),"0/1")</f>
        <v>0/1</v>
      </c>
      <c r="P171" s="224">
        <f>IFERROR(__xludf.DUMMYFUNCTION("""COMPUTED_VALUE"""),1110000.0)</f>
        <v>1110000</v>
      </c>
      <c r="Q171" s="225">
        <f>IFERROR(__xludf.DUMMYFUNCTION("""COMPUTED_VALUE"""),1110000.0)</f>
        <v>1110000</v>
      </c>
      <c r="R171" s="211" t="str">
        <f>IFERROR(__xludf.DUMMYFUNCTION("""COMPUTED_VALUE"""),"06250486")</f>
        <v>06250486</v>
      </c>
      <c r="S171" s="211"/>
      <c r="T171" s="211"/>
      <c r="U171" s="211"/>
    </row>
    <row r="172">
      <c r="A172" s="222" t="str">
        <f>IFERROR(__xludf.DUMMYFUNCTION("""COMPUTED_VALUE"""),"01250222")</f>
        <v>01250222</v>
      </c>
      <c r="B172" s="211" t="str">
        <f>IFERROR(__xludf.DUMMYFUNCTION("""COMPUTED_VALUE"""),"21 Jan 2025")</f>
        <v>21 Jan 2025</v>
      </c>
      <c r="C172" s="211" t="str">
        <f>IFERROR(__xludf.DUMMYFUNCTION("""COMPUTED_VALUE"""),"Bpk. Sulaiman")</f>
        <v>Bpk. Sulaiman</v>
      </c>
      <c r="D172" s="211" t="str">
        <f>IFERROR(__xludf.DUMMYFUNCTION("""COMPUTED_VALUE"""),"Oksigen 6m3")</f>
        <v>Oksigen 6m3</v>
      </c>
      <c r="E172" s="211" t="str">
        <f>IFERROR(__xludf.DUMMYFUNCTION("""COMPUTED_VALUE"""),"5")</f>
        <v>5</v>
      </c>
      <c r="F172" s="211" t="str">
        <f>IFERROR(__xludf.DUMMYFUNCTION("""COMPUTED_VALUE"""),"275000")</f>
        <v>275000</v>
      </c>
      <c r="G172" s="211"/>
      <c r="H172" s="211"/>
      <c r="I172" s="211">
        <f>IFERROR(__xludf.DUMMYFUNCTION("""COMPUTED_VALUE"""),275000.0)</f>
        <v>275000</v>
      </c>
      <c r="J172" s="211" t="str">
        <f>IFERROR(__xludf.DUMMYFUNCTION("""COMPUTED_VALUE"""),"Ya")</f>
        <v>Ya</v>
      </c>
      <c r="L172" s="223" t="str">
        <f>IFERROR(__xludf.DUMMYFUNCTION("""COMPUTED_VALUE"""),"Jun 2025")</f>
        <v>Jun 2025</v>
      </c>
      <c r="M172" s="211" t="str">
        <f>IFERROR(__xludf.DUMMYFUNCTION("""COMPUTED_VALUE"""),"Bpk. Joko (Gresik)")</f>
        <v>Bpk. Joko (Gresik)</v>
      </c>
      <c r="N172" s="211" t="str">
        <f>IFERROR(__xludf.DUMMYFUNCTION("""COMPUTED_VALUE"""),"06251720")</f>
        <v>06251720</v>
      </c>
      <c r="O172" s="211" t="str">
        <f>IFERROR(__xludf.DUMMYFUNCTION("""COMPUTED_VALUE"""),"0/2")</f>
        <v>0/2</v>
      </c>
      <c r="P172" s="224">
        <f>IFERROR(__xludf.DUMMYFUNCTION("""COMPUTED_VALUE"""),1145000.0)</f>
        <v>1145000</v>
      </c>
      <c r="Q172" s="225" t="str">
        <f>IFERROR(__xludf.DUMMYFUNCTION("""COMPUTED_VALUE"""),"✅")</f>
        <v>✅</v>
      </c>
      <c r="R172" s="211" t="str">
        <f>IFERROR(__xludf.DUMMYFUNCTION("""COMPUTED_VALUE"""),"-")</f>
        <v>-</v>
      </c>
      <c r="S172" s="211"/>
      <c r="T172" s="211"/>
      <c r="U172" s="211"/>
    </row>
    <row r="173">
      <c r="A173" s="222" t="str">
        <f>IFERROR(__xludf.DUMMYFUNCTION("""COMPUTED_VALUE"""),"01250223")</f>
        <v>01250223</v>
      </c>
      <c r="B173" s="211" t="str">
        <f>IFERROR(__xludf.DUMMYFUNCTION("""COMPUTED_VALUE"""),"22 Jan 2025")</f>
        <v>22 Jan 2025</v>
      </c>
      <c r="C173" s="211" t="str">
        <f>IFERROR(__xludf.DUMMYFUNCTION("""COMPUTED_VALUE"""),"PT Jatim Abadi Perkasa Steel")</f>
        <v>PT Jatim Abadi Perkasa Steel</v>
      </c>
      <c r="D173" s="211" t="str">
        <f>IFERROR(__xludf.DUMMYFUNCTION("""COMPUTED_VALUE"""),"LPG 50kg")</f>
        <v>LPG 50kg</v>
      </c>
      <c r="E173" s="211" t="str">
        <f>IFERROR(__xludf.DUMMYFUNCTION("""COMPUTED_VALUE"""),"5")</f>
        <v>5</v>
      </c>
      <c r="F173" s="211" t="str">
        <f>IFERROR(__xludf.DUMMYFUNCTION("""COMPUTED_VALUE"""),"5000000")</f>
        <v>5000000</v>
      </c>
      <c r="G173" s="211"/>
      <c r="H173" s="211"/>
      <c r="I173" s="211">
        <f>IFERROR(__xludf.DUMMYFUNCTION("""COMPUTED_VALUE"""),5000000.0)</f>
        <v>5000000</v>
      </c>
      <c r="J173" s="211" t="str">
        <f>IFERROR(__xludf.DUMMYFUNCTION("""COMPUTED_VALUE"""),"Ya")</f>
        <v>Ya</v>
      </c>
      <c r="L173" s="223" t="str">
        <f>IFERROR(__xludf.DUMMYFUNCTION("""COMPUTED_VALUE"""),"Jun 2025")</f>
        <v>Jun 2025</v>
      </c>
      <c r="M173" s="211" t="str">
        <f>IFERROR(__xludf.DUMMYFUNCTION("""COMPUTED_VALUE"""),"PT Dingsheng Metal Indonesia (Ngoro)")</f>
        <v>PT Dingsheng Metal Indonesia (Ngoro)</v>
      </c>
      <c r="N173" s="211" t="str">
        <f>IFERROR(__xludf.DUMMYFUNCTION("""COMPUTED_VALUE"""),"06251730")</f>
        <v>06251730</v>
      </c>
      <c r="O173" s="211" t="str">
        <f>IFERROR(__xludf.DUMMYFUNCTION("""COMPUTED_VALUE"""),"1/3")</f>
        <v>1/3</v>
      </c>
      <c r="P173" s="224">
        <f>IFERROR(__xludf.DUMMYFUNCTION("""COMPUTED_VALUE"""),1250000.0)</f>
        <v>1250000</v>
      </c>
      <c r="Q173" s="225" t="str">
        <f>IFERROR(__xludf.DUMMYFUNCTION("""COMPUTED_VALUE"""),"✅")</f>
        <v>✅</v>
      </c>
      <c r="R173" s="211" t="str">
        <f>IFERROR(__xludf.DUMMYFUNCTION("""COMPUTED_VALUE"""),"-")</f>
        <v>-</v>
      </c>
      <c r="S173" s="211"/>
      <c r="T173" s="211"/>
      <c r="U173" s="211"/>
    </row>
    <row r="174">
      <c r="A174" s="222" t="str">
        <f>IFERROR(__xludf.DUMMYFUNCTION("""COMPUTED_VALUE"""),"01250224")</f>
        <v>01250224</v>
      </c>
      <c r="B174" s="211" t="str">
        <f>IFERROR(__xludf.DUMMYFUNCTION("""COMPUTED_VALUE"""),"22 Jan 2025")</f>
        <v>22 Jan 2025</v>
      </c>
      <c r="C174" s="211" t="str">
        <f>IFERROR(__xludf.DUMMYFUNCTION("""COMPUTED_VALUE"""),"Bengkel Dian Jaya")</f>
        <v>Bengkel Dian Jaya</v>
      </c>
      <c r="D174" s="211" t="str">
        <f>IFERROR(__xludf.DUMMYFUNCTION("""COMPUTED_VALUE"""),"Oksigen 6m3")</f>
        <v>Oksigen 6m3</v>
      </c>
      <c r="E174" s="211" t="str">
        <f>IFERROR(__xludf.DUMMYFUNCTION("""COMPUTED_VALUE"""),"10")</f>
        <v>10</v>
      </c>
      <c r="F174" s="211" t="str">
        <f>IFERROR(__xludf.DUMMYFUNCTION("""COMPUTED_VALUE"""),"500000")</f>
        <v>500000</v>
      </c>
      <c r="G174" s="211"/>
      <c r="H174" s="211"/>
      <c r="I174" s="211">
        <f>IFERROR(__xludf.DUMMYFUNCTION("""COMPUTED_VALUE"""),500000.0)</f>
        <v>500000</v>
      </c>
      <c r="J174" s="211" t="str">
        <f>IFERROR(__xludf.DUMMYFUNCTION("""COMPUTED_VALUE"""),"Ya")</f>
        <v>Ya</v>
      </c>
      <c r="L174" s="223" t="str">
        <f>IFERROR(__xludf.DUMMYFUNCTION("""COMPUTED_VALUE"""),"Jun 2025")</f>
        <v>Jun 2025</v>
      </c>
      <c r="M174" s="211" t="str">
        <f>IFERROR(__xludf.DUMMYFUNCTION("""COMPUTED_VALUE"""),"Bpk. Ari Budiarto")</f>
        <v>Bpk. Ari Budiarto</v>
      </c>
      <c r="N174" s="211" t="str">
        <f>IFERROR(__xludf.DUMMYFUNCTION("""COMPUTED_VALUE"""),"06251740")</f>
        <v>06251740</v>
      </c>
      <c r="O174" s="211" t="str">
        <f>IFERROR(__xludf.DUMMYFUNCTION("""COMPUTED_VALUE"""),"1/3")</f>
        <v>1/3</v>
      </c>
      <c r="P174" s="224">
        <f>IFERROR(__xludf.DUMMYFUNCTION("""COMPUTED_VALUE"""),600000.0)</f>
        <v>600000</v>
      </c>
      <c r="Q174" s="225" t="str">
        <f>IFERROR(__xludf.DUMMYFUNCTION("""COMPUTED_VALUE"""),"✅")</f>
        <v>✅</v>
      </c>
      <c r="R174" s="211" t="str">
        <f>IFERROR(__xludf.DUMMYFUNCTION("""COMPUTED_VALUE"""),"-")</f>
        <v>-</v>
      </c>
      <c r="S174" s="211"/>
      <c r="T174" s="211"/>
      <c r="U174" s="211"/>
    </row>
    <row r="175">
      <c r="A175" s="222" t="str">
        <f>IFERROR(__xludf.DUMMYFUNCTION("""COMPUTED_VALUE"""),"01250225")</f>
        <v>01250225</v>
      </c>
      <c r="B175" s="211" t="str">
        <f>IFERROR(__xludf.DUMMYFUNCTION("""COMPUTED_VALUE"""),"22 Jan 2025")</f>
        <v>22 Jan 2025</v>
      </c>
      <c r="C175" s="211" t="str">
        <f>IFERROR(__xludf.DUMMYFUNCTION("""COMPUTED_VALUE"""),"Bpk. Sukirno (Bejo)")</f>
        <v>Bpk. Sukirno (Bejo)</v>
      </c>
      <c r="D175" s="211" t="str">
        <f>IFERROR(__xludf.DUMMYFUNCTION("""COMPUTED_VALUE"""),"Oksigen 6m3")</f>
        <v>Oksigen 6m3</v>
      </c>
      <c r="E175" s="211" t="str">
        <f>IFERROR(__xludf.DUMMYFUNCTION("""COMPUTED_VALUE"""),"15")</f>
        <v>15</v>
      </c>
      <c r="F175" s="211" t="str">
        <f>IFERROR(__xludf.DUMMYFUNCTION("""COMPUTED_VALUE"""),"900000")</f>
        <v>900000</v>
      </c>
      <c r="G175" s="211"/>
      <c r="H175" s="211"/>
      <c r="I175" s="211">
        <f>IFERROR(__xludf.DUMMYFUNCTION("""COMPUTED_VALUE"""),900000.0)</f>
        <v>900000</v>
      </c>
      <c r="J175" s="211" t="str">
        <f>IFERROR(__xludf.DUMMYFUNCTION("""COMPUTED_VALUE"""),"Ya")</f>
        <v>Ya</v>
      </c>
      <c r="L175" s="223" t="str">
        <f>IFERROR(__xludf.DUMMYFUNCTION("""COMPUTED_VALUE"""),"Jun 2025")</f>
        <v>Jun 2025</v>
      </c>
      <c r="M175" s="211" t="str">
        <f>IFERROR(__xludf.DUMMYFUNCTION("""COMPUTED_VALUE"""),"PT GEMILANG CIPTA WAWASAN")</f>
        <v>PT GEMILANG CIPTA WAWASAN</v>
      </c>
      <c r="N175" s="211" t="str">
        <f>IFERROR(__xludf.DUMMYFUNCTION("""COMPUTED_VALUE"""),"06251753")</f>
        <v>06251753</v>
      </c>
      <c r="O175" s="211" t="str">
        <f>IFERROR(__xludf.DUMMYFUNCTION("""COMPUTED_VALUE"""),"0/4")</f>
        <v>0/4</v>
      </c>
      <c r="P175" s="224">
        <f>IFERROR(__xludf.DUMMYFUNCTION("""COMPUTED_VALUE"""),6604500.0)</f>
        <v>6604500</v>
      </c>
      <c r="Q175" s="225">
        <f>IFERROR(__xludf.DUMMYFUNCTION("""COMPUTED_VALUE"""),4911750.0)</f>
        <v>4911750</v>
      </c>
      <c r="R175" s="211" t="str">
        <f>IFERROR(__xludf.DUMMYFUNCTION("""COMPUTED_VALUE"""),"06250492 06250496 06250525")</f>
        <v>06250492 06250496 06250525</v>
      </c>
      <c r="S175" s="211"/>
      <c r="T175" s="211"/>
      <c r="U175" s="211"/>
    </row>
    <row r="176">
      <c r="A176" s="222" t="str">
        <f>IFERROR(__xludf.DUMMYFUNCTION("""COMPUTED_VALUE"""),"01250226")</f>
        <v>01250226</v>
      </c>
      <c r="B176" s="211" t="str">
        <f>IFERROR(__xludf.DUMMYFUNCTION("""COMPUTED_VALUE"""),"23 Jan 2025")</f>
        <v>23 Jan 2025</v>
      </c>
      <c r="C176" s="211" t="str">
        <f>IFERROR(__xludf.DUMMYFUNCTION("""COMPUTED_VALUE"""),"PT GEMILANG CIPTA WAWASAN")</f>
        <v>PT GEMILANG CIPTA WAWASAN</v>
      </c>
      <c r="D176" s="211" t="str">
        <f>IFERROR(__xludf.DUMMYFUNCTION("""COMPUTED_VALUE"""),"Argon 6m3")</f>
        <v>Argon 6m3</v>
      </c>
      <c r="E176" s="211" t="str">
        <f>IFERROR(__xludf.DUMMYFUNCTION("""COMPUTED_VALUE"""),"5")</f>
        <v>5</v>
      </c>
      <c r="F176" s="211" t="str">
        <f>IFERROR(__xludf.DUMMYFUNCTION("""COMPUTED_VALUE"""),"1026750")</f>
        <v>1026750</v>
      </c>
      <c r="G176" s="211"/>
      <c r="H176" s="211"/>
      <c r="I176" s="211">
        <f>IFERROR(__xludf.DUMMYFUNCTION("""COMPUTED_VALUE"""),1026750.0)</f>
        <v>1026750</v>
      </c>
      <c r="J176" s="211" t="str">
        <f>IFERROR(__xludf.DUMMYFUNCTION("""COMPUTED_VALUE"""),"Ya")</f>
        <v>Ya</v>
      </c>
      <c r="L176" s="223" t="str">
        <f>IFERROR(__xludf.DUMMYFUNCTION("""COMPUTED_VALUE"""),"Jun 2025")</f>
        <v>Jun 2025</v>
      </c>
      <c r="M176" s="211" t="str">
        <f>IFERROR(__xludf.DUMMYFUNCTION("""COMPUTED_VALUE"""),"Bpk. Sulaiman")</f>
        <v>Bpk. Sulaiman</v>
      </c>
      <c r="N176" s="211" t="str">
        <f>IFERROR(__xludf.DUMMYFUNCTION("""COMPUTED_VALUE"""),"06251760")</f>
        <v>06251760</v>
      </c>
      <c r="O176" s="211" t="str">
        <f>IFERROR(__xludf.DUMMYFUNCTION("""COMPUTED_VALUE"""),"0/1")</f>
        <v>0/1</v>
      </c>
      <c r="P176" s="224">
        <f>IFERROR(__xludf.DUMMYFUNCTION("""COMPUTED_VALUE"""),55000.0)</f>
        <v>55000</v>
      </c>
      <c r="Q176" s="225" t="str">
        <f>IFERROR(__xludf.DUMMYFUNCTION("""COMPUTED_VALUE"""),"✅")</f>
        <v>✅</v>
      </c>
      <c r="R176" s="211" t="str">
        <f>IFERROR(__xludf.DUMMYFUNCTION("""COMPUTED_VALUE"""),"-")</f>
        <v>-</v>
      </c>
      <c r="S176" s="211"/>
      <c r="T176" s="211"/>
      <c r="U176" s="211"/>
    </row>
    <row r="177">
      <c r="A177" s="222" t="str">
        <f>IFERROR(__xludf.DUMMYFUNCTION("""COMPUTED_VALUE"""),"01250227")</f>
        <v>01250227</v>
      </c>
      <c r="B177" s="211" t="str">
        <f>IFERROR(__xludf.DUMMYFUNCTION("""COMPUTED_VALUE"""),"23 Jan 2025")</f>
        <v>23 Jan 2025</v>
      </c>
      <c r="C177" s="211" t="str">
        <f>IFERROR(__xludf.DUMMYFUNCTION("""COMPUTED_VALUE"""),"PT Dingsheng Metal Indonesia (Ngoro)")</f>
        <v>PT Dingsheng Metal Indonesia (Ngoro)</v>
      </c>
      <c r="D177" s="211" t="str">
        <f>IFERROR(__xludf.DUMMYFUNCTION("""COMPUTED_VALUE"""),"Oksigen 6m3")</f>
        <v>Oksigen 6m3</v>
      </c>
      <c r="E177" s="211" t="str">
        <f>IFERROR(__xludf.DUMMYFUNCTION("""COMPUTED_VALUE"""),"10")</f>
        <v>10</v>
      </c>
      <c r="F177" s="211" t="str">
        <f>IFERROR(__xludf.DUMMYFUNCTION("""COMPUTED_VALUE"""),"500000")</f>
        <v>500000</v>
      </c>
      <c r="G177" s="211"/>
      <c r="H177" s="211"/>
      <c r="I177" s="211">
        <f>IFERROR(__xludf.DUMMYFUNCTION("""COMPUTED_VALUE"""),500000.0)</f>
        <v>500000</v>
      </c>
      <c r="J177" s="211" t="str">
        <f>IFERROR(__xludf.DUMMYFUNCTION("""COMPUTED_VALUE"""),"Ya")</f>
        <v>Ya</v>
      </c>
      <c r="L177" s="223" t="str">
        <f>IFERROR(__xludf.DUMMYFUNCTION("""COMPUTED_VALUE"""),"Jun 2025")</f>
        <v>Jun 2025</v>
      </c>
      <c r="M177" s="211" t="str">
        <f>IFERROR(__xludf.DUMMYFUNCTION("""COMPUTED_VALUE"""),"Bengkel Las Bpk. Ari")</f>
        <v>Bengkel Las Bpk. Ari</v>
      </c>
      <c r="N177" s="211" t="str">
        <f>IFERROR(__xludf.DUMMYFUNCTION("""COMPUTED_VALUE"""),"06251770")</f>
        <v>06251770</v>
      </c>
      <c r="O177" s="211" t="str">
        <f>IFERROR(__xludf.DUMMYFUNCTION("""COMPUTED_VALUE"""),"0/3")</f>
        <v>0/3</v>
      </c>
      <c r="P177" s="224">
        <f>IFERROR(__xludf.DUMMYFUNCTION("""COMPUTED_VALUE"""),420000.0)</f>
        <v>420000</v>
      </c>
      <c r="Q177" s="225" t="str">
        <f>IFERROR(__xludf.DUMMYFUNCTION("""COMPUTED_VALUE"""),"✅")</f>
        <v>✅</v>
      </c>
      <c r="R177" s="211" t="str">
        <f>IFERROR(__xludf.DUMMYFUNCTION("""COMPUTED_VALUE"""),"-")</f>
        <v>-</v>
      </c>
      <c r="S177" s="211"/>
      <c r="T177" s="211"/>
      <c r="U177" s="211"/>
    </row>
    <row r="178">
      <c r="A178" s="222" t="str">
        <f>IFERROR(__xludf.DUMMYFUNCTION("""COMPUTED_VALUE"""),"01250228")</f>
        <v>01250228</v>
      </c>
      <c r="B178" s="211" t="str">
        <f>IFERROR(__xludf.DUMMYFUNCTION("""COMPUTED_VALUE"""),"24 Jan 2025")</f>
        <v>24 Jan 2025</v>
      </c>
      <c r="C178" s="211" t="str">
        <f>IFERROR(__xludf.DUMMYFUNCTION("""COMPUTED_VALUE"""),"Abah Mad")</f>
        <v>Abah Mad</v>
      </c>
      <c r="D178" s="211" t="str">
        <f>IFERROR(__xludf.DUMMYFUNCTION("""COMPUTED_VALUE"""),"Oksigen 6m3")</f>
        <v>Oksigen 6m3</v>
      </c>
      <c r="E178" s="211" t="str">
        <f>IFERROR(__xludf.DUMMYFUNCTION("""COMPUTED_VALUE"""),"10")</f>
        <v>10</v>
      </c>
      <c r="F178" s="211" t="str">
        <f>IFERROR(__xludf.DUMMYFUNCTION("""COMPUTED_VALUE"""),"500000")</f>
        <v>500000</v>
      </c>
      <c r="G178" s="211"/>
      <c r="H178" s="211"/>
      <c r="I178" s="211">
        <f>IFERROR(__xludf.DUMMYFUNCTION("""COMPUTED_VALUE"""),500000.0)</f>
        <v>500000</v>
      </c>
      <c r="J178" s="211" t="str">
        <f>IFERROR(__xludf.DUMMYFUNCTION("""COMPUTED_VALUE"""),"Ya")</f>
        <v>Ya</v>
      </c>
      <c r="L178" s="223" t="str">
        <f>IFERROR(__xludf.DUMMYFUNCTION("""COMPUTED_VALUE"""),"Jun 2025")</f>
        <v>Jun 2025</v>
      </c>
      <c r="M178" s="211" t="str">
        <f>IFERROR(__xludf.DUMMYFUNCTION("""COMPUTED_VALUE"""),"Devi Arianto")</f>
        <v>Devi Arianto</v>
      </c>
      <c r="N178" s="211" t="str">
        <f>IFERROR(__xludf.DUMMYFUNCTION("""COMPUTED_VALUE"""),"06251780")</f>
        <v>06251780</v>
      </c>
      <c r="O178" s="211" t="str">
        <f>IFERROR(__xludf.DUMMYFUNCTION("""COMPUTED_VALUE"""),"0/2")</f>
        <v>0/2</v>
      </c>
      <c r="P178" s="224">
        <f>IFERROR(__xludf.DUMMYFUNCTION("""COMPUTED_VALUE"""),160000.0)</f>
        <v>160000</v>
      </c>
      <c r="Q178" s="225" t="str">
        <f>IFERROR(__xludf.DUMMYFUNCTION("""COMPUTED_VALUE"""),"✅")</f>
        <v>✅</v>
      </c>
      <c r="R178" s="211" t="str">
        <f>IFERROR(__xludf.DUMMYFUNCTION("""COMPUTED_VALUE"""),"-")</f>
        <v>-</v>
      </c>
      <c r="S178" s="211"/>
      <c r="T178" s="211"/>
      <c r="U178" s="211"/>
    </row>
    <row r="179">
      <c r="A179" s="222" t="str">
        <f>IFERROR(__xludf.DUMMYFUNCTION("""COMPUTED_VALUE"""),"01250229")</f>
        <v>01250229</v>
      </c>
      <c r="B179" s="211" t="str">
        <f>IFERROR(__xludf.DUMMYFUNCTION("""COMPUTED_VALUE"""),"24 Jan 2025")</f>
        <v>24 Jan 2025</v>
      </c>
      <c r="C179" s="211" t="str">
        <f>IFERROR(__xludf.DUMMYFUNCTION("""COMPUTED_VALUE"""),"Bpk. Sukirno (Bejo)")</f>
        <v>Bpk. Sukirno (Bejo)</v>
      </c>
      <c r="D179" s="211" t="str">
        <f>IFERROR(__xludf.DUMMYFUNCTION("""COMPUTED_VALUE"""),"Oksigen 6m3")</f>
        <v>Oksigen 6m3</v>
      </c>
      <c r="E179" s="211" t="str">
        <f>IFERROR(__xludf.DUMMYFUNCTION("""COMPUTED_VALUE"""),"10")</f>
        <v>10</v>
      </c>
      <c r="F179" s="211" t="str">
        <f>IFERROR(__xludf.DUMMYFUNCTION("""COMPUTED_VALUE"""),"600000")</f>
        <v>600000</v>
      </c>
      <c r="G179" s="211"/>
      <c r="H179" s="211"/>
      <c r="I179" s="211">
        <f>IFERROR(__xludf.DUMMYFUNCTION("""COMPUTED_VALUE"""),600000.0)</f>
        <v>600000</v>
      </c>
      <c r="J179" s="211" t="str">
        <f>IFERROR(__xludf.DUMMYFUNCTION("""COMPUTED_VALUE"""),"Ya")</f>
        <v>Ya</v>
      </c>
      <c r="L179" s="223" t="str">
        <f>IFERROR(__xludf.DUMMYFUNCTION("""COMPUTED_VALUE"""),"Jun 2025")</f>
        <v>Jun 2025</v>
      </c>
      <c r="M179" s="211" t="str">
        <f>IFERROR(__xludf.DUMMYFUNCTION("""COMPUTED_VALUE"""),"Bpk. Kohir (Maintenance Velg)")</f>
        <v>Bpk. Kohir (Maintenance Velg)</v>
      </c>
      <c r="N179" s="211" t="str">
        <f>IFERROR(__xludf.DUMMYFUNCTION("""COMPUTED_VALUE"""),"06251790")</f>
        <v>06251790</v>
      </c>
      <c r="O179" s="211" t="str">
        <f>IFERROR(__xludf.DUMMYFUNCTION("""COMPUTED_VALUE"""),"2/5")</f>
        <v>2/5</v>
      </c>
      <c r="P179" s="224">
        <f>IFERROR(__xludf.DUMMYFUNCTION("""COMPUTED_VALUE"""),1760000.0)</f>
        <v>1760000</v>
      </c>
      <c r="Q179" s="225" t="str">
        <f>IFERROR(__xludf.DUMMYFUNCTION("""COMPUTED_VALUE"""),"✅")</f>
        <v>✅</v>
      </c>
      <c r="R179" s="211" t="str">
        <f>IFERROR(__xludf.DUMMYFUNCTION("""COMPUTED_VALUE"""),"-")</f>
        <v>-</v>
      </c>
      <c r="S179" s="211"/>
      <c r="T179" s="211"/>
      <c r="U179" s="211"/>
    </row>
    <row r="180">
      <c r="A180" s="222" t="str">
        <f>IFERROR(__xludf.DUMMYFUNCTION("""COMPUTED_VALUE"""),"01250230")</f>
        <v>01250230</v>
      </c>
      <c r="B180" s="211" t="str">
        <f>IFERROR(__xludf.DUMMYFUNCTION("""COMPUTED_VALUE"""),"25 Jan 2025")</f>
        <v>25 Jan 2025</v>
      </c>
      <c r="C180" s="211" t="str">
        <f>IFERROR(__xludf.DUMMYFUNCTION("""COMPUTED_VALUE"""),"PT Jatim Abadi Perkasa Steel")</f>
        <v>PT Jatim Abadi Perkasa Steel</v>
      </c>
      <c r="D180" s="211" t="str">
        <f>IFERROR(__xludf.DUMMYFUNCTION("""COMPUTED_VALUE"""),"LPG 50kg")</f>
        <v>LPG 50kg</v>
      </c>
      <c r="E180" s="211" t="str">
        <f>IFERROR(__xludf.DUMMYFUNCTION("""COMPUTED_VALUE"""),"4")</f>
        <v>4</v>
      </c>
      <c r="F180" s="211" t="str">
        <f>IFERROR(__xludf.DUMMYFUNCTION("""COMPUTED_VALUE"""),"4000000")</f>
        <v>4000000</v>
      </c>
      <c r="G180" s="211"/>
      <c r="H180" s="211"/>
      <c r="I180" s="211">
        <f>IFERROR(__xludf.DUMMYFUNCTION("""COMPUTED_VALUE"""),4000000.0)</f>
        <v>4000000</v>
      </c>
      <c r="J180" s="211" t="str">
        <f>IFERROR(__xludf.DUMMYFUNCTION("""COMPUTED_VALUE"""),"Ya")</f>
        <v>Ya</v>
      </c>
      <c r="L180" s="223" t="str">
        <f>IFERROR(__xludf.DUMMYFUNCTION("""COMPUTED_VALUE"""),"Jun 2025")</f>
        <v>Jun 2025</v>
      </c>
      <c r="M180" s="211" t="str">
        <f>IFERROR(__xludf.DUMMYFUNCTION("""COMPUTED_VALUE"""),"Bengkel Dian Jaya")</f>
        <v>Bengkel Dian Jaya</v>
      </c>
      <c r="N180" s="211" t="str">
        <f>IFERROR(__xludf.DUMMYFUNCTION("""COMPUTED_VALUE"""),"06251800")</f>
        <v>06251800</v>
      </c>
      <c r="O180" s="211" t="str">
        <f>IFERROR(__xludf.DUMMYFUNCTION("""COMPUTED_VALUE"""),"0/1")</f>
        <v>0/1</v>
      </c>
      <c r="P180" s="224">
        <f>IFERROR(__xludf.DUMMYFUNCTION("""COMPUTED_VALUE"""),500000.0)</f>
        <v>500000</v>
      </c>
      <c r="Q180" s="225" t="str">
        <f>IFERROR(__xludf.DUMMYFUNCTION("""COMPUTED_VALUE"""),"✅")</f>
        <v>✅</v>
      </c>
      <c r="R180" s="211" t="str">
        <f>IFERROR(__xludf.DUMMYFUNCTION("""COMPUTED_VALUE"""),"-")</f>
        <v>-</v>
      </c>
      <c r="S180" s="211"/>
      <c r="T180" s="211"/>
      <c r="U180" s="211"/>
    </row>
    <row r="181">
      <c r="A181" s="222" t="str">
        <f>IFERROR(__xludf.DUMMYFUNCTION("""COMPUTED_VALUE"""),"01250231")</f>
        <v>01250231</v>
      </c>
      <c r="B181" s="211" t="str">
        <f>IFERROR(__xludf.DUMMYFUNCTION("""COMPUTED_VALUE"""),"25 Jan 2025")</f>
        <v>25 Jan 2025</v>
      </c>
      <c r="C181" s="211" t="str">
        <f>IFERROR(__xludf.DUMMYFUNCTION("""COMPUTED_VALUE"""),"Bengkel Dian Jaya")</f>
        <v>Bengkel Dian Jaya</v>
      </c>
      <c r="D181" s="211" t="str">
        <f>IFERROR(__xludf.DUMMYFUNCTION("""COMPUTED_VALUE"""),"LPG 12kg")</f>
        <v>LPG 12kg</v>
      </c>
      <c r="E181" s="211" t="str">
        <f>IFERROR(__xludf.DUMMYFUNCTION("""COMPUTED_VALUE"""),"2")</f>
        <v>2</v>
      </c>
      <c r="F181" s="211" t="str">
        <f>IFERROR(__xludf.DUMMYFUNCTION("""COMPUTED_VALUE"""),"430000")</f>
        <v>430000</v>
      </c>
      <c r="G181" s="211"/>
      <c r="H181" s="211"/>
      <c r="I181" s="211">
        <f>IFERROR(__xludf.DUMMYFUNCTION("""COMPUTED_VALUE"""),430000.0)</f>
        <v>430000</v>
      </c>
      <c r="J181" s="211" t="str">
        <f>IFERROR(__xludf.DUMMYFUNCTION("""COMPUTED_VALUE"""),"Ya")</f>
        <v>Ya</v>
      </c>
      <c r="L181" s="223" t="str">
        <f>IFERROR(__xludf.DUMMYFUNCTION("""COMPUTED_VALUE"""),"Jun 2025")</f>
        <v>Jun 2025</v>
      </c>
      <c r="M181" s="211" t="str">
        <f>IFERROR(__xludf.DUMMYFUNCTION("""COMPUTED_VALUE"""),"Bpk. Sukirno (Bejo)")</f>
        <v>Bpk. Sukirno (Bejo)</v>
      </c>
      <c r="N181" s="211" t="str">
        <f>IFERROR(__xludf.DUMMYFUNCTION("""COMPUTED_VALUE"""),"06251810")</f>
        <v>06251810</v>
      </c>
      <c r="O181" s="211" t="str">
        <f>IFERROR(__xludf.DUMMYFUNCTION("""COMPUTED_VALUE"""),"0/2")</f>
        <v>0/2</v>
      </c>
      <c r="P181" s="224">
        <f>IFERROR(__xludf.DUMMYFUNCTION("""COMPUTED_VALUE"""),1200000.0)</f>
        <v>1200000</v>
      </c>
      <c r="Q181" s="225" t="str">
        <f>IFERROR(__xludf.DUMMYFUNCTION("""COMPUTED_VALUE"""),"✅")</f>
        <v>✅</v>
      </c>
      <c r="R181" s="211" t="str">
        <f>IFERROR(__xludf.DUMMYFUNCTION("""COMPUTED_VALUE"""),"-")</f>
        <v>-</v>
      </c>
      <c r="S181" s="211"/>
      <c r="T181" s="211"/>
      <c r="U181" s="211"/>
    </row>
    <row r="182">
      <c r="A182" s="222" t="str">
        <f>IFERROR(__xludf.DUMMYFUNCTION("""COMPUTED_VALUE"""),"01250232")</f>
        <v>01250232</v>
      </c>
      <c r="B182" s="211" t="str">
        <f>IFERROR(__xludf.DUMMYFUNCTION("""COMPUTED_VALUE"""),"25 Jan 2025")</f>
        <v>25 Jan 2025</v>
      </c>
      <c r="C182" s="211" t="str">
        <f>IFERROR(__xludf.DUMMYFUNCTION("""COMPUTED_VALUE"""),"Bpk. Sulaiman")</f>
        <v>Bpk. Sulaiman</v>
      </c>
      <c r="D182" s="211" t="str">
        <f>IFERROR(__xludf.DUMMYFUNCTION("""COMPUTED_VALUE"""),"Oksigen 6m3")</f>
        <v>Oksigen 6m3</v>
      </c>
      <c r="E182" s="211" t="str">
        <f>IFERROR(__xludf.DUMMYFUNCTION("""COMPUTED_VALUE"""),"5")</f>
        <v>5</v>
      </c>
      <c r="F182" s="211" t="str">
        <f>IFERROR(__xludf.DUMMYFUNCTION("""COMPUTED_VALUE"""),"275000")</f>
        <v>275000</v>
      </c>
      <c r="G182" s="211"/>
      <c r="H182" s="211"/>
      <c r="I182" s="211">
        <f>IFERROR(__xludf.DUMMYFUNCTION("""COMPUTED_VALUE"""),275000.0)</f>
        <v>275000</v>
      </c>
      <c r="J182" s="211" t="str">
        <f>IFERROR(__xludf.DUMMYFUNCTION("""COMPUTED_VALUE"""),"Ya")</f>
        <v>Ya</v>
      </c>
      <c r="L182" s="223" t="str">
        <f>IFERROR(__xludf.DUMMYFUNCTION("""COMPUTED_VALUE"""),"Jun 2025")</f>
        <v>Jun 2025</v>
      </c>
      <c r="M182" s="211" t="str">
        <f>IFERROR(__xludf.DUMMYFUNCTION("""COMPUTED_VALUE"""),"PT Hua Zong Mesindo")</f>
        <v>PT Hua Zong Mesindo</v>
      </c>
      <c r="N182" s="211" t="str">
        <f>IFERROR(__xludf.DUMMYFUNCTION("""COMPUTED_VALUE"""),"06251820")</f>
        <v>06251820</v>
      </c>
      <c r="O182" s="211" t="str">
        <f>IFERROR(__xludf.DUMMYFUNCTION("""COMPUTED_VALUE"""),"1/1")</f>
        <v>1/1</v>
      </c>
      <c r="P182" s="224">
        <f>IFERROR(__xludf.DUMMYFUNCTION("""COMPUTED_VALUE"""),1300000.0)</f>
        <v>1300000</v>
      </c>
      <c r="Q182" s="225" t="str">
        <f>IFERROR(__xludf.DUMMYFUNCTION("""COMPUTED_VALUE"""),"✅")</f>
        <v>✅</v>
      </c>
      <c r="R182" s="211" t="str">
        <f>IFERROR(__xludf.DUMMYFUNCTION("""COMPUTED_VALUE"""),"-")</f>
        <v>-</v>
      </c>
      <c r="S182" s="211"/>
      <c r="T182" s="211"/>
      <c r="U182" s="211"/>
    </row>
    <row r="183">
      <c r="A183" s="222" t="str">
        <f>IFERROR(__xludf.DUMMYFUNCTION("""COMPUTED_VALUE"""),"01250233")</f>
        <v>01250233</v>
      </c>
      <c r="B183" s="211" t="str">
        <f>IFERROR(__xludf.DUMMYFUNCTION("""COMPUTED_VALUE"""),"28 Jan 2025")</f>
        <v>28 Jan 2025</v>
      </c>
      <c r="C183" s="211" t="str">
        <f>IFERROR(__xludf.DUMMYFUNCTION("""COMPUTED_VALUE"""),"PT Jatim Abadi Perkasa Steel")</f>
        <v>PT Jatim Abadi Perkasa Steel</v>
      </c>
      <c r="D183" s="211" t="str">
        <f>IFERROR(__xludf.DUMMYFUNCTION("""COMPUTED_VALUE"""),"LPG 50kg")</f>
        <v>LPG 50kg</v>
      </c>
      <c r="E183" s="211" t="str">
        <f>IFERROR(__xludf.DUMMYFUNCTION("""COMPUTED_VALUE"""),"2")</f>
        <v>2</v>
      </c>
      <c r="F183" s="211" t="str">
        <f>IFERROR(__xludf.DUMMYFUNCTION("""COMPUTED_VALUE"""),"2000000")</f>
        <v>2000000</v>
      </c>
      <c r="G183" s="211"/>
      <c r="H183" s="211"/>
      <c r="I183" s="211">
        <f>IFERROR(__xludf.DUMMYFUNCTION("""COMPUTED_VALUE"""),2000000.0)</f>
        <v>2000000</v>
      </c>
      <c r="J183" s="211" t="str">
        <f>IFERROR(__xludf.DUMMYFUNCTION("""COMPUTED_VALUE"""),"Ya")</f>
        <v>Ya</v>
      </c>
      <c r="L183" s="223" t="str">
        <f>IFERROR(__xludf.DUMMYFUNCTION("""COMPUTED_VALUE"""),"Jun 2025")</f>
        <v>Jun 2025</v>
      </c>
      <c r="M183" s="211" t="str">
        <f>IFERROR(__xludf.DUMMYFUNCTION("""COMPUTED_VALUE"""),"GYF")</f>
        <v>GYF</v>
      </c>
      <c r="N183" s="211" t="str">
        <f>IFERROR(__xludf.DUMMYFUNCTION("""COMPUTED_VALUE"""),"06251830")</f>
        <v>06251830</v>
      </c>
      <c r="O183" s="211" t="str">
        <f>IFERROR(__xludf.DUMMYFUNCTION("""COMPUTED_VALUE"""),"0/2")</f>
        <v>0/2</v>
      </c>
      <c r="P183" s="224">
        <f>IFERROR(__xludf.DUMMYFUNCTION("""COMPUTED_VALUE"""),1350000.0)</f>
        <v>1350000</v>
      </c>
      <c r="Q183" s="225" t="str">
        <f>IFERROR(__xludf.DUMMYFUNCTION("""COMPUTED_VALUE"""),"✅")</f>
        <v>✅</v>
      </c>
      <c r="R183" s="211" t="str">
        <f>IFERROR(__xludf.DUMMYFUNCTION("""COMPUTED_VALUE"""),"-")</f>
        <v>-</v>
      </c>
      <c r="S183" s="211"/>
      <c r="T183" s="211"/>
      <c r="U183" s="211"/>
    </row>
    <row r="184">
      <c r="A184" s="222" t="str">
        <f>IFERROR(__xludf.DUMMYFUNCTION("""COMPUTED_VALUE"""),"01250234")</f>
        <v>01250234</v>
      </c>
      <c r="B184" s="211" t="str">
        <f>IFERROR(__xludf.DUMMYFUNCTION("""COMPUTED_VALUE"""),"28 Jan 2025")</f>
        <v>28 Jan 2025</v>
      </c>
      <c r="C184" s="211" t="str">
        <f>IFERROR(__xludf.DUMMYFUNCTION("""COMPUTED_VALUE"""),"GYF")</f>
        <v>GYF</v>
      </c>
      <c r="D184" s="211" t="str">
        <f>IFERROR(__xludf.DUMMYFUNCTION("""COMPUTED_VALUE"""),"Oksigen 6m3")</f>
        <v>Oksigen 6m3</v>
      </c>
      <c r="E184" s="211" t="str">
        <f>IFERROR(__xludf.DUMMYFUNCTION("""COMPUTED_VALUE"""),"10")</f>
        <v>10</v>
      </c>
      <c r="F184" s="211" t="str">
        <f>IFERROR(__xludf.DUMMYFUNCTION("""COMPUTED_VALUE"""),"450000")</f>
        <v>450000</v>
      </c>
      <c r="G184" s="211"/>
      <c r="H184" s="211"/>
      <c r="I184" s="211">
        <f>IFERROR(__xludf.DUMMYFUNCTION("""COMPUTED_VALUE"""),450000.0)</f>
        <v>450000</v>
      </c>
      <c r="J184" s="211" t="str">
        <f>IFERROR(__xludf.DUMMYFUNCTION("""COMPUTED_VALUE"""),"Ya")</f>
        <v>Ya</v>
      </c>
      <c r="L184" s="223" t="str">
        <f>IFERROR(__xludf.DUMMYFUNCTION("""COMPUTED_VALUE"""),"Jun 2025")</f>
        <v>Jun 2025</v>
      </c>
      <c r="M184" s="211" t="str">
        <f>IFERROR(__xludf.DUMMYFUNCTION("""COMPUTED_VALUE"""),"Bengkel Adi Putra")</f>
        <v>Bengkel Adi Putra</v>
      </c>
      <c r="N184" s="211" t="str">
        <f>IFERROR(__xludf.DUMMYFUNCTION("""COMPUTED_VALUE"""),"06251840")</f>
        <v>06251840</v>
      </c>
      <c r="O184" s="211" t="str">
        <f>IFERROR(__xludf.DUMMYFUNCTION("""COMPUTED_VALUE"""),"0/1")</f>
        <v>0/1</v>
      </c>
      <c r="P184" s="224">
        <f>IFERROR(__xludf.DUMMYFUNCTION("""COMPUTED_VALUE"""),70000.0)</f>
        <v>70000</v>
      </c>
      <c r="Q184" s="225" t="str">
        <f>IFERROR(__xludf.DUMMYFUNCTION("""COMPUTED_VALUE"""),"✅")</f>
        <v>✅</v>
      </c>
      <c r="R184" s="211" t="str">
        <f>IFERROR(__xludf.DUMMYFUNCTION("""COMPUTED_VALUE"""),"-")</f>
        <v>-</v>
      </c>
      <c r="S184" s="211"/>
      <c r="T184" s="211"/>
      <c r="U184" s="211"/>
    </row>
    <row r="185">
      <c r="A185" s="222" t="str">
        <f>IFERROR(__xludf.DUMMYFUNCTION("""COMPUTED_VALUE"""),"01250235")</f>
        <v>01250235</v>
      </c>
      <c r="B185" s="211" t="str">
        <f>IFERROR(__xludf.DUMMYFUNCTION("""COMPUTED_VALUE"""),"28 Jan 2025")</f>
        <v>28 Jan 2025</v>
      </c>
      <c r="C185" s="211" t="str">
        <f>IFERROR(__xludf.DUMMYFUNCTION("""COMPUTED_VALUE"""),"Bpk. Sukirno (Bejo)")</f>
        <v>Bpk. Sukirno (Bejo)</v>
      </c>
      <c r="D185" s="211" t="str">
        <f>IFERROR(__xludf.DUMMYFUNCTION("""COMPUTED_VALUE"""),"Oksigen 6m3")</f>
        <v>Oksigen 6m3</v>
      </c>
      <c r="E185" s="211" t="str">
        <f>IFERROR(__xludf.DUMMYFUNCTION("""COMPUTED_VALUE"""),"15")</f>
        <v>15</v>
      </c>
      <c r="F185" s="211" t="str">
        <f>IFERROR(__xludf.DUMMYFUNCTION("""COMPUTED_VALUE"""),"900000")</f>
        <v>900000</v>
      </c>
      <c r="G185" s="211"/>
      <c r="H185" s="211"/>
      <c r="I185" s="211">
        <f>IFERROR(__xludf.DUMMYFUNCTION("""COMPUTED_VALUE"""),900000.0)</f>
        <v>900000</v>
      </c>
      <c r="J185" s="211" t="str">
        <f>IFERROR(__xludf.DUMMYFUNCTION("""COMPUTED_VALUE"""),"Ya")</f>
        <v>Ya</v>
      </c>
      <c r="L185" s="223" t="str">
        <f>IFERROR(__xludf.DUMMYFUNCTION("""COMPUTED_VALUE"""),"Jun 2025")</f>
        <v>Jun 2025</v>
      </c>
      <c r="M185" s="211" t="str">
        <f>IFERROR(__xludf.DUMMYFUNCTION("""COMPUTED_VALUE"""),"Bpk. Alvin (LB Group)")</f>
        <v>Bpk. Alvin (LB Group)</v>
      </c>
      <c r="N185" s="211" t="str">
        <f>IFERROR(__xludf.DUMMYFUNCTION("""COMPUTED_VALUE"""),"06251850")</f>
        <v>06251850</v>
      </c>
      <c r="O185" s="211" t="str">
        <f>IFERROR(__xludf.DUMMYFUNCTION("""COMPUTED_VALUE"""),"0/2")</f>
        <v>0/2</v>
      </c>
      <c r="P185" s="224">
        <f>IFERROR(__xludf.DUMMYFUNCTION("""COMPUTED_VALUE"""),655000.0)</f>
        <v>655000</v>
      </c>
      <c r="Q185" s="225" t="str">
        <f>IFERROR(__xludf.DUMMYFUNCTION("""COMPUTED_VALUE"""),"✅")</f>
        <v>✅</v>
      </c>
      <c r="R185" s="211" t="str">
        <f>IFERROR(__xludf.DUMMYFUNCTION("""COMPUTED_VALUE"""),"-")</f>
        <v>-</v>
      </c>
      <c r="S185" s="211"/>
      <c r="T185" s="211"/>
      <c r="U185" s="211"/>
    </row>
    <row r="186">
      <c r="A186" s="222" t="str">
        <f>IFERROR(__xludf.DUMMYFUNCTION("""COMPUTED_VALUE"""),"01250236")</f>
        <v>01250236</v>
      </c>
      <c r="B186" s="211" t="str">
        <f>IFERROR(__xludf.DUMMYFUNCTION("""COMPUTED_VALUE"""),"30 Jan 2025")</f>
        <v>30 Jan 2025</v>
      </c>
      <c r="C186" s="211" t="str">
        <f>IFERROR(__xludf.DUMMYFUNCTION("""COMPUTED_VALUE"""),"H. Suheiri")</f>
        <v>H. Suheiri</v>
      </c>
      <c r="D186" s="211" t="str">
        <f>IFERROR(__xludf.DUMMYFUNCTION("""COMPUTED_VALUE"""),"Oksigen 6m3")</f>
        <v>Oksigen 6m3</v>
      </c>
      <c r="E186" s="211" t="str">
        <f>IFERROR(__xludf.DUMMYFUNCTION("""COMPUTED_VALUE"""),"10")</f>
        <v>10</v>
      </c>
      <c r="F186" s="211" t="str">
        <f>IFERROR(__xludf.DUMMYFUNCTION("""COMPUTED_VALUE"""),"500000")</f>
        <v>500000</v>
      </c>
      <c r="G186" s="211"/>
      <c r="H186" s="211"/>
      <c r="I186" s="211">
        <f>IFERROR(__xludf.DUMMYFUNCTION("""COMPUTED_VALUE"""),500000.0)</f>
        <v>500000</v>
      </c>
      <c r="J186" s="211" t="str">
        <f>IFERROR(__xludf.DUMMYFUNCTION("""COMPUTED_VALUE"""),"Ya")</f>
        <v>Ya</v>
      </c>
      <c r="L186" s="223" t="str">
        <f>IFERROR(__xludf.DUMMYFUNCTION("""COMPUTED_VALUE"""),"Jun 2025")</f>
        <v>Jun 2025</v>
      </c>
      <c r="M186" s="211" t="str">
        <f>IFERROR(__xludf.DUMMYFUNCTION("""COMPUTED_VALUE"""),"Bpk. Abdul")</f>
        <v>Bpk. Abdul</v>
      </c>
      <c r="N186" s="211" t="str">
        <f>IFERROR(__xludf.DUMMYFUNCTION("""COMPUTED_VALUE"""),"06251860")</f>
        <v>06251860</v>
      </c>
      <c r="O186" s="211" t="str">
        <f>IFERROR(__xludf.DUMMYFUNCTION("""COMPUTED_VALUE"""),"0/1")</f>
        <v>0/1</v>
      </c>
      <c r="P186" s="224">
        <f>IFERROR(__xludf.DUMMYFUNCTION("""COMPUTED_VALUE"""),80000.0)</f>
        <v>80000</v>
      </c>
      <c r="Q186" s="225" t="str">
        <f>IFERROR(__xludf.DUMMYFUNCTION("""COMPUTED_VALUE"""),"✅")</f>
        <v>✅</v>
      </c>
      <c r="R186" s="211" t="str">
        <f>IFERROR(__xludf.DUMMYFUNCTION("""COMPUTED_VALUE"""),"-")</f>
        <v>-</v>
      </c>
      <c r="S186" s="211"/>
      <c r="T186" s="211"/>
      <c r="U186" s="211"/>
    </row>
    <row r="187">
      <c r="A187" s="222" t="str">
        <f>IFERROR(__xludf.DUMMYFUNCTION("""COMPUTED_VALUE"""),"01250237")</f>
        <v>01250237</v>
      </c>
      <c r="B187" s="211" t="str">
        <f>IFERROR(__xludf.DUMMYFUNCTION("""COMPUTED_VALUE"""),"30 Jan 2025")</f>
        <v>30 Jan 2025</v>
      </c>
      <c r="C187" s="211" t="str">
        <f>IFERROR(__xludf.DUMMYFUNCTION("""COMPUTED_VALUE"""),"PT GEMILANG CIPTA WAWASAN")</f>
        <v>PT GEMILANG CIPTA WAWASAN</v>
      </c>
      <c r="D187" s="211" t="str">
        <f>IFERROR(__xludf.DUMMYFUNCTION("""COMPUTED_VALUE"""),"LPG 12kg")</f>
        <v>LPG 12kg</v>
      </c>
      <c r="E187" s="211" t="str">
        <f>IFERROR(__xludf.DUMMYFUNCTION("""COMPUTED_VALUE"""),"7")</f>
        <v>7</v>
      </c>
      <c r="F187" s="211" t="str">
        <f>IFERROR(__xludf.DUMMYFUNCTION("""COMPUTED_VALUE"""),"1631700")</f>
        <v>1631700</v>
      </c>
      <c r="G187" s="211"/>
      <c r="H187" s="211"/>
      <c r="I187" s="211">
        <f>IFERROR(__xludf.DUMMYFUNCTION("""COMPUTED_VALUE"""),1631700.0)</f>
        <v>1631700</v>
      </c>
      <c r="J187" s="211" t="str">
        <f>IFERROR(__xludf.DUMMYFUNCTION("""COMPUTED_VALUE"""),"Ya")</f>
        <v>Ya</v>
      </c>
      <c r="L187" s="223" t="str">
        <f>IFERROR(__xludf.DUMMYFUNCTION("""COMPUTED_VALUE"""),"Jun 2025")</f>
        <v>Jun 2025</v>
      </c>
      <c r="M187" s="211" t="str">
        <f>IFERROR(__xludf.DUMMYFUNCTION("""COMPUTED_VALUE"""),"PT Amtech")</f>
        <v>PT Amtech</v>
      </c>
      <c r="N187" s="211" t="str">
        <f>IFERROR(__xludf.DUMMYFUNCTION("""COMPUTED_VALUE"""),"06251873")</f>
        <v>06251873</v>
      </c>
      <c r="O187" s="211" t="str">
        <f>IFERROR(__xludf.DUMMYFUNCTION("""COMPUTED_VALUE"""),"0/3")</f>
        <v>0/3</v>
      </c>
      <c r="P187" s="224">
        <f>IFERROR(__xludf.DUMMYFUNCTION("""COMPUTED_VALUE"""),7031850.0)</f>
        <v>7031850</v>
      </c>
      <c r="Q187" s="225">
        <f>IFERROR(__xludf.DUMMYFUNCTION("""COMPUTED_VALUE"""),7031850.0)</f>
        <v>7031850</v>
      </c>
      <c r="R187" s="211" t="str">
        <f>IFERROR(__xludf.DUMMYFUNCTION("""COMPUTED_VALUE"""),"06250516 06250522 06250543")</f>
        <v>06250516 06250522 06250543</v>
      </c>
      <c r="S187" s="211"/>
      <c r="T187" s="211"/>
      <c r="U187" s="211"/>
    </row>
    <row r="188">
      <c r="A188" s="222" t="str">
        <f>IFERROR(__xludf.DUMMYFUNCTION("""COMPUTED_VALUE"""),"02250238")</f>
        <v>02250238</v>
      </c>
      <c r="B188" s="211" t="str">
        <f>IFERROR(__xludf.DUMMYFUNCTION("""COMPUTED_VALUE"""),"01 Feb 2025")</f>
        <v>01 Feb 2025</v>
      </c>
      <c r="C188" s="211" t="str">
        <f>IFERROR(__xludf.DUMMYFUNCTION("""COMPUTED_VALUE"""),"Bpk. Sukirno (Bejo)")</f>
        <v>Bpk. Sukirno (Bejo)</v>
      </c>
      <c r="D188" s="211" t="str">
        <f>IFERROR(__xludf.DUMMYFUNCTION("""COMPUTED_VALUE"""),"Oksigen 6m3")</f>
        <v>Oksigen 6m3</v>
      </c>
      <c r="E188" s="211" t="str">
        <f>IFERROR(__xludf.DUMMYFUNCTION("""COMPUTED_VALUE"""),"17")</f>
        <v>17</v>
      </c>
      <c r="F188" s="211" t="str">
        <f>IFERROR(__xludf.DUMMYFUNCTION("""COMPUTED_VALUE"""),"1020000")</f>
        <v>1020000</v>
      </c>
      <c r="G188" s="211"/>
      <c r="H188" s="211"/>
      <c r="I188" s="211">
        <f>IFERROR(__xludf.DUMMYFUNCTION("""COMPUTED_VALUE"""),1020000.0)</f>
        <v>1020000</v>
      </c>
      <c r="J188" s="211" t="str">
        <f>IFERROR(__xludf.DUMMYFUNCTION("""COMPUTED_VALUE"""),"Ya")</f>
        <v>Ya</v>
      </c>
      <c r="L188" s="223" t="str">
        <f>IFERROR(__xludf.DUMMYFUNCTION("""COMPUTED_VALUE"""),"Jun 2025")</f>
        <v>Jun 2025</v>
      </c>
      <c r="M188" s="211" t="str">
        <f>IFERROR(__xludf.DUMMYFUNCTION("""COMPUTED_VALUE"""),"PT Harapan Sentosa")</f>
        <v>PT Harapan Sentosa</v>
      </c>
      <c r="N188" s="211" t="str">
        <f>IFERROR(__xludf.DUMMYFUNCTION("""COMPUTED_VALUE"""),"06251882")</f>
        <v>06251882</v>
      </c>
      <c r="O188" s="211" t="str">
        <f>IFERROR(__xludf.DUMMYFUNCTION("""COMPUTED_VALUE"""),"0/2")</f>
        <v>0/2</v>
      </c>
      <c r="P188" s="224">
        <f>IFERROR(__xludf.DUMMYFUNCTION("""COMPUTED_VALUE"""),2450000.0)</f>
        <v>2450000</v>
      </c>
      <c r="Q188" s="225">
        <f>IFERROR(__xludf.DUMMYFUNCTION("""COMPUTED_VALUE"""),2450000.0)</f>
        <v>2450000</v>
      </c>
      <c r="R188" s="211" t="str">
        <f>IFERROR(__xludf.DUMMYFUNCTION("""COMPUTED_VALUE"""),"06250520 06250549")</f>
        <v>06250520 06250549</v>
      </c>
      <c r="S188" s="211"/>
      <c r="T188" s="211"/>
      <c r="U188" s="211"/>
    </row>
    <row r="189">
      <c r="A189" s="222" t="str">
        <f>IFERROR(__xludf.DUMMYFUNCTION("""COMPUTED_VALUE"""),"02250239")</f>
        <v>02250239</v>
      </c>
      <c r="B189" s="211" t="str">
        <f>IFERROR(__xludf.DUMMYFUNCTION("""COMPUTED_VALUE"""),"04 Feb 2025")</f>
        <v>04 Feb 2025</v>
      </c>
      <c r="C189" s="211" t="str">
        <f>IFERROR(__xludf.DUMMYFUNCTION("""COMPUTED_VALUE"""),"Bpk. Joko (Gresik)")</f>
        <v>Bpk. Joko (Gresik)</v>
      </c>
      <c r="D189" s="211" t="str">
        <f>IFERROR(__xludf.DUMMYFUNCTION("""COMPUTED_VALUE"""),"Oksigen 6m3 MR")</f>
        <v>Oksigen 6m3 MR</v>
      </c>
      <c r="E189" s="211" t="str">
        <f>IFERROR(__xludf.DUMMYFUNCTION("""COMPUTED_VALUE"""),"16")</f>
        <v>16</v>
      </c>
      <c r="F189" s="211" t="str">
        <f>IFERROR(__xludf.DUMMYFUNCTION("""COMPUTED_VALUE"""),"880000")</f>
        <v>880000</v>
      </c>
      <c r="G189" s="211"/>
      <c r="H189" s="211"/>
      <c r="I189" s="211">
        <f>IFERROR(__xludf.DUMMYFUNCTION("""COMPUTED_VALUE"""),880000.0)</f>
        <v>880000</v>
      </c>
      <c r="J189" s="211" t="str">
        <f>IFERROR(__xludf.DUMMYFUNCTION("""COMPUTED_VALUE"""),"Ya")</f>
        <v>Ya</v>
      </c>
      <c r="L189" s="223" t="str">
        <f>IFERROR(__xludf.DUMMYFUNCTION("""COMPUTED_VALUE"""),"Jun 2025")</f>
        <v>Jun 2025</v>
      </c>
      <c r="M189" s="211" t="str">
        <f>IFERROR(__xludf.DUMMYFUNCTION("""COMPUTED_VALUE"""),"Bpk. Ibnu")</f>
        <v>Bpk. Ibnu</v>
      </c>
      <c r="N189" s="211" t="str">
        <f>IFERROR(__xludf.DUMMYFUNCTION("""COMPUTED_VALUE"""),"06251890")</f>
        <v>06251890</v>
      </c>
      <c r="O189" s="211" t="str">
        <f>IFERROR(__xludf.DUMMYFUNCTION("""COMPUTED_VALUE"""),"0/1")</f>
        <v>0/1</v>
      </c>
      <c r="P189" s="224">
        <f>IFERROR(__xludf.DUMMYFUNCTION("""COMPUTED_VALUE"""),150000.0)</f>
        <v>150000</v>
      </c>
      <c r="Q189" s="225" t="str">
        <f>IFERROR(__xludf.DUMMYFUNCTION("""COMPUTED_VALUE"""),"✅")</f>
        <v>✅</v>
      </c>
      <c r="R189" s="211" t="str">
        <f>IFERROR(__xludf.DUMMYFUNCTION("""COMPUTED_VALUE"""),"-")</f>
        <v>-</v>
      </c>
      <c r="S189" s="211"/>
      <c r="T189" s="211"/>
      <c r="U189" s="211"/>
    </row>
    <row r="190">
      <c r="A190" s="222" t="str">
        <f>IFERROR(__xludf.DUMMYFUNCTION("""COMPUTED_VALUE"""),"02250240")</f>
        <v>02250240</v>
      </c>
      <c r="B190" s="211" t="str">
        <f>IFERROR(__xludf.DUMMYFUNCTION("""COMPUTED_VALUE"""),"04 Feb 2025")</f>
        <v>04 Feb 2025</v>
      </c>
      <c r="C190" s="211" t="str">
        <f>IFERROR(__xludf.DUMMYFUNCTION("""COMPUTED_VALUE"""),"PT Jatim Abadi Perkasa Steel")</f>
        <v>PT Jatim Abadi Perkasa Steel</v>
      </c>
      <c r="D190" s="211" t="str">
        <f>IFERROR(__xludf.DUMMYFUNCTION("""COMPUTED_VALUE"""),"LPG 50kg")</f>
        <v>LPG 50kg</v>
      </c>
      <c r="E190" s="211" t="str">
        <f>IFERROR(__xludf.DUMMYFUNCTION("""COMPUTED_VALUE"""),"4")</f>
        <v>4</v>
      </c>
      <c r="F190" s="211" t="str">
        <f>IFERROR(__xludf.DUMMYFUNCTION("""COMPUTED_VALUE"""),"4000000")</f>
        <v>4000000</v>
      </c>
      <c r="G190" s="211"/>
      <c r="H190" s="211"/>
      <c r="I190" s="211">
        <f>IFERROR(__xludf.DUMMYFUNCTION("""COMPUTED_VALUE"""),4000000.0)</f>
        <v>4000000</v>
      </c>
      <c r="J190" s="211" t="str">
        <f>IFERROR(__xludf.DUMMYFUNCTION("""COMPUTED_VALUE"""),"Ya")</f>
        <v>Ya</v>
      </c>
      <c r="L190" s="223" t="str">
        <f>IFERROR(__xludf.DUMMYFUNCTION("""COMPUTED_VALUE"""),"Jun 2025")</f>
        <v>Jun 2025</v>
      </c>
      <c r="M190" s="211" t="str">
        <f>IFERROR(__xludf.DUMMYFUNCTION("""COMPUTED_VALUE"""),"Bpk. Agus")</f>
        <v>Bpk. Agus</v>
      </c>
      <c r="N190" s="211" t="str">
        <f>IFERROR(__xludf.DUMMYFUNCTION("""COMPUTED_VALUE"""),"06251900")</f>
        <v>06251900</v>
      </c>
      <c r="O190" s="211" t="str">
        <f>IFERROR(__xludf.DUMMYFUNCTION("""COMPUTED_VALUE"""),"0/2")</f>
        <v>0/2</v>
      </c>
      <c r="P190" s="224">
        <f>IFERROR(__xludf.DUMMYFUNCTION("""COMPUTED_VALUE"""),810000.0)</f>
        <v>810000</v>
      </c>
      <c r="Q190" s="225" t="str">
        <f>IFERROR(__xludf.DUMMYFUNCTION("""COMPUTED_VALUE"""),"✅")</f>
        <v>✅</v>
      </c>
      <c r="R190" s="211" t="str">
        <f>IFERROR(__xludf.DUMMYFUNCTION("""COMPUTED_VALUE"""),"-")</f>
        <v>-</v>
      </c>
      <c r="S190" s="211"/>
      <c r="T190" s="211"/>
      <c r="U190" s="211"/>
    </row>
    <row r="191">
      <c r="A191" s="222" t="str">
        <f>IFERROR(__xludf.DUMMYFUNCTION("""COMPUTED_VALUE"""),"02250241")</f>
        <v>02250241</v>
      </c>
      <c r="B191" s="211" t="str">
        <f>IFERROR(__xludf.DUMMYFUNCTION("""COMPUTED_VALUE"""),"04 Feb 2025")</f>
        <v>04 Feb 2025</v>
      </c>
      <c r="C191" s="211" t="str">
        <f>IFERROR(__xludf.DUMMYFUNCTION("""COMPUTED_VALUE"""),"PT ARYANA CAKASANA")</f>
        <v>PT ARYANA CAKASANA</v>
      </c>
      <c r="D191" s="211" t="str">
        <f>IFERROR(__xludf.DUMMYFUNCTION("""COMPUTED_VALUE"""),"Oksigen 6m3")</f>
        <v>Oksigen 6m3</v>
      </c>
      <c r="E191" s="211" t="str">
        <f>IFERROR(__xludf.DUMMYFUNCTION("""COMPUTED_VALUE"""),"5")</f>
        <v>5</v>
      </c>
      <c r="F191" s="211" t="str">
        <f>IFERROR(__xludf.DUMMYFUNCTION("""COMPUTED_VALUE"""),"262500")</f>
        <v>262500</v>
      </c>
      <c r="G191" s="211"/>
      <c r="H191" s="211"/>
      <c r="I191" s="211">
        <f>IFERROR(__xludf.DUMMYFUNCTION("""COMPUTED_VALUE"""),262500.0)</f>
        <v>262500</v>
      </c>
      <c r="J191" s="211" t="str">
        <f>IFERROR(__xludf.DUMMYFUNCTION("""COMPUTED_VALUE"""),"Penagihan")</f>
        <v>Penagihan</v>
      </c>
      <c r="L191" s="223" t="str">
        <f>IFERROR(__xludf.DUMMYFUNCTION("""COMPUTED_VALUE"""),"Jun 2025")</f>
        <v>Jun 2025</v>
      </c>
      <c r="M191" s="211" t="str">
        <f>IFERROR(__xludf.DUMMYFUNCTION("""COMPUTED_VALUE"""),"Bpk. Samsul (Jetis)")</f>
        <v>Bpk. Samsul (Jetis)</v>
      </c>
      <c r="N191" s="211" t="str">
        <f>IFERROR(__xludf.DUMMYFUNCTION("""COMPUTED_VALUE"""),"06251910")</f>
        <v>06251910</v>
      </c>
      <c r="O191" s="211" t="str">
        <f>IFERROR(__xludf.DUMMYFUNCTION("""COMPUTED_VALUE"""),"0/1")</f>
        <v>0/1</v>
      </c>
      <c r="P191" s="224">
        <f>IFERROR(__xludf.DUMMYFUNCTION("""COMPUTED_VALUE"""),225000.0)</f>
        <v>225000</v>
      </c>
      <c r="Q191" s="225" t="str">
        <f>IFERROR(__xludf.DUMMYFUNCTION("""COMPUTED_VALUE"""),"✅")</f>
        <v>✅</v>
      </c>
      <c r="R191" s="211" t="str">
        <f>IFERROR(__xludf.DUMMYFUNCTION("""COMPUTED_VALUE"""),"-")</f>
        <v>-</v>
      </c>
      <c r="S191" s="211"/>
      <c r="T191" s="211"/>
      <c r="U191" s="211"/>
    </row>
    <row r="192">
      <c r="A192" s="222" t="str">
        <f>IFERROR(__xludf.DUMMYFUNCTION("""COMPUTED_VALUE"""),"02250242")</f>
        <v>02250242</v>
      </c>
      <c r="B192" s="211" t="str">
        <f>IFERROR(__xludf.DUMMYFUNCTION("""COMPUTED_VALUE"""),"04 Feb 2025")</f>
        <v>04 Feb 2025</v>
      </c>
      <c r="C192" s="211" t="str">
        <f>IFERROR(__xludf.DUMMYFUNCTION("""COMPUTED_VALUE"""),"CV Sido Mukti Karya")</f>
        <v>CV Sido Mukti Karya</v>
      </c>
      <c r="D192" s="211" t="str">
        <f>IFERROR(__xludf.DUMMYFUNCTION("""COMPUTED_VALUE"""),"Oksigen 6m3")</f>
        <v>Oksigen 6m3</v>
      </c>
      <c r="E192" s="211" t="str">
        <f>IFERROR(__xludf.DUMMYFUNCTION("""COMPUTED_VALUE"""),"10")</f>
        <v>10</v>
      </c>
      <c r="F192" s="211" t="str">
        <f>IFERROR(__xludf.DUMMYFUNCTION("""COMPUTED_VALUE"""),"600000")</f>
        <v>600000</v>
      </c>
      <c r="G192" s="211"/>
      <c r="H192" s="211"/>
      <c r="I192" s="211">
        <f>IFERROR(__xludf.DUMMYFUNCTION("""COMPUTED_VALUE"""),600000.0)</f>
        <v>600000</v>
      </c>
      <c r="J192" s="211" t="str">
        <f>IFERROR(__xludf.DUMMYFUNCTION("""COMPUTED_VALUE"""),"Ya")</f>
        <v>Ya</v>
      </c>
      <c r="L192" s="223" t="str">
        <f>IFERROR(__xludf.DUMMYFUNCTION("""COMPUTED_VALUE"""),"Jul 2025")</f>
        <v>Jul 2025</v>
      </c>
      <c r="M192" s="211" t="str">
        <f>IFERROR(__xludf.DUMMYFUNCTION("""COMPUTED_VALUE"""),"Bpk. Agus")</f>
        <v>Bpk. Agus</v>
      </c>
      <c r="N192" s="211" t="str">
        <f>IFERROR(__xludf.DUMMYFUNCTION("""COMPUTED_VALUE"""),"07251920")</f>
        <v>07251920</v>
      </c>
      <c r="O192" s="211" t="str">
        <f>IFERROR(__xludf.DUMMYFUNCTION("""COMPUTED_VALUE"""),"0/1")</f>
        <v>0/1</v>
      </c>
      <c r="P192" s="224">
        <f>IFERROR(__xludf.DUMMYFUNCTION("""COMPUTED_VALUE"""),300000.0)</f>
        <v>300000</v>
      </c>
      <c r="Q192" s="225" t="str">
        <f>IFERROR(__xludf.DUMMYFUNCTION("""COMPUTED_VALUE"""),"✅")</f>
        <v>✅</v>
      </c>
      <c r="R192" s="211" t="str">
        <f>IFERROR(__xludf.DUMMYFUNCTION("""COMPUTED_VALUE"""),"-")</f>
        <v>-</v>
      </c>
      <c r="S192" s="211"/>
      <c r="T192" s="211"/>
      <c r="U192" s="211"/>
    </row>
    <row r="193">
      <c r="A193" s="222" t="str">
        <f>IFERROR(__xludf.DUMMYFUNCTION("""COMPUTED_VALUE"""),"02250243")</f>
        <v>02250243</v>
      </c>
      <c r="B193" s="211" t="str">
        <f>IFERROR(__xludf.DUMMYFUNCTION("""COMPUTED_VALUE"""),"05 Feb 2025")</f>
        <v>05 Feb 2025</v>
      </c>
      <c r="C193" s="211" t="str">
        <f>IFERROR(__xludf.DUMMYFUNCTION("""COMPUTED_VALUE"""),"PT Hua Zong Mesindo")</f>
        <v>PT Hua Zong Mesindo</v>
      </c>
      <c r="D193" s="211" t="str">
        <f>IFERROR(__xludf.DUMMYFUNCTION("""COMPUTED_VALUE"""),"Oksigen 6m3
Argon 6m3")</f>
        <v>Oksigen 6m3
Argon 6m3</v>
      </c>
      <c r="E193" s="211" t="str">
        <f>IFERROR(__xludf.DUMMYFUNCTION("""COMPUTED_VALUE"""),"3
3")</f>
        <v>3
3</v>
      </c>
      <c r="F193" s="211" t="str">
        <f>IFERROR(__xludf.DUMMYFUNCTION("""COMPUTED_VALUE"""),"180000
570000")</f>
        <v>180000
570000</v>
      </c>
      <c r="G193" s="211"/>
      <c r="H193" s="211"/>
      <c r="I193" s="211">
        <f>IFERROR(__xludf.DUMMYFUNCTION("""COMPUTED_VALUE"""),750000.0)</f>
        <v>750000</v>
      </c>
      <c r="J193" s="211" t="str">
        <f>IFERROR(__xludf.DUMMYFUNCTION("""COMPUTED_VALUE"""),"Ya")</f>
        <v>Ya</v>
      </c>
      <c r="L193" s="223" t="str">
        <f>IFERROR(__xludf.DUMMYFUNCTION("""COMPUTED_VALUE"""),"Jul 2025")</f>
        <v>Jul 2025</v>
      </c>
      <c r="M193" s="211" t="str">
        <f>IFERROR(__xludf.DUMMYFUNCTION("""COMPUTED_VALUE"""),"Bpk. Irul")</f>
        <v>Bpk. Irul</v>
      </c>
      <c r="N193" s="211" t="str">
        <f>IFERROR(__xludf.DUMMYFUNCTION("""COMPUTED_VALUE"""),"07251930")</f>
        <v>07251930</v>
      </c>
      <c r="O193" s="211" t="str">
        <f>IFERROR(__xludf.DUMMYFUNCTION("""COMPUTED_VALUE"""),"0/4")</f>
        <v>0/4</v>
      </c>
      <c r="P193" s="224">
        <f>IFERROR(__xludf.DUMMYFUNCTION("""COMPUTED_VALUE"""),540000.0)</f>
        <v>540000</v>
      </c>
      <c r="Q193" s="225" t="str">
        <f>IFERROR(__xludf.DUMMYFUNCTION("""COMPUTED_VALUE"""),"✅")</f>
        <v>✅</v>
      </c>
      <c r="R193" s="211" t="str">
        <f>IFERROR(__xludf.DUMMYFUNCTION("""COMPUTED_VALUE"""),"-")</f>
        <v>-</v>
      </c>
      <c r="S193" s="211"/>
      <c r="T193" s="211"/>
      <c r="U193" s="211"/>
    </row>
    <row r="194">
      <c r="A194" s="222" t="str">
        <f>IFERROR(__xludf.DUMMYFUNCTION("""COMPUTED_VALUE"""),"02250245")</f>
        <v>02250245</v>
      </c>
      <c r="B194" s="211" t="str">
        <f>IFERROR(__xludf.DUMMYFUNCTION("""COMPUTED_VALUE"""),"05 Feb 2025")</f>
        <v>05 Feb 2025</v>
      </c>
      <c r="C194" s="211" t="str">
        <f>IFERROR(__xludf.DUMMYFUNCTION("""COMPUTED_VALUE"""),"Bpk. Sukirno (Bejo)")</f>
        <v>Bpk. Sukirno (Bejo)</v>
      </c>
      <c r="D194" s="211" t="str">
        <f>IFERROR(__xludf.DUMMYFUNCTION("""COMPUTED_VALUE"""),"Oksigen 6m3")</f>
        <v>Oksigen 6m3</v>
      </c>
      <c r="E194" s="211" t="str">
        <f>IFERROR(__xludf.DUMMYFUNCTION("""COMPUTED_VALUE"""),"20")</f>
        <v>20</v>
      </c>
      <c r="F194" s="211" t="str">
        <f>IFERROR(__xludf.DUMMYFUNCTION("""COMPUTED_VALUE"""),"1200000")</f>
        <v>1200000</v>
      </c>
      <c r="G194" s="211"/>
      <c r="H194" s="211"/>
      <c r="I194" s="211">
        <f>IFERROR(__xludf.DUMMYFUNCTION("""COMPUTED_VALUE"""),1200000.0)</f>
        <v>1200000</v>
      </c>
      <c r="J194" s="211" t="str">
        <f>IFERROR(__xludf.DUMMYFUNCTION("""COMPUTED_VALUE"""),"Ya")</f>
        <v>Ya</v>
      </c>
      <c r="L194" s="223" t="str">
        <f>IFERROR(__xludf.DUMMYFUNCTION("""COMPUTED_VALUE"""),"Jul 2025")</f>
        <v>Jul 2025</v>
      </c>
      <c r="M194" s="211" t="str">
        <f>IFERROR(__xludf.DUMMYFUNCTION("""COMPUTED_VALUE"""),"GYF")</f>
        <v>GYF</v>
      </c>
      <c r="N194" s="211" t="str">
        <f>IFERROR(__xludf.DUMMYFUNCTION("""COMPUTED_VALUE"""),"07251940")</f>
        <v>07251940</v>
      </c>
      <c r="O194" s="211" t="str">
        <f>IFERROR(__xludf.DUMMYFUNCTION("""COMPUTED_VALUE"""),"0/4")</f>
        <v>0/4</v>
      </c>
      <c r="P194" s="224">
        <f>IFERROR(__xludf.DUMMYFUNCTION("""COMPUTED_VALUE"""),3375000.0)</f>
        <v>3375000</v>
      </c>
      <c r="Q194" s="225" t="str">
        <f>IFERROR(__xludf.DUMMYFUNCTION("""COMPUTED_VALUE"""),"✅")</f>
        <v>✅</v>
      </c>
      <c r="R194" s="211" t="str">
        <f>IFERROR(__xludf.DUMMYFUNCTION("""COMPUTED_VALUE"""),"-")</f>
        <v>-</v>
      </c>
      <c r="S194" s="211"/>
      <c r="T194" s="211"/>
      <c r="U194" s="211"/>
    </row>
    <row r="195">
      <c r="A195" s="222" t="str">
        <f>IFERROR(__xludf.DUMMYFUNCTION("""COMPUTED_VALUE"""),"02250246")</f>
        <v>02250246</v>
      </c>
      <c r="B195" s="211" t="str">
        <f>IFERROR(__xludf.DUMMYFUNCTION("""COMPUTED_VALUE"""),"05 Feb 2025")</f>
        <v>05 Feb 2025</v>
      </c>
      <c r="C195" s="211" t="str">
        <f>IFERROR(__xludf.DUMMYFUNCTION("""COMPUTED_VALUE"""),"Bpk. Pendik")</f>
        <v>Bpk. Pendik</v>
      </c>
      <c r="D195" s="211" t="str">
        <f>IFERROR(__xludf.DUMMYFUNCTION("""COMPUTED_VALUE"""),"LPG 12kg")</f>
        <v>LPG 12kg</v>
      </c>
      <c r="E195" s="211" t="str">
        <f>IFERROR(__xludf.DUMMYFUNCTION("""COMPUTED_VALUE"""),"1")</f>
        <v>1</v>
      </c>
      <c r="F195" s="211" t="str">
        <f>IFERROR(__xludf.DUMMYFUNCTION("""COMPUTED_VALUE"""),"500000")</f>
        <v>500000</v>
      </c>
      <c r="G195" s="211"/>
      <c r="H195" s="211"/>
      <c r="I195" s="211">
        <f>IFERROR(__xludf.DUMMYFUNCTION("""COMPUTED_VALUE"""),500000.0)</f>
        <v>500000</v>
      </c>
      <c r="J195" s="211" t="str">
        <f>IFERROR(__xludf.DUMMYFUNCTION("""COMPUTED_VALUE"""),"Ya")</f>
        <v>Ya</v>
      </c>
      <c r="L195" s="223" t="str">
        <f>IFERROR(__xludf.DUMMYFUNCTION("""COMPUTED_VALUE"""),"Jul 2025")</f>
        <v>Jul 2025</v>
      </c>
      <c r="M195" s="211" t="str">
        <f>IFERROR(__xludf.DUMMYFUNCTION("""COMPUTED_VALUE"""),"Ibu Ida")</f>
        <v>Ibu Ida</v>
      </c>
      <c r="N195" s="211" t="str">
        <f>IFERROR(__xludf.DUMMYFUNCTION("""COMPUTED_VALUE"""),"07251950")</f>
        <v>07251950</v>
      </c>
      <c r="O195" s="211" t="str">
        <f>IFERROR(__xludf.DUMMYFUNCTION("""COMPUTED_VALUE"""),"0/1")</f>
        <v>0/1</v>
      </c>
      <c r="P195" s="224">
        <f>IFERROR(__xludf.DUMMYFUNCTION("""COMPUTED_VALUE"""),200000.0)</f>
        <v>200000</v>
      </c>
      <c r="Q195" s="225" t="str">
        <f>IFERROR(__xludf.DUMMYFUNCTION("""COMPUTED_VALUE"""),"✅")</f>
        <v>✅</v>
      </c>
      <c r="R195" s="211" t="str">
        <f>IFERROR(__xludf.DUMMYFUNCTION("""COMPUTED_VALUE"""),"-")</f>
        <v>-</v>
      </c>
      <c r="S195" s="211"/>
      <c r="T195" s="211"/>
      <c r="U195" s="211"/>
    </row>
    <row r="196">
      <c r="A196" s="222" t="str">
        <f>IFERROR(__xludf.DUMMYFUNCTION("""COMPUTED_VALUE"""),"02250247")</f>
        <v>02250247</v>
      </c>
      <c r="B196" s="211" t="str">
        <f>IFERROR(__xludf.DUMMYFUNCTION("""COMPUTED_VALUE"""),"06 Feb 2025")</f>
        <v>06 Feb 2025</v>
      </c>
      <c r="C196" s="211" t="str">
        <f>IFERROR(__xludf.DUMMYFUNCTION("""COMPUTED_VALUE"""),"Bpk. Sulaiman")</f>
        <v>Bpk. Sulaiman</v>
      </c>
      <c r="D196" s="211" t="str">
        <f>IFERROR(__xludf.DUMMYFUNCTION("""COMPUTED_VALUE"""),"Oksigen 6m3")</f>
        <v>Oksigen 6m3</v>
      </c>
      <c r="E196" s="211" t="str">
        <f>IFERROR(__xludf.DUMMYFUNCTION("""COMPUTED_VALUE"""),"5")</f>
        <v>5</v>
      </c>
      <c r="F196" s="211" t="str">
        <f>IFERROR(__xludf.DUMMYFUNCTION("""COMPUTED_VALUE"""),"275000")</f>
        <v>275000</v>
      </c>
      <c r="G196" s="211"/>
      <c r="H196" s="211"/>
      <c r="I196" s="211">
        <f>IFERROR(__xludf.DUMMYFUNCTION("""COMPUTED_VALUE"""),275000.0)</f>
        <v>275000</v>
      </c>
      <c r="J196" s="211" t="str">
        <f>IFERROR(__xludf.DUMMYFUNCTION("""COMPUTED_VALUE"""),"Ya")</f>
        <v>Ya</v>
      </c>
      <c r="L196" s="223" t="str">
        <f>IFERROR(__xludf.DUMMYFUNCTION("""COMPUTED_VALUE"""),"Jul 2025")</f>
        <v>Jul 2025</v>
      </c>
      <c r="M196" s="211" t="str">
        <f>IFERROR(__xludf.DUMMYFUNCTION("""COMPUTED_VALUE"""),"PT Amtech")</f>
        <v>PT Amtech</v>
      </c>
      <c r="N196" s="211" t="str">
        <f>IFERROR(__xludf.DUMMYFUNCTION("""COMPUTED_VALUE"""),"07251964")</f>
        <v>07251964</v>
      </c>
      <c r="O196" s="211" t="str">
        <f>IFERROR(__xludf.DUMMYFUNCTION("""COMPUTED_VALUE"""),"0/4")</f>
        <v>0/4</v>
      </c>
      <c r="P196" s="224">
        <f>IFERROR(__xludf.DUMMYFUNCTION("""COMPUTED_VALUE"""),4406700.0)</f>
        <v>4406700</v>
      </c>
      <c r="Q196" s="225">
        <f>IFERROR(__xludf.DUMMYFUNCTION("""COMPUTED_VALUE"""),1992450.0)</f>
        <v>1992450</v>
      </c>
      <c r="R196" s="211" t="str">
        <f>IFERROR(__xludf.DUMMYFUNCTION("""COMPUTED_VALUE"""),"07250554 07250567 07250580 07250586")</f>
        <v>07250554 07250567 07250580 07250586</v>
      </c>
      <c r="S196" s="211"/>
      <c r="T196" s="211"/>
      <c r="U196" s="211"/>
    </row>
    <row r="197">
      <c r="A197" s="222" t="str">
        <f>IFERROR(__xludf.DUMMYFUNCTION("""COMPUTED_VALUE"""),"02250248")</f>
        <v>02250248</v>
      </c>
      <c r="B197" s="211" t="str">
        <f>IFERROR(__xludf.DUMMYFUNCTION("""COMPUTED_VALUE"""),"06 Feb 2025")</f>
        <v>06 Feb 2025</v>
      </c>
      <c r="C197" s="211" t="str">
        <f>IFERROR(__xludf.DUMMYFUNCTION("""COMPUTED_VALUE"""),"GYF")</f>
        <v>GYF</v>
      </c>
      <c r="D197" s="211" t="str">
        <f>IFERROR(__xludf.DUMMYFUNCTION("""COMPUTED_VALUE"""),"Oksigen 6m3")</f>
        <v>Oksigen 6m3</v>
      </c>
      <c r="E197" s="211" t="str">
        <f>IFERROR(__xludf.DUMMYFUNCTION("""COMPUTED_VALUE"""),"10")</f>
        <v>10</v>
      </c>
      <c r="F197" s="211" t="str">
        <f>IFERROR(__xludf.DUMMYFUNCTION("""COMPUTED_VALUE"""),"450000")</f>
        <v>450000</v>
      </c>
      <c r="G197" s="211"/>
      <c r="H197" s="211"/>
      <c r="I197" s="211">
        <f>IFERROR(__xludf.DUMMYFUNCTION("""COMPUTED_VALUE"""),450000.0)</f>
        <v>450000</v>
      </c>
      <c r="J197" s="211" t="str">
        <f>IFERROR(__xludf.DUMMYFUNCTION("""COMPUTED_VALUE"""),"Ya")</f>
        <v>Ya</v>
      </c>
      <c r="L197" s="223" t="str">
        <f>IFERROR(__xludf.DUMMYFUNCTION("""COMPUTED_VALUE"""),"Jul 2025")</f>
        <v>Jul 2025</v>
      </c>
      <c r="M197" s="211" t="str">
        <f>IFERROR(__xludf.DUMMYFUNCTION("""COMPUTED_VALUE"""),"PT Hua Zong Mesindo")</f>
        <v>PT Hua Zong Mesindo</v>
      </c>
      <c r="N197" s="211" t="str">
        <f>IFERROR(__xludf.DUMMYFUNCTION("""COMPUTED_VALUE"""),"07251970")</f>
        <v>07251970</v>
      </c>
      <c r="O197" s="211" t="str">
        <f>IFERROR(__xludf.DUMMYFUNCTION("""COMPUTED_VALUE"""),"0/1")</f>
        <v>0/1</v>
      </c>
      <c r="P197" s="224">
        <f>IFERROR(__xludf.DUMMYFUNCTION("""COMPUTED_VALUE"""),940000.0)</f>
        <v>940000</v>
      </c>
      <c r="Q197" s="225" t="str">
        <f>IFERROR(__xludf.DUMMYFUNCTION("""COMPUTED_VALUE"""),"✅")</f>
        <v>✅</v>
      </c>
      <c r="R197" s="211" t="str">
        <f>IFERROR(__xludf.DUMMYFUNCTION("""COMPUTED_VALUE"""),"-")</f>
        <v>-</v>
      </c>
      <c r="S197" s="211"/>
      <c r="T197" s="211"/>
      <c r="U197" s="211"/>
    </row>
    <row r="198">
      <c r="A198" s="222" t="str">
        <f>IFERROR(__xludf.DUMMYFUNCTION("""COMPUTED_VALUE"""),"02250249")</f>
        <v>02250249</v>
      </c>
      <c r="B198" s="211" t="str">
        <f>IFERROR(__xludf.DUMMYFUNCTION("""COMPUTED_VALUE"""),"06 Feb 2025")</f>
        <v>06 Feb 2025</v>
      </c>
      <c r="C198" s="211" t="str">
        <f>IFERROR(__xludf.DUMMYFUNCTION("""COMPUTED_VALUE"""),"Abah Mad")</f>
        <v>Abah Mad</v>
      </c>
      <c r="D198" s="211" t="str">
        <f>IFERROR(__xludf.DUMMYFUNCTION("""COMPUTED_VALUE"""),"Oksigen 6m3 MR
LPG 12kg")</f>
        <v>Oksigen 6m3 MR
LPG 12kg</v>
      </c>
      <c r="E198" s="211" t="str">
        <f>IFERROR(__xludf.DUMMYFUNCTION("""COMPUTED_VALUE"""),"10
10")</f>
        <v>10
10</v>
      </c>
      <c r="F198" s="211" t="str">
        <f>IFERROR(__xludf.DUMMYFUNCTION("""COMPUTED_VALUE"""),"450000
2000000")</f>
        <v>450000
2000000</v>
      </c>
      <c r="G198" s="211"/>
      <c r="H198" s="211"/>
      <c r="I198" s="211">
        <f>IFERROR(__xludf.DUMMYFUNCTION("""COMPUTED_VALUE"""),2450000.0)</f>
        <v>2450000</v>
      </c>
      <c r="J198" s="211" t="str">
        <f>IFERROR(__xludf.DUMMYFUNCTION("""COMPUTED_VALUE"""),"Ya")</f>
        <v>Ya</v>
      </c>
      <c r="L198" s="223" t="str">
        <f>IFERROR(__xludf.DUMMYFUNCTION("""COMPUTED_VALUE"""),"Jul 2025")</f>
        <v>Jul 2025</v>
      </c>
      <c r="M198" s="211" t="str">
        <f>IFERROR(__xludf.DUMMYFUNCTION("""COMPUTED_VALUE"""),"PT Sinar Indogreen Kencana")</f>
        <v>PT Sinar Indogreen Kencana</v>
      </c>
      <c r="N198" s="211" t="str">
        <f>IFERROR(__xludf.DUMMYFUNCTION("""COMPUTED_VALUE"""),"07251981")</f>
        <v>07251981</v>
      </c>
      <c r="O198" s="211" t="str">
        <f>IFERROR(__xludf.DUMMYFUNCTION("""COMPUTED_VALUE"""),"0/2")</f>
        <v>0/2</v>
      </c>
      <c r="P198" s="224">
        <f>IFERROR(__xludf.DUMMYFUNCTION("""COMPUTED_VALUE"""),420002.0)</f>
        <v>420002</v>
      </c>
      <c r="Q198" s="225">
        <f>IFERROR(__xludf.DUMMYFUNCTION("""COMPUTED_VALUE"""),210001.0)</f>
        <v>210001</v>
      </c>
      <c r="R198" s="211" t="str">
        <f>IFERROR(__xludf.DUMMYFUNCTION("""COMPUTED_VALUE"""),"07250558")</f>
        <v>07250558</v>
      </c>
      <c r="S198" s="211"/>
      <c r="T198" s="211"/>
      <c r="U198" s="211"/>
    </row>
    <row r="199">
      <c r="A199" s="222" t="str">
        <f>IFERROR(__xludf.DUMMYFUNCTION("""COMPUTED_VALUE"""),"02250251")</f>
        <v>02250251</v>
      </c>
      <c r="B199" s="211" t="str">
        <f>IFERROR(__xludf.DUMMYFUNCTION("""COMPUTED_VALUE"""),"07 Feb 2025")</f>
        <v>07 Feb 2025</v>
      </c>
      <c r="C199" s="211" t="str">
        <f>IFERROR(__xludf.DUMMYFUNCTION("""COMPUTED_VALUE"""),"PT Hua Zong Mesindo")</f>
        <v>PT Hua Zong Mesindo</v>
      </c>
      <c r="D199" s="211" t="str">
        <f>IFERROR(__xludf.DUMMYFUNCTION("""COMPUTED_VALUE"""),"Oksigen 6m3")</f>
        <v>Oksigen 6m3</v>
      </c>
      <c r="E199" s="211" t="str">
        <f>IFERROR(__xludf.DUMMYFUNCTION("""COMPUTED_VALUE"""),"2")</f>
        <v>2</v>
      </c>
      <c r="F199" s="211" t="str">
        <f>IFERROR(__xludf.DUMMYFUNCTION("""COMPUTED_VALUE"""),"120000")</f>
        <v>120000</v>
      </c>
      <c r="G199" s="211"/>
      <c r="H199" s="211"/>
      <c r="I199" s="211">
        <f>IFERROR(__xludf.DUMMYFUNCTION("""COMPUTED_VALUE"""),120000.0)</f>
        <v>120000</v>
      </c>
      <c r="J199" s="211" t="str">
        <f>IFERROR(__xludf.DUMMYFUNCTION("""COMPUTED_VALUE"""),"Ya")</f>
        <v>Ya</v>
      </c>
      <c r="L199" s="223" t="str">
        <f>IFERROR(__xludf.DUMMYFUNCTION("""COMPUTED_VALUE"""),"Jul 2025")</f>
        <v>Jul 2025</v>
      </c>
      <c r="M199" s="211" t="str">
        <f>IFERROR(__xludf.DUMMYFUNCTION("""COMPUTED_VALUE"""),"PT GEMILANG CIPTA WAWASAN")</f>
        <v>PT GEMILANG CIPTA WAWASAN</v>
      </c>
      <c r="N199" s="211" t="str">
        <f>IFERROR(__xludf.DUMMYFUNCTION("""COMPUTED_VALUE"""),"07251990")</f>
        <v>07251990</v>
      </c>
      <c r="O199" s="211" t="str">
        <f>IFERROR(__xludf.DUMMYFUNCTION("""COMPUTED_VALUE"""),"0/3")</f>
        <v>0/3</v>
      </c>
      <c r="P199" s="224">
        <f>IFERROR(__xludf.DUMMYFUNCTION("""COMPUTED_VALUE"""),6693300.0)</f>
        <v>6693300</v>
      </c>
      <c r="Q199" s="225" t="str">
        <f>IFERROR(__xludf.DUMMYFUNCTION("""COMPUTED_VALUE"""),"✅")</f>
        <v>✅</v>
      </c>
      <c r="R199" s="211" t="str">
        <f>IFERROR(__xludf.DUMMYFUNCTION("""COMPUTED_VALUE"""),"-")</f>
        <v>-</v>
      </c>
      <c r="S199" s="211"/>
      <c r="T199" s="211"/>
      <c r="U199" s="211"/>
    </row>
    <row r="200">
      <c r="A200" s="222" t="str">
        <f>IFERROR(__xludf.DUMMYFUNCTION("""COMPUTED_VALUE"""),"02250252")</f>
        <v>02250252</v>
      </c>
      <c r="B200" s="211" t="str">
        <f>IFERROR(__xludf.DUMMYFUNCTION("""COMPUTED_VALUE"""),"08 Feb 2025")</f>
        <v>08 Feb 2025</v>
      </c>
      <c r="C200" s="211" t="str">
        <f>IFERROR(__xludf.DUMMYFUNCTION("""COMPUTED_VALUE"""),"PT GEMILANG CIPTA WAWASAN")</f>
        <v>PT GEMILANG CIPTA WAWASAN</v>
      </c>
      <c r="D200" s="211" t="str">
        <f>IFERROR(__xludf.DUMMYFUNCTION("""COMPUTED_VALUE"""),"Oksigen 6m3")</f>
        <v>Oksigen 6m3</v>
      </c>
      <c r="E200" s="211" t="str">
        <f>IFERROR(__xludf.DUMMYFUNCTION("""COMPUTED_VALUE"""),"10")</f>
        <v>10</v>
      </c>
      <c r="F200" s="211" t="str">
        <f>IFERROR(__xludf.DUMMYFUNCTION("""COMPUTED_VALUE"""),"666000")</f>
        <v>666000</v>
      </c>
      <c r="G200" s="211"/>
      <c r="H200" s="211"/>
      <c r="I200" s="211">
        <f>IFERROR(__xludf.DUMMYFUNCTION("""COMPUTED_VALUE"""),666000.0)</f>
        <v>666000</v>
      </c>
      <c r="J200" s="211" t="str">
        <f>IFERROR(__xludf.DUMMYFUNCTION("""COMPUTED_VALUE"""),"Ya")</f>
        <v>Ya</v>
      </c>
      <c r="L200" s="223" t="str">
        <f>IFERROR(__xludf.DUMMYFUNCTION("""COMPUTED_VALUE"""),"Jul 2025")</f>
        <v>Jul 2025</v>
      </c>
      <c r="M200" s="211" t="str">
        <f>IFERROR(__xludf.DUMMYFUNCTION("""COMPUTED_VALUE"""),"Bpk. Andi (Jetis)")</f>
        <v>Bpk. Andi (Jetis)</v>
      </c>
      <c r="N200" s="211" t="str">
        <f>IFERROR(__xludf.DUMMYFUNCTION("""COMPUTED_VALUE"""),"07252000")</f>
        <v>07252000</v>
      </c>
      <c r="O200" s="211" t="str">
        <f>IFERROR(__xludf.DUMMYFUNCTION("""COMPUTED_VALUE"""),"0/1")</f>
        <v>0/1</v>
      </c>
      <c r="P200" s="224">
        <f>IFERROR(__xludf.DUMMYFUNCTION("""COMPUTED_VALUE"""),1750000.0)</f>
        <v>1750000</v>
      </c>
      <c r="Q200" s="225" t="str">
        <f>IFERROR(__xludf.DUMMYFUNCTION("""COMPUTED_VALUE"""),"✅")</f>
        <v>✅</v>
      </c>
      <c r="R200" s="211" t="str">
        <f>IFERROR(__xludf.DUMMYFUNCTION("""COMPUTED_VALUE"""),"-")</f>
        <v>-</v>
      </c>
      <c r="S200" s="211"/>
      <c r="T200" s="211"/>
      <c r="U200" s="211"/>
    </row>
    <row r="201">
      <c r="A201" s="222" t="str">
        <f>IFERROR(__xludf.DUMMYFUNCTION("""COMPUTED_VALUE"""),"02250253")</f>
        <v>02250253</v>
      </c>
      <c r="B201" s="211" t="str">
        <f>IFERROR(__xludf.DUMMYFUNCTION("""COMPUTED_VALUE"""),"10 Feb 2025")</f>
        <v>10 Feb 2025</v>
      </c>
      <c r="C201" s="211" t="str">
        <f>IFERROR(__xludf.DUMMYFUNCTION("""COMPUTED_VALUE"""),"CV Sido Mukti Karya")</f>
        <v>CV Sido Mukti Karya</v>
      </c>
      <c r="D201" s="211" t="str">
        <f>IFERROR(__xludf.DUMMYFUNCTION("""COMPUTED_VALUE"""),"Oksigen 6m3")</f>
        <v>Oksigen 6m3</v>
      </c>
      <c r="E201" s="211" t="str">
        <f>IFERROR(__xludf.DUMMYFUNCTION("""COMPUTED_VALUE"""),"8")</f>
        <v>8</v>
      </c>
      <c r="F201" s="211" t="str">
        <f>IFERROR(__xludf.DUMMYFUNCTION("""COMPUTED_VALUE"""),"480000")</f>
        <v>480000</v>
      </c>
      <c r="G201" s="211"/>
      <c r="H201" s="211"/>
      <c r="I201" s="211">
        <f>IFERROR(__xludf.DUMMYFUNCTION("""COMPUTED_VALUE"""),480000.0)</f>
        <v>480000</v>
      </c>
      <c r="J201" s="211" t="str">
        <f>IFERROR(__xludf.DUMMYFUNCTION("""COMPUTED_VALUE"""),"Ya")</f>
        <v>Ya</v>
      </c>
      <c r="L201" s="223" t="str">
        <f>IFERROR(__xludf.DUMMYFUNCTION("""COMPUTED_VALUE"""),"Jul 2025")</f>
        <v>Jul 2025</v>
      </c>
      <c r="M201" s="211" t="str">
        <f>IFERROR(__xludf.DUMMYFUNCTION("""COMPUTED_VALUE"""),"Bpk. Fuad (Parengan)")</f>
        <v>Bpk. Fuad (Parengan)</v>
      </c>
      <c r="N201" s="211" t="str">
        <f>IFERROR(__xludf.DUMMYFUNCTION("""COMPUTED_VALUE"""),"07252010")</f>
        <v>07252010</v>
      </c>
      <c r="O201" s="211" t="str">
        <f>IFERROR(__xludf.DUMMYFUNCTION("""COMPUTED_VALUE"""),"0/2")</f>
        <v>0/2</v>
      </c>
      <c r="P201" s="224">
        <f>IFERROR(__xludf.DUMMYFUNCTION("""COMPUTED_VALUE"""),440000.0)</f>
        <v>440000</v>
      </c>
      <c r="Q201" s="225" t="str">
        <f>IFERROR(__xludf.DUMMYFUNCTION("""COMPUTED_VALUE"""),"✅")</f>
        <v>✅</v>
      </c>
      <c r="R201" s="211" t="str">
        <f>IFERROR(__xludf.DUMMYFUNCTION("""COMPUTED_VALUE"""),"-")</f>
        <v>-</v>
      </c>
      <c r="S201" s="211"/>
      <c r="T201" s="211"/>
      <c r="U201" s="211"/>
    </row>
    <row r="202">
      <c r="A202" s="222" t="str">
        <f>IFERROR(__xludf.DUMMYFUNCTION("""COMPUTED_VALUE"""),"02250254")</f>
        <v>02250254</v>
      </c>
      <c r="B202" s="211" t="str">
        <f>IFERROR(__xludf.DUMMYFUNCTION("""COMPUTED_VALUE"""),"10 Feb 2025")</f>
        <v>10 Feb 2025</v>
      </c>
      <c r="C202" s="211" t="str">
        <f>IFERROR(__xludf.DUMMYFUNCTION("""COMPUTED_VALUE"""),"PT Dunia Berkat Marga Mulya")</f>
        <v>PT Dunia Berkat Marga Mulya</v>
      </c>
      <c r="D202" s="211" t="str">
        <f>IFERROR(__xludf.DUMMYFUNCTION("""COMPUTED_VALUE"""),"Oksigen 6m3")</f>
        <v>Oksigen 6m3</v>
      </c>
      <c r="E202" s="211" t="str">
        <f>IFERROR(__xludf.DUMMYFUNCTION("""COMPUTED_VALUE"""),"4")</f>
        <v>4</v>
      </c>
      <c r="F202" s="211" t="str">
        <f>IFERROR(__xludf.DUMMYFUNCTION("""COMPUTED_VALUE"""),"266400")</f>
        <v>266400</v>
      </c>
      <c r="G202" s="211"/>
      <c r="H202" s="211"/>
      <c r="I202" s="211">
        <f>IFERROR(__xludf.DUMMYFUNCTION("""COMPUTED_VALUE"""),266400.0)</f>
        <v>266400</v>
      </c>
      <c r="J202" s="211" t="str">
        <f>IFERROR(__xludf.DUMMYFUNCTION("""COMPUTED_VALUE"""),"Ya")</f>
        <v>Ya</v>
      </c>
      <c r="L202" s="223" t="str">
        <f>IFERROR(__xludf.DUMMYFUNCTION("""COMPUTED_VALUE"""),"Jul 2025")</f>
        <v>Jul 2025</v>
      </c>
      <c r="M202" s="211" t="str">
        <f>IFERROR(__xludf.DUMMYFUNCTION("""COMPUTED_VALUE"""),"PT PELANGI INDOKARYA")</f>
        <v>PT PELANGI INDOKARYA</v>
      </c>
      <c r="N202" s="211" t="str">
        <f>IFERROR(__xludf.DUMMYFUNCTION("""COMPUTED_VALUE"""),"07252020")</f>
        <v>07252020</v>
      </c>
      <c r="O202" s="211" t="str">
        <f>IFERROR(__xludf.DUMMYFUNCTION("""COMPUTED_VALUE"""),"0/2")</f>
        <v>0/2</v>
      </c>
      <c r="P202" s="224">
        <f>IFERROR(__xludf.DUMMYFUNCTION("""COMPUTED_VALUE"""),666000.0)</f>
        <v>666000</v>
      </c>
      <c r="Q202" s="225" t="str">
        <f>IFERROR(__xludf.DUMMYFUNCTION("""COMPUTED_VALUE"""),"✅")</f>
        <v>✅</v>
      </c>
      <c r="R202" s="211" t="str">
        <f>IFERROR(__xludf.DUMMYFUNCTION("""COMPUTED_VALUE"""),"-")</f>
        <v>-</v>
      </c>
      <c r="S202" s="211"/>
      <c r="T202" s="211"/>
      <c r="U202" s="211"/>
    </row>
    <row r="203">
      <c r="A203" s="222" t="str">
        <f>IFERROR(__xludf.DUMMYFUNCTION("""COMPUTED_VALUE"""),"02250255")</f>
        <v>02250255</v>
      </c>
      <c r="B203" s="211" t="str">
        <f>IFERROR(__xludf.DUMMYFUNCTION("""COMPUTED_VALUE"""),"10 Feb 2025")</f>
        <v>10 Feb 2025</v>
      </c>
      <c r="C203" s="211" t="str">
        <f>IFERROR(__xludf.DUMMYFUNCTION("""COMPUTED_VALUE"""),"CV Sido Mukti Karya")</f>
        <v>CV Sido Mukti Karya</v>
      </c>
      <c r="D203" s="211" t="str">
        <f>IFERROR(__xludf.DUMMYFUNCTION("""COMPUTED_VALUE"""),"Karbondioksida")</f>
        <v>Karbondioksida</v>
      </c>
      <c r="E203" s="211" t="str">
        <f>IFERROR(__xludf.DUMMYFUNCTION("""COMPUTED_VALUE"""),"2")</f>
        <v>2</v>
      </c>
      <c r="F203" s="211" t="str">
        <f>IFERROR(__xludf.DUMMYFUNCTION("""COMPUTED_VALUE"""),"340000")</f>
        <v>340000</v>
      </c>
      <c r="G203" s="211"/>
      <c r="H203" s="211"/>
      <c r="I203" s="211">
        <f>IFERROR(__xludf.DUMMYFUNCTION("""COMPUTED_VALUE"""),340000.0)</f>
        <v>340000</v>
      </c>
      <c r="J203" s="211" t="str">
        <f>IFERROR(__xludf.DUMMYFUNCTION("""COMPUTED_VALUE"""),"Ya")</f>
        <v>Ya</v>
      </c>
      <c r="L203" s="223" t="str">
        <f>IFERROR(__xludf.DUMMYFUNCTION("""COMPUTED_VALUE"""),"Jul 2025")</f>
        <v>Jul 2025</v>
      </c>
      <c r="M203" s="211" t="str">
        <f>IFERROR(__xludf.DUMMYFUNCTION("""COMPUTED_VALUE"""),"PT Harapan Sentosa")</f>
        <v>PT Harapan Sentosa</v>
      </c>
      <c r="N203" s="211" t="str">
        <f>IFERROR(__xludf.DUMMYFUNCTION("""COMPUTED_VALUE"""),"07252031")</f>
        <v>07252031</v>
      </c>
      <c r="O203" s="211" t="str">
        <f>IFERROR(__xludf.DUMMYFUNCTION("""COMPUTED_VALUE"""),"0/3")</f>
        <v>0/3</v>
      </c>
      <c r="P203" s="224">
        <f>IFERROR(__xludf.DUMMYFUNCTION("""COMPUTED_VALUE"""),2800000.0)</f>
        <v>2800000</v>
      </c>
      <c r="Q203" s="225">
        <f>IFERROR(__xludf.DUMMYFUNCTION("""COMPUTED_VALUE"""),1050000.0)</f>
        <v>1050000</v>
      </c>
      <c r="R203" s="211" t="str">
        <f>IFERROR(__xludf.DUMMYFUNCTION("""COMPUTED_VALUE"""),"07250569")</f>
        <v>07250569</v>
      </c>
      <c r="S203" s="211"/>
      <c r="T203" s="211"/>
      <c r="U203" s="211"/>
    </row>
    <row r="204">
      <c r="A204" s="222" t="str">
        <f>IFERROR(__xludf.DUMMYFUNCTION("""COMPUTED_VALUE"""),"02250256")</f>
        <v>02250256</v>
      </c>
      <c r="B204" s="211" t="str">
        <f>IFERROR(__xludf.DUMMYFUNCTION("""COMPUTED_VALUE"""),"11 Feb 2025")</f>
        <v>11 Feb 2025</v>
      </c>
      <c r="C204" s="211" t="str">
        <f>IFERROR(__xludf.DUMMYFUNCTION("""COMPUTED_VALUE"""),"Bpk. Sukirno (Bejo)")</f>
        <v>Bpk. Sukirno (Bejo)</v>
      </c>
      <c r="D204" s="211" t="str">
        <f>IFERROR(__xludf.DUMMYFUNCTION("""COMPUTED_VALUE"""),"Oksigen 6m3")</f>
        <v>Oksigen 6m3</v>
      </c>
      <c r="E204" s="211" t="str">
        <f>IFERROR(__xludf.DUMMYFUNCTION("""COMPUTED_VALUE"""),"15")</f>
        <v>15</v>
      </c>
      <c r="F204" s="211" t="str">
        <f>IFERROR(__xludf.DUMMYFUNCTION("""COMPUTED_VALUE"""),"900000")</f>
        <v>900000</v>
      </c>
      <c r="G204" s="211"/>
      <c r="H204" s="211"/>
      <c r="I204" s="211">
        <f>IFERROR(__xludf.DUMMYFUNCTION("""COMPUTED_VALUE"""),900000.0)</f>
        <v>900000</v>
      </c>
      <c r="J204" s="211" t="str">
        <f>IFERROR(__xludf.DUMMYFUNCTION("""COMPUTED_VALUE"""),"Ya")</f>
        <v>Ya</v>
      </c>
      <c r="L204" s="223" t="str">
        <f>IFERROR(__xludf.DUMMYFUNCTION("""COMPUTED_VALUE"""),"Jul 2025")</f>
        <v>Jul 2025</v>
      </c>
      <c r="M204" s="211" t="str">
        <f>IFERROR(__xludf.DUMMYFUNCTION("""COMPUTED_VALUE"""),"Bpk. Kohir (Maintenance Velg)")</f>
        <v>Bpk. Kohir (Maintenance Velg)</v>
      </c>
      <c r="N204" s="211" t="str">
        <f>IFERROR(__xludf.DUMMYFUNCTION("""COMPUTED_VALUE"""),"07252040")</f>
        <v>07252040</v>
      </c>
      <c r="O204" s="211" t="str">
        <f>IFERROR(__xludf.DUMMYFUNCTION("""COMPUTED_VALUE"""),"0/4")</f>
        <v>0/4</v>
      </c>
      <c r="P204" s="224">
        <f>IFERROR(__xludf.DUMMYFUNCTION("""COMPUTED_VALUE"""),1540000.0)</f>
        <v>1540000</v>
      </c>
      <c r="Q204" s="225" t="str">
        <f>IFERROR(__xludf.DUMMYFUNCTION("""COMPUTED_VALUE"""),"✅")</f>
        <v>✅</v>
      </c>
      <c r="R204" s="211" t="str">
        <f>IFERROR(__xludf.DUMMYFUNCTION("""COMPUTED_VALUE"""),"-")</f>
        <v>-</v>
      </c>
      <c r="S204" s="211"/>
      <c r="T204" s="211"/>
      <c r="U204" s="211"/>
    </row>
    <row r="205">
      <c r="A205" s="222" t="str">
        <f>IFERROR(__xludf.DUMMYFUNCTION("""COMPUTED_VALUE"""),"02250257")</f>
        <v>02250257</v>
      </c>
      <c r="B205" s="211" t="str">
        <f>IFERROR(__xludf.DUMMYFUNCTION("""COMPUTED_VALUE"""),"11 Feb 2025")</f>
        <v>11 Feb 2025</v>
      </c>
      <c r="C205" s="211" t="str">
        <f>IFERROR(__xludf.DUMMYFUNCTION("""COMPUTED_VALUE"""),"PT Hua Zong Mesindo")</f>
        <v>PT Hua Zong Mesindo</v>
      </c>
      <c r="D205" s="211" t="str">
        <f>IFERROR(__xludf.DUMMYFUNCTION("""COMPUTED_VALUE"""),"Oksigen 6m3")</f>
        <v>Oksigen 6m3</v>
      </c>
      <c r="E205" s="211" t="str">
        <f>IFERROR(__xludf.DUMMYFUNCTION("""COMPUTED_VALUE"""),"3")</f>
        <v>3</v>
      </c>
      <c r="F205" s="211" t="str">
        <f>IFERROR(__xludf.DUMMYFUNCTION("""COMPUTED_VALUE"""),"180000")</f>
        <v>180000</v>
      </c>
      <c r="G205" s="211"/>
      <c r="H205" s="211"/>
      <c r="I205" s="211">
        <f>IFERROR(__xludf.DUMMYFUNCTION("""COMPUTED_VALUE"""),180000.0)</f>
        <v>180000</v>
      </c>
      <c r="J205" s="211" t="str">
        <f>IFERROR(__xludf.DUMMYFUNCTION("""COMPUTED_VALUE"""),"Ya")</f>
        <v>Ya</v>
      </c>
      <c r="L205" s="223" t="str">
        <f>IFERROR(__xludf.DUMMYFUNCTION("""COMPUTED_VALUE"""),"Jul 2025")</f>
        <v>Jul 2025</v>
      </c>
      <c r="M205" s="211" t="str">
        <f>IFERROR(__xludf.DUMMYFUNCTION("""COMPUTED_VALUE"""),"Bpk. Joko (Ponokawan)")</f>
        <v>Bpk. Joko (Ponokawan)</v>
      </c>
      <c r="N205" s="211" t="str">
        <f>IFERROR(__xludf.DUMMYFUNCTION("""COMPUTED_VALUE"""),"07252050")</f>
        <v>07252050</v>
      </c>
      <c r="O205" s="211" t="str">
        <f>IFERROR(__xludf.DUMMYFUNCTION("""COMPUTED_VALUE"""),"0/1")</f>
        <v>0/1</v>
      </c>
      <c r="P205" s="224">
        <f>IFERROR(__xludf.DUMMYFUNCTION("""COMPUTED_VALUE"""),260000.0)</f>
        <v>260000</v>
      </c>
      <c r="Q205" s="225" t="str">
        <f>IFERROR(__xludf.DUMMYFUNCTION("""COMPUTED_VALUE"""),"✅")</f>
        <v>✅</v>
      </c>
      <c r="R205" s="211" t="str">
        <f>IFERROR(__xludf.DUMMYFUNCTION("""COMPUTED_VALUE"""),"-")</f>
        <v>-</v>
      </c>
      <c r="S205" s="211"/>
      <c r="T205" s="211"/>
      <c r="U205" s="211"/>
    </row>
    <row r="206">
      <c r="A206" s="222" t="str">
        <f>IFERROR(__xludf.DUMMYFUNCTION("""COMPUTED_VALUE"""),"02250258")</f>
        <v>02250258</v>
      </c>
      <c r="B206" s="211" t="str">
        <f>IFERROR(__xludf.DUMMYFUNCTION("""COMPUTED_VALUE"""),"12 Feb 2025")</f>
        <v>12 Feb 2025</v>
      </c>
      <c r="C206" s="211" t="str">
        <f>IFERROR(__xludf.DUMMYFUNCTION("""COMPUTED_VALUE"""),"CV Sido Mukti Karya")</f>
        <v>CV Sido Mukti Karya</v>
      </c>
      <c r="D206" s="211" t="str">
        <f>IFERROR(__xludf.DUMMYFUNCTION("""COMPUTED_VALUE"""),"Oksigen 6m3
Karbondioksida")</f>
        <v>Oksigen 6m3
Karbondioksida</v>
      </c>
      <c r="E206" s="211" t="str">
        <f>IFERROR(__xludf.DUMMYFUNCTION("""COMPUTED_VALUE"""),"7
3")</f>
        <v>7
3</v>
      </c>
      <c r="F206" s="211" t="str">
        <f>IFERROR(__xludf.DUMMYFUNCTION("""COMPUTED_VALUE"""),"420000
510000")</f>
        <v>420000
510000</v>
      </c>
      <c r="G206" s="211"/>
      <c r="H206" s="211"/>
      <c r="I206" s="211">
        <f>IFERROR(__xludf.DUMMYFUNCTION("""COMPUTED_VALUE"""),930000.0)</f>
        <v>930000</v>
      </c>
      <c r="J206" s="211" t="str">
        <f>IFERROR(__xludf.DUMMYFUNCTION("""COMPUTED_VALUE"""),"Ya")</f>
        <v>Ya</v>
      </c>
      <c r="L206" s="223" t="str">
        <f>IFERROR(__xludf.DUMMYFUNCTION("""COMPUTED_VALUE"""),"Jul 2025")</f>
        <v>Jul 2025</v>
      </c>
      <c r="M206" s="211" t="str">
        <f>IFERROR(__xludf.DUMMYFUNCTION("""COMPUTED_VALUE"""),"Bpk. Abdul")</f>
        <v>Bpk. Abdul</v>
      </c>
      <c r="N206" s="211" t="str">
        <f>IFERROR(__xludf.DUMMYFUNCTION("""COMPUTED_VALUE"""),"07252060")</f>
        <v>07252060</v>
      </c>
      <c r="O206" s="211" t="str">
        <f>IFERROR(__xludf.DUMMYFUNCTION("""COMPUTED_VALUE"""),"0/1")</f>
        <v>0/1</v>
      </c>
      <c r="P206" s="224">
        <f>IFERROR(__xludf.DUMMYFUNCTION("""COMPUTED_VALUE"""),430000.0)</f>
        <v>430000</v>
      </c>
      <c r="Q206" s="225" t="str">
        <f>IFERROR(__xludf.DUMMYFUNCTION("""COMPUTED_VALUE"""),"✅")</f>
        <v>✅</v>
      </c>
      <c r="R206" s="211" t="str">
        <f>IFERROR(__xludf.DUMMYFUNCTION("""COMPUTED_VALUE"""),"-")</f>
        <v>-</v>
      </c>
      <c r="S206" s="211"/>
      <c r="T206" s="211"/>
      <c r="U206" s="211"/>
    </row>
    <row r="207">
      <c r="A207" s="222" t="str">
        <f>IFERROR(__xludf.DUMMYFUNCTION("""COMPUTED_VALUE"""),"02250260")</f>
        <v>02250260</v>
      </c>
      <c r="B207" s="211" t="str">
        <f>IFERROR(__xludf.DUMMYFUNCTION("""COMPUTED_VALUE"""),"13 Feb 2025")</f>
        <v>13 Feb 2025</v>
      </c>
      <c r="C207" s="211" t="str">
        <f>IFERROR(__xludf.DUMMYFUNCTION("""COMPUTED_VALUE"""),"GYF")</f>
        <v>GYF</v>
      </c>
      <c r="D207" s="211" t="str">
        <f>IFERROR(__xludf.DUMMYFUNCTION("""COMPUTED_VALUE"""),"Oksigen 6m3")</f>
        <v>Oksigen 6m3</v>
      </c>
      <c r="E207" s="211" t="str">
        <f>IFERROR(__xludf.DUMMYFUNCTION("""COMPUTED_VALUE"""),"10")</f>
        <v>10</v>
      </c>
      <c r="F207" s="211" t="str">
        <f>IFERROR(__xludf.DUMMYFUNCTION("""COMPUTED_VALUE"""),"450000")</f>
        <v>450000</v>
      </c>
      <c r="G207" s="211"/>
      <c r="H207" s="211"/>
      <c r="I207" s="211">
        <f>IFERROR(__xludf.DUMMYFUNCTION("""COMPUTED_VALUE"""),450000.0)</f>
        <v>450000</v>
      </c>
      <c r="J207" s="211" t="str">
        <f>IFERROR(__xludf.DUMMYFUNCTION("""COMPUTED_VALUE"""),"Ya")</f>
        <v>Ya</v>
      </c>
      <c r="L207" s="223" t="str">
        <f>IFERROR(__xludf.DUMMYFUNCTION("""COMPUTED_VALUE"""),"Jul 2025")</f>
        <v>Jul 2025</v>
      </c>
      <c r="M207" s="211" t="str">
        <f>IFERROR(__xludf.DUMMYFUNCTION("""COMPUTED_VALUE"""),"Bpk. Ari Budiarto")</f>
        <v>Bpk. Ari Budiarto</v>
      </c>
      <c r="N207" s="211" t="str">
        <f>IFERROR(__xludf.DUMMYFUNCTION("""COMPUTED_VALUE"""),"07252070")</f>
        <v>07252070</v>
      </c>
      <c r="O207" s="211" t="str">
        <f>IFERROR(__xludf.DUMMYFUNCTION("""COMPUTED_VALUE"""),"0/2")</f>
        <v>0/2</v>
      </c>
      <c r="P207" s="224">
        <f>IFERROR(__xludf.DUMMYFUNCTION("""COMPUTED_VALUE"""),600000.0)</f>
        <v>600000</v>
      </c>
      <c r="Q207" s="225" t="str">
        <f>IFERROR(__xludf.DUMMYFUNCTION("""COMPUTED_VALUE"""),"✅")</f>
        <v>✅</v>
      </c>
      <c r="R207" s="211" t="str">
        <f>IFERROR(__xludf.DUMMYFUNCTION("""COMPUTED_VALUE"""),"-")</f>
        <v>-</v>
      </c>
      <c r="S207" s="211"/>
      <c r="T207" s="211"/>
      <c r="U207" s="211"/>
    </row>
    <row r="208">
      <c r="A208" s="222" t="str">
        <f>IFERROR(__xludf.DUMMYFUNCTION("""COMPUTED_VALUE"""),"02250261")</f>
        <v>02250261</v>
      </c>
      <c r="B208" s="211" t="str">
        <f>IFERROR(__xludf.DUMMYFUNCTION("""COMPUTED_VALUE"""),"14 Feb 2025")</f>
        <v>14 Feb 2025</v>
      </c>
      <c r="C208" s="211" t="str">
        <f>IFERROR(__xludf.DUMMYFUNCTION("""COMPUTED_VALUE"""),"CV Sido Mukti Karya")</f>
        <v>CV Sido Mukti Karya</v>
      </c>
      <c r="D208" s="211" t="str">
        <f>IFERROR(__xludf.DUMMYFUNCTION("""COMPUTED_VALUE"""),"Oksigen 6m3")</f>
        <v>Oksigen 6m3</v>
      </c>
      <c r="E208" s="211" t="str">
        <f>IFERROR(__xludf.DUMMYFUNCTION("""COMPUTED_VALUE"""),"8")</f>
        <v>8</v>
      </c>
      <c r="F208" s="211" t="str">
        <f>IFERROR(__xludf.DUMMYFUNCTION("""COMPUTED_VALUE"""),"480000")</f>
        <v>480000</v>
      </c>
      <c r="G208" s="211"/>
      <c r="H208" s="211"/>
      <c r="I208" s="211">
        <f>IFERROR(__xludf.DUMMYFUNCTION("""COMPUTED_VALUE"""),480000.0)</f>
        <v>480000</v>
      </c>
      <c r="J208" s="211" t="str">
        <f>IFERROR(__xludf.DUMMYFUNCTION("""COMPUTED_VALUE"""),"Ya")</f>
        <v>Ya</v>
      </c>
      <c r="L208" s="223" t="str">
        <f>IFERROR(__xludf.DUMMYFUNCTION("""COMPUTED_VALUE"""),"Jul 2025")</f>
        <v>Jul 2025</v>
      </c>
      <c r="M208" s="211" t="str">
        <f>IFERROR(__xludf.DUMMYFUNCTION("""COMPUTED_VALUE"""),"Bpk. Eko Iswantoro")</f>
        <v>Bpk. Eko Iswantoro</v>
      </c>
      <c r="N208" s="211" t="str">
        <f>IFERROR(__xludf.DUMMYFUNCTION("""COMPUTED_VALUE"""),"07252080")</f>
        <v>07252080</v>
      </c>
      <c r="O208" s="211" t="str">
        <f>IFERROR(__xludf.DUMMYFUNCTION("""COMPUTED_VALUE"""),"0/1")</f>
        <v>0/1</v>
      </c>
      <c r="P208" s="224">
        <f>IFERROR(__xludf.DUMMYFUNCTION("""COMPUTED_VALUE"""),140000.0)</f>
        <v>140000</v>
      </c>
      <c r="Q208" s="225" t="str">
        <f>IFERROR(__xludf.DUMMYFUNCTION("""COMPUTED_VALUE"""),"✅")</f>
        <v>✅</v>
      </c>
      <c r="R208" s="211" t="str">
        <f>IFERROR(__xludf.DUMMYFUNCTION("""COMPUTED_VALUE"""),"-")</f>
        <v>-</v>
      </c>
      <c r="S208" s="211"/>
      <c r="T208" s="211"/>
      <c r="U208" s="211"/>
    </row>
    <row r="209">
      <c r="A209" s="222" t="str">
        <f>IFERROR(__xludf.DUMMYFUNCTION("""COMPUTED_VALUE"""),"02250262")</f>
        <v>02250262</v>
      </c>
      <c r="B209" s="211" t="str">
        <f>IFERROR(__xludf.DUMMYFUNCTION("""COMPUTED_VALUE"""),"14 Feb 2025")</f>
        <v>14 Feb 2025</v>
      </c>
      <c r="C209" s="211" t="str">
        <f>IFERROR(__xludf.DUMMYFUNCTION("""COMPUTED_VALUE"""),"Bpk. Joko (Gresik)")</f>
        <v>Bpk. Joko (Gresik)</v>
      </c>
      <c r="D209" s="211" t="str">
        <f>IFERROR(__xludf.DUMMYFUNCTION("""COMPUTED_VALUE"""),"Oksigen 6m3 MR")</f>
        <v>Oksigen 6m3 MR</v>
      </c>
      <c r="E209" s="211" t="str">
        <f>IFERROR(__xludf.DUMMYFUNCTION("""COMPUTED_VALUE"""),"10")</f>
        <v>10</v>
      </c>
      <c r="F209" s="211" t="str">
        <f>IFERROR(__xludf.DUMMYFUNCTION("""COMPUTED_VALUE"""),"550000")</f>
        <v>550000</v>
      </c>
      <c r="G209" s="211"/>
      <c r="H209" s="211"/>
      <c r="I209" s="211">
        <f>IFERROR(__xludf.DUMMYFUNCTION("""COMPUTED_VALUE"""),550000.0)</f>
        <v>550000</v>
      </c>
      <c r="J209" s="211" t="str">
        <f>IFERROR(__xludf.DUMMYFUNCTION("""COMPUTED_VALUE"""),"Ya")</f>
        <v>Ya</v>
      </c>
      <c r="L209" s="223" t="str">
        <f>IFERROR(__xludf.DUMMYFUNCTION("""COMPUTED_VALUE"""),"Jul 2025")</f>
        <v>Jul 2025</v>
      </c>
      <c r="M209" s="211" t="str">
        <f>IFERROR(__xludf.DUMMYFUNCTION("""COMPUTED_VALUE"""),"PT Dunia Berkat Marga Mulya")</f>
        <v>PT Dunia Berkat Marga Mulya</v>
      </c>
      <c r="N209" s="211" t="str">
        <f>IFERROR(__xludf.DUMMYFUNCTION("""COMPUTED_VALUE"""),"07252090")</f>
        <v>07252090</v>
      </c>
      <c r="O209" s="211" t="str">
        <f>IFERROR(__xludf.DUMMYFUNCTION("""COMPUTED_VALUE"""),"0/1")</f>
        <v>0/1</v>
      </c>
      <c r="P209" s="224">
        <f>IFERROR(__xludf.DUMMYFUNCTION("""COMPUTED_VALUE"""),333000.0)</f>
        <v>333000</v>
      </c>
      <c r="Q209" s="225" t="str">
        <f>IFERROR(__xludf.DUMMYFUNCTION("""COMPUTED_VALUE"""),"✅")</f>
        <v>✅</v>
      </c>
      <c r="R209" s="211" t="str">
        <f>IFERROR(__xludf.DUMMYFUNCTION("""COMPUTED_VALUE"""),"-")</f>
        <v>-</v>
      </c>
      <c r="S209" s="211"/>
      <c r="T209" s="211"/>
      <c r="U209" s="211"/>
    </row>
    <row r="210">
      <c r="A210" s="222" t="str">
        <f>IFERROR(__xludf.DUMMYFUNCTION("""COMPUTED_VALUE"""),"02250263")</f>
        <v>02250263</v>
      </c>
      <c r="B210" s="211" t="str">
        <f>IFERROR(__xludf.DUMMYFUNCTION("""COMPUTED_VALUE"""),"14 Feb 2025")</f>
        <v>14 Feb 2025</v>
      </c>
      <c r="C210" s="211" t="str">
        <f>IFERROR(__xludf.DUMMYFUNCTION("""COMPUTED_VALUE"""),"PT Dunia Berkat Marga Mulya")</f>
        <v>PT Dunia Berkat Marga Mulya</v>
      </c>
      <c r="D210" s="211" t="str">
        <f>IFERROR(__xludf.DUMMYFUNCTION("""COMPUTED_VALUE"""),"Oksigen 6m3")</f>
        <v>Oksigen 6m3</v>
      </c>
      <c r="E210" s="211" t="str">
        <f>IFERROR(__xludf.DUMMYFUNCTION("""COMPUTED_VALUE"""),"4")</f>
        <v>4</v>
      </c>
      <c r="F210" s="211" t="str">
        <f>IFERROR(__xludf.DUMMYFUNCTION("""COMPUTED_VALUE"""),"266400")</f>
        <v>266400</v>
      </c>
      <c r="G210" s="211"/>
      <c r="H210" s="211"/>
      <c r="I210" s="211">
        <f>IFERROR(__xludf.DUMMYFUNCTION("""COMPUTED_VALUE"""),266400.0)</f>
        <v>266400</v>
      </c>
      <c r="J210" s="211" t="str">
        <f>IFERROR(__xludf.DUMMYFUNCTION("""COMPUTED_VALUE"""),"Ya")</f>
        <v>Ya</v>
      </c>
      <c r="L210" s="223" t="str">
        <f>IFERROR(__xludf.DUMMYFUNCTION("""COMPUTED_VALUE"""),"Jul 2025")</f>
        <v>Jul 2025</v>
      </c>
      <c r="M210" s="211" t="str">
        <f>IFERROR(__xludf.DUMMYFUNCTION("""COMPUTED_VALUE"""),"Bpk. Sukirno (Bejo)")</f>
        <v>Bpk. Sukirno (Bejo)</v>
      </c>
      <c r="N210" s="211" t="str">
        <f>IFERROR(__xludf.DUMMYFUNCTION("""COMPUTED_VALUE"""),"07252100")</f>
        <v>07252100</v>
      </c>
      <c r="O210" s="211" t="str">
        <f>IFERROR(__xludf.DUMMYFUNCTION("""COMPUTED_VALUE"""),"0/1")</f>
        <v>0/1</v>
      </c>
      <c r="P210" s="224">
        <f>IFERROR(__xludf.DUMMYFUNCTION("""COMPUTED_VALUE"""),600000.0)</f>
        <v>600000</v>
      </c>
      <c r="Q210" s="225" t="str">
        <f>IFERROR(__xludf.DUMMYFUNCTION("""COMPUTED_VALUE"""),"✅")</f>
        <v>✅</v>
      </c>
      <c r="R210" s="211" t="str">
        <f>IFERROR(__xludf.DUMMYFUNCTION("""COMPUTED_VALUE"""),"-")</f>
        <v>-</v>
      </c>
      <c r="S210" s="211"/>
      <c r="T210" s="211"/>
      <c r="U210" s="211"/>
    </row>
    <row r="211">
      <c r="A211" s="222" t="str">
        <f>IFERROR(__xludf.DUMMYFUNCTION("""COMPUTED_VALUE"""),"02250264")</f>
        <v>02250264</v>
      </c>
      <c r="B211" s="211" t="str">
        <f>IFERROR(__xludf.DUMMYFUNCTION("""COMPUTED_VALUE"""),"14 Feb 2025")</f>
        <v>14 Feb 2025</v>
      </c>
      <c r="C211" s="211" t="str">
        <f>IFERROR(__xludf.DUMMYFUNCTION("""COMPUTED_VALUE"""),"Bpk. Sukirno (Bejo)")</f>
        <v>Bpk. Sukirno (Bejo)</v>
      </c>
      <c r="D211" s="211" t="str">
        <f>IFERROR(__xludf.DUMMYFUNCTION("""COMPUTED_VALUE"""),"Oksigen 6m3")</f>
        <v>Oksigen 6m3</v>
      </c>
      <c r="E211" s="211" t="str">
        <f>IFERROR(__xludf.DUMMYFUNCTION("""COMPUTED_VALUE"""),"10")</f>
        <v>10</v>
      </c>
      <c r="F211" s="211" t="str">
        <f>IFERROR(__xludf.DUMMYFUNCTION("""COMPUTED_VALUE"""),"600000")</f>
        <v>600000</v>
      </c>
      <c r="G211" s="211"/>
      <c r="H211" s="211"/>
      <c r="I211" s="211">
        <f>IFERROR(__xludf.DUMMYFUNCTION("""COMPUTED_VALUE"""),600000.0)</f>
        <v>600000</v>
      </c>
      <c r="J211" s="211" t="str">
        <f>IFERROR(__xludf.DUMMYFUNCTION("""COMPUTED_VALUE"""),"Ya")</f>
        <v>Ya</v>
      </c>
      <c r="L211" s="223" t="str">
        <f>IFERROR(__xludf.DUMMYFUNCTION("""COMPUTED_VALUE"""),"Jul 2025")</f>
        <v>Jul 2025</v>
      </c>
      <c r="M211" s="211" t="str">
        <f>IFERROR(__xludf.DUMMYFUNCTION("""COMPUTED_VALUE"""),"Bengkel Las Bpk. Ari")</f>
        <v>Bengkel Las Bpk. Ari</v>
      </c>
      <c r="N211" s="211" t="str">
        <f>IFERROR(__xludf.DUMMYFUNCTION("""COMPUTED_VALUE"""),"07252110")</f>
        <v>07252110</v>
      </c>
      <c r="O211" s="211" t="str">
        <f>IFERROR(__xludf.DUMMYFUNCTION("""COMPUTED_VALUE"""),"0/2")</f>
        <v>0/2</v>
      </c>
      <c r="P211" s="224">
        <f>IFERROR(__xludf.DUMMYFUNCTION("""COMPUTED_VALUE"""),420000.0)</f>
        <v>420000</v>
      </c>
      <c r="Q211" s="225" t="str">
        <f>IFERROR(__xludf.DUMMYFUNCTION("""COMPUTED_VALUE"""),"✅")</f>
        <v>✅</v>
      </c>
      <c r="R211" s="211" t="str">
        <f>IFERROR(__xludf.DUMMYFUNCTION("""COMPUTED_VALUE"""),"-")</f>
        <v>-</v>
      </c>
      <c r="S211" s="211"/>
      <c r="T211" s="211"/>
      <c r="U211" s="211"/>
    </row>
    <row r="212">
      <c r="A212" s="222" t="str">
        <f>IFERROR(__xludf.DUMMYFUNCTION("""COMPUTED_VALUE"""),"02250265")</f>
        <v>02250265</v>
      </c>
      <c r="B212" s="211" t="str">
        <f>IFERROR(__xludf.DUMMYFUNCTION("""COMPUTED_VALUE"""),"17 Feb 2025")</f>
        <v>17 Feb 2025</v>
      </c>
      <c r="C212" s="211" t="str">
        <f>IFERROR(__xludf.DUMMYFUNCTION("""COMPUTED_VALUE"""),"PT GEMILANG CIPTA WAWASAN")</f>
        <v>PT GEMILANG CIPTA WAWASAN</v>
      </c>
      <c r="D212" s="211" t="str">
        <f>IFERROR(__xludf.DUMMYFUNCTION("""COMPUTED_VALUE"""),"Oksigen 6m3
LPG 12kg")</f>
        <v>Oksigen 6m3
LPG 12kg</v>
      </c>
      <c r="E212" s="211" t="str">
        <f>IFERROR(__xludf.DUMMYFUNCTION("""COMPUTED_VALUE"""),"10
5")</f>
        <v>10
5</v>
      </c>
      <c r="F212" s="211" t="str">
        <f>IFERROR(__xludf.DUMMYFUNCTION("""COMPUTED_VALUE"""),"666000
1165500")</f>
        <v>666000
1165500</v>
      </c>
      <c r="G212" s="211"/>
      <c r="H212" s="211"/>
      <c r="I212" s="211">
        <f>IFERROR(__xludf.DUMMYFUNCTION("""COMPUTED_VALUE"""),1831500.0)</f>
        <v>1831500</v>
      </c>
      <c r="J212" s="211" t="str">
        <f>IFERROR(__xludf.DUMMYFUNCTION("""COMPUTED_VALUE"""),"Ya")</f>
        <v>Ya</v>
      </c>
      <c r="L212" s="223" t="str">
        <f>IFERROR(__xludf.DUMMYFUNCTION("""COMPUTED_VALUE"""),"Jul 2025")</f>
        <v>Jul 2025</v>
      </c>
      <c r="M212" s="211" t="str">
        <f>IFERROR(__xludf.DUMMYFUNCTION("""COMPUTED_VALUE"""),"PT Samudra Cipta Enjineering")</f>
        <v>PT Samudra Cipta Enjineering</v>
      </c>
      <c r="N212" s="211" t="str">
        <f>IFERROR(__xludf.DUMMYFUNCTION("""COMPUTED_VALUE"""),"07252120")</f>
        <v>07252120</v>
      </c>
      <c r="O212" s="211" t="str">
        <f>IFERROR(__xludf.DUMMYFUNCTION("""COMPUTED_VALUE"""),"0/2")</f>
        <v>0/2</v>
      </c>
      <c r="P212" s="224">
        <f>IFERROR(__xludf.DUMMYFUNCTION("""COMPUTED_VALUE"""),2280000.0)</f>
        <v>2280000</v>
      </c>
      <c r="Q212" s="225" t="str">
        <f>IFERROR(__xludf.DUMMYFUNCTION("""COMPUTED_VALUE"""),"✅")</f>
        <v>✅</v>
      </c>
      <c r="R212" s="211" t="str">
        <f>IFERROR(__xludf.DUMMYFUNCTION("""COMPUTED_VALUE"""),"-")</f>
        <v>-</v>
      </c>
      <c r="S212" s="211"/>
      <c r="T212" s="211"/>
      <c r="U212" s="211"/>
    </row>
    <row r="213">
      <c r="A213" s="222" t="str">
        <f>IFERROR(__xludf.DUMMYFUNCTION("""COMPUTED_VALUE"""),"02250267")</f>
        <v>02250267</v>
      </c>
      <c r="B213" s="211" t="str">
        <f>IFERROR(__xludf.DUMMYFUNCTION("""COMPUTED_VALUE"""),"18 Feb 2025")</f>
        <v>18 Feb 2025</v>
      </c>
      <c r="C213" s="211" t="str">
        <f>IFERROR(__xludf.DUMMYFUNCTION("""COMPUTED_VALUE"""),"Bpk. Sukirno (Bejo)")</f>
        <v>Bpk. Sukirno (Bejo)</v>
      </c>
      <c r="D213" s="211" t="str">
        <f>IFERROR(__xludf.DUMMYFUNCTION("""COMPUTED_VALUE"""),"Oksigen 6m3
LPG 12kg")</f>
        <v>Oksigen 6m3
LPG 12kg</v>
      </c>
      <c r="E213" s="211" t="str">
        <f>IFERROR(__xludf.DUMMYFUNCTION("""COMPUTED_VALUE"""),"15
2")</f>
        <v>15
2</v>
      </c>
      <c r="F213" s="211" t="str">
        <f>IFERROR(__xludf.DUMMYFUNCTION("""COMPUTED_VALUE"""),"900000
420000")</f>
        <v>900000
420000</v>
      </c>
      <c r="G213" s="211"/>
      <c r="H213" s="211"/>
      <c r="I213" s="211">
        <f>IFERROR(__xludf.DUMMYFUNCTION("""COMPUTED_VALUE"""),1320000.0)</f>
        <v>1320000</v>
      </c>
      <c r="J213" s="211" t="str">
        <f>IFERROR(__xludf.DUMMYFUNCTION("""COMPUTED_VALUE"""),"Ya")</f>
        <v>Ya</v>
      </c>
      <c r="L213" s="223" t="str">
        <f>IFERROR(__xludf.DUMMYFUNCTION("""COMPUTED_VALUE"""),"Jul 2025")</f>
        <v>Jul 2025</v>
      </c>
      <c r="M213" s="211" t="str">
        <f>IFERROR(__xludf.DUMMYFUNCTION("""COMPUTED_VALUE"""),"Flashtech Machinery")</f>
        <v>Flashtech Machinery</v>
      </c>
      <c r="N213" s="211" t="str">
        <f>IFERROR(__xludf.DUMMYFUNCTION("""COMPUTED_VALUE"""),"07252130")</f>
        <v>07252130</v>
      </c>
      <c r="O213" s="211" t="str">
        <f>IFERROR(__xludf.DUMMYFUNCTION("""COMPUTED_VALUE"""),"0/1")</f>
        <v>0/1</v>
      </c>
      <c r="P213" s="224">
        <f>IFERROR(__xludf.DUMMYFUNCTION("""COMPUTED_VALUE"""),250000.0)</f>
        <v>250000</v>
      </c>
      <c r="Q213" s="225" t="str">
        <f>IFERROR(__xludf.DUMMYFUNCTION("""COMPUTED_VALUE"""),"✅")</f>
        <v>✅</v>
      </c>
      <c r="R213" s="211" t="str">
        <f>IFERROR(__xludf.DUMMYFUNCTION("""COMPUTED_VALUE"""),"-")</f>
        <v>-</v>
      </c>
      <c r="S213" s="211"/>
      <c r="T213" s="211"/>
      <c r="U213" s="211"/>
    </row>
    <row r="214">
      <c r="A214" s="222" t="str">
        <f>IFERROR(__xludf.DUMMYFUNCTION("""COMPUTED_VALUE"""),"02250269")</f>
        <v>02250269</v>
      </c>
      <c r="B214" s="211" t="str">
        <f>IFERROR(__xludf.DUMMYFUNCTION("""COMPUTED_VALUE"""),"18 Feb 2025")</f>
        <v>18 Feb 2025</v>
      </c>
      <c r="C214" s="211" t="str">
        <f>IFERROR(__xludf.DUMMYFUNCTION("""COMPUTED_VALUE"""),"GYF")</f>
        <v>GYF</v>
      </c>
      <c r="D214" s="211" t="str">
        <f>IFERROR(__xludf.DUMMYFUNCTION("""COMPUTED_VALUE"""),"Oksigen 6m3")</f>
        <v>Oksigen 6m3</v>
      </c>
      <c r="E214" s="211" t="str">
        <f>IFERROR(__xludf.DUMMYFUNCTION("""COMPUTED_VALUE"""),"10")</f>
        <v>10</v>
      </c>
      <c r="F214" s="211" t="str">
        <f>IFERROR(__xludf.DUMMYFUNCTION("""COMPUTED_VALUE"""),"450000")</f>
        <v>450000</v>
      </c>
      <c r="G214" s="211"/>
      <c r="H214" s="211"/>
      <c r="I214" s="211">
        <f>IFERROR(__xludf.DUMMYFUNCTION("""COMPUTED_VALUE"""),450000.0)</f>
        <v>450000</v>
      </c>
      <c r="J214" s="211" t="str">
        <f>IFERROR(__xludf.DUMMYFUNCTION("""COMPUTED_VALUE"""),"Ya")</f>
        <v>Ya</v>
      </c>
      <c r="L214" s="223" t="str">
        <f>IFERROR(__xludf.DUMMYFUNCTION("""COMPUTED_VALUE"""),"Jul 2025")</f>
        <v>Jul 2025</v>
      </c>
      <c r="M214" s="211" t="str">
        <f>IFERROR(__xludf.DUMMYFUNCTION("""COMPUTED_VALUE"""),"Bpk. Joko (Gresik)")</f>
        <v>Bpk. Joko (Gresik)</v>
      </c>
      <c r="N214" s="211" t="str">
        <f>IFERROR(__xludf.DUMMYFUNCTION("""COMPUTED_VALUE"""),"07252140")</f>
        <v>07252140</v>
      </c>
      <c r="O214" s="211" t="str">
        <f>IFERROR(__xludf.DUMMYFUNCTION("""COMPUTED_VALUE"""),"0/1")</f>
        <v>0/1</v>
      </c>
      <c r="P214" s="224">
        <f>IFERROR(__xludf.DUMMYFUNCTION("""COMPUTED_VALUE"""),710000.0)</f>
        <v>710000</v>
      </c>
      <c r="Q214" s="225" t="str">
        <f>IFERROR(__xludf.DUMMYFUNCTION("""COMPUTED_VALUE"""),"✅")</f>
        <v>✅</v>
      </c>
      <c r="R214" s="211" t="str">
        <f>IFERROR(__xludf.DUMMYFUNCTION("""COMPUTED_VALUE"""),"-")</f>
        <v>-</v>
      </c>
      <c r="S214" s="211"/>
      <c r="T214" s="211"/>
      <c r="U214" s="211"/>
    </row>
    <row r="215">
      <c r="A215" s="222" t="str">
        <f>IFERROR(__xludf.DUMMYFUNCTION("""COMPUTED_VALUE"""),"02250270")</f>
        <v>02250270</v>
      </c>
      <c r="B215" s="211" t="str">
        <f>IFERROR(__xludf.DUMMYFUNCTION("""COMPUTED_VALUE"""),"20 Feb 2025")</f>
        <v>20 Feb 2025</v>
      </c>
      <c r="C215" s="211" t="str">
        <f>IFERROR(__xludf.DUMMYFUNCTION("""COMPUTED_VALUE"""),"PT ARYANA CAKASANA")</f>
        <v>PT ARYANA CAKASANA</v>
      </c>
      <c r="D215" s="211" t="str">
        <f>IFERROR(__xludf.DUMMYFUNCTION("""COMPUTED_VALUE"""),"Oksigen 6m3")</f>
        <v>Oksigen 6m3</v>
      </c>
      <c r="E215" s="211" t="str">
        <f>IFERROR(__xludf.DUMMYFUNCTION("""COMPUTED_VALUE"""),"10")</f>
        <v>10</v>
      </c>
      <c r="F215" s="211" t="str">
        <f>IFERROR(__xludf.DUMMYFUNCTION("""COMPUTED_VALUE"""),"525000")</f>
        <v>525000</v>
      </c>
      <c r="G215" s="211"/>
      <c r="H215" s="211"/>
      <c r="I215" s="211">
        <f>IFERROR(__xludf.DUMMYFUNCTION("""COMPUTED_VALUE"""),525000.0)</f>
        <v>525000</v>
      </c>
      <c r="J215" s="211" t="str">
        <f>IFERROR(__xludf.DUMMYFUNCTION("""COMPUTED_VALUE"""),"Penagihan")</f>
        <v>Penagihan</v>
      </c>
      <c r="L215" s="223" t="str">
        <f>IFERROR(__xludf.DUMMYFUNCTION("""COMPUTED_VALUE"""),"Jul 2025")</f>
        <v>Jul 2025</v>
      </c>
      <c r="M215" s="211" t="str">
        <f>IFERROR(__xludf.DUMMYFUNCTION("""COMPUTED_VALUE"""),"Bpk. Alvin (LB Group)")</f>
        <v>Bpk. Alvin (LB Group)</v>
      </c>
      <c r="N215" s="211" t="str">
        <f>IFERROR(__xludf.DUMMYFUNCTION("""COMPUTED_VALUE"""),"07252150")</f>
        <v>07252150</v>
      </c>
      <c r="O215" s="211" t="str">
        <f>IFERROR(__xludf.DUMMYFUNCTION("""COMPUTED_VALUE"""),"0/2")</f>
        <v>0/2</v>
      </c>
      <c r="P215" s="224">
        <f>IFERROR(__xludf.DUMMYFUNCTION("""COMPUTED_VALUE"""),425000.0)</f>
        <v>425000</v>
      </c>
      <c r="Q215" s="225" t="str">
        <f>IFERROR(__xludf.DUMMYFUNCTION("""COMPUTED_VALUE"""),"✅")</f>
        <v>✅</v>
      </c>
      <c r="R215" s="211" t="str">
        <f>IFERROR(__xludf.DUMMYFUNCTION("""COMPUTED_VALUE"""),"-")</f>
        <v>-</v>
      </c>
      <c r="S215" s="211"/>
      <c r="T215" s="211"/>
      <c r="U215" s="211"/>
    </row>
    <row r="216">
      <c r="A216" s="222" t="str">
        <f>IFERROR(__xludf.DUMMYFUNCTION("""COMPUTED_VALUE"""),"02250271")</f>
        <v>02250271</v>
      </c>
      <c r="B216" s="211" t="str">
        <f>IFERROR(__xludf.DUMMYFUNCTION("""COMPUTED_VALUE"""),"20 Feb 2025")</f>
        <v>20 Feb 2025</v>
      </c>
      <c r="C216" s="211" t="str">
        <f>IFERROR(__xludf.DUMMYFUNCTION("""COMPUTED_VALUE"""),"Bpk. Joko (Gresik)")</f>
        <v>Bpk. Joko (Gresik)</v>
      </c>
      <c r="D216" s="211" t="str">
        <f>IFERROR(__xludf.DUMMYFUNCTION("""COMPUTED_VALUE"""),"Karbondioksida MR")</f>
        <v>Karbondioksida MR</v>
      </c>
      <c r="E216" s="211" t="str">
        <f>IFERROR(__xludf.DUMMYFUNCTION("""COMPUTED_VALUE"""),"1")</f>
        <v>1</v>
      </c>
      <c r="F216" s="211" t="str">
        <f>IFERROR(__xludf.DUMMYFUNCTION("""COMPUTED_VALUE"""),"160000")</f>
        <v>160000</v>
      </c>
      <c r="G216" s="211"/>
      <c r="H216" s="211"/>
      <c r="I216" s="211">
        <f>IFERROR(__xludf.DUMMYFUNCTION("""COMPUTED_VALUE"""),160000.0)</f>
        <v>160000</v>
      </c>
      <c r="J216" s="211" t="str">
        <f>IFERROR(__xludf.DUMMYFUNCTION("""COMPUTED_VALUE"""),"Ya")</f>
        <v>Ya</v>
      </c>
      <c r="L216" s="223" t="str">
        <f>IFERROR(__xludf.DUMMYFUNCTION("""COMPUTED_VALUE"""),"Jul 2025")</f>
        <v>Jul 2025</v>
      </c>
      <c r="M216" s="211" t="str">
        <f>IFERROR(__xludf.DUMMYFUNCTION("""COMPUTED_VALUE"""),"Mitra Wood Sejahtera")</f>
        <v>Mitra Wood Sejahtera</v>
      </c>
      <c r="N216" s="211" t="str">
        <f>IFERROR(__xludf.DUMMYFUNCTION("""COMPUTED_VALUE"""),"07252160")</f>
        <v>07252160</v>
      </c>
      <c r="O216" s="211" t="str">
        <f>IFERROR(__xludf.DUMMYFUNCTION("""COMPUTED_VALUE"""),"0/2")</f>
        <v>0/2</v>
      </c>
      <c r="P216" s="224">
        <f>IFERROR(__xludf.DUMMYFUNCTION("""COMPUTED_VALUE"""),1940000.0)</f>
        <v>1940000</v>
      </c>
      <c r="Q216" s="225" t="str">
        <f>IFERROR(__xludf.DUMMYFUNCTION("""COMPUTED_VALUE"""),"✅")</f>
        <v>✅</v>
      </c>
      <c r="R216" s="211" t="str">
        <f>IFERROR(__xludf.DUMMYFUNCTION("""COMPUTED_VALUE"""),"-")</f>
        <v>-</v>
      </c>
      <c r="S216" s="211"/>
      <c r="T216" s="211"/>
      <c r="U216" s="211"/>
    </row>
    <row r="217">
      <c r="A217" s="222" t="str">
        <f>IFERROR(__xludf.DUMMYFUNCTION("""COMPUTED_VALUE"""),"02250272")</f>
        <v>02250272</v>
      </c>
      <c r="B217" s="211" t="str">
        <f>IFERROR(__xludf.DUMMYFUNCTION("""COMPUTED_VALUE"""),"20 Feb 2025")</f>
        <v>20 Feb 2025</v>
      </c>
      <c r="C217" s="211" t="str">
        <f>IFERROR(__xludf.DUMMYFUNCTION("""COMPUTED_VALUE"""),"PT LONG XING LOGAM INDONESIA")</f>
        <v>PT LONG XING LOGAM INDONESIA</v>
      </c>
      <c r="D217" s="211" t="str">
        <f>IFERROR(__xludf.DUMMYFUNCTION("""COMPUTED_VALUE"""),"LPG 12kg")</f>
        <v>LPG 12kg</v>
      </c>
      <c r="E217" s="211" t="str">
        <f>IFERROR(__xludf.DUMMYFUNCTION("""COMPUTED_VALUE"""),"6")</f>
        <v>6</v>
      </c>
      <c r="F217" s="211" t="str">
        <f>IFERROR(__xludf.DUMMYFUNCTION("""COMPUTED_VALUE"""),"1200000")</f>
        <v>1200000</v>
      </c>
      <c r="G217" s="211"/>
      <c r="H217" s="211"/>
      <c r="I217" s="211">
        <f>IFERROR(__xludf.DUMMYFUNCTION("""COMPUTED_VALUE"""),1200000.0)</f>
        <v>1200000</v>
      </c>
      <c r="J217" s="211" t="str">
        <f>IFERROR(__xludf.DUMMYFUNCTION("""COMPUTED_VALUE"""),"Ya")</f>
        <v>Ya</v>
      </c>
      <c r="L217" s="223" t="str">
        <f>IFERROR(__xludf.DUMMYFUNCTION("""COMPUTED_VALUE"""),"Jul 2025")</f>
        <v>Jul 2025</v>
      </c>
      <c r="M217" s="211" t="str">
        <f>IFERROR(__xludf.DUMMYFUNCTION("""COMPUTED_VALUE"""),"PT Utama Alim Sejahtera")</f>
        <v>PT Utama Alim Sejahtera</v>
      </c>
      <c r="N217" s="211" t="str">
        <f>IFERROR(__xludf.DUMMYFUNCTION("""COMPUTED_VALUE"""),"07252170")</f>
        <v>07252170</v>
      </c>
      <c r="O217" s="211" t="str">
        <f>IFERROR(__xludf.DUMMYFUNCTION("""COMPUTED_VALUE"""),"0/2")</f>
        <v>0/2</v>
      </c>
      <c r="P217" s="224">
        <f>IFERROR(__xludf.DUMMYFUNCTION("""COMPUTED_VALUE"""),1085003.0)</f>
        <v>1085003</v>
      </c>
      <c r="Q217" s="225" t="str">
        <f>IFERROR(__xludf.DUMMYFUNCTION("""COMPUTED_VALUE"""),"✅")</f>
        <v>✅</v>
      </c>
      <c r="R217" s="211" t="str">
        <f>IFERROR(__xludf.DUMMYFUNCTION("""COMPUTED_VALUE"""),"-")</f>
        <v>-</v>
      </c>
      <c r="S217" s="211"/>
      <c r="T217" s="211"/>
      <c r="U217" s="211"/>
    </row>
    <row r="218">
      <c r="A218" s="222" t="str">
        <f>IFERROR(__xludf.DUMMYFUNCTION("""COMPUTED_VALUE"""),"02250273")</f>
        <v>02250273</v>
      </c>
      <c r="B218" s="211" t="str">
        <f>IFERROR(__xludf.DUMMYFUNCTION("""COMPUTED_VALUE"""),"21 Feb 2025")</f>
        <v>21 Feb 2025</v>
      </c>
      <c r="C218" s="211" t="str">
        <f>IFERROR(__xludf.DUMMYFUNCTION("""COMPUTED_VALUE"""),"Bpk. Sukirno (Bejo)")</f>
        <v>Bpk. Sukirno (Bejo)</v>
      </c>
      <c r="D218" s="211" t="str">
        <f>IFERROR(__xludf.DUMMYFUNCTION("""COMPUTED_VALUE"""),"Oksigen 6m3")</f>
        <v>Oksigen 6m3</v>
      </c>
      <c r="E218" s="211" t="str">
        <f>IFERROR(__xludf.DUMMYFUNCTION("""COMPUTED_VALUE"""),"15")</f>
        <v>15</v>
      </c>
      <c r="F218" s="211" t="str">
        <f>IFERROR(__xludf.DUMMYFUNCTION("""COMPUTED_VALUE"""),"900000")</f>
        <v>900000</v>
      </c>
      <c r="G218" s="211"/>
      <c r="H218" s="211"/>
      <c r="I218" s="211">
        <f>IFERROR(__xludf.DUMMYFUNCTION("""COMPUTED_VALUE"""),900000.0)</f>
        <v>900000</v>
      </c>
      <c r="J218" s="211" t="str">
        <f>IFERROR(__xludf.DUMMYFUNCTION("""COMPUTED_VALUE"""),"Ya")</f>
        <v>Ya</v>
      </c>
      <c r="L218" s="223" t="str">
        <f>IFERROR(__xludf.DUMMYFUNCTION("""COMPUTED_VALUE"""),"Jul 2025")</f>
        <v>Jul 2025</v>
      </c>
      <c r="M218" s="211" t="str">
        <f>IFERROR(__xludf.DUMMYFUNCTION("""COMPUTED_VALUE"""),"Bengkel Dian Jaya")</f>
        <v>Bengkel Dian Jaya</v>
      </c>
      <c r="N218" s="211" t="str">
        <f>IFERROR(__xludf.DUMMYFUNCTION("""COMPUTED_VALUE"""),"07252180")</f>
        <v>07252180</v>
      </c>
      <c r="O218" s="211" t="str">
        <f>IFERROR(__xludf.DUMMYFUNCTION("""COMPUTED_VALUE"""),"0/1")</f>
        <v>0/1</v>
      </c>
      <c r="P218" s="224">
        <f>IFERROR(__xludf.DUMMYFUNCTION("""COMPUTED_VALUE"""),500000.0)</f>
        <v>500000</v>
      </c>
      <c r="Q218" s="225" t="str">
        <f>IFERROR(__xludf.DUMMYFUNCTION("""COMPUTED_VALUE"""),"✅")</f>
        <v>✅</v>
      </c>
      <c r="R218" s="211" t="str">
        <f>IFERROR(__xludf.DUMMYFUNCTION("""COMPUTED_VALUE"""),"-")</f>
        <v>-</v>
      </c>
      <c r="S218" s="211"/>
      <c r="T218" s="211"/>
      <c r="U218" s="211"/>
    </row>
    <row r="219">
      <c r="A219" s="222" t="str">
        <f>IFERROR(__xludf.DUMMYFUNCTION("""COMPUTED_VALUE"""),"02250274")</f>
        <v>02250274</v>
      </c>
      <c r="B219" s="211" t="str">
        <f>IFERROR(__xludf.DUMMYFUNCTION("""COMPUTED_VALUE"""),"21 Feb 2025")</f>
        <v>21 Feb 2025</v>
      </c>
      <c r="C219" s="211" t="str">
        <f>IFERROR(__xludf.DUMMYFUNCTION("""COMPUTED_VALUE"""),"PT GEMILANG CIPTA WAWASAN")</f>
        <v>PT GEMILANG CIPTA WAWASAN</v>
      </c>
      <c r="D219" s="211" t="str">
        <f>IFERROR(__xludf.DUMMYFUNCTION("""COMPUTED_VALUE"""),"Oksigen 6m3")</f>
        <v>Oksigen 6m3</v>
      </c>
      <c r="E219" s="211" t="str">
        <f>IFERROR(__xludf.DUMMYFUNCTION("""COMPUTED_VALUE"""),"10")</f>
        <v>10</v>
      </c>
      <c r="F219" s="211" t="str">
        <f>IFERROR(__xludf.DUMMYFUNCTION("""COMPUTED_VALUE"""),"666000")</f>
        <v>666000</v>
      </c>
      <c r="G219" s="211"/>
      <c r="H219" s="211"/>
      <c r="I219" s="211">
        <f>IFERROR(__xludf.DUMMYFUNCTION("""COMPUTED_VALUE"""),666000.0)</f>
        <v>666000</v>
      </c>
      <c r="J219" s="211" t="str">
        <f>IFERROR(__xludf.DUMMYFUNCTION("""COMPUTED_VALUE"""),"Ya")</f>
        <v>Ya</v>
      </c>
      <c r="L219" s="223" t="str">
        <f>IFERROR(__xludf.DUMMYFUNCTION("""COMPUTED_VALUE"""),"Jul 2025")</f>
        <v>Jul 2025</v>
      </c>
      <c r="M219" s="211" t="str">
        <f>IFERROR(__xludf.DUMMYFUNCTION("""COMPUTED_VALUE"""),"Bpk. Sulaiman")</f>
        <v>Bpk. Sulaiman</v>
      </c>
      <c r="N219" s="211" t="str">
        <f>IFERROR(__xludf.DUMMYFUNCTION("""COMPUTED_VALUE"""),"07252190")</f>
        <v>07252190</v>
      </c>
      <c r="O219" s="211" t="str">
        <f>IFERROR(__xludf.DUMMYFUNCTION("""COMPUTED_VALUE"""),"0/1")</f>
        <v>0/1</v>
      </c>
      <c r="P219" s="224">
        <f>IFERROR(__xludf.DUMMYFUNCTION("""COMPUTED_VALUE"""),275000.0)</f>
        <v>275000</v>
      </c>
      <c r="Q219" s="225" t="str">
        <f>IFERROR(__xludf.DUMMYFUNCTION("""COMPUTED_VALUE"""),"✅")</f>
        <v>✅</v>
      </c>
      <c r="R219" s="211" t="str">
        <f>IFERROR(__xludf.DUMMYFUNCTION("""COMPUTED_VALUE"""),"-")</f>
        <v>-</v>
      </c>
      <c r="S219" s="211"/>
      <c r="T219" s="211"/>
      <c r="U219" s="211"/>
    </row>
    <row r="220">
      <c r="A220" s="222" t="str">
        <f>IFERROR(__xludf.DUMMYFUNCTION("""COMPUTED_VALUE"""),"02250275")</f>
        <v>02250275</v>
      </c>
      <c r="B220" s="211" t="str">
        <f>IFERROR(__xludf.DUMMYFUNCTION("""COMPUTED_VALUE"""),"22 Feb 2025")</f>
        <v>22 Feb 2025</v>
      </c>
      <c r="C220" s="211" t="str">
        <f>IFERROR(__xludf.DUMMYFUNCTION("""COMPUTED_VALUE"""),"PT Hua Zong Mesindo")</f>
        <v>PT Hua Zong Mesindo</v>
      </c>
      <c r="D220" s="211" t="str">
        <f>IFERROR(__xludf.DUMMYFUNCTION("""COMPUTED_VALUE"""),"Oksigen 6m3")</f>
        <v>Oksigen 6m3</v>
      </c>
      <c r="E220" s="211" t="str">
        <f>IFERROR(__xludf.DUMMYFUNCTION("""COMPUTED_VALUE"""),"4")</f>
        <v>4</v>
      </c>
      <c r="F220" s="211" t="str">
        <f>IFERROR(__xludf.DUMMYFUNCTION("""COMPUTED_VALUE"""),"240000")</f>
        <v>240000</v>
      </c>
      <c r="G220" s="211"/>
      <c r="H220" s="211"/>
      <c r="I220" s="211">
        <f>IFERROR(__xludf.DUMMYFUNCTION("""COMPUTED_VALUE"""),240000.0)</f>
        <v>240000</v>
      </c>
      <c r="J220" s="211" t="str">
        <f>IFERROR(__xludf.DUMMYFUNCTION("""COMPUTED_VALUE"""),"Ya")</f>
        <v>Ya</v>
      </c>
      <c r="L220" s="223" t="str">
        <f>IFERROR(__xludf.DUMMYFUNCTION("""COMPUTED_VALUE"""),"Aug 2025")</f>
        <v>Aug 2025</v>
      </c>
      <c r="M220" s="211" t="str">
        <f>IFERROR(__xludf.DUMMYFUNCTION("""COMPUTED_VALUE"""),"Bengkel Las Bpk. Ari")</f>
        <v>Bengkel Las Bpk. Ari</v>
      </c>
      <c r="N220" s="211" t="str">
        <f>IFERROR(__xludf.DUMMYFUNCTION("""COMPUTED_VALUE"""),"08252200")</f>
        <v>08252200</v>
      </c>
      <c r="O220" s="211" t="str">
        <f>IFERROR(__xludf.DUMMYFUNCTION("""COMPUTED_VALUE"""),"0/1")</f>
        <v>0/1</v>
      </c>
      <c r="P220" s="224">
        <f>IFERROR(__xludf.DUMMYFUNCTION("""COMPUTED_VALUE"""),470000.0)</f>
        <v>470000</v>
      </c>
      <c r="Q220" s="225" t="str">
        <f>IFERROR(__xludf.DUMMYFUNCTION("""COMPUTED_VALUE"""),"✅")</f>
        <v>✅</v>
      </c>
      <c r="R220" s="211" t="str">
        <f>IFERROR(__xludf.DUMMYFUNCTION("""COMPUTED_VALUE"""),"-")</f>
        <v>-</v>
      </c>
      <c r="S220" s="211"/>
      <c r="T220" s="211"/>
      <c r="U220" s="211"/>
    </row>
    <row r="221">
      <c r="A221" s="222" t="str">
        <f>IFERROR(__xludf.DUMMYFUNCTION("""COMPUTED_VALUE"""),"02250276")</f>
        <v>02250276</v>
      </c>
      <c r="B221" s="211" t="str">
        <f>IFERROR(__xludf.DUMMYFUNCTION("""COMPUTED_VALUE"""),"24 Feb 2025")</f>
        <v>24 Feb 2025</v>
      </c>
      <c r="C221" s="211" t="str">
        <f>IFERROR(__xludf.DUMMYFUNCTION("""COMPUTED_VALUE"""),"GYF")</f>
        <v>GYF</v>
      </c>
      <c r="D221" s="211" t="str">
        <f>IFERROR(__xludf.DUMMYFUNCTION("""COMPUTED_VALUE"""),"Oksigen 6m3")</f>
        <v>Oksigen 6m3</v>
      </c>
      <c r="E221" s="211" t="str">
        <f>IFERROR(__xludf.DUMMYFUNCTION("""COMPUTED_VALUE"""),"10")</f>
        <v>10</v>
      </c>
      <c r="F221" s="211" t="str">
        <f>IFERROR(__xludf.DUMMYFUNCTION("""COMPUTED_VALUE"""),"450000")</f>
        <v>450000</v>
      </c>
      <c r="G221" s="211"/>
      <c r="H221" s="211"/>
      <c r="I221" s="211">
        <f>IFERROR(__xludf.DUMMYFUNCTION("""COMPUTED_VALUE"""),450000.0)</f>
        <v>450000</v>
      </c>
      <c r="J221" s="211" t="str">
        <f>IFERROR(__xludf.DUMMYFUNCTION("""COMPUTED_VALUE"""),"Ya")</f>
        <v>Ya</v>
      </c>
      <c r="L221" s="223" t="str">
        <f>IFERROR(__xludf.DUMMYFUNCTION("""COMPUTED_VALUE"""),"Dec 1899")</f>
        <v>Dec 1899</v>
      </c>
      <c r="M221" s="211"/>
      <c r="N221" s="211" t="str">
        <f>IFERROR(__xludf.DUMMYFUNCTION("""COMPUTED_VALUE"""),"")</f>
        <v/>
      </c>
      <c r="O221" s="211" t="str">
        <f>IFERROR(__xludf.DUMMYFUNCTION("""COMPUTED_VALUE"""),"")</f>
        <v/>
      </c>
      <c r="P221" s="224" t="str">
        <f>IFERROR(__xludf.DUMMYFUNCTION("""COMPUTED_VALUE""")," ")</f>
        <v/>
      </c>
      <c r="Q221" s="225" t="str">
        <f>IFERROR(__xludf.DUMMYFUNCTION("""COMPUTED_VALUE"""),"")</f>
        <v/>
      </c>
      <c r="R221" s="211" t="str">
        <f>IFERROR(__xludf.DUMMYFUNCTION("""COMPUTED_VALUE"""),"")</f>
        <v/>
      </c>
      <c r="S221" s="211"/>
      <c r="T221" s="211"/>
      <c r="U221" s="211"/>
    </row>
    <row r="222">
      <c r="A222" s="222" t="str">
        <f>IFERROR(__xludf.DUMMYFUNCTION("""COMPUTED_VALUE"""),"02250277")</f>
        <v>02250277</v>
      </c>
      <c r="B222" s="211" t="str">
        <f>IFERROR(__xludf.DUMMYFUNCTION("""COMPUTED_VALUE"""),"25 Feb 2025")</f>
        <v>25 Feb 2025</v>
      </c>
      <c r="C222" s="211" t="str">
        <f>IFERROR(__xludf.DUMMYFUNCTION("""COMPUTED_VALUE"""),"PT Dunia Berkat Marga Mulya")</f>
        <v>PT Dunia Berkat Marga Mulya</v>
      </c>
      <c r="D222" s="211" t="str">
        <f>IFERROR(__xludf.DUMMYFUNCTION("""COMPUTED_VALUE"""),"Oksigen 6m3")</f>
        <v>Oksigen 6m3</v>
      </c>
      <c r="E222" s="211" t="str">
        <f>IFERROR(__xludf.DUMMYFUNCTION("""COMPUTED_VALUE"""),"3")</f>
        <v>3</v>
      </c>
      <c r="F222" s="211" t="str">
        <f>IFERROR(__xludf.DUMMYFUNCTION("""COMPUTED_VALUE"""),"199800")</f>
        <v>199800</v>
      </c>
      <c r="G222" s="211"/>
      <c r="H222" s="211"/>
      <c r="I222" s="211">
        <f>IFERROR(__xludf.DUMMYFUNCTION("""COMPUTED_VALUE"""),199800.0)</f>
        <v>199800</v>
      </c>
      <c r="J222" s="211" t="str">
        <f>IFERROR(__xludf.DUMMYFUNCTION("""COMPUTED_VALUE"""),"Ya")</f>
        <v>Ya</v>
      </c>
      <c r="L222" s="211"/>
      <c r="M222" s="211"/>
      <c r="N222" s="211" t="str">
        <f>IFERROR(__xludf.DUMMYFUNCTION("""COMPUTED_VALUE"""),"")</f>
        <v/>
      </c>
      <c r="O222" s="211" t="str">
        <f>IFERROR(__xludf.DUMMYFUNCTION("""COMPUTED_VALUE"""),"")</f>
        <v/>
      </c>
      <c r="P222" s="224" t="str">
        <f>IFERROR(__xludf.DUMMYFUNCTION("""COMPUTED_VALUE""")," ")</f>
        <v/>
      </c>
      <c r="Q222" s="225" t="str">
        <f>IFERROR(__xludf.DUMMYFUNCTION("""COMPUTED_VALUE"""),"")</f>
        <v/>
      </c>
      <c r="R222" s="211" t="str">
        <f>IFERROR(__xludf.DUMMYFUNCTION("""COMPUTED_VALUE"""),"")</f>
        <v/>
      </c>
      <c r="S222" s="211"/>
      <c r="T222" s="211"/>
      <c r="U222" s="211"/>
    </row>
    <row r="223">
      <c r="A223" s="222" t="str">
        <f>IFERROR(__xludf.DUMMYFUNCTION("""COMPUTED_VALUE"""),"02250278")</f>
        <v>02250278</v>
      </c>
      <c r="B223" s="211" t="str">
        <f>IFERROR(__xludf.DUMMYFUNCTION("""COMPUTED_VALUE"""),"25 Feb 2025")</f>
        <v>25 Feb 2025</v>
      </c>
      <c r="C223" s="211" t="str">
        <f>IFERROR(__xludf.DUMMYFUNCTION("""COMPUTED_VALUE"""),"Bpk. Sukirno (Bejo)")</f>
        <v>Bpk. Sukirno (Bejo)</v>
      </c>
      <c r="D223" s="211" t="str">
        <f>IFERROR(__xludf.DUMMYFUNCTION("""COMPUTED_VALUE"""),"Oksigen 6m3
LPG 12kg")</f>
        <v>Oksigen 6m3
LPG 12kg</v>
      </c>
      <c r="E223" s="211" t="str">
        <f>IFERROR(__xludf.DUMMYFUNCTION("""COMPUTED_VALUE"""),"10
2")</f>
        <v>10
2</v>
      </c>
      <c r="F223" s="211" t="str">
        <f>IFERROR(__xludf.DUMMYFUNCTION("""COMPUTED_VALUE"""),"600000
420000")</f>
        <v>600000
420000</v>
      </c>
      <c r="G223" s="211"/>
      <c r="H223" s="211"/>
      <c r="I223" s="211">
        <f>IFERROR(__xludf.DUMMYFUNCTION("""COMPUTED_VALUE"""),1020000.0)</f>
        <v>1020000</v>
      </c>
      <c r="J223" s="211" t="str">
        <f>IFERROR(__xludf.DUMMYFUNCTION("""COMPUTED_VALUE"""),"Ya")</f>
        <v>Ya</v>
      </c>
      <c r="L223" s="211"/>
      <c r="M223" s="211"/>
      <c r="N223" s="211" t="str">
        <f>IFERROR(__xludf.DUMMYFUNCTION("""COMPUTED_VALUE"""),"")</f>
        <v/>
      </c>
      <c r="O223" s="211" t="str">
        <f>IFERROR(__xludf.DUMMYFUNCTION("""COMPUTED_VALUE"""),"")</f>
        <v/>
      </c>
      <c r="P223" s="224" t="str">
        <f>IFERROR(__xludf.DUMMYFUNCTION("""COMPUTED_VALUE""")," ")</f>
        <v/>
      </c>
      <c r="Q223" s="225" t="str">
        <f>IFERROR(__xludf.DUMMYFUNCTION("""COMPUTED_VALUE"""),"")</f>
        <v/>
      </c>
      <c r="R223" s="211" t="str">
        <f>IFERROR(__xludf.DUMMYFUNCTION("""COMPUTED_VALUE"""),"")</f>
        <v/>
      </c>
      <c r="S223" s="211"/>
      <c r="T223" s="211"/>
      <c r="U223" s="211"/>
    </row>
    <row r="224">
      <c r="A224" s="222" t="str">
        <f>IFERROR(__xludf.DUMMYFUNCTION("""COMPUTED_VALUE"""),"02250280")</f>
        <v>02250280</v>
      </c>
      <c r="B224" s="211" t="str">
        <f>IFERROR(__xludf.DUMMYFUNCTION("""COMPUTED_VALUE"""),"25 Feb 2025")</f>
        <v>25 Feb 2025</v>
      </c>
      <c r="C224" s="211" t="str">
        <f>IFERROR(__xludf.DUMMYFUNCTION("""COMPUTED_VALUE"""),"Bpk. Sukirno (Bejo)")</f>
        <v>Bpk. Sukirno (Bejo)</v>
      </c>
      <c r="D224" s="211" t="str">
        <f>IFERROR(__xludf.DUMMYFUNCTION("""COMPUTED_VALUE"""),"Oksigen 6m3")</f>
        <v>Oksigen 6m3</v>
      </c>
      <c r="E224" s="211" t="str">
        <f>IFERROR(__xludf.DUMMYFUNCTION("""COMPUTED_VALUE"""),"5")</f>
        <v>5</v>
      </c>
      <c r="F224" s="211" t="str">
        <f>IFERROR(__xludf.DUMMYFUNCTION("""COMPUTED_VALUE"""),"300000")</f>
        <v>300000</v>
      </c>
      <c r="G224" s="211"/>
      <c r="H224" s="211"/>
      <c r="I224" s="211">
        <f>IFERROR(__xludf.DUMMYFUNCTION("""COMPUTED_VALUE"""),300000.0)</f>
        <v>300000</v>
      </c>
      <c r="J224" s="211" t="str">
        <f>IFERROR(__xludf.DUMMYFUNCTION("""COMPUTED_VALUE"""),"Ya")</f>
        <v>Ya</v>
      </c>
      <c r="L224" s="211"/>
      <c r="M224" s="211"/>
      <c r="N224" s="211" t="str">
        <f>IFERROR(__xludf.DUMMYFUNCTION("""COMPUTED_VALUE"""),"")</f>
        <v/>
      </c>
      <c r="O224" s="211" t="str">
        <f>IFERROR(__xludf.DUMMYFUNCTION("""COMPUTED_VALUE"""),"")</f>
        <v/>
      </c>
      <c r="P224" s="224" t="str">
        <f>IFERROR(__xludf.DUMMYFUNCTION("""COMPUTED_VALUE""")," ")</f>
        <v/>
      </c>
      <c r="Q224" s="225" t="str">
        <f>IFERROR(__xludf.DUMMYFUNCTION("""COMPUTED_VALUE"""),"")</f>
        <v/>
      </c>
      <c r="R224" s="211" t="str">
        <f>IFERROR(__xludf.DUMMYFUNCTION("""COMPUTED_VALUE"""),"")</f>
        <v/>
      </c>
      <c r="S224" s="211"/>
      <c r="T224" s="211"/>
      <c r="U224" s="211"/>
    </row>
    <row r="225">
      <c r="A225" s="222" t="str">
        <f>IFERROR(__xludf.DUMMYFUNCTION("""COMPUTED_VALUE"""),"02250281")</f>
        <v>02250281</v>
      </c>
      <c r="B225" s="211" t="str">
        <f>IFERROR(__xludf.DUMMYFUNCTION("""COMPUTED_VALUE"""),"27 Feb 2025")</f>
        <v>27 Feb 2025</v>
      </c>
      <c r="C225" s="211" t="str">
        <f>IFERROR(__xludf.DUMMYFUNCTION("""COMPUTED_VALUE"""),"Bengkel Dian Jaya")</f>
        <v>Bengkel Dian Jaya</v>
      </c>
      <c r="D225" s="211" t="str">
        <f>IFERROR(__xludf.DUMMYFUNCTION("""COMPUTED_VALUE"""),"Oksigen 6m3")</f>
        <v>Oksigen 6m3</v>
      </c>
      <c r="E225" s="211" t="str">
        <f>IFERROR(__xludf.DUMMYFUNCTION("""COMPUTED_VALUE"""),"6")</f>
        <v>6</v>
      </c>
      <c r="F225" s="211" t="str">
        <f>IFERROR(__xludf.DUMMYFUNCTION("""COMPUTED_VALUE"""),"300000")</f>
        <v>300000</v>
      </c>
      <c r="G225" s="211"/>
      <c r="H225" s="211"/>
      <c r="I225" s="211">
        <f>IFERROR(__xludf.DUMMYFUNCTION("""COMPUTED_VALUE"""),300000.0)</f>
        <v>300000</v>
      </c>
      <c r="J225" s="211" t="str">
        <f>IFERROR(__xludf.DUMMYFUNCTION("""COMPUTED_VALUE"""),"Ya")</f>
        <v>Ya</v>
      </c>
      <c r="L225" s="211"/>
      <c r="M225" s="211"/>
      <c r="N225" s="211" t="str">
        <f>IFERROR(__xludf.DUMMYFUNCTION("""COMPUTED_VALUE"""),"")</f>
        <v/>
      </c>
      <c r="O225" s="211" t="str">
        <f>IFERROR(__xludf.DUMMYFUNCTION("""COMPUTED_VALUE"""),"")</f>
        <v/>
      </c>
      <c r="P225" s="224" t="str">
        <f>IFERROR(__xludf.DUMMYFUNCTION("""COMPUTED_VALUE""")," ")</f>
        <v/>
      </c>
      <c r="Q225" s="225" t="str">
        <f>IFERROR(__xludf.DUMMYFUNCTION("""COMPUTED_VALUE"""),"")</f>
        <v/>
      </c>
      <c r="R225" s="211" t="str">
        <f>IFERROR(__xludf.DUMMYFUNCTION("""COMPUTED_VALUE"""),"")</f>
        <v/>
      </c>
      <c r="S225" s="211"/>
      <c r="T225" s="211"/>
      <c r="U225" s="211"/>
    </row>
    <row r="226">
      <c r="A226" s="222" t="str">
        <f>IFERROR(__xludf.DUMMYFUNCTION("""COMPUTED_VALUE"""),"02250282")</f>
        <v>02250282</v>
      </c>
      <c r="B226" s="211" t="str">
        <f>IFERROR(__xludf.DUMMYFUNCTION("""COMPUTED_VALUE"""),"27 Feb 2025")</f>
        <v>27 Feb 2025</v>
      </c>
      <c r="C226" s="211" t="str">
        <f>IFERROR(__xludf.DUMMYFUNCTION("""COMPUTED_VALUE"""),"GYF")</f>
        <v>GYF</v>
      </c>
      <c r="D226" s="211" t="str">
        <f>IFERROR(__xludf.DUMMYFUNCTION("""COMPUTED_VALUE"""),"Oksigen 6m3")</f>
        <v>Oksigen 6m3</v>
      </c>
      <c r="E226" s="211" t="str">
        <f>IFERROR(__xludf.DUMMYFUNCTION("""COMPUTED_VALUE"""),"10")</f>
        <v>10</v>
      </c>
      <c r="F226" s="211" t="str">
        <f>IFERROR(__xludf.DUMMYFUNCTION("""COMPUTED_VALUE"""),"450000")</f>
        <v>450000</v>
      </c>
      <c r="G226" s="211"/>
      <c r="H226" s="211"/>
      <c r="I226" s="211">
        <f>IFERROR(__xludf.DUMMYFUNCTION("""COMPUTED_VALUE"""),450000.0)</f>
        <v>450000</v>
      </c>
      <c r="J226" s="211" t="str">
        <f>IFERROR(__xludf.DUMMYFUNCTION("""COMPUTED_VALUE"""),"Ya")</f>
        <v>Ya</v>
      </c>
      <c r="L226" s="211"/>
      <c r="M226" s="211"/>
      <c r="N226" s="211" t="str">
        <f>IFERROR(__xludf.DUMMYFUNCTION("""COMPUTED_VALUE"""),"")</f>
        <v/>
      </c>
      <c r="O226" s="211" t="str">
        <f>IFERROR(__xludf.DUMMYFUNCTION("""COMPUTED_VALUE"""),"")</f>
        <v/>
      </c>
      <c r="P226" s="224" t="str">
        <f>IFERROR(__xludf.DUMMYFUNCTION("""COMPUTED_VALUE""")," ")</f>
        <v/>
      </c>
      <c r="Q226" s="225" t="str">
        <f>IFERROR(__xludf.DUMMYFUNCTION("""COMPUTED_VALUE"""),"")</f>
        <v/>
      </c>
      <c r="R226" s="211" t="str">
        <f>IFERROR(__xludf.DUMMYFUNCTION("""COMPUTED_VALUE"""),"")</f>
        <v/>
      </c>
      <c r="S226" s="211"/>
      <c r="T226" s="211"/>
      <c r="U226" s="211"/>
    </row>
    <row r="227">
      <c r="A227" s="222" t="str">
        <f>IFERROR(__xludf.DUMMYFUNCTION("""COMPUTED_VALUE"""),"02250283")</f>
        <v>02250283</v>
      </c>
      <c r="B227" s="211" t="str">
        <f>IFERROR(__xludf.DUMMYFUNCTION("""COMPUTED_VALUE"""),"28 Feb 2025")</f>
        <v>28 Feb 2025</v>
      </c>
      <c r="C227" s="211" t="str">
        <f>IFERROR(__xludf.DUMMYFUNCTION("""COMPUTED_VALUE"""),"Bpk. Sukirno (Bejo)")</f>
        <v>Bpk. Sukirno (Bejo)</v>
      </c>
      <c r="D227" s="211" t="str">
        <f>IFERROR(__xludf.DUMMYFUNCTION("""COMPUTED_VALUE"""),"Oksigen 6m3")</f>
        <v>Oksigen 6m3</v>
      </c>
      <c r="E227" s="211" t="str">
        <f>IFERROR(__xludf.DUMMYFUNCTION("""COMPUTED_VALUE"""),"15")</f>
        <v>15</v>
      </c>
      <c r="F227" s="211" t="str">
        <f>IFERROR(__xludf.DUMMYFUNCTION("""COMPUTED_VALUE"""),"900000")</f>
        <v>900000</v>
      </c>
      <c r="G227" s="211"/>
      <c r="H227" s="211"/>
      <c r="I227" s="211">
        <f>IFERROR(__xludf.DUMMYFUNCTION("""COMPUTED_VALUE"""),900000.0)</f>
        <v>900000</v>
      </c>
      <c r="J227" s="211" t="str">
        <f>IFERROR(__xludf.DUMMYFUNCTION("""COMPUTED_VALUE"""),"Ya")</f>
        <v>Ya</v>
      </c>
      <c r="L227" s="211"/>
      <c r="M227" s="211"/>
      <c r="N227" s="211" t="str">
        <f>IFERROR(__xludf.DUMMYFUNCTION("""COMPUTED_VALUE"""),"")</f>
        <v/>
      </c>
      <c r="O227" s="211" t="str">
        <f>IFERROR(__xludf.DUMMYFUNCTION("""COMPUTED_VALUE"""),"")</f>
        <v/>
      </c>
      <c r="P227" s="224" t="str">
        <f>IFERROR(__xludf.DUMMYFUNCTION("""COMPUTED_VALUE""")," ")</f>
        <v/>
      </c>
      <c r="Q227" s="225" t="str">
        <f>IFERROR(__xludf.DUMMYFUNCTION("""COMPUTED_VALUE"""),"")</f>
        <v/>
      </c>
      <c r="R227" s="211" t="str">
        <f>IFERROR(__xludf.DUMMYFUNCTION("""COMPUTED_VALUE"""),"")</f>
        <v/>
      </c>
      <c r="S227" s="211"/>
      <c r="T227" s="211"/>
      <c r="U227" s="211"/>
    </row>
    <row r="228">
      <c r="A228" s="222" t="str">
        <f>IFERROR(__xludf.DUMMYFUNCTION("""COMPUTED_VALUE"""),"03250284")</f>
        <v>03250284</v>
      </c>
      <c r="B228" s="211" t="str">
        <f>IFERROR(__xludf.DUMMYFUNCTION("""COMPUTED_VALUE"""),"01 Mar 2025")</f>
        <v>01 Mar 2025</v>
      </c>
      <c r="C228" s="211" t="str">
        <f>IFERROR(__xludf.DUMMYFUNCTION("""COMPUTED_VALUE"""),"Bpk. Sukirno (Bejo)")</f>
        <v>Bpk. Sukirno (Bejo)</v>
      </c>
      <c r="D228" s="211" t="str">
        <f>IFERROR(__xludf.DUMMYFUNCTION("""COMPUTED_VALUE"""),"LPG 12kg")</f>
        <v>LPG 12kg</v>
      </c>
      <c r="E228" s="211" t="str">
        <f>IFERROR(__xludf.DUMMYFUNCTION("""COMPUTED_VALUE"""),"2")</f>
        <v>2</v>
      </c>
      <c r="F228" s="211" t="str">
        <f>IFERROR(__xludf.DUMMYFUNCTION("""COMPUTED_VALUE"""),"420000")</f>
        <v>420000</v>
      </c>
      <c r="G228" s="211"/>
      <c r="H228" s="211"/>
      <c r="I228" s="211">
        <f>IFERROR(__xludf.DUMMYFUNCTION("""COMPUTED_VALUE"""),420000.0)</f>
        <v>420000</v>
      </c>
      <c r="J228" s="211" t="str">
        <f>IFERROR(__xludf.DUMMYFUNCTION("""COMPUTED_VALUE"""),"Ya")</f>
        <v>Ya</v>
      </c>
      <c r="L228" s="211"/>
      <c r="M228" s="211"/>
      <c r="N228" s="211" t="str">
        <f>IFERROR(__xludf.DUMMYFUNCTION("""COMPUTED_VALUE"""),"")</f>
        <v/>
      </c>
      <c r="O228" s="211" t="str">
        <f>IFERROR(__xludf.DUMMYFUNCTION("""COMPUTED_VALUE"""),"")</f>
        <v/>
      </c>
      <c r="P228" s="224" t="str">
        <f>IFERROR(__xludf.DUMMYFUNCTION("""COMPUTED_VALUE""")," ")</f>
        <v/>
      </c>
      <c r="Q228" s="225" t="str">
        <f>IFERROR(__xludf.DUMMYFUNCTION("""COMPUTED_VALUE"""),"")</f>
        <v/>
      </c>
      <c r="R228" s="211" t="str">
        <f>IFERROR(__xludf.DUMMYFUNCTION("""COMPUTED_VALUE"""),"")</f>
        <v/>
      </c>
      <c r="S228" s="211"/>
      <c r="T228" s="211"/>
      <c r="U228" s="211"/>
    </row>
    <row r="229">
      <c r="A229" s="222" t="str">
        <f>IFERROR(__xludf.DUMMYFUNCTION("""COMPUTED_VALUE"""),"03250285")</f>
        <v>03250285</v>
      </c>
      <c r="B229" s="211" t="str">
        <f>IFERROR(__xludf.DUMMYFUNCTION("""COMPUTED_VALUE"""),"01 Mar 2025")</f>
        <v>01 Mar 2025</v>
      </c>
      <c r="C229" s="211" t="str">
        <f>IFERROR(__xludf.DUMMYFUNCTION("""COMPUTED_VALUE"""),"PT GEMILANG CIPTA WAWASAN")</f>
        <v>PT GEMILANG CIPTA WAWASAN</v>
      </c>
      <c r="D229" s="211" t="str">
        <f>IFERROR(__xludf.DUMMYFUNCTION("""COMPUTED_VALUE"""),"Oksigen 6m3
LPG 12kg")</f>
        <v>Oksigen 6m3
LPG 12kg</v>
      </c>
      <c r="E229" s="211" t="str">
        <f>IFERROR(__xludf.DUMMYFUNCTION("""COMPUTED_VALUE"""),"10
5")</f>
        <v>10
5</v>
      </c>
      <c r="F229" s="211" t="str">
        <f>IFERROR(__xludf.DUMMYFUNCTION("""COMPUTED_VALUE"""),"666000
1165500")</f>
        <v>666000
1165500</v>
      </c>
      <c r="G229" s="211"/>
      <c r="H229" s="211"/>
      <c r="I229" s="211">
        <f>IFERROR(__xludf.DUMMYFUNCTION("""COMPUTED_VALUE"""),1831500.0)</f>
        <v>1831500</v>
      </c>
      <c r="J229" s="211" t="str">
        <f>IFERROR(__xludf.DUMMYFUNCTION("""COMPUTED_VALUE"""),"Penagihan")</f>
        <v>Penagihan</v>
      </c>
      <c r="L229" s="211"/>
      <c r="M229" s="211"/>
      <c r="N229" s="211" t="str">
        <f>IFERROR(__xludf.DUMMYFUNCTION("""COMPUTED_VALUE"""),"")</f>
        <v/>
      </c>
      <c r="O229" s="211" t="str">
        <f>IFERROR(__xludf.DUMMYFUNCTION("""COMPUTED_VALUE"""),"")</f>
        <v/>
      </c>
      <c r="P229" s="224" t="str">
        <f>IFERROR(__xludf.DUMMYFUNCTION("""COMPUTED_VALUE""")," ")</f>
        <v/>
      </c>
      <c r="Q229" s="225" t="str">
        <f>IFERROR(__xludf.DUMMYFUNCTION("""COMPUTED_VALUE"""),"")</f>
        <v/>
      </c>
      <c r="R229" s="211" t="str">
        <f>IFERROR(__xludf.DUMMYFUNCTION("""COMPUTED_VALUE"""),"")</f>
        <v/>
      </c>
      <c r="S229" s="211"/>
      <c r="T229" s="211"/>
      <c r="U229" s="211"/>
    </row>
    <row r="230">
      <c r="A230" s="222" t="str">
        <f>IFERROR(__xludf.DUMMYFUNCTION("""COMPUTED_VALUE"""),"03250287")</f>
        <v>03250287</v>
      </c>
      <c r="B230" s="211" t="str">
        <f>IFERROR(__xludf.DUMMYFUNCTION("""COMPUTED_VALUE"""),"03 Mar 2025")</f>
        <v>03 Mar 2025</v>
      </c>
      <c r="C230" s="211" t="str">
        <f>IFERROR(__xludf.DUMMYFUNCTION("""COMPUTED_VALUE"""),"Bpk. Maruf")</f>
        <v>Bpk. Maruf</v>
      </c>
      <c r="D230" s="211" t="str">
        <f>IFERROR(__xludf.DUMMYFUNCTION("""COMPUTED_VALUE"""),"Oksigen 6m3
LPG 12kg")</f>
        <v>Oksigen 6m3
LPG 12kg</v>
      </c>
      <c r="E230" s="211" t="str">
        <f>IFERROR(__xludf.DUMMYFUNCTION("""COMPUTED_VALUE"""),"15
2")</f>
        <v>15
2</v>
      </c>
      <c r="F230" s="211" t="str">
        <f>IFERROR(__xludf.DUMMYFUNCTION("""COMPUTED_VALUE"""),"900000
430000")</f>
        <v>900000
430000</v>
      </c>
      <c r="G230" s="211"/>
      <c r="H230" s="211"/>
      <c r="I230" s="211">
        <f>IFERROR(__xludf.DUMMYFUNCTION("""COMPUTED_VALUE"""),1330000.0)</f>
        <v>1330000</v>
      </c>
      <c r="J230" s="211" t="str">
        <f>IFERROR(__xludf.DUMMYFUNCTION("""COMPUTED_VALUE"""),"Ya")</f>
        <v>Ya</v>
      </c>
      <c r="L230" s="211"/>
      <c r="M230" s="211"/>
      <c r="N230" s="211" t="str">
        <f>IFERROR(__xludf.DUMMYFUNCTION("""COMPUTED_VALUE"""),"")</f>
        <v/>
      </c>
      <c r="O230" s="211" t="str">
        <f>IFERROR(__xludf.DUMMYFUNCTION("""COMPUTED_VALUE"""),"")</f>
        <v/>
      </c>
      <c r="P230" s="224" t="str">
        <f>IFERROR(__xludf.DUMMYFUNCTION("""COMPUTED_VALUE""")," ")</f>
        <v/>
      </c>
      <c r="Q230" s="225" t="str">
        <f>IFERROR(__xludf.DUMMYFUNCTION("""COMPUTED_VALUE"""),"")</f>
        <v/>
      </c>
      <c r="R230" s="211" t="str">
        <f>IFERROR(__xludf.DUMMYFUNCTION("""COMPUTED_VALUE"""),"")</f>
        <v/>
      </c>
      <c r="S230" s="211"/>
      <c r="T230" s="211"/>
      <c r="U230" s="211"/>
    </row>
    <row r="231">
      <c r="A231" s="222" t="str">
        <f>IFERROR(__xludf.DUMMYFUNCTION("""COMPUTED_VALUE"""),"03250289")</f>
        <v>03250289</v>
      </c>
      <c r="B231" s="211" t="str">
        <f>IFERROR(__xludf.DUMMYFUNCTION("""COMPUTED_VALUE"""),"04 Mar 2025")</f>
        <v>04 Mar 2025</v>
      </c>
      <c r="C231" s="211" t="str">
        <f>IFERROR(__xludf.DUMMYFUNCTION("""COMPUTED_VALUE"""),"PT GEMILANG CIPTA WAWASAN")</f>
        <v>PT GEMILANG CIPTA WAWASAN</v>
      </c>
      <c r="D231" s="211" t="str">
        <f>IFERROR(__xludf.DUMMYFUNCTION("""COMPUTED_VALUE"""),"Oksigen 6m3")</f>
        <v>Oksigen 6m3</v>
      </c>
      <c r="E231" s="211" t="str">
        <f>IFERROR(__xludf.DUMMYFUNCTION("""COMPUTED_VALUE"""),"10")</f>
        <v>10</v>
      </c>
      <c r="F231" s="211" t="str">
        <f>IFERROR(__xludf.DUMMYFUNCTION("""COMPUTED_VALUE"""),"666000")</f>
        <v>666000</v>
      </c>
      <c r="G231" s="211"/>
      <c r="H231" s="211"/>
      <c r="I231" s="211">
        <f>IFERROR(__xludf.DUMMYFUNCTION("""COMPUTED_VALUE"""),666000.0)</f>
        <v>666000</v>
      </c>
      <c r="J231" s="211" t="str">
        <f>IFERROR(__xludf.DUMMYFUNCTION("""COMPUTED_VALUE"""),"Penagihan")</f>
        <v>Penagihan</v>
      </c>
      <c r="L231" s="211"/>
      <c r="M231" s="211"/>
      <c r="N231" s="211" t="str">
        <f>IFERROR(__xludf.DUMMYFUNCTION("""COMPUTED_VALUE"""),"")</f>
        <v/>
      </c>
      <c r="O231" s="211" t="str">
        <f>IFERROR(__xludf.DUMMYFUNCTION("""COMPUTED_VALUE"""),"")</f>
        <v/>
      </c>
      <c r="P231" s="224" t="str">
        <f>IFERROR(__xludf.DUMMYFUNCTION("""COMPUTED_VALUE""")," ")</f>
        <v/>
      </c>
      <c r="Q231" s="225" t="str">
        <f>IFERROR(__xludf.DUMMYFUNCTION("""COMPUTED_VALUE"""),"")</f>
        <v/>
      </c>
      <c r="R231" s="211" t="str">
        <f>IFERROR(__xludf.DUMMYFUNCTION("""COMPUTED_VALUE"""),"")</f>
        <v/>
      </c>
      <c r="S231" s="211"/>
      <c r="T231" s="211"/>
      <c r="U231" s="211"/>
    </row>
    <row r="232">
      <c r="A232" s="222" t="str">
        <f>IFERROR(__xludf.DUMMYFUNCTION("""COMPUTED_VALUE"""),"03250290")</f>
        <v>03250290</v>
      </c>
      <c r="B232" s="211" t="str">
        <f>IFERROR(__xludf.DUMMYFUNCTION("""COMPUTED_VALUE"""),"04 Mar 2025")</f>
        <v>04 Mar 2025</v>
      </c>
      <c r="C232" s="211" t="str">
        <f>IFERROR(__xludf.DUMMYFUNCTION("""COMPUTED_VALUE"""),"Bpk. Joko (Gresik)")</f>
        <v>Bpk. Joko (Gresik)</v>
      </c>
      <c r="D232" s="211" t="str">
        <f>IFERROR(__xludf.DUMMYFUNCTION("""COMPUTED_VALUE"""),"Oksigen 6m3 MR")</f>
        <v>Oksigen 6m3 MR</v>
      </c>
      <c r="E232" s="211" t="str">
        <f>IFERROR(__xludf.DUMMYFUNCTION("""COMPUTED_VALUE"""),"10")</f>
        <v>10</v>
      </c>
      <c r="F232" s="211" t="str">
        <f>IFERROR(__xludf.DUMMYFUNCTION("""COMPUTED_VALUE"""),"550000")</f>
        <v>550000</v>
      </c>
      <c r="G232" s="211"/>
      <c r="H232" s="211"/>
      <c r="I232" s="211">
        <f>IFERROR(__xludf.DUMMYFUNCTION("""COMPUTED_VALUE"""),550000.0)</f>
        <v>550000</v>
      </c>
      <c r="J232" s="211" t="str">
        <f>IFERROR(__xludf.DUMMYFUNCTION("""COMPUTED_VALUE"""),"Ya")</f>
        <v>Ya</v>
      </c>
      <c r="L232" s="211"/>
      <c r="M232" s="211"/>
      <c r="N232" s="211" t="str">
        <f>IFERROR(__xludf.DUMMYFUNCTION("""COMPUTED_VALUE"""),"")</f>
        <v/>
      </c>
      <c r="O232" s="211" t="str">
        <f>IFERROR(__xludf.DUMMYFUNCTION("""COMPUTED_VALUE"""),"")</f>
        <v/>
      </c>
      <c r="P232" s="224" t="str">
        <f>IFERROR(__xludf.DUMMYFUNCTION("""COMPUTED_VALUE""")," ")</f>
        <v/>
      </c>
      <c r="Q232" s="225" t="str">
        <f>IFERROR(__xludf.DUMMYFUNCTION("""COMPUTED_VALUE"""),"")</f>
        <v/>
      </c>
      <c r="R232" s="211" t="str">
        <f>IFERROR(__xludf.DUMMYFUNCTION("""COMPUTED_VALUE"""),"")</f>
        <v/>
      </c>
      <c r="S232" s="211"/>
      <c r="T232" s="211"/>
      <c r="U232" s="211"/>
    </row>
    <row r="233">
      <c r="A233" s="222" t="str">
        <f>IFERROR(__xludf.DUMMYFUNCTION("""COMPUTED_VALUE"""),"03250291")</f>
        <v>03250291</v>
      </c>
      <c r="B233" s="211" t="str">
        <f>IFERROR(__xludf.DUMMYFUNCTION("""COMPUTED_VALUE"""),"04 Mar 2025")</f>
        <v>04 Mar 2025</v>
      </c>
      <c r="C233" s="211" t="str">
        <f>IFERROR(__xludf.DUMMYFUNCTION("""COMPUTED_VALUE"""),"Bpk. Sukirno (Bejo)")</f>
        <v>Bpk. Sukirno (Bejo)</v>
      </c>
      <c r="D233" s="211" t="str">
        <f>IFERROR(__xludf.DUMMYFUNCTION("""COMPUTED_VALUE"""),"Oksigen 6m3
LPG 12kg")</f>
        <v>Oksigen 6m3
LPG 12kg</v>
      </c>
      <c r="E233" s="211" t="str">
        <f>IFERROR(__xludf.DUMMYFUNCTION("""COMPUTED_VALUE"""),"5
2")</f>
        <v>5
2</v>
      </c>
      <c r="F233" s="211" t="str">
        <f>IFERROR(__xludf.DUMMYFUNCTION("""COMPUTED_VALUE"""),"300000
420000")</f>
        <v>300000
420000</v>
      </c>
      <c r="G233" s="211"/>
      <c r="H233" s="211"/>
      <c r="I233" s="211">
        <f>IFERROR(__xludf.DUMMYFUNCTION("""COMPUTED_VALUE"""),720000.0)</f>
        <v>720000</v>
      </c>
      <c r="J233" s="211" t="str">
        <f>IFERROR(__xludf.DUMMYFUNCTION("""COMPUTED_VALUE"""),"Ya")</f>
        <v>Ya</v>
      </c>
      <c r="L233" s="211"/>
      <c r="M233" s="211"/>
      <c r="N233" s="211" t="str">
        <f>IFERROR(__xludf.DUMMYFUNCTION("""COMPUTED_VALUE"""),"")</f>
        <v/>
      </c>
      <c r="O233" s="211" t="str">
        <f>IFERROR(__xludf.DUMMYFUNCTION("""COMPUTED_VALUE"""),"")</f>
        <v/>
      </c>
      <c r="P233" s="224" t="str">
        <f>IFERROR(__xludf.DUMMYFUNCTION("""COMPUTED_VALUE""")," ")</f>
        <v/>
      </c>
      <c r="Q233" s="225" t="str">
        <f>IFERROR(__xludf.DUMMYFUNCTION("""COMPUTED_VALUE"""),"")</f>
        <v/>
      </c>
      <c r="R233" s="211" t="str">
        <f>IFERROR(__xludf.DUMMYFUNCTION("""COMPUTED_VALUE"""),"")</f>
        <v/>
      </c>
      <c r="S233" s="211"/>
      <c r="T233" s="211"/>
      <c r="U233" s="211"/>
    </row>
    <row r="234">
      <c r="A234" s="222" t="str">
        <f>IFERROR(__xludf.DUMMYFUNCTION("""COMPUTED_VALUE"""),"03250293")</f>
        <v>03250293</v>
      </c>
      <c r="B234" s="211" t="str">
        <f>IFERROR(__xludf.DUMMYFUNCTION("""COMPUTED_VALUE"""),"04 Mar 2025")</f>
        <v>04 Mar 2025</v>
      </c>
      <c r="C234" s="211" t="str">
        <f>IFERROR(__xludf.DUMMYFUNCTION("""COMPUTED_VALUE"""),"PT PELANGI INDOKARYA")</f>
        <v>PT PELANGI INDOKARYA</v>
      </c>
      <c r="D234" s="211" t="str">
        <f>IFERROR(__xludf.DUMMYFUNCTION("""COMPUTED_VALUE"""),"Oksigen 6m3")</f>
        <v>Oksigen 6m3</v>
      </c>
      <c r="E234" s="211" t="str">
        <f>IFERROR(__xludf.DUMMYFUNCTION("""COMPUTED_VALUE"""),"3")</f>
        <v>3</v>
      </c>
      <c r="F234" s="211" t="str">
        <f>IFERROR(__xludf.DUMMYFUNCTION("""COMPUTED_VALUE"""),"199800")</f>
        <v>199800</v>
      </c>
      <c r="G234" s="211"/>
      <c r="H234" s="211"/>
      <c r="I234" s="211">
        <f>IFERROR(__xludf.DUMMYFUNCTION("""COMPUTED_VALUE"""),199800.0)</f>
        <v>199800</v>
      </c>
      <c r="J234" s="211" t="str">
        <f>IFERROR(__xludf.DUMMYFUNCTION("""COMPUTED_VALUE"""),"Ya")</f>
        <v>Ya</v>
      </c>
      <c r="L234" s="211"/>
      <c r="M234" s="211"/>
      <c r="N234" s="211" t="str">
        <f>IFERROR(__xludf.DUMMYFUNCTION("""COMPUTED_VALUE"""),"")</f>
        <v/>
      </c>
      <c r="O234" s="211" t="str">
        <f>IFERROR(__xludf.DUMMYFUNCTION("""COMPUTED_VALUE"""),"")</f>
        <v/>
      </c>
      <c r="P234" s="224" t="str">
        <f>IFERROR(__xludf.DUMMYFUNCTION("""COMPUTED_VALUE""")," ")</f>
        <v/>
      </c>
      <c r="Q234" s="225" t="str">
        <f>IFERROR(__xludf.DUMMYFUNCTION("""COMPUTED_VALUE"""),"")</f>
        <v/>
      </c>
      <c r="R234" s="211" t="str">
        <f>IFERROR(__xludf.DUMMYFUNCTION("""COMPUTED_VALUE"""),"")</f>
        <v/>
      </c>
      <c r="S234" s="211"/>
      <c r="T234" s="211"/>
      <c r="U234" s="211"/>
    </row>
    <row r="235">
      <c r="A235" s="222" t="str">
        <f>IFERROR(__xludf.DUMMYFUNCTION("""COMPUTED_VALUE"""),"03250294")</f>
        <v>03250294</v>
      </c>
      <c r="B235" s="211" t="str">
        <f>IFERROR(__xludf.DUMMYFUNCTION("""COMPUTED_VALUE"""),"05 Mar 2025")</f>
        <v>05 Mar 2025</v>
      </c>
      <c r="C235" s="211" t="str">
        <f>IFERROR(__xludf.DUMMYFUNCTION("""COMPUTED_VALUE"""),"GYF")</f>
        <v>GYF</v>
      </c>
      <c r="D235" s="211" t="str">
        <f>IFERROR(__xludf.DUMMYFUNCTION("""COMPUTED_VALUE"""),"Oksigen 6m3")</f>
        <v>Oksigen 6m3</v>
      </c>
      <c r="E235" s="211" t="str">
        <f>IFERROR(__xludf.DUMMYFUNCTION("""COMPUTED_VALUE"""),"10")</f>
        <v>10</v>
      </c>
      <c r="F235" s="211" t="str">
        <f>IFERROR(__xludf.DUMMYFUNCTION("""COMPUTED_VALUE"""),"450000")</f>
        <v>450000</v>
      </c>
      <c r="G235" s="211"/>
      <c r="H235" s="211"/>
      <c r="I235" s="211">
        <f>IFERROR(__xludf.DUMMYFUNCTION("""COMPUTED_VALUE"""),450000.0)</f>
        <v>450000</v>
      </c>
      <c r="J235" s="211" t="str">
        <f>IFERROR(__xludf.DUMMYFUNCTION("""COMPUTED_VALUE"""),"Ya")</f>
        <v>Ya</v>
      </c>
      <c r="L235" s="211"/>
      <c r="M235" s="211"/>
      <c r="N235" s="211" t="str">
        <f>IFERROR(__xludf.DUMMYFUNCTION("""COMPUTED_VALUE"""),"")</f>
        <v/>
      </c>
      <c r="O235" s="211" t="str">
        <f>IFERROR(__xludf.DUMMYFUNCTION("""COMPUTED_VALUE"""),"")</f>
        <v/>
      </c>
      <c r="P235" s="224" t="str">
        <f>IFERROR(__xludf.DUMMYFUNCTION("""COMPUTED_VALUE""")," ")</f>
        <v/>
      </c>
      <c r="Q235" s="225" t="str">
        <f>IFERROR(__xludf.DUMMYFUNCTION("""COMPUTED_VALUE"""),"")</f>
        <v/>
      </c>
      <c r="R235" s="211" t="str">
        <f>IFERROR(__xludf.DUMMYFUNCTION("""COMPUTED_VALUE"""),"")</f>
        <v/>
      </c>
      <c r="S235" s="211"/>
      <c r="T235" s="211"/>
      <c r="U235" s="211"/>
    </row>
    <row r="236">
      <c r="A236" s="222" t="str">
        <f>IFERROR(__xludf.DUMMYFUNCTION("""COMPUTED_VALUE"""),"03250295")</f>
        <v>03250295</v>
      </c>
      <c r="B236" s="211" t="str">
        <f>IFERROR(__xludf.DUMMYFUNCTION("""COMPUTED_VALUE"""),"05 Mar 2025")</f>
        <v>05 Mar 2025</v>
      </c>
      <c r="C236" s="211" t="str">
        <f>IFERROR(__xludf.DUMMYFUNCTION("""COMPUTED_VALUE"""),"Bpk. Sukirno (Bejo)")</f>
        <v>Bpk. Sukirno (Bejo)</v>
      </c>
      <c r="D236" s="211" t="str">
        <f>IFERROR(__xludf.DUMMYFUNCTION("""COMPUTED_VALUE"""),"Oksigen 6m3
LPG 12kg")</f>
        <v>Oksigen 6m3
LPG 12kg</v>
      </c>
      <c r="E236" s="211" t="str">
        <f>IFERROR(__xludf.DUMMYFUNCTION("""COMPUTED_VALUE"""),"7
2")</f>
        <v>7
2</v>
      </c>
      <c r="F236" s="211" t="str">
        <f>IFERROR(__xludf.DUMMYFUNCTION("""COMPUTED_VALUE"""),"420000
420000")</f>
        <v>420000
420000</v>
      </c>
      <c r="G236" s="211"/>
      <c r="H236" s="211"/>
      <c r="I236" s="211">
        <f>IFERROR(__xludf.DUMMYFUNCTION("""COMPUTED_VALUE"""),840000.0)</f>
        <v>840000</v>
      </c>
      <c r="J236" s="211" t="str">
        <f>IFERROR(__xludf.DUMMYFUNCTION("""COMPUTED_VALUE"""),"Ya")</f>
        <v>Ya</v>
      </c>
      <c r="L236" s="211"/>
      <c r="M236" s="211"/>
      <c r="N236" s="211" t="str">
        <f>IFERROR(__xludf.DUMMYFUNCTION("""COMPUTED_VALUE"""),"")</f>
        <v/>
      </c>
      <c r="O236" s="211" t="str">
        <f>IFERROR(__xludf.DUMMYFUNCTION("""COMPUTED_VALUE"""),"")</f>
        <v/>
      </c>
      <c r="P236" s="224" t="str">
        <f>IFERROR(__xludf.DUMMYFUNCTION("""COMPUTED_VALUE""")," ")</f>
        <v/>
      </c>
      <c r="Q236" s="225" t="str">
        <f>IFERROR(__xludf.DUMMYFUNCTION("""COMPUTED_VALUE"""),"")</f>
        <v/>
      </c>
      <c r="R236" s="211" t="str">
        <f>IFERROR(__xludf.DUMMYFUNCTION("""COMPUTED_VALUE"""),"")</f>
        <v/>
      </c>
      <c r="S236" s="211"/>
      <c r="T236" s="211"/>
      <c r="U236" s="211"/>
    </row>
    <row r="237">
      <c r="A237" s="222" t="str">
        <f>IFERROR(__xludf.DUMMYFUNCTION("""COMPUTED_VALUE"""),"03250297")</f>
        <v>03250297</v>
      </c>
      <c r="B237" s="211" t="str">
        <f>IFERROR(__xludf.DUMMYFUNCTION("""COMPUTED_VALUE"""),"06 Mar 2025")</f>
        <v>06 Mar 2025</v>
      </c>
      <c r="C237" s="211" t="str">
        <f>IFERROR(__xludf.DUMMYFUNCTION("""COMPUTED_VALUE"""),"PT ARYANA CAKASANA")</f>
        <v>PT ARYANA CAKASANA</v>
      </c>
      <c r="D237" s="211" t="str">
        <f>IFERROR(__xludf.DUMMYFUNCTION("""COMPUTED_VALUE"""),"Oksigen 6m3")</f>
        <v>Oksigen 6m3</v>
      </c>
      <c r="E237" s="211" t="str">
        <f>IFERROR(__xludf.DUMMYFUNCTION("""COMPUTED_VALUE"""),"10")</f>
        <v>10</v>
      </c>
      <c r="F237" s="211" t="str">
        <f>IFERROR(__xludf.DUMMYFUNCTION("""COMPUTED_VALUE"""),"524997")</f>
        <v>524997</v>
      </c>
      <c r="G237" s="211"/>
      <c r="H237" s="211"/>
      <c r="I237" s="211">
        <f>IFERROR(__xludf.DUMMYFUNCTION("""COMPUTED_VALUE"""),524997.0)</f>
        <v>524997</v>
      </c>
      <c r="J237" s="211" t="str">
        <f>IFERROR(__xludf.DUMMYFUNCTION("""COMPUTED_VALUE"""),"Penagihan")</f>
        <v>Penagihan</v>
      </c>
      <c r="L237" s="211"/>
      <c r="M237" s="211"/>
      <c r="N237" s="211" t="str">
        <f>IFERROR(__xludf.DUMMYFUNCTION("""COMPUTED_VALUE"""),"")</f>
        <v/>
      </c>
      <c r="O237" s="211" t="str">
        <f>IFERROR(__xludf.DUMMYFUNCTION("""COMPUTED_VALUE"""),"")</f>
        <v/>
      </c>
      <c r="P237" s="224" t="str">
        <f>IFERROR(__xludf.DUMMYFUNCTION("""COMPUTED_VALUE""")," ")</f>
        <v/>
      </c>
      <c r="Q237" s="225" t="str">
        <f>IFERROR(__xludf.DUMMYFUNCTION("""COMPUTED_VALUE"""),"")</f>
        <v/>
      </c>
      <c r="R237" s="211" t="str">
        <f>IFERROR(__xludf.DUMMYFUNCTION("""COMPUTED_VALUE"""),"")</f>
        <v/>
      </c>
      <c r="S237" s="211"/>
      <c r="T237" s="211"/>
      <c r="U237" s="211"/>
    </row>
    <row r="238">
      <c r="A238" s="222" t="str">
        <f>IFERROR(__xludf.DUMMYFUNCTION("""COMPUTED_VALUE"""),"03250298")</f>
        <v>03250298</v>
      </c>
      <c r="B238" s="211" t="str">
        <f>IFERROR(__xludf.DUMMYFUNCTION("""COMPUTED_VALUE"""),"06 Mar 2025")</f>
        <v>06 Mar 2025</v>
      </c>
      <c r="C238" s="211" t="str">
        <f>IFERROR(__xludf.DUMMYFUNCTION("""COMPUTED_VALUE"""),"PT Jatim Abadi Perkasa Steel")</f>
        <v>PT Jatim Abadi Perkasa Steel</v>
      </c>
      <c r="D238" s="211" t="str">
        <f>IFERROR(__xludf.DUMMYFUNCTION("""COMPUTED_VALUE"""),"Karbondioksida")</f>
        <v>Karbondioksida</v>
      </c>
      <c r="E238" s="211" t="str">
        <f>IFERROR(__xludf.DUMMYFUNCTION("""COMPUTED_VALUE"""),"4")</f>
        <v>4</v>
      </c>
      <c r="F238" s="211" t="str">
        <f>IFERROR(__xludf.DUMMYFUNCTION("""COMPUTED_VALUE"""),"741480")</f>
        <v>741480</v>
      </c>
      <c r="G238" s="211"/>
      <c r="H238" s="211"/>
      <c r="I238" s="211">
        <f>IFERROR(__xludf.DUMMYFUNCTION("""COMPUTED_VALUE"""),741480.0)</f>
        <v>741480</v>
      </c>
      <c r="J238" s="211" t="str">
        <f>IFERROR(__xludf.DUMMYFUNCTION("""COMPUTED_VALUE"""),"Ya")</f>
        <v>Ya</v>
      </c>
      <c r="L238" s="211"/>
      <c r="M238" s="211"/>
      <c r="N238" s="211" t="str">
        <f>IFERROR(__xludf.DUMMYFUNCTION("""COMPUTED_VALUE"""),"")</f>
        <v/>
      </c>
      <c r="O238" s="211" t="str">
        <f>IFERROR(__xludf.DUMMYFUNCTION("""COMPUTED_VALUE"""),"")</f>
        <v/>
      </c>
      <c r="P238" s="224" t="str">
        <f>IFERROR(__xludf.DUMMYFUNCTION("""COMPUTED_VALUE""")," ")</f>
        <v/>
      </c>
      <c r="Q238" s="225" t="str">
        <f>IFERROR(__xludf.DUMMYFUNCTION("""COMPUTED_VALUE"""),"")</f>
        <v/>
      </c>
      <c r="R238" s="211" t="str">
        <f>IFERROR(__xludf.DUMMYFUNCTION("""COMPUTED_VALUE"""),"")</f>
        <v/>
      </c>
      <c r="S238" s="211"/>
      <c r="T238" s="211"/>
      <c r="U238" s="211"/>
    </row>
    <row r="239">
      <c r="A239" s="222" t="str">
        <f>IFERROR(__xludf.DUMMYFUNCTION("""COMPUTED_VALUE"""),"03250299")</f>
        <v>03250299</v>
      </c>
      <c r="B239" s="211" t="str">
        <f>IFERROR(__xludf.DUMMYFUNCTION("""COMPUTED_VALUE"""),"06 Mar 2025")</f>
        <v>06 Mar 2025</v>
      </c>
      <c r="C239" s="211" t="str">
        <f>IFERROR(__xludf.DUMMYFUNCTION("""COMPUTED_VALUE"""),"Bpk. Maruf")</f>
        <v>Bpk. Maruf</v>
      </c>
      <c r="D239" s="211" t="str">
        <f>IFERROR(__xludf.DUMMYFUNCTION("""COMPUTED_VALUE"""),"Oksigen 6m3
LPG 12kg")</f>
        <v>Oksigen 6m3
LPG 12kg</v>
      </c>
      <c r="E239" s="211" t="str">
        <f>IFERROR(__xludf.DUMMYFUNCTION("""COMPUTED_VALUE"""),"5
2")</f>
        <v>5
2</v>
      </c>
      <c r="F239" s="211" t="str">
        <f>IFERROR(__xludf.DUMMYFUNCTION("""COMPUTED_VALUE"""),"300000
430000")</f>
        <v>300000
430000</v>
      </c>
      <c r="G239" s="211"/>
      <c r="H239" s="211"/>
      <c r="I239" s="211">
        <f>IFERROR(__xludf.DUMMYFUNCTION("""COMPUTED_VALUE"""),730000.0)</f>
        <v>730000</v>
      </c>
      <c r="J239" s="211" t="str">
        <f>IFERROR(__xludf.DUMMYFUNCTION("""COMPUTED_VALUE"""),"Ya")</f>
        <v>Ya</v>
      </c>
      <c r="L239" s="211"/>
      <c r="M239" s="211"/>
      <c r="N239" s="211" t="str">
        <f>IFERROR(__xludf.DUMMYFUNCTION("""COMPUTED_VALUE"""),"")</f>
        <v/>
      </c>
      <c r="O239" s="211" t="str">
        <f>IFERROR(__xludf.DUMMYFUNCTION("""COMPUTED_VALUE"""),"")</f>
        <v/>
      </c>
      <c r="P239" s="224" t="str">
        <f>IFERROR(__xludf.DUMMYFUNCTION("""COMPUTED_VALUE""")," ")</f>
        <v/>
      </c>
      <c r="Q239" s="225" t="str">
        <f>IFERROR(__xludf.DUMMYFUNCTION("""COMPUTED_VALUE"""),"")</f>
        <v/>
      </c>
      <c r="R239" s="211" t="str">
        <f>IFERROR(__xludf.DUMMYFUNCTION("""COMPUTED_VALUE"""),"")</f>
        <v/>
      </c>
      <c r="S239" s="211"/>
      <c r="T239" s="211"/>
      <c r="U239" s="211"/>
    </row>
    <row r="240">
      <c r="A240" s="222" t="str">
        <f>IFERROR(__xludf.DUMMYFUNCTION("""COMPUTED_VALUE"""),"03250301")</f>
        <v>03250301</v>
      </c>
      <c r="B240" s="211" t="str">
        <f>IFERROR(__xludf.DUMMYFUNCTION("""COMPUTED_VALUE"""),"06 Mar 2025")</f>
        <v>06 Mar 2025</v>
      </c>
      <c r="C240" s="211" t="str">
        <f>IFERROR(__xludf.DUMMYFUNCTION("""COMPUTED_VALUE"""),"Bpk. Sukirno (Bejo)")</f>
        <v>Bpk. Sukirno (Bejo)</v>
      </c>
      <c r="D240" s="211" t="str">
        <f>IFERROR(__xludf.DUMMYFUNCTION("""COMPUTED_VALUE"""),"Oksigen 6m3")</f>
        <v>Oksigen 6m3</v>
      </c>
      <c r="E240" s="211" t="str">
        <f>IFERROR(__xludf.DUMMYFUNCTION("""COMPUTED_VALUE"""),"15")</f>
        <v>15</v>
      </c>
      <c r="F240" s="211" t="str">
        <f>IFERROR(__xludf.DUMMYFUNCTION("""COMPUTED_VALUE"""),"900000")</f>
        <v>900000</v>
      </c>
      <c r="G240" s="211"/>
      <c r="H240" s="211"/>
      <c r="I240" s="211">
        <f>IFERROR(__xludf.DUMMYFUNCTION("""COMPUTED_VALUE"""),900000.0)</f>
        <v>900000</v>
      </c>
      <c r="J240" s="211" t="str">
        <f>IFERROR(__xludf.DUMMYFUNCTION("""COMPUTED_VALUE"""),"Ya")</f>
        <v>Ya</v>
      </c>
      <c r="L240" s="211"/>
      <c r="M240" s="211"/>
      <c r="N240" s="211" t="str">
        <f>IFERROR(__xludf.DUMMYFUNCTION("""COMPUTED_VALUE"""),"")</f>
        <v/>
      </c>
      <c r="O240" s="211" t="str">
        <f>IFERROR(__xludf.DUMMYFUNCTION("""COMPUTED_VALUE"""),"")</f>
        <v/>
      </c>
      <c r="P240" s="224" t="str">
        <f>IFERROR(__xludf.DUMMYFUNCTION("""COMPUTED_VALUE""")," ")</f>
        <v/>
      </c>
      <c r="Q240" s="225" t="str">
        <f>IFERROR(__xludf.DUMMYFUNCTION("""COMPUTED_VALUE"""),"")</f>
        <v/>
      </c>
      <c r="R240" s="211" t="str">
        <f>IFERROR(__xludf.DUMMYFUNCTION("""COMPUTED_VALUE"""),"")</f>
        <v/>
      </c>
      <c r="S240" s="211"/>
      <c r="T240" s="211"/>
      <c r="U240" s="211"/>
    </row>
    <row r="241">
      <c r="A241" s="222" t="str">
        <f>IFERROR(__xludf.DUMMYFUNCTION("""COMPUTED_VALUE"""),"03250302")</f>
        <v>03250302</v>
      </c>
      <c r="B241" s="211" t="str">
        <f>IFERROR(__xludf.DUMMYFUNCTION("""COMPUTED_VALUE"""),"07 Mar 2025")</f>
        <v>07 Mar 2025</v>
      </c>
      <c r="C241" s="211" t="str">
        <f>IFERROR(__xludf.DUMMYFUNCTION("""COMPUTED_VALUE"""),"Bpk. Maruf")</f>
        <v>Bpk. Maruf</v>
      </c>
      <c r="D241" s="211" t="str">
        <f>IFERROR(__xludf.DUMMYFUNCTION("""COMPUTED_VALUE"""),"Oksigen 6m3")</f>
        <v>Oksigen 6m3</v>
      </c>
      <c r="E241" s="211" t="str">
        <f>IFERROR(__xludf.DUMMYFUNCTION("""COMPUTED_VALUE"""),"20")</f>
        <v>20</v>
      </c>
      <c r="F241" s="211" t="str">
        <f>IFERROR(__xludf.DUMMYFUNCTION("""COMPUTED_VALUE"""),"1200000")</f>
        <v>1200000</v>
      </c>
      <c r="G241" s="211"/>
      <c r="H241" s="211"/>
      <c r="I241" s="211">
        <f>IFERROR(__xludf.DUMMYFUNCTION("""COMPUTED_VALUE"""),1200000.0)</f>
        <v>1200000</v>
      </c>
      <c r="J241" s="211" t="str">
        <f>IFERROR(__xludf.DUMMYFUNCTION("""COMPUTED_VALUE"""),"Ya")</f>
        <v>Ya</v>
      </c>
      <c r="L241" s="211"/>
      <c r="M241" s="211"/>
      <c r="N241" s="211" t="str">
        <f>IFERROR(__xludf.DUMMYFUNCTION("""COMPUTED_VALUE"""),"")</f>
        <v/>
      </c>
      <c r="O241" s="211" t="str">
        <f>IFERROR(__xludf.DUMMYFUNCTION("""COMPUTED_VALUE"""),"")</f>
        <v/>
      </c>
      <c r="P241" s="224" t="str">
        <f>IFERROR(__xludf.DUMMYFUNCTION("""COMPUTED_VALUE""")," ")</f>
        <v/>
      </c>
      <c r="Q241" s="225" t="str">
        <f>IFERROR(__xludf.DUMMYFUNCTION("""COMPUTED_VALUE"""),"")</f>
        <v/>
      </c>
      <c r="R241" s="211" t="str">
        <f>IFERROR(__xludf.DUMMYFUNCTION("""COMPUTED_VALUE"""),"")</f>
        <v/>
      </c>
      <c r="S241" s="211"/>
      <c r="T241" s="211"/>
      <c r="U241" s="211"/>
    </row>
    <row r="242">
      <c r="A242" s="222" t="str">
        <f>IFERROR(__xludf.DUMMYFUNCTION("""COMPUTED_VALUE"""),"03250303")</f>
        <v>03250303</v>
      </c>
      <c r="B242" s="211" t="str">
        <f>IFERROR(__xludf.DUMMYFUNCTION("""COMPUTED_VALUE"""),"07 Mar 2025")</f>
        <v>07 Mar 2025</v>
      </c>
      <c r="C242" s="211" t="str">
        <f>IFERROR(__xludf.DUMMYFUNCTION("""COMPUTED_VALUE"""),"Bpk. Irul")</f>
        <v>Bpk. Irul</v>
      </c>
      <c r="D242" s="211" t="str">
        <f>IFERROR(__xludf.DUMMYFUNCTION("""COMPUTED_VALUE"""),"Oksigen 6m3")</f>
        <v>Oksigen 6m3</v>
      </c>
      <c r="E242" s="211" t="str">
        <f>IFERROR(__xludf.DUMMYFUNCTION("""COMPUTED_VALUE"""),"1")</f>
        <v>1</v>
      </c>
      <c r="F242" s="211" t="str">
        <f>IFERROR(__xludf.DUMMYFUNCTION("""COMPUTED_VALUE"""),"65000")</f>
        <v>65000</v>
      </c>
      <c r="G242" s="211"/>
      <c r="H242" s="211"/>
      <c r="I242" s="211">
        <f>IFERROR(__xludf.DUMMYFUNCTION("""COMPUTED_VALUE"""),65000.0)</f>
        <v>65000</v>
      </c>
      <c r="J242" s="211" t="str">
        <f>IFERROR(__xludf.DUMMYFUNCTION("""COMPUTED_VALUE"""),"Ya")</f>
        <v>Ya</v>
      </c>
      <c r="L242" s="211"/>
      <c r="M242" s="211"/>
      <c r="N242" s="211" t="str">
        <f>IFERROR(__xludf.DUMMYFUNCTION("""COMPUTED_VALUE"""),"")</f>
        <v/>
      </c>
      <c r="O242" s="211" t="str">
        <f>IFERROR(__xludf.DUMMYFUNCTION("""COMPUTED_VALUE"""),"")</f>
        <v/>
      </c>
      <c r="P242" s="224" t="str">
        <f>IFERROR(__xludf.DUMMYFUNCTION("""COMPUTED_VALUE""")," ")</f>
        <v/>
      </c>
      <c r="Q242" s="225" t="str">
        <f>IFERROR(__xludf.DUMMYFUNCTION("""COMPUTED_VALUE"""),"")</f>
        <v/>
      </c>
      <c r="R242" s="211" t="str">
        <f>IFERROR(__xludf.DUMMYFUNCTION("""COMPUTED_VALUE"""),"")</f>
        <v/>
      </c>
      <c r="S242" s="211"/>
      <c r="T242" s="211"/>
      <c r="U242" s="211"/>
    </row>
    <row r="243">
      <c r="A243" s="222" t="str">
        <f>IFERROR(__xludf.DUMMYFUNCTION("""COMPUTED_VALUE"""),"03250304")</f>
        <v>03250304</v>
      </c>
      <c r="B243" s="211" t="str">
        <f>IFERROR(__xludf.DUMMYFUNCTION("""COMPUTED_VALUE"""),"07 Mar 2025")</f>
        <v>07 Mar 2025</v>
      </c>
      <c r="C243" s="211" t="str">
        <f>IFERROR(__xludf.DUMMYFUNCTION("""COMPUTED_VALUE"""),"Bpk. Maruf")</f>
        <v>Bpk. Maruf</v>
      </c>
      <c r="D243" s="211" t="str">
        <f>IFERROR(__xludf.DUMMYFUNCTION("""COMPUTED_VALUE"""),"Oksigen 6m3
LPG 12kg")</f>
        <v>Oksigen 6m3
LPG 12kg</v>
      </c>
      <c r="E243" s="211" t="str">
        <f>IFERROR(__xludf.DUMMYFUNCTION("""COMPUTED_VALUE"""),"17
2")</f>
        <v>17
2</v>
      </c>
      <c r="F243" s="211" t="str">
        <f>IFERROR(__xludf.DUMMYFUNCTION("""COMPUTED_VALUE"""),"1020000
430000")</f>
        <v>1020000
430000</v>
      </c>
      <c r="G243" s="211"/>
      <c r="H243" s="211"/>
      <c r="I243" s="211">
        <f>IFERROR(__xludf.DUMMYFUNCTION("""COMPUTED_VALUE"""),1450000.0)</f>
        <v>1450000</v>
      </c>
      <c r="J243" s="211" t="str">
        <f>IFERROR(__xludf.DUMMYFUNCTION("""COMPUTED_VALUE"""),"Ya")</f>
        <v>Ya</v>
      </c>
      <c r="L243" s="211"/>
      <c r="M243" s="211"/>
      <c r="N243" s="211" t="str">
        <f>IFERROR(__xludf.DUMMYFUNCTION("""COMPUTED_VALUE"""),"")</f>
        <v/>
      </c>
      <c r="O243" s="211" t="str">
        <f>IFERROR(__xludf.DUMMYFUNCTION("""COMPUTED_VALUE"""),"")</f>
        <v/>
      </c>
      <c r="P243" s="224" t="str">
        <f>IFERROR(__xludf.DUMMYFUNCTION("""COMPUTED_VALUE""")," ")</f>
        <v/>
      </c>
      <c r="Q243" s="225" t="str">
        <f>IFERROR(__xludf.DUMMYFUNCTION("""COMPUTED_VALUE"""),"")</f>
        <v/>
      </c>
      <c r="R243" s="211" t="str">
        <f>IFERROR(__xludf.DUMMYFUNCTION("""COMPUTED_VALUE"""),"")</f>
        <v/>
      </c>
      <c r="S243" s="211"/>
      <c r="T243" s="211"/>
      <c r="U243" s="211"/>
    </row>
    <row r="244">
      <c r="A244" s="222" t="str">
        <f>IFERROR(__xludf.DUMMYFUNCTION("""COMPUTED_VALUE"""),"03250305")</f>
        <v>03250305</v>
      </c>
      <c r="B244" s="211" t="str">
        <f>IFERROR(__xludf.DUMMYFUNCTION("""COMPUTED_VALUE"""),"07 Mar 2025")</f>
        <v>07 Mar 2025</v>
      </c>
      <c r="C244" s="211" t="str">
        <f>IFERROR(__xludf.DUMMYFUNCTION("""COMPUTED_VALUE"""),"PT Sinar Indogreen Kencana")</f>
        <v>PT Sinar Indogreen Kencana</v>
      </c>
      <c r="D244" s="211" t="str">
        <f>IFERROR(__xludf.DUMMYFUNCTION("""COMPUTED_VALUE"""),"LPG 12kg")</f>
        <v>LPG 12kg</v>
      </c>
      <c r="E244" s="211" t="str">
        <f>IFERROR(__xludf.DUMMYFUNCTION("""COMPUTED_VALUE"""),"3")</f>
        <v>3</v>
      </c>
      <c r="F244" s="211" t="str">
        <f>IFERROR(__xludf.DUMMYFUNCTION("""COMPUTED_VALUE"""),"630001")</f>
        <v>630001</v>
      </c>
      <c r="G244" s="211"/>
      <c r="H244" s="211"/>
      <c r="I244" s="211">
        <f>IFERROR(__xludf.DUMMYFUNCTION("""COMPUTED_VALUE"""),630001.0)</f>
        <v>630001</v>
      </c>
      <c r="J244" s="211" t="str">
        <f>IFERROR(__xludf.DUMMYFUNCTION("""COMPUTED_VALUE"""),"Ya")</f>
        <v>Ya</v>
      </c>
      <c r="L244" s="211"/>
      <c r="M244" s="211"/>
      <c r="N244" s="211" t="str">
        <f>IFERROR(__xludf.DUMMYFUNCTION("""COMPUTED_VALUE"""),"")</f>
        <v/>
      </c>
      <c r="O244" s="211" t="str">
        <f>IFERROR(__xludf.DUMMYFUNCTION("""COMPUTED_VALUE"""),"")</f>
        <v/>
      </c>
      <c r="P244" s="224" t="str">
        <f>IFERROR(__xludf.DUMMYFUNCTION("""COMPUTED_VALUE""")," ")</f>
        <v/>
      </c>
      <c r="Q244" s="225" t="str">
        <f>IFERROR(__xludf.DUMMYFUNCTION("""COMPUTED_VALUE"""),"")</f>
        <v/>
      </c>
      <c r="R244" s="211" t="str">
        <f>IFERROR(__xludf.DUMMYFUNCTION("""COMPUTED_VALUE"""),"")</f>
        <v/>
      </c>
      <c r="S244" s="211"/>
      <c r="T244" s="211"/>
      <c r="U244" s="211"/>
    </row>
    <row r="245">
      <c r="A245" s="222" t="str">
        <f>IFERROR(__xludf.DUMMYFUNCTION("""COMPUTED_VALUE"""),"03250307")</f>
        <v>03250307</v>
      </c>
      <c r="B245" s="211" t="str">
        <f>IFERROR(__xludf.DUMMYFUNCTION("""COMPUTED_VALUE"""),"07 Mar 2025")</f>
        <v>07 Mar 2025</v>
      </c>
      <c r="C245" s="211" t="str">
        <f>IFERROR(__xludf.DUMMYFUNCTION("""COMPUTED_VALUE"""),"Ibu Siti Barokah")</f>
        <v>Ibu Siti Barokah</v>
      </c>
      <c r="D245" s="211" t="str">
        <f>IFERROR(__xludf.DUMMYFUNCTION("""COMPUTED_VALUE"""),"Oksigen 6m3")</f>
        <v>Oksigen 6m3</v>
      </c>
      <c r="E245" s="211" t="str">
        <f>IFERROR(__xludf.DUMMYFUNCTION("""COMPUTED_VALUE"""),"1")</f>
        <v>1</v>
      </c>
      <c r="F245" s="211" t="str">
        <f>IFERROR(__xludf.DUMMYFUNCTION("""COMPUTED_VALUE"""),"80000")</f>
        <v>80000</v>
      </c>
      <c r="G245" s="211"/>
      <c r="H245" s="211"/>
      <c r="I245" s="211">
        <f>IFERROR(__xludf.DUMMYFUNCTION("""COMPUTED_VALUE"""),80000.0)</f>
        <v>80000</v>
      </c>
      <c r="J245" s="211" t="str">
        <f>IFERROR(__xludf.DUMMYFUNCTION("""COMPUTED_VALUE"""),"Ya")</f>
        <v>Ya</v>
      </c>
      <c r="L245" s="211"/>
      <c r="M245" s="211"/>
      <c r="N245" s="211" t="str">
        <f>IFERROR(__xludf.DUMMYFUNCTION("""COMPUTED_VALUE"""),"")</f>
        <v/>
      </c>
      <c r="O245" s="211" t="str">
        <f>IFERROR(__xludf.DUMMYFUNCTION("""COMPUTED_VALUE"""),"")</f>
        <v/>
      </c>
      <c r="P245" s="224" t="str">
        <f>IFERROR(__xludf.DUMMYFUNCTION("""COMPUTED_VALUE""")," ")</f>
        <v/>
      </c>
      <c r="Q245" s="225" t="str">
        <f>IFERROR(__xludf.DUMMYFUNCTION("""COMPUTED_VALUE"""),"")</f>
        <v/>
      </c>
      <c r="R245" s="211" t="str">
        <f>IFERROR(__xludf.DUMMYFUNCTION("""COMPUTED_VALUE"""),"")</f>
        <v/>
      </c>
      <c r="S245" s="211"/>
      <c r="T245" s="211"/>
      <c r="U245" s="211"/>
    </row>
    <row r="246">
      <c r="A246" s="222" t="str">
        <f>IFERROR(__xludf.DUMMYFUNCTION("""COMPUTED_VALUE"""),"03250308")</f>
        <v>03250308</v>
      </c>
      <c r="B246" s="211" t="str">
        <f>IFERROR(__xludf.DUMMYFUNCTION("""COMPUTED_VALUE"""),"08 Mar 2025")</f>
        <v>08 Mar 2025</v>
      </c>
      <c r="C246" s="211" t="str">
        <f>IFERROR(__xludf.DUMMYFUNCTION("""COMPUTED_VALUE"""),"Bpk. Maruf")</f>
        <v>Bpk. Maruf</v>
      </c>
      <c r="D246" s="211" t="str">
        <f>IFERROR(__xludf.DUMMYFUNCTION("""COMPUTED_VALUE"""),"Oksigen 6m3")</f>
        <v>Oksigen 6m3</v>
      </c>
      <c r="E246" s="211" t="str">
        <f>IFERROR(__xludf.DUMMYFUNCTION("""COMPUTED_VALUE"""),"20")</f>
        <v>20</v>
      </c>
      <c r="F246" s="211" t="str">
        <f>IFERROR(__xludf.DUMMYFUNCTION("""COMPUTED_VALUE"""),"1200000")</f>
        <v>1200000</v>
      </c>
      <c r="G246" s="211"/>
      <c r="H246" s="211"/>
      <c r="I246" s="211">
        <f>IFERROR(__xludf.DUMMYFUNCTION("""COMPUTED_VALUE"""),1200000.0)</f>
        <v>1200000</v>
      </c>
      <c r="J246" s="211" t="str">
        <f>IFERROR(__xludf.DUMMYFUNCTION("""COMPUTED_VALUE"""),"Ya")</f>
        <v>Ya</v>
      </c>
      <c r="L246" s="211"/>
      <c r="M246" s="211"/>
      <c r="N246" s="211" t="str">
        <f>IFERROR(__xludf.DUMMYFUNCTION("""COMPUTED_VALUE"""),"")</f>
        <v/>
      </c>
      <c r="O246" s="211" t="str">
        <f>IFERROR(__xludf.DUMMYFUNCTION("""COMPUTED_VALUE"""),"")</f>
        <v/>
      </c>
      <c r="P246" s="224" t="str">
        <f>IFERROR(__xludf.DUMMYFUNCTION("""COMPUTED_VALUE""")," ")</f>
        <v/>
      </c>
      <c r="Q246" s="225" t="str">
        <f>IFERROR(__xludf.DUMMYFUNCTION("""COMPUTED_VALUE"""),"")</f>
        <v/>
      </c>
      <c r="R246" s="211" t="str">
        <f>IFERROR(__xludf.DUMMYFUNCTION("""COMPUTED_VALUE"""),"")</f>
        <v/>
      </c>
      <c r="S246" s="211"/>
      <c r="T246" s="211"/>
      <c r="U246" s="211"/>
    </row>
    <row r="247">
      <c r="A247" s="222" t="str">
        <f>IFERROR(__xludf.DUMMYFUNCTION("""COMPUTED_VALUE"""),"03250309")</f>
        <v>03250309</v>
      </c>
      <c r="B247" s="211" t="str">
        <f>IFERROR(__xludf.DUMMYFUNCTION("""COMPUTED_VALUE"""),"08 Mar 2025")</f>
        <v>08 Mar 2025</v>
      </c>
      <c r="C247" s="211" t="str">
        <f>IFERROR(__xludf.DUMMYFUNCTION("""COMPUTED_VALUE"""),"Bpk. Sukirno (Bejo)")</f>
        <v>Bpk. Sukirno (Bejo)</v>
      </c>
      <c r="D247" s="211" t="str">
        <f>IFERROR(__xludf.DUMMYFUNCTION("""COMPUTED_VALUE"""),"Oksigen 6m3")</f>
        <v>Oksigen 6m3</v>
      </c>
      <c r="E247" s="211" t="str">
        <f>IFERROR(__xludf.DUMMYFUNCTION("""COMPUTED_VALUE"""),"15")</f>
        <v>15</v>
      </c>
      <c r="F247" s="211" t="str">
        <f>IFERROR(__xludf.DUMMYFUNCTION("""COMPUTED_VALUE"""),"900000")</f>
        <v>900000</v>
      </c>
      <c r="G247" s="211"/>
      <c r="H247" s="211"/>
      <c r="I247" s="211">
        <f>IFERROR(__xludf.DUMMYFUNCTION("""COMPUTED_VALUE"""),900000.0)</f>
        <v>900000</v>
      </c>
      <c r="J247" s="211" t="str">
        <f>IFERROR(__xludf.DUMMYFUNCTION("""COMPUTED_VALUE"""),"Ya")</f>
        <v>Ya</v>
      </c>
      <c r="L247" s="211"/>
      <c r="M247" s="211"/>
      <c r="N247" s="211" t="str">
        <f>IFERROR(__xludf.DUMMYFUNCTION("""COMPUTED_VALUE"""),"")</f>
        <v/>
      </c>
      <c r="O247" s="211" t="str">
        <f>IFERROR(__xludf.DUMMYFUNCTION("""COMPUTED_VALUE"""),"")</f>
        <v/>
      </c>
      <c r="P247" s="224" t="str">
        <f>IFERROR(__xludf.DUMMYFUNCTION("""COMPUTED_VALUE""")," ")</f>
        <v/>
      </c>
      <c r="Q247" s="225" t="str">
        <f>IFERROR(__xludf.DUMMYFUNCTION("""COMPUTED_VALUE"""),"")</f>
        <v/>
      </c>
      <c r="R247" s="211" t="str">
        <f>IFERROR(__xludf.DUMMYFUNCTION("""COMPUTED_VALUE"""),"")</f>
        <v/>
      </c>
      <c r="S247" s="211"/>
      <c r="T247" s="211"/>
      <c r="U247" s="211"/>
    </row>
    <row r="248">
      <c r="A248" s="222" t="str">
        <f>IFERROR(__xludf.DUMMYFUNCTION("""COMPUTED_VALUE"""),"03250310")</f>
        <v>03250310</v>
      </c>
      <c r="B248" s="211" t="str">
        <f>IFERROR(__xludf.DUMMYFUNCTION("""COMPUTED_VALUE"""),"08 Mar 2025")</f>
        <v>08 Mar 2025</v>
      </c>
      <c r="C248" s="211" t="str">
        <f>IFERROR(__xludf.DUMMYFUNCTION("""COMPUTED_VALUE"""),"Bpk. Irul")</f>
        <v>Bpk. Irul</v>
      </c>
      <c r="D248" s="211" t="str">
        <f>IFERROR(__xludf.DUMMYFUNCTION("""COMPUTED_VALUE"""),"Oksigen 6m3")</f>
        <v>Oksigen 6m3</v>
      </c>
      <c r="E248" s="211" t="str">
        <f>IFERROR(__xludf.DUMMYFUNCTION("""COMPUTED_VALUE"""),"2")</f>
        <v>2</v>
      </c>
      <c r="F248" s="211" t="str">
        <f>IFERROR(__xludf.DUMMYFUNCTION("""COMPUTED_VALUE"""),"130000")</f>
        <v>130000</v>
      </c>
      <c r="G248" s="211"/>
      <c r="H248" s="211"/>
      <c r="I248" s="211">
        <f>IFERROR(__xludf.DUMMYFUNCTION("""COMPUTED_VALUE"""),130000.0)</f>
        <v>130000</v>
      </c>
      <c r="J248" s="211" t="str">
        <f>IFERROR(__xludf.DUMMYFUNCTION("""COMPUTED_VALUE"""),"Ya")</f>
        <v>Ya</v>
      </c>
      <c r="L248" s="211"/>
      <c r="M248" s="211"/>
      <c r="N248" s="211" t="str">
        <f>IFERROR(__xludf.DUMMYFUNCTION("""COMPUTED_VALUE"""),"")</f>
        <v/>
      </c>
      <c r="O248" s="211" t="str">
        <f>IFERROR(__xludf.DUMMYFUNCTION("""COMPUTED_VALUE"""),"")</f>
        <v/>
      </c>
      <c r="P248" s="224" t="str">
        <f>IFERROR(__xludf.DUMMYFUNCTION("""COMPUTED_VALUE""")," ")</f>
        <v/>
      </c>
      <c r="Q248" s="225" t="str">
        <f>IFERROR(__xludf.DUMMYFUNCTION("""COMPUTED_VALUE"""),"")</f>
        <v/>
      </c>
      <c r="R248" s="211" t="str">
        <f>IFERROR(__xludf.DUMMYFUNCTION("""COMPUTED_VALUE"""),"")</f>
        <v/>
      </c>
      <c r="S248" s="211"/>
      <c r="T248" s="211"/>
      <c r="U248" s="211"/>
    </row>
    <row r="249">
      <c r="A249" s="222" t="str">
        <f>IFERROR(__xludf.DUMMYFUNCTION("""COMPUTED_VALUE"""),"03250311")</f>
        <v>03250311</v>
      </c>
      <c r="B249" s="211" t="str">
        <f>IFERROR(__xludf.DUMMYFUNCTION("""COMPUTED_VALUE"""),"10 Mar 2025")</f>
        <v>10 Mar 2025</v>
      </c>
      <c r="C249" s="211" t="str">
        <f>IFERROR(__xludf.DUMMYFUNCTION("""COMPUTED_VALUE"""),"GYF")</f>
        <v>GYF</v>
      </c>
      <c r="D249" s="211" t="str">
        <f>IFERROR(__xludf.DUMMYFUNCTION("""COMPUTED_VALUE"""),"Oksigen 6m3")</f>
        <v>Oksigen 6m3</v>
      </c>
      <c r="E249" s="211" t="str">
        <f>IFERROR(__xludf.DUMMYFUNCTION("""COMPUTED_VALUE"""),"15")</f>
        <v>15</v>
      </c>
      <c r="F249" s="211" t="str">
        <f>IFERROR(__xludf.DUMMYFUNCTION("""COMPUTED_VALUE"""),"675000")</f>
        <v>675000</v>
      </c>
      <c r="G249" s="211"/>
      <c r="H249" s="211"/>
      <c r="I249" s="211">
        <f>IFERROR(__xludf.DUMMYFUNCTION("""COMPUTED_VALUE"""),675000.0)</f>
        <v>675000</v>
      </c>
      <c r="J249" s="211" t="str">
        <f>IFERROR(__xludf.DUMMYFUNCTION("""COMPUTED_VALUE"""),"Ya")</f>
        <v>Ya</v>
      </c>
      <c r="L249" s="211"/>
      <c r="M249" s="211"/>
      <c r="N249" s="211" t="str">
        <f>IFERROR(__xludf.DUMMYFUNCTION("""COMPUTED_VALUE"""),"")</f>
        <v/>
      </c>
      <c r="O249" s="211" t="str">
        <f>IFERROR(__xludf.DUMMYFUNCTION("""COMPUTED_VALUE"""),"")</f>
        <v/>
      </c>
      <c r="P249" s="224" t="str">
        <f>IFERROR(__xludf.DUMMYFUNCTION("""COMPUTED_VALUE""")," ")</f>
        <v/>
      </c>
      <c r="Q249" s="225" t="str">
        <f>IFERROR(__xludf.DUMMYFUNCTION("""COMPUTED_VALUE"""),"")</f>
        <v/>
      </c>
      <c r="R249" s="211" t="str">
        <f>IFERROR(__xludf.DUMMYFUNCTION("""COMPUTED_VALUE"""),"")</f>
        <v/>
      </c>
      <c r="S249" s="211"/>
      <c r="T249" s="211"/>
      <c r="U249" s="211"/>
    </row>
    <row r="250">
      <c r="A250" s="222" t="str">
        <f>IFERROR(__xludf.DUMMYFUNCTION("""COMPUTED_VALUE"""),"03250312")</f>
        <v>03250312</v>
      </c>
      <c r="B250" s="211" t="str">
        <f>IFERROR(__xludf.DUMMYFUNCTION("""COMPUTED_VALUE"""),"10 Mar 2025")</f>
        <v>10 Mar 2025</v>
      </c>
      <c r="C250" s="211" t="str">
        <f>IFERROR(__xludf.DUMMYFUNCTION("""COMPUTED_VALUE"""),"Bengkel Adi Putra")</f>
        <v>Bengkel Adi Putra</v>
      </c>
      <c r="D250" s="211" t="str">
        <f>IFERROR(__xludf.DUMMYFUNCTION("""COMPUTED_VALUE"""),"Oksigen 6m3")</f>
        <v>Oksigen 6m3</v>
      </c>
      <c r="E250" s="211" t="str">
        <f>IFERROR(__xludf.DUMMYFUNCTION("""COMPUTED_VALUE"""),"2")</f>
        <v>2</v>
      </c>
      <c r="F250" s="211" t="str">
        <f>IFERROR(__xludf.DUMMYFUNCTION("""COMPUTED_VALUE"""),"140000")</f>
        <v>140000</v>
      </c>
      <c r="G250" s="211"/>
      <c r="H250" s="211"/>
      <c r="I250" s="211">
        <f>IFERROR(__xludf.DUMMYFUNCTION("""COMPUTED_VALUE"""),140000.0)</f>
        <v>140000</v>
      </c>
      <c r="J250" s="211" t="str">
        <f>IFERROR(__xludf.DUMMYFUNCTION("""COMPUTED_VALUE"""),"Ya")</f>
        <v>Ya</v>
      </c>
      <c r="L250" s="211"/>
      <c r="M250" s="211"/>
      <c r="N250" s="211" t="str">
        <f>IFERROR(__xludf.DUMMYFUNCTION("""COMPUTED_VALUE"""),"")</f>
        <v/>
      </c>
      <c r="O250" s="211" t="str">
        <f>IFERROR(__xludf.DUMMYFUNCTION("""COMPUTED_VALUE"""),"")</f>
        <v/>
      </c>
      <c r="P250" s="224" t="str">
        <f>IFERROR(__xludf.DUMMYFUNCTION("""COMPUTED_VALUE""")," ")</f>
        <v/>
      </c>
      <c r="Q250" s="225" t="str">
        <f>IFERROR(__xludf.DUMMYFUNCTION("""COMPUTED_VALUE"""),"")</f>
        <v/>
      </c>
      <c r="R250" s="211" t="str">
        <f>IFERROR(__xludf.DUMMYFUNCTION("""COMPUTED_VALUE"""),"")</f>
        <v/>
      </c>
      <c r="S250" s="211"/>
      <c r="T250" s="211"/>
      <c r="U250" s="211"/>
    </row>
    <row r="251">
      <c r="A251" s="222" t="str">
        <f>IFERROR(__xludf.DUMMYFUNCTION("""COMPUTED_VALUE"""),"03250313")</f>
        <v>03250313</v>
      </c>
      <c r="B251" s="211" t="str">
        <f>IFERROR(__xludf.DUMMYFUNCTION("""COMPUTED_VALUE"""),"11 Mar 2025")</f>
        <v>11 Mar 2025</v>
      </c>
      <c r="C251" s="211" t="str">
        <f>IFERROR(__xludf.DUMMYFUNCTION("""COMPUTED_VALUE"""),"Bpk. Joko (Gresik)")</f>
        <v>Bpk. Joko (Gresik)</v>
      </c>
      <c r="D251" s="211" t="str">
        <f>IFERROR(__xludf.DUMMYFUNCTION("""COMPUTED_VALUE"""),"Karbondioksida MR")</f>
        <v>Karbondioksida MR</v>
      </c>
      <c r="E251" s="211" t="str">
        <f>IFERROR(__xludf.DUMMYFUNCTION("""COMPUTED_VALUE"""),"1")</f>
        <v>1</v>
      </c>
      <c r="F251" s="211" t="str">
        <f>IFERROR(__xludf.DUMMYFUNCTION("""COMPUTED_VALUE"""),"160000")</f>
        <v>160000</v>
      </c>
      <c r="G251" s="211"/>
      <c r="H251" s="211"/>
      <c r="I251" s="211">
        <f>IFERROR(__xludf.DUMMYFUNCTION("""COMPUTED_VALUE"""),160000.0)</f>
        <v>160000</v>
      </c>
      <c r="J251" s="211" t="str">
        <f>IFERROR(__xludf.DUMMYFUNCTION("""COMPUTED_VALUE"""),"Ya")</f>
        <v>Ya</v>
      </c>
      <c r="L251" s="211"/>
      <c r="M251" s="211"/>
      <c r="N251" s="211" t="str">
        <f>IFERROR(__xludf.DUMMYFUNCTION("""COMPUTED_VALUE"""),"")</f>
        <v/>
      </c>
      <c r="O251" s="211" t="str">
        <f>IFERROR(__xludf.DUMMYFUNCTION("""COMPUTED_VALUE"""),"")</f>
        <v/>
      </c>
      <c r="P251" s="224" t="str">
        <f>IFERROR(__xludf.DUMMYFUNCTION("""COMPUTED_VALUE""")," ")</f>
        <v/>
      </c>
      <c r="Q251" s="225" t="str">
        <f>IFERROR(__xludf.DUMMYFUNCTION("""COMPUTED_VALUE"""),"")</f>
        <v/>
      </c>
      <c r="R251" s="211" t="str">
        <f>IFERROR(__xludf.DUMMYFUNCTION("""COMPUTED_VALUE"""),"")</f>
        <v/>
      </c>
      <c r="S251" s="211"/>
      <c r="T251" s="211"/>
      <c r="U251" s="211"/>
    </row>
    <row r="252">
      <c r="A252" s="222" t="str">
        <f>IFERROR(__xludf.DUMMYFUNCTION("""COMPUTED_VALUE"""),"03250314")</f>
        <v>03250314</v>
      </c>
      <c r="B252" s="211" t="str">
        <f>IFERROR(__xludf.DUMMYFUNCTION("""COMPUTED_VALUE"""),"11 Mar 2025")</f>
        <v>11 Mar 2025</v>
      </c>
      <c r="C252" s="211" t="str">
        <f>IFERROR(__xludf.DUMMYFUNCTION("""COMPUTED_VALUE"""),"Abah Mad")</f>
        <v>Abah Mad</v>
      </c>
      <c r="D252" s="211" t="str">
        <f>IFERROR(__xludf.DUMMYFUNCTION("""COMPUTED_VALUE"""),"Oksigen 6m3 MR")</f>
        <v>Oksigen 6m3 MR</v>
      </c>
      <c r="E252" s="211" t="str">
        <f>IFERROR(__xludf.DUMMYFUNCTION("""COMPUTED_VALUE"""),"2")</f>
        <v>2</v>
      </c>
      <c r="F252" s="211" t="str">
        <f>IFERROR(__xludf.DUMMYFUNCTION("""COMPUTED_VALUE"""),"90000")</f>
        <v>90000</v>
      </c>
      <c r="G252" s="211"/>
      <c r="H252" s="211"/>
      <c r="I252" s="211">
        <f>IFERROR(__xludf.DUMMYFUNCTION("""COMPUTED_VALUE"""),90000.0)</f>
        <v>90000</v>
      </c>
      <c r="J252" s="211" t="str">
        <f>IFERROR(__xludf.DUMMYFUNCTION("""COMPUTED_VALUE"""),"Ya")</f>
        <v>Ya</v>
      </c>
      <c r="L252" s="211"/>
      <c r="M252" s="211"/>
      <c r="N252" s="211" t="str">
        <f>IFERROR(__xludf.DUMMYFUNCTION("""COMPUTED_VALUE"""),"")</f>
        <v/>
      </c>
      <c r="O252" s="211" t="str">
        <f>IFERROR(__xludf.DUMMYFUNCTION("""COMPUTED_VALUE"""),"")</f>
        <v/>
      </c>
      <c r="P252" s="224" t="str">
        <f>IFERROR(__xludf.DUMMYFUNCTION("""COMPUTED_VALUE""")," ")</f>
        <v/>
      </c>
      <c r="Q252" s="225" t="str">
        <f>IFERROR(__xludf.DUMMYFUNCTION("""COMPUTED_VALUE"""),"")</f>
        <v/>
      </c>
      <c r="R252" s="211" t="str">
        <f>IFERROR(__xludf.DUMMYFUNCTION("""COMPUTED_VALUE"""),"")</f>
        <v/>
      </c>
      <c r="S252" s="211"/>
      <c r="T252" s="211"/>
      <c r="U252" s="211"/>
    </row>
    <row r="253">
      <c r="A253" s="222" t="str">
        <f>IFERROR(__xludf.DUMMYFUNCTION("""COMPUTED_VALUE"""),"03250315")</f>
        <v>03250315</v>
      </c>
      <c r="B253" s="211" t="str">
        <f>IFERROR(__xludf.DUMMYFUNCTION("""COMPUTED_VALUE"""),"11 Mar 2025")</f>
        <v>11 Mar 2025</v>
      </c>
      <c r="C253" s="211" t="str">
        <f>IFERROR(__xludf.DUMMYFUNCTION("""COMPUTED_VALUE"""),"Bengkel Dian Jaya")</f>
        <v>Bengkel Dian Jaya</v>
      </c>
      <c r="D253" s="211" t="str">
        <f>IFERROR(__xludf.DUMMYFUNCTION("""COMPUTED_VALUE"""),"Oksigen 6m3
LPG 12kg")</f>
        <v>Oksigen 6m3
LPG 12kg</v>
      </c>
      <c r="E253" s="211" t="str">
        <f>IFERROR(__xludf.DUMMYFUNCTION("""COMPUTED_VALUE"""),"10
1")</f>
        <v>10
1</v>
      </c>
      <c r="F253" s="211" t="str">
        <f>IFERROR(__xludf.DUMMYFUNCTION("""COMPUTED_VALUE"""),"500000
215000")</f>
        <v>500000
215000</v>
      </c>
      <c r="G253" s="211"/>
      <c r="H253" s="211"/>
      <c r="I253" s="211">
        <f>IFERROR(__xludf.DUMMYFUNCTION("""COMPUTED_VALUE"""),715000.0)</f>
        <v>715000</v>
      </c>
      <c r="J253" s="211" t="str">
        <f>IFERROR(__xludf.DUMMYFUNCTION("""COMPUTED_VALUE"""),"Ya")</f>
        <v>Ya</v>
      </c>
      <c r="L253" s="211"/>
      <c r="M253" s="211"/>
      <c r="N253" s="211" t="str">
        <f>IFERROR(__xludf.DUMMYFUNCTION("""COMPUTED_VALUE"""),"")</f>
        <v/>
      </c>
      <c r="O253" s="211" t="str">
        <f>IFERROR(__xludf.DUMMYFUNCTION("""COMPUTED_VALUE"""),"")</f>
        <v/>
      </c>
      <c r="P253" s="224" t="str">
        <f>IFERROR(__xludf.DUMMYFUNCTION("""COMPUTED_VALUE""")," ")</f>
        <v/>
      </c>
      <c r="Q253" s="225" t="str">
        <f>IFERROR(__xludf.DUMMYFUNCTION("""COMPUTED_VALUE"""),"")</f>
        <v/>
      </c>
      <c r="R253" s="211" t="str">
        <f>IFERROR(__xludf.DUMMYFUNCTION("""COMPUTED_VALUE"""),"")</f>
        <v/>
      </c>
      <c r="S253" s="211"/>
      <c r="T253" s="211"/>
      <c r="U253" s="211"/>
    </row>
    <row r="254">
      <c r="A254" s="222" t="str">
        <f>IFERROR(__xludf.DUMMYFUNCTION("""COMPUTED_VALUE"""),"03250317")</f>
        <v>03250317</v>
      </c>
      <c r="B254" s="211" t="str">
        <f>IFERROR(__xludf.DUMMYFUNCTION("""COMPUTED_VALUE"""),"11 Mar 2025")</f>
        <v>11 Mar 2025</v>
      </c>
      <c r="C254" s="211" t="str">
        <f>IFERROR(__xludf.DUMMYFUNCTION("""COMPUTED_VALUE"""),"Bpk. Maruf")</f>
        <v>Bpk. Maruf</v>
      </c>
      <c r="D254" s="211" t="str">
        <f>IFERROR(__xludf.DUMMYFUNCTION("""COMPUTED_VALUE"""),"Oksigen 6m3
LPG 12kg")</f>
        <v>Oksigen 6m3
LPG 12kg</v>
      </c>
      <c r="E254" s="211" t="str">
        <f>IFERROR(__xludf.DUMMYFUNCTION("""COMPUTED_VALUE"""),"30
2")</f>
        <v>30
2</v>
      </c>
      <c r="F254" s="211" t="str">
        <f>IFERROR(__xludf.DUMMYFUNCTION("""COMPUTED_VALUE"""),"1800000
430000")</f>
        <v>1800000
430000</v>
      </c>
      <c r="G254" s="211"/>
      <c r="H254" s="211"/>
      <c r="I254" s="211">
        <f>IFERROR(__xludf.DUMMYFUNCTION("""COMPUTED_VALUE"""),2230000.0)</f>
        <v>2230000</v>
      </c>
      <c r="J254" s="211" t="str">
        <f>IFERROR(__xludf.DUMMYFUNCTION("""COMPUTED_VALUE"""),"Ya")</f>
        <v>Ya</v>
      </c>
      <c r="L254" s="211"/>
      <c r="M254" s="211"/>
      <c r="N254" s="211" t="str">
        <f>IFERROR(__xludf.DUMMYFUNCTION("""COMPUTED_VALUE"""),"")</f>
        <v/>
      </c>
      <c r="O254" s="211" t="str">
        <f>IFERROR(__xludf.DUMMYFUNCTION("""COMPUTED_VALUE"""),"")</f>
        <v/>
      </c>
      <c r="P254" s="224" t="str">
        <f>IFERROR(__xludf.DUMMYFUNCTION("""COMPUTED_VALUE""")," ")</f>
        <v/>
      </c>
      <c r="Q254" s="225" t="str">
        <f>IFERROR(__xludf.DUMMYFUNCTION("""COMPUTED_VALUE"""),"")</f>
        <v/>
      </c>
      <c r="R254" s="211" t="str">
        <f>IFERROR(__xludf.DUMMYFUNCTION("""COMPUTED_VALUE"""),"")</f>
        <v/>
      </c>
      <c r="S254" s="211"/>
      <c r="T254" s="211"/>
      <c r="U254" s="211"/>
    </row>
    <row r="255">
      <c r="A255" s="222" t="str">
        <f>IFERROR(__xludf.DUMMYFUNCTION("""COMPUTED_VALUE"""),"03250319")</f>
        <v>03250319</v>
      </c>
      <c r="B255" s="211" t="str">
        <f>IFERROR(__xludf.DUMMYFUNCTION("""COMPUTED_VALUE"""),"12 Mar 2025")</f>
        <v>12 Mar 2025</v>
      </c>
      <c r="C255" s="211" t="str">
        <f>IFERROR(__xludf.DUMMYFUNCTION("""COMPUTED_VALUE"""),"Bpk. Sukirno (Bejo)")</f>
        <v>Bpk. Sukirno (Bejo)</v>
      </c>
      <c r="D255" s="211" t="str">
        <f>IFERROR(__xludf.DUMMYFUNCTION("""COMPUTED_VALUE"""),"Oksigen 6m3")</f>
        <v>Oksigen 6m3</v>
      </c>
      <c r="E255" s="211" t="str">
        <f>IFERROR(__xludf.DUMMYFUNCTION("""COMPUTED_VALUE"""),"15")</f>
        <v>15</v>
      </c>
      <c r="F255" s="211" t="str">
        <f>IFERROR(__xludf.DUMMYFUNCTION("""COMPUTED_VALUE"""),"900000")</f>
        <v>900000</v>
      </c>
      <c r="G255" s="211"/>
      <c r="H255" s="211"/>
      <c r="I255" s="211">
        <f>IFERROR(__xludf.DUMMYFUNCTION("""COMPUTED_VALUE"""),900000.0)</f>
        <v>900000</v>
      </c>
      <c r="J255" s="211" t="str">
        <f>IFERROR(__xludf.DUMMYFUNCTION("""COMPUTED_VALUE"""),"Ya")</f>
        <v>Ya</v>
      </c>
      <c r="L255" s="211"/>
      <c r="M255" s="211"/>
      <c r="N255" s="211" t="str">
        <f>IFERROR(__xludf.DUMMYFUNCTION("""COMPUTED_VALUE"""),"")</f>
        <v/>
      </c>
      <c r="O255" s="211" t="str">
        <f>IFERROR(__xludf.DUMMYFUNCTION("""COMPUTED_VALUE"""),"")</f>
        <v/>
      </c>
      <c r="P255" s="224" t="str">
        <f>IFERROR(__xludf.DUMMYFUNCTION("""COMPUTED_VALUE""")," ")</f>
        <v/>
      </c>
      <c r="Q255" s="225" t="str">
        <f>IFERROR(__xludf.DUMMYFUNCTION("""COMPUTED_VALUE"""),"")</f>
        <v/>
      </c>
      <c r="R255" s="211" t="str">
        <f>IFERROR(__xludf.DUMMYFUNCTION("""COMPUTED_VALUE"""),"")</f>
        <v/>
      </c>
      <c r="S255" s="211"/>
      <c r="T255" s="211"/>
      <c r="U255" s="211"/>
    </row>
    <row r="256">
      <c r="A256" s="222" t="str">
        <f>IFERROR(__xludf.DUMMYFUNCTION("""COMPUTED_VALUE"""),"03250320")</f>
        <v>03250320</v>
      </c>
      <c r="B256" s="211" t="str">
        <f>IFERROR(__xludf.DUMMYFUNCTION("""COMPUTED_VALUE"""),"13 Mar 2025")</f>
        <v>13 Mar 2025</v>
      </c>
      <c r="C256" s="211" t="str">
        <f>IFERROR(__xludf.DUMMYFUNCTION("""COMPUTED_VALUE"""),"PT ARYANA CAKASANA")</f>
        <v>PT ARYANA CAKASANA</v>
      </c>
      <c r="D256" s="211" t="str">
        <f>IFERROR(__xludf.DUMMYFUNCTION("""COMPUTED_VALUE"""),"Oksigen 6m3")</f>
        <v>Oksigen 6m3</v>
      </c>
      <c r="E256" s="211" t="str">
        <f>IFERROR(__xludf.DUMMYFUNCTION("""COMPUTED_VALUE"""),"10")</f>
        <v>10</v>
      </c>
      <c r="F256" s="211" t="str">
        <f>IFERROR(__xludf.DUMMYFUNCTION("""COMPUTED_VALUE"""),"525001")</f>
        <v>525001</v>
      </c>
      <c r="G256" s="211"/>
      <c r="H256" s="211"/>
      <c r="I256" s="211">
        <f>IFERROR(__xludf.DUMMYFUNCTION("""COMPUTED_VALUE"""),525001.0)</f>
        <v>525001</v>
      </c>
      <c r="J256" s="211" t="str">
        <f>IFERROR(__xludf.DUMMYFUNCTION("""COMPUTED_VALUE"""),"Penagihan")</f>
        <v>Penagihan</v>
      </c>
      <c r="L256" s="211"/>
      <c r="M256" s="211"/>
      <c r="N256" s="211" t="str">
        <f>IFERROR(__xludf.DUMMYFUNCTION("""COMPUTED_VALUE"""),"")</f>
        <v/>
      </c>
      <c r="O256" s="211" t="str">
        <f>IFERROR(__xludf.DUMMYFUNCTION("""COMPUTED_VALUE"""),"")</f>
        <v/>
      </c>
      <c r="P256" s="224" t="str">
        <f>IFERROR(__xludf.DUMMYFUNCTION("""COMPUTED_VALUE""")," ")</f>
        <v/>
      </c>
      <c r="Q256" s="225" t="str">
        <f>IFERROR(__xludf.DUMMYFUNCTION("""COMPUTED_VALUE"""),"")</f>
        <v/>
      </c>
      <c r="R256" s="211" t="str">
        <f>IFERROR(__xludf.DUMMYFUNCTION("""COMPUTED_VALUE"""),"")</f>
        <v/>
      </c>
      <c r="S256" s="211"/>
      <c r="T256" s="211"/>
      <c r="U256" s="211"/>
    </row>
    <row r="257">
      <c r="A257" s="222" t="str">
        <f>IFERROR(__xludf.DUMMYFUNCTION("""COMPUTED_VALUE"""),"03250321")</f>
        <v>03250321</v>
      </c>
      <c r="B257" s="211" t="str">
        <f>IFERROR(__xludf.DUMMYFUNCTION("""COMPUTED_VALUE"""),"13 Mar 2025")</f>
        <v>13 Mar 2025</v>
      </c>
      <c r="C257" s="211" t="str">
        <f>IFERROR(__xludf.DUMMYFUNCTION("""COMPUTED_VALUE"""),"PT Dunia Berkat Marga Mulya")</f>
        <v>PT Dunia Berkat Marga Mulya</v>
      </c>
      <c r="D257" s="211" t="str">
        <f>IFERROR(__xludf.DUMMYFUNCTION("""COMPUTED_VALUE"""),"Oksigen 6m3")</f>
        <v>Oksigen 6m3</v>
      </c>
      <c r="E257" s="211" t="str">
        <f>IFERROR(__xludf.DUMMYFUNCTION("""COMPUTED_VALUE"""),"3")</f>
        <v>3</v>
      </c>
      <c r="F257" s="211" t="str">
        <f>IFERROR(__xludf.DUMMYFUNCTION("""COMPUTED_VALUE"""),"199800")</f>
        <v>199800</v>
      </c>
      <c r="G257" s="211"/>
      <c r="H257" s="211"/>
      <c r="I257" s="211">
        <f>IFERROR(__xludf.DUMMYFUNCTION("""COMPUTED_VALUE"""),199800.0)</f>
        <v>199800</v>
      </c>
      <c r="J257" s="211" t="str">
        <f>IFERROR(__xludf.DUMMYFUNCTION("""COMPUTED_VALUE"""),"Ya")</f>
        <v>Ya</v>
      </c>
      <c r="L257" s="211"/>
      <c r="M257" s="211"/>
      <c r="N257" s="211" t="str">
        <f>IFERROR(__xludf.DUMMYFUNCTION("""COMPUTED_VALUE"""),"")</f>
        <v/>
      </c>
      <c r="O257" s="211" t="str">
        <f>IFERROR(__xludf.DUMMYFUNCTION("""COMPUTED_VALUE"""),"")</f>
        <v/>
      </c>
      <c r="P257" s="224" t="str">
        <f>IFERROR(__xludf.DUMMYFUNCTION("""COMPUTED_VALUE""")," ")</f>
        <v/>
      </c>
      <c r="Q257" s="225" t="str">
        <f>IFERROR(__xludf.DUMMYFUNCTION("""COMPUTED_VALUE"""),"")</f>
        <v/>
      </c>
      <c r="R257" s="211" t="str">
        <f>IFERROR(__xludf.DUMMYFUNCTION("""COMPUTED_VALUE"""),"")</f>
        <v/>
      </c>
      <c r="S257" s="211"/>
      <c r="T257" s="211"/>
      <c r="U257" s="211"/>
    </row>
    <row r="258">
      <c r="A258" s="222" t="str">
        <f>IFERROR(__xludf.DUMMYFUNCTION("""COMPUTED_VALUE"""),"03250322")</f>
        <v>03250322</v>
      </c>
      <c r="B258" s="211" t="str">
        <f>IFERROR(__xludf.DUMMYFUNCTION("""COMPUTED_VALUE"""),"13 Mar 2025")</f>
        <v>13 Mar 2025</v>
      </c>
      <c r="C258" s="211" t="str">
        <f>IFERROR(__xludf.DUMMYFUNCTION("""COMPUTED_VALUE"""),"Bpk. Maruf")</f>
        <v>Bpk. Maruf</v>
      </c>
      <c r="D258" s="211" t="str">
        <f>IFERROR(__xludf.DUMMYFUNCTION("""COMPUTED_VALUE"""),"Oksigen 6m3
LPG 12kg")</f>
        <v>Oksigen 6m3
LPG 12kg</v>
      </c>
      <c r="E258" s="211" t="str">
        <f>IFERROR(__xludf.DUMMYFUNCTION("""COMPUTED_VALUE"""),"13
2")</f>
        <v>13
2</v>
      </c>
      <c r="F258" s="211" t="str">
        <f>IFERROR(__xludf.DUMMYFUNCTION("""COMPUTED_VALUE"""),"780000
430000")</f>
        <v>780000
430000</v>
      </c>
      <c r="G258" s="211"/>
      <c r="H258" s="211"/>
      <c r="I258" s="211">
        <f>IFERROR(__xludf.DUMMYFUNCTION("""COMPUTED_VALUE"""),1210000.0)</f>
        <v>1210000</v>
      </c>
      <c r="J258" s="211" t="str">
        <f>IFERROR(__xludf.DUMMYFUNCTION("""COMPUTED_VALUE"""),"Ya")</f>
        <v>Ya</v>
      </c>
      <c r="L258" s="211"/>
      <c r="M258" s="211"/>
      <c r="N258" s="211" t="str">
        <f>IFERROR(__xludf.DUMMYFUNCTION("""COMPUTED_VALUE"""),"")</f>
        <v/>
      </c>
      <c r="O258" s="211" t="str">
        <f>IFERROR(__xludf.DUMMYFUNCTION("""COMPUTED_VALUE"""),"")</f>
        <v/>
      </c>
      <c r="P258" s="224" t="str">
        <f>IFERROR(__xludf.DUMMYFUNCTION("""COMPUTED_VALUE""")," ")</f>
        <v/>
      </c>
      <c r="Q258" s="225" t="str">
        <f>IFERROR(__xludf.DUMMYFUNCTION("""COMPUTED_VALUE"""),"")</f>
        <v/>
      </c>
      <c r="R258" s="211" t="str">
        <f>IFERROR(__xludf.DUMMYFUNCTION("""COMPUTED_VALUE"""),"")</f>
        <v/>
      </c>
      <c r="S258" s="211"/>
      <c r="T258" s="211"/>
      <c r="U258" s="211"/>
    </row>
    <row r="259">
      <c r="A259" s="222" t="str">
        <f>IFERROR(__xludf.DUMMYFUNCTION("""COMPUTED_VALUE"""),"03250324")</f>
        <v>03250324</v>
      </c>
      <c r="B259" s="211" t="str">
        <f>IFERROR(__xludf.DUMMYFUNCTION("""COMPUTED_VALUE"""),"14 Mar 2025")</f>
        <v>14 Mar 2025</v>
      </c>
      <c r="C259" s="211" t="str">
        <f>IFERROR(__xludf.DUMMYFUNCTION("""COMPUTED_VALUE"""),"Ibu Ida")</f>
        <v>Ibu Ida</v>
      </c>
      <c r="D259" s="211" t="str">
        <f>IFERROR(__xludf.DUMMYFUNCTION("""COMPUTED_VALUE"""),"Oksigen 6m3 MR")</f>
        <v>Oksigen 6m3 MR</v>
      </c>
      <c r="E259" s="211" t="str">
        <f>IFERROR(__xludf.DUMMYFUNCTION("""COMPUTED_VALUE"""),"6")</f>
        <v>6</v>
      </c>
      <c r="F259" s="211" t="str">
        <f>IFERROR(__xludf.DUMMYFUNCTION("""COMPUTED_VALUE"""),"300000")</f>
        <v>300000</v>
      </c>
      <c r="G259" s="211"/>
      <c r="H259" s="211"/>
      <c r="I259" s="211">
        <f>IFERROR(__xludf.DUMMYFUNCTION("""COMPUTED_VALUE"""),300000.0)</f>
        <v>300000</v>
      </c>
      <c r="J259" s="211" t="str">
        <f>IFERROR(__xludf.DUMMYFUNCTION("""COMPUTED_VALUE"""),"Ya")</f>
        <v>Ya</v>
      </c>
      <c r="L259" s="211"/>
      <c r="M259" s="211"/>
      <c r="N259" s="211" t="str">
        <f>IFERROR(__xludf.DUMMYFUNCTION("""COMPUTED_VALUE"""),"")</f>
        <v/>
      </c>
      <c r="O259" s="211" t="str">
        <f>IFERROR(__xludf.DUMMYFUNCTION("""COMPUTED_VALUE"""),"")</f>
        <v/>
      </c>
      <c r="P259" s="224" t="str">
        <f>IFERROR(__xludf.DUMMYFUNCTION("""COMPUTED_VALUE""")," ")</f>
        <v/>
      </c>
      <c r="Q259" s="225" t="str">
        <f>IFERROR(__xludf.DUMMYFUNCTION("""COMPUTED_VALUE"""),"")</f>
        <v/>
      </c>
      <c r="R259" s="211" t="str">
        <f>IFERROR(__xludf.DUMMYFUNCTION("""COMPUTED_VALUE"""),"")</f>
        <v/>
      </c>
      <c r="S259" s="211"/>
      <c r="T259" s="211"/>
      <c r="U259" s="211"/>
    </row>
    <row r="260">
      <c r="A260" s="222" t="str">
        <f>IFERROR(__xludf.DUMMYFUNCTION("""COMPUTED_VALUE"""),"03250325")</f>
        <v>03250325</v>
      </c>
      <c r="B260" s="211" t="str">
        <f>IFERROR(__xludf.DUMMYFUNCTION("""COMPUTED_VALUE"""),"14 Mar 2025")</f>
        <v>14 Mar 2025</v>
      </c>
      <c r="C260" s="211" t="str">
        <f>IFERROR(__xludf.DUMMYFUNCTION("""COMPUTED_VALUE"""),"Bpk. Sukirno (Bejo)")</f>
        <v>Bpk. Sukirno (Bejo)</v>
      </c>
      <c r="D260" s="211" t="str">
        <f>IFERROR(__xludf.DUMMYFUNCTION("""COMPUTED_VALUE"""),"Oksigen 6m3")</f>
        <v>Oksigen 6m3</v>
      </c>
      <c r="E260" s="211" t="str">
        <f>IFERROR(__xludf.DUMMYFUNCTION("""COMPUTED_VALUE"""),"15")</f>
        <v>15</v>
      </c>
      <c r="F260" s="211" t="str">
        <f>IFERROR(__xludf.DUMMYFUNCTION("""COMPUTED_VALUE"""),"900000")</f>
        <v>900000</v>
      </c>
      <c r="G260" s="211"/>
      <c r="H260" s="211"/>
      <c r="I260" s="211">
        <f>IFERROR(__xludf.DUMMYFUNCTION("""COMPUTED_VALUE"""),900000.0)</f>
        <v>900000</v>
      </c>
      <c r="J260" s="211" t="str">
        <f>IFERROR(__xludf.DUMMYFUNCTION("""COMPUTED_VALUE"""),"Ya")</f>
        <v>Ya</v>
      </c>
      <c r="L260" s="211"/>
      <c r="M260" s="211"/>
      <c r="N260" s="211" t="str">
        <f>IFERROR(__xludf.DUMMYFUNCTION("""COMPUTED_VALUE"""),"")</f>
        <v/>
      </c>
      <c r="O260" s="211" t="str">
        <f>IFERROR(__xludf.DUMMYFUNCTION("""COMPUTED_VALUE"""),"")</f>
        <v/>
      </c>
      <c r="P260" s="224" t="str">
        <f>IFERROR(__xludf.DUMMYFUNCTION("""COMPUTED_VALUE""")," ")</f>
        <v/>
      </c>
      <c r="Q260" s="225" t="str">
        <f>IFERROR(__xludf.DUMMYFUNCTION("""COMPUTED_VALUE"""),"")</f>
        <v/>
      </c>
      <c r="R260" s="211" t="str">
        <f>IFERROR(__xludf.DUMMYFUNCTION("""COMPUTED_VALUE"""),"")</f>
        <v/>
      </c>
      <c r="S260" s="211"/>
      <c r="T260" s="211"/>
      <c r="U260" s="211"/>
    </row>
    <row r="261">
      <c r="A261" s="222" t="str">
        <f>IFERROR(__xludf.DUMMYFUNCTION("""COMPUTED_VALUE"""),"03250326")</f>
        <v>03250326</v>
      </c>
      <c r="B261" s="211" t="str">
        <f>IFERROR(__xludf.DUMMYFUNCTION("""COMPUTED_VALUE"""),"15 Mar 2025")</f>
        <v>15 Mar 2025</v>
      </c>
      <c r="C261" s="211" t="str">
        <f>IFERROR(__xludf.DUMMYFUNCTION("""COMPUTED_VALUE"""),"Bpk. Sulaiman")</f>
        <v>Bpk. Sulaiman</v>
      </c>
      <c r="D261" s="211" t="str">
        <f>IFERROR(__xludf.DUMMYFUNCTION("""COMPUTED_VALUE"""),"Oksigen 6m3")</f>
        <v>Oksigen 6m3</v>
      </c>
      <c r="E261" s="211" t="str">
        <f>IFERROR(__xludf.DUMMYFUNCTION("""COMPUTED_VALUE"""),"3")</f>
        <v>3</v>
      </c>
      <c r="F261" s="211" t="str">
        <f>IFERROR(__xludf.DUMMYFUNCTION("""COMPUTED_VALUE"""),"165000")</f>
        <v>165000</v>
      </c>
      <c r="G261" s="211"/>
      <c r="H261" s="211"/>
      <c r="I261" s="211">
        <f>IFERROR(__xludf.DUMMYFUNCTION("""COMPUTED_VALUE"""),165000.0)</f>
        <v>165000</v>
      </c>
      <c r="J261" s="211" t="str">
        <f>IFERROR(__xludf.DUMMYFUNCTION("""COMPUTED_VALUE"""),"Ya")</f>
        <v>Ya</v>
      </c>
      <c r="L261" s="211"/>
      <c r="M261" s="211"/>
      <c r="N261" s="211" t="str">
        <f>IFERROR(__xludf.DUMMYFUNCTION("""COMPUTED_VALUE"""),"")</f>
        <v/>
      </c>
      <c r="O261" s="211" t="str">
        <f>IFERROR(__xludf.DUMMYFUNCTION("""COMPUTED_VALUE"""),"")</f>
        <v/>
      </c>
      <c r="P261" s="224" t="str">
        <f>IFERROR(__xludf.DUMMYFUNCTION("""COMPUTED_VALUE""")," ")</f>
        <v/>
      </c>
      <c r="Q261" s="225" t="str">
        <f>IFERROR(__xludf.DUMMYFUNCTION("""COMPUTED_VALUE"""),"")</f>
        <v/>
      </c>
      <c r="R261" s="211" t="str">
        <f>IFERROR(__xludf.DUMMYFUNCTION("""COMPUTED_VALUE"""),"")</f>
        <v/>
      </c>
      <c r="S261" s="211"/>
      <c r="T261" s="211"/>
      <c r="U261" s="211"/>
    </row>
    <row r="262">
      <c r="A262" s="222" t="str">
        <f>IFERROR(__xludf.DUMMYFUNCTION("""COMPUTED_VALUE"""),"03250327")</f>
        <v>03250327</v>
      </c>
      <c r="B262" s="211" t="str">
        <f>IFERROR(__xludf.DUMMYFUNCTION("""COMPUTED_VALUE"""),"17 Mar 2025")</f>
        <v>17 Mar 2025</v>
      </c>
      <c r="C262" s="211" t="str">
        <f>IFERROR(__xludf.DUMMYFUNCTION("""COMPUTED_VALUE"""),"Bpk. Sukirno (Bejo)")</f>
        <v>Bpk. Sukirno (Bejo)</v>
      </c>
      <c r="D262" s="211" t="str">
        <f>IFERROR(__xludf.DUMMYFUNCTION("""COMPUTED_VALUE"""),"LPG 12kg")</f>
        <v>LPG 12kg</v>
      </c>
      <c r="E262" s="211" t="str">
        <f>IFERROR(__xludf.DUMMYFUNCTION("""COMPUTED_VALUE"""),"2")</f>
        <v>2</v>
      </c>
      <c r="F262" s="211" t="str">
        <f>IFERROR(__xludf.DUMMYFUNCTION("""COMPUTED_VALUE"""),"420000")</f>
        <v>420000</v>
      </c>
      <c r="G262" s="211"/>
      <c r="H262" s="211"/>
      <c r="I262" s="211">
        <f>IFERROR(__xludf.DUMMYFUNCTION("""COMPUTED_VALUE"""),420000.0)</f>
        <v>420000</v>
      </c>
      <c r="J262" s="211" t="str">
        <f>IFERROR(__xludf.DUMMYFUNCTION("""COMPUTED_VALUE"""),"Ya")</f>
        <v>Ya</v>
      </c>
      <c r="L262" s="211"/>
      <c r="M262" s="211"/>
      <c r="N262" s="211" t="str">
        <f>IFERROR(__xludf.DUMMYFUNCTION("""COMPUTED_VALUE"""),"")</f>
        <v/>
      </c>
      <c r="O262" s="211" t="str">
        <f>IFERROR(__xludf.DUMMYFUNCTION("""COMPUTED_VALUE"""),"")</f>
        <v/>
      </c>
      <c r="P262" s="224" t="str">
        <f>IFERROR(__xludf.DUMMYFUNCTION("""COMPUTED_VALUE""")," ")</f>
        <v/>
      </c>
      <c r="Q262" s="225" t="str">
        <f>IFERROR(__xludf.DUMMYFUNCTION("""COMPUTED_VALUE"""),"")</f>
        <v/>
      </c>
      <c r="R262" s="211" t="str">
        <f>IFERROR(__xludf.DUMMYFUNCTION("""COMPUTED_VALUE"""),"")</f>
        <v/>
      </c>
      <c r="S262" s="211"/>
      <c r="T262" s="211"/>
      <c r="U262" s="211"/>
    </row>
    <row r="263">
      <c r="A263" s="222" t="str">
        <f>IFERROR(__xludf.DUMMYFUNCTION("""COMPUTED_VALUE"""),"03250328")</f>
        <v>03250328</v>
      </c>
      <c r="B263" s="211" t="str">
        <f>IFERROR(__xludf.DUMMYFUNCTION("""COMPUTED_VALUE"""),"17 Mar 2025")</f>
        <v>17 Mar 2025</v>
      </c>
      <c r="C263" s="211" t="str">
        <f>IFERROR(__xludf.DUMMYFUNCTION("""COMPUTED_VALUE"""),"Bpk. Joko (Gresik)")</f>
        <v>Bpk. Joko (Gresik)</v>
      </c>
      <c r="D263" s="211" t="str">
        <f>IFERROR(__xludf.DUMMYFUNCTION("""COMPUTED_VALUE"""),"Oksigen 6m3 MR")</f>
        <v>Oksigen 6m3 MR</v>
      </c>
      <c r="E263" s="211" t="str">
        <f>IFERROR(__xludf.DUMMYFUNCTION("""COMPUTED_VALUE"""),"4")</f>
        <v>4</v>
      </c>
      <c r="F263" s="211" t="str">
        <f>IFERROR(__xludf.DUMMYFUNCTION("""COMPUTED_VALUE"""),"220000")</f>
        <v>220000</v>
      </c>
      <c r="G263" s="211"/>
      <c r="H263" s="211"/>
      <c r="I263" s="211">
        <f>IFERROR(__xludf.DUMMYFUNCTION("""COMPUTED_VALUE"""),220000.0)</f>
        <v>220000</v>
      </c>
      <c r="J263" s="211" t="str">
        <f>IFERROR(__xludf.DUMMYFUNCTION("""COMPUTED_VALUE"""),"Ya")</f>
        <v>Ya</v>
      </c>
      <c r="L263" s="211"/>
      <c r="M263" s="211"/>
      <c r="N263" s="211" t="str">
        <f>IFERROR(__xludf.DUMMYFUNCTION("""COMPUTED_VALUE"""),"")</f>
        <v/>
      </c>
      <c r="O263" s="211" t="str">
        <f>IFERROR(__xludf.DUMMYFUNCTION("""COMPUTED_VALUE"""),"")</f>
        <v/>
      </c>
      <c r="P263" s="224" t="str">
        <f>IFERROR(__xludf.DUMMYFUNCTION("""COMPUTED_VALUE""")," ")</f>
        <v/>
      </c>
      <c r="Q263" s="225" t="str">
        <f>IFERROR(__xludf.DUMMYFUNCTION("""COMPUTED_VALUE"""),"")</f>
        <v/>
      </c>
      <c r="R263" s="211" t="str">
        <f>IFERROR(__xludf.DUMMYFUNCTION("""COMPUTED_VALUE"""),"")</f>
        <v/>
      </c>
      <c r="S263" s="211"/>
      <c r="T263" s="211"/>
      <c r="U263" s="211"/>
    </row>
    <row r="264">
      <c r="A264" s="222" t="str">
        <f>IFERROR(__xludf.DUMMYFUNCTION("""COMPUTED_VALUE"""),"03250329")</f>
        <v>03250329</v>
      </c>
      <c r="B264" s="211" t="str">
        <f>IFERROR(__xludf.DUMMYFUNCTION("""COMPUTED_VALUE"""),"17 Mar 2025")</f>
        <v>17 Mar 2025</v>
      </c>
      <c r="C264" s="211" t="str">
        <f>IFERROR(__xludf.DUMMYFUNCTION("""COMPUTED_VALUE"""),"PT LONG XING LOGAM INDONESIA")</f>
        <v>PT LONG XING LOGAM INDONESIA</v>
      </c>
      <c r="D264" s="211" t="str">
        <f>IFERROR(__xludf.DUMMYFUNCTION("""COMPUTED_VALUE"""),"LPG 12kg
Karbondioksida")</f>
        <v>LPG 12kg
Karbondioksida</v>
      </c>
      <c r="E264" s="211" t="str">
        <f>IFERROR(__xludf.DUMMYFUNCTION("""COMPUTED_VALUE"""),"2
1")</f>
        <v>2
1</v>
      </c>
      <c r="F264" s="211" t="str">
        <f>IFERROR(__xludf.DUMMYFUNCTION("""COMPUTED_VALUE"""),"400000
160000")</f>
        <v>400000
160000</v>
      </c>
      <c r="G264" s="211"/>
      <c r="H264" s="211"/>
      <c r="I264" s="211">
        <f>IFERROR(__xludf.DUMMYFUNCTION("""COMPUTED_VALUE"""),560000.0)</f>
        <v>560000</v>
      </c>
      <c r="J264" s="211" t="str">
        <f>IFERROR(__xludf.DUMMYFUNCTION("""COMPUTED_VALUE"""),"Ya")</f>
        <v>Ya</v>
      </c>
      <c r="L264" s="211"/>
      <c r="M264" s="211"/>
      <c r="N264" s="211" t="str">
        <f>IFERROR(__xludf.DUMMYFUNCTION("""COMPUTED_VALUE"""),"")</f>
        <v/>
      </c>
      <c r="O264" s="211" t="str">
        <f>IFERROR(__xludf.DUMMYFUNCTION("""COMPUTED_VALUE"""),"")</f>
        <v/>
      </c>
      <c r="P264" s="224" t="str">
        <f>IFERROR(__xludf.DUMMYFUNCTION("""COMPUTED_VALUE""")," ")</f>
        <v/>
      </c>
      <c r="Q264" s="225" t="str">
        <f>IFERROR(__xludf.DUMMYFUNCTION("""COMPUTED_VALUE"""),"")</f>
        <v/>
      </c>
      <c r="R264" s="211" t="str">
        <f>IFERROR(__xludf.DUMMYFUNCTION("""COMPUTED_VALUE"""),"")</f>
        <v/>
      </c>
      <c r="S264" s="211"/>
      <c r="T264" s="211"/>
      <c r="U264" s="211"/>
    </row>
    <row r="265">
      <c r="A265" s="222" t="str">
        <f>IFERROR(__xludf.DUMMYFUNCTION("""COMPUTED_VALUE"""),"03250331")</f>
        <v>03250331</v>
      </c>
      <c r="B265" s="211" t="str">
        <f>IFERROR(__xludf.DUMMYFUNCTION("""COMPUTED_VALUE"""),"17 Mar 2025")</f>
        <v>17 Mar 2025</v>
      </c>
      <c r="C265" s="211" t="str">
        <f>IFERROR(__xludf.DUMMYFUNCTION("""COMPUTED_VALUE"""),"PT Jatim Abadi Perkasa Steel")</f>
        <v>PT Jatim Abadi Perkasa Steel</v>
      </c>
      <c r="D265" s="211" t="str">
        <f>IFERROR(__xludf.DUMMYFUNCTION("""COMPUTED_VALUE"""),"Karbondioksida")</f>
        <v>Karbondioksida</v>
      </c>
      <c r="E265" s="211" t="str">
        <f>IFERROR(__xludf.DUMMYFUNCTION("""COMPUTED_VALUE"""),"4")</f>
        <v>4</v>
      </c>
      <c r="F265" s="211" t="str">
        <f>IFERROR(__xludf.DUMMYFUNCTION("""COMPUTED_VALUE"""),"720000")</f>
        <v>720000</v>
      </c>
      <c r="G265" s="211"/>
      <c r="H265" s="211"/>
      <c r="I265" s="211">
        <f>IFERROR(__xludf.DUMMYFUNCTION("""COMPUTED_VALUE"""),720000.0)</f>
        <v>720000</v>
      </c>
      <c r="J265" s="211" t="str">
        <f>IFERROR(__xludf.DUMMYFUNCTION("""COMPUTED_VALUE"""),"Ya")</f>
        <v>Ya</v>
      </c>
      <c r="L265" s="211"/>
      <c r="M265" s="211"/>
      <c r="N265" s="211" t="str">
        <f>IFERROR(__xludf.DUMMYFUNCTION("""COMPUTED_VALUE"""),"")</f>
        <v/>
      </c>
      <c r="O265" s="211" t="str">
        <f>IFERROR(__xludf.DUMMYFUNCTION("""COMPUTED_VALUE"""),"")</f>
        <v/>
      </c>
      <c r="P265" s="224" t="str">
        <f>IFERROR(__xludf.DUMMYFUNCTION("""COMPUTED_VALUE""")," ")</f>
        <v/>
      </c>
      <c r="Q265" s="225" t="str">
        <f>IFERROR(__xludf.DUMMYFUNCTION("""COMPUTED_VALUE"""),"")</f>
        <v/>
      </c>
      <c r="R265" s="211" t="str">
        <f>IFERROR(__xludf.DUMMYFUNCTION("""COMPUTED_VALUE"""),"")</f>
        <v/>
      </c>
      <c r="S265" s="211"/>
      <c r="T265" s="211"/>
      <c r="U265" s="211"/>
    </row>
    <row r="266">
      <c r="A266" s="222" t="str">
        <f>IFERROR(__xludf.DUMMYFUNCTION("""COMPUTED_VALUE"""),"03250332")</f>
        <v>03250332</v>
      </c>
      <c r="B266" s="211" t="str">
        <f>IFERROR(__xludf.DUMMYFUNCTION("""COMPUTED_VALUE"""),"18 Mar 2025")</f>
        <v>18 Mar 2025</v>
      </c>
      <c r="C266" s="211" t="str">
        <f>IFERROR(__xludf.DUMMYFUNCTION("""COMPUTED_VALUE"""),"GYF")</f>
        <v>GYF</v>
      </c>
      <c r="D266" s="211" t="str">
        <f>IFERROR(__xludf.DUMMYFUNCTION("""COMPUTED_VALUE"""),"Oksigen 6m3")</f>
        <v>Oksigen 6m3</v>
      </c>
      <c r="E266" s="211" t="str">
        <f>IFERROR(__xludf.DUMMYFUNCTION("""COMPUTED_VALUE"""),"15")</f>
        <v>15</v>
      </c>
      <c r="F266" s="211" t="str">
        <f>IFERROR(__xludf.DUMMYFUNCTION("""COMPUTED_VALUE"""),"675000")</f>
        <v>675000</v>
      </c>
      <c r="G266" s="211"/>
      <c r="H266" s="211"/>
      <c r="I266" s="211">
        <f>IFERROR(__xludf.DUMMYFUNCTION("""COMPUTED_VALUE"""),675000.0)</f>
        <v>675000</v>
      </c>
      <c r="J266" s="211" t="str">
        <f>IFERROR(__xludf.DUMMYFUNCTION("""COMPUTED_VALUE"""),"Ya")</f>
        <v>Ya</v>
      </c>
      <c r="L266" s="211"/>
      <c r="M266" s="211"/>
      <c r="N266" s="211" t="str">
        <f>IFERROR(__xludf.DUMMYFUNCTION("""COMPUTED_VALUE"""),"")</f>
        <v/>
      </c>
      <c r="O266" s="211" t="str">
        <f>IFERROR(__xludf.DUMMYFUNCTION("""COMPUTED_VALUE"""),"")</f>
        <v/>
      </c>
      <c r="P266" s="224" t="str">
        <f>IFERROR(__xludf.DUMMYFUNCTION("""COMPUTED_VALUE""")," ")</f>
        <v/>
      </c>
      <c r="Q266" s="225" t="str">
        <f>IFERROR(__xludf.DUMMYFUNCTION("""COMPUTED_VALUE"""),"")</f>
        <v/>
      </c>
      <c r="R266" s="211" t="str">
        <f>IFERROR(__xludf.DUMMYFUNCTION("""COMPUTED_VALUE"""),"")</f>
        <v/>
      </c>
      <c r="S266" s="211"/>
      <c r="T266" s="211"/>
      <c r="U266" s="211"/>
    </row>
    <row r="267">
      <c r="A267" s="222" t="str">
        <f>IFERROR(__xludf.DUMMYFUNCTION("""COMPUTED_VALUE"""),"03250333")</f>
        <v>03250333</v>
      </c>
      <c r="B267" s="211" t="str">
        <f>IFERROR(__xludf.DUMMYFUNCTION("""COMPUTED_VALUE"""),"19 Mar 2025")</f>
        <v>19 Mar 2025</v>
      </c>
      <c r="C267" s="211" t="str">
        <f>IFERROR(__xludf.DUMMYFUNCTION("""COMPUTED_VALUE"""),"PT ARYANA CAKASANA")</f>
        <v>PT ARYANA CAKASANA</v>
      </c>
      <c r="D267" s="211" t="str">
        <f>IFERROR(__xludf.DUMMYFUNCTION("""COMPUTED_VALUE"""),"Oksigen 6m3")</f>
        <v>Oksigen 6m3</v>
      </c>
      <c r="E267" s="211" t="str">
        <f>IFERROR(__xludf.DUMMYFUNCTION("""COMPUTED_VALUE"""),"10")</f>
        <v>10</v>
      </c>
      <c r="F267" s="211" t="str">
        <f>IFERROR(__xludf.DUMMYFUNCTION("""COMPUTED_VALUE"""),"525001")</f>
        <v>525001</v>
      </c>
      <c r="G267" s="211"/>
      <c r="H267" s="211"/>
      <c r="I267" s="211">
        <f>IFERROR(__xludf.DUMMYFUNCTION("""COMPUTED_VALUE"""),525001.0)</f>
        <v>525001</v>
      </c>
      <c r="J267" s="211" t="str">
        <f>IFERROR(__xludf.DUMMYFUNCTION("""COMPUTED_VALUE"""),"Penagihan")</f>
        <v>Penagihan</v>
      </c>
      <c r="L267" s="211"/>
      <c r="M267" s="211"/>
      <c r="N267" s="211" t="str">
        <f>IFERROR(__xludf.DUMMYFUNCTION("""COMPUTED_VALUE"""),"")</f>
        <v/>
      </c>
      <c r="O267" s="211" t="str">
        <f>IFERROR(__xludf.DUMMYFUNCTION("""COMPUTED_VALUE"""),"")</f>
        <v/>
      </c>
      <c r="P267" s="224" t="str">
        <f>IFERROR(__xludf.DUMMYFUNCTION("""COMPUTED_VALUE""")," ")</f>
        <v/>
      </c>
      <c r="Q267" s="225" t="str">
        <f>IFERROR(__xludf.DUMMYFUNCTION("""COMPUTED_VALUE"""),"")</f>
        <v/>
      </c>
      <c r="R267" s="211" t="str">
        <f>IFERROR(__xludf.DUMMYFUNCTION("""COMPUTED_VALUE"""),"")</f>
        <v/>
      </c>
      <c r="S267" s="211"/>
      <c r="T267" s="211"/>
      <c r="U267" s="211"/>
    </row>
    <row r="268">
      <c r="A268" s="222" t="str">
        <f>IFERROR(__xludf.DUMMYFUNCTION("""COMPUTED_VALUE"""),"03250334")</f>
        <v>03250334</v>
      </c>
      <c r="B268" s="211" t="str">
        <f>IFERROR(__xludf.DUMMYFUNCTION("""COMPUTED_VALUE"""),"19 Mar 2025")</f>
        <v>19 Mar 2025</v>
      </c>
      <c r="C268" s="211" t="str">
        <f>IFERROR(__xludf.DUMMYFUNCTION("""COMPUTED_VALUE"""),"Bpk. Sukirno (Bejo)")</f>
        <v>Bpk. Sukirno (Bejo)</v>
      </c>
      <c r="D268" s="211" t="str">
        <f>IFERROR(__xludf.DUMMYFUNCTION("""COMPUTED_VALUE"""),"Oksigen 6m3")</f>
        <v>Oksigen 6m3</v>
      </c>
      <c r="E268" s="211" t="str">
        <f>IFERROR(__xludf.DUMMYFUNCTION("""COMPUTED_VALUE"""),"10")</f>
        <v>10</v>
      </c>
      <c r="F268" s="211" t="str">
        <f>IFERROR(__xludf.DUMMYFUNCTION("""COMPUTED_VALUE"""),"600000")</f>
        <v>600000</v>
      </c>
      <c r="G268" s="211"/>
      <c r="H268" s="211"/>
      <c r="I268" s="211">
        <f>IFERROR(__xludf.DUMMYFUNCTION("""COMPUTED_VALUE"""),600000.0)</f>
        <v>600000</v>
      </c>
      <c r="J268" s="211" t="str">
        <f>IFERROR(__xludf.DUMMYFUNCTION("""COMPUTED_VALUE"""),"Ya")</f>
        <v>Ya</v>
      </c>
      <c r="L268" s="211"/>
      <c r="M268" s="211"/>
      <c r="N268" s="211" t="str">
        <f>IFERROR(__xludf.DUMMYFUNCTION("""COMPUTED_VALUE"""),"")</f>
        <v/>
      </c>
      <c r="O268" s="211" t="str">
        <f>IFERROR(__xludf.DUMMYFUNCTION("""COMPUTED_VALUE"""),"")</f>
        <v/>
      </c>
      <c r="P268" s="224" t="str">
        <f>IFERROR(__xludf.DUMMYFUNCTION("""COMPUTED_VALUE""")," ")</f>
        <v/>
      </c>
      <c r="Q268" s="225" t="str">
        <f>IFERROR(__xludf.DUMMYFUNCTION("""COMPUTED_VALUE"""),"")</f>
        <v/>
      </c>
      <c r="R268" s="211" t="str">
        <f>IFERROR(__xludf.DUMMYFUNCTION("""COMPUTED_VALUE"""),"")</f>
        <v/>
      </c>
      <c r="S268" s="211"/>
      <c r="T268" s="211"/>
      <c r="U268" s="211"/>
    </row>
    <row r="269">
      <c r="A269" s="222" t="str">
        <f>IFERROR(__xludf.DUMMYFUNCTION("""COMPUTED_VALUE"""),"03250335")</f>
        <v>03250335</v>
      </c>
      <c r="B269" s="211" t="str">
        <f>IFERROR(__xludf.DUMMYFUNCTION("""COMPUTED_VALUE"""),"20 Mar 2025")</f>
        <v>20 Mar 2025</v>
      </c>
      <c r="C269" s="211" t="str">
        <f>IFERROR(__xludf.DUMMYFUNCTION("""COMPUTED_VALUE"""),"Bpk. Joko (Gresik)")</f>
        <v>Bpk. Joko (Gresik)</v>
      </c>
      <c r="D269" s="211" t="str">
        <f>IFERROR(__xludf.DUMMYFUNCTION("""COMPUTED_VALUE"""),"Oksigen 6m3 MR
Karbondioksida MR")</f>
        <v>Oksigen 6m3 MR
Karbondioksida MR</v>
      </c>
      <c r="E269" s="211" t="str">
        <f>IFERROR(__xludf.DUMMYFUNCTION("""COMPUTED_VALUE"""),"4
2")</f>
        <v>4
2</v>
      </c>
      <c r="F269" s="211" t="str">
        <f>IFERROR(__xludf.DUMMYFUNCTION("""COMPUTED_VALUE"""),"220000
320000")</f>
        <v>220000
320000</v>
      </c>
      <c r="G269" s="211"/>
      <c r="H269" s="211"/>
      <c r="I269" s="211">
        <f>IFERROR(__xludf.DUMMYFUNCTION("""COMPUTED_VALUE"""),540000.0)</f>
        <v>540000</v>
      </c>
      <c r="J269" s="211" t="str">
        <f>IFERROR(__xludf.DUMMYFUNCTION("""COMPUTED_VALUE"""),"Ya")</f>
        <v>Ya</v>
      </c>
      <c r="L269" s="211"/>
      <c r="M269" s="211"/>
      <c r="N269" s="211" t="str">
        <f>IFERROR(__xludf.DUMMYFUNCTION("""COMPUTED_VALUE"""),"")</f>
        <v/>
      </c>
      <c r="O269" s="211" t="str">
        <f>IFERROR(__xludf.DUMMYFUNCTION("""COMPUTED_VALUE"""),"")</f>
        <v/>
      </c>
      <c r="P269" s="224" t="str">
        <f>IFERROR(__xludf.DUMMYFUNCTION("""COMPUTED_VALUE""")," ")</f>
        <v/>
      </c>
      <c r="Q269" s="225" t="str">
        <f>IFERROR(__xludf.DUMMYFUNCTION("""COMPUTED_VALUE"""),"")</f>
        <v/>
      </c>
      <c r="R269" s="211" t="str">
        <f>IFERROR(__xludf.DUMMYFUNCTION("""COMPUTED_VALUE"""),"")</f>
        <v/>
      </c>
      <c r="S269" s="211"/>
      <c r="T269" s="211"/>
      <c r="U269" s="211"/>
    </row>
    <row r="270">
      <c r="A270" s="222" t="str">
        <f>IFERROR(__xludf.DUMMYFUNCTION("""COMPUTED_VALUE"""),"03250337")</f>
        <v>03250337</v>
      </c>
      <c r="B270" s="211" t="str">
        <f>IFERROR(__xludf.DUMMYFUNCTION("""COMPUTED_VALUE"""),"20 Mar 2025")</f>
        <v>20 Mar 2025</v>
      </c>
      <c r="C270" s="211" t="str">
        <f>IFERROR(__xludf.DUMMYFUNCTION("""COMPUTED_VALUE"""),"PT GEMILANG CIPTA WAWASAN")</f>
        <v>PT GEMILANG CIPTA WAWASAN</v>
      </c>
      <c r="D270" s="211" t="str">
        <f>IFERROR(__xludf.DUMMYFUNCTION("""COMPUTED_VALUE"""),"Oksigen 6m3
LPG 12kg")</f>
        <v>Oksigen 6m3
LPG 12kg</v>
      </c>
      <c r="E270" s="211" t="str">
        <f>IFERROR(__xludf.DUMMYFUNCTION("""COMPUTED_VALUE"""),"10
7")</f>
        <v>10
7</v>
      </c>
      <c r="F270" s="211" t="str">
        <f>IFERROR(__xludf.DUMMYFUNCTION("""COMPUTED_VALUE"""),"666000
1631700")</f>
        <v>666000
1631700</v>
      </c>
      <c r="G270" s="211"/>
      <c r="H270" s="211"/>
      <c r="I270" s="211">
        <f>IFERROR(__xludf.DUMMYFUNCTION("""COMPUTED_VALUE"""),2297700.0)</f>
        <v>2297700</v>
      </c>
      <c r="J270" s="211" t="str">
        <f>IFERROR(__xludf.DUMMYFUNCTION("""COMPUTED_VALUE"""),"Penagihan")</f>
        <v>Penagihan</v>
      </c>
      <c r="L270" s="211"/>
      <c r="M270" s="211"/>
      <c r="N270" s="211" t="str">
        <f>IFERROR(__xludf.DUMMYFUNCTION("""COMPUTED_VALUE"""),"")</f>
        <v/>
      </c>
      <c r="O270" s="211" t="str">
        <f>IFERROR(__xludf.DUMMYFUNCTION("""COMPUTED_VALUE"""),"")</f>
        <v/>
      </c>
      <c r="P270" s="224" t="str">
        <f>IFERROR(__xludf.DUMMYFUNCTION("""COMPUTED_VALUE""")," ")</f>
        <v/>
      </c>
      <c r="Q270" s="225" t="str">
        <f>IFERROR(__xludf.DUMMYFUNCTION("""COMPUTED_VALUE"""),"")</f>
        <v/>
      </c>
      <c r="R270" s="211" t="str">
        <f>IFERROR(__xludf.DUMMYFUNCTION("""COMPUTED_VALUE"""),"")</f>
        <v/>
      </c>
      <c r="S270" s="211"/>
      <c r="T270" s="211"/>
      <c r="U270" s="211"/>
    </row>
    <row r="271">
      <c r="A271" s="222" t="str">
        <f>IFERROR(__xludf.DUMMYFUNCTION("""COMPUTED_VALUE"""),"03250339")</f>
        <v>03250339</v>
      </c>
      <c r="B271" s="211" t="str">
        <f>IFERROR(__xludf.DUMMYFUNCTION("""COMPUTED_VALUE"""),"21 Mar 2025")</f>
        <v>21 Mar 2025</v>
      </c>
      <c r="C271" s="211" t="str">
        <f>IFERROR(__xludf.DUMMYFUNCTION("""COMPUTED_VALUE"""),"PT Dunia Berkat Marga Mulya")</f>
        <v>PT Dunia Berkat Marga Mulya</v>
      </c>
      <c r="D271" s="211" t="str">
        <f>IFERROR(__xludf.DUMMYFUNCTION("""COMPUTED_VALUE"""),"Oksigen 6m3")</f>
        <v>Oksigen 6m3</v>
      </c>
      <c r="E271" s="211" t="str">
        <f>IFERROR(__xludf.DUMMYFUNCTION("""COMPUTED_VALUE"""),"5")</f>
        <v>5</v>
      </c>
      <c r="F271" s="211" t="str">
        <f>IFERROR(__xludf.DUMMYFUNCTION("""COMPUTED_VALUE"""),"333000")</f>
        <v>333000</v>
      </c>
      <c r="G271" s="211"/>
      <c r="H271" s="211"/>
      <c r="I271" s="211">
        <f>IFERROR(__xludf.DUMMYFUNCTION("""COMPUTED_VALUE"""),333000.0)</f>
        <v>333000</v>
      </c>
      <c r="J271" s="211" t="str">
        <f>IFERROR(__xludf.DUMMYFUNCTION("""COMPUTED_VALUE"""),"Ya")</f>
        <v>Ya</v>
      </c>
      <c r="L271" s="211"/>
      <c r="M271" s="211"/>
      <c r="N271" s="211" t="str">
        <f>IFERROR(__xludf.DUMMYFUNCTION("""COMPUTED_VALUE"""),"")</f>
        <v/>
      </c>
      <c r="O271" s="211" t="str">
        <f>IFERROR(__xludf.DUMMYFUNCTION("""COMPUTED_VALUE"""),"")</f>
        <v/>
      </c>
      <c r="P271" s="224" t="str">
        <f>IFERROR(__xludf.DUMMYFUNCTION("""COMPUTED_VALUE""")," ")</f>
        <v/>
      </c>
      <c r="Q271" s="225" t="str">
        <f>IFERROR(__xludf.DUMMYFUNCTION("""COMPUTED_VALUE"""),"")</f>
        <v/>
      </c>
      <c r="R271" s="211" t="str">
        <f>IFERROR(__xludf.DUMMYFUNCTION("""COMPUTED_VALUE"""),"")</f>
        <v/>
      </c>
      <c r="S271" s="211"/>
      <c r="T271" s="211"/>
      <c r="U271" s="211"/>
    </row>
    <row r="272">
      <c r="A272" s="222" t="str">
        <f>IFERROR(__xludf.DUMMYFUNCTION("""COMPUTED_VALUE"""),"03250340")</f>
        <v>03250340</v>
      </c>
      <c r="B272" s="211" t="str">
        <f>IFERROR(__xludf.DUMMYFUNCTION("""COMPUTED_VALUE"""),"20 Mar 2025")</f>
        <v>20 Mar 2025</v>
      </c>
      <c r="C272" s="211" t="str">
        <f>IFERROR(__xludf.DUMMYFUNCTION("""COMPUTED_VALUE"""),"PT Hua Zong Mesindo")</f>
        <v>PT Hua Zong Mesindo</v>
      </c>
      <c r="D272" s="211" t="str">
        <f>IFERROR(__xludf.DUMMYFUNCTION("""COMPUTED_VALUE"""),"Oksigen 6m3")</f>
        <v>Oksigen 6m3</v>
      </c>
      <c r="E272" s="211" t="str">
        <f>IFERROR(__xludf.DUMMYFUNCTION("""COMPUTED_VALUE"""),"3")</f>
        <v>3</v>
      </c>
      <c r="F272" s="211" t="str">
        <f>IFERROR(__xludf.DUMMYFUNCTION("""COMPUTED_VALUE"""),"180000")</f>
        <v>180000</v>
      </c>
      <c r="G272" s="211"/>
      <c r="H272" s="211"/>
      <c r="I272" s="211">
        <f>IFERROR(__xludf.DUMMYFUNCTION("""COMPUTED_VALUE"""),180000.0)</f>
        <v>180000</v>
      </c>
      <c r="J272" s="211" t="str">
        <f>IFERROR(__xludf.DUMMYFUNCTION("""COMPUTED_VALUE"""),"Ya")</f>
        <v>Ya</v>
      </c>
      <c r="L272" s="211"/>
      <c r="M272" s="211"/>
      <c r="N272" s="211" t="str">
        <f>IFERROR(__xludf.DUMMYFUNCTION("""COMPUTED_VALUE"""),"")</f>
        <v/>
      </c>
      <c r="O272" s="211" t="str">
        <f>IFERROR(__xludf.DUMMYFUNCTION("""COMPUTED_VALUE"""),"")</f>
        <v/>
      </c>
      <c r="P272" s="224" t="str">
        <f>IFERROR(__xludf.DUMMYFUNCTION("""COMPUTED_VALUE""")," ")</f>
        <v/>
      </c>
      <c r="Q272" s="225" t="str">
        <f>IFERROR(__xludf.DUMMYFUNCTION("""COMPUTED_VALUE"""),"")</f>
        <v/>
      </c>
      <c r="R272" s="211" t="str">
        <f>IFERROR(__xludf.DUMMYFUNCTION("""COMPUTED_VALUE"""),"")</f>
        <v/>
      </c>
      <c r="S272" s="211"/>
      <c r="T272" s="211"/>
      <c r="U272" s="211"/>
    </row>
    <row r="273">
      <c r="A273" s="222" t="str">
        <f>IFERROR(__xludf.DUMMYFUNCTION("""COMPUTED_VALUE"""),"03250341")</f>
        <v>03250341</v>
      </c>
      <c r="B273" s="211" t="str">
        <f>IFERROR(__xludf.DUMMYFUNCTION("""COMPUTED_VALUE"""),"24 Mar 2025")</f>
        <v>24 Mar 2025</v>
      </c>
      <c r="C273" s="211" t="str">
        <f>IFERROR(__xludf.DUMMYFUNCTION("""COMPUTED_VALUE"""),"PT ARYANA CAKASANA")</f>
        <v>PT ARYANA CAKASANA</v>
      </c>
      <c r="D273" s="211" t="str">
        <f>IFERROR(__xludf.DUMMYFUNCTION("""COMPUTED_VALUE"""),"Oksigen 6m3")</f>
        <v>Oksigen 6m3</v>
      </c>
      <c r="E273" s="211" t="str">
        <f>IFERROR(__xludf.DUMMYFUNCTION("""COMPUTED_VALUE"""),"10")</f>
        <v>10</v>
      </c>
      <c r="F273" s="211" t="str">
        <f>IFERROR(__xludf.DUMMYFUNCTION("""COMPUTED_VALUE"""),"525001")</f>
        <v>525001</v>
      </c>
      <c r="G273" s="211"/>
      <c r="H273" s="211"/>
      <c r="I273" s="211">
        <f>IFERROR(__xludf.DUMMYFUNCTION("""COMPUTED_VALUE"""),525001.0)</f>
        <v>525001</v>
      </c>
      <c r="J273" s="211" t="str">
        <f>IFERROR(__xludf.DUMMYFUNCTION("""COMPUTED_VALUE"""),"Penagihan")</f>
        <v>Penagihan</v>
      </c>
      <c r="L273" s="211"/>
      <c r="M273" s="211"/>
      <c r="N273" s="211" t="str">
        <f>IFERROR(__xludf.DUMMYFUNCTION("""COMPUTED_VALUE"""),"")</f>
        <v/>
      </c>
      <c r="O273" s="211" t="str">
        <f>IFERROR(__xludf.DUMMYFUNCTION("""COMPUTED_VALUE"""),"")</f>
        <v/>
      </c>
      <c r="P273" s="224" t="str">
        <f>IFERROR(__xludf.DUMMYFUNCTION("""COMPUTED_VALUE""")," ")</f>
        <v/>
      </c>
      <c r="Q273" s="225" t="str">
        <f>IFERROR(__xludf.DUMMYFUNCTION("""COMPUTED_VALUE"""),"")</f>
        <v/>
      </c>
      <c r="R273" s="211" t="str">
        <f>IFERROR(__xludf.DUMMYFUNCTION("""COMPUTED_VALUE"""),"")</f>
        <v/>
      </c>
      <c r="S273" s="211"/>
      <c r="T273" s="211"/>
      <c r="U273" s="211"/>
    </row>
    <row r="274">
      <c r="A274" s="222" t="str">
        <f>IFERROR(__xludf.DUMMYFUNCTION("""COMPUTED_VALUE"""),"03250342")</f>
        <v>03250342</v>
      </c>
      <c r="B274" s="211" t="str">
        <f>IFERROR(__xludf.DUMMYFUNCTION("""COMPUTED_VALUE"""),"24 Mar 2025")</f>
        <v>24 Mar 2025</v>
      </c>
      <c r="C274" s="211" t="str">
        <f>IFERROR(__xludf.DUMMYFUNCTION("""COMPUTED_VALUE"""),"Bpk. Sukirno (Bejo)")</f>
        <v>Bpk. Sukirno (Bejo)</v>
      </c>
      <c r="D274" s="211" t="str">
        <f>IFERROR(__xludf.DUMMYFUNCTION("""COMPUTED_VALUE"""),"Oksigen 6m3
LPG 12kg")</f>
        <v>Oksigen 6m3
LPG 12kg</v>
      </c>
      <c r="E274" s="211" t="str">
        <f>IFERROR(__xludf.DUMMYFUNCTION("""COMPUTED_VALUE"""),"15
1")</f>
        <v>15
1</v>
      </c>
      <c r="F274" s="211" t="str">
        <f>IFERROR(__xludf.DUMMYFUNCTION("""COMPUTED_VALUE"""),"900000
210000")</f>
        <v>900000
210000</v>
      </c>
      <c r="G274" s="211"/>
      <c r="H274" s="211"/>
      <c r="I274" s="211">
        <f>IFERROR(__xludf.DUMMYFUNCTION("""COMPUTED_VALUE"""),1110000.0)</f>
        <v>1110000</v>
      </c>
      <c r="J274" s="211" t="str">
        <f>IFERROR(__xludf.DUMMYFUNCTION("""COMPUTED_VALUE"""),"Ya")</f>
        <v>Ya</v>
      </c>
      <c r="L274" s="211"/>
      <c r="M274" s="211"/>
      <c r="N274" s="211" t="str">
        <f>IFERROR(__xludf.DUMMYFUNCTION("""COMPUTED_VALUE"""),"")</f>
        <v/>
      </c>
      <c r="O274" s="211" t="str">
        <f>IFERROR(__xludf.DUMMYFUNCTION("""COMPUTED_VALUE"""),"")</f>
        <v/>
      </c>
      <c r="P274" s="224" t="str">
        <f>IFERROR(__xludf.DUMMYFUNCTION("""COMPUTED_VALUE""")," ")</f>
        <v/>
      </c>
      <c r="Q274" s="225" t="str">
        <f>IFERROR(__xludf.DUMMYFUNCTION("""COMPUTED_VALUE"""),"")</f>
        <v/>
      </c>
      <c r="R274" s="211" t="str">
        <f>IFERROR(__xludf.DUMMYFUNCTION("""COMPUTED_VALUE"""),"")</f>
        <v/>
      </c>
      <c r="S274" s="211"/>
      <c r="T274" s="211"/>
      <c r="U274" s="211"/>
    </row>
    <row r="275">
      <c r="A275" s="222" t="str">
        <f>IFERROR(__xludf.DUMMYFUNCTION("""COMPUTED_VALUE"""),"03250344")</f>
        <v>03250344</v>
      </c>
      <c r="B275" s="211" t="str">
        <f>IFERROR(__xludf.DUMMYFUNCTION("""COMPUTED_VALUE"""),"26 Mar 2025")</f>
        <v>26 Mar 2025</v>
      </c>
      <c r="C275" s="211" t="str">
        <f>IFERROR(__xludf.DUMMYFUNCTION("""COMPUTED_VALUE"""),"Bpk. Joko (Gresik)")</f>
        <v>Bpk. Joko (Gresik)</v>
      </c>
      <c r="D275" s="211" t="str">
        <f>IFERROR(__xludf.DUMMYFUNCTION("""COMPUTED_VALUE"""),"Oksigen 6m3 MR")</f>
        <v>Oksigen 6m3 MR</v>
      </c>
      <c r="E275" s="211" t="str">
        <f>IFERROR(__xludf.DUMMYFUNCTION("""COMPUTED_VALUE"""),"10")</f>
        <v>10</v>
      </c>
      <c r="F275" s="211" t="str">
        <f>IFERROR(__xludf.DUMMYFUNCTION("""COMPUTED_VALUE"""),"550000")</f>
        <v>550000</v>
      </c>
      <c r="G275" s="211"/>
      <c r="H275" s="211"/>
      <c r="I275" s="211">
        <f>IFERROR(__xludf.DUMMYFUNCTION("""COMPUTED_VALUE"""),550000.0)</f>
        <v>550000</v>
      </c>
      <c r="J275" s="211" t="str">
        <f>IFERROR(__xludf.DUMMYFUNCTION("""COMPUTED_VALUE"""),"Ya")</f>
        <v>Ya</v>
      </c>
      <c r="L275" s="211"/>
      <c r="M275" s="211"/>
      <c r="N275" s="211" t="str">
        <f>IFERROR(__xludf.DUMMYFUNCTION("""COMPUTED_VALUE"""),"")</f>
        <v/>
      </c>
      <c r="O275" s="211" t="str">
        <f>IFERROR(__xludf.DUMMYFUNCTION("""COMPUTED_VALUE"""),"")</f>
        <v/>
      </c>
      <c r="P275" s="224" t="str">
        <f>IFERROR(__xludf.DUMMYFUNCTION("""COMPUTED_VALUE""")," ")</f>
        <v/>
      </c>
      <c r="Q275" s="225" t="str">
        <f>IFERROR(__xludf.DUMMYFUNCTION("""COMPUTED_VALUE"""),"")</f>
        <v/>
      </c>
      <c r="R275" s="211" t="str">
        <f>IFERROR(__xludf.DUMMYFUNCTION("""COMPUTED_VALUE"""),"")</f>
        <v/>
      </c>
      <c r="S275" s="211"/>
      <c r="T275" s="211"/>
      <c r="U275" s="211"/>
    </row>
    <row r="276">
      <c r="A276" s="222" t="str">
        <f>IFERROR(__xludf.DUMMYFUNCTION("""COMPUTED_VALUE"""),"03250345")</f>
        <v>03250345</v>
      </c>
      <c r="B276" s="211" t="str">
        <f>IFERROR(__xludf.DUMMYFUNCTION("""COMPUTED_VALUE"""),"27 Mar 2025")</f>
        <v>27 Mar 2025</v>
      </c>
      <c r="C276" s="211" t="str">
        <f>IFERROR(__xludf.DUMMYFUNCTION("""COMPUTED_VALUE"""),"PT Jatim Abadi Perkasa Steel")</f>
        <v>PT Jatim Abadi Perkasa Steel</v>
      </c>
      <c r="D276" s="211" t="str">
        <f>IFERROR(__xludf.DUMMYFUNCTION("""COMPUTED_VALUE"""),"Karbondioksida")</f>
        <v>Karbondioksida</v>
      </c>
      <c r="E276" s="211" t="str">
        <f>IFERROR(__xludf.DUMMYFUNCTION("""COMPUTED_VALUE"""),"2")</f>
        <v>2</v>
      </c>
      <c r="F276" s="211" t="str">
        <f>IFERROR(__xludf.DUMMYFUNCTION("""COMPUTED_VALUE"""),"370740")</f>
        <v>370740</v>
      </c>
      <c r="G276" s="211"/>
      <c r="H276" s="211"/>
      <c r="I276" s="211">
        <f>IFERROR(__xludf.DUMMYFUNCTION("""COMPUTED_VALUE"""),370740.0)</f>
        <v>370740</v>
      </c>
      <c r="J276" s="211" t="str">
        <f>IFERROR(__xludf.DUMMYFUNCTION("""COMPUTED_VALUE"""),"Ya")</f>
        <v>Ya</v>
      </c>
      <c r="L276" s="211"/>
      <c r="M276" s="211"/>
      <c r="N276" s="211" t="str">
        <f>IFERROR(__xludf.DUMMYFUNCTION("""COMPUTED_VALUE"""),"")</f>
        <v/>
      </c>
      <c r="O276" s="211" t="str">
        <f>IFERROR(__xludf.DUMMYFUNCTION("""COMPUTED_VALUE"""),"")</f>
        <v/>
      </c>
      <c r="P276" s="224" t="str">
        <f>IFERROR(__xludf.DUMMYFUNCTION("""COMPUTED_VALUE""")," ")</f>
        <v/>
      </c>
      <c r="Q276" s="225" t="str">
        <f>IFERROR(__xludf.DUMMYFUNCTION("""COMPUTED_VALUE"""),"")</f>
        <v/>
      </c>
      <c r="R276" s="211" t="str">
        <f>IFERROR(__xludf.DUMMYFUNCTION("""COMPUTED_VALUE"""),"")</f>
        <v/>
      </c>
      <c r="S276" s="211"/>
      <c r="T276" s="211"/>
      <c r="U276" s="211"/>
    </row>
    <row r="277">
      <c r="A277" s="222" t="str">
        <f>IFERROR(__xludf.DUMMYFUNCTION("""COMPUTED_VALUE"""),"03250346")</f>
        <v>03250346</v>
      </c>
      <c r="B277" s="211" t="str">
        <f>IFERROR(__xludf.DUMMYFUNCTION("""COMPUTED_VALUE"""),"26 Mar 2025")</f>
        <v>26 Mar 2025</v>
      </c>
      <c r="C277" s="211" t="str">
        <f>IFERROR(__xludf.DUMMYFUNCTION("""COMPUTED_VALUE"""),"Bpk. Pendik")</f>
        <v>Bpk. Pendik</v>
      </c>
      <c r="D277" s="211" t="str">
        <f>IFERROR(__xludf.DUMMYFUNCTION("""COMPUTED_VALUE"""),"LPG 12kg")</f>
        <v>LPG 12kg</v>
      </c>
      <c r="E277" s="211" t="str">
        <f>IFERROR(__xludf.DUMMYFUNCTION("""COMPUTED_VALUE"""),"1")</f>
        <v>1</v>
      </c>
      <c r="F277" s="211" t="str">
        <f>IFERROR(__xludf.DUMMYFUNCTION("""COMPUTED_VALUE"""),"450000")</f>
        <v>450000</v>
      </c>
      <c r="G277" s="211"/>
      <c r="H277" s="211"/>
      <c r="I277" s="211">
        <f>IFERROR(__xludf.DUMMYFUNCTION("""COMPUTED_VALUE"""),450000.0)</f>
        <v>450000</v>
      </c>
      <c r="J277" s="211" t="str">
        <f>IFERROR(__xludf.DUMMYFUNCTION("""COMPUTED_VALUE"""),"Ya")</f>
        <v>Ya</v>
      </c>
      <c r="L277" s="211"/>
      <c r="M277" s="211"/>
      <c r="N277" s="211" t="str">
        <f>IFERROR(__xludf.DUMMYFUNCTION("""COMPUTED_VALUE"""),"")</f>
        <v/>
      </c>
      <c r="O277" s="211" t="str">
        <f>IFERROR(__xludf.DUMMYFUNCTION("""COMPUTED_VALUE"""),"")</f>
        <v/>
      </c>
      <c r="P277" s="224" t="str">
        <f>IFERROR(__xludf.DUMMYFUNCTION("""COMPUTED_VALUE""")," ")</f>
        <v/>
      </c>
      <c r="Q277" s="225" t="str">
        <f>IFERROR(__xludf.DUMMYFUNCTION("""COMPUTED_VALUE"""),"")</f>
        <v/>
      </c>
      <c r="R277" s="211" t="str">
        <f>IFERROR(__xludf.DUMMYFUNCTION("""COMPUTED_VALUE"""),"")</f>
        <v/>
      </c>
      <c r="S277" s="211"/>
      <c r="T277" s="211"/>
      <c r="U277" s="211"/>
    </row>
    <row r="278">
      <c r="A278" s="222" t="str">
        <f>IFERROR(__xludf.DUMMYFUNCTION("""COMPUTED_VALUE"""),"03250347")</f>
        <v>03250347</v>
      </c>
      <c r="B278" s="211" t="str">
        <f>IFERROR(__xludf.DUMMYFUNCTION("""COMPUTED_VALUE"""),"27 Mar 2025")</f>
        <v>27 Mar 2025</v>
      </c>
      <c r="C278" s="211" t="str">
        <f>IFERROR(__xludf.DUMMYFUNCTION("""COMPUTED_VALUE"""),"Bpk. Slamet")</f>
        <v>Bpk. Slamet</v>
      </c>
      <c r="D278" s="211" t="str">
        <f>IFERROR(__xludf.DUMMYFUNCTION("""COMPUTED_VALUE"""),"Oksigen 6m3")</f>
        <v>Oksigen 6m3</v>
      </c>
      <c r="E278" s="211" t="str">
        <f>IFERROR(__xludf.DUMMYFUNCTION("""COMPUTED_VALUE"""),"1")</f>
        <v>1</v>
      </c>
      <c r="F278" s="211" t="str">
        <f>IFERROR(__xludf.DUMMYFUNCTION("""COMPUTED_VALUE"""),"0")</f>
        <v>0</v>
      </c>
      <c r="G278" s="211"/>
      <c r="H278" s="211"/>
      <c r="I278" s="211">
        <f>IFERROR(__xludf.DUMMYFUNCTION("""COMPUTED_VALUE"""),0.0)</f>
        <v>0</v>
      </c>
      <c r="J278" s="211" t="str">
        <f>IFERROR(__xludf.DUMMYFUNCTION("""COMPUTED_VALUE"""),"Ya")</f>
        <v>Ya</v>
      </c>
      <c r="L278" s="211"/>
      <c r="M278" s="211"/>
      <c r="N278" s="211" t="str">
        <f>IFERROR(__xludf.DUMMYFUNCTION("""COMPUTED_VALUE"""),"")</f>
        <v/>
      </c>
      <c r="O278" s="211" t="str">
        <f>IFERROR(__xludf.DUMMYFUNCTION("""COMPUTED_VALUE"""),"")</f>
        <v/>
      </c>
      <c r="P278" s="224" t="str">
        <f>IFERROR(__xludf.DUMMYFUNCTION("""COMPUTED_VALUE""")," ")</f>
        <v/>
      </c>
      <c r="Q278" s="225" t="str">
        <f>IFERROR(__xludf.DUMMYFUNCTION("""COMPUTED_VALUE"""),"")</f>
        <v/>
      </c>
      <c r="R278" s="211" t="str">
        <f>IFERROR(__xludf.DUMMYFUNCTION("""COMPUTED_VALUE"""),"")</f>
        <v/>
      </c>
      <c r="S278" s="211"/>
      <c r="T278" s="211"/>
      <c r="U278" s="211"/>
    </row>
    <row r="279">
      <c r="A279" s="222" t="str">
        <f>IFERROR(__xludf.DUMMYFUNCTION("""COMPUTED_VALUE"""),"04250348")</f>
        <v>04250348</v>
      </c>
      <c r="B279" s="211" t="str">
        <f>IFERROR(__xludf.DUMMYFUNCTION("""COMPUTED_VALUE"""),"07 Apr 2025")</f>
        <v>07 Apr 2025</v>
      </c>
      <c r="C279" s="211" t="str">
        <f>IFERROR(__xludf.DUMMYFUNCTION("""COMPUTED_VALUE"""),"Bpk. Supar")</f>
        <v>Bpk. Supar</v>
      </c>
      <c r="D279" s="211" t="str">
        <f>IFERROR(__xludf.DUMMYFUNCTION("""COMPUTED_VALUE"""),"Oksigen 6m3")</f>
        <v>Oksigen 6m3</v>
      </c>
      <c r="E279" s="211" t="str">
        <f>IFERROR(__xludf.DUMMYFUNCTION("""COMPUTED_VALUE"""),"1")</f>
        <v>1</v>
      </c>
      <c r="F279" s="211" t="str">
        <f>IFERROR(__xludf.DUMMYFUNCTION("""COMPUTED_VALUE"""),"70000")</f>
        <v>70000</v>
      </c>
      <c r="G279" s="211"/>
      <c r="H279" s="211"/>
      <c r="I279" s="211">
        <f>IFERROR(__xludf.DUMMYFUNCTION("""COMPUTED_VALUE"""),70000.0)</f>
        <v>70000</v>
      </c>
      <c r="J279" s="211" t="str">
        <f>IFERROR(__xludf.DUMMYFUNCTION("""COMPUTED_VALUE"""),"Ya")</f>
        <v>Ya</v>
      </c>
      <c r="L279" s="211"/>
      <c r="M279" s="211"/>
      <c r="N279" s="211" t="str">
        <f>IFERROR(__xludf.DUMMYFUNCTION("""COMPUTED_VALUE"""),"")</f>
        <v/>
      </c>
      <c r="O279" s="211" t="str">
        <f>IFERROR(__xludf.DUMMYFUNCTION("""COMPUTED_VALUE"""),"")</f>
        <v/>
      </c>
      <c r="P279" s="224" t="str">
        <f>IFERROR(__xludf.DUMMYFUNCTION("""COMPUTED_VALUE""")," ")</f>
        <v/>
      </c>
      <c r="Q279" s="225" t="str">
        <f>IFERROR(__xludf.DUMMYFUNCTION("""COMPUTED_VALUE"""),"")</f>
        <v/>
      </c>
      <c r="R279" s="211" t="str">
        <f>IFERROR(__xludf.DUMMYFUNCTION("""COMPUTED_VALUE"""),"")</f>
        <v/>
      </c>
      <c r="S279" s="211"/>
      <c r="T279" s="211"/>
      <c r="U279" s="211"/>
    </row>
    <row r="280">
      <c r="A280" s="222" t="str">
        <f>IFERROR(__xludf.DUMMYFUNCTION("""COMPUTED_VALUE"""),"04250349")</f>
        <v>04250349</v>
      </c>
      <c r="B280" s="211" t="str">
        <f>IFERROR(__xludf.DUMMYFUNCTION("""COMPUTED_VALUE"""),"08 Apr 2025")</f>
        <v>08 Apr 2025</v>
      </c>
      <c r="C280" s="211" t="str">
        <f>IFERROR(__xludf.DUMMYFUNCTION("""COMPUTED_VALUE"""),"PT Hua Zong Mesindo")</f>
        <v>PT Hua Zong Mesindo</v>
      </c>
      <c r="D280" s="211" t="str">
        <f>IFERROR(__xludf.DUMMYFUNCTION("""COMPUTED_VALUE"""),"Argon 6m3
Karbondioksida
Oksigen 6m3")</f>
        <v>Argon 6m3
Karbondioksida
Oksigen 6m3</v>
      </c>
      <c r="E280" s="211" t="str">
        <f>IFERROR(__xludf.DUMMYFUNCTION("""COMPUTED_VALUE"""),"4
3
2")</f>
        <v>4
3
2</v>
      </c>
      <c r="F280" s="211" t="str">
        <f>IFERROR(__xludf.DUMMYFUNCTION("""COMPUTED_VALUE"""),"760000
480000
120000")</f>
        <v>760000
480000
120000</v>
      </c>
      <c r="G280" s="211"/>
      <c r="H280" s="211"/>
      <c r="I280" s="211">
        <f>IFERROR(__xludf.DUMMYFUNCTION("""COMPUTED_VALUE"""),1360000.0)</f>
        <v>1360000</v>
      </c>
      <c r="J280" s="211" t="str">
        <f>IFERROR(__xludf.DUMMYFUNCTION("""COMPUTED_VALUE"""),"Ya")</f>
        <v>Ya</v>
      </c>
      <c r="L280" s="211"/>
      <c r="M280" s="211"/>
      <c r="N280" s="211" t="str">
        <f>IFERROR(__xludf.DUMMYFUNCTION("""COMPUTED_VALUE"""),"")</f>
        <v/>
      </c>
      <c r="O280" s="211" t="str">
        <f>IFERROR(__xludf.DUMMYFUNCTION("""COMPUTED_VALUE"""),"")</f>
        <v/>
      </c>
      <c r="P280" s="224" t="str">
        <f>IFERROR(__xludf.DUMMYFUNCTION("""COMPUTED_VALUE""")," ")</f>
        <v/>
      </c>
      <c r="Q280" s="225" t="str">
        <f>IFERROR(__xludf.DUMMYFUNCTION("""COMPUTED_VALUE"""),"")</f>
        <v/>
      </c>
      <c r="R280" s="211" t="str">
        <f>IFERROR(__xludf.DUMMYFUNCTION("""COMPUTED_VALUE"""),"")</f>
        <v/>
      </c>
      <c r="S280" s="211"/>
      <c r="T280" s="211"/>
      <c r="U280" s="211"/>
    </row>
    <row r="281">
      <c r="A281" s="222" t="str">
        <f>IFERROR(__xludf.DUMMYFUNCTION("""COMPUTED_VALUE"""),"04250352")</f>
        <v>04250352</v>
      </c>
      <c r="B281" s="211" t="str">
        <f>IFERROR(__xludf.DUMMYFUNCTION("""COMPUTED_VALUE"""),"08 Apr 2025")</f>
        <v>08 Apr 2025</v>
      </c>
      <c r="C281" s="211" t="str">
        <f>IFERROR(__xludf.DUMMYFUNCTION("""COMPUTED_VALUE"""),"PT Dingsheng Metal Indonesia (Ngoro)")</f>
        <v>PT Dingsheng Metal Indonesia (Ngoro)</v>
      </c>
      <c r="D281" s="211" t="str">
        <f>IFERROR(__xludf.DUMMYFUNCTION("""COMPUTED_VALUE"""),"Oksigen 6m3")</f>
        <v>Oksigen 6m3</v>
      </c>
      <c r="E281" s="211" t="str">
        <f>IFERROR(__xludf.DUMMYFUNCTION("""COMPUTED_VALUE"""),"10")</f>
        <v>10</v>
      </c>
      <c r="F281" s="211" t="str">
        <f>IFERROR(__xludf.DUMMYFUNCTION("""COMPUTED_VALUE"""),"500000")</f>
        <v>500000</v>
      </c>
      <c r="G281" s="211"/>
      <c r="H281" s="211"/>
      <c r="I281" s="211">
        <f>IFERROR(__xludf.DUMMYFUNCTION("""COMPUTED_VALUE"""),500000.0)</f>
        <v>500000</v>
      </c>
      <c r="J281" s="211" t="str">
        <f>IFERROR(__xludf.DUMMYFUNCTION("""COMPUTED_VALUE"""),"Penagihan")</f>
        <v>Penagihan</v>
      </c>
      <c r="L281" s="211"/>
      <c r="M281" s="211"/>
      <c r="N281" s="211" t="str">
        <f>IFERROR(__xludf.DUMMYFUNCTION("""COMPUTED_VALUE"""),"")</f>
        <v/>
      </c>
      <c r="O281" s="211" t="str">
        <f>IFERROR(__xludf.DUMMYFUNCTION("""COMPUTED_VALUE"""),"")</f>
        <v/>
      </c>
      <c r="P281" s="224" t="str">
        <f>IFERROR(__xludf.DUMMYFUNCTION("""COMPUTED_VALUE""")," ")</f>
        <v/>
      </c>
      <c r="Q281" s="225" t="str">
        <f>IFERROR(__xludf.DUMMYFUNCTION("""COMPUTED_VALUE"""),"")</f>
        <v/>
      </c>
      <c r="R281" s="211" t="str">
        <f>IFERROR(__xludf.DUMMYFUNCTION("""COMPUTED_VALUE"""),"")</f>
        <v/>
      </c>
      <c r="S281" s="211"/>
      <c r="T281" s="211"/>
      <c r="U281" s="211"/>
    </row>
    <row r="282">
      <c r="A282" s="222" t="str">
        <f>IFERROR(__xludf.DUMMYFUNCTION("""COMPUTED_VALUE"""),"04250353")</f>
        <v>04250353</v>
      </c>
      <c r="B282" s="211" t="str">
        <f>IFERROR(__xludf.DUMMYFUNCTION("""COMPUTED_VALUE"""),"08 Apr 2025")</f>
        <v>08 Apr 2025</v>
      </c>
      <c r="C282" s="211" t="str">
        <f>IFERROR(__xludf.DUMMYFUNCTION("""COMPUTED_VALUE"""),"Ibu Siti Barokah")</f>
        <v>Ibu Siti Barokah</v>
      </c>
      <c r="D282" s="211" t="str">
        <f>IFERROR(__xludf.DUMMYFUNCTION("""COMPUTED_VALUE"""),"Oksigen 6m3")</f>
        <v>Oksigen 6m3</v>
      </c>
      <c r="E282" s="211" t="str">
        <f>IFERROR(__xludf.DUMMYFUNCTION("""COMPUTED_VALUE"""),"1")</f>
        <v>1</v>
      </c>
      <c r="F282" s="211" t="str">
        <f>IFERROR(__xludf.DUMMYFUNCTION("""COMPUTED_VALUE"""),"80000")</f>
        <v>80000</v>
      </c>
      <c r="G282" s="211"/>
      <c r="H282" s="211"/>
      <c r="I282" s="211">
        <f>IFERROR(__xludf.DUMMYFUNCTION("""COMPUTED_VALUE"""),80000.0)</f>
        <v>80000</v>
      </c>
      <c r="J282" s="211" t="str">
        <f>IFERROR(__xludf.DUMMYFUNCTION("""COMPUTED_VALUE"""),"Ya")</f>
        <v>Ya</v>
      </c>
      <c r="L282" s="211"/>
      <c r="M282" s="211"/>
      <c r="N282" s="211" t="str">
        <f>IFERROR(__xludf.DUMMYFUNCTION("""COMPUTED_VALUE"""),"")</f>
        <v/>
      </c>
      <c r="O282" s="211" t="str">
        <f>IFERROR(__xludf.DUMMYFUNCTION("""COMPUTED_VALUE"""),"")</f>
        <v/>
      </c>
      <c r="P282" s="224" t="str">
        <f>IFERROR(__xludf.DUMMYFUNCTION("""COMPUTED_VALUE""")," ")</f>
        <v/>
      </c>
      <c r="Q282" s="225" t="str">
        <f>IFERROR(__xludf.DUMMYFUNCTION("""COMPUTED_VALUE"""),"")</f>
        <v/>
      </c>
      <c r="R282" s="211" t="str">
        <f>IFERROR(__xludf.DUMMYFUNCTION("""COMPUTED_VALUE"""),"")</f>
        <v/>
      </c>
      <c r="S282" s="211"/>
      <c r="T282" s="211"/>
      <c r="U282" s="211"/>
    </row>
    <row r="283">
      <c r="A283" s="222" t="str">
        <f>IFERROR(__xludf.DUMMYFUNCTION("""COMPUTED_VALUE"""),"04250354")</f>
        <v>04250354</v>
      </c>
      <c r="B283" s="211" t="str">
        <f>IFERROR(__xludf.DUMMYFUNCTION("""COMPUTED_VALUE"""),"09 Apr 2025")</f>
        <v>09 Apr 2025</v>
      </c>
      <c r="C283" s="211" t="str">
        <f>IFERROR(__xludf.DUMMYFUNCTION("""COMPUTED_VALUE"""),"PT ARYANA CAKASANA")</f>
        <v>PT ARYANA CAKASANA</v>
      </c>
      <c r="D283" s="211" t="str">
        <f>IFERROR(__xludf.DUMMYFUNCTION("""COMPUTED_VALUE"""),"Oksigen 6m3")</f>
        <v>Oksigen 6m3</v>
      </c>
      <c r="E283" s="211" t="str">
        <f>IFERROR(__xludf.DUMMYFUNCTION("""COMPUTED_VALUE"""),"10")</f>
        <v>10</v>
      </c>
      <c r="F283" s="211" t="str">
        <f>IFERROR(__xludf.DUMMYFUNCTION("""COMPUTED_VALUE"""),"525001")</f>
        <v>525001</v>
      </c>
      <c r="G283" s="211"/>
      <c r="H283" s="211"/>
      <c r="I283" s="211">
        <f>IFERROR(__xludf.DUMMYFUNCTION("""COMPUTED_VALUE"""),525001.0)</f>
        <v>525001</v>
      </c>
      <c r="J283" s="211" t="str">
        <f>IFERROR(__xludf.DUMMYFUNCTION("""COMPUTED_VALUE"""),"Tidak")</f>
        <v>Tidak</v>
      </c>
      <c r="L283" s="211"/>
      <c r="M283" s="211"/>
      <c r="N283" s="211" t="str">
        <f>IFERROR(__xludf.DUMMYFUNCTION("""COMPUTED_VALUE"""),"")</f>
        <v/>
      </c>
      <c r="O283" s="211" t="str">
        <f>IFERROR(__xludf.DUMMYFUNCTION("""COMPUTED_VALUE"""),"")</f>
        <v/>
      </c>
      <c r="P283" s="224" t="str">
        <f>IFERROR(__xludf.DUMMYFUNCTION("""COMPUTED_VALUE""")," ")</f>
        <v/>
      </c>
      <c r="Q283" s="225" t="str">
        <f>IFERROR(__xludf.DUMMYFUNCTION("""COMPUTED_VALUE"""),"")</f>
        <v/>
      </c>
      <c r="R283" s="211" t="str">
        <f>IFERROR(__xludf.DUMMYFUNCTION("""COMPUTED_VALUE"""),"")</f>
        <v/>
      </c>
      <c r="S283" s="211"/>
      <c r="T283" s="211"/>
      <c r="U283" s="211"/>
    </row>
    <row r="284">
      <c r="A284" s="222" t="str">
        <f>IFERROR(__xludf.DUMMYFUNCTION("""COMPUTED_VALUE"""),"04250355")</f>
        <v>04250355</v>
      </c>
      <c r="B284" s="211" t="str">
        <f>IFERROR(__xludf.DUMMYFUNCTION("""COMPUTED_VALUE"""),"09 Apr 2025")</f>
        <v>09 Apr 2025</v>
      </c>
      <c r="C284" s="211" t="str">
        <f>IFERROR(__xludf.DUMMYFUNCTION("""COMPUTED_VALUE"""),"Bengkel Las Bpk. Ari")</f>
        <v>Bengkel Las Bpk. Ari</v>
      </c>
      <c r="D284" s="211" t="str">
        <f>IFERROR(__xludf.DUMMYFUNCTION("""COMPUTED_VALUE"""),"Oksigen 6m3")</f>
        <v>Oksigen 6m3</v>
      </c>
      <c r="E284" s="211" t="str">
        <f>IFERROR(__xludf.DUMMYFUNCTION("""COMPUTED_VALUE"""),"5")</f>
        <v>5</v>
      </c>
      <c r="F284" s="211" t="str">
        <f>IFERROR(__xludf.DUMMYFUNCTION("""COMPUTED_VALUE"""),"300000")</f>
        <v>300000</v>
      </c>
      <c r="G284" s="211"/>
      <c r="H284" s="211"/>
      <c r="I284" s="211">
        <f>IFERROR(__xludf.DUMMYFUNCTION("""COMPUTED_VALUE"""),300000.0)</f>
        <v>300000</v>
      </c>
      <c r="J284" s="211" t="str">
        <f>IFERROR(__xludf.DUMMYFUNCTION("""COMPUTED_VALUE"""),"Ya")</f>
        <v>Ya</v>
      </c>
      <c r="L284" s="211"/>
      <c r="M284" s="211"/>
      <c r="N284" s="211" t="str">
        <f>IFERROR(__xludf.DUMMYFUNCTION("""COMPUTED_VALUE"""),"")</f>
        <v/>
      </c>
      <c r="O284" s="211" t="str">
        <f>IFERROR(__xludf.DUMMYFUNCTION("""COMPUTED_VALUE"""),"")</f>
        <v/>
      </c>
      <c r="P284" s="224" t="str">
        <f>IFERROR(__xludf.DUMMYFUNCTION("""COMPUTED_VALUE""")," ")</f>
        <v/>
      </c>
      <c r="Q284" s="225" t="str">
        <f>IFERROR(__xludf.DUMMYFUNCTION("""COMPUTED_VALUE"""),"")</f>
        <v/>
      </c>
      <c r="R284" s="211" t="str">
        <f>IFERROR(__xludf.DUMMYFUNCTION("""COMPUTED_VALUE"""),"")</f>
        <v/>
      </c>
      <c r="S284" s="211"/>
      <c r="T284" s="211"/>
      <c r="U284" s="211"/>
    </row>
    <row r="285">
      <c r="A285" s="222" t="str">
        <f>IFERROR(__xludf.DUMMYFUNCTION("""COMPUTED_VALUE"""),"04250356")</f>
        <v>04250356</v>
      </c>
      <c r="B285" s="211" t="str">
        <f>IFERROR(__xludf.DUMMYFUNCTION("""COMPUTED_VALUE"""),"09 Apr 2025")</f>
        <v>09 Apr 2025</v>
      </c>
      <c r="C285" s="211" t="str">
        <f>IFERROR(__xludf.DUMMYFUNCTION("""COMPUTED_VALUE"""),"GYF")</f>
        <v>GYF</v>
      </c>
      <c r="D285" s="211" t="str">
        <f>IFERROR(__xludf.DUMMYFUNCTION("""COMPUTED_VALUE"""),"Oksigen 6m3")</f>
        <v>Oksigen 6m3</v>
      </c>
      <c r="E285" s="211" t="str">
        <f>IFERROR(__xludf.DUMMYFUNCTION("""COMPUTED_VALUE"""),"10")</f>
        <v>10</v>
      </c>
      <c r="F285" s="211" t="str">
        <f>IFERROR(__xludf.DUMMYFUNCTION("""COMPUTED_VALUE"""),"450000")</f>
        <v>450000</v>
      </c>
      <c r="G285" s="211"/>
      <c r="H285" s="211"/>
      <c r="I285" s="211">
        <f>IFERROR(__xludf.DUMMYFUNCTION("""COMPUTED_VALUE"""),450000.0)</f>
        <v>450000</v>
      </c>
      <c r="J285" s="211" t="str">
        <f>IFERROR(__xludf.DUMMYFUNCTION("""COMPUTED_VALUE"""),"Ya")</f>
        <v>Ya</v>
      </c>
      <c r="L285" s="211"/>
      <c r="M285" s="211"/>
      <c r="N285" s="211" t="str">
        <f>IFERROR(__xludf.DUMMYFUNCTION("""COMPUTED_VALUE"""),"")</f>
        <v/>
      </c>
      <c r="O285" s="211" t="str">
        <f>IFERROR(__xludf.DUMMYFUNCTION("""COMPUTED_VALUE"""),"")</f>
        <v/>
      </c>
      <c r="P285" s="224" t="str">
        <f>IFERROR(__xludf.DUMMYFUNCTION("""COMPUTED_VALUE""")," ")</f>
        <v/>
      </c>
      <c r="Q285" s="225" t="str">
        <f>IFERROR(__xludf.DUMMYFUNCTION("""COMPUTED_VALUE"""),"")</f>
        <v/>
      </c>
      <c r="R285" s="211" t="str">
        <f>IFERROR(__xludf.DUMMYFUNCTION("""COMPUTED_VALUE"""),"")</f>
        <v/>
      </c>
      <c r="S285" s="211"/>
      <c r="T285" s="211"/>
      <c r="U285" s="211"/>
    </row>
    <row r="286">
      <c r="A286" s="222" t="str">
        <f>IFERROR(__xludf.DUMMYFUNCTION("""COMPUTED_VALUE"""),"04250357")</f>
        <v>04250357</v>
      </c>
      <c r="B286" s="211" t="str">
        <f>IFERROR(__xludf.DUMMYFUNCTION("""COMPUTED_VALUE"""),"10 Apr 2025")</f>
        <v>10 Apr 2025</v>
      </c>
      <c r="C286" s="211" t="str">
        <f>IFERROR(__xludf.DUMMYFUNCTION("""COMPUTED_VALUE"""),"Bpk. Sulaiman")</f>
        <v>Bpk. Sulaiman</v>
      </c>
      <c r="D286" s="211" t="str">
        <f>IFERROR(__xludf.DUMMYFUNCTION("""COMPUTED_VALUE"""),"Oksigen 6m3
Oksigen 6m3 MR")</f>
        <v>Oksigen 6m3
Oksigen 6m3 MR</v>
      </c>
      <c r="E286" s="211" t="str">
        <f>IFERROR(__xludf.DUMMYFUNCTION("""COMPUTED_VALUE"""),"2
2")</f>
        <v>2
2</v>
      </c>
      <c r="F286" s="211" t="str">
        <f>IFERROR(__xludf.DUMMYFUNCTION("""COMPUTED_VALUE"""),"110000
110000")</f>
        <v>110000
110000</v>
      </c>
      <c r="G286" s="211"/>
      <c r="H286" s="211"/>
      <c r="I286" s="211">
        <f>IFERROR(__xludf.DUMMYFUNCTION("""COMPUTED_VALUE"""),220000.0)</f>
        <v>220000</v>
      </c>
      <c r="J286" s="211" t="str">
        <f>IFERROR(__xludf.DUMMYFUNCTION("""COMPUTED_VALUE"""),"Ya")</f>
        <v>Ya</v>
      </c>
      <c r="L286" s="211"/>
      <c r="M286" s="211"/>
      <c r="N286" s="211" t="str">
        <f>IFERROR(__xludf.DUMMYFUNCTION("""COMPUTED_VALUE"""),"")</f>
        <v/>
      </c>
      <c r="O286" s="211" t="str">
        <f>IFERROR(__xludf.DUMMYFUNCTION("""COMPUTED_VALUE"""),"")</f>
        <v/>
      </c>
      <c r="P286" s="224" t="str">
        <f>IFERROR(__xludf.DUMMYFUNCTION("""COMPUTED_VALUE""")," ")</f>
        <v/>
      </c>
      <c r="Q286" s="225" t="str">
        <f>IFERROR(__xludf.DUMMYFUNCTION("""COMPUTED_VALUE"""),"")</f>
        <v/>
      </c>
      <c r="R286" s="211" t="str">
        <f>IFERROR(__xludf.DUMMYFUNCTION("""COMPUTED_VALUE"""),"")</f>
        <v/>
      </c>
      <c r="S286" s="211"/>
      <c r="T286" s="211"/>
      <c r="U286" s="211"/>
    </row>
    <row r="287">
      <c r="A287" s="222" t="str">
        <f>IFERROR(__xludf.DUMMYFUNCTION("""COMPUTED_VALUE"""),"04250359")</f>
        <v>04250359</v>
      </c>
      <c r="B287" s="211" t="str">
        <f>IFERROR(__xludf.DUMMYFUNCTION("""COMPUTED_VALUE"""),"10 Apr 2025")</f>
        <v>10 Apr 2025</v>
      </c>
      <c r="C287" s="211" t="str">
        <f>IFERROR(__xludf.DUMMYFUNCTION("""COMPUTED_VALUE"""),"Bpk. Supar")</f>
        <v>Bpk. Supar</v>
      </c>
      <c r="D287" s="211" t="str">
        <f>IFERROR(__xludf.DUMMYFUNCTION("""COMPUTED_VALUE"""),"Oksigen 6m3")</f>
        <v>Oksigen 6m3</v>
      </c>
      <c r="E287" s="211" t="str">
        <f>IFERROR(__xludf.DUMMYFUNCTION("""COMPUTED_VALUE"""),"1")</f>
        <v>1</v>
      </c>
      <c r="F287" s="211" t="str">
        <f>IFERROR(__xludf.DUMMYFUNCTION("""COMPUTED_VALUE"""),"70000")</f>
        <v>70000</v>
      </c>
      <c r="G287" s="211"/>
      <c r="H287" s="211"/>
      <c r="I287" s="211">
        <f>IFERROR(__xludf.DUMMYFUNCTION("""COMPUTED_VALUE"""),70000.0)</f>
        <v>70000</v>
      </c>
      <c r="J287" s="211" t="str">
        <f>IFERROR(__xludf.DUMMYFUNCTION("""COMPUTED_VALUE"""),"Ya")</f>
        <v>Ya</v>
      </c>
      <c r="L287" s="211"/>
      <c r="M287" s="211"/>
      <c r="N287" s="211" t="str">
        <f>IFERROR(__xludf.DUMMYFUNCTION("""COMPUTED_VALUE"""),"")</f>
        <v/>
      </c>
      <c r="O287" s="211" t="str">
        <f>IFERROR(__xludf.DUMMYFUNCTION("""COMPUTED_VALUE"""),"")</f>
        <v/>
      </c>
      <c r="P287" s="224" t="str">
        <f>IFERROR(__xludf.DUMMYFUNCTION("""COMPUTED_VALUE""")," ")</f>
        <v/>
      </c>
      <c r="Q287" s="225" t="str">
        <f>IFERROR(__xludf.DUMMYFUNCTION("""COMPUTED_VALUE"""),"")</f>
        <v/>
      </c>
      <c r="R287" s="211" t="str">
        <f>IFERROR(__xludf.DUMMYFUNCTION("""COMPUTED_VALUE"""),"")</f>
        <v/>
      </c>
      <c r="S287" s="211"/>
      <c r="T287" s="211"/>
      <c r="U287" s="211"/>
    </row>
    <row r="288">
      <c r="A288" s="222" t="str">
        <f>IFERROR(__xludf.DUMMYFUNCTION("""COMPUTED_VALUE"""),"04250360")</f>
        <v>04250360</v>
      </c>
      <c r="B288" s="211" t="str">
        <f>IFERROR(__xludf.DUMMYFUNCTION("""COMPUTED_VALUE"""),"11 Apr 2025")</f>
        <v>11 Apr 2025</v>
      </c>
      <c r="C288" s="211" t="str">
        <f>IFERROR(__xludf.DUMMYFUNCTION("""COMPUTED_VALUE"""),"PT GEMILANG CIPTA WAWASAN")</f>
        <v>PT GEMILANG CIPTA WAWASAN</v>
      </c>
      <c r="D288" s="211" t="str">
        <f>IFERROR(__xludf.DUMMYFUNCTION("""COMPUTED_VALUE"""),"Argon 6m3")</f>
        <v>Argon 6m3</v>
      </c>
      <c r="E288" s="211" t="str">
        <f>IFERROR(__xludf.DUMMYFUNCTION("""COMPUTED_VALUE"""),"4")</f>
        <v>4</v>
      </c>
      <c r="F288" s="211" t="str">
        <f>IFERROR(__xludf.DUMMYFUNCTION("""COMPUTED_VALUE"""),"821400")</f>
        <v>821400</v>
      </c>
      <c r="G288" s="211"/>
      <c r="H288" s="211"/>
      <c r="I288" s="211">
        <f>IFERROR(__xludf.DUMMYFUNCTION("""COMPUTED_VALUE"""),821400.0)</f>
        <v>821400</v>
      </c>
      <c r="J288" s="211" t="str">
        <f>IFERROR(__xludf.DUMMYFUNCTION("""COMPUTED_VALUE"""),"Ya")</f>
        <v>Ya</v>
      </c>
      <c r="L288" s="211"/>
      <c r="M288" s="211"/>
      <c r="N288" s="211" t="str">
        <f>IFERROR(__xludf.DUMMYFUNCTION("""COMPUTED_VALUE"""),"")</f>
        <v/>
      </c>
      <c r="O288" s="211" t="str">
        <f>IFERROR(__xludf.DUMMYFUNCTION("""COMPUTED_VALUE"""),"")</f>
        <v/>
      </c>
      <c r="P288" s="224" t="str">
        <f>IFERROR(__xludf.DUMMYFUNCTION("""COMPUTED_VALUE""")," ")</f>
        <v/>
      </c>
      <c r="Q288" s="225" t="str">
        <f>IFERROR(__xludf.DUMMYFUNCTION("""COMPUTED_VALUE"""),"")</f>
        <v/>
      </c>
      <c r="R288" s="211" t="str">
        <f>IFERROR(__xludf.DUMMYFUNCTION("""COMPUTED_VALUE"""),"")</f>
        <v/>
      </c>
      <c r="S288" s="211"/>
      <c r="T288" s="211"/>
      <c r="U288" s="211"/>
    </row>
    <row r="289">
      <c r="A289" s="222" t="str">
        <f>IFERROR(__xludf.DUMMYFUNCTION("""COMPUTED_VALUE"""),"04250361")</f>
        <v>04250361</v>
      </c>
      <c r="B289" s="211" t="str">
        <f>IFERROR(__xludf.DUMMYFUNCTION("""COMPUTED_VALUE"""),"14 Apr 2025")</f>
        <v>14 Apr 2025</v>
      </c>
      <c r="C289" s="211" t="str">
        <f>IFERROR(__xludf.DUMMYFUNCTION("""COMPUTED_VALUE"""),"PT GEMILANG CIPTA WAWASAN")</f>
        <v>PT GEMILANG CIPTA WAWASAN</v>
      </c>
      <c r="D289" s="211" t="str">
        <f>IFERROR(__xludf.DUMMYFUNCTION("""COMPUTED_VALUE"""),"Argon 6m3")</f>
        <v>Argon 6m3</v>
      </c>
      <c r="E289" s="211" t="str">
        <f>IFERROR(__xludf.DUMMYFUNCTION("""COMPUTED_VALUE"""),"11")</f>
        <v>11</v>
      </c>
      <c r="F289" s="211" t="str">
        <f>IFERROR(__xludf.DUMMYFUNCTION("""COMPUTED_VALUE"""),"2258850")</f>
        <v>2258850</v>
      </c>
      <c r="G289" s="211"/>
      <c r="H289" s="211"/>
      <c r="I289" s="211">
        <f>IFERROR(__xludf.DUMMYFUNCTION("""COMPUTED_VALUE"""),2258850.0)</f>
        <v>2258850</v>
      </c>
      <c r="J289" s="211" t="str">
        <f>IFERROR(__xludf.DUMMYFUNCTION("""COMPUTED_VALUE"""),"Ya")</f>
        <v>Ya</v>
      </c>
      <c r="L289" s="211"/>
      <c r="M289" s="211"/>
      <c r="N289" s="211" t="str">
        <f>IFERROR(__xludf.DUMMYFUNCTION("""COMPUTED_VALUE"""),"")</f>
        <v/>
      </c>
      <c r="O289" s="211" t="str">
        <f>IFERROR(__xludf.DUMMYFUNCTION("""COMPUTED_VALUE"""),"")</f>
        <v/>
      </c>
      <c r="P289" s="224" t="str">
        <f>IFERROR(__xludf.DUMMYFUNCTION("""COMPUTED_VALUE""")," ")</f>
        <v/>
      </c>
      <c r="Q289" s="225" t="str">
        <f>IFERROR(__xludf.DUMMYFUNCTION("""COMPUTED_VALUE"""),"")</f>
        <v/>
      </c>
      <c r="R289" s="211" t="str">
        <f>IFERROR(__xludf.DUMMYFUNCTION("""COMPUTED_VALUE"""),"")</f>
        <v/>
      </c>
      <c r="S289" s="211"/>
      <c r="T289" s="211"/>
      <c r="U289" s="211"/>
    </row>
    <row r="290">
      <c r="A290" s="222" t="str">
        <f>IFERROR(__xludf.DUMMYFUNCTION("""COMPUTED_VALUE"""),"04250362")</f>
        <v>04250362</v>
      </c>
      <c r="B290" s="211" t="str">
        <f>IFERROR(__xludf.DUMMYFUNCTION("""COMPUTED_VALUE"""),"15 Apr 2025")</f>
        <v>15 Apr 2025</v>
      </c>
      <c r="C290" s="211" t="str">
        <f>IFERROR(__xludf.DUMMYFUNCTION("""COMPUTED_VALUE"""),"PT Jatim Abadi Perkasa Steel")</f>
        <v>PT Jatim Abadi Perkasa Steel</v>
      </c>
      <c r="D290" s="211" t="str">
        <f>IFERROR(__xludf.DUMMYFUNCTION("""COMPUTED_VALUE"""),"Karbondioksida")</f>
        <v>Karbondioksida</v>
      </c>
      <c r="E290" s="211" t="str">
        <f>IFERROR(__xludf.DUMMYFUNCTION("""COMPUTED_VALUE"""),"4")</f>
        <v>4</v>
      </c>
      <c r="F290" s="211" t="str">
        <f>IFERROR(__xludf.DUMMYFUNCTION("""COMPUTED_VALUE"""),"741480")</f>
        <v>741480</v>
      </c>
      <c r="G290" s="211"/>
      <c r="H290" s="211"/>
      <c r="I290" s="211">
        <f>IFERROR(__xludf.DUMMYFUNCTION("""COMPUTED_VALUE"""),741480.0)</f>
        <v>741480</v>
      </c>
      <c r="J290" s="211" t="str">
        <f>IFERROR(__xludf.DUMMYFUNCTION("""COMPUTED_VALUE"""),"Ya")</f>
        <v>Ya</v>
      </c>
      <c r="L290" s="211"/>
      <c r="M290" s="211"/>
      <c r="N290" s="211" t="str">
        <f>IFERROR(__xludf.DUMMYFUNCTION("""COMPUTED_VALUE"""),"")</f>
        <v/>
      </c>
      <c r="O290" s="211" t="str">
        <f>IFERROR(__xludf.DUMMYFUNCTION("""COMPUTED_VALUE"""),"")</f>
        <v/>
      </c>
      <c r="P290" s="224" t="str">
        <f>IFERROR(__xludf.DUMMYFUNCTION("""COMPUTED_VALUE""")," ")</f>
        <v/>
      </c>
      <c r="Q290" s="225" t="str">
        <f>IFERROR(__xludf.DUMMYFUNCTION("""COMPUTED_VALUE"""),"")</f>
        <v/>
      </c>
      <c r="R290" s="211" t="str">
        <f>IFERROR(__xludf.DUMMYFUNCTION("""COMPUTED_VALUE"""),"")</f>
        <v/>
      </c>
      <c r="S290" s="211"/>
      <c r="T290" s="211"/>
      <c r="U290" s="211"/>
    </row>
    <row r="291">
      <c r="A291" s="222" t="str">
        <f>IFERROR(__xludf.DUMMYFUNCTION("""COMPUTED_VALUE"""),"04250363")</f>
        <v>04250363</v>
      </c>
      <c r="B291" s="211" t="str">
        <f>IFERROR(__xludf.DUMMYFUNCTION("""COMPUTED_VALUE"""),"15 Apr 2025")</f>
        <v>15 Apr 2025</v>
      </c>
      <c r="C291" s="211" t="str">
        <f>IFERROR(__xludf.DUMMYFUNCTION("""COMPUTED_VALUE"""),"PT Pandu Mulia Bersama")</f>
        <v>PT Pandu Mulia Bersama</v>
      </c>
      <c r="D291" s="211" t="str">
        <f>IFERROR(__xludf.DUMMYFUNCTION("""COMPUTED_VALUE"""),"Oksigen 7m3
LPG 12kg")</f>
        <v>Oksigen 7m3
LPG 12kg</v>
      </c>
      <c r="E291" s="211" t="str">
        <f>IFERROR(__xludf.DUMMYFUNCTION("""COMPUTED_VALUE"""),"10
3")</f>
        <v>10
3</v>
      </c>
      <c r="F291" s="211" t="str">
        <f>IFERROR(__xludf.DUMMYFUNCTION("""COMPUTED_VALUE"""),"666000
666000")</f>
        <v>666000
666000</v>
      </c>
      <c r="G291" s="211"/>
      <c r="H291" s="211"/>
      <c r="I291" s="211">
        <f>IFERROR(__xludf.DUMMYFUNCTION("""COMPUTED_VALUE"""),1332000.0)</f>
        <v>1332000</v>
      </c>
      <c r="J291" s="211" t="str">
        <f>IFERROR(__xludf.DUMMYFUNCTION("""COMPUTED_VALUE"""),"Tidak")</f>
        <v>Tidak</v>
      </c>
      <c r="L291" s="211"/>
      <c r="M291" s="211"/>
      <c r="N291" s="211" t="str">
        <f>IFERROR(__xludf.DUMMYFUNCTION("""COMPUTED_VALUE"""),"")</f>
        <v/>
      </c>
      <c r="O291" s="211" t="str">
        <f>IFERROR(__xludf.DUMMYFUNCTION("""COMPUTED_VALUE"""),"")</f>
        <v/>
      </c>
      <c r="P291" s="224" t="str">
        <f>IFERROR(__xludf.DUMMYFUNCTION("""COMPUTED_VALUE""")," ")</f>
        <v/>
      </c>
      <c r="Q291" s="225" t="str">
        <f>IFERROR(__xludf.DUMMYFUNCTION("""COMPUTED_VALUE"""),"")</f>
        <v/>
      </c>
      <c r="R291" s="211" t="str">
        <f>IFERROR(__xludf.DUMMYFUNCTION("""COMPUTED_VALUE"""),"")</f>
        <v/>
      </c>
      <c r="S291" s="211"/>
      <c r="T291" s="211"/>
      <c r="U291" s="211"/>
    </row>
    <row r="292">
      <c r="A292" s="222" t="str">
        <f>IFERROR(__xludf.DUMMYFUNCTION("""COMPUTED_VALUE"""),"04250365")</f>
        <v>04250365</v>
      </c>
      <c r="B292" s="211" t="str">
        <f>IFERROR(__xludf.DUMMYFUNCTION("""COMPUTED_VALUE"""),"15 Apr 2025")</f>
        <v>15 Apr 2025</v>
      </c>
      <c r="C292" s="211" t="str">
        <f>IFERROR(__xludf.DUMMYFUNCTION("""COMPUTED_VALUE"""),"PT Jatim Abadi Perkasa Steel")</f>
        <v>PT Jatim Abadi Perkasa Steel</v>
      </c>
      <c r="D292" s="211" t="str">
        <f>IFERROR(__xludf.DUMMYFUNCTION("""COMPUTED_VALUE"""),"LPG 50kg")</f>
        <v>LPG 50kg</v>
      </c>
      <c r="E292" s="211" t="str">
        <f>IFERROR(__xludf.DUMMYFUNCTION("""COMPUTED_VALUE"""),"6")</f>
        <v>6</v>
      </c>
      <c r="F292" s="211" t="str">
        <f>IFERROR(__xludf.DUMMYFUNCTION("""COMPUTED_VALUE"""),"6060000")</f>
        <v>6060000</v>
      </c>
      <c r="G292" s="211"/>
      <c r="H292" s="211"/>
      <c r="I292" s="211">
        <f>IFERROR(__xludf.DUMMYFUNCTION("""COMPUTED_VALUE"""),6060000.0)</f>
        <v>6060000</v>
      </c>
      <c r="J292" s="211" t="str">
        <f>IFERROR(__xludf.DUMMYFUNCTION("""COMPUTED_VALUE"""),"Ya")</f>
        <v>Ya</v>
      </c>
      <c r="L292" s="211"/>
      <c r="M292" s="211"/>
      <c r="N292" s="211" t="str">
        <f>IFERROR(__xludf.DUMMYFUNCTION("""COMPUTED_VALUE"""),"")</f>
        <v/>
      </c>
      <c r="O292" s="211" t="str">
        <f>IFERROR(__xludf.DUMMYFUNCTION("""COMPUTED_VALUE"""),"")</f>
        <v/>
      </c>
      <c r="P292" s="224" t="str">
        <f>IFERROR(__xludf.DUMMYFUNCTION("""COMPUTED_VALUE""")," ")</f>
        <v/>
      </c>
      <c r="Q292" s="225" t="str">
        <f>IFERROR(__xludf.DUMMYFUNCTION("""COMPUTED_VALUE"""),"")</f>
        <v/>
      </c>
      <c r="R292" s="211" t="str">
        <f>IFERROR(__xludf.DUMMYFUNCTION("""COMPUTED_VALUE"""),"")</f>
        <v/>
      </c>
      <c r="S292" s="211"/>
      <c r="T292" s="211"/>
      <c r="U292" s="211"/>
    </row>
    <row r="293">
      <c r="A293" s="222" t="str">
        <f>IFERROR(__xludf.DUMMYFUNCTION("""COMPUTED_VALUE"""),"04250366")</f>
        <v>04250366</v>
      </c>
      <c r="B293" s="211" t="str">
        <f>IFERROR(__xludf.DUMMYFUNCTION("""COMPUTED_VALUE"""),"15 Apr 2025")</f>
        <v>15 Apr 2025</v>
      </c>
      <c r="C293" s="211" t="str">
        <f>IFERROR(__xludf.DUMMYFUNCTION("""COMPUTED_VALUE"""),"Bpk. Anwar")</f>
        <v>Bpk. Anwar</v>
      </c>
      <c r="D293" s="211" t="str">
        <f>IFERROR(__xludf.DUMMYFUNCTION("""COMPUTED_VALUE"""),"Oksigen 6m3
Oksigen 6m3 MR")</f>
        <v>Oksigen 6m3
Oksigen 6m3 MR</v>
      </c>
      <c r="E293" s="211" t="str">
        <f>IFERROR(__xludf.DUMMYFUNCTION("""COMPUTED_VALUE"""),"1
1")</f>
        <v>1
1</v>
      </c>
      <c r="F293" s="211" t="str">
        <f>IFERROR(__xludf.DUMMYFUNCTION("""COMPUTED_VALUE"""),"60000
60000")</f>
        <v>60000
60000</v>
      </c>
      <c r="G293" s="211"/>
      <c r="H293" s="211"/>
      <c r="I293" s="211">
        <f>IFERROR(__xludf.DUMMYFUNCTION("""COMPUTED_VALUE"""),120000.0)</f>
        <v>120000</v>
      </c>
      <c r="J293" s="211" t="str">
        <f>IFERROR(__xludf.DUMMYFUNCTION("""COMPUTED_VALUE"""),"Ya")</f>
        <v>Ya</v>
      </c>
      <c r="L293" s="211"/>
      <c r="M293" s="211"/>
      <c r="N293" s="211" t="str">
        <f>IFERROR(__xludf.DUMMYFUNCTION("""COMPUTED_VALUE"""),"")</f>
        <v/>
      </c>
      <c r="O293" s="211" t="str">
        <f>IFERROR(__xludf.DUMMYFUNCTION("""COMPUTED_VALUE"""),"")</f>
        <v/>
      </c>
      <c r="P293" s="224" t="str">
        <f>IFERROR(__xludf.DUMMYFUNCTION("""COMPUTED_VALUE""")," ")</f>
        <v/>
      </c>
      <c r="Q293" s="225" t="str">
        <f>IFERROR(__xludf.DUMMYFUNCTION("""COMPUTED_VALUE"""),"")</f>
        <v/>
      </c>
      <c r="R293" s="211" t="str">
        <f>IFERROR(__xludf.DUMMYFUNCTION("""COMPUTED_VALUE"""),"")</f>
        <v/>
      </c>
      <c r="S293" s="211"/>
      <c r="T293" s="211"/>
      <c r="U293" s="211"/>
    </row>
    <row r="294">
      <c r="A294" s="222" t="str">
        <f>IFERROR(__xludf.DUMMYFUNCTION("""COMPUTED_VALUE"""),"04250368")</f>
        <v>04250368</v>
      </c>
      <c r="B294" s="211" t="str">
        <f>IFERROR(__xludf.DUMMYFUNCTION("""COMPUTED_VALUE"""),"16 Apr 2025")</f>
        <v>16 Apr 2025</v>
      </c>
      <c r="C294" s="211" t="str">
        <f>IFERROR(__xludf.DUMMYFUNCTION("""COMPUTED_VALUE"""),"Bengkel Las Bpk. Ari")</f>
        <v>Bengkel Las Bpk. Ari</v>
      </c>
      <c r="D294" s="211" t="str">
        <f>IFERROR(__xludf.DUMMYFUNCTION("""COMPUTED_VALUE"""),"Karbondioksida
Oksigen 6m3")</f>
        <v>Karbondioksida
Oksigen 6m3</v>
      </c>
      <c r="E294" s="211" t="str">
        <f>IFERROR(__xludf.DUMMYFUNCTION("""COMPUTED_VALUE"""),"2
3")</f>
        <v>2
3</v>
      </c>
      <c r="F294" s="211" t="str">
        <f>IFERROR(__xludf.DUMMYFUNCTION("""COMPUTED_VALUE"""),"340000
180000")</f>
        <v>340000
180000</v>
      </c>
      <c r="G294" s="211"/>
      <c r="H294" s="211"/>
      <c r="I294" s="211">
        <f>IFERROR(__xludf.DUMMYFUNCTION("""COMPUTED_VALUE"""),520000.0)</f>
        <v>520000</v>
      </c>
      <c r="J294" s="211" t="str">
        <f>IFERROR(__xludf.DUMMYFUNCTION("""COMPUTED_VALUE"""),"Ya")</f>
        <v>Ya</v>
      </c>
      <c r="L294" s="211"/>
      <c r="M294" s="211"/>
      <c r="N294" s="211" t="str">
        <f>IFERROR(__xludf.DUMMYFUNCTION("""COMPUTED_VALUE"""),"")</f>
        <v/>
      </c>
      <c r="O294" s="211" t="str">
        <f>IFERROR(__xludf.DUMMYFUNCTION("""COMPUTED_VALUE"""),"")</f>
        <v/>
      </c>
      <c r="P294" s="224" t="str">
        <f>IFERROR(__xludf.DUMMYFUNCTION("""COMPUTED_VALUE""")," ")</f>
        <v/>
      </c>
      <c r="Q294" s="225" t="str">
        <f>IFERROR(__xludf.DUMMYFUNCTION("""COMPUTED_VALUE"""),"")</f>
        <v/>
      </c>
      <c r="R294" s="211" t="str">
        <f>IFERROR(__xludf.DUMMYFUNCTION("""COMPUTED_VALUE"""),"")</f>
        <v/>
      </c>
      <c r="S294" s="211"/>
      <c r="T294" s="211"/>
      <c r="U294" s="211"/>
    </row>
    <row r="295">
      <c r="A295" s="222" t="str">
        <f>IFERROR(__xludf.DUMMYFUNCTION("""COMPUTED_VALUE"""),"04250370")</f>
        <v>04250370</v>
      </c>
      <c r="B295" s="211" t="str">
        <f>IFERROR(__xludf.DUMMYFUNCTION("""COMPUTED_VALUE"""),"16 Apr 2025")</f>
        <v>16 Apr 2025</v>
      </c>
      <c r="C295" s="211" t="str">
        <f>IFERROR(__xludf.DUMMYFUNCTION("""COMPUTED_VALUE"""),"PT Dunia Berkat Marga Mulya")</f>
        <v>PT Dunia Berkat Marga Mulya</v>
      </c>
      <c r="D295" s="211" t="str">
        <f>IFERROR(__xludf.DUMMYFUNCTION("""COMPUTED_VALUE"""),"Oksigen 6m3")</f>
        <v>Oksigen 6m3</v>
      </c>
      <c r="E295" s="211" t="str">
        <f>IFERROR(__xludf.DUMMYFUNCTION("""COMPUTED_VALUE"""),"4")</f>
        <v>4</v>
      </c>
      <c r="F295" s="211" t="str">
        <f>IFERROR(__xludf.DUMMYFUNCTION("""COMPUTED_VALUE"""),"266400")</f>
        <v>266400</v>
      </c>
      <c r="G295" s="211"/>
      <c r="H295" s="211"/>
      <c r="I295" s="211">
        <f>IFERROR(__xludf.DUMMYFUNCTION("""COMPUTED_VALUE"""),266400.0)</f>
        <v>266400</v>
      </c>
      <c r="J295" s="211" t="str">
        <f>IFERROR(__xludf.DUMMYFUNCTION("""COMPUTED_VALUE"""),"Ya")</f>
        <v>Ya</v>
      </c>
      <c r="L295" s="211"/>
      <c r="M295" s="211"/>
      <c r="N295" s="211" t="str">
        <f>IFERROR(__xludf.DUMMYFUNCTION("""COMPUTED_VALUE"""),"")</f>
        <v/>
      </c>
      <c r="O295" s="211" t="str">
        <f>IFERROR(__xludf.DUMMYFUNCTION("""COMPUTED_VALUE"""),"")</f>
        <v/>
      </c>
      <c r="P295" s="224" t="str">
        <f>IFERROR(__xludf.DUMMYFUNCTION("""COMPUTED_VALUE""")," ")</f>
        <v/>
      </c>
      <c r="Q295" s="225" t="str">
        <f>IFERROR(__xludf.DUMMYFUNCTION("""COMPUTED_VALUE"""),"")</f>
        <v/>
      </c>
      <c r="R295" s="211" t="str">
        <f>IFERROR(__xludf.DUMMYFUNCTION("""COMPUTED_VALUE"""),"")</f>
        <v/>
      </c>
      <c r="S295" s="211"/>
      <c r="T295" s="211"/>
      <c r="U295" s="211"/>
    </row>
    <row r="296">
      <c r="A296" s="222" t="str">
        <f>IFERROR(__xludf.DUMMYFUNCTION("""COMPUTED_VALUE"""),"04250371")</f>
        <v>04250371</v>
      </c>
      <c r="B296" s="211" t="str">
        <f>IFERROR(__xludf.DUMMYFUNCTION("""COMPUTED_VALUE"""),"16 Apr 2025")</f>
        <v>16 Apr 2025</v>
      </c>
      <c r="C296" s="211" t="str">
        <f>IFERROR(__xludf.DUMMYFUNCTION("""COMPUTED_VALUE"""),"Bpk. Andi (Jetis)")</f>
        <v>Bpk. Andi (Jetis)</v>
      </c>
      <c r="D296" s="211" t="str">
        <f>IFERROR(__xludf.DUMMYFUNCTION("""COMPUTED_VALUE"""),"Oksigen 6m3 MR")</f>
        <v>Oksigen 6m3 MR</v>
      </c>
      <c r="E296" s="211" t="str">
        <f>IFERROR(__xludf.DUMMYFUNCTION("""COMPUTED_VALUE"""),"30")</f>
        <v>30</v>
      </c>
      <c r="F296" s="211" t="str">
        <f>IFERROR(__xludf.DUMMYFUNCTION("""COMPUTED_VALUE"""),"1500000")</f>
        <v>1500000</v>
      </c>
      <c r="G296" s="211"/>
      <c r="H296" s="211"/>
      <c r="I296" s="211">
        <f>IFERROR(__xludf.DUMMYFUNCTION("""COMPUTED_VALUE"""),1500000.0)</f>
        <v>1500000</v>
      </c>
      <c r="J296" s="211" t="str">
        <f>IFERROR(__xludf.DUMMYFUNCTION("""COMPUTED_VALUE"""),"Ya")</f>
        <v>Ya</v>
      </c>
      <c r="L296" s="211"/>
      <c r="M296" s="211"/>
      <c r="N296" s="211" t="str">
        <f>IFERROR(__xludf.DUMMYFUNCTION("""COMPUTED_VALUE"""),"")</f>
        <v/>
      </c>
      <c r="O296" s="211" t="str">
        <f>IFERROR(__xludf.DUMMYFUNCTION("""COMPUTED_VALUE"""),"")</f>
        <v/>
      </c>
      <c r="P296" s="224" t="str">
        <f>IFERROR(__xludf.DUMMYFUNCTION("""COMPUTED_VALUE""")," ")</f>
        <v/>
      </c>
      <c r="Q296" s="225" t="str">
        <f>IFERROR(__xludf.DUMMYFUNCTION("""COMPUTED_VALUE"""),"")</f>
        <v/>
      </c>
      <c r="R296" s="211" t="str">
        <f>IFERROR(__xludf.DUMMYFUNCTION("""COMPUTED_VALUE"""),"")</f>
        <v/>
      </c>
      <c r="S296" s="211"/>
      <c r="T296" s="211"/>
      <c r="U296" s="211"/>
    </row>
    <row r="297">
      <c r="A297" s="222" t="str">
        <f>IFERROR(__xludf.DUMMYFUNCTION("""COMPUTED_VALUE"""),"04250372")</f>
        <v>04250372</v>
      </c>
      <c r="B297" s="211" t="str">
        <f>IFERROR(__xludf.DUMMYFUNCTION("""COMPUTED_VALUE"""),"16 Apr 2025")</f>
        <v>16 Apr 2025</v>
      </c>
      <c r="C297" s="211" t="str">
        <f>IFERROR(__xludf.DUMMYFUNCTION("""COMPUTED_VALUE"""),"Bpk. Sukirno (Bejo)")</f>
        <v>Bpk. Sukirno (Bejo)</v>
      </c>
      <c r="D297" s="211" t="str">
        <f>IFERROR(__xludf.DUMMYFUNCTION("""COMPUTED_VALUE"""),"Oksigen 6m3")</f>
        <v>Oksigen 6m3</v>
      </c>
      <c r="E297" s="211" t="str">
        <f>IFERROR(__xludf.DUMMYFUNCTION("""COMPUTED_VALUE"""),"10")</f>
        <v>10</v>
      </c>
      <c r="F297" s="211" t="str">
        <f>IFERROR(__xludf.DUMMYFUNCTION("""COMPUTED_VALUE"""),"600000")</f>
        <v>600000</v>
      </c>
      <c r="G297" s="211"/>
      <c r="H297" s="211"/>
      <c r="I297" s="211">
        <f>IFERROR(__xludf.DUMMYFUNCTION("""COMPUTED_VALUE"""),600000.0)</f>
        <v>600000</v>
      </c>
      <c r="J297" s="211" t="str">
        <f>IFERROR(__xludf.DUMMYFUNCTION("""COMPUTED_VALUE"""),"Ya")</f>
        <v>Ya</v>
      </c>
      <c r="L297" s="211"/>
      <c r="M297" s="211"/>
      <c r="N297" s="211" t="str">
        <f>IFERROR(__xludf.DUMMYFUNCTION("""COMPUTED_VALUE"""),"")</f>
        <v/>
      </c>
      <c r="O297" s="211" t="str">
        <f>IFERROR(__xludf.DUMMYFUNCTION("""COMPUTED_VALUE"""),"")</f>
        <v/>
      </c>
      <c r="P297" s="224" t="str">
        <f>IFERROR(__xludf.DUMMYFUNCTION("""COMPUTED_VALUE""")," ")</f>
        <v/>
      </c>
      <c r="Q297" s="225" t="str">
        <f>IFERROR(__xludf.DUMMYFUNCTION("""COMPUTED_VALUE"""),"")</f>
        <v/>
      </c>
      <c r="R297" s="211" t="str">
        <f>IFERROR(__xludf.DUMMYFUNCTION("""COMPUTED_VALUE"""),"")</f>
        <v/>
      </c>
      <c r="S297" s="211"/>
      <c r="T297" s="211"/>
      <c r="U297" s="211"/>
    </row>
    <row r="298">
      <c r="A298" s="222" t="str">
        <f>IFERROR(__xludf.DUMMYFUNCTION("""COMPUTED_VALUE"""),"04250373")</f>
        <v>04250373</v>
      </c>
      <c r="B298" s="211" t="str">
        <f>IFERROR(__xludf.DUMMYFUNCTION("""COMPUTED_VALUE"""),"17 Apr 2025")</f>
        <v>17 Apr 2025</v>
      </c>
      <c r="C298" s="211" t="str">
        <f>IFERROR(__xludf.DUMMYFUNCTION("""COMPUTED_VALUE"""),"PT ARYANA CAKASANA")</f>
        <v>PT ARYANA CAKASANA</v>
      </c>
      <c r="D298" s="211" t="str">
        <f>IFERROR(__xludf.DUMMYFUNCTION("""COMPUTED_VALUE"""),"Oksigen 6m3")</f>
        <v>Oksigen 6m3</v>
      </c>
      <c r="E298" s="211" t="str">
        <f>IFERROR(__xludf.DUMMYFUNCTION("""COMPUTED_VALUE"""),"5")</f>
        <v>5</v>
      </c>
      <c r="F298" s="211" t="str">
        <f>IFERROR(__xludf.DUMMYFUNCTION("""COMPUTED_VALUE"""),"262501")</f>
        <v>262501</v>
      </c>
      <c r="G298" s="211"/>
      <c r="H298" s="211"/>
      <c r="I298" s="211">
        <f>IFERROR(__xludf.DUMMYFUNCTION("""COMPUTED_VALUE"""),262501.0)</f>
        <v>262501</v>
      </c>
      <c r="J298" s="211" t="str">
        <f>IFERROR(__xludf.DUMMYFUNCTION("""COMPUTED_VALUE"""),"Tidak")</f>
        <v>Tidak</v>
      </c>
      <c r="L298" s="211"/>
      <c r="M298" s="211"/>
      <c r="N298" s="211" t="str">
        <f>IFERROR(__xludf.DUMMYFUNCTION("""COMPUTED_VALUE"""),"")</f>
        <v/>
      </c>
      <c r="O298" s="211" t="str">
        <f>IFERROR(__xludf.DUMMYFUNCTION("""COMPUTED_VALUE"""),"")</f>
        <v/>
      </c>
      <c r="P298" s="224" t="str">
        <f>IFERROR(__xludf.DUMMYFUNCTION("""COMPUTED_VALUE""")," ")</f>
        <v/>
      </c>
      <c r="Q298" s="225" t="str">
        <f>IFERROR(__xludf.DUMMYFUNCTION("""COMPUTED_VALUE"""),"")</f>
        <v/>
      </c>
      <c r="R298" s="211" t="str">
        <f>IFERROR(__xludf.DUMMYFUNCTION("""COMPUTED_VALUE"""),"")</f>
        <v/>
      </c>
      <c r="S298" s="211"/>
      <c r="T298" s="211"/>
      <c r="U298" s="211"/>
    </row>
    <row r="299">
      <c r="A299" s="222" t="str">
        <f>IFERROR(__xludf.DUMMYFUNCTION("""COMPUTED_VALUE"""),"04250374")</f>
        <v>04250374</v>
      </c>
      <c r="B299" s="211" t="str">
        <f>IFERROR(__xludf.DUMMYFUNCTION("""COMPUTED_VALUE"""),"17 Apr 2025")</f>
        <v>17 Apr 2025</v>
      </c>
      <c r="C299" s="211" t="str">
        <f>IFERROR(__xludf.DUMMYFUNCTION("""COMPUTED_VALUE"""),"Bengkel Dian Jaya")</f>
        <v>Bengkel Dian Jaya</v>
      </c>
      <c r="D299" s="211" t="str">
        <f>IFERROR(__xludf.DUMMYFUNCTION("""COMPUTED_VALUE"""),"Oksigen 6m3
LPG 12kg")</f>
        <v>Oksigen 6m3
LPG 12kg</v>
      </c>
      <c r="E299" s="211" t="str">
        <f>IFERROR(__xludf.DUMMYFUNCTION("""COMPUTED_VALUE"""),"5
2")</f>
        <v>5
2</v>
      </c>
      <c r="F299" s="211" t="str">
        <f>IFERROR(__xludf.DUMMYFUNCTION("""COMPUTED_VALUE"""),"250000
430000")</f>
        <v>250000
430000</v>
      </c>
      <c r="G299" s="211"/>
      <c r="H299" s="211"/>
      <c r="I299" s="211">
        <f>IFERROR(__xludf.DUMMYFUNCTION("""COMPUTED_VALUE"""),680000.0)</f>
        <v>680000</v>
      </c>
      <c r="J299" s="211" t="str">
        <f>IFERROR(__xludf.DUMMYFUNCTION("""COMPUTED_VALUE"""),"Ya")</f>
        <v>Ya</v>
      </c>
      <c r="L299" s="211"/>
      <c r="M299" s="211"/>
      <c r="N299" s="211" t="str">
        <f>IFERROR(__xludf.DUMMYFUNCTION("""COMPUTED_VALUE"""),"")</f>
        <v/>
      </c>
      <c r="O299" s="211" t="str">
        <f>IFERROR(__xludf.DUMMYFUNCTION("""COMPUTED_VALUE"""),"")</f>
        <v/>
      </c>
      <c r="P299" s="224" t="str">
        <f>IFERROR(__xludf.DUMMYFUNCTION("""COMPUTED_VALUE""")," ")</f>
        <v/>
      </c>
      <c r="Q299" s="225" t="str">
        <f>IFERROR(__xludf.DUMMYFUNCTION("""COMPUTED_VALUE"""),"")</f>
        <v/>
      </c>
      <c r="R299" s="211" t="str">
        <f>IFERROR(__xludf.DUMMYFUNCTION("""COMPUTED_VALUE"""),"")</f>
        <v/>
      </c>
      <c r="S299" s="211"/>
      <c r="T299" s="211"/>
      <c r="U299" s="211"/>
    </row>
    <row r="300">
      <c r="A300" s="222" t="str">
        <f>IFERROR(__xludf.DUMMYFUNCTION("""COMPUTED_VALUE"""),"04250376")</f>
        <v>04250376</v>
      </c>
      <c r="B300" s="211" t="str">
        <f>IFERROR(__xludf.DUMMYFUNCTION("""COMPUTED_VALUE"""),"19 Apr 2025")</f>
        <v>19 Apr 2025</v>
      </c>
      <c r="C300" s="211" t="str">
        <f>IFERROR(__xludf.DUMMYFUNCTION("""COMPUTED_VALUE"""),"GYF")</f>
        <v>GYF</v>
      </c>
      <c r="D300" s="211" t="str">
        <f>IFERROR(__xludf.DUMMYFUNCTION("""COMPUTED_VALUE"""),"Oksigen 6m3
Argon 6m3")</f>
        <v>Oksigen 6m3
Argon 6m3</v>
      </c>
      <c r="E300" s="211" t="str">
        <f>IFERROR(__xludf.DUMMYFUNCTION("""COMPUTED_VALUE"""),"15
3")</f>
        <v>15
3</v>
      </c>
      <c r="F300" s="211" t="str">
        <f>IFERROR(__xludf.DUMMYFUNCTION("""COMPUTED_VALUE"""),"675000
600000")</f>
        <v>675000
600000</v>
      </c>
      <c r="G300" s="211"/>
      <c r="H300" s="211"/>
      <c r="I300" s="211">
        <f>IFERROR(__xludf.DUMMYFUNCTION("""COMPUTED_VALUE"""),1275000.0)</f>
        <v>1275000</v>
      </c>
      <c r="J300" s="211" t="str">
        <f>IFERROR(__xludf.DUMMYFUNCTION("""COMPUTED_VALUE"""),"Ya")</f>
        <v>Ya</v>
      </c>
      <c r="L300" s="211"/>
      <c r="M300" s="211"/>
      <c r="N300" s="211" t="str">
        <f>IFERROR(__xludf.DUMMYFUNCTION("""COMPUTED_VALUE"""),"")</f>
        <v/>
      </c>
      <c r="O300" s="211" t="str">
        <f>IFERROR(__xludf.DUMMYFUNCTION("""COMPUTED_VALUE"""),"")</f>
        <v/>
      </c>
      <c r="P300" s="224" t="str">
        <f>IFERROR(__xludf.DUMMYFUNCTION("""COMPUTED_VALUE""")," ")</f>
        <v/>
      </c>
      <c r="Q300" s="225" t="str">
        <f>IFERROR(__xludf.DUMMYFUNCTION("""COMPUTED_VALUE"""),"")</f>
        <v/>
      </c>
      <c r="R300" s="211" t="str">
        <f>IFERROR(__xludf.DUMMYFUNCTION("""COMPUTED_VALUE"""),"")</f>
        <v/>
      </c>
      <c r="S300" s="211"/>
      <c r="T300" s="211"/>
      <c r="U300" s="211"/>
    </row>
    <row r="301">
      <c r="A301" s="222" t="str">
        <f>IFERROR(__xludf.DUMMYFUNCTION("""COMPUTED_VALUE"""),"04250378")</f>
        <v>04250378</v>
      </c>
      <c r="B301" s="211" t="str">
        <f>IFERROR(__xludf.DUMMYFUNCTION("""COMPUTED_VALUE"""),"19 Apr 2025")</f>
        <v>19 Apr 2025</v>
      </c>
      <c r="C301" s="211" t="str">
        <f>IFERROR(__xludf.DUMMYFUNCTION("""COMPUTED_VALUE"""),"Bengkel Las Bpk. Ari")</f>
        <v>Bengkel Las Bpk. Ari</v>
      </c>
      <c r="D301" s="211" t="str">
        <f>IFERROR(__xludf.DUMMYFUNCTION("""COMPUTED_VALUE"""),"Oksigen 6m3")</f>
        <v>Oksigen 6m3</v>
      </c>
      <c r="E301" s="211" t="str">
        <f>IFERROR(__xludf.DUMMYFUNCTION("""COMPUTED_VALUE"""),"5")</f>
        <v>5</v>
      </c>
      <c r="F301" s="211" t="str">
        <f>IFERROR(__xludf.DUMMYFUNCTION("""COMPUTED_VALUE"""),"300000")</f>
        <v>300000</v>
      </c>
      <c r="G301" s="211"/>
      <c r="H301" s="211"/>
      <c r="I301" s="211">
        <f>IFERROR(__xludf.DUMMYFUNCTION("""COMPUTED_VALUE"""),300000.0)</f>
        <v>300000</v>
      </c>
      <c r="J301" s="211" t="str">
        <f>IFERROR(__xludf.DUMMYFUNCTION("""COMPUTED_VALUE"""),"Ya")</f>
        <v>Ya</v>
      </c>
      <c r="L301" s="211"/>
      <c r="M301" s="211"/>
      <c r="N301" s="211" t="str">
        <f>IFERROR(__xludf.DUMMYFUNCTION("""COMPUTED_VALUE"""),"")</f>
        <v/>
      </c>
      <c r="O301" s="211" t="str">
        <f>IFERROR(__xludf.DUMMYFUNCTION("""COMPUTED_VALUE"""),"")</f>
        <v/>
      </c>
      <c r="P301" s="224" t="str">
        <f>IFERROR(__xludf.DUMMYFUNCTION("""COMPUTED_VALUE""")," ")</f>
        <v/>
      </c>
      <c r="Q301" s="225" t="str">
        <f>IFERROR(__xludf.DUMMYFUNCTION("""COMPUTED_VALUE"""),"")</f>
        <v/>
      </c>
      <c r="R301" s="211" t="str">
        <f>IFERROR(__xludf.DUMMYFUNCTION("""COMPUTED_VALUE"""),"")</f>
        <v/>
      </c>
      <c r="S301" s="211"/>
      <c r="T301" s="211"/>
      <c r="U301" s="211"/>
    </row>
    <row r="302">
      <c r="A302" s="222" t="str">
        <f>IFERROR(__xludf.DUMMYFUNCTION("""COMPUTED_VALUE"""),"04250379")</f>
        <v>04250379</v>
      </c>
      <c r="B302" s="211" t="str">
        <f>IFERROR(__xludf.DUMMYFUNCTION("""COMPUTED_VALUE"""),"21 Apr 2025")</f>
        <v>21 Apr 2025</v>
      </c>
      <c r="C302" s="211" t="str">
        <f>IFERROR(__xludf.DUMMYFUNCTION("""COMPUTED_VALUE"""),"PT Jatim Abadi Perkasa Steel")</f>
        <v>PT Jatim Abadi Perkasa Steel</v>
      </c>
      <c r="D302" s="211" t="str">
        <f>IFERROR(__xludf.DUMMYFUNCTION("""COMPUTED_VALUE"""),"LPG 50kg")</f>
        <v>LPG 50kg</v>
      </c>
      <c r="E302" s="211" t="str">
        <f>IFERROR(__xludf.DUMMYFUNCTION("""COMPUTED_VALUE"""),"5")</f>
        <v>5</v>
      </c>
      <c r="F302" s="211" t="str">
        <f>IFERROR(__xludf.DUMMYFUNCTION("""COMPUTED_VALUE"""),"5050000")</f>
        <v>5050000</v>
      </c>
      <c r="G302" s="211"/>
      <c r="H302" s="211"/>
      <c r="I302" s="211">
        <f>IFERROR(__xludf.DUMMYFUNCTION("""COMPUTED_VALUE"""),5050000.0)</f>
        <v>5050000</v>
      </c>
      <c r="J302" s="211" t="str">
        <f>IFERROR(__xludf.DUMMYFUNCTION("""COMPUTED_VALUE"""),"Ya")</f>
        <v>Ya</v>
      </c>
      <c r="L302" s="211"/>
      <c r="M302" s="211"/>
      <c r="N302" s="211" t="str">
        <f>IFERROR(__xludf.DUMMYFUNCTION("""COMPUTED_VALUE"""),"")</f>
        <v/>
      </c>
      <c r="O302" s="211" t="str">
        <f>IFERROR(__xludf.DUMMYFUNCTION("""COMPUTED_VALUE"""),"")</f>
        <v/>
      </c>
      <c r="P302" s="224" t="str">
        <f>IFERROR(__xludf.DUMMYFUNCTION("""COMPUTED_VALUE""")," ")</f>
        <v/>
      </c>
      <c r="Q302" s="225" t="str">
        <f>IFERROR(__xludf.DUMMYFUNCTION("""COMPUTED_VALUE"""),"")</f>
        <v/>
      </c>
      <c r="R302" s="211" t="str">
        <f>IFERROR(__xludf.DUMMYFUNCTION("""COMPUTED_VALUE"""),"")</f>
        <v/>
      </c>
      <c r="S302" s="211"/>
      <c r="T302" s="211"/>
      <c r="U302" s="211"/>
    </row>
    <row r="303">
      <c r="A303" s="222" t="str">
        <f>IFERROR(__xludf.DUMMYFUNCTION("""COMPUTED_VALUE"""),"04250380")</f>
        <v>04250380</v>
      </c>
      <c r="B303" s="211" t="str">
        <f>IFERROR(__xludf.DUMMYFUNCTION("""COMPUTED_VALUE"""),"21 Apr 2025")</f>
        <v>21 Apr 2025</v>
      </c>
      <c r="C303" s="211" t="str">
        <f>IFERROR(__xludf.DUMMYFUNCTION("""COMPUTED_VALUE"""),"Bpk. Sulaiman")</f>
        <v>Bpk. Sulaiman</v>
      </c>
      <c r="D303" s="211" t="str">
        <f>IFERROR(__xludf.DUMMYFUNCTION("""COMPUTED_VALUE"""),"Oksigen 6m3")</f>
        <v>Oksigen 6m3</v>
      </c>
      <c r="E303" s="211" t="str">
        <f>IFERROR(__xludf.DUMMYFUNCTION("""COMPUTED_VALUE"""),"2")</f>
        <v>2</v>
      </c>
      <c r="F303" s="211" t="str">
        <f>IFERROR(__xludf.DUMMYFUNCTION("""COMPUTED_VALUE"""),"110000")</f>
        <v>110000</v>
      </c>
      <c r="G303" s="211"/>
      <c r="H303" s="211"/>
      <c r="I303" s="211">
        <f>IFERROR(__xludf.DUMMYFUNCTION("""COMPUTED_VALUE"""),110000.0)</f>
        <v>110000</v>
      </c>
      <c r="J303" s="211" t="str">
        <f>IFERROR(__xludf.DUMMYFUNCTION("""COMPUTED_VALUE"""),"Ya")</f>
        <v>Ya</v>
      </c>
      <c r="L303" s="211"/>
      <c r="M303" s="211"/>
      <c r="N303" s="211" t="str">
        <f>IFERROR(__xludf.DUMMYFUNCTION("""COMPUTED_VALUE"""),"")</f>
        <v/>
      </c>
      <c r="O303" s="211" t="str">
        <f>IFERROR(__xludf.DUMMYFUNCTION("""COMPUTED_VALUE"""),"")</f>
        <v/>
      </c>
      <c r="P303" s="224" t="str">
        <f>IFERROR(__xludf.DUMMYFUNCTION("""COMPUTED_VALUE""")," ")</f>
        <v/>
      </c>
      <c r="Q303" s="225" t="str">
        <f>IFERROR(__xludf.DUMMYFUNCTION("""COMPUTED_VALUE"""),"")</f>
        <v/>
      </c>
      <c r="R303" s="211" t="str">
        <f>IFERROR(__xludf.DUMMYFUNCTION("""COMPUTED_VALUE"""),"")</f>
        <v/>
      </c>
      <c r="S303" s="211"/>
      <c r="T303" s="211"/>
      <c r="U303" s="211"/>
    </row>
    <row r="304">
      <c r="A304" s="222" t="str">
        <f>IFERROR(__xludf.DUMMYFUNCTION("""COMPUTED_VALUE"""),"04250381")</f>
        <v>04250381</v>
      </c>
      <c r="B304" s="211" t="str">
        <f>IFERROR(__xludf.DUMMYFUNCTION("""COMPUTED_VALUE"""),"21 Apr 2025")</f>
        <v>21 Apr 2025</v>
      </c>
      <c r="C304" s="211" t="str">
        <f>IFERROR(__xludf.DUMMYFUNCTION("""COMPUTED_VALUE"""),"PT Sinar Indogreen Kencana")</f>
        <v>PT Sinar Indogreen Kencana</v>
      </c>
      <c r="D304" s="211" t="str">
        <f>IFERROR(__xludf.DUMMYFUNCTION("""COMPUTED_VALUE"""),"LPG 12kg")</f>
        <v>LPG 12kg</v>
      </c>
      <c r="E304" s="211" t="str">
        <f>IFERROR(__xludf.DUMMYFUNCTION("""COMPUTED_VALUE"""),"1")</f>
        <v>1</v>
      </c>
      <c r="F304" s="211" t="str">
        <f>IFERROR(__xludf.DUMMYFUNCTION("""COMPUTED_VALUE"""),"210001")</f>
        <v>210001</v>
      </c>
      <c r="G304" s="211"/>
      <c r="H304" s="211"/>
      <c r="I304" s="211">
        <f>IFERROR(__xludf.DUMMYFUNCTION("""COMPUTED_VALUE"""),210001.0)</f>
        <v>210001</v>
      </c>
      <c r="J304" s="211" t="str">
        <f>IFERROR(__xludf.DUMMYFUNCTION("""COMPUTED_VALUE"""),"Ya")</f>
        <v>Ya</v>
      </c>
      <c r="L304" s="211"/>
      <c r="M304" s="211"/>
      <c r="N304" s="211" t="str">
        <f>IFERROR(__xludf.DUMMYFUNCTION("""COMPUTED_VALUE"""),"")</f>
        <v/>
      </c>
      <c r="O304" s="211" t="str">
        <f>IFERROR(__xludf.DUMMYFUNCTION("""COMPUTED_VALUE"""),"")</f>
        <v/>
      </c>
      <c r="P304" s="224" t="str">
        <f>IFERROR(__xludf.DUMMYFUNCTION("""COMPUTED_VALUE""")," ")</f>
        <v/>
      </c>
      <c r="Q304" s="225" t="str">
        <f>IFERROR(__xludf.DUMMYFUNCTION("""COMPUTED_VALUE"""),"")</f>
        <v/>
      </c>
      <c r="R304" s="211" t="str">
        <f>IFERROR(__xludf.DUMMYFUNCTION("""COMPUTED_VALUE"""),"")</f>
        <v/>
      </c>
      <c r="S304" s="211"/>
      <c r="T304" s="211"/>
      <c r="U304" s="211"/>
    </row>
    <row r="305">
      <c r="A305" s="222" t="str">
        <f>IFERROR(__xludf.DUMMYFUNCTION("""COMPUTED_VALUE"""),"04250382")</f>
        <v>04250382</v>
      </c>
      <c r="B305" s="211" t="str">
        <f>IFERROR(__xludf.DUMMYFUNCTION("""COMPUTED_VALUE"""),"22 Apr 2025")</f>
        <v>22 Apr 2025</v>
      </c>
      <c r="C305" s="211" t="str">
        <f>IFERROR(__xludf.DUMMYFUNCTION("""COMPUTED_VALUE"""),"Bpk. Sulaiman")</f>
        <v>Bpk. Sulaiman</v>
      </c>
      <c r="D305" s="211" t="str">
        <f>IFERROR(__xludf.DUMMYFUNCTION("""COMPUTED_VALUE"""),"Oksigen 6m3 MR")</f>
        <v>Oksigen 6m3 MR</v>
      </c>
      <c r="E305" s="211" t="str">
        <f>IFERROR(__xludf.DUMMYFUNCTION("""COMPUTED_VALUE"""),"2")</f>
        <v>2</v>
      </c>
      <c r="F305" s="211" t="str">
        <f>IFERROR(__xludf.DUMMYFUNCTION("""COMPUTED_VALUE"""),"110000")</f>
        <v>110000</v>
      </c>
      <c r="G305" s="211"/>
      <c r="H305" s="211"/>
      <c r="I305" s="211">
        <f>IFERROR(__xludf.DUMMYFUNCTION("""COMPUTED_VALUE"""),110000.0)</f>
        <v>110000</v>
      </c>
      <c r="J305" s="211" t="str">
        <f>IFERROR(__xludf.DUMMYFUNCTION("""COMPUTED_VALUE"""),"Ya")</f>
        <v>Ya</v>
      </c>
      <c r="L305" s="211"/>
      <c r="M305" s="211"/>
      <c r="N305" s="211" t="str">
        <f>IFERROR(__xludf.DUMMYFUNCTION("""COMPUTED_VALUE"""),"")</f>
        <v/>
      </c>
      <c r="O305" s="211" t="str">
        <f>IFERROR(__xludf.DUMMYFUNCTION("""COMPUTED_VALUE"""),"")</f>
        <v/>
      </c>
      <c r="P305" s="224" t="str">
        <f>IFERROR(__xludf.DUMMYFUNCTION("""COMPUTED_VALUE""")," ")</f>
        <v/>
      </c>
      <c r="Q305" s="225" t="str">
        <f>IFERROR(__xludf.DUMMYFUNCTION("""COMPUTED_VALUE"""),"")</f>
        <v/>
      </c>
      <c r="R305" s="211" t="str">
        <f>IFERROR(__xludf.DUMMYFUNCTION("""COMPUTED_VALUE"""),"")</f>
        <v/>
      </c>
      <c r="S305" s="211"/>
      <c r="T305" s="211"/>
      <c r="U305" s="211"/>
    </row>
    <row r="306">
      <c r="A306" s="222" t="str">
        <f>IFERROR(__xludf.DUMMYFUNCTION("""COMPUTED_VALUE"""),"04250383")</f>
        <v>04250383</v>
      </c>
      <c r="B306" s="211" t="str">
        <f>IFERROR(__xludf.DUMMYFUNCTION("""COMPUTED_VALUE"""),"22 Apr 2025")</f>
        <v>22 Apr 2025</v>
      </c>
      <c r="C306" s="211" t="str">
        <f>IFERROR(__xludf.DUMMYFUNCTION("""COMPUTED_VALUE"""),"PT PELANGI INDOKARYA")</f>
        <v>PT PELANGI INDOKARYA</v>
      </c>
      <c r="D306" s="211" t="str">
        <f>IFERROR(__xludf.DUMMYFUNCTION("""COMPUTED_VALUE"""),"Oksigen 6m3")</f>
        <v>Oksigen 6m3</v>
      </c>
      <c r="E306" s="211" t="str">
        <f>IFERROR(__xludf.DUMMYFUNCTION("""COMPUTED_VALUE"""),"5")</f>
        <v>5</v>
      </c>
      <c r="F306" s="211" t="str">
        <f>IFERROR(__xludf.DUMMYFUNCTION("""COMPUTED_VALUE"""),"333000")</f>
        <v>333000</v>
      </c>
      <c r="G306" s="211"/>
      <c r="H306" s="211"/>
      <c r="I306" s="211">
        <f>IFERROR(__xludf.DUMMYFUNCTION("""COMPUTED_VALUE"""),333000.0)</f>
        <v>333000</v>
      </c>
      <c r="J306" s="211" t="str">
        <f>IFERROR(__xludf.DUMMYFUNCTION("""COMPUTED_VALUE"""),"Ya")</f>
        <v>Ya</v>
      </c>
      <c r="L306" s="211"/>
      <c r="M306" s="211"/>
      <c r="N306" s="211" t="str">
        <f>IFERROR(__xludf.DUMMYFUNCTION("""COMPUTED_VALUE"""),"")</f>
        <v/>
      </c>
      <c r="O306" s="211" t="str">
        <f>IFERROR(__xludf.DUMMYFUNCTION("""COMPUTED_VALUE"""),"")</f>
        <v/>
      </c>
      <c r="P306" s="224" t="str">
        <f>IFERROR(__xludf.DUMMYFUNCTION("""COMPUTED_VALUE""")," ")</f>
        <v/>
      </c>
      <c r="Q306" s="225" t="str">
        <f>IFERROR(__xludf.DUMMYFUNCTION("""COMPUTED_VALUE"""),"")</f>
        <v/>
      </c>
      <c r="R306" s="211" t="str">
        <f>IFERROR(__xludf.DUMMYFUNCTION("""COMPUTED_VALUE"""),"")</f>
        <v/>
      </c>
      <c r="S306" s="211"/>
      <c r="T306" s="211"/>
      <c r="U306" s="211"/>
    </row>
    <row r="307">
      <c r="A307" s="222" t="str">
        <f>IFERROR(__xludf.DUMMYFUNCTION("""COMPUTED_VALUE"""),"04250384")</f>
        <v>04250384</v>
      </c>
      <c r="B307" s="211" t="str">
        <f>IFERROR(__xludf.DUMMYFUNCTION("""COMPUTED_VALUE"""),"23 Apr 2025")</f>
        <v>23 Apr 2025</v>
      </c>
      <c r="C307" s="211" t="str">
        <f>IFERROR(__xludf.DUMMYFUNCTION("""COMPUTED_VALUE"""),"PT Hua Zong Mesindo")</f>
        <v>PT Hua Zong Mesindo</v>
      </c>
      <c r="D307" s="211" t="str">
        <f>IFERROR(__xludf.DUMMYFUNCTION("""COMPUTED_VALUE"""),"Oksigen 6m3")</f>
        <v>Oksigen 6m3</v>
      </c>
      <c r="E307" s="211" t="str">
        <f>IFERROR(__xludf.DUMMYFUNCTION("""COMPUTED_VALUE"""),"3")</f>
        <v>3</v>
      </c>
      <c r="F307" s="211" t="str">
        <f>IFERROR(__xludf.DUMMYFUNCTION("""COMPUTED_VALUE"""),"180000")</f>
        <v>180000</v>
      </c>
      <c r="G307" s="211"/>
      <c r="H307" s="211"/>
      <c r="I307" s="211">
        <f>IFERROR(__xludf.DUMMYFUNCTION("""COMPUTED_VALUE"""),180000.0)</f>
        <v>180000</v>
      </c>
      <c r="J307" s="211" t="str">
        <f>IFERROR(__xludf.DUMMYFUNCTION("""COMPUTED_VALUE"""),"Ya")</f>
        <v>Ya</v>
      </c>
      <c r="L307" s="211"/>
      <c r="M307" s="211"/>
      <c r="N307" s="211" t="str">
        <f>IFERROR(__xludf.DUMMYFUNCTION("""COMPUTED_VALUE"""),"")</f>
        <v/>
      </c>
      <c r="O307" s="211" t="str">
        <f>IFERROR(__xludf.DUMMYFUNCTION("""COMPUTED_VALUE"""),"")</f>
        <v/>
      </c>
      <c r="P307" s="224" t="str">
        <f>IFERROR(__xludf.DUMMYFUNCTION("""COMPUTED_VALUE""")," ")</f>
        <v/>
      </c>
      <c r="Q307" s="225" t="str">
        <f>IFERROR(__xludf.DUMMYFUNCTION("""COMPUTED_VALUE"""),"")</f>
        <v/>
      </c>
      <c r="R307" s="211" t="str">
        <f>IFERROR(__xludf.DUMMYFUNCTION("""COMPUTED_VALUE"""),"")</f>
        <v/>
      </c>
      <c r="S307" s="211"/>
      <c r="T307" s="211"/>
      <c r="U307" s="211"/>
    </row>
    <row r="308">
      <c r="A308" s="222" t="str">
        <f>IFERROR(__xludf.DUMMYFUNCTION("""COMPUTED_VALUE"""),"04250385")</f>
        <v>04250385</v>
      </c>
      <c r="B308" s="211" t="str">
        <f>IFERROR(__xludf.DUMMYFUNCTION("""COMPUTED_VALUE"""),"23 Apr 2025")</f>
        <v>23 Apr 2025</v>
      </c>
      <c r="C308" s="211" t="str">
        <f>IFERROR(__xludf.DUMMYFUNCTION("""COMPUTED_VALUE"""),"Bpk. Joko (Gresik)")</f>
        <v>Bpk. Joko (Gresik)</v>
      </c>
      <c r="D308" s="211" t="str">
        <f>IFERROR(__xludf.DUMMYFUNCTION("""COMPUTED_VALUE"""),"Oksigen 6m3 MR")</f>
        <v>Oksigen 6m3 MR</v>
      </c>
      <c r="E308" s="211" t="str">
        <f>IFERROR(__xludf.DUMMYFUNCTION("""COMPUTED_VALUE"""),"4")</f>
        <v>4</v>
      </c>
      <c r="F308" s="211" t="str">
        <f>IFERROR(__xludf.DUMMYFUNCTION("""COMPUTED_VALUE"""),"220000")</f>
        <v>220000</v>
      </c>
      <c r="G308" s="211"/>
      <c r="H308" s="211"/>
      <c r="I308" s="211">
        <f>IFERROR(__xludf.DUMMYFUNCTION("""COMPUTED_VALUE"""),220000.0)</f>
        <v>220000</v>
      </c>
      <c r="J308" s="211" t="str">
        <f>IFERROR(__xludf.DUMMYFUNCTION("""COMPUTED_VALUE"""),"Ya")</f>
        <v>Ya</v>
      </c>
      <c r="L308" s="211"/>
      <c r="M308" s="211"/>
      <c r="N308" s="211" t="str">
        <f>IFERROR(__xludf.DUMMYFUNCTION("""COMPUTED_VALUE"""),"")</f>
        <v/>
      </c>
      <c r="O308" s="211" t="str">
        <f>IFERROR(__xludf.DUMMYFUNCTION("""COMPUTED_VALUE"""),"")</f>
        <v/>
      </c>
      <c r="P308" s="224" t="str">
        <f>IFERROR(__xludf.DUMMYFUNCTION("""COMPUTED_VALUE""")," ")</f>
        <v/>
      </c>
      <c r="Q308" s="225" t="str">
        <f>IFERROR(__xludf.DUMMYFUNCTION("""COMPUTED_VALUE"""),"")</f>
        <v/>
      </c>
      <c r="R308" s="211" t="str">
        <f>IFERROR(__xludf.DUMMYFUNCTION("""COMPUTED_VALUE"""),"")</f>
        <v/>
      </c>
      <c r="S308" s="211"/>
      <c r="T308" s="211"/>
      <c r="U308" s="211"/>
    </row>
    <row r="309">
      <c r="A309" s="222" t="str">
        <f>IFERROR(__xludf.DUMMYFUNCTION("""COMPUTED_VALUE"""),"04250386")</f>
        <v>04250386</v>
      </c>
      <c r="B309" s="211" t="str">
        <f>IFERROR(__xludf.DUMMYFUNCTION("""COMPUTED_VALUE"""),"25 Apr 2025")</f>
        <v>25 Apr 2025</v>
      </c>
      <c r="C309" s="211" t="str">
        <f>IFERROR(__xludf.DUMMYFUNCTION("""COMPUTED_VALUE"""),"PT Jatim Abadi Perkasa Steel")</f>
        <v>PT Jatim Abadi Perkasa Steel</v>
      </c>
      <c r="D309" s="211" t="str">
        <f>IFERROR(__xludf.DUMMYFUNCTION("""COMPUTED_VALUE"""),"LPG 50kg")</f>
        <v>LPG 50kg</v>
      </c>
      <c r="E309" s="211" t="str">
        <f>IFERROR(__xludf.DUMMYFUNCTION("""COMPUTED_VALUE"""),"5")</f>
        <v>5</v>
      </c>
      <c r="F309" s="211" t="str">
        <f>IFERROR(__xludf.DUMMYFUNCTION("""COMPUTED_VALUE"""),"5050000")</f>
        <v>5050000</v>
      </c>
      <c r="G309" s="211"/>
      <c r="H309" s="211"/>
      <c r="I309" s="211">
        <f>IFERROR(__xludf.DUMMYFUNCTION("""COMPUTED_VALUE"""),5050000.0)</f>
        <v>5050000</v>
      </c>
      <c r="J309" s="211" t="str">
        <f>IFERROR(__xludf.DUMMYFUNCTION("""COMPUTED_VALUE"""),"Ya")</f>
        <v>Ya</v>
      </c>
      <c r="L309" s="211"/>
      <c r="M309" s="211"/>
      <c r="N309" s="211" t="str">
        <f>IFERROR(__xludf.DUMMYFUNCTION("""COMPUTED_VALUE"""),"")</f>
        <v/>
      </c>
      <c r="O309" s="211" t="str">
        <f>IFERROR(__xludf.DUMMYFUNCTION("""COMPUTED_VALUE"""),"")</f>
        <v/>
      </c>
      <c r="P309" s="224" t="str">
        <f>IFERROR(__xludf.DUMMYFUNCTION("""COMPUTED_VALUE""")," ")</f>
        <v/>
      </c>
      <c r="Q309" s="225" t="str">
        <f>IFERROR(__xludf.DUMMYFUNCTION("""COMPUTED_VALUE"""),"")</f>
        <v/>
      </c>
      <c r="R309" s="211" t="str">
        <f>IFERROR(__xludf.DUMMYFUNCTION("""COMPUTED_VALUE"""),"")</f>
        <v/>
      </c>
      <c r="S309" s="211"/>
      <c r="T309" s="211"/>
      <c r="U309" s="211"/>
    </row>
    <row r="310">
      <c r="A310" s="222" t="str">
        <f>IFERROR(__xludf.DUMMYFUNCTION("""COMPUTED_VALUE"""),"04250387")</f>
        <v>04250387</v>
      </c>
      <c r="B310" s="211" t="str">
        <f>IFERROR(__xludf.DUMMYFUNCTION("""COMPUTED_VALUE"""),"25 Apr 2025")</f>
        <v>25 Apr 2025</v>
      </c>
      <c r="C310" s="211" t="str">
        <f>IFERROR(__xludf.DUMMYFUNCTION("""COMPUTED_VALUE"""),"Bpk. Sugiantoro")</f>
        <v>Bpk. Sugiantoro</v>
      </c>
      <c r="D310" s="211" t="str">
        <f>IFERROR(__xludf.DUMMYFUNCTION("""COMPUTED_VALUE"""),"LPG 12kg")</f>
        <v>LPG 12kg</v>
      </c>
      <c r="E310" s="211" t="str">
        <f>IFERROR(__xludf.DUMMYFUNCTION("""COMPUTED_VALUE"""),"1")</f>
        <v>1</v>
      </c>
      <c r="F310" s="211" t="str">
        <f>IFERROR(__xludf.DUMMYFUNCTION("""COMPUTED_VALUE"""),"210000")</f>
        <v>210000</v>
      </c>
      <c r="G310" s="211"/>
      <c r="H310" s="211"/>
      <c r="I310" s="211">
        <f>IFERROR(__xludf.DUMMYFUNCTION("""COMPUTED_VALUE"""),210000.0)</f>
        <v>210000</v>
      </c>
      <c r="J310" s="211" t="str">
        <f>IFERROR(__xludf.DUMMYFUNCTION("""COMPUTED_VALUE"""),"Ya")</f>
        <v>Ya</v>
      </c>
      <c r="L310" s="211"/>
      <c r="M310" s="211"/>
      <c r="N310" s="211" t="str">
        <f>IFERROR(__xludf.DUMMYFUNCTION("""COMPUTED_VALUE"""),"")</f>
        <v/>
      </c>
      <c r="O310" s="211" t="str">
        <f>IFERROR(__xludf.DUMMYFUNCTION("""COMPUTED_VALUE"""),"")</f>
        <v/>
      </c>
      <c r="P310" s="224" t="str">
        <f>IFERROR(__xludf.DUMMYFUNCTION("""COMPUTED_VALUE""")," ")</f>
        <v/>
      </c>
      <c r="Q310" s="225" t="str">
        <f>IFERROR(__xludf.DUMMYFUNCTION("""COMPUTED_VALUE"""),"")</f>
        <v/>
      </c>
      <c r="R310" s="211" t="str">
        <f>IFERROR(__xludf.DUMMYFUNCTION("""COMPUTED_VALUE"""),"")</f>
        <v/>
      </c>
      <c r="S310" s="211"/>
      <c r="T310" s="211"/>
      <c r="U310" s="211"/>
    </row>
    <row r="311">
      <c r="A311" s="222" t="str">
        <f>IFERROR(__xludf.DUMMYFUNCTION("""COMPUTED_VALUE"""),"04250388")</f>
        <v>04250388</v>
      </c>
      <c r="B311" s="211" t="str">
        <f>IFERROR(__xludf.DUMMYFUNCTION("""COMPUTED_VALUE"""),"25 Apr 2025")</f>
        <v>25 Apr 2025</v>
      </c>
      <c r="C311" s="211" t="str">
        <f>IFERROR(__xludf.DUMMYFUNCTION("""COMPUTED_VALUE"""),"Bpk. Sugiantoro")</f>
        <v>Bpk. Sugiantoro</v>
      </c>
      <c r="D311" s="211" t="str">
        <f>IFERROR(__xludf.DUMMYFUNCTION("""COMPUTED_VALUE"""),"LPG 12kg")</f>
        <v>LPG 12kg</v>
      </c>
      <c r="E311" s="211" t="str">
        <f>IFERROR(__xludf.DUMMYFUNCTION("""COMPUTED_VALUE"""),"1")</f>
        <v>1</v>
      </c>
      <c r="F311" s="211" t="str">
        <f>IFERROR(__xludf.DUMMYFUNCTION("""COMPUTED_VALUE"""),"210000")</f>
        <v>210000</v>
      </c>
      <c r="G311" s="211"/>
      <c r="H311" s="211"/>
      <c r="I311" s="211">
        <f>IFERROR(__xludf.DUMMYFUNCTION("""COMPUTED_VALUE"""),210000.0)</f>
        <v>210000</v>
      </c>
      <c r="J311" s="211" t="str">
        <f>IFERROR(__xludf.DUMMYFUNCTION("""COMPUTED_VALUE"""),"Ya")</f>
        <v>Ya</v>
      </c>
      <c r="L311" s="211"/>
      <c r="M311" s="211"/>
      <c r="N311" s="211" t="str">
        <f>IFERROR(__xludf.DUMMYFUNCTION("""COMPUTED_VALUE"""),"")</f>
        <v/>
      </c>
      <c r="O311" s="211" t="str">
        <f>IFERROR(__xludf.DUMMYFUNCTION("""COMPUTED_VALUE"""),"")</f>
        <v/>
      </c>
      <c r="P311" s="224" t="str">
        <f>IFERROR(__xludf.DUMMYFUNCTION("""COMPUTED_VALUE""")," ")</f>
        <v/>
      </c>
      <c r="Q311" s="225" t="str">
        <f>IFERROR(__xludf.DUMMYFUNCTION("""COMPUTED_VALUE"""),"")</f>
        <v/>
      </c>
      <c r="R311" s="211" t="str">
        <f>IFERROR(__xludf.DUMMYFUNCTION("""COMPUTED_VALUE"""),"")</f>
        <v/>
      </c>
      <c r="S311" s="211"/>
      <c r="T311" s="211"/>
      <c r="U311" s="211"/>
    </row>
    <row r="312">
      <c r="A312" s="222" t="str">
        <f>IFERROR(__xludf.DUMMYFUNCTION("""COMPUTED_VALUE"""),"04250389")</f>
        <v>04250389</v>
      </c>
      <c r="B312" s="211" t="str">
        <f>IFERROR(__xludf.DUMMYFUNCTION("""COMPUTED_VALUE"""),"25 Apr 2025")</f>
        <v>25 Apr 2025</v>
      </c>
      <c r="C312" s="211" t="str">
        <f>IFERROR(__xludf.DUMMYFUNCTION("""COMPUTED_VALUE"""),"Bpk. Sukirno (Bejo)")</f>
        <v>Bpk. Sukirno (Bejo)</v>
      </c>
      <c r="D312" s="211" t="str">
        <f>IFERROR(__xludf.DUMMYFUNCTION("""COMPUTED_VALUE"""),"Oksigen 6m3")</f>
        <v>Oksigen 6m3</v>
      </c>
      <c r="E312" s="211" t="str">
        <f>IFERROR(__xludf.DUMMYFUNCTION("""COMPUTED_VALUE"""),"10")</f>
        <v>10</v>
      </c>
      <c r="F312" s="211" t="str">
        <f>IFERROR(__xludf.DUMMYFUNCTION("""COMPUTED_VALUE"""),"600000")</f>
        <v>600000</v>
      </c>
      <c r="G312" s="211"/>
      <c r="H312" s="211"/>
      <c r="I312" s="211">
        <f>IFERROR(__xludf.DUMMYFUNCTION("""COMPUTED_VALUE"""),600000.0)</f>
        <v>600000</v>
      </c>
      <c r="J312" s="211" t="str">
        <f>IFERROR(__xludf.DUMMYFUNCTION("""COMPUTED_VALUE"""),"Ya")</f>
        <v>Ya</v>
      </c>
      <c r="L312" s="211"/>
      <c r="M312" s="211"/>
      <c r="N312" s="211" t="str">
        <f>IFERROR(__xludf.DUMMYFUNCTION("""COMPUTED_VALUE"""),"")</f>
        <v/>
      </c>
      <c r="O312" s="211" t="str">
        <f>IFERROR(__xludf.DUMMYFUNCTION("""COMPUTED_VALUE"""),"")</f>
        <v/>
      </c>
      <c r="P312" s="224" t="str">
        <f>IFERROR(__xludf.DUMMYFUNCTION("""COMPUTED_VALUE""")," ")</f>
        <v/>
      </c>
      <c r="Q312" s="225" t="str">
        <f>IFERROR(__xludf.DUMMYFUNCTION("""COMPUTED_VALUE"""),"")</f>
        <v/>
      </c>
      <c r="R312" s="211" t="str">
        <f>IFERROR(__xludf.DUMMYFUNCTION("""COMPUTED_VALUE"""),"")</f>
        <v/>
      </c>
      <c r="S312" s="211"/>
      <c r="T312" s="211"/>
      <c r="U312" s="211"/>
    </row>
    <row r="313">
      <c r="A313" s="222" t="str">
        <f>IFERROR(__xludf.DUMMYFUNCTION("""COMPUTED_VALUE"""),"04250390")</f>
        <v>04250390</v>
      </c>
      <c r="B313" s="211" t="str">
        <f>IFERROR(__xludf.DUMMYFUNCTION("""COMPUTED_VALUE"""),"26 Apr 2025")</f>
        <v>26 Apr 2025</v>
      </c>
      <c r="C313" s="211" t="str">
        <f>IFERROR(__xludf.DUMMYFUNCTION("""COMPUTED_VALUE"""),"PT Sinar Indogreen Kencana")</f>
        <v>PT Sinar Indogreen Kencana</v>
      </c>
      <c r="D313" s="211" t="str">
        <f>IFERROR(__xludf.DUMMYFUNCTION("""COMPUTED_VALUE"""),"LPG 12kg")</f>
        <v>LPG 12kg</v>
      </c>
      <c r="E313" s="211" t="str">
        <f>IFERROR(__xludf.DUMMYFUNCTION("""COMPUTED_VALUE"""),"1")</f>
        <v>1</v>
      </c>
      <c r="F313" s="211" t="str">
        <f>IFERROR(__xludf.DUMMYFUNCTION("""COMPUTED_VALUE"""),"210001")</f>
        <v>210001</v>
      </c>
      <c r="G313" s="211"/>
      <c r="H313" s="211"/>
      <c r="I313" s="211">
        <f>IFERROR(__xludf.DUMMYFUNCTION("""COMPUTED_VALUE"""),210001.0)</f>
        <v>210001</v>
      </c>
      <c r="J313" s="211" t="str">
        <f>IFERROR(__xludf.DUMMYFUNCTION("""COMPUTED_VALUE"""),"Ya")</f>
        <v>Ya</v>
      </c>
      <c r="L313" s="211"/>
      <c r="M313" s="211"/>
      <c r="N313" s="211" t="str">
        <f>IFERROR(__xludf.DUMMYFUNCTION("""COMPUTED_VALUE"""),"")</f>
        <v/>
      </c>
      <c r="O313" s="211" t="str">
        <f>IFERROR(__xludf.DUMMYFUNCTION("""COMPUTED_VALUE"""),"")</f>
        <v/>
      </c>
      <c r="P313" s="224" t="str">
        <f>IFERROR(__xludf.DUMMYFUNCTION("""COMPUTED_VALUE""")," ")</f>
        <v/>
      </c>
      <c r="Q313" s="225" t="str">
        <f>IFERROR(__xludf.DUMMYFUNCTION("""COMPUTED_VALUE"""),"")</f>
        <v/>
      </c>
      <c r="R313" s="211" t="str">
        <f>IFERROR(__xludf.DUMMYFUNCTION("""COMPUTED_VALUE"""),"")</f>
        <v/>
      </c>
      <c r="S313" s="211"/>
      <c r="T313" s="211"/>
      <c r="U313" s="211"/>
    </row>
    <row r="314">
      <c r="A314" s="222" t="str">
        <f>IFERROR(__xludf.DUMMYFUNCTION("""COMPUTED_VALUE"""),"04250391")</f>
        <v>04250391</v>
      </c>
      <c r="B314" s="211" t="str">
        <f>IFERROR(__xludf.DUMMYFUNCTION("""COMPUTED_VALUE"""),"26 Apr 2025")</f>
        <v>26 Apr 2025</v>
      </c>
      <c r="C314" s="211" t="str">
        <f>IFERROR(__xludf.DUMMYFUNCTION("""COMPUTED_VALUE"""),"PT GEMILANG CIPTA WAWASAN")</f>
        <v>PT GEMILANG CIPTA WAWASAN</v>
      </c>
      <c r="D314" s="211" t="str">
        <f>IFERROR(__xludf.DUMMYFUNCTION("""COMPUTED_VALUE"""),"Oksigen 6m3
LPG 12kg")</f>
        <v>Oksigen 6m3
LPG 12kg</v>
      </c>
      <c r="E314" s="211" t="str">
        <f>IFERROR(__xludf.DUMMYFUNCTION("""COMPUTED_VALUE"""),"15
3")</f>
        <v>15
3</v>
      </c>
      <c r="F314" s="211" t="str">
        <f>IFERROR(__xludf.DUMMYFUNCTION("""COMPUTED_VALUE"""),"999000
699300")</f>
        <v>999000
699300</v>
      </c>
      <c r="G314" s="211"/>
      <c r="H314" s="211"/>
      <c r="I314" s="211">
        <f>IFERROR(__xludf.DUMMYFUNCTION("""COMPUTED_VALUE"""),1698300.0)</f>
        <v>1698300</v>
      </c>
      <c r="J314" s="211" t="str">
        <f>IFERROR(__xludf.DUMMYFUNCTION("""COMPUTED_VALUE"""),"Ya")</f>
        <v>Ya</v>
      </c>
      <c r="L314" s="211"/>
      <c r="M314" s="211"/>
      <c r="N314" s="211" t="str">
        <f>IFERROR(__xludf.DUMMYFUNCTION("""COMPUTED_VALUE"""),"")</f>
        <v/>
      </c>
      <c r="O314" s="211" t="str">
        <f>IFERROR(__xludf.DUMMYFUNCTION("""COMPUTED_VALUE"""),"")</f>
        <v/>
      </c>
      <c r="P314" s="224" t="str">
        <f>IFERROR(__xludf.DUMMYFUNCTION("""COMPUTED_VALUE""")," ")</f>
        <v/>
      </c>
      <c r="Q314" s="225" t="str">
        <f>IFERROR(__xludf.DUMMYFUNCTION("""COMPUTED_VALUE"""),"")</f>
        <v/>
      </c>
      <c r="R314" s="211" t="str">
        <f>IFERROR(__xludf.DUMMYFUNCTION("""COMPUTED_VALUE"""),"")</f>
        <v/>
      </c>
      <c r="S314" s="211"/>
      <c r="T314" s="211"/>
      <c r="U314" s="211"/>
    </row>
    <row r="315">
      <c r="A315" s="222" t="str">
        <f>IFERROR(__xludf.DUMMYFUNCTION("""COMPUTED_VALUE"""),"04250393")</f>
        <v>04250393</v>
      </c>
      <c r="B315" s="211" t="str">
        <f>IFERROR(__xludf.DUMMYFUNCTION("""COMPUTED_VALUE"""),"26 Apr 2025")</f>
        <v>26 Apr 2025</v>
      </c>
      <c r="C315" s="211" t="str">
        <f>IFERROR(__xludf.DUMMYFUNCTION("""COMPUTED_VALUE"""),"Bpk. Sulaiman")</f>
        <v>Bpk. Sulaiman</v>
      </c>
      <c r="D315" s="211" t="str">
        <f>IFERROR(__xludf.DUMMYFUNCTION("""COMPUTED_VALUE"""),"Oksigen 6m3")</f>
        <v>Oksigen 6m3</v>
      </c>
      <c r="E315" s="211" t="str">
        <f>IFERROR(__xludf.DUMMYFUNCTION("""COMPUTED_VALUE"""),"5")</f>
        <v>5</v>
      </c>
      <c r="F315" s="211" t="str">
        <f>IFERROR(__xludf.DUMMYFUNCTION("""COMPUTED_VALUE"""),"275000")</f>
        <v>275000</v>
      </c>
      <c r="G315" s="211"/>
      <c r="H315" s="211"/>
      <c r="I315" s="211">
        <f>IFERROR(__xludf.DUMMYFUNCTION("""COMPUTED_VALUE"""),275000.0)</f>
        <v>275000</v>
      </c>
      <c r="J315" s="211" t="str">
        <f>IFERROR(__xludf.DUMMYFUNCTION("""COMPUTED_VALUE"""),"Ya")</f>
        <v>Ya</v>
      </c>
      <c r="L315" s="211"/>
      <c r="M315" s="211"/>
      <c r="N315" s="211" t="str">
        <f>IFERROR(__xludf.DUMMYFUNCTION("""COMPUTED_VALUE"""),"")</f>
        <v/>
      </c>
      <c r="O315" s="211" t="str">
        <f>IFERROR(__xludf.DUMMYFUNCTION("""COMPUTED_VALUE"""),"")</f>
        <v/>
      </c>
      <c r="P315" s="224" t="str">
        <f>IFERROR(__xludf.DUMMYFUNCTION("""COMPUTED_VALUE""")," ")</f>
        <v/>
      </c>
      <c r="Q315" s="225" t="str">
        <f>IFERROR(__xludf.DUMMYFUNCTION("""COMPUTED_VALUE"""),"")</f>
        <v/>
      </c>
      <c r="R315" s="211" t="str">
        <f>IFERROR(__xludf.DUMMYFUNCTION("""COMPUTED_VALUE"""),"")</f>
        <v/>
      </c>
      <c r="S315" s="211"/>
      <c r="T315" s="211"/>
      <c r="U315" s="211"/>
    </row>
    <row r="316">
      <c r="A316" s="222" t="str">
        <f>IFERROR(__xludf.DUMMYFUNCTION("""COMPUTED_VALUE"""),"04250394")</f>
        <v>04250394</v>
      </c>
      <c r="B316" s="211" t="str">
        <f>IFERROR(__xludf.DUMMYFUNCTION("""COMPUTED_VALUE"""),"27 Apr 2025")</f>
        <v>27 Apr 2025</v>
      </c>
      <c r="C316" s="211" t="str">
        <f>IFERROR(__xludf.DUMMYFUNCTION("""COMPUTED_VALUE"""),"Bpk. Yudi")</f>
        <v>Bpk. Yudi</v>
      </c>
      <c r="D316" s="211" t="str">
        <f>IFERROR(__xludf.DUMMYFUNCTION("""COMPUTED_VALUE"""),"Argon 6m3")</f>
        <v>Argon 6m3</v>
      </c>
      <c r="E316" s="211" t="str">
        <f>IFERROR(__xludf.DUMMYFUNCTION("""COMPUTED_VALUE"""),"1")</f>
        <v>1</v>
      </c>
      <c r="F316" s="211" t="str">
        <f>IFERROR(__xludf.DUMMYFUNCTION("""COMPUTED_VALUE"""),"299700")</f>
        <v>299700</v>
      </c>
      <c r="G316" s="211"/>
      <c r="H316" s="211"/>
      <c r="I316" s="211">
        <f>IFERROR(__xludf.DUMMYFUNCTION("""COMPUTED_VALUE"""),299700.0)</f>
        <v>299700</v>
      </c>
      <c r="J316" s="211" t="str">
        <f>IFERROR(__xludf.DUMMYFUNCTION("""COMPUTED_VALUE"""),"Tidak")</f>
        <v>Tidak</v>
      </c>
      <c r="L316" s="211"/>
      <c r="M316" s="211"/>
      <c r="N316" s="211" t="str">
        <f>IFERROR(__xludf.DUMMYFUNCTION("""COMPUTED_VALUE"""),"")</f>
        <v/>
      </c>
      <c r="O316" s="211" t="str">
        <f>IFERROR(__xludf.DUMMYFUNCTION("""COMPUTED_VALUE"""),"")</f>
        <v/>
      </c>
      <c r="P316" s="224" t="str">
        <f>IFERROR(__xludf.DUMMYFUNCTION("""COMPUTED_VALUE""")," ")</f>
        <v/>
      </c>
      <c r="Q316" s="225" t="str">
        <f>IFERROR(__xludf.DUMMYFUNCTION("""COMPUTED_VALUE"""),"")</f>
        <v/>
      </c>
      <c r="R316" s="211" t="str">
        <f>IFERROR(__xludf.DUMMYFUNCTION("""COMPUTED_VALUE"""),"")</f>
        <v/>
      </c>
      <c r="S316" s="211"/>
      <c r="T316" s="211"/>
      <c r="U316" s="211"/>
    </row>
    <row r="317">
      <c r="A317" s="222" t="str">
        <f>IFERROR(__xludf.DUMMYFUNCTION("""COMPUTED_VALUE"""),"04250395")</f>
        <v>04250395</v>
      </c>
      <c r="B317" s="211" t="str">
        <f>IFERROR(__xludf.DUMMYFUNCTION("""COMPUTED_VALUE"""),"28 Apr 2025")</f>
        <v>28 Apr 2025</v>
      </c>
      <c r="C317" s="211" t="str">
        <f>IFERROR(__xludf.DUMMYFUNCTION("""COMPUTED_VALUE"""),"PT Dingsheng Metal Indonesia (Ngoro)")</f>
        <v>PT Dingsheng Metal Indonesia (Ngoro)</v>
      </c>
      <c r="D317" s="211" t="str">
        <f>IFERROR(__xludf.DUMMYFUNCTION("""COMPUTED_VALUE"""),"Oksigen 6m3")</f>
        <v>Oksigen 6m3</v>
      </c>
      <c r="E317" s="211" t="str">
        <f>IFERROR(__xludf.DUMMYFUNCTION("""COMPUTED_VALUE"""),"10")</f>
        <v>10</v>
      </c>
      <c r="F317" s="211" t="str">
        <f>IFERROR(__xludf.DUMMYFUNCTION("""COMPUTED_VALUE"""),"500000")</f>
        <v>500000</v>
      </c>
      <c r="G317" s="211"/>
      <c r="H317" s="211"/>
      <c r="I317" s="211">
        <f>IFERROR(__xludf.DUMMYFUNCTION("""COMPUTED_VALUE"""),500000.0)</f>
        <v>500000</v>
      </c>
      <c r="J317" s="211" t="str">
        <f>IFERROR(__xludf.DUMMYFUNCTION("""COMPUTED_VALUE"""),"Ya")</f>
        <v>Ya</v>
      </c>
      <c r="L317" s="211"/>
      <c r="M317" s="211"/>
      <c r="N317" s="211" t="str">
        <f>IFERROR(__xludf.DUMMYFUNCTION("""COMPUTED_VALUE"""),"")</f>
        <v/>
      </c>
      <c r="O317" s="211" t="str">
        <f>IFERROR(__xludf.DUMMYFUNCTION("""COMPUTED_VALUE"""),"")</f>
        <v/>
      </c>
      <c r="P317" s="224" t="str">
        <f>IFERROR(__xludf.DUMMYFUNCTION("""COMPUTED_VALUE""")," ")</f>
        <v/>
      </c>
      <c r="Q317" s="225" t="str">
        <f>IFERROR(__xludf.DUMMYFUNCTION("""COMPUTED_VALUE"""),"")</f>
        <v/>
      </c>
      <c r="R317" s="211" t="str">
        <f>IFERROR(__xludf.DUMMYFUNCTION("""COMPUTED_VALUE"""),"")</f>
        <v/>
      </c>
      <c r="S317" s="211"/>
      <c r="T317" s="211"/>
      <c r="U317" s="211"/>
    </row>
    <row r="318">
      <c r="A318" s="222" t="str">
        <f>IFERROR(__xludf.DUMMYFUNCTION("""COMPUTED_VALUE"""),"04250396")</f>
        <v>04250396</v>
      </c>
      <c r="B318" s="211" t="str">
        <f>IFERROR(__xludf.DUMMYFUNCTION("""COMPUTED_VALUE"""),"29 Apr 2025")</f>
        <v>29 Apr 2025</v>
      </c>
      <c r="C318" s="211" t="str">
        <f>IFERROR(__xludf.DUMMYFUNCTION("""COMPUTED_VALUE"""),"PT GEMILANG CIPTA WAWASAN")</f>
        <v>PT GEMILANG CIPTA WAWASAN</v>
      </c>
      <c r="D318" s="211" t="str">
        <f>IFERROR(__xludf.DUMMYFUNCTION("""COMPUTED_VALUE"""),"Oksigen 6m3")</f>
        <v>Oksigen 6m3</v>
      </c>
      <c r="E318" s="211" t="str">
        <f>IFERROR(__xludf.DUMMYFUNCTION("""COMPUTED_VALUE"""),"15")</f>
        <v>15</v>
      </c>
      <c r="F318" s="211" t="str">
        <f>IFERROR(__xludf.DUMMYFUNCTION("""COMPUTED_VALUE"""),"999000")</f>
        <v>999000</v>
      </c>
      <c r="G318" s="211"/>
      <c r="H318" s="211"/>
      <c r="I318" s="211">
        <f>IFERROR(__xludf.DUMMYFUNCTION("""COMPUTED_VALUE"""),999000.0)</f>
        <v>999000</v>
      </c>
      <c r="J318" s="211" t="str">
        <f>IFERROR(__xludf.DUMMYFUNCTION("""COMPUTED_VALUE"""),"Ya")</f>
        <v>Ya</v>
      </c>
      <c r="L318" s="211"/>
      <c r="M318" s="211"/>
      <c r="N318" s="211" t="str">
        <f>IFERROR(__xludf.DUMMYFUNCTION("""COMPUTED_VALUE"""),"")</f>
        <v/>
      </c>
      <c r="O318" s="211" t="str">
        <f>IFERROR(__xludf.DUMMYFUNCTION("""COMPUTED_VALUE"""),"")</f>
        <v/>
      </c>
      <c r="P318" s="224" t="str">
        <f>IFERROR(__xludf.DUMMYFUNCTION("""COMPUTED_VALUE""")," ")</f>
        <v/>
      </c>
      <c r="Q318" s="225" t="str">
        <f>IFERROR(__xludf.DUMMYFUNCTION("""COMPUTED_VALUE"""),"")</f>
        <v/>
      </c>
      <c r="R318" s="211" t="str">
        <f>IFERROR(__xludf.DUMMYFUNCTION("""COMPUTED_VALUE"""),"")</f>
        <v/>
      </c>
      <c r="S318" s="211"/>
      <c r="T318" s="211"/>
      <c r="U318" s="211"/>
    </row>
    <row r="319">
      <c r="A319" s="222" t="str">
        <f>IFERROR(__xludf.DUMMYFUNCTION("""COMPUTED_VALUE"""),"05250397")</f>
        <v>05250397</v>
      </c>
      <c r="B319" s="211" t="str">
        <f>IFERROR(__xludf.DUMMYFUNCTION("""COMPUTED_VALUE"""),"02 May 2025")</f>
        <v>02 May 2025</v>
      </c>
      <c r="C319" s="211" t="str">
        <f>IFERROR(__xludf.DUMMYFUNCTION("""COMPUTED_VALUE"""),"GYF")</f>
        <v>GYF</v>
      </c>
      <c r="D319" s="211" t="str">
        <f>IFERROR(__xludf.DUMMYFUNCTION("""COMPUTED_VALUE"""),"Oksigen 6m3")</f>
        <v>Oksigen 6m3</v>
      </c>
      <c r="E319" s="211" t="str">
        <f>IFERROR(__xludf.DUMMYFUNCTION("""COMPUTED_VALUE"""),"15")</f>
        <v>15</v>
      </c>
      <c r="F319" s="211" t="str">
        <f>IFERROR(__xludf.DUMMYFUNCTION("""COMPUTED_VALUE"""),"675000")</f>
        <v>675000</v>
      </c>
      <c r="G319" s="211"/>
      <c r="H319" s="211"/>
      <c r="I319" s="211">
        <f>IFERROR(__xludf.DUMMYFUNCTION("""COMPUTED_VALUE"""),675000.0)</f>
        <v>675000</v>
      </c>
      <c r="J319" s="211" t="str">
        <f>IFERROR(__xludf.DUMMYFUNCTION("""COMPUTED_VALUE"""),"Ya")</f>
        <v>Ya</v>
      </c>
      <c r="L319" s="211"/>
      <c r="M319" s="211"/>
      <c r="N319" s="211" t="str">
        <f>IFERROR(__xludf.DUMMYFUNCTION("""COMPUTED_VALUE"""),"")</f>
        <v/>
      </c>
      <c r="O319" s="211" t="str">
        <f>IFERROR(__xludf.DUMMYFUNCTION("""COMPUTED_VALUE"""),"")</f>
        <v/>
      </c>
      <c r="P319" s="224" t="str">
        <f>IFERROR(__xludf.DUMMYFUNCTION("""COMPUTED_VALUE""")," ")</f>
        <v/>
      </c>
      <c r="Q319" s="225" t="str">
        <f>IFERROR(__xludf.DUMMYFUNCTION("""COMPUTED_VALUE"""),"")</f>
        <v/>
      </c>
      <c r="R319" s="211" t="str">
        <f>IFERROR(__xludf.DUMMYFUNCTION("""COMPUTED_VALUE"""),"")</f>
        <v/>
      </c>
      <c r="S319" s="211"/>
      <c r="T319" s="211"/>
      <c r="U319" s="211"/>
    </row>
    <row r="320">
      <c r="A320" s="222" t="str">
        <f>IFERROR(__xludf.DUMMYFUNCTION("""COMPUTED_VALUE"""),"05250398")</f>
        <v>05250398</v>
      </c>
      <c r="B320" s="211" t="str">
        <f>IFERROR(__xludf.DUMMYFUNCTION("""COMPUTED_VALUE"""),"05 May 2025")</f>
        <v>05 May 2025</v>
      </c>
      <c r="C320" s="211" t="str">
        <f>IFERROR(__xludf.DUMMYFUNCTION("""COMPUTED_VALUE"""),"PT GEMILANG CIPTA WAWASAN")</f>
        <v>PT GEMILANG CIPTA WAWASAN</v>
      </c>
      <c r="D320" s="211" t="str">
        <f>IFERROR(__xludf.DUMMYFUNCTION("""COMPUTED_VALUE"""),"Oksigen 6m3")</f>
        <v>Oksigen 6m3</v>
      </c>
      <c r="E320" s="211" t="str">
        <f>IFERROR(__xludf.DUMMYFUNCTION("""COMPUTED_VALUE"""),"15")</f>
        <v>15</v>
      </c>
      <c r="F320" s="211" t="str">
        <f>IFERROR(__xludf.DUMMYFUNCTION("""COMPUTED_VALUE"""),"999000")</f>
        <v>999000</v>
      </c>
      <c r="G320" s="211"/>
      <c r="H320" s="211"/>
      <c r="I320" s="211">
        <f>IFERROR(__xludf.DUMMYFUNCTION("""COMPUTED_VALUE"""),999000.0)</f>
        <v>999000</v>
      </c>
      <c r="J320" s="211" t="str">
        <f>IFERROR(__xludf.DUMMYFUNCTION("""COMPUTED_VALUE"""),"Tidak")</f>
        <v>Tidak</v>
      </c>
      <c r="L320" s="211"/>
      <c r="M320" s="211"/>
      <c r="N320" s="211" t="str">
        <f>IFERROR(__xludf.DUMMYFUNCTION("""COMPUTED_VALUE"""),"")</f>
        <v/>
      </c>
      <c r="O320" s="211" t="str">
        <f>IFERROR(__xludf.DUMMYFUNCTION("""COMPUTED_VALUE"""),"")</f>
        <v/>
      </c>
      <c r="P320" s="224" t="str">
        <f>IFERROR(__xludf.DUMMYFUNCTION("""COMPUTED_VALUE""")," ")</f>
        <v/>
      </c>
      <c r="Q320" s="225" t="str">
        <f>IFERROR(__xludf.DUMMYFUNCTION("""COMPUTED_VALUE"""),"")</f>
        <v/>
      </c>
      <c r="R320" s="211" t="str">
        <f>IFERROR(__xludf.DUMMYFUNCTION("""COMPUTED_VALUE"""),"")</f>
        <v/>
      </c>
      <c r="S320" s="211"/>
      <c r="T320" s="211"/>
      <c r="U320" s="211"/>
    </row>
    <row r="321">
      <c r="A321" s="222" t="str">
        <f>IFERROR(__xludf.DUMMYFUNCTION("""COMPUTED_VALUE"""),"05250399")</f>
        <v>05250399</v>
      </c>
      <c r="B321" s="211" t="str">
        <f>IFERROR(__xludf.DUMMYFUNCTION("""COMPUTED_VALUE"""),"05 May 2025")</f>
        <v>05 May 2025</v>
      </c>
      <c r="C321" s="211" t="str">
        <f>IFERROR(__xludf.DUMMYFUNCTION("""COMPUTED_VALUE"""),"Bpk. Rokhim (Kraton)")</f>
        <v>Bpk. Rokhim (Kraton)</v>
      </c>
      <c r="D321" s="211" t="str">
        <f>IFERROR(__xludf.DUMMYFUNCTION("""COMPUTED_VALUE"""),"Oksigen 6m3")</f>
        <v>Oksigen 6m3</v>
      </c>
      <c r="E321" s="211" t="str">
        <f>IFERROR(__xludf.DUMMYFUNCTION("""COMPUTED_VALUE"""),"4")</f>
        <v>4</v>
      </c>
      <c r="F321" s="211" t="str">
        <f>IFERROR(__xludf.DUMMYFUNCTION("""COMPUTED_VALUE"""),"280000")</f>
        <v>280000</v>
      </c>
      <c r="G321" s="211"/>
      <c r="H321" s="211"/>
      <c r="I321" s="211">
        <f>IFERROR(__xludf.DUMMYFUNCTION("""COMPUTED_VALUE"""),280000.0)</f>
        <v>280000</v>
      </c>
      <c r="J321" s="211" t="str">
        <f>IFERROR(__xludf.DUMMYFUNCTION("""COMPUTED_VALUE"""),"Ya")</f>
        <v>Ya</v>
      </c>
      <c r="L321" s="211"/>
      <c r="M321" s="211"/>
      <c r="N321" s="211" t="str">
        <f>IFERROR(__xludf.DUMMYFUNCTION("""COMPUTED_VALUE"""),"")</f>
        <v/>
      </c>
      <c r="O321" s="211" t="str">
        <f>IFERROR(__xludf.DUMMYFUNCTION("""COMPUTED_VALUE"""),"")</f>
        <v/>
      </c>
      <c r="P321" s="224" t="str">
        <f>IFERROR(__xludf.DUMMYFUNCTION("""COMPUTED_VALUE""")," ")</f>
        <v/>
      </c>
      <c r="Q321" s="225" t="str">
        <f>IFERROR(__xludf.DUMMYFUNCTION("""COMPUTED_VALUE"""),"")</f>
        <v/>
      </c>
      <c r="R321" s="211" t="str">
        <f>IFERROR(__xludf.DUMMYFUNCTION("""COMPUTED_VALUE"""),"")</f>
        <v/>
      </c>
      <c r="S321" s="211"/>
      <c r="T321" s="211"/>
      <c r="U321" s="211"/>
    </row>
    <row r="322">
      <c r="A322" s="222" t="str">
        <f>IFERROR(__xludf.DUMMYFUNCTION("""COMPUTED_VALUE"""),"05250400")</f>
        <v>05250400</v>
      </c>
      <c r="B322" s="211" t="str">
        <f>IFERROR(__xludf.DUMMYFUNCTION("""COMPUTED_VALUE"""),"05 May 2025")</f>
        <v>05 May 2025</v>
      </c>
      <c r="C322" s="211" t="str">
        <f>IFERROR(__xludf.DUMMYFUNCTION("""COMPUTED_VALUE"""),"PT LONG XING LOGAM INDONESIA")</f>
        <v>PT LONG XING LOGAM INDONESIA</v>
      </c>
      <c r="D322" s="211" t="str">
        <f>IFERROR(__xludf.DUMMYFUNCTION("""COMPUTED_VALUE"""),"LPG 12kg")</f>
        <v>LPG 12kg</v>
      </c>
      <c r="E322" s="211" t="str">
        <f>IFERROR(__xludf.DUMMYFUNCTION("""COMPUTED_VALUE"""),"6")</f>
        <v>6</v>
      </c>
      <c r="F322" s="211" t="str">
        <f>IFERROR(__xludf.DUMMYFUNCTION("""COMPUTED_VALUE"""),"1200000")</f>
        <v>1200000</v>
      </c>
      <c r="G322" s="211"/>
      <c r="H322" s="211"/>
      <c r="I322" s="211">
        <f>IFERROR(__xludf.DUMMYFUNCTION("""COMPUTED_VALUE"""),1200000.0)</f>
        <v>1200000</v>
      </c>
      <c r="J322" s="211" t="str">
        <f>IFERROR(__xludf.DUMMYFUNCTION("""COMPUTED_VALUE"""),"Ya")</f>
        <v>Ya</v>
      </c>
      <c r="L322" s="211"/>
      <c r="M322" s="211"/>
      <c r="N322" s="211" t="str">
        <f>IFERROR(__xludf.DUMMYFUNCTION("""COMPUTED_VALUE"""),"")</f>
        <v/>
      </c>
      <c r="O322" s="211" t="str">
        <f>IFERROR(__xludf.DUMMYFUNCTION("""COMPUTED_VALUE"""),"")</f>
        <v/>
      </c>
      <c r="P322" s="224" t="str">
        <f>IFERROR(__xludf.DUMMYFUNCTION("""COMPUTED_VALUE""")," ")</f>
        <v/>
      </c>
      <c r="Q322" s="225" t="str">
        <f>IFERROR(__xludf.DUMMYFUNCTION("""COMPUTED_VALUE"""),"")</f>
        <v/>
      </c>
      <c r="R322" s="211" t="str">
        <f>IFERROR(__xludf.DUMMYFUNCTION("""COMPUTED_VALUE"""),"")</f>
        <v/>
      </c>
      <c r="S322" s="211"/>
      <c r="T322" s="211"/>
      <c r="U322" s="211"/>
    </row>
    <row r="323">
      <c r="A323" s="222" t="str">
        <f>IFERROR(__xludf.DUMMYFUNCTION("""COMPUTED_VALUE"""),"05250401")</f>
        <v>05250401</v>
      </c>
      <c r="B323" s="211" t="str">
        <f>IFERROR(__xludf.DUMMYFUNCTION("""COMPUTED_VALUE"""),"05 May 2025")</f>
        <v>05 May 2025</v>
      </c>
      <c r="C323" s="211" t="str">
        <f>IFERROR(__xludf.DUMMYFUNCTION("""COMPUTED_VALUE"""),"PT Dunia Berkat Marga Mulya")</f>
        <v>PT Dunia Berkat Marga Mulya</v>
      </c>
      <c r="D323" s="211" t="str">
        <f>IFERROR(__xludf.DUMMYFUNCTION("""COMPUTED_VALUE"""),"Oksigen 6m3")</f>
        <v>Oksigen 6m3</v>
      </c>
      <c r="E323" s="211" t="str">
        <f>IFERROR(__xludf.DUMMYFUNCTION("""COMPUTED_VALUE"""),"5")</f>
        <v>5</v>
      </c>
      <c r="F323" s="211" t="str">
        <f>IFERROR(__xludf.DUMMYFUNCTION("""COMPUTED_VALUE"""),"333000")</f>
        <v>333000</v>
      </c>
      <c r="G323" s="211"/>
      <c r="H323" s="211"/>
      <c r="I323" s="211">
        <f>IFERROR(__xludf.DUMMYFUNCTION("""COMPUTED_VALUE"""),333000.0)</f>
        <v>333000</v>
      </c>
      <c r="J323" s="211" t="str">
        <f>IFERROR(__xludf.DUMMYFUNCTION("""COMPUTED_VALUE"""),"Ya")</f>
        <v>Ya</v>
      </c>
      <c r="L323" s="211"/>
      <c r="M323" s="211"/>
      <c r="N323" s="211" t="str">
        <f>IFERROR(__xludf.DUMMYFUNCTION("""COMPUTED_VALUE"""),"")</f>
        <v/>
      </c>
      <c r="O323" s="211" t="str">
        <f>IFERROR(__xludf.DUMMYFUNCTION("""COMPUTED_VALUE"""),"")</f>
        <v/>
      </c>
      <c r="P323" s="224" t="str">
        <f>IFERROR(__xludf.DUMMYFUNCTION("""COMPUTED_VALUE""")," ")</f>
        <v/>
      </c>
      <c r="Q323" s="225" t="str">
        <f>IFERROR(__xludf.DUMMYFUNCTION("""COMPUTED_VALUE"""),"")</f>
        <v/>
      </c>
      <c r="R323" s="211" t="str">
        <f>IFERROR(__xludf.DUMMYFUNCTION("""COMPUTED_VALUE"""),"")</f>
        <v/>
      </c>
      <c r="S323" s="211"/>
      <c r="T323" s="211"/>
      <c r="U323" s="211"/>
    </row>
    <row r="324">
      <c r="A324" s="222" t="str">
        <f>IFERROR(__xludf.DUMMYFUNCTION("""COMPUTED_VALUE"""),"05250402")</f>
        <v>05250402</v>
      </c>
      <c r="B324" s="211" t="str">
        <f>IFERROR(__xludf.DUMMYFUNCTION("""COMPUTED_VALUE"""),"05 May 2025")</f>
        <v>05 May 2025</v>
      </c>
      <c r="C324" s="211" t="str">
        <f>IFERROR(__xludf.DUMMYFUNCTION("""COMPUTED_VALUE"""),"Bpk. Sulaiman")</f>
        <v>Bpk. Sulaiman</v>
      </c>
      <c r="D324" s="211" t="str">
        <f>IFERROR(__xludf.DUMMYFUNCTION("""COMPUTED_VALUE"""),"Oksigen 6m3")</f>
        <v>Oksigen 6m3</v>
      </c>
      <c r="E324" s="211" t="str">
        <f>IFERROR(__xludf.DUMMYFUNCTION("""COMPUTED_VALUE"""),"3")</f>
        <v>3</v>
      </c>
      <c r="F324" s="211" t="str">
        <f>IFERROR(__xludf.DUMMYFUNCTION("""COMPUTED_VALUE"""),"165000")</f>
        <v>165000</v>
      </c>
      <c r="G324" s="211"/>
      <c r="H324" s="211"/>
      <c r="I324" s="211">
        <f>IFERROR(__xludf.DUMMYFUNCTION("""COMPUTED_VALUE"""),165000.0)</f>
        <v>165000</v>
      </c>
      <c r="J324" s="211" t="str">
        <f>IFERROR(__xludf.DUMMYFUNCTION("""COMPUTED_VALUE"""),"Ya")</f>
        <v>Ya</v>
      </c>
      <c r="L324" s="211"/>
      <c r="M324" s="211"/>
      <c r="N324" s="211" t="str">
        <f>IFERROR(__xludf.DUMMYFUNCTION("""COMPUTED_VALUE"""),"")</f>
        <v/>
      </c>
      <c r="O324" s="211" t="str">
        <f>IFERROR(__xludf.DUMMYFUNCTION("""COMPUTED_VALUE"""),"")</f>
        <v/>
      </c>
      <c r="P324" s="224" t="str">
        <f>IFERROR(__xludf.DUMMYFUNCTION("""COMPUTED_VALUE""")," ")</f>
        <v/>
      </c>
      <c r="Q324" s="225" t="str">
        <f>IFERROR(__xludf.DUMMYFUNCTION("""COMPUTED_VALUE"""),"")</f>
        <v/>
      </c>
      <c r="R324" s="211" t="str">
        <f>IFERROR(__xludf.DUMMYFUNCTION("""COMPUTED_VALUE"""),"")</f>
        <v/>
      </c>
      <c r="S324" s="211"/>
      <c r="T324" s="211"/>
      <c r="U324" s="211"/>
    </row>
    <row r="325">
      <c r="A325" s="222" t="str">
        <f>IFERROR(__xludf.DUMMYFUNCTION("""COMPUTED_VALUE"""),"05250403")</f>
        <v>05250403</v>
      </c>
      <c r="B325" s="211" t="str">
        <f>IFERROR(__xludf.DUMMYFUNCTION("""COMPUTED_VALUE"""),"05 May 2025")</f>
        <v>05 May 2025</v>
      </c>
      <c r="C325" s="211" t="str">
        <f>IFERROR(__xludf.DUMMYFUNCTION("""COMPUTED_VALUE"""),"PT Jatim Abadi Perkasa Steel")</f>
        <v>PT Jatim Abadi Perkasa Steel</v>
      </c>
      <c r="D325" s="211" t="str">
        <f>IFERROR(__xludf.DUMMYFUNCTION("""COMPUTED_VALUE"""),"LPG 50kg")</f>
        <v>LPG 50kg</v>
      </c>
      <c r="E325" s="211" t="str">
        <f>IFERROR(__xludf.DUMMYFUNCTION("""COMPUTED_VALUE"""),"5")</f>
        <v>5</v>
      </c>
      <c r="F325" s="211" t="str">
        <f>IFERROR(__xludf.DUMMYFUNCTION("""COMPUTED_VALUE"""),"5050000")</f>
        <v>5050000</v>
      </c>
      <c r="G325" s="211"/>
      <c r="H325" s="211"/>
      <c r="I325" s="211">
        <f>IFERROR(__xludf.DUMMYFUNCTION("""COMPUTED_VALUE"""),5050000.0)</f>
        <v>5050000</v>
      </c>
      <c r="J325" s="211" t="str">
        <f>IFERROR(__xludf.DUMMYFUNCTION("""COMPUTED_VALUE"""),"Ya")</f>
        <v>Ya</v>
      </c>
      <c r="L325" s="211"/>
      <c r="M325" s="211"/>
      <c r="N325" s="211" t="str">
        <f>IFERROR(__xludf.DUMMYFUNCTION("""COMPUTED_VALUE"""),"")</f>
        <v/>
      </c>
      <c r="O325" s="211" t="str">
        <f>IFERROR(__xludf.DUMMYFUNCTION("""COMPUTED_VALUE"""),"")</f>
        <v/>
      </c>
      <c r="P325" s="224" t="str">
        <f>IFERROR(__xludf.DUMMYFUNCTION("""COMPUTED_VALUE""")," ")</f>
        <v/>
      </c>
      <c r="Q325" s="225" t="str">
        <f>IFERROR(__xludf.DUMMYFUNCTION("""COMPUTED_VALUE"""),"")</f>
        <v/>
      </c>
      <c r="R325" s="211" t="str">
        <f>IFERROR(__xludf.DUMMYFUNCTION("""COMPUTED_VALUE"""),"")</f>
        <v/>
      </c>
      <c r="S325" s="211"/>
      <c r="T325" s="211"/>
      <c r="U325" s="211"/>
    </row>
    <row r="326">
      <c r="A326" s="222" t="str">
        <f>IFERROR(__xludf.DUMMYFUNCTION("""COMPUTED_VALUE"""),"05250404")</f>
        <v>05250404</v>
      </c>
      <c r="B326" s="211" t="str">
        <f>IFERROR(__xludf.DUMMYFUNCTION("""COMPUTED_VALUE"""),"05 May 2025")</f>
        <v>05 May 2025</v>
      </c>
      <c r="C326" s="211" t="str">
        <f>IFERROR(__xludf.DUMMYFUNCTION("""COMPUTED_VALUE"""),"Flashtech Machinery")</f>
        <v>Flashtech Machinery</v>
      </c>
      <c r="D326" s="211" t="str">
        <f>IFERROR(__xludf.DUMMYFUNCTION("""COMPUTED_VALUE"""),"Oksigen 7m3
Argon 6m3")</f>
        <v>Oksigen 7m3
Argon 6m3</v>
      </c>
      <c r="E326" s="211" t="str">
        <f>IFERROR(__xludf.DUMMYFUNCTION("""COMPUTED_VALUE"""),"2
1")</f>
        <v>2
1</v>
      </c>
      <c r="F326" s="211" t="str">
        <f>IFERROR(__xludf.DUMMYFUNCTION("""COMPUTED_VALUE"""),"120000
195000")</f>
        <v>120000
195000</v>
      </c>
      <c r="G326" s="211"/>
      <c r="H326" s="211"/>
      <c r="I326" s="211">
        <f>IFERROR(__xludf.DUMMYFUNCTION("""COMPUTED_VALUE"""),315000.0)</f>
        <v>315000</v>
      </c>
      <c r="J326" s="211" t="str">
        <f>IFERROR(__xludf.DUMMYFUNCTION("""COMPUTED_VALUE"""),"Ya")</f>
        <v>Ya</v>
      </c>
      <c r="L326" s="211"/>
      <c r="M326" s="211"/>
      <c r="N326" s="211" t="str">
        <f>IFERROR(__xludf.DUMMYFUNCTION("""COMPUTED_VALUE"""),"")</f>
        <v/>
      </c>
      <c r="O326" s="211" t="str">
        <f>IFERROR(__xludf.DUMMYFUNCTION("""COMPUTED_VALUE"""),"")</f>
        <v/>
      </c>
      <c r="P326" s="224" t="str">
        <f>IFERROR(__xludf.DUMMYFUNCTION("""COMPUTED_VALUE""")," ")</f>
        <v/>
      </c>
      <c r="Q326" s="225" t="str">
        <f>IFERROR(__xludf.DUMMYFUNCTION("""COMPUTED_VALUE"""),"")</f>
        <v/>
      </c>
      <c r="R326" s="211" t="str">
        <f>IFERROR(__xludf.DUMMYFUNCTION("""COMPUTED_VALUE"""),"")</f>
        <v/>
      </c>
      <c r="S326" s="211"/>
      <c r="T326" s="211"/>
      <c r="U326" s="211"/>
    </row>
    <row r="327">
      <c r="A327" s="222" t="str">
        <f>IFERROR(__xludf.DUMMYFUNCTION("""COMPUTED_VALUE"""),"05250406")</f>
        <v>05250406</v>
      </c>
      <c r="B327" s="211" t="str">
        <f>IFERROR(__xludf.DUMMYFUNCTION("""COMPUTED_VALUE"""),"06 May 2025")</f>
        <v>06 May 2025</v>
      </c>
      <c r="C327" s="211" t="str">
        <f>IFERROR(__xludf.DUMMYFUNCTION("""COMPUTED_VALUE"""),"PT GEMILANG CIPTA WAWASAN")</f>
        <v>PT GEMILANG CIPTA WAWASAN</v>
      </c>
      <c r="D327" s="211" t="str">
        <f>IFERROR(__xludf.DUMMYFUNCTION("""COMPUTED_VALUE"""),"Argon 6m3
Karbondioksida")</f>
        <v>Argon 6m3
Karbondioksida</v>
      </c>
      <c r="E327" s="211" t="str">
        <f>IFERROR(__xludf.DUMMYFUNCTION("""COMPUTED_VALUE"""),"2
5")</f>
        <v>2
5</v>
      </c>
      <c r="F327" s="211" t="str">
        <f>IFERROR(__xludf.DUMMYFUNCTION("""COMPUTED_VALUE"""),"410700
926850")</f>
        <v>410700
926850</v>
      </c>
      <c r="G327" s="211"/>
      <c r="H327" s="211"/>
      <c r="I327" s="211">
        <f>IFERROR(__xludf.DUMMYFUNCTION("""COMPUTED_VALUE"""),1337550.0)</f>
        <v>1337550</v>
      </c>
      <c r="J327" s="211" t="str">
        <f>IFERROR(__xludf.DUMMYFUNCTION("""COMPUTED_VALUE"""),"Tidak")</f>
        <v>Tidak</v>
      </c>
      <c r="L327" s="211"/>
      <c r="M327" s="211"/>
      <c r="N327" s="211" t="str">
        <f>IFERROR(__xludf.DUMMYFUNCTION("""COMPUTED_VALUE"""),"")</f>
        <v/>
      </c>
      <c r="O327" s="211" t="str">
        <f>IFERROR(__xludf.DUMMYFUNCTION("""COMPUTED_VALUE"""),"")</f>
        <v/>
      </c>
      <c r="P327" s="224" t="str">
        <f>IFERROR(__xludf.DUMMYFUNCTION("""COMPUTED_VALUE""")," ")</f>
        <v/>
      </c>
      <c r="Q327" s="225" t="str">
        <f>IFERROR(__xludf.DUMMYFUNCTION("""COMPUTED_VALUE"""),"")</f>
        <v/>
      </c>
      <c r="R327" s="211" t="str">
        <f>IFERROR(__xludf.DUMMYFUNCTION("""COMPUTED_VALUE"""),"")</f>
        <v/>
      </c>
      <c r="S327" s="211"/>
      <c r="T327" s="211"/>
      <c r="U327" s="211"/>
    </row>
    <row r="328">
      <c r="A328" s="222" t="str">
        <f>IFERROR(__xludf.DUMMYFUNCTION("""COMPUTED_VALUE"""),"05250408")</f>
        <v>05250408</v>
      </c>
      <c r="B328" s="211" t="str">
        <f>IFERROR(__xludf.DUMMYFUNCTION("""COMPUTED_VALUE"""),"06 May 2025")</f>
        <v>06 May 2025</v>
      </c>
      <c r="C328" s="211" t="str">
        <f>IFERROR(__xludf.DUMMYFUNCTION("""COMPUTED_VALUE"""),"GYF")</f>
        <v>GYF</v>
      </c>
      <c r="D328" s="211" t="str">
        <f>IFERROR(__xludf.DUMMYFUNCTION("""COMPUTED_VALUE"""),"Argon 6m3")</f>
        <v>Argon 6m3</v>
      </c>
      <c r="E328" s="211" t="str">
        <f>IFERROR(__xludf.DUMMYFUNCTION("""COMPUTED_VALUE"""),"2")</f>
        <v>2</v>
      </c>
      <c r="F328" s="211" t="str">
        <f>IFERROR(__xludf.DUMMYFUNCTION("""COMPUTED_VALUE"""),"400000")</f>
        <v>400000</v>
      </c>
      <c r="G328" s="211"/>
      <c r="H328" s="211"/>
      <c r="I328" s="211">
        <f>IFERROR(__xludf.DUMMYFUNCTION("""COMPUTED_VALUE"""),400000.0)</f>
        <v>400000</v>
      </c>
      <c r="J328" s="211" t="str">
        <f>IFERROR(__xludf.DUMMYFUNCTION("""COMPUTED_VALUE"""),"Ya")</f>
        <v>Ya</v>
      </c>
      <c r="L328" s="211"/>
      <c r="M328" s="211"/>
      <c r="N328" s="211" t="str">
        <f>IFERROR(__xludf.DUMMYFUNCTION("""COMPUTED_VALUE"""),"")</f>
        <v/>
      </c>
      <c r="O328" s="211" t="str">
        <f>IFERROR(__xludf.DUMMYFUNCTION("""COMPUTED_VALUE"""),"")</f>
        <v/>
      </c>
      <c r="P328" s="224" t="str">
        <f>IFERROR(__xludf.DUMMYFUNCTION("""COMPUTED_VALUE""")," ")</f>
        <v/>
      </c>
      <c r="Q328" s="225" t="str">
        <f>IFERROR(__xludf.DUMMYFUNCTION("""COMPUTED_VALUE"""),"")</f>
        <v/>
      </c>
      <c r="R328" s="211" t="str">
        <f>IFERROR(__xludf.DUMMYFUNCTION("""COMPUTED_VALUE"""),"")</f>
        <v/>
      </c>
      <c r="S328" s="211"/>
      <c r="T328" s="211"/>
      <c r="U328" s="211"/>
    </row>
    <row r="329">
      <c r="A329" s="222" t="str">
        <f>IFERROR(__xludf.DUMMYFUNCTION("""COMPUTED_VALUE"""),"05250409")</f>
        <v>05250409</v>
      </c>
      <c r="B329" s="211" t="str">
        <f>IFERROR(__xludf.DUMMYFUNCTION("""COMPUTED_VALUE"""),"06 May 2025")</f>
        <v>06 May 2025</v>
      </c>
      <c r="C329" s="211" t="str">
        <f>IFERROR(__xludf.DUMMYFUNCTION("""COMPUTED_VALUE"""),"Dio")</f>
        <v>Dio</v>
      </c>
      <c r="D329" s="211" t="str">
        <f>IFERROR(__xludf.DUMMYFUNCTION("""COMPUTED_VALUE"""),"Oksigen 6m3")</f>
        <v>Oksigen 6m3</v>
      </c>
      <c r="E329" s="211" t="str">
        <f>IFERROR(__xludf.DUMMYFUNCTION("""COMPUTED_VALUE"""),"1")</f>
        <v>1</v>
      </c>
      <c r="F329" s="211" t="str">
        <f>IFERROR(__xludf.DUMMYFUNCTION("""COMPUTED_VALUE"""),"80000")</f>
        <v>80000</v>
      </c>
      <c r="G329" s="211"/>
      <c r="H329" s="211"/>
      <c r="I329" s="211">
        <f>IFERROR(__xludf.DUMMYFUNCTION("""COMPUTED_VALUE"""),80000.0)</f>
        <v>80000</v>
      </c>
      <c r="J329" s="211" t="str">
        <f>IFERROR(__xludf.DUMMYFUNCTION("""COMPUTED_VALUE"""),"Ya")</f>
        <v>Ya</v>
      </c>
      <c r="L329" s="211"/>
      <c r="M329" s="211"/>
      <c r="N329" s="211" t="str">
        <f>IFERROR(__xludf.DUMMYFUNCTION("""COMPUTED_VALUE"""),"")</f>
        <v/>
      </c>
      <c r="O329" s="211" t="str">
        <f>IFERROR(__xludf.DUMMYFUNCTION("""COMPUTED_VALUE"""),"")</f>
        <v/>
      </c>
      <c r="P329" s="224" t="str">
        <f>IFERROR(__xludf.DUMMYFUNCTION("""COMPUTED_VALUE""")," ")</f>
        <v/>
      </c>
      <c r="Q329" s="225" t="str">
        <f>IFERROR(__xludf.DUMMYFUNCTION("""COMPUTED_VALUE"""),"")</f>
        <v/>
      </c>
      <c r="R329" s="211" t="str">
        <f>IFERROR(__xludf.DUMMYFUNCTION("""COMPUTED_VALUE"""),"")</f>
        <v/>
      </c>
      <c r="S329" s="211"/>
      <c r="T329" s="211"/>
      <c r="U329" s="211"/>
    </row>
    <row r="330">
      <c r="A330" s="222" t="str">
        <f>IFERROR(__xludf.DUMMYFUNCTION("""COMPUTED_VALUE"""),"05250410")</f>
        <v>05250410</v>
      </c>
      <c r="B330" s="211" t="str">
        <f>IFERROR(__xludf.DUMMYFUNCTION("""COMPUTED_VALUE"""),"06 May 2025")</f>
        <v>06 May 2025</v>
      </c>
      <c r="C330" s="211" t="str">
        <f>IFERROR(__xludf.DUMMYFUNCTION("""COMPUTED_VALUE"""),"Bpk. Sukirno (Bejo)")</f>
        <v>Bpk. Sukirno (Bejo)</v>
      </c>
      <c r="D330" s="211" t="str">
        <f>IFERROR(__xludf.DUMMYFUNCTION("""COMPUTED_VALUE"""),"Oksigen 6m3")</f>
        <v>Oksigen 6m3</v>
      </c>
      <c r="E330" s="211" t="str">
        <f>IFERROR(__xludf.DUMMYFUNCTION("""COMPUTED_VALUE"""),"5")</f>
        <v>5</v>
      </c>
      <c r="F330" s="211" t="str">
        <f>IFERROR(__xludf.DUMMYFUNCTION("""COMPUTED_VALUE"""),"300000")</f>
        <v>300000</v>
      </c>
      <c r="G330" s="211"/>
      <c r="H330" s="211"/>
      <c r="I330" s="211">
        <f>IFERROR(__xludf.DUMMYFUNCTION("""COMPUTED_VALUE"""),300000.0)</f>
        <v>300000</v>
      </c>
      <c r="J330" s="211" t="str">
        <f>IFERROR(__xludf.DUMMYFUNCTION("""COMPUTED_VALUE"""),"Ya")</f>
        <v>Ya</v>
      </c>
      <c r="L330" s="211"/>
      <c r="M330" s="211"/>
      <c r="N330" s="211" t="str">
        <f>IFERROR(__xludf.DUMMYFUNCTION("""COMPUTED_VALUE"""),"")</f>
        <v/>
      </c>
      <c r="O330" s="211" t="str">
        <f>IFERROR(__xludf.DUMMYFUNCTION("""COMPUTED_VALUE"""),"")</f>
        <v/>
      </c>
      <c r="P330" s="224" t="str">
        <f>IFERROR(__xludf.DUMMYFUNCTION("""COMPUTED_VALUE""")," ")</f>
        <v/>
      </c>
      <c r="Q330" s="225" t="str">
        <f>IFERROR(__xludf.DUMMYFUNCTION("""COMPUTED_VALUE"""),"")</f>
        <v/>
      </c>
      <c r="R330" s="211" t="str">
        <f>IFERROR(__xludf.DUMMYFUNCTION("""COMPUTED_VALUE"""),"")</f>
        <v/>
      </c>
      <c r="S330" s="211"/>
      <c r="T330" s="211"/>
      <c r="U330" s="211"/>
    </row>
    <row r="331">
      <c r="A331" s="222" t="str">
        <f>IFERROR(__xludf.DUMMYFUNCTION("""COMPUTED_VALUE"""),"05250411")</f>
        <v>05250411</v>
      </c>
      <c r="B331" s="211" t="str">
        <f>IFERROR(__xludf.DUMMYFUNCTION("""COMPUTED_VALUE"""),"07 May 2025")</f>
        <v>07 May 2025</v>
      </c>
      <c r="C331" s="211" t="str">
        <f>IFERROR(__xludf.DUMMYFUNCTION("""COMPUTED_VALUE"""),"PT Hua Zong Mesindo")</f>
        <v>PT Hua Zong Mesindo</v>
      </c>
      <c r="D331" s="211" t="str">
        <f>IFERROR(__xludf.DUMMYFUNCTION("""COMPUTED_VALUE"""),"Argon 6m3
Oksigen 6m3")</f>
        <v>Argon 6m3
Oksigen 6m3</v>
      </c>
      <c r="E331" s="211" t="str">
        <f>IFERROR(__xludf.DUMMYFUNCTION("""COMPUTED_VALUE"""),"2
4")</f>
        <v>2
4</v>
      </c>
      <c r="F331" s="211" t="str">
        <f>IFERROR(__xludf.DUMMYFUNCTION("""COMPUTED_VALUE"""),"380000
240000")</f>
        <v>380000
240000</v>
      </c>
      <c r="G331" s="211"/>
      <c r="H331" s="211"/>
      <c r="I331" s="211">
        <f>IFERROR(__xludf.DUMMYFUNCTION("""COMPUTED_VALUE"""),620000.0)</f>
        <v>620000</v>
      </c>
      <c r="J331" s="211" t="str">
        <f>IFERROR(__xludf.DUMMYFUNCTION("""COMPUTED_VALUE"""),"Tidak")</f>
        <v>Tidak</v>
      </c>
      <c r="L331" s="211"/>
      <c r="M331" s="211"/>
      <c r="N331" s="211" t="str">
        <f>IFERROR(__xludf.DUMMYFUNCTION("""COMPUTED_VALUE"""),"")</f>
        <v/>
      </c>
      <c r="O331" s="211" t="str">
        <f>IFERROR(__xludf.DUMMYFUNCTION("""COMPUTED_VALUE"""),"")</f>
        <v/>
      </c>
      <c r="P331" s="224" t="str">
        <f>IFERROR(__xludf.DUMMYFUNCTION("""COMPUTED_VALUE""")," ")</f>
        <v/>
      </c>
      <c r="Q331" s="225" t="str">
        <f>IFERROR(__xludf.DUMMYFUNCTION("""COMPUTED_VALUE"""),"")</f>
        <v/>
      </c>
      <c r="R331" s="211" t="str">
        <f>IFERROR(__xludf.DUMMYFUNCTION("""COMPUTED_VALUE"""),"")</f>
        <v/>
      </c>
      <c r="S331" s="211"/>
      <c r="T331" s="211"/>
      <c r="U331" s="211"/>
    </row>
    <row r="332">
      <c r="A332" s="222" t="str">
        <f>IFERROR(__xludf.DUMMYFUNCTION("""COMPUTED_VALUE"""),"05250413")</f>
        <v>05250413</v>
      </c>
      <c r="B332" s="211" t="str">
        <f>IFERROR(__xludf.DUMMYFUNCTION("""COMPUTED_VALUE"""),"08 May 2025")</f>
        <v>08 May 2025</v>
      </c>
      <c r="C332" s="211" t="str">
        <f>IFERROR(__xludf.DUMMYFUNCTION("""COMPUTED_VALUE"""),"Bpk. Joko (Gresik)")</f>
        <v>Bpk. Joko (Gresik)</v>
      </c>
      <c r="D332" s="211" t="str">
        <f>IFERROR(__xludf.DUMMYFUNCTION("""COMPUTED_VALUE"""),"Karbondioksida MR
Valve CO2")</f>
        <v>Karbondioksida MR
Valve CO2</v>
      </c>
      <c r="E332" s="211" t="str">
        <f>IFERROR(__xludf.DUMMYFUNCTION("""COMPUTED_VALUE"""),"1
1")</f>
        <v>1
1</v>
      </c>
      <c r="F332" s="211" t="str">
        <f>IFERROR(__xludf.DUMMYFUNCTION("""COMPUTED_VALUE"""),"160000
200000")</f>
        <v>160000
200000</v>
      </c>
      <c r="G332" s="211"/>
      <c r="H332" s="211"/>
      <c r="I332" s="211">
        <f>IFERROR(__xludf.DUMMYFUNCTION("""COMPUTED_VALUE"""),360000.0)</f>
        <v>360000</v>
      </c>
      <c r="J332" s="211" t="str">
        <f>IFERROR(__xludf.DUMMYFUNCTION("""COMPUTED_VALUE"""),"Ya")</f>
        <v>Ya</v>
      </c>
      <c r="L332" s="211"/>
      <c r="M332" s="211"/>
      <c r="N332" s="211" t="str">
        <f>IFERROR(__xludf.DUMMYFUNCTION("""COMPUTED_VALUE"""),"")</f>
        <v/>
      </c>
      <c r="O332" s="211" t="str">
        <f>IFERROR(__xludf.DUMMYFUNCTION("""COMPUTED_VALUE"""),"")</f>
        <v/>
      </c>
      <c r="P332" s="224" t="str">
        <f>IFERROR(__xludf.DUMMYFUNCTION("""COMPUTED_VALUE""")," ")</f>
        <v/>
      </c>
      <c r="Q332" s="225" t="str">
        <f>IFERROR(__xludf.DUMMYFUNCTION("""COMPUTED_VALUE"""),"")</f>
        <v/>
      </c>
      <c r="R332" s="211" t="str">
        <f>IFERROR(__xludf.DUMMYFUNCTION("""COMPUTED_VALUE"""),"")</f>
        <v/>
      </c>
      <c r="S332" s="211"/>
      <c r="T332" s="211"/>
      <c r="U332" s="211"/>
    </row>
    <row r="333">
      <c r="A333" s="222" t="str">
        <f>IFERROR(__xludf.DUMMYFUNCTION("""COMPUTED_VALUE"""),"05250414")</f>
        <v>05250414</v>
      </c>
      <c r="B333" s="211" t="str">
        <f>IFERROR(__xludf.DUMMYFUNCTION("""COMPUTED_VALUE"""),"07 May 2025")</f>
        <v>07 May 2025</v>
      </c>
      <c r="C333" s="211" t="str">
        <f>IFERROR(__xludf.DUMMYFUNCTION("""COMPUTED_VALUE"""),"PT GEMILANG CIPTA WAWASAN")</f>
        <v>PT GEMILANG CIPTA WAWASAN</v>
      </c>
      <c r="D333" s="211" t="str">
        <f>IFERROR(__xludf.DUMMYFUNCTION("""COMPUTED_VALUE"""),"Argon 6m3")</f>
        <v>Argon 6m3</v>
      </c>
      <c r="E333" s="211" t="str">
        <f>IFERROR(__xludf.DUMMYFUNCTION("""COMPUTED_VALUE"""),"3")</f>
        <v>3</v>
      </c>
      <c r="F333" s="211" t="str">
        <f>IFERROR(__xludf.DUMMYFUNCTION("""COMPUTED_VALUE"""),"616050")</f>
        <v>616050</v>
      </c>
      <c r="G333" s="211"/>
      <c r="H333" s="211"/>
      <c r="I333" s="211">
        <f>IFERROR(__xludf.DUMMYFUNCTION("""COMPUTED_VALUE"""),616050.0)</f>
        <v>616050</v>
      </c>
      <c r="J333" s="211" t="str">
        <f>IFERROR(__xludf.DUMMYFUNCTION("""COMPUTED_VALUE"""),"Tidak")</f>
        <v>Tidak</v>
      </c>
      <c r="L333" s="211"/>
      <c r="M333" s="211"/>
      <c r="N333" s="211" t="str">
        <f>IFERROR(__xludf.DUMMYFUNCTION("""COMPUTED_VALUE"""),"")</f>
        <v/>
      </c>
      <c r="O333" s="211" t="str">
        <f>IFERROR(__xludf.DUMMYFUNCTION("""COMPUTED_VALUE"""),"")</f>
        <v/>
      </c>
      <c r="P333" s="224" t="str">
        <f>IFERROR(__xludf.DUMMYFUNCTION("""COMPUTED_VALUE""")," ")</f>
        <v/>
      </c>
      <c r="Q333" s="225" t="str">
        <f>IFERROR(__xludf.DUMMYFUNCTION("""COMPUTED_VALUE"""),"")</f>
        <v/>
      </c>
      <c r="R333" s="211" t="str">
        <f>IFERROR(__xludf.DUMMYFUNCTION("""COMPUTED_VALUE"""),"")</f>
        <v/>
      </c>
      <c r="S333" s="211"/>
      <c r="T333" s="211"/>
      <c r="U333" s="211"/>
    </row>
    <row r="334">
      <c r="A334" s="222" t="str">
        <f>IFERROR(__xludf.DUMMYFUNCTION("""COMPUTED_VALUE"""),"05250415")</f>
        <v>05250415</v>
      </c>
      <c r="B334" s="211" t="str">
        <f>IFERROR(__xludf.DUMMYFUNCTION("""COMPUTED_VALUE"""),"07 May 2025")</f>
        <v>07 May 2025</v>
      </c>
      <c r="C334" s="211" t="str">
        <f>IFERROR(__xludf.DUMMYFUNCTION("""COMPUTED_VALUE"""),"Bpk. Sulaiman")</f>
        <v>Bpk. Sulaiman</v>
      </c>
      <c r="D334" s="211" t="str">
        <f>IFERROR(__xludf.DUMMYFUNCTION("""COMPUTED_VALUE"""),"Oksigen 6m3 MR")</f>
        <v>Oksigen 6m3 MR</v>
      </c>
      <c r="E334" s="211" t="str">
        <f>IFERROR(__xludf.DUMMYFUNCTION("""COMPUTED_VALUE"""),"1")</f>
        <v>1</v>
      </c>
      <c r="F334" s="211" t="str">
        <f>IFERROR(__xludf.DUMMYFUNCTION("""COMPUTED_VALUE"""),"55000")</f>
        <v>55000</v>
      </c>
      <c r="G334" s="211"/>
      <c r="H334" s="211"/>
      <c r="I334" s="211">
        <f>IFERROR(__xludf.DUMMYFUNCTION("""COMPUTED_VALUE"""),55000.0)</f>
        <v>55000</v>
      </c>
      <c r="J334" s="211" t="str">
        <f>IFERROR(__xludf.DUMMYFUNCTION("""COMPUTED_VALUE"""),"Ya")</f>
        <v>Ya</v>
      </c>
      <c r="L334" s="211"/>
      <c r="M334" s="211"/>
      <c r="N334" s="211" t="str">
        <f>IFERROR(__xludf.DUMMYFUNCTION("""COMPUTED_VALUE"""),"")</f>
        <v/>
      </c>
      <c r="O334" s="211" t="str">
        <f>IFERROR(__xludf.DUMMYFUNCTION("""COMPUTED_VALUE"""),"")</f>
        <v/>
      </c>
      <c r="P334" s="224" t="str">
        <f>IFERROR(__xludf.DUMMYFUNCTION("""COMPUTED_VALUE""")," ")</f>
        <v/>
      </c>
      <c r="Q334" s="225" t="str">
        <f>IFERROR(__xludf.DUMMYFUNCTION("""COMPUTED_VALUE"""),"")</f>
        <v/>
      </c>
      <c r="R334" s="211" t="str">
        <f>IFERROR(__xludf.DUMMYFUNCTION("""COMPUTED_VALUE"""),"")</f>
        <v/>
      </c>
      <c r="S334" s="211"/>
      <c r="T334" s="211"/>
      <c r="U334" s="211"/>
    </row>
    <row r="335">
      <c r="A335" s="222" t="str">
        <f>IFERROR(__xludf.DUMMYFUNCTION("""COMPUTED_VALUE"""),"05250416")</f>
        <v>05250416</v>
      </c>
      <c r="B335" s="211" t="str">
        <f>IFERROR(__xludf.DUMMYFUNCTION("""COMPUTED_VALUE"""),"07 May 2025")</f>
        <v>07 May 2025</v>
      </c>
      <c r="C335" s="211" t="str">
        <f>IFERROR(__xludf.DUMMYFUNCTION("""COMPUTED_VALUE"""),"Bpk. Samsul (Jetis)")</f>
        <v>Bpk. Samsul (Jetis)</v>
      </c>
      <c r="D335" s="211" t="str">
        <f>IFERROR(__xludf.DUMMYFUNCTION("""COMPUTED_VALUE"""),"Oksigen 7m3")</f>
        <v>Oksigen 7m3</v>
      </c>
      <c r="E335" s="211" t="str">
        <f>IFERROR(__xludf.DUMMYFUNCTION("""COMPUTED_VALUE"""),"2")</f>
        <v>2</v>
      </c>
      <c r="F335" s="211" t="str">
        <f>IFERROR(__xludf.DUMMYFUNCTION("""COMPUTED_VALUE"""),"150000")</f>
        <v>150000</v>
      </c>
      <c r="G335" s="211"/>
      <c r="H335" s="211"/>
      <c r="I335" s="211">
        <f>IFERROR(__xludf.DUMMYFUNCTION("""COMPUTED_VALUE"""),150000.0)</f>
        <v>150000</v>
      </c>
      <c r="J335" s="211" t="str">
        <f>IFERROR(__xludf.DUMMYFUNCTION("""COMPUTED_VALUE"""),"Ya")</f>
        <v>Ya</v>
      </c>
      <c r="L335" s="211"/>
      <c r="M335" s="211"/>
      <c r="N335" s="211" t="str">
        <f>IFERROR(__xludf.DUMMYFUNCTION("""COMPUTED_VALUE"""),"")</f>
        <v/>
      </c>
      <c r="O335" s="211" t="str">
        <f>IFERROR(__xludf.DUMMYFUNCTION("""COMPUTED_VALUE"""),"")</f>
        <v/>
      </c>
      <c r="P335" s="224" t="str">
        <f>IFERROR(__xludf.DUMMYFUNCTION("""COMPUTED_VALUE""")," ")</f>
        <v/>
      </c>
      <c r="Q335" s="225" t="str">
        <f>IFERROR(__xludf.DUMMYFUNCTION("""COMPUTED_VALUE"""),"")</f>
        <v/>
      </c>
      <c r="R335" s="211" t="str">
        <f>IFERROR(__xludf.DUMMYFUNCTION("""COMPUTED_VALUE"""),"")</f>
        <v/>
      </c>
      <c r="S335" s="211"/>
      <c r="T335" s="211"/>
      <c r="U335" s="211"/>
    </row>
    <row r="336">
      <c r="A336" s="222" t="str">
        <f>IFERROR(__xludf.DUMMYFUNCTION("""COMPUTED_VALUE"""),"05250418")</f>
        <v>05250418</v>
      </c>
      <c r="B336" s="211" t="str">
        <f>IFERROR(__xludf.DUMMYFUNCTION("""COMPUTED_VALUE"""),"09 May 2025")</f>
        <v>09 May 2025</v>
      </c>
      <c r="C336" s="211" t="str">
        <f>IFERROR(__xludf.DUMMYFUNCTION("""COMPUTED_VALUE"""),"Bengkel Dian Jaya")</f>
        <v>Bengkel Dian Jaya</v>
      </c>
      <c r="D336" s="211" t="str">
        <f>IFERROR(__xludf.DUMMYFUNCTION("""COMPUTED_VALUE"""),"Oksigen 6m3
LPG 12kg")</f>
        <v>Oksigen 6m3
LPG 12kg</v>
      </c>
      <c r="E336" s="211" t="str">
        <f>IFERROR(__xludf.DUMMYFUNCTION("""COMPUTED_VALUE"""),"5
2")</f>
        <v>5
2</v>
      </c>
      <c r="F336" s="211" t="str">
        <f>IFERROR(__xludf.DUMMYFUNCTION("""COMPUTED_VALUE"""),"250000
430000")</f>
        <v>250000
430000</v>
      </c>
      <c r="G336" s="211"/>
      <c r="H336" s="211"/>
      <c r="I336" s="211">
        <f>IFERROR(__xludf.DUMMYFUNCTION("""COMPUTED_VALUE"""),680000.0)</f>
        <v>680000</v>
      </c>
      <c r="J336" s="211" t="str">
        <f>IFERROR(__xludf.DUMMYFUNCTION("""COMPUTED_VALUE"""),"Ya")</f>
        <v>Ya</v>
      </c>
      <c r="L336" s="211"/>
      <c r="M336" s="211"/>
      <c r="N336" s="211" t="str">
        <f>IFERROR(__xludf.DUMMYFUNCTION("""COMPUTED_VALUE"""),"")</f>
        <v/>
      </c>
      <c r="O336" s="211" t="str">
        <f>IFERROR(__xludf.DUMMYFUNCTION("""COMPUTED_VALUE"""),"")</f>
        <v/>
      </c>
      <c r="P336" s="224" t="str">
        <f>IFERROR(__xludf.DUMMYFUNCTION("""COMPUTED_VALUE""")," ")</f>
        <v/>
      </c>
      <c r="Q336" s="225" t="str">
        <f>IFERROR(__xludf.DUMMYFUNCTION("""COMPUTED_VALUE"""),"")</f>
        <v/>
      </c>
      <c r="R336" s="211" t="str">
        <f>IFERROR(__xludf.DUMMYFUNCTION("""COMPUTED_VALUE"""),"")</f>
        <v/>
      </c>
      <c r="S336" s="211"/>
      <c r="T336" s="211"/>
      <c r="U336" s="211"/>
    </row>
    <row r="337">
      <c r="A337" s="222" t="str">
        <f>IFERROR(__xludf.DUMMYFUNCTION("""COMPUTED_VALUE"""),"05250420")</f>
        <v>05250420</v>
      </c>
      <c r="B337" s="211" t="str">
        <f>IFERROR(__xludf.DUMMYFUNCTION("""COMPUTED_VALUE"""),"09 May 2025")</f>
        <v>09 May 2025</v>
      </c>
      <c r="C337" s="211" t="str">
        <f>IFERROR(__xludf.DUMMYFUNCTION("""COMPUTED_VALUE"""),"Bpk. Sukirno (Bejo)")</f>
        <v>Bpk. Sukirno (Bejo)</v>
      </c>
      <c r="D337" s="211" t="str">
        <f>IFERROR(__xludf.DUMMYFUNCTION("""COMPUTED_VALUE"""),"Oksigen 6m3
LPG 50kg")</f>
        <v>Oksigen 6m3
LPG 50kg</v>
      </c>
      <c r="E337" s="211" t="str">
        <f>IFERROR(__xludf.DUMMYFUNCTION("""COMPUTED_VALUE"""),"10
1")</f>
        <v>10
1</v>
      </c>
      <c r="F337" s="211" t="str">
        <f>IFERROR(__xludf.DUMMYFUNCTION("""COMPUTED_VALUE"""),"600000
950000")</f>
        <v>600000
950000</v>
      </c>
      <c r="G337" s="211"/>
      <c r="H337" s="211"/>
      <c r="I337" s="211">
        <f>IFERROR(__xludf.DUMMYFUNCTION("""COMPUTED_VALUE"""),1550000.0)</f>
        <v>1550000</v>
      </c>
      <c r="J337" s="211" t="str">
        <f>IFERROR(__xludf.DUMMYFUNCTION("""COMPUTED_VALUE"""),"Ya")</f>
        <v>Ya</v>
      </c>
      <c r="L337" s="211"/>
      <c r="M337" s="211"/>
      <c r="N337" s="211" t="str">
        <f>IFERROR(__xludf.DUMMYFUNCTION("""COMPUTED_VALUE"""),"")</f>
        <v/>
      </c>
      <c r="O337" s="211" t="str">
        <f>IFERROR(__xludf.DUMMYFUNCTION("""COMPUTED_VALUE"""),"")</f>
        <v/>
      </c>
      <c r="P337" s="224" t="str">
        <f>IFERROR(__xludf.DUMMYFUNCTION("""COMPUTED_VALUE""")," ")</f>
        <v/>
      </c>
      <c r="Q337" s="225" t="str">
        <f>IFERROR(__xludf.DUMMYFUNCTION("""COMPUTED_VALUE"""),"")</f>
        <v/>
      </c>
      <c r="R337" s="211" t="str">
        <f>IFERROR(__xludf.DUMMYFUNCTION("""COMPUTED_VALUE"""),"")</f>
        <v/>
      </c>
      <c r="S337" s="211"/>
      <c r="T337" s="211"/>
      <c r="U337" s="211"/>
    </row>
    <row r="338">
      <c r="A338" s="222" t="str">
        <f>IFERROR(__xludf.DUMMYFUNCTION("""COMPUTED_VALUE"""),"05250422")</f>
        <v>05250422</v>
      </c>
      <c r="B338" s="211" t="str">
        <f>IFERROR(__xludf.DUMMYFUNCTION("""COMPUTED_VALUE"""),"13 May 2025")</f>
        <v>13 May 2025</v>
      </c>
      <c r="C338" s="211" t="str">
        <f>IFERROR(__xludf.DUMMYFUNCTION("""COMPUTED_VALUE"""),"Bpk. Sulaiman")</f>
        <v>Bpk. Sulaiman</v>
      </c>
      <c r="D338" s="211" t="str">
        <f>IFERROR(__xludf.DUMMYFUNCTION("""COMPUTED_VALUE"""),"Oksigen 6m3")</f>
        <v>Oksigen 6m3</v>
      </c>
      <c r="E338" s="211" t="str">
        <f>IFERROR(__xludf.DUMMYFUNCTION("""COMPUTED_VALUE"""),"5")</f>
        <v>5</v>
      </c>
      <c r="F338" s="211" t="str">
        <f>IFERROR(__xludf.DUMMYFUNCTION("""COMPUTED_VALUE"""),"275000")</f>
        <v>275000</v>
      </c>
      <c r="G338" s="211"/>
      <c r="H338" s="211"/>
      <c r="I338" s="211">
        <f>IFERROR(__xludf.DUMMYFUNCTION("""COMPUTED_VALUE"""),275000.0)</f>
        <v>275000</v>
      </c>
      <c r="J338" s="211" t="str">
        <f>IFERROR(__xludf.DUMMYFUNCTION("""COMPUTED_VALUE"""),"Ya")</f>
        <v>Ya</v>
      </c>
      <c r="L338" s="211"/>
      <c r="M338" s="211"/>
      <c r="N338" s="211" t="str">
        <f>IFERROR(__xludf.DUMMYFUNCTION("""COMPUTED_VALUE"""),"")</f>
        <v/>
      </c>
      <c r="O338" s="211" t="str">
        <f>IFERROR(__xludf.DUMMYFUNCTION("""COMPUTED_VALUE"""),"")</f>
        <v/>
      </c>
      <c r="P338" s="224" t="str">
        <f>IFERROR(__xludf.DUMMYFUNCTION("""COMPUTED_VALUE""")," ")</f>
        <v/>
      </c>
      <c r="Q338" s="225" t="str">
        <f>IFERROR(__xludf.DUMMYFUNCTION("""COMPUTED_VALUE"""),"")</f>
        <v/>
      </c>
      <c r="R338" s="211" t="str">
        <f>IFERROR(__xludf.DUMMYFUNCTION("""COMPUTED_VALUE"""),"")</f>
        <v/>
      </c>
      <c r="S338" s="211"/>
      <c r="T338" s="211"/>
      <c r="U338" s="211"/>
    </row>
    <row r="339">
      <c r="A339" s="222" t="str">
        <f>IFERROR(__xludf.DUMMYFUNCTION("""COMPUTED_VALUE"""),"05250423")</f>
        <v>05250423</v>
      </c>
      <c r="B339" s="211" t="str">
        <f>IFERROR(__xludf.DUMMYFUNCTION("""COMPUTED_VALUE"""),"13 May 2025")</f>
        <v>13 May 2025</v>
      </c>
      <c r="C339" s="211" t="str">
        <f>IFERROR(__xludf.DUMMYFUNCTION("""COMPUTED_VALUE"""),"PT Jatim Abadi Perkasa Steel")</f>
        <v>PT Jatim Abadi Perkasa Steel</v>
      </c>
      <c r="D339" s="211" t="str">
        <f>IFERROR(__xludf.DUMMYFUNCTION("""COMPUTED_VALUE"""),"LPG 50kg")</f>
        <v>LPG 50kg</v>
      </c>
      <c r="E339" s="211" t="str">
        <f>IFERROR(__xludf.DUMMYFUNCTION("""COMPUTED_VALUE"""),"5")</f>
        <v>5</v>
      </c>
      <c r="F339" s="211" t="str">
        <f>IFERROR(__xludf.DUMMYFUNCTION("""COMPUTED_VALUE"""),"5050000")</f>
        <v>5050000</v>
      </c>
      <c r="G339" s="211"/>
      <c r="H339" s="211"/>
      <c r="I339" s="211">
        <f>IFERROR(__xludf.DUMMYFUNCTION("""COMPUTED_VALUE"""),5050000.0)</f>
        <v>5050000</v>
      </c>
      <c r="J339" s="211" t="str">
        <f>IFERROR(__xludf.DUMMYFUNCTION("""COMPUTED_VALUE"""),"Ya")</f>
        <v>Ya</v>
      </c>
      <c r="L339" s="211"/>
      <c r="M339" s="211"/>
      <c r="N339" s="211" t="str">
        <f>IFERROR(__xludf.DUMMYFUNCTION("""COMPUTED_VALUE"""),"")</f>
        <v/>
      </c>
      <c r="O339" s="211" t="str">
        <f>IFERROR(__xludf.DUMMYFUNCTION("""COMPUTED_VALUE"""),"")</f>
        <v/>
      </c>
      <c r="P339" s="224" t="str">
        <f>IFERROR(__xludf.DUMMYFUNCTION("""COMPUTED_VALUE""")," ")</f>
        <v/>
      </c>
      <c r="Q339" s="225" t="str">
        <f>IFERROR(__xludf.DUMMYFUNCTION("""COMPUTED_VALUE"""),"")</f>
        <v/>
      </c>
      <c r="R339" s="211" t="str">
        <f>IFERROR(__xludf.DUMMYFUNCTION("""COMPUTED_VALUE"""),"")</f>
        <v/>
      </c>
      <c r="S339" s="211"/>
      <c r="T339" s="211"/>
      <c r="U339" s="211"/>
    </row>
    <row r="340">
      <c r="A340" s="222" t="str">
        <f>IFERROR(__xludf.DUMMYFUNCTION("""COMPUTED_VALUE"""),"05250424")</f>
        <v>05250424</v>
      </c>
      <c r="B340" s="211" t="str">
        <f>IFERROR(__xludf.DUMMYFUNCTION("""COMPUTED_VALUE"""),"13 May 2025")</f>
        <v>13 May 2025</v>
      </c>
      <c r="C340" s="211" t="str">
        <f>IFERROR(__xludf.DUMMYFUNCTION("""COMPUTED_VALUE"""),"Bengkel Las Bpk. Ari")</f>
        <v>Bengkel Las Bpk. Ari</v>
      </c>
      <c r="D340" s="211" t="str">
        <f>IFERROR(__xludf.DUMMYFUNCTION("""COMPUTED_VALUE"""),"Oksigen 6m3")</f>
        <v>Oksigen 6m3</v>
      </c>
      <c r="E340" s="211" t="str">
        <f>IFERROR(__xludf.DUMMYFUNCTION("""COMPUTED_VALUE"""),"3")</f>
        <v>3</v>
      </c>
      <c r="F340" s="211" t="str">
        <f>IFERROR(__xludf.DUMMYFUNCTION("""COMPUTED_VALUE"""),"180000")</f>
        <v>180000</v>
      </c>
      <c r="G340" s="211"/>
      <c r="H340" s="211"/>
      <c r="I340" s="211">
        <f>IFERROR(__xludf.DUMMYFUNCTION("""COMPUTED_VALUE"""),180000.0)</f>
        <v>180000</v>
      </c>
      <c r="J340" s="211"/>
      <c r="L340" s="211"/>
      <c r="M340" s="211"/>
      <c r="N340" s="211" t="str">
        <f>IFERROR(__xludf.DUMMYFUNCTION("""COMPUTED_VALUE"""),"")</f>
        <v/>
      </c>
      <c r="O340" s="211" t="str">
        <f>IFERROR(__xludf.DUMMYFUNCTION("""COMPUTED_VALUE"""),"")</f>
        <v/>
      </c>
      <c r="P340" s="224" t="str">
        <f>IFERROR(__xludf.DUMMYFUNCTION("""COMPUTED_VALUE""")," ")</f>
        <v/>
      </c>
      <c r="Q340" s="225" t="str">
        <f>IFERROR(__xludf.DUMMYFUNCTION("""COMPUTED_VALUE"""),"")</f>
        <v/>
      </c>
      <c r="R340" s="211" t="str">
        <f>IFERROR(__xludf.DUMMYFUNCTION("""COMPUTED_VALUE"""),"")</f>
        <v/>
      </c>
      <c r="S340" s="211"/>
      <c r="T340" s="211"/>
      <c r="U340" s="211"/>
    </row>
    <row r="341">
      <c r="A341" s="222" t="str">
        <f>IFERROR(__xludf.DUMMYFUNCTION("""COMPUTED_VALUE"""),"05250425")</f>
        <v>05250425</v>
      </c>
      <c r="B341" s="211" t="str">
        <f>IFERROR(__xludf.DUMMYFUNCTION("""COMPUTED_VALUE"""),"13 May 2025")</f>
        <v>13 May 2025</v>
      </c>
      <c r="C341" s="211" t="str">
        <f>IFERROR(__xludf.DUMMYFUNCTION("""COMPUTED_VALUE"""),"GYF")</f>
        <v>GYF</v>
      </c>
      <c r="D341" s="211" t="str">
        <f>IFERROR(__xludf.DUMMYFUNCTION("""COMPUTED_VALUE"""),"Oksigen 6m3")</f>
        <v>Oksigen 6m3</v>
      </c>
      <c r="E341" s="211" t="str">
        <f>IFERROR(__xludf.DUMMYFUNCTION("""COMPUTED_VALUE"""),"15")</f>
        <v>15</v>
      </c>
      <c r="F341" s="211" t="str">
        <f>IFERROR(__xludf.DUMMYFUNCTION("""COMPUTED_VALUE"""),"675000")</f>
        <v>675000</v>
      </c>
      <c r="G341" s="211"/>
      <c r="H341" s="211"/>
      <c r="I341" s="211">
        <f>IFERROR(__xludf.DUMMYFUNCTION("""COMPUTED_VALUE"""),675000.0)</f>
        <v>675000</v>
      </c>
      <c r="J341" s="211"/>
      <c r="L341" s="211"/>
      <c r="M341" s="211"/>
      <c r="N341" s="211" t="str">
        <f>IFERROR(__xludf.DUMMYFUNCTION("""COMPUTED_VALUE"""),"")</f>
        <v/>
      </c>
      <c r="O341" s="211" t="str">
        <f>IFERROR(__xludf.DUMMYFUNCTION("""COMPUTED_VALUE"""),"")</f>
        <v/>
      </c>
      <c r="P341" s="224" t="str">
        <f>IFERROR(__xludf.DUMMYFUNCTION("""COMPUTED_VALUE""")," ")</f>
        <v/>
      </c>
      <c r="Q341" s="225" t="str">
        <f>IFERROR(__xludf.DUMMYFUNCTION("""COMPUTED_VALUE"""),"")</f>
        <v/>
      </c>
      <c r="R341" s="211" t="str">
        <f>IFERROR(__xludf.DUMMYFUNCTION("""COMPUTED_VALUE"""),"")</f>
        <v/>
      </c>
      <c r="S341" s="211"/>
      <c r="T341" s="211"/>
      <c r="U341" s="211"/>
    </row>
    <row r="342">
      <c r="A342" s="222" t="str">
        <f>IFERROR(__xludf.DUMMYFUNCTION("""COMPUTED_VALUE"""),"05250426")</f>
        <v>05250426</v>
      </c>
      <c r="B342" s="211" t="str">
        <f>IFERROR(__xludf.DUMMYFUNCTION("""COMPUTED_VALUE"""),"14 May 2025")</f>
        <v>14 May 2025</v>
      </c>
      <c r="C342" s="211" t="str">
        <f>IFERROR(__xludf.DUMMYFUNCTION("""COMPUTED_VALUE"""),"PT Sinar Indogreen Kencana")</f>
        <v>PT Sinar Indogreen Kencana</v>
      </c>
      <c r="D342" s="211" t="str">
        <f>IFERROR(__xludf.DUMMYFUNCTION("""COMPUTED_VALUE"""),"LPG 12kg")</f>
        <v>LPG 12kg</v>
      </c>
      <c r="E342" s="211" t="str">
        <f>IFERROR(__xludf.DUMMYFUNCTION("""COMPUTED_VALUE"""),"1")</f>
        <v>1</v>
      </c>
      <c r="F342" s="211" t="str">
        <f>IFERROR(__xludf.DUMMYFUNCTION("""COMPUTED_VALUE"""),"210001")</f>
        <v>210001</v>
      </c>
      <c r="G342" s="211"/>
      <c r="H342" s="211"/>
      <c r="I342" s="211">
        <f>IFERROR(__xludf.DUMMYFUNCTION("""COMPUTED_VALUE"""),210001.0)</f>
        <v>210001</v>
      </c>
      <c r="J342" s="211" t="str">
        <f>IFERROR(__xludf.DUMMYFUNCTION("""COMPUTED_VALUE"""),"Ya")</f>
        <v>Ya</v>
      </c>
      <c r="L342" s="211"/>
      <c r="M342" s="211"/>
      <c r="N342" s="211" t="str">
        <f>IFERROR(__xludf.DUMMYFUNCTION("""COMPUTED_VALUE"""),"")</f>
        <v/>
      </c>
      <c r="O342" s="211" t="str">
        <f>IFERROR(__xludf.DUMMYFUNCTION("""COMPUTED_VALUE"""),"")</f>
        <v/>
      </c>
      <c r="P342" s="224" t="str">
        <f>IFERROR(__xludf.DUMMYFUNCTION("""COMPUTED_VALUE""")," ")</f>
        <v/>
      </c>
      <c r="Q342" s="225" t="str">
        <f>IFERROR(__xludf.DUMMYFUNCTION("""COMPUTED_VALUE"""),"")</f>
        <v/>
      </c>
      <c r="R342" s="211" t="str">
        <f>IFERROR(__xludf.DUMMYFUNCTION("""COMPUTED_VALUE"""),"")</f>
        <v/>
      </c>
      <c r="S342" s="211"/>
      <c r="T342" s="211"/>
      <c r="U342" s="211"/>
    </row>
    <row r="343">
      <c r="A343" s="222" t="str">
        <f>IFERROR(__xludf.DUMMYFUNCTION("""COMPUTED_VALUE"""),"05250427")</f>
        <v>05250427</v>
      </c>
      <c r="B343" s="211" t="str">
        <f>IFERROR(__xludf.DUMMYFUNCTION("""COMPUTED_VALUE"""),"14 May 2025")</f>
        <v>14 May 2025</v>
      </c>
      <c r="C343" s="211" t="str">
        <f>IFERROR(__xludf.DUMMYFUNCTION("""COMPUTED_VALUE"""),"Bengkel Adi Putra")</f>
        <v>Bengkel Adi Putra</v>
      </c>
      <c r="D343" s="211" t="str">
        <f>IFERROR(__xludf.DUMMYFUNCTION("""COMPUTED_VALUE"""),"Acetyline")</f>
        <v>Acetyline</v>
      </c>
      <c r="E343" s="211" t="str">
        <f>IFERROR(__xludf.DUMMYFUNCTION("""COMPUTED_VALUE"""),"1")</f>
        <v>1</v>
      </c>
      <c r="F343" s="211" t="str">
        <f>IFERROR(__xludf.DUMMYFUNCTION("""COMPUTED_VALUE"""),"400000")</f>
        <v>400000</v>
      </c>
      <c r="G343" s="211"/>
      <c r="H343" s="211"/>
      <c r="I343" s="211">
        <f>IFERROR(__xludf.DUMMYFUNCTION("""COMPUTED_VALUE"""),400000.0)</f>
        <v>400000</v>
      </c>
      <c r="J343" s="211" t="str">
        <f>IFERROR(__xludf.DUMMYFUNCTION("""COMPUTED_VALUE"""),"Ya")</f>
        <v>Ya</v>
      </c>
      <c r="L343" s="211"/>
      <c r="M343" s="211"/>
      <c r="N343" s="211" t="str">
        <f>IFERROR(__xludf.DUMMYFUNCTION("""COMPUTED_VALUE"""),"")</f>
        <v/>
      </c>
      <c r="O343" s="211" t="str">
        <f>IFERROR(__xludf.DUMMYFUNCTION("""COMPUTED_VALUE"""),"")</f>
        <v/>
      </c>
      <c r="P343" s="224" t="str">
        <f>IFERROR(__xludf.DUMMYFUNCTION("""COMPUTED_VALUE""")," ")</f>
        <v/>
      </c>
      <c r="Q343" s="225" t="str">
        <f>IFERROR(__xludf.DUMMYFUNCTION("""COMPUTED_VALUE"""),"")</f>
        <v/>
      </c>
      <c r="R343" s="211" t="str">
        <f>IFERROR(__xludf.DUMMYFUNCTION("""COMPUTED_VALUE"""),"")</f>
        <v/>
      </c>
      <c r="S343" s="211"/>
      <c r="T343" s="211"/>
      <c r="U343" s="211"/>
    </row>
    <row r="344">
      <c r="A344" s="222" t="str">
        <f>IFERROR(__xludf.DUMMYFUNCTION("""COMPUTED_VALUE"""),"05250428")</f>
        <v>05250428</v>
      </c>
      <c r="B344" s="211" t="str">
        <f>IFERROR(__xludf.DUMMYFUNCTION("""COMPUTED_VALUE"""),"15 May 2025")</f>
        <v>15 May 2025</v>
      </c>
      <c r="C344" s="211" t="str">
        <f>IFERROR(__xludf.DUMMYFUNCTION("""COMPUTED_VALUE"""),"PT ARYANA CAKASANA")</f>
        <v>PT ARYANA CAKASANA</v>
      </c>
      <c r="D344" s="211" t="str">
        <f>IFERROR(__xludf.DUMMYFUNCTION("""COMPUTED_VALUE"""),"Oksigen 6m3")</f>
        <v>Oksigen 6m3</v>
      </c>
      <c r="E344" s="211" t="str">
        <f>IFERROR(__xludf.DUMMYFUNCTION("""COMPUTED_VALUE"""),"10")</f>
        <v>10</v>
      </c>
      <c r="F344" s="211" t="str">
        <f>IFERROR(__xludf.DUMMYFUNCTION("""COMPUTED_VALUE"""),"525001")</f>
        <v>525001</v>
      </c>
      <c r="G344" s="211"/>
      <c r="H344" s="211"/>
      <c r="I344" s="211">
        <f>IFERROR(__xludf.DUMMYFUNCTION("""COMPUTED_VALUE"""),525001.0)</f>
        <v>525001</v>
      </c>
      <c r="J344" s="211" t="str">
        <f>IFERROR(__xludf.DUMMYFUNCTION("""COMPUTED_VALUE"""),"Tidak")</f>
        <v>Tidak</v>
      </c>
      <c r="L344" s="211"/>
      <c r="M344" s="211"/>
      <c r="N344" s="211" t="str">
        <f>IFERROR(__xludf.DUMMYFUNCTION("""COMPUTED_VALUE"""),"")</f>
        <v/>
      </c>
      <c r="O344" s="211" t="str">
        <f>IFERROR(__xludf.DUMMYFUNCTION("""COMPUTED_VALUE"""),"")</f>
        <v/>
      </c>
      <c r="P344" s="224" t="str">
        <f>IFERROR(__xludf.DUMMYFUNCTION("""COMPUTED_VALUE""")," ")</f>
        <v/>
      </c>
      <c r="Q344" s="225" t="str">
        <f>IFERROR(__xludf.DUMMYFUNCTION("""COMPUTED_VALUE"""),"")</f>
        <v/>
      </c>
      <c r="R344" s="211" t="str">
        <f>IFERROR(__xludf.DUMMYFUNCTION("""COMPUTED_VALUE"""),"")</f>
        <v/>
      </c>
      <c r="S344" s="211"/>
      <c r="T344" s="211"/>
      <c r="U344" s="211"/>
    </row>
    <row r="345">
      <c r="A345" s="222" t="str">
        <f>IFERROR(__xludf.DUMMYFUNCTION("""COMPUTED_VALUE"""),"05250429")</f>
        <v>05250429</v>
      </c>
      <c r="B345" s="211" t="str">
        <f>IFERROR(__xludf.DUMMYFUNCTION("""COMPUTED_VALUE"""),"15 May 2025")</f>
        <v>15 May 2025</v>
      </c>
      <c r="C345" s="211" t="str">
        <f>IFERROR(__xludf.DUMMYFUNCTION("""COMPUTED_VALUE"""),"Bpk. Ari Budiarto")</f>
        <v>Bpk. Ari Budiarto</v>
      </c>
      <c r="D345" s="211" t="str">
        <f>IFERROR(__xludf.DUMMYFUNCTION("""COMPUTED_VALUE"""),"Argon 6m3")</f>
        <v>Argon 6m3</v>
      </c>
      <c r="E345" s="211" t="str">
        <f>IFERROR(__xludf.DUMMYFUNCTION("""COMPUTED_VALUE"""),"1")</f>
        <v>1</v>
      </c>
      <c r="F345" s="211" t="str">
        <f>IFERROR(__xludf.DUMMYFUNCTION("""COMPUTED_VALUE"""),"200000")</f>
        <v>200000</v>
      </c>
      <c r="G345" s="211"/>
      <c r="H345" s="211"/>
      <c r="I345" s="211">
        <f>IFERROR(__xludf.DUMMYFUNCTION("""COMPUTED_VALUE"""),200000.0)</f>
        <v>200000</v>
      </c>
      <c r="J345" s="211" t="str">
        <f>IFERROR(__xludf.DUMMYFUNCTION("""COMPUTED_VALUE"""),"Ya")</f>
        <v>Ya</v>
      </c>
      <c r="L345" s="211"/>
      <c r="M345" s="211"/>
      <c r="N345" s="211" t="str">
        <f>IFERROR(__xludf.DUMMYFUNCTION("""COMPUTED_VALUE"""),"")</f>
        <v/>
      </c>
      <c r="O345" s="211" t="str">
        <f>IFERROR(__xludf.DUMMYFUNCTION("""COMPUTED_VALUE"""),"")</f>
        <v/>
      </c>
      <c r="P345" s="224" t="str">
        <f>IFERROR(__xludf.DUMMYFUNCTION("""COMPUTED_VALUE""")," ")</f>
        <v/>
      </c>
      <c r="Q345" s="225" t="str">
        <f>IFERROR(__xludf.DUMMYFUNCTION("""COMPUTED_VALUE"""),"")</f>
        <v/>
      </c>
      <c r="R345" s="211" t="str">
        <f>IFERROR(__xludf.DUMMYFUNCTION("""COMPUTED_VALUE"""),"")</f>
        <v/>
      </c>
      <c r="S345" s="211"/>
      <c r="T345" s="211"/>
      <c r="U345" s="211"/>
    </row>
    <row r="346">
      <c r="A346" s="222" t="str">
        <f>IFERROR(__xludf.DUMMYFUNCTION("""COMPUTED_VALUE"""),"05250430")</f>
        <v>05250430</v>
      </c>
      <c r="B346" s="211" t="str">
        <f>IFERROR(__xludf.DUMMYFUNCTION("""COMPUTED_VALUE"""),"16 May 2025")</f>
        <v>16 May 2025</v>
      </c>
      <c r="C346" s="211" t="str">
        <f>IFERROR(__xludf.DUMMYFUNCTION("""COMPUTED_VALUE"""),"Bengkel Las Bpk. Ari")</f>
        <v>Bengkel Las Bpk. Ari</v>
      </c>
      <c r="D346" s="211" t="str">
        <f>IFERROR(__xludf.DUMMYFUNCTION("""COMPUTED_VALUE"""),"Oksigen 6m3")</f>
        <v>Oksigen 6m3</v>
      </c>
      <c r="E346" s="211" t="str">
        <f>IFERROR(__xludf.DUMMYFUNCTION("""COMPUTED_VALUE"""),"3")</f>
        <v>3</v>
      </c>
      <c r="F346" s="211" t="str">
        <f>IFERROR(__xludf.DUMMYFUNCTION("""COMPUTED_VALUE"""),"180000")</f>
        <v>180000</v>
      </c>
      <c r="G346" s="211"/>
      <c r="H346" s="211"/>
      <c r="I346" s="211">
        <f>IFERROR(__xludf.DUMMYFUNCTION("""COMPUTED_VALUE"""),180000.0)</f>
        <v>180000</v>
      </c>
      <c r="J346" s="211"/>
      <c r="L346" s="211"/>
      <c r="M346" s="211"/>
      <c r="N346" s="211" t="str">
        <f>IFERROR(__xludf.DUMMYFUNCTION("""COMPUTED_VALUE"""),"")</f>
        <v/>
      </c>
      <c r="O346" s="211" t="str">
        <f>IFERROR(__xludf.DUMMYFUNCTION("""COMPUTED_VALUE"""),"")</f>
        <v/>
      </c>
      <c r="P346" s="224" t="str">
        <f>IFERROR(__xludf.DUMMYFUNCTION("""COMPUTED_VALUE""")," ")</f>
        <v/>
      </c>
      <c r="Q346" s="225" t="str">
        <f>IFERROR(__xludf.DUMMYFUNCTION("""COMPUTED_VALUE"""),"")</f>
        <v/>
      </c>
      <c r="R346" s="211" t="str">
        <f>IFERROR(__xludf.DUMMYFUNCTION("""COMPUTED_VALUE"""),"")</f>
        <v/>
      </c>
      <c r="S346" s="211"/>
      <c r="T346" s="211"/>
      <c r="U346" s="211"/>
    </row>
    <row r="347">
      <c r="A347" s="222" t="str">
        <f>IFERROR(__xludf.DUMMYFUNCTION("""COMPUTED_VALUE"""),"05250431")</f>
        <v>05250431</v>
      </c>
      <c r="B347" s="211" t="str">
        <f>IFERROR(__xludf.DUMMYFUNCTION("""COMPUTED_VALUE"""),"16 May 2025")</f>
        <v>16 May 2025</v>
      </c>
      <c r="C347" s="211" t="str">
        <f>IFERROR(__xludf.DUMMYFUNCTION("""COMPUTED_VALUE"""),"PT Jatim Abadi Perkasa Steel")</f>
        <v>PT Jatim Abadi Perkasa Steel</v>
      </c>
      <c r="D347" s="211" t="str">
        <f>IFERROR(__xludf.DUMMYFUNCTION("""COMPUTED_VALUE"""),"LPG 50kg")</f>
        <v>LPG 50kg</v>
      </c>
      <c r="E347" s="211" t="str">
        <f>IFERROR(__xludf.DUMMYFUNCTION("""COMPUTED_VALUE"""),"6")</f>
        <v>6</v>
      </c>
      <c r="F347" s="211" t="str">
        <f>IFERROR(__xludf.DUMMYFUNCTION("""COMPUTED_VALUE"""),"6060000")</f>
        <v>6060000</v>
      </c>
      <c r="G347" s="211"/>
      <c r="H347" s="211"/>
      <c r="I347" s="211">
        <f>IFERROR(__xludf.DUMMYFUNCTION("""COMPUTED_VALUE"""),6060000.0)</f>
        <v>6060000</v>
      </c>
      <c r="J347" s="211" t="str">
        <f>IFERROR(__xludf.DUMMYFUNCTION("""COMPUTED_VALUE"""),"Ya")</f>
        <v>Ya</v>
      </c>
      <c r="L347" s="211"/>
      <c r="M347" s="211"/>
      <c r="N347" s="211" t="str">
        <f>IFERROR(__xludf.DUMMYFUNCTION("""COMPUTED_VALUE"""),"")</f>
        <v/>
      </c>
      <c r="O347" s="211" t="str">
        <f>IFERROR(__xludf.DUMMYFUNCTION("""COMPUTED_VALUE"""),"")</f>
        <v/>
      </c>
      <c r="P347" s="224" t="str">
        <f>IFERROR(__xludf.DUMMYFUNCTION("""COMPUTED_VALUE""")," ")</f>
        <v/>
      </c>
      <c r="Q347" s="225" t="str">
        <f>IFERROR(__xludf.DUMMYFUNCTION("""COMPUTED_VALUE"""),"")</f>
        <v/>
      </c>
      <c r="R347" s="211" t="str">
        <f>IFERROR(__xludf.DUMMYFUNCTION("""COMPUTED_VALUE"""),"")</f>
        <v/>
      </c>
      <c r="S347" s="211"/>
      <c r="T347" s="211"/>
      <c r="U347" s="211"/>
    </row>
    <row r="348">
      <c r="A348" s="222" t="str">
        <f>IFERROR(__xludf.DUMMYFUNCTION("""COMPUTED_VALUE"""),"05250432")</f>
        <v>05250432</v>
      </c>
      <c r="B348" s="211" t="str">
        <f>IFERROR(__xludf.DUMMYFUNCTION("""COMPUTED_VALUE"""),"16 May 2025")</f>
        <v>16 May 2025</v>
      </c>
      <c r="C348" s="211" t="str">
        <f>IFERROR(__xludf.DUMMYFUNCTION("""COMPUTED_VALUE"""),"Bpk. Sulaiman")</f>
        <v>Bpk. Sulaiman</v>
      </c>
      <c r="D348" s="211" t="str">
        <f>IFERROR(__xludf.DUMMYFUNCTION("""COMPUTED_VALUE"""),"Oksigen 6m3 MR")</f>
        <v>Oksigen 6m3 MR</v>
      </c>
      <c r="E348" s="211" t="str">
        <f>IFERROR(__xludf.DUMMYFUNCTION("""COMPUTED_VALUE"""),"1")</f>
        <v>1</v>
      </c>
      <c r="F348" s="211" t="str">
        <f>IFERROR(__xludf.DUMMYFUNCTION("""COMPUTED_VALUE"""),"55000")</f>
        <v>55000</v>
      </c>
      <c r="G348" s="211"/>
      <c r="H348" s="211"/>
      <c r="I348" s="211">
        <f>IFERROR(__xludf.DUMMYFUNCTION("""COMPUTED_VALUE"""),55000.0)</f>
        <v>55000</v>
      </c>
      <c r="J348" s="211" t="str">
        <f>IFERROR(__xludf.DUMMYFUNCTION("""COMPUTED_VALUE"""),"Ya")</f>
        <v>Ya</v>
      </c>
      <c r="L348" s="211"/>
      <c r="M348" s="211"/>
      <c r="N348" s="211" t="str">
        <f>IFERROR(__xludf.DUMMYFUNCTION("""COMPUTED_VALUE"""),"")</f>
        <v/>
      </c>
      <c r="O348" s="211" t="str">
        <f>IFERROR(__xludf.DUMMYFUNCTION("""COMPUTED_VALUE"""),"")</f>
        <v/>
      </c>
      <c r="P348" s="224" t="str">
        <f>IFERROR(__xludf.DUMMYFUNCTION("""COMPUTED_VALUE""")," ")</f>
        <v/>
      </c>
      <c r="Q348" s="225" t="str">
        <f>IFERROR(__xludf.DUMMYFUNCTION("""COMPUTED_VALUE"""),"")</f>
        <v/>
      </c>
      <c r="R348" s="211" t="str">
        <f>IFERROR(__xludf.DUMMYFUNCTION("""COMPUTED_VALUE"""),"")</f>
        <v/>
      </c>
      <c r="S348" s="211"/>
      <c r="T348" s="211"/>
      <c r="U348" s="211"/>
    </row>
    <row r="349">
      <c r="A349" s="222" t="str">
        <f>IFERROR(__xludf.DUMMYFUNCTION("""COMPUTED_VALUE"""),"05250433")</f>
        <v>05250433</v>
      </c>
      <c r="B349" s="211" t="str">
        <f>IFERROR(__xludf.DUMMYFUNCTION("""COMPUTED_VALUE"""),"16 May 2025")</f>
        <v>16 May 2025</v>
      </c>
      <c r="C349" s="211" t="str">
        <f>IFERROR(__xludf.DUMMYFUNCTION("""COMPUTED_VALUE"""),"Bpk. Alvin (LB Group)")</f>
        <v>Bpk. Alvin (LB Group)</v>
      </c>
      <c r="D349" s="211" t="str">
        <f>IFERROR(__xludf.DUMMYFUNCTION("""COMPUTED_VALUE"""),"Oksigen 7m3")</f>
        <v>Oksigen 7m3</v>
      </c>
      <c r="E349" s="211" t="str">
        <f>IFERROR(__xludf.DUMMYFUNCTION("""COMPUTED_VALUE"""),"5")</f>
        <v>5</v>
      </c>
      <c r="F349" s="211" t="str">
        <f>IFERROR(__xludf.DUMMYFUNCTION("""COMPUTED_VALUE"""),"275000")</f>
        <v>275000</v>
      </c>
      <c r="G349" s="211"/>
      <c r="H349" s="211"/>
      <c r="I349" s="211">
        <f>IFERROR(__xludf.DUMMYFUNCTION("""COMPUTED_VALUE"""),275000.0)</f>
        <v>275000</v>
      </c>
      <c r="J349" s="211" t="str">
        <f>IFERROR(__xludf.DUMMYFUNCTION("""COMPUTED_VALUE"""),"Ya")</f>
        <v>Ya</v>
      </c>
      <c r="L349" s="211"/>
      <c r="M349" s="211"/>
      <c r="N349" s="211" t="str">
        <f>IFERROR(__xludf.DUMMYFUNCTION("""COMPUTED_VALUE"""),"")</f>
        <v/>
      </c>
      <c r="O349" s="211" t="str">
        <f>IFERROR(__xludf.DUMMYFUNCTION("""COMPUTED_VALUE"""),"")</f>
        <v/>
      </c>
      <c r="P349" s="224" t="str">
        <f>IFERROR(__xludf.DUMMYFUNCTION("""COMPUTED_VALUE""")," ")</f>
        <v/>
      </c>
      <c r="Q349" s="225" t="str">
        <f>IFERROR(__xludf.DUMMYFUNCTION("""COMPUTED_VALUE"""),"")</f>
        <v/>
      </c>
      <c r="R349" s="211" t="str">
        <f>IFERROR(__xludf.DUMMYFUNCTION("""COMPUTED_VALUE"""),"")</f>
        <v/>
      </c>
      <c r="S349" s="211"/>
      <c r="T349" s="211"/>
      <c r="U349" s="211"/>
    </row>
    <row r="350">
      <c r="A350" s="222" t="str">
        <f>IFERROR(__xludf.DUMMYFUNCTION("""COMPUTED_VALUE"""),"05250434")</f>
        <v>05250434</v>
      </c>
      <c r="B350" s="211" t="str">
        <f>IFERROR(__xludf.DUMMYFUNCTION("""COMPUTED_VALUE"""),"16 May 2025")</f>
        <v>16 May 2025</v>
      </c>
      <c r="C350" s="211" t="str">
        <f>IFERROR(__xludf.DUMMYFUNCTION("""COMPUTED_VALUE"""),"PT PELANGI INDOKARYA")</f>
        <v>PT PELANGI INDOKARYA</v>
      </c>
      <c r="D350" s="211" t="str">
        <f>IFERROR(__xludf.DUMMYFUNCTION("""COMPUTED_VALUE"""),"Oksigen 6m3")</f>
        <v>Oksigen 6m3</v>
      </c>
      <c r="E350" s="211" t="str">
        <f>IFERROR(__xludf.DUMMYFUNCTION("""COMPUTED_VALUE"""),"5")</f>
        <v>5</v>
      </c>
      <c r="F350" s="211" t="str">
        <f>IFERROR(__xludf.DUMMYFUNCTION("""COMPUTED_VALUE"""),"333000")</f>
        <v>333000</v>
      </c>
      <c r="G350" s="211"/>
      <c r="H350" s="211"/>
      <c r="I350" s="211">
        <f>IFERROR(__xludf.DUMMYFUNCTION("""COMPUTED_VALUE"""),333000.0)</f>
        <v>333000</v>
      </c>
      <c r="J350" s="211" t="str">
        <f>IFERROR(__xludf.DUMMYFUNCTION("""COMPUTED_VALUE"""),"Tidak")</f>
        <v>Tidak</v>
      </c>
      <c r="L350" s="211"/>
      <c r="M350" s="211"/>
      <c r="N350" s="211" t="str">
        <f>IFERROR(__xludf.DUMMYFUNCTION("""COMPUTED_VALUE"""),"")</f>
        <v/>
      </c>
      <c r="O350" s="211" t="str">
        <f>IFERROR(__xludf.DUMMYFUNCTION("""COMPUTED_VALUE"""),"")</f>
        <v/>
      </c>
      <c r="P350" s="224" t="str">
        <f>IFERROR(__xludf.DUMMYFUNCTION("""COMPUTED_VALUE""")," ")</f>
        <v/>
      </c>
      <c r="Q350" s="225" t="str">
        <f>IFERROR(__xludf.DUMMYFUNCTION("""COMPUTED_VALUE"""),"")</f>
        <v/>
      </c>
      <c r="R350" s="211" t="str">
        <f>IFERROR(__xludf.DUMMYFUNCTION("""COMPUTED_VALUE"""),"")</f>
        <v/>
      </c>
      <c r="S350" s="211"/>
      <c r="T350" s="211"/>
      <c r="U350" s="211"/>
    </row>
    <row r="351">
      <c r="A351" s="222" t="str">
        <f>IFERROR(__xludf.DUMMYFUNCTION("""COMPUTED_VALUE"""),"05250435")</f>
        <v>05250435</v>
      </c>
      <c r="B351" s="211" t="str">
        <f>IFERROR(__xludf.DUMMYFUNCTION("""COMPUTED_VALUE"""),"19 May 2025")</f>
        <v>19 May 2025</v>
      </c>
      <c r="C351" s="211" t="str">
        <f>IFERROR(__xludf.DUMMYFUNCTION("""COMPUTED_VALUE"""),"Bpk. Kohir (Maintenance Velg)")</f>
        <v>Bpk. Kohir (Maintenance Velg)</v>
      </c>
      <c r="D351" s="211" t="str">
        <f>IFERROR(__xludf.DUMMYFUNCTION("""COMPUTED_VALUE"""),"Oksigen 6m3
Karbondioksida")</f>
        <v>Oksigen 6m3
Karbondioksida</v>
      </c>
      <c r="E351" s="211" t="str">
        <f>IFERROR(__xludf.DUMMYFUNCTION("""COMPUTED_VALUE"""),"4
2")</f>
        <v>4
2</v>
      </c>
      <c r="F351" s="211" t="str">
        <f>IFERROR(__xludf.DUMMYFUNCTION("""COMPUTED_VALUE"""),"220000
330000")</f>
        <v>220000
330000</v>
      </c>
      <c r="G351" s="211"/>
      <c r="H351" s="211"/>
      <c r="I351" s="211">
        <f>IFERROR(__xludf.DUMMYFUNCTION("""COMPUTED_VALUE"""),550000.0)</f>
        <v>550000</v>
      </c>
      <c r="J351" s="211" t="str">
        <f>IFERROR(__xludf.DUMMYFUNCTION("""COMPUTED_VALUE"""),"Ya")</f>
        <v>Ya</v>
      </c>
      <c r="L351" s="211"/>
      <c r="M351" s="211"/>
      <c r="N351" s="211" t="str">
        <f>IFERROR(__xludf.DUMMYFUNCTION("""COMPUTED_VALUE"""),"")</f>
        <v/>
      </c>
      <c r="O351" s="211" t="str">
        <f>IFERROR(__xludf.DUMMYFUNCTION("""COMPUTED_VALUE"""),"")</f>
        <v/>
      </c>
      <c r="P351" s="224" t="str">
        <f>IFERROR(__xludf.DUMMYFUNCTION("""COMPUTED_VALUE""")," ")</f>
        <v/>
      </c>
      <c r="Q351" s="225" t="str">
        <f>IFERROR(__xludf.DUMMYFUNCTION("""COMPUTED_VALUE"""),"")</f>
        <v/>
      </c>
      <c r="R351" s="211" t="str">
        <f>IFERROR(__xludf.DUMMYFUNCTION("""COMPUTED_VALUE"""),"")</f>
        <v/>
      </c>
      <c r="S351" s="211"/>
      <c r="T351" s="211"/>
      <c r="U351" s="211"/>
    </row>
    <row r="352">
      <c r="A352" s="222" t="str">
        <f>IFERROR(__xludf.DUMMYFUNCTION("""COMPUTED_VALUE"""),"05250437")</f>
        <v>05250437</v>
      </c>
      <c r="B352" s="211" t="str">
        <f>IFERROR(__xludf.DUMMYFUNCTION("""COMPUTED_VALUE"""),"19 May 2025")</f>
        <v>19 May 2025</v>
      </c>
      <c r="C352" s="211" t="str">
        <f>IFERROR(__xludf.DUMMYFUNCTION("""COMPUTED_VALUE"""),"Ibu Ida")</f>
        <v>Ibu Ida</v>
      </c>
      <c r="D352" s="211" t="str">
        <f>IFERROR(__xludf.DUMMYFUNCTION("""COMPUTED_VALUE"""),"Oksigen 6m3 MR")</f>
        <v>Oksigen 6m3 MR</v>
      </c>
      <c r="E352" s="211" t="str">
        <f>IFERROR(__xludf.DUMMYFUNCTION("""COMPUTED_VALUE"""),"6")</f>
        <v>6</v>
      </c>
      <c r="F352" s="211" t="str">
        <f>IFERROR(__xludf.DUMMYFUNCTION("""COMPUTED_VALUE"""),"300000")</f>
        <v>300000</v>
      </c>
      <c r="G352" s="211"/>
      <c r="H352" s="211"/>
      <c r="I352" s="211">
        <f>IFERROR(__xludf.DUMMYFUNCTION("""COMPUTED_VALUE"""),300000.0)</f>
        <v>300000</v>
      </c>
      <c r="J352" s="211"/>
      <c r="L352" s="211"/>
      <c r="M352" s="211"/>
      <c r="N352" s="211" t="str">
        <f>IFERROR(__xludf.DUMMYFUNCTION("""COMPUTED_VALUE"""),"")</f>
        <v/>
      </c>
      <c r="O352" s="211" t="str">
        <f>IFERROR(__xludf.DUMMYFUNCTION("""COMPUTED_VALUE"""),"")</f>
        <v/>
      </c>
      <c r="P352" s="224" t="str">
        <f>IFERROR(__xludf.DUMMYFUNCTION("""COMPUTED_VALUE""")," ")</f>
        <v/>
      </c>
      <c r="Q352" s="225" t="str">
        <f>IFERROR(__xludf.DUMMYFUNCTION("""COMPUTED_VALUE"""),"")</f>
        <v/>
      </c>
      <c r="R352" s="211" t="str">
        <f>IFERROR(__xludf.DUMMYFUNCTION("""COMPUTED_VALUE"""),"")</f>
        <v/>
      </c>
      <c r="S352" s="211"/>
      <c r="T352" s="211"/>
      <c r="U352" s="211"/>
    </row>
    <row r="353">
      <c r="A353" s="222" t="str">
        <f>IFERROR(__xludf.DUMMYFUNCTION("""COMPUTED_VALUE"""),"05250438")</f>
        <v>05250438</v>
      </c>
      <c r="B353" s="211" t="str">
        <f>IFERROR(__xludf.DUMMYFUNCTION("""COMPUTED_VALUE"""),"20 May 2025")</f>
        <v>20 May 2025</v>
      </c>
      <c r="C353" s="211" t="str">
        <f>IFERROR(__xludf.DUMMYFUNCTION("""COMPUTED_VALUE"""),"PT Sinar Indogreen Kencana")</f>
        <v>PT Sinar Indogreen Kencana</v>
      </c>
      <c r="D353" s="211" t="str">
        <f>IFERROR(__xludf.DUMMYFUNCTION("""COMPUTED_VALUE"""),"LPG 12kg")</f>
        <v>LPG 12kg</v>
      </c>
      <c r="E353" s="211" t="str">
        <f>IFERROR(__xludf.DUMMYFUNCTION("""COMPUTED_VALUE"""),"1")</f>
        <v>1</v>
      </c>
      <c r="F353" s="211" t="str">
        <f>IFERROR(__xludf.DUMMYFUNCTION("""COMPUTED_VALUE"""),"210001")</f>
        <v>210001</v>
      </c>
      <c r="G353" s="211"/>
      <c r="H353" s="211"/>
      <c r="I353" s="211">
        <f>IFERROR(__xludf.DUMMYFUNCTION("""COMPUTED_VALUE"""),210001.0)</f>
        <v>210001</v>
      </c>
      <c r="J353" s="211" t="str">
        <f>IFERROR(__xludf.DUMMYFUNCTION("""COMPUTED_VALUE"""),"Ya")</f>
        <v>Ya</v>
      </c>
      <c r="L353" s="211"/>
      <c r="M353" s="211"/>
      <c r="N353" s="211" t="str">
        <f>IFERROR(__xludf.DUMMYFUNCTION("""COMPUTED_VALUE"""),"")</f>
        <v/>
      </c>
      <c r="O353" s="211" t="str">
        <f>IFERROR(__xludf.DUMMYFUNCTION("""COMPUTED_VALUE"""),"")</f>
        <v/>
      </c>
      <c r="P353" s="224" t="str">
        <f>IFERROR(__xludf.DUMMYFUNCTION("""COMPUTED_VALUE""")," ")</f>
        <v/>
      </c>
      <c r="Q353" s="225" t="str">
        <f>IFERROR(__xludf.DUMMYFUNCTION("""COMPUTED_VALUE"""),"")</f>
        <v/>
      </c>
      <c r="R353" s="211" t="str">
        <f>IFERROR(__xludf.DUMMYFUNCTION("""COMPUTED_VALUE"""),"")</f>
        <v/>
      </c>
      <c r="S353" s="211"/>
      <c r="T353" s="211"/>
      <c r="U353" s="211"/>
    </row>
    <row r="354">
      <c r="A354" s="222" t="str">
        <f>IFERROR(__xludf.DUMMYFUNCTION("""COMPUTED_VALUE"""),"05250439")</f>
        <v>05250439</v>
      </c>
      <c r="B354" s="211" t="str">
        <f>IFERROR(__xludf.DUMMYFUNCTION("""COMPUTED_VALUE"""),"20 May 2025")</f>
        <v>20 May 2025</v>
      </c>
      <c r="C354" s="211" t="str">
        <f>IFERROR(__xludf.DUMMYFUNCTION("""COMPUTED_VALUE"""),"PT Pandu Mulia Bersama")</f>
        <v>PT Pandu Mulia Bersama</v>
      </c>
      <c r="D354" s="211" t="str">
        <f>IFERROR(__xludf.DUMMYFUNCTION("""COMPUTED_VALUE"""),"Oksigen 7m3
LPG 12kg")</f>
        <v>Oksigen 7m3
LPG 12kg</v>
      </c>
      <c r="E354" s="211" t="str">
        <f>IFERROR(__xludf.DUMMYFUNCTION("""COMPUTED_VALUE"""),"10
3")</f>
        <v>10
3</v>
      </c>
      <c r="F354" s="211" t="str">
        <f>IFERROR(__xludf.DUMMYFUNCTION("""COMPUTED_VALUE"""),"666000
666000")</f>
        <v>666000
666000</v>
      </c>
      <c r="G354" s="211"/>
      <c r="H354" s="211"/>
      <c r="I354" s="211">
        <f>IFERROR(__xludf.DUMMYFUNCTION("""COMPUTED_VALUE"""),1332000.0)</f>
        <v>1332000</v>
      </c>
      <c r="J354" s="211" t="str">
        <f>IFERROR(__xludf.DUMMYFUNCTION("""COMPUTED_VALUE"""),"Tidak")</f>
        <v>Tidak</v>
      </c>
      <c r="L354" s="211"/>
      <c r="M354" s="211"/>
      <c r="N354" s="211" t="str">
        <f>IFERROR(__xludf.DUMMYFUNCTION("""COMPUTED_VALUE"""),"")</f>
        <v/>
      </c>
      <c r="O354" s="211" t="str">
        <f>IFERROR(__xludf.DUMMYFUNCTION("""COMPUTED_VALUE"""),"")</f>
        <v/>
      </c>
      <c r="P354" s="224" t="str">
        <f>IFERROR(__xludf.DUMMYFUNCTION("""COMPUTED_VALUE""")," ")</f>
        <v/>
      </c>
      <c r="Q354" s="225" t="str">
        <f>IFERROR(__xludf.DUMMYFUNCTION("""COMPUTED_VALUE"""),"")</f>
        <v/>
      </c>
      <c r="R354" s="211" t="str">
        <f>IFERROR(__xludf.DUMMYFUNCTION("""COMPUTED_VALUE"""),"")</f>
        <v/>
      </c>
      <c r="S354" s="211"/>
      <c r="T354" s="211"/>
      <c r="U354" s="211"/>
    </row>
    <row r="355">
      <c r="A355" s="222" t="str">
        <f>IFERROR(__xludf.DUMMYFUNCTION("""COMPUTED_VALUE"""),"05250441")</f>
        <v>05250441</v>
      </c>
      <c r="B355" s="211" t="str">
        <f>IFERROR(__xludf.DUMMYFUNCTION("""COMPUTED_VALUE"""),"20 May 2025")</f>
        <v>20 May 2025</v>
      </c>
      <c r="C355" s="211" t="str">
        <f>IFERROR(__xludf.DUMMYFUNCTION("""COMPUTED_VALUE"""),"Bpk. Ibnu")</f>
        <v>Bpk. Ibnu</v>
      </c>
      <c r="D355" s="211" t="str">
        <f>IFERROR(__xludf.DUMMYFUNCTION("""COMPUTED_VALUE"""),"Oksigen 6m3")</f>
        <v>Oksigen 6m3</v>
      </c>
      <c r="E355" s="211" t="str">
        <f>IFERROR(__xludf.DUMMYFUNCTION("""COMPUTED_VALUE"""),"5")</f>
        <v>5</v>
      </c>
      <c r="F355" s="211" t="str">
        <f>IFERROR(__xludf.DUMMYFUNCTION("""COMPUTED_VALUE"""),"275000")</f>
        <v>275000</v>
      </c>
      <c r="G355" s="211"/>
      <c r="H355" s="211"/>
      <c r="I355" s="211">
        <f>IFERROR(__xludf.DUMMYFUNCTION("""COMPUTED_VALUE"""),275000.0)</f>
        <v>275000</v>
      </c>
      <c r="J355" s="211" t="str">
        <f>IFERROR(__xludf.DUMMYFUNCTION("""COMPUTED_VALUE"""),"Ya")</f>
        <v>Ya</v>
      </c>
      <c r="L355" s="211"/>
      <c r="M355" s="211"/>
      <c r="N355" s="211" t="str">
        <f>IFERROR(__xludf.DUMMYFUNCTION("""COMPUTED_VALUE"""),"")</f>
        <v/>
      </c>
      <c r="O355" s="211" t="str">
        <f>IFERROR(__xludf.DUMMYFUNCTION("""COMPUTED_VALUE"""),"")</f>
        <v/>
      </c>
      <c r="P355" s="224" t="str">
        <f>IFERROR(__xludf.DUMMYFUNCTION("""COMPUTED_VALUE""")," ")</f>
        <v/>
      </c>
      <c r="Q355" s="225" t="str">
        <f>IFERROR(__xludf.DUMMYFUNCTION("""COMPUTED_VALUE"""),"")</f>
        <v/>
      </c>
      <c r="R355" s="211" t="str">
        <f>IFERROR(__xludf.DUMMYFUNCTION("""COMPUTED_VALUE"""),"")</f>
        <v/>
      </c>
      <c r="S355" s="211"/>
      <c r="T355" s="211"/>
      <c r="U355" s="211"/>
    </row>
    <row r="356">
      <c r="A356" s="222" t="str">
        <f>IFERROR(__xludf.DUMMYFUNCTION("""COMPUTED_VALUE"""),"05250442")</f>
        <v>05250442</v>
      </c>
      <c r="B356" s="211" t="str">
        <f>IFERROR(__xludf.DUMMYFUNCTION("""COMPUTED_VALUE"""),"20 May 2025")</f>
        <v>20 May 2025</v>
      </c>
      <c r="C356" s="211" t="str">
        <f>IFERROR(__xludf.DUMMYFUNCTION("""COMPUTED_VALUE"""),"Bpk. Sulaiman")</f>
        <v>Bpk. Sulaiman</v>
      </c>
      <c r="D356" s="211" t="str">
        <f>IFERROR(__xludf.DUMMYFUNCTION("""COMPUTED_VALUE"""),"Oksigen 6m3
LPG 12kg")</f>
        <v>Oksigen 6m3
LPG 12kg</v>
      </c>
      <c r="E356" s="211" t="str">
        <f>IFERROR(__xludf.DUMMYFUNCTION("""COMPUTED_VALUE"""),"20
2")</f>
        <v>20
2</v>
      </c>
      <c r="F356" s="211" t="str">
        <f>IFERROR(__xludf.DUMMYFUNCTION("""COMPUTED_VALUE"""),"1100000
420000")</f>
        <v>1100000
420000</v>
      </c>
      <c r="G356" s="211"/>
      <c r="H356" s="211"/>
      <c r="I356" s="211">
        <f>IFERROR(__xludf.DUMMYFUNCTION("""COMPUTED_VALUE"""),1520000.0)</f>
        <v>1520000</v>
      </c>
      <c r="J356" s="211" t="str">
        <f>IFERROR(__xludf.DUMMYFUNCTION("""COMPUTED_VALUE"""),"Ya")</f>
        <v>Ya</v>
      </c>
      <c r="L356" s="211"/>
      <c r="M356" s="211"/>
      <c r="N356" s="211" t="str">
        <f>IFERROR(__xludf.DUMMYFUNCTION("""COMPUTED_VALUE"""),"")</f>
        <v/>
      </c>
      <c r="O356" s="211" t="str">
        <f>IFERROR(__xludf.DUMMYFUNCTION("""COMPUTED_VALUE"""),"")</f>
        <v/>
      </c>
      <c r="P356" s="224" t="str">
        <f>IFERROR(__xludf.DUMMYFUNCTION("""COMPUTED_VALUE""")," ")</f>
        <v/>
      </c>
      <c r="Q356" s="225" t="str">
        <f>IFERROR(__xludf.DUMMYFUNCTION("""COMPUTED_VALUE"""),"")</f>
        <v/>
      </c>
      <c r="R356" s="211" t="str">
        <f>IFERROR(__xludf.DUMMYFUNCTION("""COMPUTED_VALUE"""),"")</f>
        <v/>
      </c>
      <c r="S356" s="211"/>
      <c r="T356" s="211"/>
      <c r="U356" s="211"/>
    </row>
    <row r="357">
      <c r="A357" s="222" t="str">
        <f>IFERROR(__xludf.DUMMYFUNCTION("""COMPUTED_VALUE"""),"05250444")</f>
        <v>05250444</v>
      </c>
      <c r="B357" s="211" t="str">
        <f>IFERROR(__xludf.DUMMYFUNCTION("""COMPUTED_VALUE"""),"21 May 2025")</f>
        <v>21 May 2025</v>
      </c>
      <c r="C357" s="211" t="str">
        <f>IFERROR(__xludf.DUMMYFUNCTION("""COMPUTED_VALUE"""),"Bpk. Ari Budiarto")</f>
        <v>Bpk. Ari Budiarto</v>
      </c>
      <c r="D357" s="211" t="str">
        <f>IFERROR(__xludf.DUMMYFUNCTION("""COMPUTED_VALUE"""),"Argon 6m3")</f>
        <v>Argon 6m3</v>
      </c>
      <c r="E357" s="211" t="str">
        <f>IFERROR(__xludf.DUMMYFUNCTION("""COMPUTED_VALUE"""),"2")</f>
        <v>2</v>
      </c>
      <c r="F357" s="211" t="str">
        <f>IFERROR(__xludf.DUMMYFUNCTION("""COMPUTED_VALUE"""),"400000")</f>
        <v>400000</v>
      </c>
      <c r="G357" s="211"/>
      <c r="H357" s="211"/>
      <c r="I357" s="211">
        <f>IFERROR(__xludf.DUMMYFUNCTION("""COMPUTED_VALUE"""),400000.0)</f>
        <v>400000</v>
      </c>
      <c r="J357" s="211"/>
      <c r="L357" s="211"/>
      <c r="M357" s="211"/>
      <c r="N357" s="211" t="str">
        <f>IFERROR(__xludf.DUMMYFUNCTION("""COMPUTED_VALUE"""),"")</f>
        <v/>
      </c>
      <c r="O357" s="211" t="str">
        <f>IFERROR(__xludf.DUMMYFUNCTION("""COMPUTED_VALUE"""),"")</f>
        <v/>
      </c>
      <c r="P357" s="224" t="str">
        <f>IFERROR(__xludf.DUMMYFUNCTION("""COMPUTED_VALUE""")," ")</f>
        <v/>
      </c>
      <c r="Q357" s="225" t="str">
        <f>IFERROR(__xludf.DUMMYFUNCTION("""COMPUTED_VALUE"""),"")</f>
        <v/>
      </c>
      <c r="R357" s="211" t="str">
        <f>IFERROR(__xludf.DUMMYFUNCTION("""COMPUTED_VALUE"""),"")</f>
        <v/>
      </c>
      <c r="S357" s="211"/>
      <c r="T357" s="211"/>
      <c r="U357" s="211"/>
    </row>
    <row r="358">
      <c r="A358" s="222" t="str">
        <f>IFERROR(__xludf.DUMMYFUNCTION("""COMPUTED_VALUE"""),"05250445")</f>
        <v>05250445</v>
      </c>
      <c r="B358" s="211" t="str">
        <f>IFERROR(__xludf.DUMMYFUNCTION("""COMPUTED_VALUE"""),"21 May 2025")</f>
        <v>21 May 2025</v>
      </c>
      <c r="C358" s="211" t="str">
        <f>IFERROR(__xludf.DUMMYFUNCTION("""COMPUTED_VALUE"""),"Bpk. Alvin (LB Group)")</f>
        <v>Bpk. Alvin (LB Group)</v>
      </c>
      <c r="D358" s="211" t="str">
        <f>IFERROR(__xludf.DUMMYFUNCTION("""COMPUTED_VALUE"""),"Oksigen 7m3")</f>
        <v>Oksigen 7m3</v>
      </c>
      <c r="E358" s="211" t="str">
        <f>IFERROR(__xludf.DUMMYFUNCTION("""COMPUTED_VALUE"""),"5")</f>
        <v>5</v>
      </c>
      <c r="F358" s="211" t="str">
        <f>IFERROR(__xludf.DUMMYFUNCTION("""COMPUTED_VALUE"""),"275000")</f>
        <v>275000</v>
      </c>
      <c r="G358" s="211"/>
      <c r="H358" s="211"/>
      <c r="I358" s="211">
        <f>IFERROR(__xludf.DUMMYFUNCTION("""COMPUTED_VALUE"""),275000.0)</f>
        <v>275000</v>
      </c>
      <c r="J358" s="211"/>
      <c r="L358" s="211"/>
      <c r="M358" s="211"/>
      <c r="N358" s="211" t="str">
        <f>IFERROR(__xludf.DUMMYFUNCTION("""COMPUTED_VALUE"""),"")</f>
        <v/>
      </c>
      <c r="O358" s="211" t="str">
        <f>IFERROR(__xludf.DUMMYFUNCTION("""COMPUTED_VALUE"""),"")</f>
        <v/>
      </c>
      <c r="P358" s="224" t="str">
        <f>IFERROR(__xludf.DUMMYFUNCTION("""COMPUTED_VALUE""")," ")</f>
        <v/>
      </c>
      <c r="Q358" s="225" t="str">
        <f>IFERROR(__xludf.DUMMYFUNCTION("""COMPUTED_VALUE"""),"")</f>
        <v/>
      </c>
      <c r="R358" s="211" t="str">
        <f>IFERROR(__xludf.DUMMYFUNCTION("""COMPUTED_VALUE"""),"")</f>
        <v/>
      </c>
      <c r="S358" s="211"/>
      <c r="T358" s="211"/>
      <c r="U358" s="211"/>
    </row>
    <row r="359">
      <c r="A359" s="222" t="str">
        <f>IFERROR(__xludf.DUMMYFUNCTION("""COMPUTED_VALUE"""),"05250446")</f>
        <v>05250446</v>
      </c>
      <c r="B359" s="211" t="str">
        <f>IFERROR(__xludf.DUMMYFUNCTION("""COMPUTED_VALUE"""),"22 May 2025")</f>
        <v>22 May 2025</v>
      </c>
      <c r="C359" s="211" t="str">
        <f>IFERROR(__xludf.DUMMYFUNCTION("""COMPUTED_VALUE"""),"PT GEMILANG CIPTA WAWASAN")</f>
        <v>PT GEMILANG CIPTA WAWASAN</v>
      </c>
      <c r="D359" s="211" t="str">
        <f>IFERROR(__xludf.DUMMYFUNCTION("""COMPUTED_VALUE"""),"Argon 6m3")</f>
        <v>Argon 6m3</v>
      </c>
      <c r="E359" s="211" t="str">
        <f>IFERROR(__xludf.DUMMYFUNCTION("""COMPUTED_VALUE"""),"4")</f>
        <v>4</v>
      </c>
      <c r="F359" s="211" t="str">
        <f>IFERROR(__xludf.DUMMYFUNCTION("""COMPUTED_VALUE"""),"821400")</f>
        <v>821400</v>
      </c>
      <c r="G359" s="211"/>
      <c r="H359" s="211"/>
      <c r="I359" s="211">
        <f>IFERROR(__xludf.DUMMYFUNCTION("""COMPUTED_VALUE"""),821400.0)</f>
        <v>821400</v>
      </c>
      <c r="J359" s="211" t="str">
        <f>IFERROR(__xludf.DUMMYFUNCTION("""COMPUTED_VALUE"""),"Tidak")</f>
        <v>Tidak</v>
      </c>
      <c r="L359" s="211"/>
      <c r="M359" s="211"/>
      <c r="N359" s="211" t="str">
        <f>IFERROR(__xludf.DUMMYFUNCTION("""COMPUTED_VALUE"""),"")</f>
        <v/>
      </c>
      <c r="O359" s="211" t="str">
        <f>IFERROR(__xludf.DUMMYFUNCTION("""COMPUTED_VALUE"""),"")</f>
        <v/>
      </c>
      <c r="P359" s="224" t="str">
        <f>IFERROR(__xludf.DUMMYFUNCTION("""COMPUTED_VALUE""")," ")</f>
        <v/>
      </c>
      <c r="Q359" s="225" t="str">
        <f>IFERROR(__xludf.DUMMYFUNCTION("""COMPUTED_VALUE"""),"")</f>
        <v/>
      </c>
      <c r="R359" s="211" t="str">
        <f>IFERROR(__xludf.DUMMYFUNCTION("""COMPUTED_VALUE"""),"")</f>
        <v/>
      </c>
      <c r="S359" s="211"/>
      <c r="T359" s="211"/>
      <c r="U359" s="211"/>
    </row>
    <row r="360">
      <c r="A360" s="222" t="str">
        <f>IFERROR(__xludf.DUMMYFUNCTION("""COMPUTED_VALUE"""),"05250447")</f>
        <v>05250447</v>
      </c>
      <c r="B360" s="211" t="str">
        <f>IFERROR(__xludf.DUMMYFUNCTION("""COMPUTED_VALUE"""),"22 May 2025")</f>
        <v>22 May 2025</v>
      </c>
      <c r="C360" s="211" t="str">
        <f>IFERROR(__xludf.DUMMYFUNCTION("""COMPUTED_VALUE"""),"Bpk. Ibnu")</f>
        <v>Bpk. Ibnu</v>
      </c>
      <c r="D360" s="211" t="str">
        <f>IFERROR(__xludf.DUMMYFUNCTION("""COMPUTED_VALUE"""),"Oksigen 6m3")</f>
        <v>Oksigen 6m3</v>
      </c>
      <c r="E360" s="211" t="str">
        <f>IFERROR(__xludf.DUMMYFUNCTION("""COMPUTED_VALUE"""),"5")</f>
        <v>5</v>
      </c>
      <c r="F360" s="211" t="str">
        <f>IFERROR(__xludf.DUMMYFUNCTION("""COMPUTED_VALUE"""),"250000")</f>
        <v>250000</v>
      </c>
      <c r="G360" s="211"/>
      <c r="H360" s="211"/>
      <c r="I360" s="211">
        <f>IFERROR(__xludf.DUMMYFUNCTION("""COMPUTED_VALUE"""),250000.0)</f>
        <v>250000</v>
      </c>
      <c r="J360" s="211" t="str">
        <f>IFERROR(__xludf.DUMMYFUNCTION("""COMPUTED_VALUE"""),"Ya")</f>
        <v>Ya</v>
      </c>
      <c r="L360" s="211"/>
      <c r="M360" s="211"/>
      <c r="N360" s="211" t="str">
        <f>IFERROR(__xludf.DUMMYFUNCTION("""COMPUTED_VALUE"""),"")</f>
        <v/>
      </c>
      <c r="O360" s="211" t="str">
        <f>IFERROR(__xludf.DUMMYFUNCTION("""COMPUTED_VALUE"""),"")</f>
        <v/>
      </c>
      <c r="P360" s="224" t="str">
        <f>IFERROR(__xludf.DUMMYFUNCTION("""COMPUTED_VALUE""")," ")</f>
        <v/>
      </c>
      <c r="Q360" s="225" t="str">
        <f>IFERROR(__xludf.DUMMYFUNCTION("""COMPUTED_VALUE"""),"")</f>
        <v/>
      </c>
      <c r="R360" s="211" t="str">
        <f>IFERROR(__xludf.DUMMYFUNCTION("""COMPUTED_VALUE"""),"")</f>
        <v/>
      </c>
      <c r="S360" s="211"/>
      <c r="T360" s="211"/>
      <c r="U360" s="211"/>
    </row>
    <row r="361">
      <c r="A361" s="222" t="str">
        <f>IFERROR(__xludf.DUMMYFUNCTION("""COMPUTED_VALUE"""),"05250448")</f>
        <v>05250448</v>
      </c>
      <c r="B361" s="211" t="str">
        <f>IFERROR(__xludf.DUMMYFUNCTION("""COMPUTED_VALUE"""),"23 May 2025")</f>
        <v>23 May 2025</v>
      </c>
      <c r="C361" s="211" t="str">
        <f>IFERROR(__xludf.DUMMYFUNCTION("""COMPUTED_VALUE"""),"Bpk. Sulaiman")</f>
        <v>Bpk. Sulaiman</v>
      </c>
      <c r="D361" s="211" t="str">
        <f>IFERROR(__xludf.DUMMYFUNCTION("""COMPUTED_VALUE"""),"Oksigen 6m3
LPG 12kg")</f>
        <v>Oksigen 6m3
LPG 12kg</v>
      </c>
      <c r="E361" s="211" t="str">
        <f>IFERROR(__xludf.DUMMYFUNCTION("""COMPUTED_VALUE"""),"15
2")</f>
        <v>15
2</v>
      </c>
      <c r="F361" s="211" t="str">
        <f>IFERROR(__xludf.DUMMYFUNCTION("""COMPUTED_VALUE"""),"825000
420000")</f>
        <v>825000
420000</v>
      </c>
      <c r="G361" s="211"/>
      <c r="H361" s="211"/>
      <c r="I361" s="211">
        <f>IFERROR(__xludf.DUMMYFUNCTION("""COMPUTED_VALUE"""),1245000.0)</f>
        <v>1245000</v>
      </c>
      <c r="J361" s="211" t="str">
        <f>IFERROR(__xludf.DUMMYFUNCTION("""COMPUTED_VALUE"""),"Ya")</f>
        <v>Ya</v>
      </c>
      <c r="L361" s="211"/>
      <c r="M361" s="211"/>
      <c r="N361" s="211" t="str">
        <f>IFERROR(__xludf.DUMMYFUNCTION("""COMPUTED_VALUE"""),"")</f>
        <v/>
      </c>
      <c r="O361" s="211" t="str">
        <f>IFERROR(__xludf.DUMMYFUNCTION("""COMPUTED_VALUE"""),"")</f>
        <v/>
      </c>
      <c r="P361" s="224" t="str">
        <f>IFERROR(__xludf.DUMMYFUNCTION("""COMPUTED_VALUE""")," ")</f>
        <v/>
      </c>
      <c r="Q361" s="225" t="str">
        <f>IFERROR(__xludf.DUMMYFUNCTION("""COMPUTED_VALUE"""),"")</f>
        <v/>
      </c>
      <c r="R361" s="211" t="str">
        <f>IFERROR(__xludf.DUMMYFUNCTION("""COMPUTED_VALUE"""),"")</f>
        <v/>
      </c>
      <c r="S361" s="211"/>
      <c r="T361" s="211"/>
      <c r="U361" s="211"/>
    </row>
    <row r="362">
      <c r="A362" s="222" t="str">
        <f>IFERROR(__xludf.DUMMYFUNCTION("""COMPUTED_VALUE"""),"05250450")</f>
        <v>05250450</v>
      </c>
      <c r="B362" s="211" t="str">
        <f>IFERROR(__xludf.DUMMYFUNCTION("""COMPUTED_VALUE"""),"23 May 2025")</f>
        <v>23 May 2025</v>
      </c>
      <c r="C362" s="211" t="str">
        <f>IFERROR(__xludf.DUMMYFUNCTION("""COMPUTED_VALUE"""),"Bengkel Las Bpk. Ari")</f>
        <v>Bengkel Las Bpk. Ari</v>
      </c>
      <c r="D362" s="211" t="str">
        <f>IFERROR(__xludf.DUMMYFUNCTION("""COMPUTED_VALUE"""),"Oksigen 6m3
Karbondioksida")</f>
        <v>Oksigen 6m3
Karbondioksida</v>
      </c>
      <c r="E362" s="211" t="str">
        <f>IFERROR(__xludf.DUMMYFUNCTION("""COMPUTED_VALUE"""),"1
2")</f>
        <v>1
2</v>
      </c>
      <c r="F362" s="211" t="str">
        <f>IFERROR(__xludf.DUMMYFUNCTION("""COMPUTED_VALUE"""),"60000
340000")</f>
        <v>60000
340000</v>
      </c>
      <c r="G362" s="211"/>
      <c r="H362" s="211"/>
      <c r="I362" s="211">
        <f>IFERROR(__xludf.DUMMYFUNCTION("""COMPUTED_VALUE"""),400000.0)</f>
        <v>400000</v>
      </c>
      <c r="J362" s="211"/>
      <c r="L362" s="211"/>
      <c r="M362" s="211"/>
      <c r="N362" s="211" t="str">
        <f>IFERROR(__xludf.DUMMYFUNCTION("""COMPUTED_VALUE"""),"")</f>
        <v/>
      </c>
      <c r="O362" s="211" t="str">
        <f>IFERROR(__xludf.DUMMYFUNCTION("""COMPUTED_VALUE"""),"")</f>
        <v/>
      </c>
      <c r="P362" s="224" t="str">
        <f>IFERROR(__xludf.DUMMYFUNCTION("""COMPUTED_VALUE""")," ")</f>
        <v/>
      </c>
      <c r="Q362" s="225" t="str">
        <f>IFERROR(__xludf.DUMMYFUNCTION("""COMPUTED_VALUE"""),"")</f>
        <v/>
      </c>
      <c r="R362" s="211" t="str">
        <f>IFERROR(__xludf.DUMMYFUNCTION("""COMPUTED_VALUE"""),"")</f>
        <v/>
      </c>
      <c r="S362" s="211"/>
      <c r="T362" s="211"/>
      <c r="U362" s="211"/>
    </row>
    <row r="363">
      <c r="A363" s="222" t="str">
        <f>IFERROR(__xludf.DUMMYFUNCTION("""COMPUTED_VALUE"""),"05250452")</f>
        <v>05250452</v>
      </c>
      <c r="B363" s="211" t="str">
        <f>IFERROR(__xludf.DUMMYFUNCTION("""COMPUTED_VALUE"""),"24 May 2025")</f>
        <v>24 May 2025</v>
      </c>
      <c r="C363" s="211" t="str">
        <f>IFERROR(__xludf.DUMMYFUNCTION("""COMPUTED_VALUE"""),"Bpk. Rokhim (Kraton)")</f>
        <v>Bpk. Rokhim (Kraton)</v>
      </c>
      <c r="D363" s="211" t="str">
        <f>IFERROR(__xludf.DUMMYFUNCTION("""COMPUTED_VALUE"""),"Oksigen 7m3")</f>
        <v>Oksigen 7m3</v>
      </c>
      <c r="E363" s="211" t="str">
        <f>IFERROR(__xludf.DUMMYFUNCTION("""COMPUTED_VALUE"""),"3")</f>
        <v>3</v>
      </c>
      <c r="F363" s="211" t="str">
        <f>IFERROR(__xludf.DUMMYFUNCTION("""COMPUTED_VALUE"""),"210000")</f>
        <v>210000</v>
      </c>
      <c r="G363" s="211"/>
      <c r="H363" s="211"/>
      <c r="I363" s="211">
        <f>IFERROR(__xludf.DUMMYFUNCTION("""COMPUTED_VALUE"""),210000.0)</f>
        <v>210000</v>
      </c>
      <c r="J363" s="211"/>
      <c r="L363" s="211"/>
      <c r="M363" s="211"/>
      <c r="N363" s="211" t="str">
        <f>IFERROR(__xludf.DUMMYFUNCTION("""COMPUTED_VALUE"""),"")</f>
        <v/>
      </c>
      <c r="O363" s="211" t="str">
        <f>IFERROR(__xludf.DUMMYFUNCTION("""COMPUTED_VALUE"""),"")</f>
        <v/>
      </c>
      <c r="P363" s="224" t="str">
        <f>IFERROR(__xludf.DUMMYFUNCTION("""COMPUTED_VALUE""")," ")</f>
        <v/>
      </c>
      <c r="Q363" s="225" t="str">
        <f>IFERROR(__xludf.DUMMYFUNCTION("""COMPUTED_VALUE"""),"")</f>
        <v/>
      </c>
      <c r="R363" s="211" t="str">
        <f>IFERROR(__xludf.DUMMYFUNCTION("""COMPUTED_VALUE"""),"")</f>
        <v/>
      </c>
      <c r="S363" s="211"/>
      <c r="T363" s="211"/>
      <c r="U363" s="211"/>
    </row>
    <row r="364">
      <c r="A364" s="222" t="str">
        <f>IFERROR(__xludf.DUMMYFUNCTION("""COMPUTED_VALUE"""),"05250453")</f>
        <v>05250453</v>
      </c>
      <c r="B364" s="211" t="str">
        <f>IFERROR(__xludf.DUMMYFUNCTION("""COMPUTED_VALUE"""),"24 May 2025")</f>
        <v>24 May 2025</v>
      </c>
      <c r="C364" s="211" t="str">
        <f>IFERROR(__xludf.DUMMYFUNCTION("""COMPUTED_VALUE"""),"PT ARYANA CAKASANA")</f>
        <v>PT ARYANA CAKASANA</v>
      </c>
      <c r="D364" s="211" t="str">
        <f>IFERROR(__xludf.DUMMYFUNCTION("""COMPUTED_VALUE"""),"Oksigen 6m3")</f>
        <v>Oksigen 6m3</v>
      </c>
      <c r="E364" s="211" t="str">
        <f>IFERROR(__xludf.DUMMYFUNCTION("""COMPUTED_VALUE"""),"10")</f>
        <v>10</v>
      </c>
      <c r="F364" s="211" t="str">
        <f>IFERROR(__xludf.DUMMYFUNCTION("""COMPUTED_VALUE"""),"525001")</f>
        <v>525001</v>
      </c>
      <c r="G364" s="211"/>
      <c r="H364" s="211"/>
      <c r="I364" s="211">
        <f>IFERROR(__xludf.DUMMYFUNCTION("""COMPUTED_VALUE"""),525001.0)</f>
        <v>525001</v>
      </c>
      <c r="J364" s="211" t="str">
        <f>IFERROR(__xludf.DUMMYFUNCTION("""COMPUTED_VALUE"""),"Tidak")</f>
        <v>Tidak</v>
      </c>
      <c r="L364" s="211"/>
      <c r="M364" s="211"/>
      <c r="N364" s="211" t="str">
        <f>IFERROR(__xludf.DUMMYFUNCTION("""COMPUTED_VALUE"""),"")</f>
        <v/>
      </c>
      <c r="O364" s="211" t="str">
        <f>IFERROR(__xludf.DUMMYFUNCTION("""COMPUTED_VALUE"""),"")</f>
        <v/>
      </c>
      <c r="P364" s="224" t="str">
        <f>IFERROR(__xludf.DUMMYFUNCTION("""COMPUTED_VALUE""")," ")</f>
        <v/>
      </c>
      <c r="Q364" s="225" t="str">
        <f>IFERROR(__xludf.DUMMYFUNCTION("""COMPUTED_VALUE"""),"")</f>
        <v/>
      </c>
      <c r="R364" s="211" t="str">
        <f>IFERROR(__xludf.DUMMYFUNCTION("""COMPUTED_VALUE"""),"")</f>
        <v/>
      </c>
      <c r="S364" s="211"/>
      <c r="T364" s="211"/>
      <c r="U364" s="211"/>
    </row>
    <row r="365">
      <c r="A365" s="222" t="str">
        <f>IFERROR(__xludf.DUMMYFUNCTION("""COMPUTED_VALUE"""),"05250454")</f>
        <v>05250454</v>
      </c>
      <c r="B365" s="211" t="str">
        <f>IFERROR(__xludf.DUMMYFUNCTION("""COMPUTED_VALUE"""),"24 May 2025")</f>
        <v>24 May 2025</v>
      </c>
      <c r="C365" s="211" t="str">
        <f>IFERROR(__xludf.DUMMYFUNCTION("""COMPUTED_VALUE"""),"Bpk. Ari Budiarto")</f>
        <v>Bpk. Ari Budiarto</v>
      </c>
      <c r="D365" s="211" t="str">
        <f>IFERROR(__xludf.DUMMYFUNCTION("""COMPUTED_VALUE"""),"Argon 6m3")</f>
        <v>Argon 6m3</v>
      </c>
      <c r="E365" s="211" t="str">
        <f>IFERROR(__xludf.DUMMYFUNCTION("""COMPUTED_VALUE"""),"1")</f>
        <v>1</v>
      </c>
      <c r="F365" s="211" t="str">
        <f>IFERROR(__xludf.DUMMYFUNCTION("""COMPUTED_VALUE"""),"200000")</f>
        <v>200000</v>
      </c>
      <c r="G365" s="211"/>
      <c r="H365" s="211"/>
      <c r="I365" s="211">
        <f>IFERROR(__xludf.DUMMYFUNCTION("""COMPUTED_VALUE"""),200000.0)</f>
        <v>200000</v>
      </c>
      <c r="J365" s="211"/>
      <c r="L365" s="211"/>
      <c r="M365" s="211"/>
      <c r="N365" s="211" t="str">
        <f>IFERROR(__xludf.DUMMYFUNCTION("""COMPUTED_VALUE"""),"")</f>
        <v/>
      </c>
      <c r="O365" s="211" t="str">
        <f>IFERROR(__xludf.DUMMYFUNCTION("""COMPUTED_VALUE"""),"")</f>
        <v/>
      </c>
      <c r="P365" s="224" t="str">
        <f>IFERROR(__xludf.DUMMYFUNCTION("""COMPUTED_VALUE""")," ")</f>
        <v/>
      </c>
      <c r="Q365" s="225" t="str">
        <f>IFERROR(__xludf.DUMMYFUNCTION("""COMPUTED_VALUE"""),"")</f>
        <v/>
      </c>
      <c r="R365" s="211" t="str">
        <f>IFERROR(__xludf.DUMMYFUNCTION("""COMPUTED_VALUE"""),"")</f>
        <v/>
      </c>
      <c r="S365" s="211"/>
      <c r="T365" s="211"/>
      <c r="U365" s="211"/>
    </row>
    <row r="366">
      <c r="A366" s="222" t="str">
        <f>IFERROR(__xludf.DUMMYFUNCTION("""COMPUTED_VALUE"""),"05250455")</f>
        <v>05250455</v>
      </c>
      <c r="B366" s="211" t="str">
        <f>IFERROR(__xludf.DUMMYFUNCTION("""COMPUTED_VALUE"""),"24 May 2025")</f>
        <v>24 May 2025</v>
      </c>
      <c r="C366" s="211" t="str">
        <f>IFERROR(__xludf.DUMMYFUNCTION("""COMPUTED_VALUE"""),"PT Jatim Abadi Perkasa Steel")</f>
        <v>PT Jatim Abadi Perkasa Steel</v>
      </c>
      <c r="D366" s="211" t="str">
        <f>IFERROR(__xludf.DUMMYFUNCTION("""COMPUTED_VALUE"""),"LPG 50kg")</f>
        <v>LPG 50kg</v>
      </c>
      <c r="E366" s="211" t="str">
        <f>IFERROR(__xludf.DUMMYFUNCTION("""COMPUTED_VALUE"""),"5")</f>
        <v>5</v>
      </c>
      <c r="F366" s="211" t="str">
        <f>IFERROR(__xludf.DUMMYFUNCTION("""COMPUTED_VALUE"""),"5050000")</f>
        <v>5050000</v>
      </c>
      <c r="G366" s="211"/>
      <c r="H366" s="211"/>
      <c r="I366" s="211">
        <f>IFERROR(__xludf.DUMMYFUNCTION("""COMPUTED_VALUE"""),5050000.0)</f>
        <v>5050000</v>
      </c>
      <c r="J366" s="211" t="str">
        <f>IFERROR(__xludf.DUMMYFUNCTION("""COMPUTED_VALUE"""),"Ya")</f>
        <v>Ya</v>
      </c>
      <c r="L366" s="211"/>
      <c r="M366" s="211"/>
      <c r="N366" s="211" t="str">
        <f>IFERROR(__xludf.DUMMYFUNCTION("""COMPUTED_VALUE"""),"")</f>
        <v/>
      </c>
      <c r="O366" s="211" t="str">
        <f>IFERROR(__xludf.DUMMYFUNCTION("""COMPUTED_VALUE"""),"")</f>
        <v/>
      </c>
      <c r="P366" s="224" t="str">
        <f>IFERROR(__xludf.DUMMYFUNCTION("""COMPUTED_VALUE""")," ")</f>
        <v/>
      </c>
      <c r="Q366" s="225" t="str">
        <f>IFERROR(__xludf.DUMMYFUNCTION("""COMPUTED_VALUE"""),"")</f>
        <v/>
      </c>
      <c r="R366" s="211" t="str">
        <f>IFERROR(__xludf.DUMMYFUNCTION("""COMPUTED_VALUE"""),"")</f>
        <v/>
      </c>
      <c r="S366" s="211"/>
      <c r="T366" s="211"/>
      <c r="U366" s="211"/>
    </row>
    <row r="367">
      <c r="A367" s="222" t="str">
        <f>IFERROR(__xludf.DUMMYFUNCTION("""COMPUTED_VALUE"""),"05250456")</f>
        <v>05250456</v>
      </c>
      <c r="B367" s="211" t="str">
        <f>IFERROR(__xludf.DUMMYFUNCTION("""COMPUTED_VALUE"""),"24 May 2025")</f>
        <v>24 May 2025</v>
      </c>
      <c r="C367" s="211" t="str">
        <f>IFERROR(__xludf.DUMMYFUNCTION("""COMPUTED_VALUE"""),"Bpk. Sulaiman")</f>
        <v>Bpk. Sulaiman</v>
      </c>
      <c r="D367" s="211" t="str">
        <f>IFERROR(__xludf.DUMMYFUNCTION("""COMPUTED_VALUE"""),"Oksigen 6m3
LPG 12kg")</f>
        <v>Oksigen 6m3
LPG 12kg</v>
      </c>
      <c r="E367" s="211" t="str">
        <f>IFERROR(__xludf.DUMMYFUNCTION("""COMPUTED_VALUE"""),"5
2")</f>
        <v>5
2</v>
      </c>
      <c r="F367" s="211" t="str">
        <f>IFERROR(__xludf.DUMMYFUNCTION("""COMPUTED_VALUE"""),"275000
420000")</f>
        <v>275000
420000</v>
      </c>
      <c r="G367" s="211"/>
      <c r="H367" s="211"/>
      <c r="I367" s="211">
        <f>IFERROR(__xludf.DUMMYFUNCTION("""COMPUTED_VALUE"""),695000.0)</f>
        <v>695000</v>
      </c>
      <c r="J367" s="211" t="str">
        <f>IFERROR(__xludf.DUMMYFUNCTION("""COMPUTED_VALUE"""),"Ya")</f>
        <v>Ya</v>
      </c>
      <c r="L367" s="211"/>
      <c r="M367" s="211"/>
      <c r="N367" s="211" t="str">
        <f>IFERROR(__xludf.DUMMYFUNCTION("""COMPUTED_VALUE"""),"")</f>
        <v/>
      </c>
      <c r="O367" s="211" t="str">
        <f>IFERROR(__xludf.DUMMYFUNCTION("""COMPUTED_VALUE"""),"")</f>
        <v/>
      </c>
      <c r="P367" s="224" t="str">
        <f>IFERROR(__xludf.DUMMYFUNCTION("""COMPUTED_VALUE""")," ")</f>
        <v/>
      </c>
      <c r="Q367" s="225" t="str">
        <f>IFERROR(__xludf.DUMMYFUNCTION("""COMPUTED_VALUE"""),"")</f>
        <v/>
      </c>
      <c r="R367" s="211" t="str">
        <f>IFERROR(__xludf.DUMMYFUNCTION("""COMPUTED_VALUE"""),"")</f>
        <v/>
      </c>
      <c r="S367" s="211"/>
      <c r="T367" s="211"/>
      <c r="U367" s="211"/>
    </row>
    <row r="368">
      <c r="A368" s="222" t="str">
        <f>IFERROR(__xludf.DUMMYFUNCTION("""COMPUTED_VALUE"""),"05250458")</f>
        <v>05250458</v>
      </c>
      <c r="B368" s="211" t="str">
        <f>IFERROR(__xludf.DUMMYFUNCTION("""COMPUTED_VALUE"""),"26 May 2025")</f>
        <v>26 May 2025</v>
      </c>
      <c r="C368" s="211" t="str">
        <f>IFERROR(__xludf.DUMMYFUNCTION("""COMPUTED_VALUE"""),"Bpk. Sukirno (Bejo)")</f>
        <v>Bpk. Sukirno (Bejo)</v>
      </c>
      <c r="D368" s="211" t="str">
        <f>IFERROR(__xludf.DUMMYFUNCTION("""COMPUTED_VALUE"""),"Oksigen 6m3")</f>
        <v>Oksigen 6m3</v>
      </c>
      <c r="E368" s="211" t="str">
        <f>IFERROR(__xludf.DUMMYFUNCTION("""COMPUTED_VALUE"""),"10")</f>
        <v>10</v>
      </c>
      <c r="F368" s="211" t="str">
        <f>IFERROR(__xludf.DUMMYFUNCTION("""COMPUTED_VALUE"""),"600000")</f>
        <v>600000</v>
      </c>
      <c r="G368" s="211"/>
      <c r="H368" s="211"/>
      <c r="I368" s="211">
        <f>IFERROR(__xludf.DUMMYFUNCTION("""COMPUTED_VALUE"""),600000.0)</f>
        <v>600000</v>
      </c>
      <c r="J368" s="211"/>
      <c r="L368" s="211"/>
      <c r="M368" s="211"/>
      <c r="N368" s="211" t="str">
        <f>IFERROR(__xludf.DUMMYFUNCTION("""COMPUTED_VALUE"""),"")</f>
        <v/>
      </c>
      <c r="O368" s="211" t="str">
        <f>IFERROR(__xludf.DUMMYFUNCTION("""COMPUTED_VALUE"""),"")</f>
        <v/>
      </c>
      <c r="P368" s="224" t="str">
        <f>IFERROR(__xludf.DUMMYFUNCTION("""COMPUTED_VALUE""")," ")</f>
        <v/>
      </c>
      <c r="Q368" s="225" t="str">
        <f>IFERROR(__xludf.DUMMYFUNCTION("""COMPUTED_VALUE"""),"")</f>
        <v/>
      </c>
      <c r="R368" s="211" t="str">
        <f>IFERROR(__xludf.DUMMYFUNCTION("""COMPUTED_VALUE"""),"")</f>
        <v/>
      </c>
      <c r="S368" s="211"/>
      <c r="T368" s="211"/>
      <c r="U368" s="211"/>
    </row>
    <row r="369">
      <c r="A369" s="222" t="str">
        <f>IFERROR(__xludf.DUMMYFUNCTION("""COMPUTED_VALUE"""),"05250459")</f>
        <v>05250459</v>
      </c>
      <c r="B369" s="211" t="str">
        <f>IFERROR(__xludf.DUMMYFUNCTION("""COMPUTED_VALUE"""),"26 May 2025")</f>
        <v>26 May 2025</v>
      </c>
      <c r="C369" s="211" t="str">
        <f>IFERROR(__xludf.DUMMYFUNCTION("""COMPUTED_VALUE"""),"PT Hua Zong Mesindo")</f>
        <v>PT Hua Zong Mesindo</v>
      </c>
      <c r="D369" s="211" t="str">
        <f>IFERROR(__xludf.DUMMYFUNCTION("""COMPUTED_VALUE"""),"Oksigen 6m3
Karbondioksida
Argon 6m3")</f>
        <v>Oksigen 6m3
Karbondioksida
Argon 6m3</v>
      </c>
      <c r="E369" s="211" t="str">
        <f>IFERROR(__xludf.DUMMYFUNCTION("""COMPUTED_VALUE"""),"4
2
2")</f>
        <v>4
2
2</v>
      </c>
      <c r="F369" s="211" t="str">
        <f>IFERROR(__xludf.DUMMYFUNCTION("""COMPUTED_VALUE"""),"240000
320000
380000")</f>
        <v>240000
320000
380000</v>
      </c>
      <c r="G369" s="211"/>
      <c r="H369" s="211"/>
      <c r="I369" s="211">
        <f>IFERROR(__xludf.DUMMYFUNCTION("""COMPUTED_VALUE"""),940000.0)</f>
        <v>940000</v>
      </c>
      <c r="J369" s="211"/>
      <c r="L369" s="211"/>
      <c r="M369" s="211"/>
      <c r="N369" s="211" t="str">
        <f>IFERROR(__xludf.DUMMYFUNCTION("""COMPUTED_VALUE"""),"")</f>
        <v/>
      </c>
      <c r="O369" s="211" t="str">
        <f>IFERROR(__xludf.DUMMYFUNCTION("""COMPUTED_VALUE"""),"")</f>
        <v/>
      </c>
      <c r="P369" s="224" t="str">
        <f>IFERROR(__xludf.DUMMYFUNCTION("""COMPUTED_VALUE""")," ")</f>
        <v/>
      </c>
      <c r="Q369" s="225" t="str">
        <f>IFERROR(__xludf.DUMMYFUNCTION("""COMPUTED_VALUE"""),"")</f>
        <v/>
      </c>
      <c r="R369" s="211" t="str">
        <f>IFERROR(__xludf.DUMMYFUNCTION("""COMPUTED_VALUE"""),"")</f>
        <v/>
      </c>
      <c r="S369" s="211"/>
      <c r="T369" s="211"/>
      <c r="U369" s="211"/>
    </row>
    <row r="370">
      <c r="A370" s="222" t="str">
        <f>IFERROR(__xludf.DUMMYFUNCTION("""COMPUTED_VALUE"""),"05250462")</f>
        <v>05250462</v>
      </c>
      <c r="B370" s="211" t="str">
        <f>IFERROR(__xludf.DUMMYFUNCTION("""COMPUTED_VALUE"""),"26 May 2025")</f>
        <v>26 May 2025</v>
      </c>
      <c r="C370" s="211" t="str">
        <f>IFERROR(__xludf.DUMMYFUNCTION("""COMPUTED_VALUE"""),"GYF")</f>
        <v>GYF</v>
      </c>
      <c r="D370" s="211" t="str">
        <f>IFERROR(__xludf.DUMMYFUNCTION("""COMPUTED_VALUE"""),"Oksigen 6m3")</f>
        <v>Oksigen 6m3</v>
      </c>
      <c r="E370" s="211" t="str">
        <f>IFERROR(__xludf.DUMMYFUNCTION("""COMPUTED_VALUE"""),"15")</f>
        <v>15</v>
      </c>
      <c r="F370" s="211" t="str">
        <f>IFERROR(__xludf.DUMMYFUNCTION("""COMPUTED_VALUE"""),"675000")</f>
        <v>675000</v>
      </c>
      <c r="G370" s="211"/>
      <c r="H370" s="211"/>
      <c r="I370" s="211">
        <f>IFERROR(__xludf.DUMMYFUNCTION("""COMPUTED_VALUE"""),675000.0)</f>
        <v>675000</v>
      </c>
      <c r="J370" s="211"/>
      <c r="L370" s="211"/>
      <c r="M370" s="211"/>
      <c r="N370" s="211" t="str">
        <f>IFERROR(__xludf.DUMMYFUNCTION("""COMPUTED_VALUE"""),"")</f>
        <v/>
      </c>
      <c r="O370" s="211" t="str">
        <f>IFERROR(__xludf.DUMMYFUNCTION("""COMPUTED_VALUE"""),"")</f>
        <v/>
      </c>
      <c r="P370" s="224" t="str">
        <f>IFERROR(__xludf.DUMMYFUNCTION("""COMPUTED_VALUE""")," ")</f>
        <v/>
      </c>
      <c r="Q370" s="225" t="str">
        <f>IFERROR(__xludf.DUMMYFUNCTION("""COMPUTED_VALUE"""),"")</f>
        <v/>
      </c>
      <c r="R370" s="211" t="str">
        <f>IFERROR(__xludf.DUMMYFUNCTION("""COMPUTED_VALUE"""),"")</f>
        <v/>
      </c>
      <c r="S370" s="211"/>
      <c r="T370" s="211"/>
      <c r="U370" s="211"/>
    </row>
    <row r="371">
      <c r="A371" s="222" t="str">
        <f>IFERROR(__xludf.DUMMYFUNCTION("""COMPUTED_VALUE"""),"05250463")</f>
        <v>05250463</v>
      </c>
      <c r="B371" s="211" t="str">
        <f>IFERROR(__xludf.DUMMYFUNCTION("""COMPUTED_VALUE"""),"27 May 2025")</f>
        <v>27 May 2025</v>
      </c>
      <c r="C371" s="211" t="str">
        <f>IFERROR(__xludf.DUMMYFUNCTION("""COMPUTED_VALUE"""),"Bpk. Sulaiman")</f>
        <v>Bpk. Sulaiman</v>
      </c>
      <c r="D371" s="211" t="str">
        <f>IFERROR(__xludf.DUMMYFUNCTION("""COMPUTED_VALUE"""),"Oksigen 6m3
LPG 12kg")</f>
        <v>Oksigen 6m3
LPG 12kg</v>
      </c>
      <c r="E371" s="211" t="str">
        <f>IFERROR(__xludf.DUMMYFUNCTION("""COMPUTED_VALUE"""),"15
2")</f>
        <v>15
2</v>
      </c>
      <c r="F371" s="211" t="str">
        <f>IFERROR(__xludf.DUMMYFUNCTION("""COMPUTED_VALUE"""),"825000
420000")</f>
        <v>825000
420000</v>
      </c>
      <c r="G371" s="211"/>
      <c r="H371" s="211"/>
      <c r="I371" s="211">
        <f>IFERROR(__xludf.DUMMYFUNCTION("""COMPUTED_VALUE"""),1245000.0)</f>
        <v>1245000</v>
      </c>
      <c r="J371" s="211" t="str">
        <f>IFERROR(__xludf.DUMMYFUNCTION("""COMPUTED_VALUE"""),"Ya")</f>
        <v>Ya</v>
      </c>
      <c r="L371" s="211"/>
      <c r="M371" s="211"/>
      <c r="N371" s="211" t="str">
        <f>IFERROR(__xludf.DUMMYFUNCTION("""COMPUTED_VALUE"""),"")</f>
        <v/>
      </c>
      <c r="O371" s="211" t="str">
        <f>IFERROR(__xludf.DUMMYFUNCTION("""COMPUTED_VALUE"""),"")</f>
        <v/>
      </c>
      <c r="P371" s="224" t="str">
        <f>IFERROR(__xludf.DUMMYFUNCTION("""COMPUTED_VALUE""")," ")</f>
        <v/>
      </c>
      <c r="Q371" s="225" t="str">
        <f>IFERROR(__xludf.DUMMYFUNCTION("""COMPUTED_VALUE"""),"")</f>
        <v/>
      </c>
      <c r="R371" s="211" t="str">
        <f>IFERROR(__xludf.DUMMYFUNCTION("""COMPUTED_VALUE"""),"")</f>
        <v/>
      </c>
      <c r="S371" s="211"/>
      <c r="T371" s="211"/>
      <c r="U371" s="211"/>
    </row>
    <row r="372">
      <c r="A372" s="222" t="str">
        <f>IFERROR(__xludf.DUMMYFUNCTION("""COMPUTED_VALUE"""),"05250465")</f>
        <v>05250465</v>
      </c>
      <c r="B372" s="211" t="str">
        <f>IFERROR(__xludf.DUMMYFUNCTION("""COMPUTED_VALUE"""),"27 May 2025")</f>
        <v>27 May 2025</v>
      </c>
      <c r="C372" s="211" t="str">
        <f>IFERROR(__xludf.DUMMYFUNCTION("""COMPUTED_VALUE"""),"PT Sinar Indogreen Kencana")</f>
        <v>PT Sinar Indogreen Kencana</v>
      </c>
      <c r="D372" s="211" t="str">
        <f>IFERROR(__xludf.DUMMYFUNCTION("""COMPUTED_VALUE"""),"LPG 12kg")</f>
        <v>LPG 12kg</v>
      </c>
      <c r="E372" s="211" t="str">
        <f>IFERROR(__xludf.DUMMYFUNCTION("""COMPUTED_VALUE"""),"1")</f>
        <v>1</v>
      </c>
      <c r="F372" s="211" t="str">
        <f>IFERROR(__xludf.DUMMYFUNCTION("""COMPUTED_VALUE"""),"210001")</f>
        <v>210001</v>
      </c>
      <c r="G372" s="211"/>
      <c r="H372" s="211"/>
      <c r="I372" s="211">
        <f>IFERROR(__xludf.DUMMYFUNCTION("""COMPUTED_VALUE"""),210001.0)</f>
        <v>210001</v>
      </c>
      <c r="J372" s="211" t="str">
        <f>IFERROR(__xludf.DUMMYFUNCTION("""COMPUTED_VALUE"""),"Ya")</f>
        <v>Ya</v>
      </c>
      <c r="L372" s="211"/>
      <c r="M372" s="211"/>
      <c r="N372" s="211" t="str">
        <f>IFERROR(__xludf.DUMMYFUNCTION("""COMPUTED_VALUE"""),"")</f>
        <v/>
      </c>
      <c r="O372" s="211" t="str">
        <f>IFERROR(__xludf.DUMMYFUNCTION("""COMPUTED_VALUE"""),"")</f>
        <v/>
      </c>
      <c r="P372" s="224" t="str">
        <f>IFERROR(__xludf.DUMMYFUNCTION("""COMPUTED_VALUE""")," ")</f>
        <v/>
      </c>
      <c r="Q372" s="225" t="str">
        <f>IFERROR(__xludf.DUMMYFUNCTION("""COMPUTED_VALUE"""),"")</f>
        <v/>
      </c>
      <c r="R372" s="211" t="str">
        <f>IFERROR(__xludf.DUMMYFUNCTION("""COMPUTED_VALUE"""),"")</f>
        <v/>
      </c>
      <c r="S372" s="211"/>
      <c r="T372" s="211"/>
      <c r="U372" s="211"/>
    </row>
    <row r="373">
      <c r="A373" s="222" t="str">
        <f>IFERROR(__xludf.DUMMYFUNCTION("""COMPUTED_VALUE"""),"05250466")</f>
        <v>05250466</v>
      </c>
      <c r="B373" s="211" t="str">
        <f>IFERROR(__xludf.DUMMYFUNCTION("""COMPUTED_VALUE"""),"27 May 2025")</f>
        <v>27 May 2025</v>
      </c>
      <c r="C373" s="211" t="str">
        <f>IFERROR(__xludf.DUMMYFUNCTION("""COMPUTED_VALUE"""),"Bpk. Sulaiman")</f>
        <v>Bpk. Sulaiman</v>
      </c>
      <c r="D373" s="211" t="str">
        <f>IFERROR(__xludf.DUMMYFUNCTION("""COMPUTED_VALUE"""),"Oksigen 6m3
LPG 12kg")</f>
        <v>Oksigen 6m3
LPG 12kg</v>
      </c>
      <c r="E373" s="211" t="str">
        <f>IFERROR(__xludf.DUMMYFUNCTION("""COMPUTED_VALUE"""),"20
1")</f>
        <v>20
1</v>
      </c>
      <c r="F373" s="211" t="str">
        <f>IFERROR(__xludf.DUMMYFUNCTION("""COMPUTED_VALUE"""),"1100000
210000")</f>
        <v>1100000
210000</v>
      </c>
      <c r="G373" s="211"/>
      <c r="H373" s="211"/>
      <c r="I373" s="211">
        <f>IFERROR(__xludf.DUMMYFUNCTION("""COMPUTED_VALUE"""),1310000.0)</f>
        <v>1310000</v>
      </c>
      <c r="J373" s="211" t="str">
        <f>IFERROR(__xludf.DUMMYFUNCTION("""COMPUTED_VALUE"""),"Ya")</f>
        <v>Ya</v>
      </c>
      <c r="L373" s="211"/>
      <c r="M373" s="211"/>
      <c r="N373" s="211" t="str">
        <f>IFERROR(__xludf.DUMMYFUNCTION("""COMPUTED_VALUE"""),"")</f>
        <v/>
      </c>
      <c r="O373" s="211" t="str">
        <f>IFERROR(__xludf.DUMMYFUNCTION("""COMPUTED_VALUE"""),"")</f>
        <v/>
      </c>
      <c r="P373" s="224" t="str">
        <f>IFERROR(__xludf.DUMMYFUNCTION("""COMPUTED_VALUE""")," ")</f>
        <v/>
      </c>
      <c r="Q373" s="225" t="str">
        <f>IFERROR(__xludf.DUMMYFUNCTION("""COMPUTED_VALUE"""),"")</f>
        <v/>
      </c>
      <c r="R373" s="211" t="str">
        <f>IFERROR(__xludf.DUMMYFUNCTION("""COMPUTED_VALUE"""),"")</f>
        <v/>
      </c>
      <c r="S373" s="211"/>
      <c r="T373" s="211"/>
      <c r="U373" s="211"/>
    </row>
    <row r="374">
      <c r="A374" s="222" t="str">
        <f>IFERROR(__xludf.DUMMYFUNCTION("""COMPUTED_VALUE"""),"05250468")</f>
        <v>05250468</v>
      </c>
      <c r="B374" s="211" t="str">
        <f>IFERROR(__xludf.DUMMYFUNCTION("""COMPUTED_VALUE"""),"28 May 2025")</f>
        <v>28 May 2025</v>
      </c>
      <c r="C374" s="211" t="str">
        <f>IFERROR(__xludf.DUMMYFUNCTION("""COMPUTED_VALUE"""),"PT PELANGI INDOKARYA")</f>
        <v>PT PELANGI INDOKARYA</v>
      </c>
      <c r="D374" s="211" t="str">
        <f>IFERROR(__xludf.DUMMYFUNCTION("""COMPUTED_VALUE"""),"Oksigen 6m3")</f>
        <v>Oksigen 6m3</v>
      </c>
      <c r="E374" s="211" t="str">
        <f>IFERROR(__xludf.DUMMYFUNCTION("""COMPUTED_VALUE"""),"5")</f>
        <v>5</v>
      </c>
      <c r="F374" s="211" t="str">
        <f>IFERROR(__xludf.DUMMYFUNCTION("""COMPUTED_VALUE"""),"333000")</f>
        <v>333000</v>
      </c>
      <c r="G374" s="211"/>
      <c r="H374" s="211"/>
      <c r="I374" s="211">
        <f>IFERROR(__xludf.DUMMYFUNCTION("""COMPUTED_VALUE"""),333000.0)</f>
        <v>333000</v>
      </c>
      <c r="J374" s="211"/>
      <c r="L374" s="211"/>
      <c r="M374" s="211"/>
      <c r="N374" s="211" t="str">
        <f>IFERROR(__xludf.DUMMYFUNCTION("""COMPUTED_VALUE"""),"")</f>
        <v/>
      </c>
      <c r="O374" s="211" t="str">
        <f>IFERROR(__xludf.DUMMYFUNCTION("""COMPUTED_VALUE"""),"")</f>
        <v/>
      </c>
      <c r="P374" s="224" t="str">
        <f>IFERROR(__xludf.DUMMYFUNCTION("""COMPUTED_VALUE""")," ")</f>
        <v/>
      </c>
      <c r="Q374" s="225" t="str">
        <f>IFERROR(__xludf.DUMMYFUNCTION("""COMPUTED_VALUE"""),"")</f>
        <v/>
      </c>
      <c r="R374" s="211" t="str">
        <f>IFERROR(__xludf.DUMMYFUNCTION("""COMPUTED_VALUE"""),"")</f>
        <v/>
      </c>
      <c r="S374" s="211"/>
      <c r="T374" s="211"/>
      <c r="U374" s="211"/>
    </row>
    <row r="375">
      <c r="A375" s="222" t="str">
        <f>IFERROR(__xludf.DUMMYFUNCTION("""COMPUTED_VALUE"""),"05250469")</f>
        <v>05250469</v>
      </c>
      <c r="B375" s="211" t="str">
        <f>IFERROR(__xludf.DUMMYFUNCTION("""COMPUTED_VALUE"""),"28 May 2025")</f>
        <v>28 May 2025</v>
      </c>
      <c r="C375" s="211" t="str">
        <f>IFERROR(__xludf.DUMMYFUNCTION("""COMPUTED_VALUE"""),"Bpk. Kohir (Maintenance Velg)")</f>
        <v>Bpk. Kohir (Maintenance Velg)</v>
      </c>
      <c r="D375" s="211" t="str">
        <f>IFERROR(__xludf.DUMMYFUNCTION("""COMPUTED_VALUE"""),"Oksigen 6m3")</f>
        <v>Oksigen 6m3</v>
      </c>
      <c r="E375" s="211" t="str">
        <f>IFERROR(__xludf.DUMMYFUNCTION("""COMPUTED_VALUE"""),"5")</f>
        <v>5</v>
      </c>
      <c r="F375" s="211" t="str">
        <f>IFERROR(__xludf.DUMMYFUNCTION("""COMPUTED_VALUE"""),"275000")</f>
        <v>275000</v>
      </c>
      <c r="G375" s="211"/>
      <c r="H375" s="211"/>
      <c r="I375" s="211">
        <f>IFERROR(__xludf.DUMMYFUNCTION("""COMPUTED_VALUE"""),275000.0)</f>
        <v>275000</v>
      </c>
      <c r="J375" s="211"/>
      <c r="L375" s="211"/>
      <c r="M375" s="211"/>
      <c r="N375" s="211" t="str">
        <f>IFERROR(__xludf.DUMMYFUNCTION("""COMPUTED_VALUE"""),"")</f>
        <v/>
      </c>
      <c r="O375" s="211" t="str">
        <f>IFERROR(__xludf.DUMMYFUNCTION("""COMPUTED_VALUE"""),"")</f>
        <v/>
      </c>
      <c r="P375" s="224" t="str">
        <f>IFERROR(__xludf.DUMMYFUNCTION("""COMPUTED_VALUE""")," ")</f>
        <v/>
      </c>
      <c r="Q375" s="225" t="str">
        <f>IFERROR(__xludf.DUMMYFUNCTION("""COMPUTED_VALUE"""),"")</f>
        <v/>
      </c>
      <c r="R375" s="211" t="str">
        <f>IFERROR(__xludf.DUMMYFUNCTION("""COMPUTED_VALUE"""),"")</f>
        <v/>
      </c>
      <c r="S375" s="211"/>
      <c r="T375" s="211"/>
      <c r="U375" s="211"/>
    </row>
    <row r="376">
      <c r="A376" s="222" t="str">
        <f>IFERROR(__xludf.DUMMYFUNCTION("""COMPUTED_VALUE"""),"05250470")</f>
        <v>05250470</v>
      </c>
      <c r="B376" s="211" t="str">
        <f>IFERROR(__xludf.DUMMYFUNCTION("""COMPUTED_VALUE"""),"28 May 2025")</f>
        <v>28 May 2025</v>
      </c>
      <c r="C376" s="211" t="str">
        <f>IFERROR(__xludf.DUMMYFUNCTION("""COMPUTED_VALUE"""),"Ibu Siti Barokah")</f>
        <v>Ibu Siti Barokah</v>
      </c>
      <c r="D376" s="211" t="str">
        <f>IFERROR(__xludf.DUMMYFUNCTION("""COMPUTED_VALUE"""),"Oksigen 6m3")</f>
        <v>Oksigen 6m3</v>
      </c>
      <c r="E376" s="211" t="str">
        <f>IFERROR(__xludf.DUMMYFUNCTION("""COMPUTED_VALUE"""),"1")</f>
        <v>1</v>
      </c>
      <c r="F376" s="211" t="str">
        <f>IFERROR(__xludf.DUMMYFUNCTION("""COMPUTED_VALUE"""),"80000")</f>
        <v>80000</v>
      </c>
      <c r="G376" s="211"/>
      <c r="H376" s="211"/>
      <c r="I376" s="211">
        <f>IFERROR(__xludf.DUMMYFUNCTION("""COMPUTED_VALUE"""),80000.0)</f>
        <v>80000</v>
      </c>
      <c r="J376" s="211"/>
      <c r="L376" s="211"/>
      <c r="M376" s="211"/>
      <c r="N376" s="211" t="str">
        <f>IFERROR(__xludf.DUMMYFUNCTION("""COMPUTED_VALUE"""),"")</f>
        <v/>
      </c>
      <c r="O376" s="211" t="str">
        <f>IFERROR(__xludf.DUMMYFUNCTION("""COMPUTED_VALUE"""),"")</f>
        <v/>
      </c>
      <c r="P376" s="224" t="str">
        <f>IFERROR(__xludf.DUMMYFUNCTION("""COMPUTED_VALUE""")," ")</f>
        <v/>
      </c>
      <c r="Q376" s="225" t="str">
        <f>IFERROR(__xludf.DUMMYFUNCTION("""COMPUTED_VALUE"""),"")</f>
        <v/>
      </c>
      <c r="R376" s="211" t="str">
        <f>IFERROR(__xludf.DUMMYFUNCTION("""COMPUTED_VALUE"""),"")</f>
        <v/>
      </c>
      <c r="S376" s="211"/>
      <c r="T376" s="211"/>
      <c r="U376" s="211"/>
    </row>
    <row r="377">
      <c r="A377" s="222" t="str">
        <f>IFERROR(__xludf.DUMMYFUNCTION("""COMPUTED_VALUE"""),"05250471")</f>
        <v>05250471</v>
      </c>
      <c r="B377" s="211" t="str">
        <f>IFERROR(__xludf.DUMMYFUNCTION("""COMPUTED_VALUE"""),"28 May 2025")</f>
        <v>28 May 2025</v>
      </c>
      <c r="C377" s="211" t="str">
        <f>IFERROR(__xludf.DUMMYFUNCTION("""COMPUTED_VALUE"""),"Bpk. Sulaiman")</f>
        <v>Bpk. Sulaiman</v>
      </c>
      <c r="D377" s="211" t="str">
        <f>IFERROR(__xludf.DUMMYFUNCTION("""COMPUTED_VALUE"""),"Oksigen 6m3
LPG 12kg")</f>
        <v>Oksigen 6m3
LPG 12kg</v>
      </c>
      <c r="E377" s="211" t="str">
        <f>IFERROR(__xludf.DUMMYFUNCTION("""COMPUTED_VALUE"""),"15
1")</f>
        <v>15
1</v>
      </c>
      <c r="F377" s="211" t="str">
        <f>IFERROR(__xludf.DUMMYFUNCTION("""COMPUTED_VALUE"""),"825000
210000")</f>
        <v>825000
210000</v>
      </c>
      <c r="G377" s="211"/>
      <c r="H377" s="211"/>
      <c r="I377" s="211">
        <f>IFERROR(__xludf.DUMMYFUNCTION("""COMPUTED_VALUE"""),1035000.0)</f>
        <v>1035000</v>
      </c>
      <c r="J377" s="211"/>
      <c r="L377" s="211"/>
      <c r="M377" s="211"/>
      <c r="N377" s="211" t="str">
        <f>IFERROR(__xludf.DUMMYFUNCTION("""COMPUTED_VALUE"""),"")</f>
        <v/>
      </c>
      <c r="O377" s="211" t="str">
        <f>IFERROR(__xludf.DUMMYFUNCTION("""COMPUTED_VALUE"""),"")</f>
        <v/>
      </c>
      <c r="P377" s="224" t="str">
        <f>IFERROR(__xludf.DUMMYFUNCTION("""COMPUTED_VALUE""")," ")</f>
        <v/>
      </c>
      <c r="Q377" s="225" t="str">
        <f>IFERROR(__xludf.DUMMYFUNCTION("""COMPUTED_VALUE"""),"")</f>
        <v/>
      </c>
      <c r="R377" s="211" t="str">
        <f>IFERROR(__xludf.DUMMYFUNCTION("""COMPUTED_VALUE"""),"")</f>
        <v/>
      </c>
      <c r="S377" s="211"/>
      <c r="T377" s="211"/>
      <c r="U377" s="211"/>
    </row>
    <row r="378">
      <c r="A378" s="222" t="str">
        <f>IFERROR(__xludf.DUMMYFUNCTION("""COMPUTED_VALUE"""),"05250473")</f>
        <v>05250473</v>
      </c>
      <c r="B378" s="211" t="str">
        <f>IFERROR(__xludf.DUMMYFUNCTION("""COMPUTED_VALUE"""),"30 May 2025")</f>
        <v>30 May 2025</v>
      </c>
      <c r="C378" s="211" t="str">
        <f>IFERROR(__xludf.DUMMYFUNCTION("""COMPUTED_VALUE"""),"Bpk. Sulaiman")</f>
        <v>Bpk. Sulaiman</v>
      </c>
      <c r="D378" s="211" t="str">
        <f>IFERROR(__xludf.DUMMYFUNCTION("""COMPUTED_VALUE"""),"Oksigen 6m3
LPG 12kg")</f>
        <v>Oksigen 6m3
LPG 12kg</v>
      </c>
      <c r="E378" s="211" t="str">
        <f>IFERROR(__xludf.DUMMYFUNCTION("""COMPUTED_VALUE"""),"15
2")</f>
        <v>15
2</v>
      </c>
      <c r="F378" s="211" t="str">
        <f>IFERROR(__xludf.DUMMYFUNCTION("""COMPUTED_VALUE"""),"825000
420000")</f>
        <v>825000
420000</v>
      </c>
      <c r="G378" s="211"/>
      <c r="H378" s="211"/>
      <c r="I378" s="211">
        <f>IFERROR(__xludf.DUMMYFUNCTION("""COMPUTED_VALUE"""),1245000.0)</f>
        <v>1245000</v>
      </c>
      <c r="J378" s="211"/>
      <c r="L378" s="211"/>
      <c r="M378" s="211"/>
      <c r="N378" s="211" t="str">
        <f>IFERROR(__xludf.DUMMYFUNCTION("""COMPUTED_VALUE"""),"")</f>
        <v/>
      </c>
      <c r="O378" s="211" t="str">
        <f>IFERROR(__xludf.DUMMYFUNCTION("""COMPUTED_VALUE"""),"")</f>
        <v/>
      </c>
      <c r="P378" s="224" t="str">
        <f>IFERROR(__xludf.DUMMYFUNCTION("""COMPUTED_VALUE""")," ")</f>
        <v/>
      </c>
      <c r="Q378" s="225" t="str">
        <f>IFERROR(__xludf.DUMMYFUNCTION("""COMPUTED_VALUE"""),"")</f>
        <v/>
      </c>
      <c r="R378" s="211" t="str">
        <f>IFERROR(__xludf.DUMMYFUNCTION("""COMPUTED_VALUE"""),"")</f>
        <v/>
      </c>
      <c r="S378" s="211"/>
      <c r="T378" s="211"/>
      <c r="U378" s="211"/>
    </row>
    <row r="379">
      <c r="A379" s="222" t="str">
        <f>IFERROR(__xludf.DUMMYFUNCTION("""COMPUTED_VALUE"""),"05250475")</f>
        <v>05250475</v>
      </c>
      <c r="B379" s="211" t="str">
        <f>IFERROR(__xludf.DUMMYFUNCTION("""COMPUTED_VALUE"""),"30 May 2025")</f>
        <v>30 May 2025</v>
      </c>
      <c r="C379" s="211" t="str">
        <f>IFERROR(__xludf.DUMMYFUNCTION("""COMPUTED_VALUE"""),"Bpk. Sulaiman")</f>
        <v>Bpk. Sulaiman</v>
      </c>
      <c r="D379" s="211" t="str">
        <f>IFERROR(__xludf.DUMMYFUNCTION("""COMPUTED_VALUE"""),"Oksigen 6m3
Oksigen 6m3 MR")</f>
        <v>Oksigen 6m3
Oksigen 6m3 MR</v>
      </c>
      <c r="E379" s="211" t="str">
        <f>IFERROR(__xludf.DUMMYFUNCTION("""COMPUTED_VALUE"""),"2
1")</f>
        <v>2
1</v>
      </c>
      <c r="F379" s="211" t="str">
        <f>IFERROR(__xludf.DUMMYFUNCTION("""COMPUTED_VALUE"""),"110000
55000")</f>
        <v>110000
55000</v>
      </c>
      <c r="G379" s="211"/>
      <c r="H379" s="211"/>
      <c r="I379" s="211">
        <f>IFERROR(__xludf.DUMMYFUNCTION("""COMPUTED_VALUE"""),165000.0)</f>
        <v>165000</v>
      </c>
      <c r="J379" s="211"/>
      <c r="L379" s="211"/>
      <c r="M379" s="211"/>
      <c r="N379" s="211" t="str">
        <f>IFERROR(__xludf.DUMMYFUNCTION("""COMPUTED_VALUE"""),"")</f>
        <v/>
      </c>
      <c r="O379" s="211" t="str">
        <f>IFERROR(__xludf.DUMMYFUNCTION("""COMPUTED_VALUE"""),"")</f>
        <v/>
      </c>
      <c r="P379" s="224" t="str">
        <f>IFERROR(__xludf.DUMMYFUNCTION("""COMPUTED_VALUE""")," ")</f>
        <v/>
      </c>
      <c r="Q379" s="225" t="str">
        <f>IFERROR(__xludf.DUMMYFUNCTION("""COMPUTED_VALUE"""),"")</f>
        <v/>
      </c>
      <c r="R379" s="211" t="str">
        <f>IFERROR(__xludf.DUMMYFUNCTION("""COMPUTED_VALUE"""),"")</f>
        <v/>
      </c>
      <c r="S379" s="211"/>
      <c r="T379" s="211"/>
      <c r="U379" s="211"/>
    </row>
    <row r="380">
      <c r="A380" s="222" t="str">
        <f>IFERROR(__xludf.DUMMYFUNCTION("""COMPUTED_VALUE"""),"05250477")</f>
        <v>05250477</v>
      </c>
      <c r="B380" s="211" t="str">
        <f>IFERROR(__xludf.DUMMYFUNCTION("""COMPUTED_VALUE"""),"30 May 2025")</f>
        <v>30 May 2025</v>
      </c>
      <c r="C380" s="211" t="str">
        <f>IFERROR(__xludf.DUMMYFUNCTION("""COMPUTED_VALUE"""),"Bpk. Kohir (Maintenance Velg)")</f>
        <v>Bpk. Kohir (Maintenance Velg)</v>
      </c>
      <c r="D380" s="211" t="str">
        <f>IFERROR(__xludf.DUMMYFUNCTION("""COMPUTED_VALUE"""),"Oksigen 6m3")</f>
        <v>Oksigen 6m3</v>
      </c>
      <c r="E380" s="211" t="str">
        <f>IFERROR(__xludf.DUMMYFUNCTION("""COMPUTED_VALUE"""),"4")</f>
        <v>4</v>
      </c>
      <c r="F380" s="211" t="str">
        <f>IFERROR(__xludf.DUMMYFUNCTION("""COMPUTED_VALUE"""),"220000")</f>
        <v>220000</v>
      </c>
      <c r="G380" s="211"/>
      <c r="H380" s="211"/>
      <c r="I380" s="211">
        <f>IFERROR(__xludf.DUMMYFUNCTION("""COMPUTED_VALUE"""),220000.0)</f>
        <v>220000</v>
      </c>
      <c r="J380" s="211"/>
      <c r="L380" s="211"/>
      <c r="M380" s="211"/>
      <c r="N380" s="211" t="str">
        <f>IFERROR(__xludf.DUMMYFUNCTION("""COMPUTED_VALUE"""),"")</f>
        <v/>
      </c>
      <c r="O380" s="211" t="str">
        <f>IFERROR(__xludf.DUMMYFUNCTION("""COMPUTED_VALUE"""),"")</f>
        <v/>
      </c>
      <c r="P380" s="224" t="str">
        <f>IFERROR(__xludf.DUMMYFUNCTION("""COMPUTED_VALUE""")," ")</f>
        <v/>
      </c>
      <c r="Q380" s="225" t="str">
        <f>IFERROR(__xludf.DUMMYFUNCTION("""COMPUTED_VALUE"""),"")</f>
        <v/>
      </c>
      <c r="R380" s="211" t="str">
        <f>IFERROR(__xludf.DUMMYFUNCTION("""COMPUTED_VALUE"""),"")</f>
        <v/>
      </c>
      <c r="S380" s="211"/>
      <c r="T380" s="211"/>
      <c r="U380" s="211"/>
    </row>
    <row r="381">
      <c r="A381" s="222" t="str">
        <f>IFERROR(__xludf.DUMMYFUNCTION("""COMPUTED_VALUE"""),"05250478")</f>
        <v>05250478</v>
      </c>
      <c r="B381" s="211" t="str">
        <f>IFERROR(__xludf.DUMMYFUNCTION("""COMPUTED_VALUE"""),"31 May 2025")</f>
        <v>31 May 2025</v>
      </c>
      <c r="C381" s="211" t="str">
        <f>IFERROR(__xludf.DUMMYFUNCTION("""COMPUTED_VALUE"""),"Bpk. Abdul")</f>
        <v>Bpk. Abdul</v>
      </c>
      <c r="D381" s="211" t="str">
        <f>IFERROR(__xludf.DUMMYFUNCTION("""COMPUTED_VALUE"""),"Oksigen 6m3")</f>
        <v>Oksigen 6m3</v>
      </c>
      <c r="E381" s="211" t="str">
        <f>IFERROR(__xludf.DUMMYFUNCTION("""COMPUTED_VALUE"""),"1")</f>
        <v>1</v>
      </c>
      <c r="F381" s="211" t="str">
        <f>IFERROR(__xludf.DUMMYFUNCTION("""COMPUTED_VALUE"""),"80000")</f>
        <v>80000</v>
      </c>
      <c r="G381" s="211"/>
      <c r="H381" s="211"/>
      <c r="I381" s="211">
        <f>IFERROR(__xludf.DUMMYFUNCTION("""COMPUTED_VALUE"""),80000.0)</f>
        <v>80000</v>
      </c>
      <c r="J381" s="211"/>
      <c r="L381" s="211"/>
      <c r="M381" s="211"/>
      <c r="N381" s="211" t="str">
        <f>IFERROR(__xludf.DUMMYFUNCTION("""COMPUTED_VALUE"""),"")</f>
        <v/>
      </c>
      <c r="O381" s="211" t="str">
        <f>IFERROR(__xludf.DUMMYFUNCTION("""COMPUTED_VALUE"""),"")</f>
        <v/>
      </c>
      <c r="P381" s="224" t="str">
        <f>IFERROR(__xludf.DUMMYFUNCTION("""COMPUTED_VALUE""")," ")</f>
        <v/>
      </c>
      <c r="Q381" s="225" t="str">
        <f>IFERROR(__xludf.DUMMYFUNCTION("""COMPUTED_VALUE"""),"")</f>
        <v/>
      </c>
      <c r="R381" s="211" t="str">
        <f>IFERROR(__xludf.DUMMYFUNCTION("""COMPUTED_VALUE"""),"")</f>
        <v/>
      </c>
      <c r="S381" s="211"/>
      <c r="T381" s="211"/>
      <c r="U381" s="211"/>
    </row>
    <row r="382">
      <c r="A382" s="222" t="str">
        <f>IFERROR(__xludf.DUMMYFUNCTION("""COMPUTED_VALUE"""),"06250479")</f>
        <v>06250479</v>
      </c>
      <c r="B382" s="211" t="str">
        <f>IFERROR(__xludf.DUMMYFUNCTION("""COMPUTED_VALUE"""),"02 Jun 2025")</f>
        <v>02 Jun 2025</v>
      </c>
      <c r="C382" s="211" t="str">
        <f>IFERROR(__xludf.DUMMYFUNCTION("""COMPUTED_VALUE"""),"Bpk. Supar")</f>
        <v>Bpk. Supar</v>
      </c>
      <c r="D382" s="211" t="str">
        <f>IFERROR(__xludf.DUMMYFUNCTION("""COMPUTED_VALUE"""),"Oksigen 6m3")</f>
        <v>Oksigen 6m3</v>
      </c>
      <c r="E382" s="211" t="str">
        <f>IFERROR(__xludf.DUMMYFUNCTION("""COMPUTED_VALUE"""),"1")</f>
        <v>1</v>
      </c>
      <c r="F382" s="211" t="str">
        <f>IFERROR(__xludf.DUMMYFUNCTION("""COMPUTED_VALUE"""),"70000")</f>
        <v>70000</v>
      </c>
      <c r="G382" s="211"/>
      <c r="H382" s="211"/>
      <c r="I382" s="211">
        <f>IFERROR(__xludf.DUMMYFUNCTION("""COMPUTED_VALUE"""),70000.0)</f>
        <v>70000</v>
      </c>
      <c r="J382" s="211"/>
      <c r="L382" s="211"/>
      <c r="M382" s="211"/>
      <c r="N382" s="211" t="str">
        <f>IFERROR(__xludf.DUMMYFUNCTION("""COMPUTED_VALUE"""),"")</f>
        <v/>
      </c>
      <c r="O382" s="211" t="str">
        <f>IFERROR(__xludf.DUMMYFUNCTION("""COMPUTED_VALUE"""),"")</f>
        <v/>
      </c>
      <c r="P382" s="224" t="str">
        <f>IFERROR(__xludf.DUMMYFUNCTION("""COMPUTED_VALUE""")," ")</f>
        <v/>
      </c>
      <c r="Q382" s="225" t="str">
        <f>IFERROR(__xludf.DUMMYFUNCTION("""COMPUTED_VALUE"""),"")</f>
        <v/>
      </c>
      <c r="R382" s="211" t="str">
        <f>IFERROR(__xludf.DUMMYFUNCTION("""COMPUTED_VALUE"""),"")</f>
        <v/>
      </c>
      <c r="S382" s="211"/>
      <c r="T382" s="211"/>
      <c r="U382" s="211"/>
    </row>
    <row r="383">
      <c r="A383" s="222" t="str">
        <f>IFERROR(__xludf.DUMMYFUNCTION("""COMPUTED_VALUE"""),"06250480")</f>
        <v>06250480</v>
      </c>
      <c r="B383" s="211" t="str">
        <f>IFERROR(__xludf.DUMMYFUNCTION("""COMPUTED_VALUE"""),"02 Jun 2025")</f>
        <v>02 Jun 2025</v>
      </c>
      <c r="C383" s="211" t="str">
        <f>IFERROR(__xludf.DUMMYFUNCTION("""COMPUTED_VALUE"""),"PT Jatim Abadi Perkasa Steel")</f>
        <v>PT Jatim Abadi Perkasa Steel</v>
      </c>
      <c r="D383" s="211" t="str">
        <f>IFERROR(__xludf.DUMMYFUNCTION("""COMPUTED_VALUE"""),"LPG 50kg")</f>
        <v>LPG 50kg</v>
      </c>
      <c r="E383" s="211" t="str">
        <f>IFERROR(__xludf.DUMMYFUNCTION("""COMPUTED_VALUE"""),"5")</f>
        <v>5</v>
      </c>
      <c r="F383" s="211" t="str">
        <f>IFERROR(__xludf.DUMMYFUNCTION("""COMPUTED_VALUE"""),"5050000")</f>
        <v>5050000</v>
      </c>
      <c r="G383" s="211"/>
      <c r="H383" s="211"/>
      <c r="I383" s="211">
        <f>IFERROR(__xludf.DUMMYFUNCTION("""COMPUTED_VALUE"""),5050000.0)</f>
        <v>5050000</v>
      </c>
      <c r="J383" s="211" t="str">
        <f>IFERROR(__xludf.DUMMYFUNCTION("""COMPUTED_VALUE"""),"Ya")</f>
        <v>Ya</v>
      </c>
      <c r="L383" s="211"/>
      <c r="M383" s="211"/>
      <c r="N383" s="211" t="str">
        <f>IFERROR(__xludf.DUMMYFUNCTION("""COMPUTED_VALUE"""),"")</f>
        <v/>
      </c>
      <c r="O383" s="211" t="str">
        <f>IFERROR(__xludf.DUMMYFUNCTION("""COMPUTED_VALUE"""),"")</f>
        <v/>
      </c>
      <c r="P383" s="224" t="str">
        <f>IFERROR(__xludf.DUMMYFUNCTION("""COMPUTED_VALUE""")," ")</f>
        <v/>
      </c>
      <c r="Q383" s="225" t="str">
        <f>IFERROR(__xludf.DUMMYFUNCTION("""COMPUTED_VALUE"""),"")</f>
        <v/>
      </c>
      <c r="R383" s="211" t="str">
        <f>IFERROR(__xludf.DUMMYFUNCTION("""COMPUTED_VALUE"""),"")</f>
        <v/>
      </c>
      <c r="S383" s="211"/>
      <c r="T383" s="211"/>
      <c r="U383" s="211"/>
    </row>
    <row r="384">
      <c r="A384" s="222" t="str">
        <f>IFERROR(__xludf.DUMMYFUNCTION("""COMPUTED_VALUE"""),"06250481")</f>
        <v>06250481</v>
      </c>
      <c r="B384" s="211" t="str">
        <f>IFERROR(__xludf.DUMMYFUNCTION("""COMPUTED_VALUE"""),"02 Jun 2025")</f>
        <v>02 Jun 2025</v>
      </c>
      <c r="C384" s="211" t="str">
        <f>IFERROR(__xludf.DUMMYFUNCTION("""COMPUTED_VALUE"""),"Bpk. Subiantoro (Parengan)")</f>
        <v>Bpk. Subiantoro (Parengan)</v>
      </c>
      <c r="D384" s="211" t="str">
        <f>IFERROR(__xludf.DUMMYFUNCTION("""COMPUTED_VALUE"""),"Oksigen 6m3")</f>
        <v>Oksigen 6m3</v>
      </c>
      <c r="E384" s="211" t="str">
        <f>IFERROR(__xludf.DUMMYFUNCTION("""COMPUTED_VALUE"""),"20")</f>
        <v>20</v>
      </c>
      <c r="F384" s="211" t="str">
        <f>IFERROR(__xludf.DUMMYFUNCTION("""COMPUTED_VALUE"""),"1400000")</f>
        <v>1400000</v>
      </c>
      <c r="G384" s="211"/>
      <c r="H384" s="211"/>
      <c r="I384" s="211">
        <f>IFERROR(__xludf.DUMMYFUNCTION("""COMPUTED_VALUE"""),1400000.0)</f>
        <v>1400000</v>
      </c>
      <c r="J384" s="211"/>
      <c r="L384" s="211"/>
      <c r="M384" s="211"/>
      <c r="N384" s="211" t="str">
        <f>IFERROR(__xludf.DUMMYFUNCTION("""COMPUTED_VALUE"""),"")</f>
        <v/>
      </c>
      <c r="O384" s="211" t="str">
        <f>IFERROR(__xludf.DUMMYFUNCTION("""COMPUTED_VALUE"""),"")</f>
        <v/>
      </c>
      <c r="P384" s="224" t="str">
        <f>IFERROR(__xludf.DUMMYFUNCTION("""COMPUTED_VALUE""")," ")</f>
        <v/>
      </c>
      <c r="Q384" s="225" t="str">
        <f>IFERROR(__xludf.DUMMYFUNCTION("""COMPUTED_VALUE"""),"")</f>
        <v/>
      </c>
      <c r="R384" s="211" t="str">
        <f>IFERROR(__xludf.DUMMYFUNCTION("""COMPUTED_VALUE"""),"")</f>
        <v/>
      </c>
      <c r="S384" s="211"/>
      <c r="T384" s="211"/>
      <c r="U384" s="211"/>
    </row>
    <row r="385">
      <c r="A385" s="222" t="str">
        <f>IFERROR(__xludf.DUMMYFUNCTION("""COMPUTED_VALUE"""),"06250482")</f>
        <v>06250482</v>
      </c>
      <c r="B385" s="211" t="str">
        <f>IFERROR(__xludf.DUMMYFUNCTION("""COMPUTED_VALUE"""),"02 Jun 2025")</f>
        <v>02 Jun 2025</v>
      </c>
      <c r="C385" s="211" t="str">
        <f>IFERROR(__xludf.DUMMYFUNCTION("""COMPUTED_VALUE"""),"Bpk. Joko (Ponokawan)")</f>
        <v>Bpk. Joko (Ponokawan)</v>
      </c>
      <c r="D385" s="211" t="str">
        <f>IFERROR(__xludf.DUMMYFUNCTION("""COMPUTED_VALUE"""),"Oksigen 6m3
Argon 6m3")</f>
        <v>Oksigen 6m3
Argon 6m3</v>
      </c>
      <c r="E385" s="211" t="str">
        <f>IFERROR(__xludf.DUMMYFUNCTION("""COMPUTED_VALUE"""),"1
1")</f>
        <v>1
1</v>
      </c>
      <c r="F385" s="211" t="str">
        <f>IFERROR(__xludf.DUMMYFUNCTION("""COMPUTED_VALUE"""),"60000
260000")</f>
        <v>60000
260000</v>
      </c>
      <c r="G385" s="211"/>
      <c r="H385" s="211"/>
      <c r="I385" s="211">
        <f>IFERROR(__xludf.DUMMYFUNCTION("""COMPUTED_VALUE"""),320000.0)</f>
        <v>320000</v>
      </c>
      <c r="J385" s="211"/>
      <c r="L385" s="211"/>
      <c r="M385" s="211"/>
      <c r="N385" s="211" t="str">
        <f>IFERROR(__xludf.DUMMYFUNCTION("""COMPUTED_VALUE"""),"")</f>
        <v/>
      </c>
      <c r="O385" s="211" t="str">
        <f>IFERROR(__xludf.DUMMYFUNCTION("""COMPUTED_VALUE"""),"")</f>
        <v/>
      </c>
      <c r="P385" s="224" t="str">
        <f>IFERROR(__xludf.DUMMYFUNCTION("""COMPUTED_VALUE""")," ")</f>
        <v/>
      </c>
      <c r="Q385" s="225" t="str">
        <f>IFERROR(__xludf.DUMMYFUNCTION("""COMPUTED_VALUE"""),"")</f>
        <v/>
      </c>
      <c r="R385" s="211" t="str">
        <f>IFERROR(__xludf.DUMMYFUNCTION("""COMPUTED_VALUE"""),"")</f>
        <v/>
      </c>
      <c r="S385" s="211"/>
      <c r="T385" s="211"/>
      <c r="U385" s="211"/>
    </row>
    <row r="386">
      <c r="A386" s="222" t="str">
        <f>IFERROR(__xludf.DUMMYFUNCTION("""COMPUTED_VALUE"""),"06250484")</f>
        <v>06250484</v>
      </c>
      <c r="B386" s="211" t="str">
        <f>IFERROR(__xludf.DUMMYFUNCTION("""COMPUTED_VALUE"""),"02 Jun 2025")</f>
        <v>02 Jun 2025</v>
      </c>
      <c r="C386" s="211" t="str">
        <f>IFERROR(__xludf.DUMMYFUNCTION("""COMPUTED_VALUE"""),"PT Dunia Berkat Marga Mulya")</f>
        <v>PT Dunia Berkat Marga Mulya</v>
      </c>
      <c r="D386" s="211" t="str">
        <f>IFERROR(__xludf.DUMMYFUNCTION("""COMPUTED_VALUE"""),"Oksigen 6m3")</f>
        <v>Oksigen 6m3</v>
      </c>
      <c r="E386" s="211" t="str">
        <f>IFERROR(__xludf.DUMMYFUNCTION("""COMPUTED_VALUE"""),"5")</f>
        <v>5</v>
      </c>
      <c r="F386" s="211" t="str">
        <f>IFERROR(__xludf.DUMMYFUNCTION("""COMPUTED_VALUE"""),"333000")</f>
        <v>333000</v>
      </c>
      <c r="G386" s="211"/>
      <c r="H386" s="211"/>
      <c r="I386" s="211">
        <f>IFERROR(__xludf.DUMMYFUNCTION("""COMPUTED_VALUE"""),333000.0)</f>
        <v>333000</v>
      </c>
      <c r="J386" s="211"/>
      <c r="L386" s="211"/>
      <c r="M386" s="211"/>
      <c r="N386" s="211" t="str">
        <f>IFERROR(__xludf.DUMMYFUNCTION("""COMPUTED_VALUE"""),"")</f>
        <v/>
      </c>
      <c r="O386" s="211" t="str">
        <f>IFERROR(__xludf.DUMMYFUNCTION("""COMPUTED_VALUE"""),"")</f>
        <v/>
      </c>
      <c r="P386" s="224" t="str">
        <f>IFERROR(__xludf.DUMMYFUNCTION("""COMPUTED_VALUE""")," ")</f>
        <v/>
      </c>
      <c r="Q386" s="225" t="str">
        <f>IFERROR(__xludf.DUMMYFUNCTION("""COMPUTED_VALUE"""),"")</f>
        <v/>
      </c>
      <c r="R386" s="211" t="str">
        <f>IFERROR(__xludf.DUMMYFUNCTION("""COMPUTED_VALUE"""),"")</f>
        <v/>
      </c>
      <c r="S386" s="211"/>
      <c r="T386" s="211"/>
      <c r="U386" s="211"/>
    </row>
    <row r="387">
      <c r="A387" s="222" t="str">
        <f>IFERROR(__xludf.DUMMYFUNCTION("""COMPUTED_VALUE"""),"06250485")</f>
        <v>06250485</v>
      </c>
      <c r="B387" s="211" t="str">
        <f>IFERROR(__xludf.DUMMYFUNCTION("""COMPUTED_VALUE"""),"02 Jun 2025")</f>
        <v>02 Jun 2025</v>
      </c>
      <c r="C387" s="211" t="str">
        <f>IFERROR(__xludf.DUMMYFUNCTION("""COMPUTED_VALUE"""),"PT Sinar Indogreen Kencana")</f>
        <v>PT Sinar Indogreen Kencana</v>
      </c>
      <c r="D387" s="211" t="str">
        <f>IFERROR(__xludf.DUMMYFUNCTION("""COMPUTED_VALUE"""),"LPG 12kg")</f>
        <v>LPG 12kg</v>
      </c>
      <c r="E387" s="211" t="str">
        <f>IFERROR(__xludf.DUMMYFUNCTION("""COMPUTED_VALUE"""),"1")</f>
        <v>1</v>
      </c>
      <c r="F387" s="211" t="str">
        <f>IFERROR(__xludf.DUMMYFUNCTION("""COMPUTED_VALUE"""),"210001")</f>
        <v>210001</v>
      </c>
      <c r="G387" s="211"/>
      <c r="H387" s="211"/>
      <c r="I387" s="211">
        <f>IFERROR(__xludf.DUMMYFUNCTION("""COMPUTED_VALUE"""),210001.0)</f>
        <v>210001</v>
      </c>
      <c r="J387" s="211" t="str">
        <f>IFERROR(__xludf.DUMMYFUNCTION("""COMPUTED_VALUE"""),"Ya")</f>
        <v>Ya</v>
      </c>
      <c r="L387" s="211"/>
      <c r="M387" s="211"/>
      <c r="N387" s="211" t="str">
        <f>IFERROR(__xludf.DUMMYFUNCTION("""COMPUTED_VALUE"""),"")</f>
        <v/>
      </c>
      <c r="O387" s="211" t="str">
        <f>IFERROR(__xludf.DUMMYFUNCTION("""COMPUTED_VALUE"""),"")</f>
        <v/>
      </c>
      <c r="P387" s="224" t="str">
        <f>IFERROR(__xludf.DUMMYFUNCTION("""COMPUTED_VALUE""")," ")</f>
        <v/>
      </c>
      <c r="Q387" s="225" t="str">
        <f>IFERROR(__xludf.DUMMYFUNCTION("""COMPUTED_VALUE"""),"")</f>
        <v/>
      </c>
      <c r="R387" s="211" t="str">
        <f>IFERROR(__xludf.DUMMYFUNCTION("""COMPUTED_VALUE"""),"")</f>
        <v/>
      </c>
      <c r="S387" s="211"/>
      <c r="T387" s="211"/>
      <c r="U387" s="211"/>
    </row>
    <row r="388">
      <c r="A388" s="222" t="str">
        <f>IFERROR(__xludf.DUMMYFUNCTION("""COMPUTED_VALUE"""),"06250486")</f>
        <v>06250486</v>
      </c>
      <c r="B388" s="211" t="str">
        <f>IFERROR(__xludf.DUMMYFUNCTION("""COMPUTED_VALUE"""),"03 Jun 2025")</f>
        <v>03 Jun 2025</v>
      </c>
      <c r="C388" s="211" t="str">
        <f>IFERROR(__xludf.DUMMYFUNCTION("""COMPUTED_VALUE"""),"PT Pandu Mulia Bersama")</f>
        <v>PT Pandu Mulia Bersama</v>
      </c>
      <c r="D388" s="211" t="str">
        <f>IFERROR(__xludf.DUMMYFUNCTION("""COMPUTED_VALUE"""),"Oksigen 7m3
LPG 12kg")</f>
        <v>Oksigen 7m3
LPG 12kg</v>
      </c>
      <c r="E388" s="211" t="str">
        <f>IFERROR(__xludf.DUMMYFUNCTION("""COMPUTED_VALUE"""),"10
2")</f>
        <v>10
2</v>
      </c>
      <c r="F388" s="211" t="str">
        <f>IFERROR(__xludf.DUMMYFUNCTION("""COMPUTED_VALUE"""),"666000
444000")</f>
        <v>666000
444000</v>
      </c>
      <c r="G388" s="211"/>
      <c r="H388" s="211"/>
      <c r="I388" s="211">
        <f>IFERROR(__xludf.DUMMYFUNCTION("""COMPUTED_VALUE"""),1110000.0)</f>
        <v>1110000</v>
      </c>
      <c r="J388" s="211" t="str">
        <f>IFERROR(__xludf.DUMMYFUNCTION("""COMPUTED_VALUE"""),"Tidak")</f>
        <v>Tidak</v>
      </c>
      <c r="L388" s="211"/>
      <c r="M388" s="211"/>
      <c r="N388" s="211" t="str">
        <f>IFERROR(__xludf.DUMMYFUNCTION("""COMPUTED_VALUE"""),"")</f>
        <v/>
      </c>
      <c r="O388" s="211" t="str">
        <f>IFERROR(__xludf.DUMMYFUNCTION("""COMPUTED_VALUE"""),"")</f>
        <v/>
      </c>
      <c r="P388" s="224" t="str">
        <f>IFERROR(__xludf.DUMMYFUNCTION("""COMPUTED_VALUE""")," ")</f>
        <v/>
      </c>
      <c r="Q388" s="225" t="str">
        <f>IFERROR(__xludf.DUMMYFUNCTION("""COMPUTED_VALUE"""),"")</f>
        <v/>
      </c>
      <c r="R388" s="211" t="str">
        <f>IFERROR(__xludf.DUMMYFUNCTION("""COMPUTED_VALUE"""),"")</f>
        <v/>
      </c>
      <c r="S388" s="211"/>
      <c r="T388" s="211"/>
      <c r="U388" s="211"/>
    </row>
    <row r="389">
      <c r="A389" s="222" t="str">
        <f>IFERROR(__xludf.DUMMYFUNCTION("""COMPUTED_VALUE"""),"06250488")</f>
        <v>06250488</v>
      </c>
      <c r="B389" s="211" t="str">
        <f>IFERROR(__xludf.DUMMYFUNCTION("""COMPUTED_VALUE"""),"03 Jun 2025")</f>
        <v>03 Jun 2025</v>
      </c>
      <c r="C389" s="211" t="str">
        <f>IFERROR(__xludf.DUMMYFUNCTION("""COMPUTED_VALUE"""),"Bpk. Joko (Gresik)")</f>
        <v>Bpk. Joko (Gresik)</v>
      </c>
      <c r="D389" s="211" t="str">
        <f>IFERROR(__xludf.DUMMYFUNCTION("""COMPUTED_VALUE"""),"Oksigen 6m3 MR
Karbondioksida MR")</f>
        <v>Oksigen 6m3 MR
Karbondioksida MR</v>
      </c>
      <c r="E389" s="211" t="str">
        <f>IFERROR(__xludf.DUMMYFUNCTION("""COMPUTED_VALUE"""),"10
1")</f>
        <v>10
1</v>
      </c>
      <c r="F389" s="211" t="str">
        <f>IFERROR(__xludf.DUMMYFUNCTION("""COMPUTED_VALUE"""),"550000
160000")</f>
        <v>550000
160000</v>
      </c>
      <c r="G389" s="211"/>
      <c r="H389" s="211"/>
      <c r="I389" s="211">
        <f>IFERROR(__xludf.DUMMYFUNCTION("""COMPUTED_VALUE"""),710000.0)</f>
        <v>710000</v>
      </c>
      <c r="J389" s="211"/>
      <c r="L389" s="211"/>
      <c r="M389" s="211"/>
      <c r="N389" s="211" t="str">
        <f>IFERROR(__xludf.DUMMYFUNCTION("""COMPUTED_VALUE"""),"")</f>
        <v/>
      </c>
      <c r="O389" s="211" t="str">
        <f>IFERROR(__xludf.DUMMYFUNCTION("""COMPUTED_VALUE"""),"")</f>
        <v/>
      </c>
      <c r="P389" s="224" t="str">
        <f>IFERROR(__xludf.DUMMYFUNCTION("""COMPUTED_VALUE""")," ")</f>
        <v/>
      </c>
      <c r="Q389" s="225" t="str">
        <f>IFERROR(__xludf.DUMMYFUNCTION("""COMPUTED_VALUE"""),"")</f>
        <v/>
      </c>
      <c r="R389" s="211" t="str">
        <f>IFERROR(__xludf.DUMMYFUNCTION("""COMPUTED_VALUE"""),"")</f>
        <v/>
      </c>
      <c r="S389" s="211"/>
      <c r="T389" s="211"/>
      <c r="U389" s="211"/>
    </row>
    <row r="390">
      <c r="A390" s="222" t="str">
        <f>IFERROR(__xludf.DUMMYFUNCTION("""COMPUTED_VALUE"""),"06250490")</f>
        <v>06250490</v>
      </c>
      <c r="B390" s="211" t="str">
        <f>IFERROR(__xludf.DUMMYFUNCTION("""COMPUTED_VALUE"""),"03 Jun 2025")</f>
        <v>03 Jun 2025</v>
      </c>
      <c r="C390" s="211" t="str">
        <f>IFERROR(__xludf.DUMMYFUNCTION("""COMPUTED_VALUE"""),"PT Dingsheng Metal Indonesia (Ngoro)")</f>
        <v>PT Dingsheng Metal Indonesia (Ngoro)</v>
      </c>
      <c r="D390" s="211" t="str">
        <f>IFERROR(__xludf.DUMMYFUNCTION("""COMPUTED_VALUE"""),"Oksigen 6m3")</f>
        <v>Oksigen 6m3</v>
      </c>
      <c r="E390" s="211" t="str">
        <f>IFERROR(__xludf.DUMMYFUNCTION("""COMPUTED_VALUE"""),"5")</f>
        <v>5</v>
      </c>
      <c r="F390" s="211" t="str">
        <f>IFERROR(__xludf.DUMMYFUNCTION("""COMPUTED_VALUE"""),"250000")</f>
        <v>250000</v>
      </c>
      <c r="G390" s="211"/>
      <c r="H390" s="211"/>
      <c r="I390" s="211">
        <f>IFERROR(__xludf.DUMMYFUNCTION("""COMPUTED_VALUE"""),250000.0)</f>
        <v>250000</v>
      </c>
      <c r="J390" s="211"/>
      <c r="L390" s="211"/>
      <c r="M390" s="211"/>
      <c r="N390" s="211" t="str">
        <f>IFERROR(__xludf.DUMMYFUNCTION("""COMPUTED_VALUE"""),"")</f>
        <v/>
      </c>
      <c r="O390" s="211" t="str">
        <f>IFERROR(__xludf.DUMMYFUNCTION("""COMPUTED_VALUE"""),"")</f>
        <v/>
      </c>
      <c r="P390" s="224" t="str">
        <f>IFERROR(__xludf.DUMMYFUNCTION("""COMPUTED_VALUE""")," ")</f>
        <v/>
      </c>
      <c r="Q390" s="225" t="str">
        <f>IFERROR(__xludf.DUMMYFUNCTION("""COMPUTED_VALUE"""),"")</f>
        <v/>
      </c>
      <c r="R390" s="211" t="str">
        <f>IFERROR(__xludf.DUMMYFUNCTION("""COMPUTED_VALUE"""),"")</f>
        <v/>
      </c>
      <c r="S390" s="211"/>
      <c r="T390" s="211"/>
      <c r="U390" s="211"/>
    </row>
    <row r="391">
      <c r="A391" s="222" t="str">
        <f>IFERROR(__xludf.DUMMYFUNCTION("""COMPUTED_VALUE"""),"06250491")</f>
        <v>06250491</v>
      </c>
      <c r="B391" s="211" t="str">
        <f>IFERROR(__xludf.DUMMYFUNCTION("""COMPUTED_VALUE"""),"03 Jun 2025")</f>
        <v>03 Jun 2025</v>
      </c>
      <c r="C391" s="211" t="str">
        <f>IFERROR(__xludf.DUMMYFUNCTION("""COMPUTED_VALUE"""),"Bpk. Ari Budiarto")</f>
        <v>Bpk. Ari Budiarto</v>
      </c>
      <c r="D391" s="211" t="str">
        <f>IFERROR(__xludf.DUMMYFUNCTION("""COMPUTED_VALUE"""),"Argon 6m3")</f>
        <v>Argon 6m3</v>
      </c>
      <c r="E391" s="211" t="str">
        <f>IFERROR(__xludf.DUMMYFUNCTION("""COMPUTED_VALUE"""),"1")</f>
        <v>1</v>
      </c>
      <c r="F391" s="211" t="str">
        <f>IFERROR(__xludf.DUMMYFUNCTION("""COMPUTED_VALUE"""),"200000")</f>
        <v>200000</v>
      </c>
      <c r="G391" s="211"/>
      <c r="H391" s="211"/>
      <c r="I391" s="211">
        <f>IFERROR(__xludf.DUMMYFUNCTION("""COMPUTED_VALUE"""),200000.0)</f>
        <v>200000</v>
      </c>
      <c r="J391" s="211"/>
      <c r="L391" s="211"/>
      <c r="M391" s="211"/>
      <c r="N391" s="211" t="str">
        <f>IFERROR(__xludf.DUMMYFUNCTION("""COMPUTED_VALUE"""),"")</f>
        <v/>
      </c>
      <c r="O391" s="211" t="str">
        <f>IFERROR(__xludf.DUMMYFUNCTION("""COMPUTED_VALUE"""),"")</f>
        <v/>
      </c>
      <c r="P391" s="224" t="str">
        <f>IFERROR(__xludf.DUMMYFUNCTION("""COMPUTED_VALUE""")," ")</f>
        <v/>
      </c>
      <c r="Q391" s="225" t="str">
        <f>IFERROR(__xludf.DUMMYFUNCTION("""COMPUTED_VALUE"""),"")</f>
        <v/>
      </c>
      <c r="R391" s="211" t="str">
        <f>IFERROR(__xludf.DUMMYFUNCTION("""COMPUTED_VALUE"""),"")</f>
        <v/>
      </c>
      <c r="S391" s="211"/>
      <c r="T391" s="211"/>
      <c r="U391" s="211"/>
    </row>
    <row r="392">
      <c r="A392" s="222" t="str">
        <f>IFERROR(__xludf.DUMMYFUNCTION("""COMPUTED_VALUE"""),"06250492")</f>
        <v>06250492</v>
      </c>
      <c r="B392" s="211" t="str">
        <f>IFERROR(__xludf.DUMMYFUNCTION("""COMPUTED_VALUE"""),"04 Jun 2025")</f>
        <v>04 Jun 2025</v>
      </c>
      <c r="C392" s="211" t="str">
        <f>IFERROR(__xludf.DUMMYFUNCTION("""COMPUTED_VALUE"""),"PT GEMILANG CIPTA WAWASAN")</f>
        <v>PT GEMILANG CIPTA WAWASAN</v>
      </c>
      <c r="D392" s="211" t="str">
        <f>IFERROR(__xludf.DUMMYFUNCTION("""COMPUTED_VALUE"""),"Argon 6m3")</f>
        <v>Argon 6m3</v>
      </c>
      <c r="E392" s="211" t="str">
        <f>IFERROR(__xludf.DUMMYFUNCTION("""COMPUTED_VALUE"""),"10")</f>
        <v>10</v>
      </c>
      <c r="F392" s="211" t="str">
        <f>IFERROR(__xludf.DUMMYFUNCTION("""COMPUTED_VALUE"""),"2053500")</f>
        <v>2053500</v>
      </c>
      <c r="G392" s="211"/>
      <c r="H392" s="211"/>
      <c r="I392" s="211">
        <f>IFERROR(__xludf.DUMMYFUNCTION("""COMPUTED_VALUE"""),2053500.0)</f>
        <v>2053500</v>
      </c>
      <c r="J392" s="211" t="str">
        <f>IFERROR(__xludf.DUMMYFUNCTION("""COMPUTED_VALUE"""),"Tidak")</f>
        <v>Tidak</v>
      </c>
      <c r="L392" s="211"/>
      <c r="M392" s="211"/>
      <c r="N392" s="211" t="str">
        <f>IFERROR(__xludf.DUMMYFUNCTION("""COMPUTED_VALUE"""),"")</f>
        <v/>
      </c>
      <c r="O392" s="211" t="str">
        <f>IFERROR(__xludf.DUMMYFUNCTION("""COMPUTED_VALUE"""),"")</f>
        <v/>
      </c>
      <c r="P392" s="224" t="str">
        <f>IFERROR(__xludf.DUMMYFUNCTION("""COMPUTED_VALUE""")," ")</f>
        <v/>
      </c>
      <c r="Q392" s="225" t="str">
        <f>IFERROR(__xludf.DUMMYFUNCTION("""COMPUTED_VALUE"""),"")</f>
        <v/>
      </c>
      <c r="R392" s="211" t="str">
        <f>IFERROR(__xludf.DUMMYFUNCTION("""COMPUTED_VALUE"""),"")</f>
        <v/>
      </c>
      <c r="S392" s="211"/>
      <c r="T392" s="211"/>
      <c r="U392" s="211"/>
    </row>
    <row r="393">
      <c r="A393" s="222" t="str">
        <f>IFERROR(__xludf.DUMMYFUNCTION("""COMPUTED_VALUE"""),"06250493")</f>
        <v>06250493</v>
      </c>
      <c r="B393" s="211" t="str">
        <f>IFERROR(__xludf.DUMMYFUNCTION("""COMPUTED_VALUE"""),"04 Jun 2025")</f>
        <v>04 Jun 2025</v>
      </c>
      <c r="C393" s="211" t="str">
        <f>IFERROR(__xludf.DUMMYFUNCTION("""COMPUTED_VALUE"""),"Bpk. Sulaiman")</f>
        <v>Bpk. Sulaiman</v>
      </c>
      <c r="D393" s="211" t="str">
        <f>IFERROR(__xludf.DUMMYFUNCTION("""COMPUTED_VALUE"""),"Oksigen 6m3 MR")</f>
        <v>Oksigen 6m3 MR</v>
      </c>
      <c r="E393" s="211" t="str">
        <f>IFERROR(__xludf.DUMMYFUNCTION("""COMPUTED_VALUE"""),"1")</f>
        <v>1</v>
      </c>
      <c r="F393" s="211" t="str">
        <f>IFERROR(__xludf.DUMMYFUNCTION("""COMPUTED_VALUE"""),"55000")</f>
        <v>55000</v>
      </c>
      <c r="G393" s="211"/>
      <c r="H393" s="211"/>
      <c r="I393" s="211">
        <f>IFERROR(__xludf.DUMMYFUNCTION("""COMPUTED_VALUE"""),55000.0)</f>
        <v>55000</v>
      </c>
      <c r="J393" s="211"/>
      <c r="L393" s="211"/>
      <c r="M393" s="211"/>
      <c r="N393" s="211" t="str">
        <f>IFERROR(__xludf.DUMMYFUNCTION("""COMPUTED_VALUE"""),"")</f>
        <v/>
      </c>
      <c r="O393" s="211" t="str">
        <f>IFERROR(__xludf.DUMMYFUNCTION("""COMPUTED_VALUE"""),"")</f>
        <v/>
      </c>
      <c r="P393" s="224" t="str">
        <f>IFERROR(__xludf.DUMMYFUNCTION("""COMPUTED_VALUE""")," ")</f>
        <v/>
      </c>
      <c r="Q393" s="225" t="str">
        <f>IFERROR(__xludf.DUMMYFUNCTION("""COMPUTED_VALUE"""),"")</f>
        <v/>
      </c>
      <c r="R393" s="211" t="str">
        <f>IFERROR(__xludf.DUMMYFUNCTION("""COMPUTED_VALUE"""),"")</f>
        <v/>
      </c>
      <c r="S393" s="211"/>
      <c r="T393" s="211"/>
      <c r="U393" s="211"/>
    </row>
    <row r="394">
      <c r="A394" s="222" t="str">
        <f>IFERROR(__xludf.DUMMYFUNCTION("""COMPUTED_VALUE"""),"06250494")</f>
        <v>06250494</v>
      </c>
      <c r="B394" s="211" t="str">
        <f>IFERROR(__xludf.DUMMYFUNCTION("""COMPUTED_VALUE"""),"04 Jun 2025")</f>
        <v>04 Jun 2025</v>
      </c>
      <c r="C394" s="211" t="str">
        <f>IFERROR(__xludf.DUMMYFUNCTION("""COMPUTED_VALUE"""),"Bengkel Las Bpk. Ari")</f>
        <v>Bengkel Las Bpk. Ari</v>
      </c>
      <c r="D394" s="211" t="str">
        <f>IFERROR(__xludf.DUMMYFUNCTION("""COMPUTED_VALUE"""),"Oksigen 6m3")</f>
        <v>Oksigen 6m3</v>
      </c>
      <c r="E394" s="211" t="str">
        <f>IFERROR(__xludf.DUMMYFUNCTION("""COMPUTED_VALUE"""),"2")</f>
        <v>2</v>
      </c>
      <c r="F394" s="211" t="str">
        <f>IFERROR(__xludf.DUMMYFUNCTION("""COMPUTED_VALUE"""),"120000")</f>
        <v>120000</v>
      </c>
      <c r="G394" s="211"/>
      <c r="H394" s="211"/>
      <c r="I394" s="211">
        <f>IFERROR(__xludf.DUMMYFUNCTION("""COMPUTED_VALUE"""),120000.0)</f>
        <v>120000</v>
      </c>
      <c r="J394" s="211"/>
      <c r="L394" s="211"/>
      <c r="M394" s="211"/>
      <c r="N394" s="211" t="str">
        <f>IFERROR(__xludf.DUMMYFUNCTION("""COMPUTED_VALUE"""),"")</f>
        <v/>
      </c>
      <c r="O394" s="211" t="str">
        <f>IFERROR(__xludf.DUMMYFUNCTION("""COMPUTED_VALUE"""),"")</f>
        <v/>
      </c>
      <c r="P394" s="224" t="str">
        <f>IFERROR(__xludf.DUMMYFUNCTION("""COMPUTED_VALUE""")," ")</f>
        <v/>
      </c>
      <c r="Q394" s="225" t="str">
        <f>IFERROR(__xludf.DUMMYFUNCTION("""COMPUTED_VALUE"""),"")</f>
        <v/>
      </c>
      <c r="R394" s="211" t="str">
        <f>IFERROR(__xludf.DUMMYFUNCTION("""COMPUTED_VALUE"""),"")</f>
        <v/>
      </c>
      <c r="S394" s="211"/>
      <c r="T394" s="211"/>
      <c r="U394" s="211"/>
    </row>
    <row r="395">
      <c r="A395" s="222" t="str">
        <f>IFERROR(__xludf.DUMMYFUNCTION("""COMPUTED_VALUE"""),"06250495")</f>
        <v>06250495</v>
      </c>
      <c r="B395" s="211" t="str">
        <f>IFERROR(__xludf.DUMMYFUNCTION("""COMPUTED_VALUE"""),"04 Jun 2025")</f>
        <v>04 Jun 2025</v>
      </c>
      <c r="C395" s="211" t="str">
        <f>IFERROR(__xludf.DUMMYFUNCTION("""COMPUTED_VALUE"""),"Devi Arianto")</f>
        <v>Devi Arianto</v>
      </c>
      <c r="D395" s="211" t="str">
        <f>IFERROR(__xludf.DUMMYFUNCTION("""COMPUTED_VALUE"""),"Oksigen 6m3")</f>
        <v>Oksigen 6m3</v>
      </c>
      <c r="E395" s="211" t="str">
        <f>IFERROR(__xludf.DUMMYFUNCTION("""COMPUTED_VALUE"""),"1")</f>
        <v>1</v>
      </c>
      <c r="F395" s="211" t="str">
        <f>IFERROR(__xludf.DUMMYFUNCTION("""COMPUTED_VALUE"""),"80000")</f>
        <v>80000</v>
      </c>
      <c r="G395" s="211"/>
      <c r="H395" s="211"/>
      <c r="I395" s="211">
        <f>IFERROR(__xludf.DUMMYFUNCTION("""COMPUTED_VALUE"""),80000.0)</f>
        <v>80000</v>
      </c>
      <c r="J395" s="211"/>
      <c r="L395" s="211"/>
      <c r="M395" s="211"/>
      <c r="N395" s="211" t="str">
        <f>IFERROR(__xludf.DUMMYFUNCTION("""COMPUTED_VALUE"""),"")</f>
        <v/>
      </c>
      <c r="O395" s="211" t="str">
        <f>IFERROR(__xludf.DUMMYFUNCTION("""COMPUTED_VALUE"""),"")</f>
        <v/>
      </c>
      <c r="P395" s="224" t="str">
        <f>IFERROR(__xludf.DUMMYFUNCTION("""COMPUTED_VALUE""")," ")</f>
        <v/>
      </c>
      <c r="Q395" s="225" t="str">
        <f>IFERROR(__xludf.DUMMYFUNCTION("""COMPUTED_VALUE"""),"")</f>
        <v/>
      </c>
      <c r="R395" s="211" t="str">
        <f>IFERROR(__xludf.DUMMYFUNCTION("""COMPUTED_VALUE"""),"")</f>
        <v/>
      </c>
      <c r="S395" s="211"/>
      <c r="T395" s="211"/>
      <c r="U395" s="211"/>
    </row>
    <row r="396">
      <c r="A396" s="222" t="str">
        <f>IFERROR(__xludf.DUMMYFUNCTION("""COMPUTED_VALUE"""),"06250496")</f>
        <v>06250496</v>
      </c>
      <c r="B396" s="211" t="str">
        <f>IFERROR(__xludf.DUMMYFUNCTION("""COMPUTED_VALUE"""),"05 Jun 2025")</f>
        <v>05 Jun 2025</v>
      </c>
      <c r="C396" s="211" t="str">
        <f>IFERROR(__xludf.DUMMYFUNCTION("""COMPUTED_VALUE"""),"PT GEMILANG CIPTA WAWASAN")</f>
        <v>PT GEMILANG CIPTA WAWASAN</v>
      </c>
      <c r="D396" s="211" t="str">
        <f>IFERROR(__xludf.DUMMYFUNCTION("""COMPUTED_VALUE"""),"Oksigen 6m3
LPG 12kg")</f>
        <v>Oksigen 6m3
LPG 12kg</v>
      </c>
      <c r="E396" s="211" t="str">
        <f>IFERROR(__xludf.DUMMYFUNCTION("""COMPUTED_VALUE"""),"5
5")</f>
        <v>5
5</v>
      </c>
      <c r="F396" s="211" t="str">
        <f>IFERROR(__xludf.DUMMYFUNCTION("""COMPUTED_VALUE"""),"333000
1165500")</f>
        <v>333000
1165500</v>
      </c>
      <c r="G396" s="211"/>
      <c r="H396" s="211"/>
      <c r="I396" s="211">
        <f>IFERROR(__xludf.DUMMYFUNCTION("""COMPUTED_VALUE"""),1498500.0)</f>
        <v>1498500</v>
      </c>
      <c r="J396" s="211" t="str">
        <f>IFERROR(__xludf.DUMMYFUNCTION("""COMPUTED_VALUE"""),"Tidak")</f>
        <v>Tidak</v>
      </c>
      <c r="L396" s="211"/>
      <c r="M396" s="211"/>
      <c r="N396" s="211" t="str">
        <f>IFERROR(__xludf.DUMMYFUNCTION("""COMPUTED_VALUE"""),"")</f>
        <v/>
      </c>
      <c r="O396" s="211" t="str">
        <f>IFERROR(__xludf.DUMMYFUNCTION("""COMPUTED_VALUE"""),"")</f>
        <v/>
      </c>
      <c r="P396" s="224" t="str">
        <f>IFERROR(__xludf.DUMMYFUNCTION("""COMPUTED_VALUE""")," ")</f>
        <v/>
      </c>
      <c r="Q396" s="225" t="str">
        <f>IFERROR(__xludf.DUMMYFUNCTION("""COMPUTED_VALUE"""),"")</f>
        <v/>
      </c>
      <c r="R396" s="211" t="str">
        <f>IFERROR(__xludf.DUMMYFUNCTION("""COMPUTED_VALUE"""),"")</f>
        <v/>
      </c>
      <c r="S396" s="211"/>
      <c r="T396" s="211"/>
      <c r="U396" s="211"/>
    </row>
    <row r="397">
      <c r="A397" s="222" t="str">
        <f>IFERROR(__xludf.DUMMYFUNCTION("""COMPUTED_VALUE"""),"06250498")</f>
        <v>06250498</v>
      </c>
      <c r="B397" s="211" t="str">
        <f>IFERROR(__xludf.DUMMYFUNCTION("""COMPUTED_VALUE"""),"05 Jun 2025")</f>
        <v>05 Jun 2025</v>
      </c>
      <c r="C397" s="211" t="str">
        <f>IFERROR(__xludf.DUMMYFUNCTION("""COMPUTED_VALUE"""),"Bpk. Kohir (Maintenance Velg)")</f>
        <v>Bpk. Kohir (Maintenance Velg)</v>
      </c>
      <c r="D397" s="211" t="str">
        <f>IFERROR(__xludf.DUMMYFUNCTION("""COMPUTED_VALUE"""),"Oksigen 6m3")</f>
        <v>Oksigen 6m3</v>
      </c>
      <c r="E397" s="211" t="str">
        <f>IFERROR(__xludf.DUMMYFUNCTION("""COMPUTED_VALUE"""),"4")</f>
        <v>4</v>
      </c>
      <c r="F397" s="211" t="str">
        <f>IFERROR(__xludf.DUMMYFUNCTION("""COMPUTED_VALUE"""),"220000")</f>
        <v>220000</v>
      </c>
      <c r="G397" s="211"/>
      <c r="H397" s="211"/>
      <c r="I397" s="211">
        <f>IFERROR(__xludf.DUMMYFUNCTION("""COMPUTED_VALUE"""),220000.0)</f>
        <v>220000</v>
      </c>
      <c r="J397" s="211" t="str">
        <f>IFERROR(__xludf.DUMMYFUNCTION("""COMPUTED_VALUE"""),"Ya")</f>
        <v>Ya</v>
      </c>
      <c r="L397" s="211"/>
      <c r="M397" s="211"/>
      <c r="N397" s="211" t="str">
        <f>IFERROR(__xludf.DUMMYFUNCTION("""COMPUTED_VALUE"""),"")</f>
        <v/>
      </c>
      <c r="O397" s="211" t="str">
        <f>IFERROR(__xludf.DUMMYFUNCTION("""COMPUTED_VALUE"""),"")</f>
        <v/>
      </c>
      <c r="P397" s="224" t="str">
        <f>IFERROR(__xludf.DUMMYFUNCTION("""COMPUTED_VALUE""")," ")</f>
        <v/>
      </c>
      <c r="Q397" s="225" t="str">
        <f>IFERROR(__xludf.DUMMYFUNCTION("""COMPUTED_VALUE"""),"")</f>
        <v/>
      </c>
      <c r="R397" s="211" t="str">
        <f>IFERROR(__xludf.DUMMYFUNCTION("""COMPUTED_VALUE"""),"")</f>
        <v/>
      </c>
      <c r="S397" s="211"/>
      <c r="T397" s="211"/>
      <c r="U397" s="211"/>
    </row>
    <row r="398">
      <c r="A398" s="222" t="str">
        <f>IFERROR(__xludf.DUMMYFUNCTION("""COMPUTED_VALUE"""),"06250499")</f>
        <v>06250499</v>
      </c>
      <c r="B398" s="211" t="str">
        <f>IFERROR(__xludf.DUMMYFUNCTION("""COMPUTED_VALUE"""),"09 Jun 2025")</f>
        <v>09 Jun 2025</v>
      </c>
      <c r="C398" s="211" t="str">
        <f>IFERROR(__xludf.DUMMYFUNCTION("""COMPUTED_VALUE"""),"Bpk. Kohir (Maintenance Velg)")</f>
        <v>Bpk. Kohir (Maintenance Velg)</v>
      </c>
      <c r="D398" s="211" t="str">
        <f>IFERROR(__xludf.DUMMYFUNCTION("""COMPUTED_VALUE"""),"Oksigen 6m3
Karbondioksida")</f>
        <v>Oksigen 6m3
Karbondioksida</v>
      </c>
      <c r="E398" s="211" t="str">
        <f>IFERROR(__xludf.DUMMYFUNCTION("""COMPUTED_VALUE"""),"4
2")</f>
        <v>4
2</v>
      </c>
      <c r="F398" s="211" t="str">
        <f>IFERROR(__xludf.DUMMYFUNCTION("""COMPUTED_VALUE"""),"220000
330000")</f>
        <v>220000
330000</v>
      </c>
      <c r="G398" s="211"/>
      <c r="H398" s="211"/>
      <c r="I398" s="211">
        <f>IFERROR(__xludf.DUMMYFUNCTION("""COMPUTED_VALUE"""),550000.0)</f>
        <v>550000</v>
      </c>
      <c r="J398" s="211" t="str">
        <f>IFERROR(__xludf.DUMMYFUNCTION("""COMPUTED_VALUE"""),"Ya")</f>
        <v>Ya</v>
      </c>
      <c r="L398" s="211"/>
      <c r="M398" s="211"/>
      <c r="N398" s="211" t="str">
        <f>IFERROR(__xludf.DUMMYFUNCTION("""COMPUTED_VALUE"""),"")</f>
        <v/>
      </c>
      <c r="O398" s="211" t="str">
        <f>IFERROR(__xludf.DUMMYFUNCTION("""COMPUTED_VALUE"""),"")</f>
        <v/>
      </c>
      <c r="P398" s="224" t="str">
        <f>IFERROR(__xludf.DUMMYFUNCTION("""COMPUTED_VALUE""")," ")</f>
        <v/>
      </c>
      <c r="Q398" s="225" t="str">
        <f>IFERROR(__xludf.DUMMYFUNCTION("""COMPUTED_VALUE"""),"")</f>
        <v/>
      </c>
      <c r="R398" s="211" t="str">
        <f>IFERROR(__xludf.DUMMYFUNCTION("""COMPUTED_VALUE"""),"")</f>
        <v/>
      </c>
      <c r="S398" s="211"/>
      <c r="T398" s="211"/>
      <c r="U398" s="211"/>
    </row>
    <row r="399">
      <c r="A399" s="222" t="str">
        <f>IFERROR(__xludf.DUMMYFUNCTION("""COMPUTED_VALUE"""),"06250501")</f>
        <v>06250501</v>
      </c>
      <c r="B399" s="211" t="str">
        <f>IFERROR(__xludf.DUMMYFUNCTION("""COMPUTED_VALUE"""),"10 Jun 2025")</f>
        <v>10 Jun 2025</v>
      </c>
      <c r="C399" s="211" t="str">
        <f>IFERROR(__xludf.DUMMYFUNCTION("""COMPUTED_VALUE"""),"PT Jatim Abadi Perkasa Steel")</f>
        <v>PT Jatim Abadi Perkasa Steel</v>
      </c>
      <c r="D399" s="211" t="str">
        <f>IFERROR(__xludf.DUMMYFUNCTION("""COMPUTED_VALUE"""),"LPG 50kg")</f>
        <v>LPG 50kg</v>
      </c>
      <c r="E399" s="211" t="str">
        <f>IFERROR(__xludf.DUMMYFUNCTION("""COMPUTED_VALUE"""),"5")</f>
        <v>5</v>
      </c>
      <c r="F399" s="211" t="str">
        <f>IFERROR(__xludf.DUMMYFUNCTION("""COMPUTED_VALUE"""),"5050000")</f>
        <v>5050000</v>
      </c>
      <c r="G399" s="211"/>
      <c r="H399" s="211"/>
      <c r="I399" s="211">
        <f>IFERROR(__xludf.DUMMYFUNCTION("""COMPUTED_VALUE"""),5050000.0)</f>
        <v>5050000</v>
      </c>
      <c r="J399" s="211" t="str">
        <f>IFERROR(__xludf.DUMMYFUNCTION("""COMPUTED_VALUE"""),"Ya")</f>
        <v>Ya</v>
      </c>
      <c r="L399" s="211"/>
      <c r="M399" s="211"/>
      <c r="N399" s="211" t="str">
        <f>IFERROR(__xludf.DUMMYFUNCTION("""COMPUTED_VALUE"""),"")</f>
        <v/>
      </c>
      <c r="O399" s="211" t="str">
        <f>IFERROR(__xludf.DUMMYFUNCTION("""COMPUTED_VALUE"""),"")</f>
        <v/>
      </c>
      <c r="P399" s="224" t="str">
        <f>IFERROR(__xludf.DUMMYFUNCTION("""COMPUTED_VALUE""")," ")</f>
        <v/>
      </c>
      <c r="Q399" s="225" t="str">
        <f>IFERROR(__xludf.DUMMYFUNCTION("""COMPUTED_VALUE"""),"")</f>
        <v/>
      </c>
      <c r="R399" s="211" t="str">
        <f>IFERROR(__xludf.DUMMYFUNCTION("""COMPUTED_VALUE"""),"")</f>
        <v/>
      </c>
      <c r="S399" s="211"/>
      <c r="T399" s="211"/>
      <c r="U399" s="211"/>
    </row>
    <row r="400">
      <c r="A400" s="222" t="str">
        <f>IFERROR(__xludf.DUMMYFUNCTION("""COMPUTED_VALUE"""),"06250502")</f>
        <v>06250502</v>
      </c>
      <c r="B400" s="211" t="str">
        <f>IFERROR(__xludf.DUMMYFUNCTION("""COMPUTED_VALUE"""),"11 Jun 2025")</f>
        <v>11 Jun 2025</v>
      </c>
      <c r="C400" s="211" t="str">
        <f>IFERROR(__xludf.DUMMYFUNCTION("""COMPUTED_VALUE"""),"PT Sinar Indogreen Kencana")</f>
        <v>PT Sinar Indogreen Kencana</v>
      </c>
      <c r="D400" s="211" t="str">
        <f>IFERROR(__xludf.DUMMYFUNCTION("""COMPUTED_VALUE"""),"LPG 12kg")</f>
        <v>LPG 12kg</v>
      </c>
      <c r="E400" s="211" t="str">
        <f>IFERROR(__xludf.DUMMYFUNCTION("""COMPUTED_VALUE"""),"1")</f>
        <v>1</v>
      </c>
      <c r="F400" s="211" t="str">
        <f>IFERROR(__xludf.DUMMYFUNCTION("""COMPUTED_VALUE"""),"210001")</f>
        <v>210001</v>
      </c>
      <c r="G400" s="211"/>
      <c r="H400" s="211"/>
      <c r="I400" s="211">
        <f>IFERROR(__xludf.DUMMYFUNCTION("""COMPUTED_VALUE"""),210001.0)</f>
        <v>210001</v>
      </c>
      <c r="J400" s="211" t="str">
        <f>IFERROR(__xludf.DUMMYFUNCTION("""COMPUTED_VALUE"""),"Tidak")</f>
        <v>Tidak</v>
      </c>
      <c r="L400" s="211"/>
      <c r="M400" s="211"/>
      <c r="N400" s="211" t="str">
        <f>IFERROR(__xludf.DUMMYFUNCTION("""COMPUTED_VALUE"""),"")</f>
        <v/>
      </c>
      <c r="O400" s="211" t="str">
        <f>IFERROR(__xludf.DUMMYFUNCTION("""COMPUTED_VALUE"""),"")</f>
        <v/>
      </c>
      <c r="P400" s="224" t="str">
        <f>IFERROR(__xludf.DUMMYFUNCTION("""COMPUTED_VALUE""")," ")</f>
        <v/>
      </c>
      <c r="Q400" s="225" t="str">
        <f>IFERROR(__xludf.DUMMYFUNCTION("""COMPUTED_VALUE"""),"")</f>
        <v/>
      </c>
      <c r="R400" s="211" t="str">
        <f>IFERROR(__xludf.DUMMYFUNCTION("""COMPUTED_VALUE"""),"")</f>
        <v/>
      </c>
      <c r="S400" s="211"/>
      <c r="T400" s="211"/>
      <c r="U400" s="211"/>
    </row>
    <row r="401">
      <c r="A401" s="222" t="str">
        <f>IFERROR(__xludf.DUMMYFUNCTION("""COMPUTED_VALUE"""),"06250503")</f>
        <v>06250503</v>
      </c>
      <c r="B401" s="211" t="str">
        <f>IFERROR(__xludf.DUMMYFUNCTION("""COMPUTED_VALUE"""),"12 Jun 2025")</f>
        <v>12 Jun 2025</v>
      </c>
      <c r="C401" s="211" t="str">
        <f>IFERROR(__xludf.DUMMYFUNCTION("""COMPUTED_VALUE"""),"Bengkel Dian Jaya")</f>
        <v>Bengkel Dian Jaya</v>
      </c>
      <c r="D401" s="211" t="str">
        <f>IFERROR(__xludf.DUMMYFUNCTION("""COMPUTED_VALUE"""),"Oksigen 6m3")</f>
        <v>Oksigen 6m3</v>
      </c>
      <c r="E401" s="211" t="str">
        <f>IFERROR(__xludf.DUMMYFUNCTION("""COMPUTED_VALUE"""),"10")</f>
        <v>10</v>
      </c>
      <c r="F401" s="211" t="str">
        <f>IFERROR(__xludf.DUMMYFUNCTION("""COMPUTED_VALUE"""),"500000")</f>
        <v>500000</v>
      </c>
      <c r="G401" s="211"/>
      <c r="H401" s="211"/>
      <c r="I401" s="211">
        <f>IFERROR(__xludf.DUMMYFUNCTION("""COMPUTED_VALUE"""),500000.0)</f>
        <v>500000</v>
      </c>
      <c r="J401" s="211"/>
      <c r="L401" s="211"/>
      <c r="M401" s="211"/>
      <c r="N401" s="211" t="str">
        <f>IFERROR(__xludf.DUMMYFUNCTION("""COMPUTED_VALUE"""),"")</f>
        <v/>
      </c>
      <c r="O401" s="211" t="str">
        <f>IFERROR(__xludf.DUMMYFUNCTION("""COMPUTED_VALUE"""),"")</f>
        <v/>
      </c>
      <c r="P401" s="224" t="str">
        <f>IFERROR(__xludf.DUMMYFUNCTION("""COMPUTED_VALUE""")," ")</f>
        <v/>
      </c>
      <c r="Q401" s="225" t="str">
        <f>IFERROR(__xludf.DUMMYFUNCTION("""COMPUTED_VALUE"""),"")</f>
        <v/>
      </c>
      <c r="R401" s="211" t="str">
        <f>IFERROR(__xludf.DUMMYFUNCTION("""COMPUTED_VALUE"""),"")</f>
        <v/>
      </c>
      <c r="S401" s="211"/>
      <c r="T401" s="211"/>
      <c r="U401" s="211"/>
    </row>
    <row r="402">
      <c r="A402" s="222" t="str">
        <f>IFERROR(__xludf.DUMMYFUNCTION("""COMPUTED_VALUE"""),"06250504")</f>
        <v>06250504</v>
      </c>
      <c r="B402" s="211" t="str">
        <f>IFERROR(__xludf.DUMMYFUNCTION("""COMPUTED_VALUE"""),"12 Jun 2025")</f>
        <v>12 Jun 2025</v>
      </c>
      <c r="C402" s="211" t="str">
        <f>IFERROR(__xludf.DUMMYFUNCTION("""COMPUTED_VALUE"""),"Bpk. Sukirno (Bejo)")</f>
        <v>Bpk. Sukirno (Bejo)</v>
      </c>
      <c r="D402" s="211" t="str">
        <f>IFERROR(__xludf.DUMMYFUNCTION("""COMPUTED_VALUE"""),"Oksigen 6m3")</f>
        <v>Oksigen 6m3</v>
      </c>
      <c r="E402" s="211" t="str">
        <f>IFERROR(__xludf.DUMMYFUNCTION("""COMPUTED_VALUE"""),"10")</f>
        <v>10</v>
      </c>
      <c r="F402" s="211" t="str">
        <f>IFERROR(__xludf.DUMMYFUNCTION("""COMPUTED_VALUE"""),"600000")</f>
        <v>600000</v>
      </c>
      <c r="G402" s="211"/>
      <c r="H402" s="211"/>
      <c r="I402" s="211">
        <f>IFERROR(__xludf.DUMMYFUNCTION("""COMPUTED_VALUE"""),600000.0)</f>
        <v>600000</v>
      </c>
      <c r="J402" s="211"/>
      <c r="L402" s="211"/>
      <c r="M402" s="211"/>
      <c r="N402" s="211" t="str">
        <f>IFERROR(__xludf.DUMMYFUNCTION("""COMPUTED_VALUE"""),"")</f>
        <v/>
      </c>
      <c r="O402" s="211" t="str">
        <f>IFERROR(__xludf.DUMMYFUNCTION("""COMPUTED_VALUE"""),"")</f>
        <v/>
      </c>
      <c r="P402" s="224" t="str">
        <f>IFERROR(__xludf.DUMMYFUNCTION("""COMPUTED_VALUE""")," ")</f>
        <v/>
      </c>
      <c r="Q402" s="225" t="str">
        <f>IFERROR(__xludf.DUMMYFUNCTION("""COMPUTED_VALUE"""),"")</f>
        <v/>
      </c>
      <c r="R402" s="211" t="str">
        <f>IFERROR(__xludf.DUMMYFUNCTION("""COMPUTED_VALUE"""),"")</f>
        <v/>
      </c>
      <c r="S402" s="211"/>
      <c r="T402" s="211"/>
      <c r="U402" s="211"/>
    </row>
    <row r="403">
      <c r="A403" s="222" t="str">
        <f>IFERROR(__xludf.DUMMYFUNCTION("""COMPUTED_VALUE"""),"06250505")</f>
        <v>06250505</v>
      </c>
      <c r="B403" s="211" t="str">
        <f>IFERROR(__xludf.DUMMYFUNCTION("""COMPUTED_VALUE"""),"13 Jun 2025")</f>
        <v>13 Jun 2025</v>
      </c>
      <c r="C403" s="211" t="str">
        <f>IFERROR(__xludf.DUMMYFUNCTION("""COMPUTED_VALUE"""),"Bpk. Ari Budiarto")</f>
        <v>Bpk. Ari Budiarto</v>
      </c>
      <c r="D403" s="211" t="str">
        <f>IFERROR(__xludf.DUMMYFUNCTION("""COMPUTED_VALUE"""),"Argon 6m3")</f>
        <v>Argon 6m3</v>
      </c>
      <c r="E403" s="211" t="str">
        <f>IFERROR(__xludf.DUMMYFUNCTION("""COMPUTED_VALUE"""),"1")</f>
        <v>1</v>
      </c>
      <c r="F403" s="211" t="str">
        <f>IFERROR(__xludf.DUMMYFUNCTION("""COMPUTED_VALUE"""),"200000")</f>
        <v>200000</v>
      </c>
      <c r="G403" s="211"/>
      <c r="H403" s="211"/>
      <c r="I403" s="211">
        <f>IFERROR(__xludf.DUMMYFUNCTION("""COMPUTED_VALUE"""),200000.0)</f>
        <v>200000</v>
      </c>
      <c r="J403" s="211" t="str">
        <f>IFERROR(__xludf.DUMMYFUNCTION("""COMPUTED_VALUE"""),"Ya")</f>
        <v>Ya</v>
      </c>
      <c r="L403" s="211"/>
      <c r="M403" s="211"/>
      <c r="N403" s="211" t="str">
        <f>IFERROR(__xludf.DUMMYFUNCTION("""COMPUTED_VALUE"""),"")</f>
        <v/>
      </c>
      <c r="O403" s="211" t="str">
        <f>IFERROR(__xludf.DUMMYFUNCTION("""COMPUTED_VALUE"""),"")</f>
        <v/>
      </c>
      <c r="P403" s="224" t="str">
        <f>IFERROR(__xludf.DUMMYFUNCTION("""COMPUTED_VALUE""")," ")</f>
        <v/>
      </c>
      <c r="Q403" s="225" t="str">
        <f>IFERROR(__xludf.DUMMYFUNCTION("""COMPUTED_VALUE"""),"")</f>
        <v/>
      </c>
      <c r="R403" s="211" t="str">
        <f>IFERROR(__xludf.DUMMYFUNCTION("""COMPUTED_VALUE"""),"")</f>
        <v/>
      </c>
      <c r="S403" s="211"/>
      <c r="T403" s="211"/>
      <c r="U403" s="211"/>
    </row>
    <row r="404">
      <c r="A404" s="222" t="str">
        <f>IFERROR(__xludf.DUMMYFUNCTION("""COMPUTED_VALUE"""),"06250506")</f>
        <v>06250506</v>
      </c>
      <c r="B404" s="211" t="str">
        <f>IFERROR(__xludf.DUMMYFUNCTION("""COMPUTED_VALUE"""),"13 Jun 2025")</f>
        <v>13 Jun 2025</v>
      </c>
      <c r="C404" s="211" t="str">
        <f>IFERROR(__xludf.DUMMYFUNCTION("""COMPUTED_VALUE"""),"PT Dingsheng Metal Indonesia (Ngoro)")</f>
        <v>PT Dingsheng Metal Indonesia (Ngoro)</v>
      </c>
      <c r="D404" s="211" t="str">
        <f>IFERROR(__xludf.DUMMYFUNCTION("""COMPUTED_VALUE"""),"Oksigen 6m3")</f>
        <v>Oksigen 6m3</v>
      </c>
      <c r="E404" s="211" t="str">
        <f>IFERROR(__xludf.DUMMYFUNCTION("""COMPUTED_VALUE"""),"10")</f>
        <v>10</v>
      </c>
      <c r="F404" s="211" t="str">
        <f>IFERROR(__xludf.DUMMYFUNCTION("""COMPUTED_VALUE"""),"500000")</f>
        <v>500000</v>
      </c>
      <c r="G404" s="211"/>
      <c r="H404" s="211"/>
      <c r="I404" s="211">
        <f>IFERROR(__xludf.DUMMYFUNCTION("""COMPUTED_VALUE"""),500000.0)</f>
        <v>500000</v>
      </c>
      <c r="J404" s="211" t="str">
        <f>IFERROR(__xludf.DUMMYFUNCTION("""COMPUTED_VALUE"""),"Ya")</f>
        <v>Ya</v>
      </c>
      <c r="L404" s="211"/>
      <c r="M404" s="211"/>
      <c r="N404" s="211" t="str">
        <f>IFERROR(__xludf.DUMMYFUNCTION("""COMPUTED_VALUE"""),"")</f>
        <v/>
      </c>
      <c r="O404" s="211" t="str">
        <f>IFERROR(__xludf.DUMMYFUNCTION("""COMPUTED_VALUE"""),"")</f>
        <v/>
      </c>
      <c r="P404" s="224" t="str">
        <f>IFERROR(__xludf.DUMMYFUNCTION("""COMPUTED_VALUE""")," ")</f>
        <v/>
      </c>
      <c r="Q404" s="225" t="str">
        <f>IFERROR(__xludf.DUMMYFUNCTION("""COMPUTED_VALUE"""),"")</f>
        <v/>
      </c>
      <c r="R404" s="211" t="str">
        <f>IFERROR(__xludf.DUMMYFUNCTION("""COMPUTED_VALUE"""),"")</f>
        <v/>
      </c>
      <c r="S404" s="211"/>
      <c r="T404" s="211"/>
      <c r="U404" s="211"/>
    </row>
    <row r="405">
      <c r="A405" s="222" t="str">
        <f>IFERROR(__xludf.DUMMYFUNCTION("""COMPUTED_VALUE"""),"06250507")</f>
        <v>06250507</v>
      </c>
      <c r="B405" s="211" t="str">
        <f>IFERROR(__xludf.DUMMYFUNCTION("""COMPUTED_VALUE"""),"13 Jun 2025")</f>
        <v>13 Jun 2025</v>
      </c>
      <c r="C405" s="211" t="str">
        <f>IFERROR(__xludf.DUMMYFUNCTION("""COMPUTED_VALUE"""),"PT Hua Zong Mesindo")</f>
        <v>PT Hua Zong Mesindo</v>
      </c>
      <c r="D405" s="211" t="str">
        <f>IFERROR(__xludf.DUMMYFUNCTION("""COMPUTED_VALUE"""),"Karbondioksida
Oksigen 6m3")</f>
        <v>Karbondioksida
Oksigen 6m3</v>
      </c>
      <c r="E405" s="211" t="str">
        <f>IFERROR(__xludf.DUMMYFUNCTION("""COMPUTED_VALUE"""),"7
3")</f>
        <v>7
3</v>
      </c>
      <c r="F405" s="211" t="str">
        <f>IFERROR(__xludf.DUMMYFUNCTION("""COMPUTED_VALUE"""),"1120000
180000")</f>
        <v>1120000
180000</v>
      </c>
      <c r="G405" s="211"/>
      <c r="H405" s="211"/>
      <c r="I405" s="211">
        <f>IFERROR(__xludf.DUMMYFUNCTION("""COMPUTED_VALUE"""),1300000.0)</f>
        <v>1300000</v>
      </c>
      <c r="J405" s="211" t="str">
        <f>IFERROR(__xludf.DUMMYFUNCTION("""COMPUTED_VALUE"""),"Ya")</f>
        <v>Ya</v>
      </c>
      <c r="L405" s="211"/>
      <c r="M405" s="211"/>
      <c r="N405" s="211" t="str">
        <f>IFERROR(__xludf.DUMMYFUNCTION("""COMPUTED_VALUE"""),"")</f>
        <v/>
      </c>
      <c r="O405" s="211" t="str">
        <f>IFERROR(__xludf.DUMMYFUNCTION("""COMPUTED_VALUE"""),"")</f>
        <v/>
      </c>
      <c r="P405" s="224" t="str">
        <f>IFERROR(__xludf.DUMMYFUNCTION("""COMPUTED_VALUE""")," ")</f>
        <v/>
      </c>
      <c r="Q405" s="225" t="str">
        <f>IFERROR(__xludf.DUMMYFUNCTION("""COMPUTED_VALUE"""),"")</f>
        <v/>
      </c>
      <c r="R405" s="211" t="str">
        <f>IFERROR(__xludf.DUMMYFUNCTION("""COMPUTED_VALUE"""),"")</f>
        <v/>
      </c>
      <c r="S405" s="211"/>
      <c r="T405" s="211"/>
      <c r="U405" s="211"/>
    </row>
    <row r="406">
      <c r="A406" s="222" t="str">
        <f>IFERROR(__xludf.DUMMYFUNCTION("""COMPUTED_VALUE"""),"06250509")</f>
        <v>06250509</v>
      </c>
      <c r="B406" s="211" t="str">
        <f>IFERROR(__xludf.DUMMYFUNCTION("""COMPUTED_VALUE"""),"14 Jun 2025")</f>
        <v>14 Jun 2025</v>
      </c>
      <c r="C406" s="211" t="str">
        <f>IFERROR(__xludf.DUMMYFUNCTION("""COMPUTED_VALUE"""),"GYF")</f>
        <v>GYF</v>
      </c>
      <c r="D406" s="211" t="str">
        <f>IFERROR(__xludf.DUMMYFUNCTION("""COMPUTED_VALUE"""),"Oksigen 6m3")</f>
        <v>Oksigen 6m3</v>
      </c>
      <c r="E406" s="211" t="str">
        <f>IFERROR(__xludf.DUMMYFUNCTION("""COMPUTED_VALUE"""),"15")</f>
        <v>15</v>
      </c>
      <c r="F406" s="211" t="str">
        <f>IFERROR(__xludf.DUMMYFUNCTION("""COMPUTED_VALUE"""),"675000")</f>
        <v>675000</v>
      </c>
      <c r="G406" s="211"/>
      <c r="H406" s="211"/>
      <c r="I406" s="211">
        <f>IFERROR(__xludf.DUMMYFUNCTION("""COMPUTED_VALUE"""),675000.0)</f>
        <v>675000</v>
      </c>
      <c r="J406" s="211"/>
      <c r="L406" s="211"/>
      <c r="M406" s="211"/>
      <c r="N406" s="211" t="str">
        <f>IFERROR(__xludf.DUMMYFUNCTION("""COMPUTED_VALUE"""),"")</f>
        <v/>
      </c>
      <c r="O406" s="211" t="str">
        <f>IFERROR(__xludf.DUMMYFUNCTION("""COMPUTED_VALUE"""),"")</f>
        <v/>
      </c>
      <c r="P406" s="224" t="str">
        <f>IFERROR(__xludf.DUMMYFUNCTION("""COMPUTED_VALUE""")," ")</f>
        <v/>
      </c>
      <c r="Q406" s="225" t="str">
        <f>IFERROR(__xludf.DUMMYFUNCTION("""COMPUTED_VALUE"""),"")</f>
        <v/>
      </c>
      <c r="R406" s="211" t="str">
        <f>IFERROR(__xludf.DUMMYFUNCTION("""COMPUTED_VALUE"""),"")</f>
        <v/>
      </c>
      <c r="S406" s="211"/>
      <c r="T406" s="211"/>
      <c r="U406" s="211"/>
    </row>
    <row r="407">
      <c r="A407" s="222" t="str">
        <f>IFERROR(__xludf.DUMMYFUNCTION("""COMPUTED_VALUE"""),"06250510")</f>
        <v>06250510</v>
      </c>
      <c r="B407" s="211" t="str">
        <f>IFERROR(__xludf.DUMMYFUNCTION("""COMPUTED_VALUE"""),"14 Jun 2025")</f>
        <v>14 Jun 2025</v>
      </c>
      <c r="C407" s="211" t="str">
        <f>IFERROR(__xludf.DUMMYFUNCTION("""COMPUTED_VALUE"""),"Bengkel Adi Putra")</f>
        <v>Bengkel Adi Putra</v>
      </c>
      <c r="D407" s="211" t="str">
        <f>IFERROR(__xludf.DUMMYFUNCTION("""COMPUTED_VALUE"""),"Oksigen 6m3")</f>
        <v>Oksigen 6m3</v>
      </c>
      <c r="E407" s="211" t="str">
        <f>IFERROR(__xludf.DUMMYFUNCTION("""COMPUTED_VALUE"""),"1")</f>
        <v>1</v>
      </c>
      <c r="F407" s="211" t="str">
        <f>IFERROR(__xludf.DUMMYFUNCTION("""COMPUTED_VALUE"""),"70000")</f>
        <v>70000</v>
      </c>
      <c r="G407" s="211"/>
      <c r="H407" s="211"/>
      <c r="I407" s="211">
        <f>IFERROR(__xludf.DUMMYFUNCTION("""COMPUTED_VALUE"""),70000.0)</f>
        <v>70000</v>
      </c>
      <c r="J407" s="211"/>
      <c r="L407" s="211"/>
      <c r="M407" s="211"/>
      <c r="N407" s="211" t="str">
        <f>IFERROR(__xludf.DUMMYFUNCTION("""COMPUTED_VALUE"""),"")</f>
        <v/>
      </c>
      <c r="O407" s="211" t="str">
        <f>IFERROR(__xludf.DUMMYFUNCTION("""COMPUTED_VALUE"""),"")</f>
        <v/>
      </c>
      <c r="P407" s="224" t="str">
        <f>IFERROR(__xludf.DUMMYFUNCTION("""COMPUTED_VALUE""")," ")</f>
        <v/>
      </c>
      <c r="Q407" s="225" t="str">
        <f>IFERROR(__xludf.DUMMYFUNCTION("""COMPUTED_VALUE"""),"")</f>
        <v/>
      </c>
      <c r="R407" s="211" t="str">
        <f>IFERROR(__xludf.DUMMYFUNCTION("""COMPUTED_VALUE"""),"")</f>
        <v/>
      </c>
      <c r="S407" s="211"/>
      <c r="T407" s="211"/>
      <c r="U407" s="211"/>
    </row>
    <row r="408">
      <c r="A408" s="222" t="str">
        <f>IFERROR(__xludf.DUMMYFUNCTION("""COMPUTED_VALUE"""),"06250511")</f>
        <v>06250511</v>
      </c>
      <c r="B408" s="211" t="str">
        <f>IFERROR(__xludf.DUMMYFUNCTION("""COMPUTED_VALUE"""),"14 Jun 2025")</f>
        <v>14 Jun 2025</v>
      </c>
      <c r="C408" s="211" t="str">
        <f>IFERROR(__xludf.DUMMYFUNCTION("""COMPUTED_VALUE"""),"Bpk. Alvin (LB Group)")</f>
        <v>Bpk. Alvin (LB Group)</v>
      </c>
      <c r="D408" s="211" t="str">
        <f>IFERROR(__xludf.DUMMYFUNCTION("""COMPUTED_VALUE"""),"Oksigen 7m3
Karbondioksida
Argon 6m3")</f>
        <v>Oksigen 7m3
Karbondioksida
Argon 6m3</v>
      </c>
      <c r="E408" s="211" t="str">
        <f>IFERROR(__xludf.DUMMYFUNCTION("""COMPUTED_VALUE"""),"2
1
1")</f>
        <v>2
1
1</v>
      </c>
      <c r="F408" s="211" t="str">
        <f>IFERROR(__xludf.DUMMYFUNCTION("""COMPUTED_VALUE"""),"110000
165000
190000")</f>
        <v>110000
165000
190000</v>
      </c>
      <c r="G408" s="211"/>
      <c r="H408" s="211"/>
      <c r="I408" s="211">
        <f>IFERROR(__xludf.DUMMYFUNCTION("""COMPUTED_VALUE"""),465000.0)</f>
        <v>465000</v>
      </c>
      <c r="J408" s="211"/>
      <c r="L408" s="211"/>
      <c r="M408" s="211"/>
      <c r="N408" s="211" t="str">
        <f>IFERROR(__xludf.DUMMYFUNCTION("""COMPUTED_VALUE"""),"")</f>
        <v/>
      </c>
      <c r="O408" s="211" t="str">
        <f>IFERROR(__xludf.DUMMYFUNCTION("""COMPUTED_VALUE"""),"")</f>
        <v/>
      </c>
      <c r="P408" s="224" t="str">
        <f>IFERROR(__xludf.DUMMYFUNCTION("""COMPUTED_VALUE""")," ")</f>
        <v/>
      </c>
      <c r="Q408" s="225" t="str">
        <f>IFERROR(__xludf.DUMMYFUNCTION("""COMPUTED_VALUE"""),"")</f>
        <v/>
      </c>
      <c r="R408" s="211" t="str">
        <f>IFERROR(__xludf.DUMMYFUNCTION("""COMPUTED_VALUE"""),"")</f>
        <v/>
      </c>
      <c r="S408" s="211"/>
      <c r="T408" s="211"/>
      <c r="U408" s="211"/>
    </row>
    <row r="409">
      <c r="A409" s="222" t="str">
        <f>IFERROR(__xludf.DUMMYFUNCTION("""COMPUTED_VALUE"""),"06250514")</f>
        <v>06250514</v>
      </c>
      <c r="B409" s="211" t="str">
        <f>IFERROR(__xludf.DUMMYFUNCTION("""COMPUTED_VALUE"""),"14 Jun 2025")</f>
        <v>14 Jun 2025</v>
      </c>
      <c r="C409" s="211" t="str">
        <f>IFERROR(__xludf.DUMMYFUNCTION("""COMPUTED_VALUE"""),"Bpk. Abdul")</f>
        <v>Bpk. Abdul</v>
      </c>
      <c r="D409" s="211" t="str">
        <f>IFERROR(__xludf.DUMMYFUNCTION("""COMPUTED_VALUE"""),"Oksigen 6m3")</f>
        <v>Oksigen 6m3</v>
      </c>
      <c r="E409" s="211" t="str">
        <f>IFERROR(__xludf.DUMMYFUNCTION("""COMPUTED_VALUE"""),"1")</f>
        <v>1</v>
      </c>
      <c r="F409" s="211" t="str">
        <f>IFERROR(__xludf.DUMMYFUNCTION("""COMPUTED_VALUE"""),"80000")</f>
        <v>80000</v>
      </c>
      <c r="G409" s="211"/>
      <c r="H409" s="211"/>
      <c r="I409" s="211">
        <f>IFERROR(__xludf.DUMMYFUNCTION("""COMPUTED_VALUE"""),80000.0)</f>
        <v>80000</v>
      </c>
      <c r="J409" s="211"/>
      <c r="L409" s="211"/>
      <c r="M409" s="211"/>
      <c r="N409" s="211" t="str">
        <f>IFERROR(__xludf.DUMMYFUNCTION("""COMPUTED_VALUE"""),"")</f>
        <v/>
      </c>
      <c r="O409" s="211" t="str">
        <f>IFERROR(__xludf.DUMMYFUNCTION("""COMPUTED_VALUE"""),"")</f>
        <v/>
      </c>
      <c r="P409" s="224" t="str">
        <f>IFERROR(__xludf.DUMMYFUNCTION("""COMPUTED_VALUE""")," ")</f>
        <v/>
      </c>
      <c r="Q409" s="225" t="str">
        <f>IFERROR(__xludf.DUMMYFUNCTION("""COMPUTED_VALUE"""),"")</f>
        <v/>
      </c>
      <c r="R409" s="211" t="str">
        <f>IFERROR(__xludf.DUMMYFUNCTION("""COMPUTED_VALUE"""),"")</f>
        <v/>
      </c>
      <c r="S409" s="211"/>
      <c r="T409" s="211"/>
      <c r="U409" s="211"/>
    </row>
    <row r="410">
      <c r="A410" s="222" t="str">
        <f>IFERROR(__xludf.DUMMYFUNCTION("""COMPUTED_VALUE"""),"06250515")</f>
        <v>06250515</v>
      </c>
      <c r="B410" s="211" t="str">
        <f>IFERROR(__xludf.DUMMYFUNCTION("""COMPUTED_VALUE"""),"16 Jun 2025")</f>
        <v>16 Jun 2025</v>
      </c>
      <c r="C410" s="211" t="str">
        <f>IFERROR(__xludf.DUMMYFUNCTION("""COMPUTED_VALUE"""),"Devi Arianto")</f>
        <v>Devi Arianto</v>
      </c>
      <c r="D410" s="211" t="str">
        <f>IFERROR(__xludf.DUMMYFUNCTION("""COMPUTED_VALUE"""),"Oksigen 6m3")</f>
        <v>Oksigen 6m3</v>
      </c>
      <c r="E410" s="211" t="str">
        <f>IFERROR(__xludf.DUMMYFUNCTION("""COMPUTED_VALUE"""),"1")</f>
        <v>1</v>
      </c>
      <c r="F410" s="211" t="str">
        <f>IFERROR(__xludf.DUMMYFUNCTION("""COMPUTED_VALUE"""),"80000")</f>
        <v>80000</v>
      </c>
      <c r="G410" s="211"/>
      <c r="H410" s="211"/>
      <c r="I410" s="211">
        <f>IFERROR(__xludf.DUMMYFUNCTION("""COMPUTED_VALUE"""),80000.0)</f>
        <v>80000</v>
      </c>
      <c r="J410" s="211"/>
      <c r="L410" s="211"/>
      <c r="M410" s="211"/>
      <c r="N410" s="211" t="str">
        <f>IFERROR(__xludf.DUMMYFUNCTION("""COMPUTED_VALUE"""),"")</f>
        <v/>
      </c>
      <c r="O410" s="211" t="str">
        <f>IFERROR(__xludf.DUMMYFUNCTION("""COMPUTED_VALUE"""),"")</f>
        <v/>
      </c>
      <c r="P410" s="224" t="str">
        <f>IFERROR(__xludf.DUMMYFUNCTION("""COMPUTED_VALUE""")," ")</f>
        <v/>
      </c>
      <c r="Q410" s="225" t="str">
        <f>IFERROR(__xludf.DUMMYFUNCTION("""COMPUTED_VALUE"""),"")</f>
        <v/>
      </c>
      <c r="R410" s="211" t="str">
        <f>IFERROR(__xludf.DUMMYFUNCTION("""COMPUTED_VALUE"""),"")</f>
        <v/>
      </c>
      <c r="S410" s="211"/>
      <c r="T410" s="211"/>
      <c r="U410" s="211"/>
    </row>
    <row r="411">
      <c r="A411" s="222" t="str">
        <f>IFERROR(__xludf.DUMMYFUNCTION("""COMPUTED_VALUE"""),"06250516")</f>
        <v>06250516</v>
      </c>
      <c r="B411" s="211" t="str">
        <f>IFERROR(__xludf.DUMMYFUNCTION("""COMPUTED_VALUE"""),"16 Jun 2025")</f>
        <v>16 Jun 2025</v>
      </c>
      <c r="C411" s="211" t="str">
        <f>IFERROR(__xludf.DUMMYFUNCTION("""COMPUTED_VALUE"""),"PT Amtech")</f>
        <v>PT Amtech</v>
      </c>
      <c r="D411" s="211" t="str">
        <f>IFERROR(__xludf.DUMMYFUNCTION("""COMPUTED_VALUE"""),"Argon 6m3")</f>
        <v>Argon 6m3</v>
      </c>
      <c r="E411" s="211" t="str">
        <f>IFERROR(__xludf.DUMMYFUNCTION("""COMPUTED_VALUE"""),"8")</f>
        <v>8</v>
      </c>
      <c r="F411" s="211" t="str">
        <f>IFERROR(__xludf.DUMMYFUNCTION("""COMPUTED_VALUE"""),"1687200")</f>
        <v>1687200</v>
      </c>
      <c r="G411" s="211"/>
      <c r="H411" s="211"/>
      <c r="I411" s="211">
        <f>IFERROR(__xludf.DUMMYFUNCTION("""COMPUTED_VALUE"""),1687200.0)</f>
        <v>1687200</v>
      </c>
      <c r="J411" s="211" t="str">
        <f>IFERROR(__xludf.DUMMYFUNCTION("""COMPUTED_VALUE"""),"Tidak")</f>
        <v>Tidak</v>
      </c>
      <c r="L411" s="211"/>
      <c r="M411" s="211"/>
      <c r="N411" s="211" t="str">
        <f>IFERROR(__xludf.DUMMYFUNCTION("""COMPUTED_VALUE"""),"")</f>
        <v/>
      </c>
      <c r="O411" s="211" t="str">
        <f>IFERROR(__xludf.DUMMYFUNCTION("""COMPUTED_VALUE"""),"")</f>
        <v/>
      </c>
      <c r="P411" s="224" t="str">
        <f>IFERROR(__xludf.DUMMYFUNCTION("""COMPUTED_VALUE""")," ")</f>
        <v/>
      </c>
      <c r="Q411" s="225" t="str">
        <f>IFERROR(__xludf.DUMMYFUNCTION("""COMPUTED_VALUE"""),"")</f>
        <v/>
      </c>
      <c r="R411" s="211" t="str">
        <f>IFERROR(__xludf.DUMMYFUNCTION("""COMPUTED_VALUE"""),"")</f>
        <v/>
      </c>
      <c r="S411" s="211"/>
      <c r="T411" s="211"/>
      <c r="U411" s="211"/>
    </row>
    <row r="412">
      <c r="A412" s="222" t="str">
        <f>IFERROR(__xludf.DUMMYFUNCTION("""COMPUTED_VALUE"""),"06250517")</f>
        <v>06250517</v>
      </c>
      <c r="B412" s="211" t="str">
        <f>IFERROR(__xludf.DUMMYFUNCTION("""COMPUTED_VALUE"""),"16 Jun 2025")</f>
        <v>16 Jun 2025</v>
      </c>
      <c r="C412" s="211" t="str">
        <f>IFERROR(__xludf.DUMMYFUNCTION("""COMPUTED_VALUE"""),"PT Jatim Abadi Perkasa Steel")</f>
        <v>PT Jatim Abadi Perkasa Steel</v>
      </c>
      <c r="D412" s="211" t="str">
        <f>IFERROR(__xludf.DUMMYFUNCTION("""COMPUTED_VALUE"""),"LPG 50kg")</f>
        <v>LPG 50kg</v>
      </c>
      <c r="E412" s="211" t="str">
        <f>IFERROR(__xludf.DUMMYFUNCTION("""COMPUTED_VALUE"""),"4")</f>
        <v>4</v>
      </c>
      <c r="F412" s="211" t="str">
        <f>IFERROR(__xludf.DUMMYFUNCTION("""COMPUTED_VALUE"""),"4040000")</f>
        <v>4040000</v>
      </c>
      <c r="G412" s="211"/>
      <c r="H412" s="211"/>
      <c r="I412" s="211">
        <f>IFERROR(__xludf.DUMMYFUNCTION("""COMPUTED_VALUE"""),4040000.0)</f>
        <v>4040000</v>
      </c>
      <c r="J412" s="211" t="str">
        <f>IFERROR(__xludf.DUMMYFUNCTION("""COMPUTED_VALUE"""),"Tidak")</f>
        <v>Tidak</v>
      </c>
      <c r="L412" s="211"/>
      <c r="M412" s="211"/>
      <c r="N412" s="211" t="str">
        <f>IFERROR(__xludf.DUMMYFUNCTION("""COMPUTED_VALUE"""),"")</f>
        <v/>
      </c>
      <c r="O412" s="211" t="str">
        <f>IFERROR(__xludf.DUMMYFUNCTION("""COMPUTED_VALUE"""),"")</f>
        <v/>
      </c>
      <c r="P412" s="224" t="str">
        <f>IFERROR(__xludf.DUMMYFUNCTION("""COMPUTED_VALUE""")," ")</f>
        <v/>
      </c>
      <c r="Q412" s="225" t="str">
        <f>IFERROR(__xludf.DUMMYFUNCTION("""COMPUTED_VALUE"""),"")</f>
        <v/>
      </c>
      <c r="R412" s="211" t="str">
        <f>IFERROR(__xludf.DUMMYFUNCTION("""COMPUTED_VALUE"""),"")</f>
        <v/>
      </c>
      <c r="S412" s="211"/>
      <c r="T412" s="211"/>
      <c r="U412" s="211"/>
    </row>
    <row r="413">
      <c r="A413" s="222" t="str">
        <f>IFERROR(__xludf.DUMMYFUNCTION("""COMPUTED_VALUE"""),"06250518")</f>
        <v>06250518</v>
      </c>
      <c r="B413" s="211" t="str">
        <f>IFERROR(__xludf.DUMMYFUNCTION("""COMPUTED_VALUE"""),"16 Jun 2025")</f>
        <v>16 Jun 2025</v>
      </c>
      <c r="C413" s="211" t="str">
        <f>IFERROR(__xludf.DUMMYFUNCTION("""COMPUTED_VALUE"""),"PT Dingsheng Metal Indonesia (Ngoro)")</f>
        <v>PT Dingsheng Metal Indonesia (Ngoro)</v>
      </c>
      <c r="D413" s="211" t="str">
        <f>IFERROR(__xludf.DUMMYFUNCTION("""COMPUTED_VALUE"""),"Oksigen 6m3")</f>
        <v>Oksigen 6m3</v>
      </c>
      <c r="E413" s="211" t="str">
        <f>IFERROR(__xludf.DUMMYFUNCTION("""COMPUTED_VALUE"""),"10")</f>
        <v>10</v>
      </c>
      <c r="F413" s="211" t="str">
        <f>IFERROR(__xludf.DUMMYFUNCTION("""COMPUTED_VALUE"""),"500000")</f>
        <v>500000</v>
      </c>
      <c r="G413" s="211"/>
      <c r="H413" s="211"/>
      <c r="I413" s="211">
        <f>IFERROR(__xludf.DUMMYFUNCTION("""COMPUTED_VALUE"""),500000.0)</f>
        <v>500000</v>
      </c>
      <c r="J413" s="211"/>
      <c r="L413" s="211"/>
      <c r="M413" s="211"/>
      <c r="N413" s="211" t="str">
        <f>IFERROR(__xludf.DUMMYFUNCTION("""COMPUTED_VALUE"""),"")</f>
        <v/>
      </c>
      <c r="O413" s="211" t="str">
        <f>IFERROR(__xludf.DUMMYFUNCTION("""COMPUTED_VALUE"""),"")</f>
        <v/>
      </c>
      <c r="P413" s="224" t="str">
        <f>IFERROR(__xludf.DUMMYFUNCTION("""COMPUTED_VALUE""")," ")</f>
        <v/>
      </c>
      <c r="Q413" s="225" t="str">
        <f>IFERROR(__xludf.DUMMYFUNCTION("""COMPUTED_VALUE"""),"")</f>
        <v/>
      </c>
      <c r="R413" s="211" t="str">
        <f>IFERROR(__xludf.DUMMYFUNCTION("""COMPUTED_VALUE"""),"")</f>
        <v/>
      </c>
      <c r="S413" s="211"/>
      <c r="T413" s="211"/>
      <c r="U413" s="211"/>
    </row>
    <row r="414">
      <c r="A414" s="222" t="str">
        <f>IFERROR(__xludf.DUMMYFUNCTION("""COMPUTED_VALUE"""),"06250519")</f>
        <v>06250519</v>
      </c>
      <c r="B414" s="211" t="str">
        <f>IFERROR(__xludf.DUMMYFUNCTION("""COMPUTED_VALUE"""),"17 Jun 2025")</f>
        <v>17 Jun 2025</v>
      </c>
      <c r="C414" s="211" t="str">
        <f>IFERROR(__xludf.DUMMYFUNCTION("""COMPUTED_VALUE"""),"Bpk. Ari Budiarto")</f>
        <v>Bpk. Ari Budiarto</v>
      </c>
      <c r="D414" s="211" t="str">
        <f>IFERROR(__xludf.DUMMYFUNCTION("""COMPUTED_VALUE"""),"Argon 6m3")</f>
        <v>Argon 6m3</v>
      </c>
      <c r="E414" s="211" t="str">
        <f>IFERROR(__xludf.DUMMYFUNCTION("""COMPUTED_VALUE"""),"1")</f>
        <v>1</v>
      </c>
      <c r="F414" s="211" t="str">
        <f>IFERROR(__xludf.DUMMYFUNCTION("""COMPUTED_VALUE"""),"200000")</f>
        <v>200000</v>
      </c>
      <c r="G414" s="211"/>
      <c r="H414" s="211"/>
      <c r="I414" s="211">
        <f>IFERROR(__xludf.DUMMYFUNCTION("""COMPUTED_VALUE"""),200000.0)</f>
        <v>200000</v>
      </c>
      <c r="J414" s="211"/>
      <c r="L414" s="211"/>
      <c r="M414" s="211"/>
      <c r="N414" s="211" t="str">
        <f>IFERROR(__xludf.DUMMYFUNCTION("""COMPUTED_VALUE"""),"")</f>
        <v/>
      </c>
      <c r="O414" s="211" t="str">
        <f>IFERROR(__xludf.DUMMYFUNCTION("""COMPUTED_VALUE"""),"")</f>
        <v/>
      </c>
      <c r="P414" s="224" t="str">
        <f>IFERROR(__xludf.DUMMYFUNCTION("""COMPUTED_VALUE""")," ")</f>
        <v/>
      </c>
      <c r="Q414" s="225" t="str">
        <f>IFERROR(__xludf.DUMMYFUNCTION("""COMPUTED_VALUE"""),"")</f>
        <v/>
      </c>
      <c r="R414" s="211" t="str">
        <f>IFERROR(__xludf.DUMMYFUNCTION("""COMPUTED_VALUE"""),"")</f>
        <v/>
      </c>
      <c r="S414" s="211"/>
      <c r="T414" s="211"/>
      <c r="U414" s="211"/>
    </row>
    <row r="415">
      <c r="A415" s="222" t="str">
        <f>IFERROR(__xludf.DUMMYFUNCTION("""COMPUTED_VALUE"""),"06250520")</f>
        <v>06250520</v>
      </c>
      <c r="B415" s="211" t="str">
        <f>IFERROR(__xludf.DUMMYFUNCTION("""COMPUTED_VALUE"""),"18 Jun 2025")</f>
        <v>18 Jun 2025</v>
      </c>
      <c r="C415" s="211" t="str">
        <f>IFERROR(__xludf.DUMMYFUNCTION("""COMPUTED_VALUE"""),"PT Harapan Sentosa")</f>
        <v>PT Harapan Sentosa</v>
      </c>
      <c r="D415" s="211" t="str">
        <f>IFERROR(__xludf.DUMMYFUNCTION("""COMPUTED_VALUE"""),"Oksigen 7m3")</f>
        <v>Oksigen 7m3</v>
      </c>
      <c r="E415" s="211" t="str">
        <f>IFERROR(__xludf.DUMMYFUNCTION("""COMPUTED_VALUE"""),"20")</f>
        <v>20</v>
      </c>
      <c r="F415" s="211" t="str">
        <f>IFERROR(__xludf.DUMMYFUNCTION("""COMPUTED_VALUE"""),"1400000")</f>
        <v>1400000</v>
      </c>
      <c r="G415" s="211"/>
      <c r="H415" s="211"/>
      <c r="I415" s="211">
        <f>IFERROR(__xludf.DUMMYFUNCTION("""COMPUTED_VALUE"""),1400000.0)</f>
        <v>1400000</v>
      </c>
      <c r="J415" s="211" t="str">
        <f>IFERROR(__xludf.DUMMYFUNCTION("""COMPUTED_VALUE"""),"Tidak")</f>
        <v>Tidak</v>
      </c>
      <c r="L415" s="211"/>
      <c r="M415" s="211"/>
      <c r="N415" s="211" t="str">
        <f>IFERROR(__xludf.DUMMYFUNCTION("""COMPUTED_VALUE"""),"")</f>
        <v/>
      </c>
      <c r="O415" s="211" t="str">
        <f>IFERROR(__xludf.DUMMYFUNCTION("""COMPUTED_VALUE"""),"")</f>
        <v/>
      </c>
      <c r="P415" s="224" t="str">
        <f>IFERROR(__xludf.DUMMYFUNCTION("""COMPUTED_VALUE""")," ")</f>
        <v/>
      </c>
      <c r="Q415" s="225" t="str">
        <f>IFERROR(__xludf.DUMMYFUNCTION("""COMPUTED_VALUE"""),"")</f>
        <v/>
      </c>
      <c r="R415" s="211" t="str">
        <f>IFERROR(__xludf.DUMMYFUNCTION("""COMPUTED_VALUE"""),"")</f>
        <v/>
      </c>
      <c r="S415" s="211"/>
      <c r="T415" s="211"/>
      <c r="U415" s="211"/>
    </row>
    <row r="416">
      <c r="A416" s="222" t="str">
        <f>IFERROR(__xludf.DUMMYFUNCTION("""COMPUTED_VALUE"""),"06250521")</f>
        <v>06250521</v>
      </c>
      <c r="B416" s="211" t="str">
        <f>IFERROR(__xludf.DUMMYFUNCTION("""COMPUTED_VALUE"""),"19 Jun 2025")</f>
        <v>19 Jun 2025</v>
      </c>
      <c r="C416" s="211" t="str">
        <f>IFERROR(__xludf.DUMMYFUNCTION("""COMPUTED_VALUE"""),"Bpk. Ibnu")</f>
        <v>Bpk. Ibnu</v>
      </c>
      <c r="D416" s="211" t="str">
        <f>IFERROR(__xludf.DUMMYFUNCTION("""COMPUTED_VALUE"""),"Oksigen 7m3")</f>
        <v>Oksigen 7m3</v>
      </c>
      <c r="E416" s="211" t="str">
        <f>IFERROR(__xludf.DUMMYFUNCTION("""COMPUTED_VALUE"""),"3")</f>
        <v>3</v>
      </c>
      <c r="F416" s="211" t="str">
        <f>IFERROR(__xludf.DUMMYFUNCTION("""COMPUTED_VALUE"""),"150000")</f>
        <v>150000</v>
      </c>
      <c r="G416" s="211"/>
      <c r="H416" s="211"/>
      <c r="I416" s="211">
        <f>IFERROR(__xludf.DUMMYFUNCTION("""COMPUTED_VALUE"""),150000.0)</f>
        <v>150000</v>
      </c>
      <c r="J416" s="211"/>
      <c r="L416" s="211"/>
      <c r="M416" s="211"/>
      <c r="N416" s="211" t="str">
        <f>IFERROR(__xludf.DUMMYFUNCTION("""COMPUTED_VALUE"""),"")</f>
        <v/>
      </c>
      <c r="O416" s="211" t="str">
        <f>IFERROR(__xludf.DUMMYFUNCTION("""COMPUTED_VALUE"""),"")</f>
        <v/>
      </c>
      <c r="P416" s="224" t="str">
        <f>IFERROR(__xludf.DUMMYFUNCTION("""COMPUTED_VALUE""")," ")</f>
        <v/>
      </c>
      <c r="Q416" s="225" t="str">
        <f>IFERROR(__xludf.DUMMYFUNCTION("""COMPUTED_VALUE"""),"")</f>
        <v/>
      </c>
      <c r="R416" s="211" t="str">
        <f>IFERROR(__xludf.DUMMYFUNCTION("""COMPUTED_VALUE"""),"")</f>
        <v/>
      </c>
      <c r="S416" s="211"/>
      <c r="T416" s="211"/>
      <c r="U416" s="211"/>
    </row>
    <row r="417">
      <c r="A417" s="222" t="str">
        <f>IFERROR(__xludf.DUMMYFUNCTION("""COMPUTED_VALUE"""),"06250522")</f>
        <v>06250522</v>
      </c>
      <c r="B417" s="211" t="str">
        <f>IFERROR(__xludf.DUMMYFUNCTION("""COMPUTED_VALUE"""),"19 Jun 2025")</f>
        <v>19 Jun 2025</v>
      </c>
      <c r="C417" s="211" t="str">
        <f>IFERROR(__xludf.DUMMYFUNCTION("""COMPUTED_VALUE"""),"PT Amtech")</f>
        <v>PT Amtech</v>
      </c>
      <c r="D417" s="211" t="str">
        <f>IFERROR(__xludf.DUMMYFUNCTION("""COMPUTED_VALUE"""),"Oksigen 6m3
Argon 6m3
LPG 12kg")</f>
        <v>Oksigen 6m3
Argon 6m3
LPG 12kg</v>
      </c>
      <c r="E417" s="211" t="str">
        <f>IFERROR(__xludf.DUMMYFUNCTION("""COMPUTED_VALUE"""),"5
5
3")</f>
        <v>5
5
3</v>
      </c>
      <c r="F417" s="211" t="str">
        <f>IFERROR(__xludf.DUMMYFUNCTION("""COMPUTED_VALUE"""),"333000
1054500
699300")</f>
        <v>333000
1054500
699300</v>
      </c>
      <c r="G417" s="211"/>
      <c r="H417" s="211"/>
      <c r="I417" s="211">
        <f>IFERROR(__xludf.DUMMYFUNCTION("""COMPUTED_VALUE"""),2086800.0)</f>
        <v>2086800</v>
      </c>
      <c r="J417" s="211" t="str">
        <f>IFERROR(__xludf.DUMMYFUNCTION("""COMPUTED_VALUE"""),"Tidak")</f>
        <v>Tidak</v>
      </c>
      <c r="L417" s="211"/>
      <c r="M417" s="211"/>
      <c r="N417" s="211" t="str">
        <f>IFERROR(__xludf.DUMMYFUNCTION("""COMPUTED_VALUE"""),"")</f>
        <v/>
      </c>
      <c r="O417" s="211" t="str">
        <f>IFERROR(__xludf.DUMMYFUNCTION("""COMPUTED_VALUE"""),"")</f>
        <v/>
      </c>
      <c r="P417" s="224" t="str">
        <f>IFERROR(__xludf.DUMMYFUNCTION("""COMPUTED_VALUE""")," ")</f>
        <v/>
      </c>
      <c r="Q417" s="225" t="str">
        <f>IFERROR(__xludf.DUMMYFUNCTION("""COMPUTED_VALUE"""),"")</f>
        <v/>
      </c>
      <c r="R417" s="211" t="str">
        <f>IFERROR(__xludf.DUMMYFUNCTION("""COMPUTED_VALUE"""),"")</f>
        <v/>
      </c>
      <c r="S417" s="211"/>
      <c r="T417" s="211"/>
      <c r="U417" s="211"/>
    </row>
    <row r="418">
      <c r="A418" s="222" t="str">
        <f>IFERROR(__xludf.DUMMYFUNCTION("""COMPUTED_VALUE"""),"06250525")</f>
        <v>06250525</v>
      </c>
      <c r="B418" s="211" t="str">
        <f>IFERROR(__xludf.DUMMYFUNCTION("""COMPUTED_VALUE"""),"19 Jun 2025")</f>
        <v>19 Jun 2025</v>
      </c>
      <c r="C418" s="211" t="str">
        <f>IFERROR(__xludf.DUMMYFUNCTION("""COMPUTED_VALUE"""),"PT GEMILANG CIPTA WAWASAN")</f>
        <v>PT GEMILANG CIPTA WAWASAN</v>
      </c>
      <c r="D418" s="211" t="str">
        <f>IFERROR(__xludf.DUMMYFUNCTION("""COMPUTED_VALUE"""),"Oksigen 6m3
Argon 6m3")</f>
        <v>Oksigen 6m3
Argon 6m3</v>
      </c>
      <c r="E418" s="211" t="str">
        <f>IFERROR(__xludf.DUMMYFUNCTION("""COMPUTED_VALUE"""),"5
5")</f>
        <v>5
5</v>
      </c>
      <c r="F418" s="211" t="str">
        <f>IFERROR(__xludf.DUMMYFUNCTION("""COMPUTED_VALUE"""),"333000
1026750")</f>
        <v>333000
1026750</v>
      </c>
      <c r="G418" s="211"/>
      <c r="H418" s="211"/>
      <c r="I418" s="211">
        <f>IFERROR(__xludf.DUMMYFUNCTION("""COMPUTED_VALUE"""),1359750.0)</f>
        <v>1359750</v>
      </c>
      <c r="J418" s="211" t="str">
        <f>IFERROR(__xludf.DUMMYFUNCTION("""COMPUTED_VALUE"""),"Tidak")</f>
        <v>Tidak</v>
      </c>
      <c r="L418" s="211"/>
      <c r="M418" s="211"/>
      <c r="N418" s="211" t="str">
        <f>IFERROR(__xludf.DUMMYFUNCTION("""COMPUTED_VALUE"""),"")</f>
        <v/>
      </c>
      <c r="O418" s="211" t="str">
        <f>IFERROR(__xludf.DUMMYFUNCTION("""COMPUTED_VALUE"""),"")</f>
        <v/>
      </c>
      <c r="P418" s="224" t="str">
        <f>IFERROR(__xludf.DUMMYFUNCTION("""COMPUTED_VALUE""")," ")</f>
        <v/>
      </c>
      <c r="Q418" s="225" t="str">
        <f>IFERROR(__xludf.DUMMYFUNCTION("""COMPUTED_VALUE"""),"")</f>
        <v/>
      </c>
      <c r="R418" s="211" t="str">
        <f>IFERROR(__xludf.DUMMYFUNCTION("""COMPUTED_VALUE"""),"")</f>
        <v/>
      </c>
      <c r="S418" s="211"/>
      <c r="T418" s="211"/>
      <c r="U418" s="211"/>
    </row>
    <row r="419">
      <c r="A419" s="222" t="str">
        <f>IFERROR(__xludf.DUMMYFUNCTION("""COMPUTED_VALUE"""),"06250527")</f>
        <v>06250527</v>
      </c>
      <c r="B419" s="211" t="str">
        <f>IFERROR(__xludf.DUMMYFUNCTION("""COMPUTED_VALUE"""),"20 Jun 2025")</f>
        <v>20 Jun 2025</v>
      </c>
      <c r="C419" s="211" t="str">
        <f>IFERROR(__xludf.DUMMYFUNCTION("""COMPUTED_VALUE"""),"Bpk. Kohir (Maintenance Velg)")</f>
        <v>Bpk. Kohir (Maintenance Velg)</v>
      </c>
      <c r="D419" s="211" t="str">
        <f>IFERROR(__xludf.DUMMYFUNCTION("""COMPUTED_VALUE"""),"Oksigen 6m3")</f>
        <v>Oksigen 6m3</v>
      </c>
      <c r="E419" s="211" t="str">
        <f>IFERROR(__xludf.DUMMYFUNCTION("""COMPUTED_VALUE"""),"5")</f>
        <v>5</v>
      </c>
      <c r="F419" s="211" t="str">
        <f>IFERROR(__xludf.DUMMYFUNCTION("""COMPUTED_VALUE"""),"275000")</f>
        <v>275000</v>
      </c>
      <c r="G419" s="211"/>
      <c r="H419" s="211"/>
      <c r="I419" s="211">
        <f>IFERROR(__xludf.DUMMYFUNCTION("""COMPUTED_VALUE"""),275000.0)</f>
        <v>275000</v>
      </c>
      <c r="J419" s="211"/>
      <c r="L419" s="211"/>
      <c r="M419" s="211"/>
      <c r="N419" s="211" t="str">
        <f>IFERROR(__xludf.DUMMYFUNCTION("""COMPUTED_VALUE"""),"")</f>
        <v/>
      </c>
      <c r="O419" s="211" t="str">
        <f>IFERROR(__xludf.DUMMYFUNCTION("""COMPUTED_VALUE"""),"")</f>
        <v/>
      </c>
      <c r="P419" s="224" t="str">
        <f>IFERROR(__xludf.DUMMYFUNCTION("""COMPUTED_VALUE""")," ")</f>
        <v/>
      </c>
      <c r="Q419" s="225" t="str">
        <f>IFERROR(__xludf.DUMMYFUNCTION("""COMPUTED_VALUE"""),"")</f>
        <v/>
      </c>
      <c r="R419" s="211" t="str">
        <f>IFERROR(__xludf.DUMMYFUNCTION("""COMPUTED_VALUE"""),"")</f>
        <v/>
      </c>
      <c r="S419" s="211"/>
      <c r="T419" s="211"/>
      <c r="U419" s="211"/>
    </row>
    <row r="420">
      <c r="A420" s="222" t="str">
        <f>IFERROR(__xludf.DUMMYFUNCTION("""COMPUTED_VALUE"""),"06250528")</f>
        <v>06250528</v>
      </c>
      <c r="B420" s="211" t="str">
        <f>IFERROR(__xludf.DUMMYFUNCTION("""COMPUTED_VALUE"""),"23 Jun 2025")</f>
        <v>23 Jun 2025</v>
      </c>
      <c r="C420" s="211" t="str">
        <f>IFERROR(__xludf.DUMMYFUNCTION("""COMPUTED_VALUE"""),"Bengkel Las Bpk. Ari")</f>
        <v>Bengkel Las Bpk. Ari</v>
      </c>
      <c r="D420" s="211" t="str">
        <f>IFERROR(__xludf.DUMMYFUNCTION("""COMPUTED_VALUE"""),"Oksigen 6m3")</f>
        <v>Oksigen 6m3</v>
      </c>
      <c r="E420" s="211" t="str">
        <f>IFERROR(__xludf.DUMMYFUNCTION("""COMPUTED_VALUE"""),"3")</f>
        <v>3</v>
      </c>
      <c r="F420" s="211" t="str">
        <f>IFERROR(__xludf.DUMMYFUNCTION("""COMPUTED_VALUE"""),"180000")</f>
        <v>180000</v>
      </c>
      <c r="G420" s="211"/>
      <c r="H420" s="211"/>
      <c r="I420" s="211">
        <f>IFERROR(__xludf.DUMMYFUNCTION("""COMPUTED_VALUE"""),180000.0)</f>
        <v>180000</v>
      </c>
      <c r="J420" s="211"/>
      <c r="L420" s="211"/>
      <c r="M420" s="211"/>
      <c r="N420" s="211" t="str">
        <f>IFERROR(__xludf.DUMMYFUNCTION("""COMPUTED_VALUE"""),"")</f>
        <v/>
      </c>
      <c r="O420" s="211" t="str">
        <f>IFERROR(__xludf.DUMMYFUNCTION("""COMPUTED_VALUE"""),"")</f>
        <v/>
      </c>
      <c r="P420" s="224" t="str">
        <f>IFERROR(__xludf.DUMMYFUNCTION("""COMPUTED_VALUE""")," ")</f>
        <v/>
      </c>
      <c r="Q420" s="225" t="str">
        <f>IFERROR(__xludf.DUMMYFUNCTION("""COMPUTED_VALUE"""),"")</f>
        <v/>
      </c>
      <c r="R420" s="211" t="str">
        <f>IFERROR(__xludf.DUMMYFUNCTION("""COMPUTED_VALUE"""),"")</f>
        <v/>
      </c>
      <c r="S420" s="211"/>
      <c r="T420" s="211"/>
      <c r="U420" s="211"/>
    </row>
    <row r="421">
      <c r="A421" s="222" t="str">
        <f>IFERROR(__xludf.DUMMYFUNCTION("""COMPUTED_VALUE"""),"06250529")</f>
        <v>06250529</v>
      </c>
      <c r="B421" s="211" t="str">
        <f>IFERROR(__xludf.DUMMYFUNCTION("""COMPUTED_VALUE"""),"23 Jun 2025")</f>
        <v>23 Jun 2025</v>
      </c>
      <c r="C421" s="211" t="str">
        <f>IFERROR(__xludf.DUMMYFUNCTION("""COMPUTED_VALUE"""),"PT GEMILANG CIPTA WAWASAN")</f>
        <v>PT GEMILANG CIPTA WAWASAN</v>
      </c>
      <c r="D421" s="211" t="str">
        <f>IFERROR(__xludf.DUMMYFUNCTION("""COMPUTED_VALUE"""),"Argon 6m3
Oksigen 6m3")</f>
        <v>Argon 6m3
Oksigen 6m3</v>
      </c>
      <c r="E421" s="211" t="str">
        <f>IFERROR(__xludf.DUMMYFUNCTION("""COMPUTED_VALUE"""),"5
10")</f>
        <v>5
10</v>
      </c>
      <c r="F421" s="211" t="str">
        <f>IFERROR(__xludf.DUMMYFUNCTION("""COMPUTED_VALUE"""),"1026750
666000")</f>
        <v>1026750
666000</v>
      </c>
      <c r="G421" s="211"/>
      <c r="H421" s="211"/>
      <c r="I421" s="211">
        <f>IFERROR(__xludf.DUMMYFUNCTION("""COMPUTED_VALUE"""),1692750.0)</f>
        <v>1692750</v>
      </c>
      <c r="J421" s="211"/>
      <c r="L421" s="211"/>
      <c r="M421" s="211"/>
      <c r="N421" s="211" t="str">
        <f>IFERROR(__xludf.DUMMYFUNCTION("""COMPUTED_VALUE"""),"")</f>
        <v/>
      </c>
      <c r="O421" s="211" t="str">
        <f>IFERROR(__xludf.DUMMYFUNCTION("""COMPUTED_VALUE"""),"")</f>
        <v/>
      </c>
      <c r="P421" s="224" t="str">
        <f>IFERROR(__xludf.DUMMYFUNCTION("""COMPUTED_VALUE""")," ")</f>
        <v/>
      </c>
      <c r="Q421" s="225" t="str">
        <f>IFERROR(__xludf.DUMMYFUNCTION("""COMPUTED_VALUE"""),"")</f>
        <v/>
      </c>
      <c r="R421" s="211" t="str">
        <f>IFERROR(__xludf.DUMMYFUNCTION("""COMPUTED_VALUE"""),"")</f>
        <v/>
      </c>
      <c r="S421" s="211"/>
      <c r="T421" s="211"/>
      <c r="U421" s="211"/>
    </row>
    <row r="422">
      <c r="A422" s="222" t="str">
        <f>IFERROR(__xludf.DUMMYFUNCTION("""COMPUTED_VALUE"""),"06250531")</f>
        <v>06250531</v>
      </c>
      <c r="B422" s="211" t="str">
        <f>IFERROR(__xludf.DUMMYFUNCTION("""COMPUTED_VALUE"""),"23 Jun 2025")</f>
        <v>23 Jun 2025</v>
      </c>
      <c r="C422" s="211" t="str">
        <f>IFERROR(__xludf.DUMMYFUNCTION("""COMPUTED_VALUE"""),"Bpk. Alvin (LB Group)")</f>
        <v>Bpk. Alvin (LB Group)</v>
      </c>
      <c r="D422" s="211" t="str">
        <f>IFERROR(__xludf.DUMMYFUNCTION("""COMPUTED_VALUE"""),"Argon 6m3")</f>
        <v>Argon 6m3</v>
      </c>
      <c r="E422" s="211" t="str">
        <f>IFERROR(__xludf.DUMMYFUNCTION("""COMPUTED_VALUE"""),"1")</f>
        <v>1</v>
      </c>
      <c r="F422" s="211" t="str">
        <f>IFERROR(__xludf.DUMMYFUNCTION("""COMPUTED_VALUE"""),"190000")</f>
        <v>190000</v>
      </c>
      <c r="G422" s="211"/>
      <c r="H422" s="211"/>
      <c r="I422" s="211">
        <f>IFERROR(__xludf.DUMMYFUNCTION("""COMPUTED_VALUE"""),190000.0)</f>
        <v>190000</v>
      </c>
      <c r="J422" s="211"/>
      <c r="L422" s="211"/>
      <c r="M422" s="211"/>
      <c r="N422" s="211" t="str">
        <f>IFERROR(__xludf.DUMMYFUNCTION("""COMPUTED_VALUE"""),"")</f>
        <v/>
      </c>
      <c r="O422" s="211" t="str">
        <f>IFERROR(__xludf.DUMMYFUNCTION("""COMPUTED_VALUE"""),"")</f>
        <v/>
      </c>
      <c r="P422" s="224" t="str">
        <f>IFERROR(__xludf.DUMMYFUNCTION("""COMPUTED_VALUE""")," ")</f>
        <v/>
      </c>
      <c r="Q422" s="225" t="str">
        <f>IFERROR(__xludf.DUMMYFUNCTION("""COMPUTED_VALUE"""),"")</f>
        <v/>
      </c>
      <c r="R422" s="211" t="str">
        <f>IFERROR(__xludf.DUMMYFUNCTION("""COMPUTED_VALUE"""),"")</f>
        <v/>
      </c>
      <c r="S422" s="211"/>
      <c r="T422" s="211"/>
      <c r="U422" s="211"/>
    </row>
    <row r="423">
      <c r="A423" s="222" t="str">
        <f>IFERROR(__xludf.DUMMYFUNCTION("""COMPUTED_VALUE"""),"06250532")</f>
        <v>06250532</v>
      </c>
      <c r="B423" s="211" t="str">
        <f>IFERROR(__xludf.DUMMYFUNCTION("""COMPUTED_VALUE"""),"24 Jun 2025")</f>
        <v>24 Jun 2025</v>
      </c>
      <c r="C423" s="211" t="str">
        <f>IFERROR(__xludf.DUMMYFUNCTION("""COMPUTED_VALUE"""),"GYF")</f>
        <v>GYF</v>
      </c>
      <c r="D423" s="211" t="str">
        <f>IFERROR(__xludf.DUMMYFUNCTION("""COMPUTED_VALUE"""),"Oksigen 6m3")</f>
        <v>Oksigen 6m3</v>
      </c>
      <c r="E423" s="211" t="str">
        <f>IFERROR(__xludf.DUMMYFUNCTION("""COMPUTED_VALUE"""),"15")</f>
        <v>15</v>
      </c>
      <c r="F423" s="211" t="str">
        <f>IFERROR(__xludf.DUMMYFUNCTION("""COMPUTED_VALUE"""),"675000")</f>
        <v>675000</v>
      </c>
      <c r="G423" s="211"/>
      <c r="H423" s="211"/>
      <c r="I423" s="211">
        <f>IFERROR(__xludf.DUMMYFUNCTION("""COMPUTED_VALUE"""),675000.0)</f>
        <v>675000</v>
      </c>
      <c r="J423" s="211"/>
      <c r="L423" s="211"/>
      <c r="M423" s="211"/>
      <c r="N423" s="211" t="str">
        <f>IFERROR(__xludf.DUMMYFUNCTION("""COMPUTED_VALUE"""),"")</f>
        <v/>
      </c>
      <c r="O423" s="211" t="str">
        <f>IFERROR(__xludf.DUMMYFUNCTION("""COMPUTED_VALUE"""),"")</f>
        <v/>
      </c>
      <c r="P423" s="224" t="str">
        <f>IFERROR(__xludf.DUMMYFUNCTION("""COMPUTED_VALUE""")," ")</f>
        <v/>
      </c>
      <c r="Q423" s="225" t="str">
        <f>IFERROR(__xludf.DUMMYFUNCTION("""COMPUTED_VALUE"""),"")</f>
        <v/>
      </c>
      <c r="R423" s="211" t="str">
        <f>IFERROR(__xludf.DUMMYFUNCTION("""COMPUTED_VALUE"""),"")</f>
        <v/>
      </c>
      <c r="S423" s="211"/>
      <c r="T423" s="211"/>
      <c r="U423" s="211"/>
    </row>
    <row r="424">
      <c r="A424" s="222" t="str">
        <f>IFERROR(__xludf.DUMMYFUNCTION("""COMPUTED_VALUE"""),"06250533")</f>
        <v>06250533</v>
      </c>
      <c r="B424" s="211" t="str">
        <f>IFERROR(__xludf.DUMMYFUNCTION("""COMPUTED_VALUE"""),"25 Jun 2025")</f>
        <v>25 Jun 2025</v>
      </c>
      <c r="C424" s="211" t="str">
        <f>IFERROR(__xludf.DUMMYFUNCTION("""COMPUTED_VALUE"""),"Bpk. Kohir (Maintenance Velg)")</f>
        <v>Bpk. Kohir (Maintenance Velg)</v>
      </c>
      <c r="D424" s="211" t="str">
        <f>IFERROR(__xludf.DUMMYFUNCTION("""COMPUTED_VALUE"""),"Oksigen 6m3")</f>
        <v>Oksigen 6m3</v>
      </c>
      <c r="E424" s="211" t="str">
        <f>IFERROR(__xludf.DUMMYFUNCTION("""COMPUTED_VALUE"""),"5")</f>
        <v>5</v>
      </c>
      <c r="F424" s="211" t="str">
        <f>IFERROR(__xludf.DUMMYFUNCTION("""COMPUTED_VALUE"""),"275000")</f>
        <v>275000</v>
      </c>
      <c r="G424" s="211"/>
      <c r="H424" s="211"/>
      <c r="I424" s="211">
        <f>IFERROR(__xludf.DUMMYFUNCTION("""COMPUTED_VALUE"""),275000.0)</f>
        <v>275000</v>
      </c>
      <c r="J424" s="211"/>
      <c r="L424" s="211"/>
      <c r="M424" s="211"/>
      <c r="N424" s="211" t="str">
        <f>IFERROR(__xludf.DUMMYFUNCTION("""COMPUTED_VALUE"""),"")</f>
        <v/>
      </c>
      <c r="O424" s="211" t="str">
        <f>IFERROR(__xludf.DUMMYFUNCTION("""COMPUTED_VALUE"""),"")</f>
        <v/>
      </c>
      <c r="P424" s="224" t="str">
        <f>IFERROR(__xludf.DUMMYFUNCTION("""COMPUTED_VALUE""")," ")</f>
        <v/>
      </c>
      <c r="Q424" s="225" t="str">
        <f>IFERROR(__xludf.DUMMYFUNCTION("""COMPUTED_VALUE"""),"")</f>
        <v/>
      </c>
      <c r="R424" s="211" t="str">
        <f>IFERROR(__xludf.DUMMYFUNCTION("""COMPUTED_VALUE"""),"")</f>
        <v/>
      </c>
      <c r="S424" s="211"/>
      <c r="T424" s="211"/>
      <c r="U424" s="211"/>
    </row>
    <row r="425">
      <c r="A425" s="222" t="str">
        <f>IFERROR(__xludf.DUMMYFUNCTION("""COMPUTED_VALUE"""),"06250534")</f>
        <v>06250534</v>
      </c>
      <c r="B425" s="211" t="str">
        <f>IFERROR(__xludf.DUMMYFUNCTION("""COMPUTED_VALUE"""),"25 Jun 2025")</f>
        <v>25 Jun 2025</v>
      </c>
      <c r="C425" s="211" t="str">
        <f>IFERROR(__xludf.DUMMYFUNCTION("""COMPUTED_VALUE"""),"Bpk. Sukirno (Bejo)")</f>
        <v>Bpk. Sukirno (Bejo)</v>
      </c>
      <c r="D425" s="211" t="str">
        <f>IFERROR(__xludf.DUMMYFUNCTION("""COMPUTED_VALUE"""),"Oksigen 6m3")</f>
        <v>Oksigen 6m3</v>
      </c>
      <c r="E425" s="211" t="str">
        <f>IFERROR(__xludf.DUMMYFUNCTION("""COMPUTED_VALUE"""),"10")</f>
        <v>10</v>
      </c>
      <c r="F425" s="211" t="str">
        <f>IFERROR(__xludf.DUMMYFUNCTION("""COMPUTED_VALUE"""),"600000")</f>
        <v>600000</v>
      </c>
      <c r="G425" s="211"/>
      <c r="H425" s="211"/>
      <c r="I425" s="211">
        <f>IFERROR(__xludf.DUMMYFUNCTION("""COMPUTED_VALUE"""),600000.0)</f>
        <v>600000</v>
      </c>
      <c r="J425" s="211"/>
      <c r="L425" s="211"/>
      <c r="M425" s="211"/>
      <c r="N425" s="211" t="str">
        <f>IFERROR(__xludf.DUMMYFUNCTION("""COMPUTED_VALUE"""),"")</f>
        <v/>
      </c>
      <c r="O425" s="211" t="str">
        <f>IFERROR(__xludf.DUMMYFUNCTION("""COMPUTED_VALUE"""),"")</f>
        <v/>
      </c>
      <c r="P425" s="224" t="str">
        <f>IFERROR(__xludf.DUMMYFUNCTION("""COMPUTED_VALUE""")," ")</f>
        <v/>
      </c>
      <c r="Q425" s="225" t="str">
        <f>IFERROR(__xludf.DUMMYFUNCTION("""COMPUTED_VALUE"""),"")</f>
        <v/>
      </c>
      <c r="R425" s="211" t="str">
        <f>IFERROR(__xludf.DUMMYFUNCTION("""COMPUTED_VALUE"""),"")</f>
        <v/>
      </c>
      <c r="S425" s="211"/>
      <c r="T425" s="211"/>
      <c r="U425" s="211"/>
    </row>
    <row r="426">
      <c r="A426" s="222" t="str">
        <f>IFERROR(__xludf.DUMMYFUNCTION("""COMPUTED_VALUE"""),"06250535")</f>
        <v>06250535</v>
      </c>
      <c r="B426" s="211" t="str">
        <f>IFERROR(__xludf.DUMMYFUNCTION("""COMPUTED_VALUE"""),"25 Jun 2025")</f>
        <v>25 Jun 2025</v>
      </c>
      <c r="C426" s="211" t="str">
        <f>IFERROR(__xludf.DUMMYFUNCTION("""COMPUTED_VALUE"""),"PT Dunia Berkat Marga Mulya")</f>
        <v>PT Dunia Berkat Marga Mulya</v>
      </c>
      <c r="D426" s="211" t="str">
        <f>IFERROR(__xludf.DUMMYFUNCTION("""COMPUTED_VALUE"""),"Oksigen 6m3")</f>
        <v>Oksigen 6m3</v>
      </c>
      <c r="E426" s="211" t="str">
        <f>IFERROR(__xludf.DUMMYFUNCTION("""COMPUTED_VALUE"""),"5")</f>
        <v>5</v>
      </c>
      <c r="F426" s="211" t="str">
        <f>IFERROR(__xludf.DUMMYFUNCTION("""COMPUTED_VALUE"""),"333000")</f>
        <v>333000</v>
      </c>
      <c r="G426" s="211"/>
      <c r="H426" s="211"/>
      <c r="I426" s="211">
        <f>IFERROR(__xludf.DUMMYFUNCTION("""COMPUTED_VALUE"""),333000.0)</f>
        <v>333000</v>
      </c>
      <c r="J426" s="211"/>
      <c r="L426" s="211"/>
      <c r="M426" s="211"/>
      <c r="N426" s="211" t="str">
        <f>IFERROR(__xludf.DUMMYFUNCTION("""COMPUTED_VALUE"""),"")</f>
        <v/>
      </c>
      <c r="O426" s="211" t="str">
        <f>IFERROR(__xludf.DUMMYFUNCTION("""COMPUTED_VALUE"""),"")</f>
        <v/>
      </c>
      <c r="P426" s="224" t="str">
        <f>IFERROR(__xludf.DUMMYFUNCTION("""COMPUTED_VALUE""")," ")</f>
        <v/>
      </c>
      <c r="Q426" s="225" t="str">
        <f>IFERROR(__xludf.DUMMYFUNCTION("""COMPUTED_VALUE"""),"")</f>
        <v/>
      </c>
      <c r="R426" s="211" t="str">
        <f>IFERROR(__xludf.DUMMYFUNCTION("""COMPUTED_VALUE"""),"")</f>
        <v/>
      </c>
      <c r="S426" s="211"/>
      <c r="T426" s="211"/>
      <c r="U426" s="211"/>
    </row>
    <row r="427">
      <c r="A427" s="222" t="str">
        <f>IFERROR(__xludf.DUMMYFUNCTION("""COMPUTED_VALUE"""),"06250536")</f>
        <v>06250536</v>
      </c>
      <c r="B427" s="211" t="str">
        <f>IFERROR(__xludf.DUMMYFUNCTION("""COMPUTED_VALUE"""),"25 Jun 2025")</f>
        <v>25 Jun 2025</v>
      </c>
      <c r="C427" s="211" t="str">
        <f>IFERROR(__xludf.DUMMYFUNCTION("""COMPUTED_VALUE"""),"PT Sinar Indogreen Kencana")</f>
        <v>PT Sinar Indogreen Kencana</v>
      </c>
      <c r="D427" s="211" t="str">
        <f>IFERROR(__xludf.DUMMYFUNCTION("""COMPUTED_VALUE"""),"LPG 12kg")</f>
        <v>LPG 12kg</v>
      </c>
      <c r="E427" s="211" t="str">
        <f>IFERROR(__xludf.DUMMYFUNCTION("""COMPUTED_VALUE"""),"1")</f>
        <v>1</v>
      </c>
      <c r="F427" s="211" t="str">
        <f>IFERROR(__xludf.DUMMYFUNCTION("""COMPUTED_VALUE"""),"210001")</f>
        <v>210001</v>
      </c>
      <c r="G427" s="211"/>
      <c r="H427" s="211"/>
      <c r="I427" s="211">
        <f>IFERROR(__xludf.DUMMYFUNCTION("""COMPUTED_VALUE"""),210001.0)</f>
        <v>210001</v>
      </c>
      <c r="J427" s="211" t="str">
        <f>IFERROR(__xludf.DUMMYFUNCTION("""COMPUTED_VALUE"""),"Tidak")</f>
        <v>Tidak</v>
      </c>
      <c r="L427" s="211"/>
      <c r="M427" s="211"/>
      <c r="N427" s="211" t="str">
        <f>IFERROR(__xludf.DUMMYFUNCTION("""COMPUTED_VALUE"""),"")</f>
        <v/>
      </c>
      <c r="O427" s="211" t="str">
        <f>IFERROR(__xludf.DUMMYFUNCTION("""COMPUTED_VALUE"""),"")</f>
        <v/>
      </c>
      <c r="P427" s="224" t="str">
        <f>IFERROR(__xludf.DUMMYFUNCTION("""COMPUTED_VALUE""")," ")</f>
        <v/>
      </c>
      <c r="Q427" s="225" t="str">
        <f>IFERROR(__xludf.DUMMYFUNCTION("""COMPUTED_VALUE"""),"")</f>
        <v/>
      </c>
      <c r="R427" s="211" t="str">
        <f>IFERROR(__xludf.DUMMYFUNCTION("""COMPUTED_VALUE"""),"")</f>
        <v/>
      </c>
      <c r="S427" s="211"/>
      <c r="T427" s="211"/>
      <c r="U427" s="211"/>
    </row>
    <row r="428">
      <c r="A428" s="222" t="str">
        <f>IFERROR(__xludf.DUMMYFUNCTION("""COMPUTED_VALUE"""),"06250537")</f>
        <v>06250537</v>
      </c>
      <c r="B428" s="211" t="str">
        <f>IFERROR(__xludf.DUMMYFUNCTION("""COMPUTED_VALUE"""),"25 Jun 2025")</f>
        <v>25 Jun 2025</v>
      </c>
      <c r="C428" s="211" t="str">
        <f>IFERROR(__xludf.DUMMYFUNCTION("""COMPUTED_VALUE"""),"Bpk. Joko (Gresik)")</f>
        <v>Bpk. Joko (Gresik)</v>
      </c>
      <c r="D428" s="211" t="str">
        <f>IFERROR(__xludf.DUMMYFUNCTION("""COMPUTED_VALUE"""),"Oksigen 6m3 MR
Karbondioksida MR")</f>
        <v>Oksigen 6m3 MR
Karbondioksida MR</v>
      </c>
      <c r="E428" s="211" t="str">
        <f>IFERROR(__xludf.DUMMYFUNCTION("""COMPUTED_VALUE"""),"5
1")</f>
        <v>5
1</v>
      </c>
      <c r="F428" s="211" t="str">
        <f>IFERROR(__xludf.DUMMYFUNCTION("""COMPUTED_VALUE"""),"275000
160000")</f>
        <v>275000
160000</v>
      </c>
      <c r="G428" s="211"/>
      <c r="H428" s="211"/>
      <c r="I428" s="211">
        <f>IFERROR(__xludf.DUMMYFUNCTION("""COMPUTED_VALUE"""),435000.0)</f>
        <v>435000</v>
      </c>
      <c r="J428" s="211"/>
      <c r="L428" s="211"/>
      <c r="M428" s="211"/>
      <c r="N428" s="211" t="str">
        <f>IFERROR(__xludf.DUMMYFUNCTION("""COMPUTED_VALUE"""),"")</f>
        <v/>
      </c>
      <c r="O428" s="211" t="str">
        <f>IFERROR(__xludf.DUMMYFUNCTION("""COMPUTED_VALUE"""),"")</f>
        <v/>
      </c>
      <c r="P428" s="224" t="str">
        <f>IFERROR(__xludf.DUMMYFUNCTION("""COMPUTED_VALUE""")," ")</f>
        <v/>
      </c>
      <c r="Q428" s="225" t="str">
        <f>IFERROR(__xludf.DUMMYFUNCTION("""COMPUTED_VALUE"""),"")</f>
        <v/>
      </c>
      <c r="R428" s="211" t="str">
        <f>IFERROR(__xludf.DUMMYFUNCTION("""COMPUTED_VALUE"""),"")</f>
        <v/>
      </c>
      <c r="S428" s="211"/>
      <c r="T428" s="211"/>
      <c r="U428" s="211"/>
    </row>
    <row r="429">
      <c r="A429" s="222" t="str">
        <f>IFERROR(__xludf.DUMMYFUNCTION("""COMPUTED_VALUE"""),"06250539")</f>
        <v>06250539</v>
      </c>
      <c r="B429" s="211" t="str">
        <f>IFERROR(__xludf.DUMMYFUNCTION("""COMPUTED_VALUE"""),"26 Jun 2025")</f>
        <v>26 Jun 2025</v>
      </c>
      <c r="C429" s="211" t="str">
        <f>IFERROR(__xludf.DUMMYFUNCTION("""COMPUTED_VALUE"""),"Bpk. Agus")</f>
        <v>Bpk. Agus</v>
      </c>
      <c r="D429" s="211" t="str">
        <f>IFERROR(__xludf.DUMMYFUNCTION("""COMPUTED_VALUE"""),"Oksigen 6m3
LPG 12kg")</f>
        <v>Oksigen 6m3
LPG 12kg</v>
      </c>
      <c r="E429" s="211" t="str">
        <f>IFERROR(__xludf.DUMMYFUNCTION("""COMPUTED_VALUE"""),"5
1")</f>
        <v>5
1</v>
      </c>
      <c r="F429" s="211" t="str">
        <f>IFERROR(__xludf.DUMMYFUNCTION("""COMPUTED_VALUE"""),"300000
210000")</f>
        <v>300000
210000</v>
      </c>
      <c r="G429" s="211"/>
      <c r="H429" s="211"/>
      <c r="I429" s="211">
        <f>IFERROR(__xludf.DUMMYFUNCTION("""COMPUTED_VALUE"""),510000.0)</f>
        <v>510000</v>
      </c>
      <c r="J429" s="211"/>
      <c r="L429" s="211"/>
      <c r="M429" s="211"/>
      <c r="N429" s="211" t="str">
        <f>IFERROR(__xludf.DUMMYFUNCTION("""COMPUTED_VALUE"""),"")</f>
        <v/>
      </c>
      <c r="O429" s="211" t="str">
        <f>IFERROR(__xludf.DUMMYFUNCTION("""COMPUTED_VALUE"""),"")</f>
        <v/>
      </c>
      <c r="P429" s="224" t="str">
        <f>IFERROR(__xludf.DUMMYFUNCTION("""COMPUTED_VALUE""")," ")</f>
        <v/>
      </c>
      <c r="Q429" s="225" t="str">
        <f>IFERROR(__xludf.DUMMYFUNCTION("""COMPUTED_VALUE"""),"")</f>
        <v/>
      </c>
      <c r="R429" s="211" t="str">
        <f>IFERROR(__xludf.DUMMYFUNCTION("""COMPUTED_VALUE"""),"")</f>
        <v/>
      </c>
      <c r="S429" s="211"/>
      <c r="T429" s="211"/>
      <c r="U429" s="211"/>
    </row>
    <row r="430">
      <c r="A430" s="222" t="str">
        <f>IFERROR(__xludf.DUMMYFUNCTION("""COMPUTED_VALUE"""),"06250541")</f>
        <v>06250541</v>
      </c>
      <c r="B430" s="211" t="str">
        <f>IFERROR(__xludf.DUMMYFUNCTION("""COMPUTED_VALUE"""),"26 Jun 2025")</f>
        <v>26 Jun 2025</v>
      </c>
      <c r="C430" s="211" t="str">
        <f>IFERROR(__xludf.DUMMYFUNCTION("""COMPUTED_VALUE"""),"Bpk. Samsul (Jetis)")</f>
        <v>Bpk. Samsul (Jetis)</v>
      </c>
      <c r="D430" s="211" t="str">
        <f>IFERROR(__xludf.DUMMYFUNCTION("""COMPUTED_VALUE"""),"Oksigen 7m3")</f>
        <v>Oksigen 7m3</v>
      </c>
      <c r="E430" s="211" t="str">
        <f>IFERROR(__xludf.DUMMYFUNCTION("""COMPUTED_VALUE"""),"3")</f>
        <v>3</v>
      </c>
      <c r="F430" s="211" t="str">
        <f>IFERROR(__xludf.DUMMYFUNCTION("""COMPUTED_VALUE"""),"225000")</f>
        <v>225000</v>
      </c>
      <c r="G430" s="211"/>
      <c r="H430" s="211"/>
      <c r="I430" s="211">
        <f>IFERROR(__xludf.DUMMYFUNCTION("""COMPUTED_VALUE"""),225000.0)</f>
        <v>225000</v>
      </c>
      <c r="J430" s="211"/>
      <c r="L430" s="211"/>
      <c r="M430" s="211"/>
      <c r="N430" s="211" t="str">
        <f>IFERROR(__xludf.DUMMYFUNCTION("""COMPUTED_VALUE"""),"")</f>
        <v/>
      </c>
      <c r="O430" s="211" t="str">
        <f>IFERROR(__xludf.DUMMYFUNCTION("""COMPUTED_VALUE"""),"")</f>
        <v/>
      </c>
      <c r="P430" s="224" t="str">
        <f>IFERROR(__xludf.DUMMYFUNCTION("""COMPUTED_VALUE""")," ")</f>
        <v/>
      </c>
      <c r="Q430" s="225" t="str">
        <f>IFERROR(__xludf.DUMMYFUNCTION("""COMPUTED_VALUE"""),"")</f>
        <v/>
      </c>
      <c r="R430" s="211" t="str">
        <f>IFERROR(__xludf.DUMMYFUNCTION("""COMPUTED_VALUE"""),"")</f>
        <v/>
      </c>
      <c r="S430" s="211"/>
      <c r="T430" s="211"/>
      <c r="U430" s="211"/>
    </row>
    <row r="431">
      <c r="A431" s="222" t="str">
        <f>IFERROR(__xludf.DUMMYFUNCTION("""COMPUTED_VALUE"""),"06250542")</f>
        <v>06250542</v>
      </c>
      <c r="B431" s="211" t="str">
        <f>IFERROR(__xludf.DUMMYFUNCTION("""COMPUTED_VALUE"""),"26 Jun 2025")</f>
        <v>26 Jun 2025</v>
      </c>
      <c r="C431" s="211" t="str">
        <f>IFERROR(__xludf.DUMMYFUNCTION("""COMPUTED_VALUE"""),"Bengkel Las Bpk. Ari")</f>
        <v>Bengkel Las Bpk. Ari</v>
      </c>
      <c r="D431" s="211" t="str">
        <f>IFERROR(__xludf.DUMMYFUNCTION("""COMPUTED_VALUE"""),"Oksigen 6m3")</f>
        <v>Oksigen 6m3</v>
      </c>
      <c r="E431" s="211" t="str">
        <f>IFERROR(__xludf.DUMMYFUNCTION("""COMPUTED_VALUE"""),"2")</f>
        <v>2</v>
      </c>
      <c r="F431" s="211" t="str">
        <f>IFERROR(__xludf.DUMMYFUNCTION("""COMPUTED_VALUE"""),"120000")</f>
        <v>120000</v>
      </c>
      <c r="G431" s="211"/>
      <c r="H431" s="211"/>
      <c r="I431" s="211">
        <f>IFERROR(__xludf.DUMMYFUNCTION("""COMPUTED_VALUE"""),120000.0)</f>
        <v>120000</v>
      </c>
      <c r="J431" s="211"/>
      <c r="L431" s="211"/>
      <c r="M431" s="211"/>
      <c r="N431" s="211" t="str">
        <f>IFERROR(__xludf.DUMMYFUNCTION("""COMPUTED_VALUE"""),"")</f>
        <v/>
      </c>
      <c r="O431" s="211" t="str">
        <f>IFERROR(__xludf.DUMMYFUNCTION("""COMPUTED_VALUE"""),"")</f>
        <v/>
      </c>
      <c r="P431" s="224" t="str">
        <f>IFERROR(__xludf.DUMMYFUNCTION("""COMPUTED_VALUE""")," ")</f>
        <v/>
      </c>
      <c r="Q431" s="225" t="str">
        <f>IFERROR(__xludf.DUMMYFUNCTION("""COMPUTED_VALUE"""),"")</f>
        <v/>
      </c>
      <c r="R431" s="211" t="str">
        <f>IFERROR(__xludf.DUMMYFUNCTION("""COMPUTED_VALUE"""),"")</f>
        <v/>
      </c>
      <c r="S431" s="211"/>
      <c r="T431" s="211"/>
      <c r="U431" s="211"/>
    </row>
    <row r="432">
      <c r="A432" s="222" t="str">
        <f>IFERROR(__xludf.DUMMYFUNCTION("""COMPUTED_VALUE"""),"06250543")</f>
        <v>06250543</v>
      </c>
      <c r="B432" s="211" t="str">
        <f>IFERROR(__xludf.DUMMYFUNCTION("""COMPUTED_VALUE"""),"26 Jun 2025")</f>
        <v>26 Jun 2025</v>
      </c>
      <c r="C432" s="211" t="str">
        <f>IFERROR(__xludf.DUMMYFUNCTION("""COMPUTED_VALUE"""),"PT Amtech")</f>
        <v>PT Amtech</v>
      </c>
      <c r="D432" s="211" t="str">
        <f>IFERROR(__xludf.DUMMYFUNCTION("""COMPUTED_VALUE"""),"Oksigen 6m3
LPG 12kg
Acetyline")</f>
        <v>Oksigen 6m3
LPG 12kg
Acetyline</v>
      </c>
      <c r="E432" s="211" t="str">
        <f>IFERROR(__xludf.DUMMYFUNCTION("""COMPUTED_VALUE"""),"10
1
5")</f>
        <v>10
1
5</v>
      </c>
      <c r="F432" s="211" t="str">
        <f>IFERROR(__xludf.DUMMYFUNCTION("""COMPUTED_VALUE"""),"610500
233100
2414250")</f>
        <v>610500
233100
2414250</v>
      </c>
      <c r="G432" s="211"/>
      <c r="H432" s="211"/>
      <c r="I432" s="211">
        <f>IFERROR(__xludf.DUMMYFUNCTION("""COMPUTED_VALUE"""),3257850.0)</f>
        <v>3257850</v>
      </c>
      <c r="J432" s="211" t="str">
        <f>IFERROR(__xludf.DUMMYFUNCTION("""COMPUTED_VALUE"""),"Tidak")</f>
        <v>Tidak</v>
      </c>
      <c r="L432" s="211"/>
      <c r="M432" s="211"/>
      <c r="N432" s="211" t="str">
        <f>IFERROR(__xludf.DUMMYFUNCTION("""COMPUTED_VALUE"""),"")</f>
        <v/>
      </c>
      <c r="O432" s="211" t="str">
        <f>IFERROR(__xludf.DUMMYFUNCTION("""COMPUTED_VALUE"""),"")</f>
        <v/>
      </c>
      <c r="P432" s="224" t="str">
        <f>IFERROR(__xludf.DUMMYFUNCTION("""COMPUTED_VALUE""")," ")</f>
        <v/>
      </c>
      <c r="Q432" s="225" t="str">
        <f>IFERROR(__xludf.DUMMYFUNCTION("""COMPUTED_VALUE"""),"")</f>
        <v/>
      </c>
      <c r="R432" s="211" t="str">
        <f>IFERROR(__xludf.DUMMYFUNCTION("""COMPUTED_VALUE"""),"")</f>
        <v/>
      </c>
      <c r="S432" s="211"/>
      <c r="T432" s="211"/>
      <c r="U432" s="211"/>
    </row>
    <row r="433">
      <c r="A433" s="222" t="str">
        <f>IFERROR(__xludf.DUMMYFUNCTION("""COMPUTED_VALUE"""),"06250546")</f>
        <v>06250546</v>
      </c>
      <c r="B433" s="211" t="str">
        <f>IFERROR(__xludf.DUMMYFUNCTION("""COMPUTED_VALUE"""),"28 Jun 2025")</f>
        <v>28 Jun 2025</v>
      </c>
      <c r="C433" s="211" t="str">
        <f>IFERROR(__xludf.DUMMYFUNCTION("""COMPUTED_VALUE"""),"Bpk. Kohir (Maintenance Velg)")</f>
        <v>Bpk. Kohir (Maintenance Velg)</v>
      </c>
      <c r="D433" s="211" t="str">
        <f>IFERROR(__xludf.DUMMYFUNCTION("""COMPUTED_VALUE"""),"Oksigen 6m3
Karbondioksida")</f>
        <v>Oksigen 6m3
Karbondioksida</v>
      </c>
      <c r="E433" s="211" t="str">
        <f>IFERROR(__xludf.DUMMYFUNCTION("""COMPUTED_VALUE"""),"5
1")</f>
        <v>5
1</v>
      </c>
      <c r="F433" s="211" t="str">
        <f>IFERROR(__xludf.DUMMYFUNCTION("""COMPUTED_VALUE"""),"275000
165000")</f>
        <v>275000
165000</v>
      </c>
      <c r="G433" s="211"/>
      <c r="H433" s="211"/>
      <c r="I433" s="211">
        <f>IFERROR(__xludf.DUMMYFUNCTION("""COMPUTED_VALUE"""),440000.0)</f>
        <v>440000</v>
      </c>
      <c r="J433" s="211"/>
      <c r="L433" s="211"/>
      <c r="M433" s="211"/>
      <c r="N433" s="211" t="str">
        <f>IFERROR(__xludf.DUMMYFUNCTION("""COMPUTED_VALUE"""),"")</f>
        <v/>
      </c>
      <c r="O433" s="211" t="str">
        <f>IFERROR(__xludf.DUMMYFUNCTION("""COMPUTED_VALUE"""),"")</f>
        <v/>
      </c>
      <c r="P433" s="224" t="str">
        <f>IFERROR(__xludf.DUMMYFUNCTION("""COMPUTED_VALUE""")," ")</f>
        <v/>
      </c>
      <c r="Q433" s="225" t="str">
        <f>IFERROR(__xludf.DUMMYFUNCTION("""COMPUTED_VALUE"""),"")</f>
        <v/>
      </c>
      <c r="R433" s="211" t="str">
        <f>IFERROR(__xludf.DUMMYFUNCTION("""COMPUTED_VALUE"""),"")</f>
        <v/>
      </c>
      <c r="S433" s="211"/>
      <c r="T433" s="211"/>
      <c r="U433" s="211"/>
    </row>
    <row r="434">
      <c r="A434" s="222" t="str">
        <f>IFERROR(__xludf.DUMMYFUNCTION("""COMPUTED_VALUE"""),"06250548")</f>
        <v>06250548</v>
      </c>
      <c r="B434" s="211" t="str">
        <f>IFERROR(__xludf.DUMMYFUNCTION("""COMPUTED_VALUE"""),"28 Jun 2025")</f>
        <v>28 Jun 2025</v>
      </c>
      <c r="C434" s="211" t="str">
        <f>IFERROR(__xludf.DUMMYFUNCTION("""COMPUTED_VALUE"""),"Bpk. Agus")</f>
        <v>Bpk. Agus</v>
      </c>
      <c r="D434" s="211" t="str">
        <f>IFERROR(__xludf.DUMMYFUNCTION("""COMPUTED_VALUE"""),"Oksigen 6m3")</f>
        <v>Oksigen 6m3</v>
      </c>
      <c r="E434" s="211" t="str">
        <f>IFERROR(__xludf.DUMMYFUNCTION("""COMPUTED_VALUE"""),"5")</f>
        <v>5</v>
      </c>
      <c r="F434" s="211" t="str">
        <f>IFERROR(__xludf.DUMMYFUNCTION("""COMPUTED_VALUE"""),"300000")</f>
        <v>300000</v>
      </c>
      <c r="G434" s="211"/>
      <c r="H434" s="211"/>
      <c r="I434" s="211">
        <f>IFERROR(__xludf.DUMMYFUNCTION("""COMPUTED_VALUE"""),300000.0)</f>
        <v>300000</v>
      </c>
      <c r="J434" s="211"/>
      <c r="L434" s="211"/>
      <c r="M434" s="211"/>
      <c r="N434" s="211" t="str">
        <f>IFERROR(__xludf.DUMMYFUNCTION("""COMPUTED_VALUE"""),"")</f>
        <v/>
      </c>
      <c r="O434" s="211" t="str">
        <f>IFERROR(__xludf.DUMMYFUNCTION("""COMPUTED_VALUE"""),"")</f>
        <v/>
      </c>
      <c r="P434" s="224" t="str">
        <f>IFERROR(__xludf.DUMMYFUNCTION("""COMPUTED_VALUE""")," ")</f>
        <v/>
      </c>
      <c r="Q434" s="225" t="str">
        <f>IFERROR(__xludf.DUMMYFUNCTION("""COMPUTED_VALUE"""),"")</f>
        <v/>
      </c>
      <c r="R434" s="211" t="str">
        <f>IFERROR(__xludf.DUMMYFUNCTION("""COMPUTED_VALUE"""),"")</f>
        <v/>
      </c>
      <c r="S434" s="211"/>
      <c r="T434" s="211"/>
      <c r="U434" s="211"/>
    </row>
    <row r="435">
      <c r="A435" s="222" t="str">
        <f>IFERROR(__xludf.DUMMYFUNCTION("""COMPUTED_VALUE"""),"06250549")</f>
        <v>06250549</v>
      </c>
      <c r="B435" s="211" t="str">
        <f>IFERROR(__xludf.DUMMYFUNCTION("""COMPUTED_VALUE"""),"30 Jun 2025")</f>
        <v>30 Jun 2025</v>
      </c>
      <c r="C435" s="211" t="str">
        <f>IFERROR(__xludf.DUMMYFUNCTION("""COMPUTED_VALUE"""),"PT Harapan Sentosa")</f>
        <v>PT Harapan Sentosa</v>
      </c>
      <c r="D435" s="211" t="str">
        <f>IFERROR(__xludf.DUMMYFUNCTION("""COMPUTED_VALUE"""),"Karbondioksida")</f>
        <v>Karbondioksida</v>
      </c>
      <c r="E435" s="211" t="str">
        <f>IFERROR(__xludf.DUMMYFUNCTION("""COMPUTED_VALUE"""),"5")</f>
        <v>5</v>
      </c>
      <c r="F435" s="211" t="str">
        <f>IFERROR(__xludf.DUMMYFUNCTION("""COMPUTED_VALUE"""),"1050000")</f>
        <v>1050000</v>
      </c>
      <c r="G435" s="211"/>
      <c r="H435" s="211"/>
      <c r="I435" s="211">
        <f>IFERROR(__xludf.DUMMYFUNCTION("""COMPUTED_VALUE"""),1050000.0)</f>
        <v>1050000</v>
      </c>
      <c r="J435" s="211" t="str">
        <f>IFERROR(__xludf.DUMMYFUNCTION("""COMPUTED_VALUE"""),"Tidak")</f>
        <v>Tidak</v>
      </c>
      <c r="L435" s="211"/>
      <c r="M435" s="211"/>
      <c r="N435" s="211" t="str">
        <f>IFERROR(__xludf.DUMMYFUNCTION("""COMPUTED_VALUE"""),"")</f>
        <v/>
      </c>
      <c r="O435" s="211" t="str">
        <f>IFERROR(__xludf.DUMMYFUNCTION("""COMPUTED_VALUE"""),"")</f>
        <v/>
      </c>
      <c r="P435" s="224" t="str">
        <f>IFERROR(__xludf.DUMMYFUNCTION("""COMPUTED_VALUE""")," ")</f>
        <v/>
      </c>
      <c r="Q435" s="225" t="str">
        <f>IFERROR(__xludf.DUMMYFUNCTION("""COMPUTED_VALUE"""),"")</f>
        <v/>
      </c>
      <c r="R435" s="211" t="str">
        <f>IFERROR(__xludf.DUMMYFUNCTION("""COMPUTED_VALUE"""),"")</f>
        <v/>
      </c>
      <c r="S435" s="211"/>
      <c r="T435" s="211"/>
      <c r="U435" s="211"/>
    </row>
    <row r="436">
      <c r="A436" s="222" t="str">
        <f>IFERROR(__xludf.DUMMYFUNCTION("""COMPUTED_VALUE"""),"07250550")</f>
        <v>07250550</v>
      </c>
      <c r="B436" s="211" t="str">
        <f>IFERROR(__xludf.DUMMYFUNCTION("""COMPUTED_VALUE"""),"01 Jul 2025")</f>
        <v>01 Jul 2025</v>
      </c>
      <c r="C436" s="211" t="str">
        <f>IFERROR(__xludf.DUMMYFUNCTION("""COMPUTED_VALUE"""),"Bpk. Agus")</f>
        <v>Bpk. Agus</v>
      </c>
      <c r="D436" s="211" t="str">
        <f>IFERROR(__xludf.DUMMYFUNCTION("""COMPUTED_VALUE"""),"Oksigen 6m3")</f>
        <v>Oksigen 6m3</v>
      </c>
      <c r="E436" s="211" t="str">
        <f>IFERROR(__xludf.DUMMYFUNCTION("""COMPUTED_VALUE"""),"5")</f>
        <v>5</v>
      </c>
      <c r="F436" s="211" t="str">
        <f>IFERROR(__xludf.DUMMYFUNCTION("""COMPUTED_VALUE"""),"300000")</f>
        <v>300000</v>
      </c>
      <c r="G436" s="211"/>
      <c r="H436" s="211"/>
      <c r="I436" s="211">
        <f>IFERROR(__xludf.DUMMYFUNCTION("""COMPUTED_VALUE"""),300000.0)</f>
        <v>300000</v>
      </c>
      <c r="J436" s="211"/>
      <c r="L436" s="211"/>
      <c r="M436" s="211"/>
      <c r="N436" s="211" t="str">
        <f>IFERROR(__xludf.DUMMYFUNCTION("""COMPUTED_VALUE"""),"")</f>
        <v/>
      </c>
      <c r="O436" s="211" t="str">
        <f>IFERROR(__xludf.DUMMYFUNCTION("""COMPUTED_VALUE"""),"")</f>
        <v/>
      </c>
      <c r="P436" s="224" t="str">
        <f>IFERROR(__xludf.DUMMYFUNCTION("""COMPUTED_VALUE""")," ")</f>
        <v/>
      </c>
      <c r="Q436" s="225" t="str">
        <f>IFERROR(__xludf.DUMMYFUNCTION("""COMPUTED_VALUE"""),"")</f>
        <v/>
      </c>
      <c r="R436" s="211" t="str">
        <f>IFERROR(__xludf.DUMMYFUNCTION("""COMPUTED_VALUE"""),"")</f>
        <v/>
      </c>
      <c r="S436" s="211"/>
      <c r="T436" s="211"/>
      <c r="U436" s="211"/>
    </row>
    <row r="437">
      <c r="A437" s="222" t="str">
        <f>IFERROR(__xludf.DUMMYFUNCTION("""COMPUTED_VALUE"""),"07250551")</f>
        <v>07250551</v>
      </c>
      <c r="B437" s="211" t="str">
        <f>IFERROR(__xludf.DUMMYFUNCTION("""COMPUTED_VALUE"""),"01 Jul 2025")</f>
        <v>01 Jul 2025</v>
      </c>
      <c r="C437" s="211" t="str">
        <f>IFERROR(__xludf.DUMMYFUNCTION("""COMPUTED_VALUE"""),"Bpk. Irul")</f>
        <v>Bpk. Irul</v>
      </c>
      <c r="D437" s="211" t="str">
        <f>IFERROR(__xludf.DUMMYFUNCTION("""COMPUTED_VALUE"""),"Oksigen 6m3")</f>
        <v>Oksigen 6m3</v>
      </c>
      <c r="E437" s="211" t="str">
        <f>IFERROR(__xludf.DUMMYFUNCTION("""COMPUTED_VALUE"""),"2")</f>
        <v>2</v>
      </c>
      <c r="F437" s="211" t="str">
        <f>IFERROR(__xludf.DUMMYFUNCTION("""COMPUTED_VALUE"""),"130000")</f>
        <v>130000</v>
      </c>
      <c r="G437" s="211"/>
      <c r="H437" s="211"/>
      <c r="I437" s="211">
        <f>IFERROR(__xludf.DUMMYFUNCTION("""COMPUTED_VALUE"""),130000.0)</f>
        <v>130000</v>
      </c>
      <c r="J437" s="211"/>
      <c r="L437" s="211"/>
      <c r="M437" s="211"/>
      <c r="N437" s="211" t="str">
        <f>IFERROR(__xludf.DUMMYFUNCTION("""COMPUTED_VALUE"""),"")</f>
        <v/>
      </c>
      <c r="O437" s="211" t="str">
        <f>IFERROR(__xludf.DUMMYFUNCTION("""COMPUTED_VALUE"""),"")</f>
        <v/>
      </c>
      <c r="P437" s="224" t="str">
        <f>IFERROR(__xludf.DUMMYFUNCTION("""COMPUTED_VALUE""")," ")</f>
        <v/>
      </c>
      <c r="Q437" s="225" t="str">
        <f>IFERROR(__xludf.DUMMYFUNCTION("""COMPUTED_VALUE"""),"")</f>
        <v/>
      </c>
      <c r="R437" s="211" t="str">
        <f>IFERROR(__xludf.DUMMYFUNCTION("""COMPUTED_VALUE"""),"")</f>
        <v/>
      </c>
      <c r="S437" s="211"/>
      <c r="T437" s="211"/>
      <c r="U437" s="211"/>
    </row>
    <row r="438">
      <c r="A438" s="222" t="str">
        <f>IFERROR(__xludf.DUMMYFUNCTION("""COMPUTED_VALUE"""),"07250552")</f>
        <v>07250552</v>
      </c>
      <c r="B438" s="211" t="str">
        <f>IFERROR(__xludf.DUMMYFUNCTION("""COMPUTED_VALUE"""),"01 Jul 2025")</f>
        <v>01 Jul 2025</v>
      </c>
      <c r="C438" s="211" t="str">
        <f>IFERROR(__xludf.DUMMYFUNCTION("""COMPUTED_VALUE"""),"GYF")</f>
        <v>GYF</v>
      </c>
      <c r="D438" s="211" t="str">
        <f>IFERROR(__xludf.DUMMYFUNCTION("""COMPUTED_VALUE"""),"Oksigen 6m3")</f>
        <v>Oksigen 6m3</v>
      </c>
      <c r="E438" s="211" t="str">
        <f>IFERROR(__xludf.DUMMYFUNCTION("""COMPUTED_VALUE"""),"15")</f>
        <v>15</v>
      </c>
      <c r="F438" s="211" t="str">
        <f>IFERROR(__xludf.DUMMYFUNCTION("""COMPUTED_VALUE"""),"675000")</f>
        <v>675000</v>
      </c>
      <c r="G438" s="211"/>
      <c r="H438" s="211"/>
      <c r="I438" s="211">
        <f>IFERROR(__xludf.DUMMYFUNCTION("""COMPUTED_VALUE"""),675000.0)</f>
        <v>675000</v>
      </c>
      <c r="J438" s="211"/>
      <c r="L438" s="211"/>
      <c r="M438" s="211"/>
      <c r="N438" s="211" t="str">
        <f>IFERROR(__xludf.DUMMYFUNCTION("""COMPUTED_VALUE"""),"")</f>
        <v/>
      </c>
      <c r="O438" s="211" t="str">
        <f>IFERROR(__xludf.DUMMYFUNCTION("""COMPUTED_VALUE"""),"")</f>
        <v/>
      </c>
      <c r="P438" s="224" t="str">
        <f>IFERROR(__xludf.DUMMYFUNCTION("""COMPUTED_VALUE""")," ")</f>
        <v/>
      </c>
      <c r="Q438" s="225" t="str">
        <f>IFERROR(__xludf.DUMMYFUNCTION("""COMPUTED_VALUE"""),"")</f>
        <v/>
      </c>
      <c r="R438" s="211" t="str">
        <f>IFERROR(__xludf.DUMMYFUNCTION("""COMPUTED_VALUE"""),"")</f>
        <v/>
      </c>
      <c r="S438" s="211"/>
      <c r="T438" s="211"/>
      <c r="U438" s="211"/>
    </row>
    <row r="439">
      <c r="A439" s="222" t="str">
        <f>IFERROR(__xludf.DUMMYFUNCTION("""COMPUTED_VALUE"""),"07250553")</f>
        <v>07250553</v>
      </c>
      <c r="B439" s="211" t="str">
        <f>IFERROR(__xludf.DUMMYFUNCTION("""COMPUTED_VALUE"""),"02 Jul 2025")</f>
        <v>02 Jul 2025</v>
      </c>
      <c r="C439" s="211" t="str">
        <f>IFERROR(__xludf.DUMMYFUNCTION("""COMPUTED_VALUE"""),"Ibu Ida")</f>
        <v>Ibu Ida</v>
      </c>
      <c r="D439" s="211" t="str">
        <f>IFERROR(__xludf.DUMMYFUNCTION("""COMPUTED_VALUE"""),"Oksigen 6m3 MR")</f>
        <v>Oksigen 6m3 MR</v>
      </c>
      <c r="E439" s="211" t="str">
        <f>IFERROR(__xludf.DUMMYFUNCTION("""COMPUTED_VALUE"""),"4")</f>
        <v>4</v>
      </c>
      <c r="F439" s="211" t="str">
        <f>IFERROR(__xludf.DUMMYFUNCTION("""COMPUTED_VALUE"""),"200000")</f>
        <v>200000</v>
      </c>
      <c r="G439" s="211"/>
      <c r="H439" s="211"/>
      <c r="I439" s="211">
        <f>IFERROR(__xludf.DUMMYFUNCTION("""COMPUTED_VALUE"""),200000.0)</f>
        <v>200000</v>
      </c>
      <c r="J439" s="211"/>
      <c r="L439" s="211"/>
      <c r="M439" s="211"/>
      <c r="N439" s="211" t="str">
        <f>IFERROR(__xludf.DUMMYFUNCTION("""COMPUTED_VALUE"""),"")</f>
        <v/>
      </c>
      <c r="O439" s="211" t="str">
        <f>IFERROR(__xludf.DUMMYFUNCTION("""COMPUTED_VALUE"""),"")</f>
        <v/>
      </c>
      <c r="P439" s="224" t="str">
        <f>IFERROR(__xludf.DUMMYFUNCTION("""COMPUTED_VALUE""")," ")</f>
        <v/>
      </c>
      <c r="Q439" s="225" t="str">
        <f>IFERROR(__xludf.DUMMYFUNCTION("""COMPUTED_VALUE"""),"")</f>
        <v/>
      </c>
      <c r="R439" s="211" t="str">
        <f>IFERROR(__xludf.DUMMYFUNCTION("""COMPUTED_VALUE"""),"")</f>
        <v/>
      </c>
      <c r="S439" s="211"/>
      <c r="T439" s="211"/>
      <c r="U439" s="211"/>
    </row>
    <row r="440">
      <c r="A440" s="222" t="str">
        <f>IFERROR(__xludf.DUMMYFUNCTION("""COMPUTED_VALUE"""),"07250554")</f>
        <v>07250554</v>
      </c>
      <c r="B440" s="211" t="str">
        <f>IFERROR(__xludf.DUMMYFUNCTION("""COMPUTED_VALUE"""),"02 Jul 2025")</f>
        <v>02 Jul 2025</v>
      </c>
      <c r="C440" s="211" t="str">
        <f>IFERROR(__xludf.DUMMYFUNCTION("""COMPUTED_VALUE"""),"PT Amtech")</f>
        <v>PT Amtech</v>
      </c>
      <c r="D440" s="211" t="str">
        <f>IFERROR(__xludf.DUMMYFUNCTION("""COMPUTED_VALUE"""),"Oksigen 6m3")</f>
        <v>Oksigen 6m3</v>
      </c>
      <c r="E440" s="211" t="str">
        <f>IFERROR(__xludf.DUMMYFUNCTION("""COMPUTED_VALUE"""),"5")</f>
        <v>5</v>
      </c>
      <c r="F440" s="211" t="str">
        <f>IFERROR(__xludf.DUMMYFUNCTION("""COMPUTED_VALUE"""),"305250")</f>
        <v>305250</v>
      </c>
      <c r="G440" s="211"/>
      <c r="H440" s="211"/>
      <c r="I440" s="211">
        <f>IFERROR(__xludf.DUMMYFUNCTION("""COMPUTED_VALUE"""),305250.0)</f>
        <v>305250</v>
      </c>
      <c r="J440" s="211" t="str">
        <f>IFERROR(__xludf.DUMMYFUNCTION("""COMPUTED_VALUE"""),"Tidak")</f>
        <v>Tidak</v>
      </c>
      <c r="L440" s="211"/>
      <c r="M440" s="211"/>
      <c r="N440" s="211" t="str">
        <f>IFERROR(__xludf.DUMMYFUNCTION("""COMPUTED_VALUE"""),"")</f>
        <v/>
      </c>
      <c r="O440" s="211" t="str">
        <f>IFERROR(__xludf.DUMMYFUNCTION("""COMPUTED_VALUE"""),"")</f>
        <v/>
      </c>
      <c r="P440" s="224" t="str">
        <f>IFERROR(__xludf.DUMMYFUNCTION("""COMPUTED_VALUE""")," ")</f>
        <v/>
      </c>
      <c r="Q440" s="225" t="str">
        <f>IFERROR(__xludf.DUMMYFUNCTION("""COMPUTED_VALUE"""),"")</f>
        <v/>
      </c>
      <c r="R440" s="211" t="str">
        <f>IFERROR(__xludf.DUMMYFUNCTION("""COMPUTED_VALUE"""),"")</f>
        <v/>
      </c>
      <c r="S440" s="211"/>
      <c r="T440" s="211"/>
      <c r="U440" s="211"/>
    </row>
    <row r="441">
      <c r="A441" s="222" t="str">
        <f>IFERROR(__xludf.DUMMYFUNCTION("""COMPUTED_VALUE"""),"07250555")</f>
        <v>07250555</v>
      </c>
      <c r="B441" s="211" t="str">
        <f>IFERROR(__xludf.DUMMYFUNCTION("""COMPUTED_VALUE"""),"03 Jul 2025")</f>
        <v>03 Jul 2025</v>
      </c>
      <c r="C441" s="211" t="str">
        <f>IFERROR(__xludf.DUMMYFUNCTION("""COMPUTED_VALUE"""),"PT Hua Zong Mesindo")</f>
        <v>PT Hua Zong Mesindo</v>
      </c>
      <c r="D441" s="211" t="str">
        <f>IFERROR(__xludf.DUMMYFUNCTION("""COMPUTED_VALUE"""),"Oksigen 6m3
Karbondioksida
Argon 6m3")</f>
        <v>Oksigen 6m3
Karbondioksida
Argon 6m3</v>
      </c>
      <c r="E441" s="211" t="str">
        <f>IFERROR(__xludf.DUMMYFUNCTION("""COMPUTED_VALUE"""),"4
2
2")</f>
        <v>4
2
2</v>
      </c>
      <c r="F441" s="211" t="str">
        <f>IFERROR(__xludf.DUMMYFUNCTION("""COMPUTED_VALUE"""),"240000
320000
380000")</f>
        <v>240000
320000
380000</v>
      </c>
      <c r="G441" s="211"/>
      <c r="H441" s="211"/>
      <c r="I441" s="211">
        <f>IFERROR(__xludf.DUMMYFUNCTION("""COMPUTED_VALUE"""),940000.0)</f>
        <v>940000</v>
      </c>
      <c r="J441" s="211"/>
      <c r="L441" s="211"/>
      <c r="M441" s="211"/>
      <c r="N441" s="211" t="str">
        <f>IFERROR(__xludf.DUMMYFUNCTION("""COMPUTED_VALUE"""),"")</f>
        <v/>
      </c>
      <c r="O441" s="211" t="str">
        <f>IFERROR(__xludf.DUMMYFUNCTION("""COMPUTED_VALUE"""),"")</f>
        <v/>
      </c>
      <c r="P441" s="224" t="str">
        <f>IFERROR(__xludf.DUMMYFUNCTION("""COMPUTED_VALUE""")," ")</f>
        <v/>
      </c>
      <c r="Q441" s="225" t="str">
        <f>IFERROR(__xludf.DUMMYFUNCTION("""COMPUTED_VALUE"""),"")</f>
        <v/>
      </c>
      <c r="R441" s="211" t="str">
        <f>IFERROR(__xludf.DUMMYFUNCTION("""COMPUTED_VALUE"""),"")</f>
        <v/>
      </c>
      <c r="S441" s="211"/>
      <c r="T441" s="211"/>
      <c r="U441" s="211"/>
    </row>
    <row r="442">
      <c r="A442" s="222" t="str">
        <f>IFERROR(__xludf.DUMMYFUNCTION("""COMPUTED_VALUE"""),"07250558")</f>
        <v>07250558</v>
      </c>
      <c r="B442" s="211" t="str">
        <f>IFERROR(__xludf.DUMMYFUNCTION("""COMPUTED_VALUE"""),"03 Jul 2025")</f>
        <v>03 Jul 2025</v>
      </c>
      <c r="C442" s="211" t="str">
        <f>IFERROR(__xludf.DUMMYFUNCTION("""COMPUTED_VALUE"""),"PT Sinar Indogreen Kencana")</f>
        <v>PT Sinar Indogreen Kencana</v>
      </c>
      <c r="D442" s="211" t="str">
        <f>IFERROR(__xludf.DUMMYFUNCTION("""COMPUTED_VALUE"""),"LPG 12kg")</f>
        <v>LPG 12kg</v>
      </c>
      <c r="E442" s="211" t="str">
        <f>IFERROR(__xludf.DUMMYFUNCTION("""COMPUTED_VALUE"""),"1")</f>
        <v>1</v>
      </c>
      <c r="F442" s="211" t="str">
        <f>IFERROR(__xludf.DUMMYFUNCTION("""COMPUTED_VALUE"""),"210001")</f>
        <v>210001</v>
      </c>
      <c r="G442" s="211"/>
      <c r="H442" s="211"/>
      <c r="I442" s="211">
        <f>IFERROR(__xludf.DUMMYFUNCTION("""COMPUTED_VALUE"""),210001.0)</f>
        <v>210001</v>
      </c>
      <c r="J442" s="211" t="str">
        <f>IFERROR(__xludf.DUMMYFUNCTION("""COMPUTED_VALUE"""),"Tidak")</f>
        <v>Tidak</v>
      </c>
      <c r="L442" s="211"/>
      <c r="M442" s="211"/>
      <c r="N442" s="211" t="str">
        <f>IFERROR(__xludf.DUMMYFUNCTION("""COMPUTED_VALUE"""),"")</f>
        <v/>
      </c>
      <c r="O442" s="211" t="str">
        <f>IFERROR(__xludf.DUMMYFUNCTION("""COMPUTED_VALUE"""),"")</f>
        <v/>
      </c>
      <c r="P442" s="224" t="str">
        <f>IFERROR(__xludf.DUMMYFUNCTION("""COMPUTED_VALUE""")," ")</f>
        <v/>
      </c>
      <c r="Q442" s="225" t="str">
        <f>IFERROR(__xludf.DUMMYFUNCTION("""COMPUTED_VALUE"""),"")</f>
        <v/>
      </c>
      <c r="R442" s="211" t="str">
        <f>IFERROR(__xludf.DUMMYFUNCTION("""COMPUTED_VALUE"""),"")</f>
        <v/>
      </c>
      <c r="S442" s="211"/>
      <c r="T442" s="211"/>
      <c r="U442" s="211"/>
    </row>
    <row r="443">
      <c r="A443" s="222" t="str">
        <f>IFERROR(__xludf.DUMMYFUNCTION("""COMPUTED_VALUE"""),"07250559")</f>
        <v>07250559</v>
      </c>
      <c r="B443" s="211" t="str">
        <f>IFERROR(__xludf.DUMMYFUNCTION("""COMPUTED_VALUE"""),"03 Jul 2025")</f>
        <v>03 Jul 2025</v>
      </c>
      <c r="C443" s="211" t="str">
        <f>IFERROR(__xludf.DUMMYFUNCTION("""COMPUTED_VALUE"""),"PT GEMILANG CIPTA WAWASAN")</f>
        <v>PT GEMILANG CIPTA WAWASAN</v>
      </c>
      <c r="D443" s="211" t="str">
        <f>IFERROR(__xludf.DUMMYFUNCTION("""COMPUTED_VALUE"""),"Argon 6m3")</f>
        <v>Argon 6m3</v>
      </c>
      <c r="E443" s="211" t="str">
        <f>IFERROR(__xludf.DUMMYFUNCTION("""COMPUTED_VALUE"""),"8")</f>
        <v>8</v>
      </c>
      <c r="F443" s="211" t="str">
        <f>IFERROR(__xludf.DUMMYFUNCTION("""COMPUTED_VALUE"""),"1642800")</f>
        <v>1642800</v>
      </c>
      <c r="G443" s="211"/>
      <c r="H443" s="211"/>
      <c r="I443" s="211">
        <f>IFERROR(__xludf.DUMMYFUNCTION("""COMPUTED_VALUE"""),1642800.0)</f>
        <v>1642800</v>
      </c>
      <c r="J443" s="211"/>
      <c r="L443" s="211"/>
      <c r="M443" s="211"/>
      <c r="N443" s="211" t="str">
        <f>IFERROR(__xludf.DUMMYFUNCTION("""COMPUTED_VALUE"""),"")</f>
        <v/>
      </c>
      <c r="O443" s="211" t="str">
        <f>IFERROR(__xludf.DUMMYFUNCTION("""COMPUTED_VALUE"""),"")</f>
        <v/>
      </c>
      <c r="P443" s="224" t="str">
        <f>IFERROR(__xludf.DUMMYFUNCTION("""COMPUTED_VALUE""")," ")</f>
        <v/>
      </c>
      <c r="Q443" s="225" t="str">
        <f>IFERROR(__xludf.DUMMYFUNCTION("""COMPUTED_VALUE"""),"")</f>
        <v/>
      </c>
      <c r="R443" s="211" t="str">
        <f>IFERROR(__xludf.DUMMYFUNCTION("""COMPUTED_VALUE"""),"")</f>
        <v/>
      </c>
      <c r="S443" s="211"/>
      <c r="T443" s="211"/>
      <c r="U443" s="211"/>
    </row>
    <row r="444">
      <c r="A444" s="222" t="str">
        <f>IFERROR(__xludf.DUMMYFUNCTION("""COMPUTED_VALUE"""),"07250560")</f>
        <v>07250560</v>
      </c>
      <c r="B444" s="211" t="str">
        <f>IFERROR(__xludf.DUMMYFUNCTION("""COMPUTED_VALUE"""),"04 Jul 2025")</f>
        <v>04 Jul 2025</v>
      </c>
      <c r="C444" s="211" t="str">
        <f>IFERROR(__xludf.DUMMYFUNCTION("""COMPUTED_VALUE"""),"Bpk. Andi (Jetis)")</f>
        <v>Bpk. Andi (Jetis)</v>
      </c>
      <c r="D444" s="211" t="str">
        <f>IFERROR(__xludf.DUMMYFUNCTION("""COMPUTED_VALUE"""),"Oksigen 6m3 MR")</f>
        <v>Oksigen 6m3 MR</v>
      </c>
      <c r="E444" s="211" t="str">
        <f>IFERROR(__xludf.DUMMYFUNCTION("""COMPUTED_VALUE"""),"35")</f>
        <v>35</v>
      </c>
      <c r="F444" s="211" t="str">
        <f>IFERROR(__xludf.DUMMYFUNCTION("""COMPUTED_VALUE"""),"1750000")</f>
        <v>1750000</v>
      </c>
      <c r="G444" s="211"/>
      <c r="H444" s="211"/>
      <c r="I444" s="211">
        <f>IFERROR(__xludf.DUMMYFUNCTION("""COMPUTED_VALUE"""),1750000.0)</f>
        <v>1750000</v>
      </c>
      <c r="J444" s="211"/>
      <c r="L444" s="211"/>
      <c r="M444" s="211"/>
      <c r="N444" s="211" t="str">
        <f>IFERROR(__xludf.DUMMYFUNCTION("""COMPUTED_VALUE"""),"")</f>
        <v/>
      </c>
      <c r="O444" s="211" t="str">
        <f>IFERROR(__xludf.DUMMYFUNCTION("""COMPUTED_VALUE"""),"")</f>
        <v/>
      </c>
      <c r="P444" s="224" t="str">
        <f>IFERROR(__xludf.DUMMYFUNCTION("""COMPUTED_VALUE""")," ")</f>
        <v/>
      </c>
      <c r="Q444" s="225" t="str">
        <f>IFERROR(__xludf.DUMMYFUNCTION("""COMPUTED_VALUE"""),"")</f>
        <v/>
      </c>
      <c r="R444" s="211" t="str">
        <f>IFERROR(__xludf.DUMMYFUNCTION("""COMPUTED_VALUE"""),"")</f>
        <v/>
      </c>
      <c r="S444" s="211"/>
      <c r="T444" s="211"/>
      <c r="U444" s="211"/>
    </row>
    <row r="445">
      <c r="A445" s="222" t="str">
        <f>IFERROR(__xludf.DUMMYFUNCTION("""COMPUTED_VALUE"""),"07250561")</f>
        <v>07250561</v>
      </c>
      <c r="B445" s="211" t="str">
        <f>IFERROR(__xludf.DUMMYFUNCTION("""COMPUTED_VALUE"""),"05 Jul 2025")</f>
        <v>05 Jul 2025</v>
      </c>
      <c r="C445" s="211" t="str">
        <f>IFERROR(__xludf.DUMMYFUNCTION("""COMPUTED_VALUE"""),"Bpk. Fuad (Parengan)")</f>
        <v>Bpk. Fuad (Parengan)</v>
      </c>
      <c r="D445" s="211" t="str">
        <f>IFERROR(__xludf.DUMMYFUNCTION("""COMPUTED_VALUE"""),"Oksigen 6m3
Argon 6m3")</f>
        <v>Oksigen 6m3
Argon 6m3</v>
      </c>
      <c r="E445" s="211" t="str">
        <f>IFERROR(__xludf.DUMMYFUNCTION("""COMPUTED_VALUE"""),"1
1")</f>
        <v>1
1</v>
      </c>
      <c r="F445" s="211" t="str">
        <f>IFERROR(__xludf.DUMMYFUNCTION("""COMPUTED_VALUE"""),"70000
230000")</f>
        <v>70000
230000</v>
      </c>
      <c r="G445" s="211"/>
      <c r="H445" s="211"/>
      <c r="I445" s="211">
        <f>IFERROR(__xludf.DUMMYFUNCTION("""COMPUTED_VALUE"""),300000.0)</f>
        <v>300000</v>
      </c>
      <c r="J445" s="211"/>
      <c r="L445" s="211"/>
      <c r="M445" s="211"/>
      <c r="N445" s="211" t="str">
        <f>IFERROR(__xludf.DUMMYFUNCTION("""COMPUTED_VALUE"""),"")</f>
        <v/>
      </c>
      <c r="O445" s="211" t="str">
        <f>IFERROR(__xludf.DUMMYFUNCTION("""COMPUTED_VALUE"""),"")</f>
        <v/>
      </c>
      <c r="P445" s="224" t="str">
        <f>IFERROR(__xludf.DUMMYFUNCTION("""COMPUTED_VALUE""")," ")</f>
        <v/>
      </c>
      <c r="Q445" s="225" t="str">
        <f>IFERROR(__xludf.DUMMYFUNCTION("""COMPUTED_VALUE"""),"")</f>
        <v/>
      </c>
      <c r="R445" s="211" t="str">
        <f>IFERROR(__xludf.DUMMYFUNCTION("""COMPUTED_VALUE"""),"")</f>
        <v/>
      </c>
      <c r="S445" s="211"/>
      <c r="T445" s="211"/>
      <c r="U445" s="211"/>
    </row>
    <row r="446">
      <c r="A446" s="222" t="str">
        <f>IFERROR(__xludf.DUMMYFUNCTION("""COMPUTED_VALUE"""),"07250563")</f>
        <v>07250563</v>
      </c>
      <c r="B446" s="211" t="str">
        <f>IFERROR(__xludf.DUMMYFUNCTION("""COMPUTED_VALUE"""),"05 Jul 2025")</f>
        <v>05 Jul 2025</v>
      </c>
      <c r="C446" s="211" t="str">
        <f>IFERROR(__xludf.DUMMYFUNCTION("""COMPUTED_VALUE"""),"Bpk. Irul")</f>
        <v>Bpk. Irul</v>
      </c>
      <c r="D446" s="211" t="str">
        <f>IFERROR(__xludf.DUMMYFUNCTION("""COMPUTED_VALUE"""),"Oksigen 6m3
LPG 12kg")</f>
        <v>Oksigen 6m3
LPG 12kg</v>
      </c>
      <c r="E446" s="211" t="str">
        <f>IFERROR(__xludf.DUMMYFUNCTION("""COMPUTED_VALUE"""),"1
1")</f>
        <v>1
1</v>
      </c>
      <c r="F446" s="211" t="str">
        <f>IFERROR(__xludf.DUMMYFUNCTION("""COMPUTED_VALUE"""),"65000
215000")</f>
        <v>65000
215000</v>
      </c>
      <c r="G446" s="211"/>
      <c r="H446" s="211"/>
      <c r="I446" s="211">
        <f>IFERROR(__xludf.DUMMYFUNCTION("""COMPUTED_VALUE"""),280000.0)</f>
        <v>280000</v>
      </c>
      <c r="J446" s="211"/>
      <c r="L446" s="211"/>
      <c r="M446" s="211"/>
      <c r="N446" s="211" t="str">
        <f>IFERROR(__xludf.DUMMYFUNCTION("""COMPUTED_VALUE"""),"")</f>
        <v/>
      </c>
      <c r="O446" s="211" t="str">
        <f>IFERROR(__xludf.DUMMYFUNCTION("""COMPUTED_VALUE"""),"")</f>
        <v/>
      </c>
      <c r="P446" s="224" t="str">
        <f>IFERROR(__xludf.DUMMYFUNCTION("""COMPUTED_VALUE""")," ")</f>
        <v/>
      </c>
      <c r="Q446" s="225" t="str">
        <f>IFERROR(__xludf.DUMMYFUNCTION("""COMPUTED_VALUE"""),"")</f>
        <v/>
      </c>
      <c r="R446" s="211" t="str">
        <f>IFERROR(__xludf.DUMMYFUNCTION("""COMPUTED_VALUE"""),"")</f>
        <v/>
      </c>
      <c r="S446" s="211"/>
      <c r="T446" s="211"/>
      <c r="U446" s="211"/>
    </row>
    <row r="447">
      <c r="A447" s="222" t="str">
        <f>IFERROR(__xludf.DUMMYFUNCTION("""COMPUTED_VALUE"""),"07250565")</f>
        <v>07250565</v>
      </c>
      <c r="B447" s="211" t="str">
        <f>IFERROR(__xludf.DUMMYFUNCTION("""COMPUTED_VALUE"""),"07 Jul 2025")</f>
        <v>07 Jul 2025</v>
      </c>
      <c r="C447" s="211" t="str">
        <f>IFERROR(__xludf.DUMMYFUNCTION("""COMPUTED_VALUE"""),"GYF")</f>
        <v>GYF</v>
      </c>
      <c r="D447" s="211" t="str">
        <f>IFERROR(__xludf.DUMMYFUNCTION("""COMPUTED_VALUE"""),"Oksigen 6m3")</f>
        <v>Oksigen 6m3</v>
      </c>
      <c r="E447" s="211" t="str">
        <f>IFERROR(__xludf.DUMMYFUNCTION("""COMPUTED_VALUE"""),"20")</f>
        <v>20</v>
      </c>
      <c r="F447" s="211" t="str">
        <f>IFERROR(__xludf.DUMMYFUNCTION("""COMPUTED_VALUE"""),"900000")</f>
        <v>900000</v>
      </c>
      <c r="G447" s="211"/>
      <c r="H447" s="211"/>
      <c r="I447" s="211">
        <f>IFERROR(__xludf.DUMMYFUNCTION("""COMPUTED_VALUE"""),900000.0)</f>
        <v>900000</v>
      </c>
      <c r="J447" s="211"/>
      <c r="L447" s="211"/>
      <c r="M447" s="211"/>
      <c r="N447" s="211" t="str">
        <f>IFERROR(__xludf.DUMMYFUNCTION("""COMPUTED_VALUE"""),"")</f>
        <v/>
      </c>
      <c r="O447" s="211" t="str">
        <f>IFERROR(__xludf.DUMMYFUNCTION("""COMPUTED_VALUE"""),"")</f>
        <v/>
      </c>
      <c r="P447" s="224" t="str">
        <f>IFERROR(__xludf.DUMMYFUNCTION("""COMPUTED_VALUE""")," ")</f>
        <v/>
      </c>
      <c r="Q447" s="225" t="str">
        <f>IFERROR(__xludf.DUMMYFUNCTION("""COMPUTED_VALUE"""),"")</f>
        <v/>
      </c>
      <c r="R447" s="211" t="str">
        <f>IFERROR(__xludf.DUMMYFUNCTION("""COMPUTED_VALUE"""),"")</f>
        <v/>
      </c>
      <c r="S447" s="211"/>
      <c r="T447" s="211"/>
      <c r="U447" s="211"/>
    </row>
    <row r="448">
      <c r="A448" s="222" t="str">
        <f>IFERROR(__xludf.DUMMYFUNCTION("""COMPUTED_VALUE"""),"07250566")</f>
        <v>07250566</v>
      </c>
      <c r="B448" s="211" t="str">
        <f>IFERROR(__xludf.DUMMYFUNCTION("""COMPUTED_VALUE"""),"07 Jul 2025")</f>
        <v>07 Jul 2025</v>
      </c>
      <c r="C448" s="211" t="str">
        <f>IFERROR(__xludf.DUMMYFUNCTION("""COMPUTED_VALUE"""),"PT PELANGI INDOKARYA")</f>
        <v>PT PELANGI INDOKARYA</v>
      </c>
      <c r="D448" s="211" t="str">
        <f>IFERROR(__xludf.DUMMYFUNCTION("""COMPUTED_VALUE"""),"Oksigen 6m3")</f>
        <v>Oksigen 6m3</v>
      </c>
      <c r="E448" s="211" t="str">
        <f>IFERROR(__xludf.DUMMYFUNCTION("""COMPUTED_VALUE"""),"5")</f>
        <v>5</v>
      </c>
      <c r="F448" s="211" t="str">
        <f>IFERROR(__xludf.DUMMYFUNCTION("""COMPUTED_VALUE"""),"333000")</f>
        <v>333000</v>
      </c>
      <c r="G448" s="211"/>
      <c r="H448" s="211"/>
      <c r="I448" s="211">
        <f>IFERROR(__xludf.DUMMYFUNCTION("""COMPUTED_VALUE"""),333000.0)</f>
        <v>333000</v>
      </c>
      <c r="J448" s="211"/>
      <c r="L448" s="211"/>
      <c r="M448" s="211"/>
      <c r="N448" s="211" t="str">
        <f>IFERROR(__xludf.DUMMYFUNCTION("""COMPUTED_VALUE"""),"")</f>
        <v/>
      </c>
      <c r="O448" s="211" t="str">
        <f>IFERROR(__xludf.DUMMYFUNCTION("""COMPUTED_VALUE"""),"")</f>
        <v/>
      </c>
      <c r="P448" s="224" t="str">
        <f>IFERROR(__xludf.DUMMYFUNCTION("""COMPUTED_VALUE""")," ")</f>
        <v/>
      </c>
      <c r="Q448" s="225" t="str">
        <f>IFERROR(__xludf.DUMMYFUNCTION("""COMPUTED_VALUE"""),"")</f>
        <v/>
      </c>
      <c r="R448" s="211" t="str">
        <f>IFERROR(__xludf.DUMMYFUNCTION("""COMPUTED_VALUE"""),"")</f>
        <v/>
      </c>
      <c r="S448" s="211"/>
      <c r="T448" s="211"/>
      <c r="U448" s="211"/>
    </row>
    <row r="449">
      <c r="A449" s="222" t="str">
        <f>IFERROR(__xludf.DUMMYFUNCTION("""COMPUTED_VALUE"""),"07250567")</f>
        <v>07250567</v>
      </c>
      <c r="B449" s="211" t="str">
        <f>IFERROR(__xludf.DUMMYFUNCTION("""COMPUTED_VALUE"""),"07 Jul 2025")</f>
        <v>07 Jul 2025</v>
      </c>
      <c r="C449" s="211" t="str">
        <f>IFERROR(__xludf.DUMMYFUNCTION("""COMPUTED_VALUE"""),"PT Amtech")</f>
        <v>PT Amtech</v>
      </c>
      <c r="D449" s="211" t="str">
        <f>IFERROR(__xludf.DUMMYFUNCTION("""COMPUTED_VALUE"""),"Oksigen 6m3
LPG 12kg")</f>
        <v>Oksigen 6m3
LPG 12kg</v>
      </c>
      <c r="E449" s="211" t="str">
        <f>IFERROR(__xludf.DUMMYFUNCTION("""COMPUTED_VALUE"""),"10
2")</f>
        <v>10
2</v>
      </c>
      <c r="F449" s="211" t="str">
        <f>IFERROR(__xludf.DUMMYFUNCTION("""COMPUTED_VALUE"""),"610500
466200")</f>
        <v>610500
466200</v>
      </c>
      <c r="G449" s="211"/>
      <c r="H449" s="211"/>
      <c r="I449" s="211">
        <f>IFERROR(__xludf.DUMMYFUNCTION("""COMPUTED_VALUE"""),1076700.0)</f>
        <v>1076700</v>
      </c>
      <c r="J449" s="211" t="str">
        <f>IFERROR(__xludf.DUMMYFUNCTION("""COMPUTED_VALUE"""),"Tidak")</f>
        <v>Tidak</v>
      </c>
      <c r="L449" s="211"/>
      <c r="M449" s="211"/>
      <c r="N449" s="211" t="str">
        <f>IFERROR(__xludf.DUMMYFUNCTION("""COMPUTED_VALUE"""),"")</f>
        <v/>
      </c>
      <c r="O449" s="211" t="str">
        <f>IFERROR(__xludf.DUMMYFUNCTION("""COMPUTED_VALUE"""),"")</f>
        <v/>
      </c>
      <c r="P449" s="224" t="str">
        <f>IFERROR(__xludf.DUMMYFUNCTION("""COMPUTED_VALUE""")," ")</f>
        <v/>
      </c>
      <c r="Q449" s="225" t="str">
        <f>IFERROR(__xludf.DUMMYFUNCTION("""COMPUTED_VALUE"""),"")</f>
        <v/>
      </c>
      <c r="R449" s="211" t="str">
        <f>IFERROR(__xludf.DUMMYFUNCTION("""COMPUTED_VALUE"""),"")</f>
        <v/>
      </c>
      <c r="S449" s="211"/>
      <c r="T449" s="211"/>
      <c r="U449" s="211"/>
    </row>
    <row r="450">
      <c r="A450" s="222" t="str">
        <f>IFERROR(__xludf.DUMMYFUNCTION("""COMPUTED_VALUE"""),"07250569")</f>
        <v>07250569</v>
      </c>
      <c r="B450" s="211" t="str">
        <f>IFERROR(__xludf.DUMMYFUNCTION("""COMPUTED_VALUE"""),"08 Jul 2025")</f>
        <v>08 Jul 2025</v>
      </c>
      <c r="C450" s="211" t="str">
        <f>IFERROR(__xludf.DUMMYFUNCTION("""COMPUTED_VALUE"""),"PT Harapan Sentosa")</f>
        <v>PT Harapan Sentosa</v>
      </c>
      <c r="D450" s="211" t="str">
        <f>IFERROR(__xludf.DUMMYFUNCTION("""COMPUTED_VALUE"""),"Karbondioksida")</f>
        <v>Karbondioksida</v>
      </c>
      <c r="E450" s="211" t="str">
        <f>IFERROR(__xludf.DUMMYFUNCTION("""COMPUTED_VALUE"""),"5")</f>
        <v>5</v>
      </c>
      <c r="F450" s="211" t="str">
        <f>IFERROR(__xludf.DUMMYFUNCTION("""COMPUTED_VALUE"""),"1050000")</f>
        <v>1050000</v>
      </c>
      <c r="G450" s="211"/>
      <c r="H450" s="211"/>
      <c r="I450" s="211">
        <f>IFERROR(__xludf.DUMMYFUNCTION("""COMPUTED_VALUE"""),1050000.0)</f>
        <v>1050000</v>
      </c>
      <c r="J450" s="211" t="str">
        <f>IFERROR(__xludf.DUMMYFUNCTION("""COMPUTED_VALUE"""),"Tidak")</f>
        <v>Tidak</v>
      </c>
      <c r="L450" s="211"/>
      <c r="M450" s="211"/>
      <c r="N450" s="211" t="str">
        <f>IFERROR(__xludf.DUMMYFUNCTION("""COMPUTED_VALUE"""),"")</f>
        <v/>
      </c>
      <c r="O450" s="211" t="str">
        <f>IFERROR(__xludf.DUMMYFUNCTION("""COMPUTED_VALUE"""),"")</f>
        <v/>
      </c>
      <c r="P450" s="224" t="str">
        <f>IFERROR(__xludf.DUMMYFUNCTION("""COMPUTED_VALUE""")," ")</f>
        <v/>
      </c>
      <c r="Q450" s="225" t="str">
        <f>IFERROR(__xludf.DUMMYFUNCTION("""COMPUTED_VALUE"""),"")</f>
        <v/>
      </c>
      <c r="R450" s="211" t="str">
        <f>IFERROR(__xludf.DUMMYFUNCTION("""COMPUTED_VALUE"""),"")</f>
        <v/>
      </c>
      <c r="S450" s="211"/>
      <c r="T450" s="211"/>
      <c r="U450" s="211"/>
    </row>
    <row r="451">
      <c r="A451" s="222" t="str">
        <f>IFERROR(__xludf.DUMMYFUNCTION("""COMPUTED_VALUE"""),"07250570")</f>
        <v>07250570</v>
      </c>
      <c r="B451" s="211" t="str">
        <f>IFERROR(__xludf.DUMMYFUNCTION("""COMPUTED_VALUE"""),"08 Jul 2025")</f>
        <v>08 Jul 2025</v>
      </c>
      <c r="C451" s="211" t="str">
        <f>IFERROR(__xludf.DUMMYFUNCTION("""COMPUTED_VALUE"""),"Bpk. Fuad (Parengan)")</f>
        <v>Bpk. Fuad (Parengan)</v>
      </c>
      <c r="D451" s="211" t="str">
        <f>IFERROR(__xludf.DUMMYFUNCTION("""COMPUTED_VALUE"""),"Oksigen 6m3 MR")</f>
        <v>Oksigen 6m3 MR</v>
      </c>
      <c r="E451" s="211" t="str">
        <f>IFERROR(__xludf.DUMMYFUNCTION("""COMPUTED_VALUE"""),"2")</f>
        <v>2</v>
      </c>
      <c r="F451" s="211" t="str">
        <f>IFERROR(__xludf.DUMMYFUNCTION("""COMPUTED_VALUE"""),"140000")</f>
        <v>140000</v>
      </c>
      <c r="G451" s="211"/>
      <c r="H451" s="211"/>
      <c r="I451" s="211">
        <f>IFERROR(__xludf.DUMMYFUNCTION("""COMPUTED_VALUE"""),140000.0)</f>
        <v>140000</v>
      </c>
      <c r="J451" s="211"/>
      <c r="L451" s="211"/>
      <c r="M451" s="211"/>
      <c r="N451" s="211" t="str">
        <f>IFERROR(__xludf.DUMMYFUNCTION("""COMPUTED_VALUE"""),"")</f>
        <v/>
      </c>
      <c r="O451" s="211" t="str">
        <f>IFERROR(__xludf.DUMMYFUNCTION("""COMPUTED_VALUE"""),"")</f>
        <v/>
      </c>
      <c r="P451" s="224" t="str">
        <f>IFERROR(__xludf.DUMMYFUNCTION("""COMPUTED_VALUE""")," ")</f>
        <v/>
      </c>
      <c r="Q451" s="225" t="str">
        <f>IFERROR(__xludf.DUMMYFUNCTION("""COMPUTED_VALUE"""),"")</f>
        <v/>
      </c>
      <c r="R451" s="211" t="str">
        <f>IFERROR(__xludf.DUMMYFUNCTION("""COMPUTED_VALUE"""),"")</f>
        <v/>
      </c>
      <c r="S451" s="211"/>
      <c r="T451" s="211"/>
      <c r="U451" s="211"/>
    </row>
    <row r="452">
      <c r="A452" s="222" t="str">
        <f>IFERROR(__xludf.DUMMYFUNCTION("""COMPUTED_VALUE"""),"07250571")</f>
        <v>07250571</v>
      </c>
      <c r="B452" s="211" t="str">
        <f>IFERROR(__xludf.DUMMYFUNCTION("""COMPUTED_VALUE"""),"08 Jul 2025")</f>
        <v>08 Jul 2025</v>
      </c>
      <c r="C452" s="211" t="str">
        <f>IFERROR(__xludf.DUMMYFUNCTION("""COMPUTED_VALUE"""),"PT GEMILANG CIPTA WAWASAN")</f>
        <v>PT GEMILANG CIPTA WAWASAN</v>
      </c>
      <c r="D452" s="211" t="str">
        <f>IFERROR(__xludf.DUMMYFUNCTION("""COMPUTED_VALUE"""),"Oksigen 6m3
LPG 12kg")</f>
        <v>Oksigen 6m3
LPG 12kg</v>
      </c>
      <c r="E452" s="211" t="str">
        <f>IFERROR(__xludf.DUMMYFUNCTION("""COMPUTED_VALUE"""),"5
5")</f>
        <v>5
5</v>
      </c>
      <c r="F452" s="211" t="str">
        <f>IFERROR(__xludf.DUMMYFUNCTION("""COMPUTED_VALUE"""),"333000
1165500")</f>
        <v>333000
1165500</v>
      </c>
      <c r="G452" s="211"/>
      <c r="H452" s="211"/>
      <c r="I452" s="211">
        <f>IFERROR(__xludf.DUMMYFUNCTION("""COMPUTED_VALUE"""),1498500.0)</f>
        <v>1498500</v>
      </c>
      <c r="J452" s="211"/>
      <c r="L452" s="211"/>
      <c r="M452" s="211"/>
      <c r="N452" s="211" t="str">
        <f>IFERROR(__xludf.DUMMYFUNCTION("""COMPUTED_VALUE"""),"")</f>
        <v/>
      </c>
      <c r="O452" s="211" t="str">
        <f>IFERROR(__xludf.DUMMYFUNCTION("""COMPUTED_VALUE"""),"")</f>
        <v/>
      </c>
      <c r="P452" s="224" t="str">
        <f>IFERROR(__xludf.DUMMYFUNCTION("""COMPUTED_VALUE""")," ")</f>
        <v/>
      </c>
      <c r="Q452" s="225" t="str">
        <f>IFERROR(__xludf.DUMMYFUNCTION("""COMPUTED_VALUE"""),"")</f>
        <v/>
      </c>
      <c r="R452" s="211" t="str">
        <f>IFERROR(__xludf.DUMMYFUNCTION("""COMPUTED_VALUE"""),"")</f>
        <v/>
      </c>
      <c r="S452" s="211"/>
      <c r="T452" s="211"/>
      <c r="U452" s="211"/>
    </row>
    <row r="453">
      <c r="A453" s="222" t="str">
        <f>IFERROR(__xludf.DUMMYFUNCTION("""COMPUTED_VALUE"""),"07250573")</f>
        <v>07250573</v>
      </c>
      <c r="B453" s="211" t="str">
        <f>IFERROR(__xludf.DUMMYFUNCTION("""COMPUTED_VALUE"""),"09 Jul 2025")</f>
        <v>09 Jul 2025</v>
      </c>
      <c r="C453" s="211" t="str">
        <f>IFERROR(__xludf.DUMMYFUNCTION("""COMPUTED_VALUE"""),"Bpk. Kohir (Maintenance Velg)")</f>
        <v>Bpk. Kohir (Maintenance Velg)</v>
      </c>
      <c r="D453" s="211" t="str">
        <f>IFERROR(__xludf.DUMMYFUNCTION("""COMPUTED_VALUE"""),"Oksigen 6m3
Karbondioksida")</f>
        <v>Oksigen 6m3
Karbondioksida</v>
      </c>
      <c r="E453" s="211" t="str">
        <f>IFERROR(__xludf.DUMMYFUNCTION("""COMPUTED_VALUE"""),"4
1")</f>
        <v>4
1</v>
      </c>
      <c r="F453" s="211" t="str">
        <f>IFERROR(__xludf.DUMMYFUNCTION("""COMPUTED_VALUE"""),"220000
165000")</f>
        <v>220000
165000</v>
      </c>
      <c r="G453" s="211"/>
      <c r="H453" s="211"/>
      <c r="I453" s="211">
        <f>IFERROR(__xludf.DUMMYFUNCTION("""COMPUTED_VALUE"""),385000.0)</f>
        <v>385000</v>
      </c>
      <c r="J453" s="211"/>
      <c r="L453" s="211"/>
      <c r="M453" s="211"/>
      <c r="N453" s="211" t="str">
        <f>IFERROR(__xludf.DUMMYFUNCTION("""COMPUTED_VALUE"""),"")</f>
        <v/>
      </c>
      <c r="O453" s="211" t="str">
        <f>IFERROR(__xludf.DUMMYFUNCTION("""COMPUTED_VALUE"""),"")</f>
        <v/>
      </c>
      <c r="P453" s="224" t="str">
        <f>IFERROR(__xludf.DUMMYFUNCTION("""COMPUTED_VALUE""")," ")</f>
        <v/>
      </c>
      <c r="Q453" s="225" t="str">
        <f>IFERROR(__xludf.DUMMYFUNCTION("""COMPUTED_VALUE"""),"")</f>
        <v/>
      </c>
      <c r="R453" s="211" t="str">
        <f>IFERROR(__xludf.DUMMYFUNCTION("""COMPUTED_VALUE"""),"")</f>
        <v/>
      </c>
      <c r="S453" s="211"/>
      <c r="T453" s="211"/>
      <c r="U453" s="211"/>
    </row>
    <row r="454">
      <c r="A454" s="222" t="str">
        <f>IFERROR(__xludf.DUMMYFUNCTION("""COMPUTED_VALUE"""),"07250575")</f>
        <v>07250575</v>
      </c>
      <c r="B454" s="211" t="str">
        <f>IFERROR(__xludf.DUMMYFUNCTION("""COMPUTED_VALUE"""),"11 Jul 2025")</f>
        <v>11 Jul 2025</v>
      </c>
      <c r="C454" s="211" t="str">
        <f>IFERROR(__xludf.DUMMYFUNCTION("""COMPUTED_VALUE"""),"Bpk. Joko (Ponokawan)")</f>
        <v>Bpk. Joko (Ponokawan)</v>
      </c>
      <c r="D454" s="211" t="str">
        <f>IFERROR(__xludf.DUMMYFUNCTION("""COMPUTED_VALUE"""),"Argon 6m3")</f>
        <v>Argon 6m3</v>
      </c>
      <c r="E454" s="211" t="str">
        <f>IFERROR(__xludf.DUMMYFUNCTION("""COMPUTED_VALUE"""),"1")</f>
        <v>1</v>
      </c>
      <c r="F454" s="211" t="str">
        <f>IFERROR(__xludf.DUMMYFUNCTION("""COMPUTED_VALUE"""),"260000")</f>
        <v>260000</v>
      </c>
      <c r="G454" s="211"/>
      <c r="H454" s="211"/>
      <c r="I454" s="211">
        <f>IFERROR(__xludf.DUMMYFUNCTION("""COMPUTED_VALUE"""),260000.0)</f>
        <v>260000</v>
      </c>
      <c r="J454" s="211"/>
      <c r="L454" s="211"/>
      <c r="M454" s="211"/>
      <c r="N454" s="211" t="str">
        <f>IFERROR(__xludf.DUMMYFUNCTION("""COMPUTED_VALUE"""),"")</f>
        <v/>
      </c>
      <c r="O454" s="211" t="str">
        <f>IFERROR(__xludf.DUMMYFUNCTION("""COMPUTED_VALUE"""),"")</f>
        <v/>
      </c>
      <c r="P454" s="224" t="str">
        <f>IFERROR(__xludf.DUMMYFUNCTION("""COMPUTED_VALUE""")," ")</f>
        <v/>
      </c>
      <c r="Q454" s="225" t="str">
        <f>IFERROR(__xludf.DUMMYFUNCTION("""COMPUTED_VALUE"""),"")</f>
        <v/>
      </c>
      <c r="R454" s="211" t="str">
        <f>IFERROR(__xludf.DUMMYFUNCTION("""COMPUTED_VALUE"""),"")</f>
        <v/>
      </c>
      <c r="S454" s="211"/>
      <c r="T454" s="211"/>
      <c r="U454" s="211"/>
    </row>
    <row r="455">
      <c r="A455" s="222" t="str">
        <f>IFERROR(__xludf.DUMMYFUNCTION("""COMPUTED_VALUE"""),"07250576")</f>
        <v>07250576</v>
      </c>
      <c r="B455" s="211" t="str">
        <f>IFERROR(__xludf.DUMMYFUNCTION("""COMPUTED_VALUE"""),"12 Jul 2025")</f>
        <v>12 Jul 2025</v>
      </c>
      <c r="C455" s="211" t="str">
        <f>IFERROR(__xludf.DUMMYFUNCTION("""COMPUTED_VALUE"""),"Bpk. Abdul")</f>
        <v>Bpk. Abdul</v>
      </c>
      <c r="D455" s="211" t="str">
        <f>IFERROR(__xludf.DUMMYFUNCTION("""COMPUTED_VALUE"""),"Acetyline")</f>
        <v>Acetyline</v>
      </c>
      <c r="E455" s="211" t="str">
        <f>IFERROR(__xludf.DUMMYFUNCTION("""COMPUTED_VALUE"""),"1")</f>
        <v>1</v>
      </c>
      <c r="F455" s="211" t="str">
        <f>IFERROR(__xludf.DUMMYFUNCTION("""COMPUTED_VALUE"""),"430000")</f>
        <v>430000</v>
      </c>
      <c r="G455" s="211"/>
      <c r="H455" s="211"/>
      <c r="I455" s="211">
        <f>IFERROR(__xludf.DUMMYFUNCTION("""COMPUTED_VALUE"""),430000.0)</f>
        <v>430000</v>
      </c>
      <c r="J455" s="211"/>
      <c r="L455" s="211"/>
      <c r="M455" s="211"/>
      <c r="N455" s="211" t="str">
        <f>IFERROR(__xludf.DUMMYFUNCTION("""COMPUTED_VALUE"""),"")</f>
        <v/>
      </c>
      <c r="O455" s="211" t="str">
        <f>IFERROR(__xludf.DUMMYFUNCTION("""COMPUTED_VALUE"""),"")</f>
        <v/>
      </c>
      <c r="P455" s="224" t="str">
        <f>IFERROR(__xludf.DUMMYFUNCTION("""COMPUTED_VALUE""")," ")</f>
        <v/>
      </c>
      <c r="Q455" s="225" t="str">
        <f>IFERROR(__xludf.DUMMYFUNCTION("""COMPUTED_VALUE"""),"")</f>
        <v/>
      </c>
      <c r="R455" s="211" t="str">
        <f>IFERROR(__xludf.DUMMYFUNCTION("""COMPUTED_VALUE"""),"")</f>
        <v/>
      </c>
      <c r="S455" s="211"/>
      <c r="T455" s="211"/>
      <c r="U455" s="211"/>
    </row>
    <row r="456">
      <c r="A456" s="222" t="str">
        <f>IFERROR(__xludf.DUMMYFUNCTION("""COMPUTED_VALUE"""),"07250577")</f>
        <v>07250577</v>
      </c>
      <c r="B456" s="211" t="str">
        <f>IFERROR(__xludf.DUMMYFUNCTION("""COMPUTED_VALUE"""),"14 Jul 2025")</f>
        <v>14 Jul 2025</v>
      </c>
      <c r="C456" s="211" t="str">
        <f>IFERROR(__xludf.DUMMYFUNCTION("""COMPUTED_VALUE"""),"Bpk. Kohir (Maintenance Velg)")</f>
        <v>Bpk. Kohir (Maintenance Velg)</v>
      </c>
      <c r="D456" s="211" t="str">
        <f>IFERROR(__xludf.DUMMYFUNCTION("""COMPUTED_VALUE"""),"Oksigen 6m3
Karbondioksida")</f>
        <v>Oksigen 6m3
Karbondioksida</v>
      </c>
      <c r="E456" s="211" t="str">
        <f>IFERROR(__xludf.DUMMYFUNCTION("""COMPUTED_VALUE"""),"5
1")</f>
        <v>5
1</v>
      </c>
      <c r="F456" s="211" t="str">
        <f>IFERROR(__xludf.DUMMYFUNCTION("""COMPUTED_VALUE"""),"275000
165000")</f>
        <v>275000
165000</v>
      </c>
      <c r="G456" s="211"/>
      <c r="H456" s="211"/>
      <c r="I456" s="211">
        <f>IFERROR(__xludf.DUMMYFUNCTION("""COMPUTED_VALUE"""),440000.0)</f>
        <v>440000</v>
      </c>
      <c r="J456" s="211"/>
      <c r="L456" s="211"/>
      <c r="M456" s="211"/>
      <c r="N456" s="211" t="str">
        <f>IFERROR(__xludf.DUMMYFUNCTION("""COMPUTED_VALUE"""),"")</f>
        <v/>
      </c>
      <c r="O456" s="211" t="str">
        <f>IFERROR(__xludf.DUMMYFUNCTION("""COMPUTED_VALUE"""),"")</f>
        <v/>
      </c>
      <c r="P456" s="224" t="str">
        <f>IFERROR(__xludf.DUMMYFUNCTION("""COMPUTED_VALUE""")," ")</f>
        <v/>
      </c>
      <c r="Q456" s="225" t="str">
        <f>IFERROR(__xludf.DUMMYFUNCTION("""COMPUTED_VALUE"""),"")</f>
        <v/>
      </c>
      <c r="R456" s="211" t="str">
        <f>IFERROR(__xludf.DUMMYFUNCTION("""COMPUTED_VALUE"""),"")</f>
        <v/>
      </c>
      <c r="S456" s="211"/>
      <c r="T456" s="211"/>
      <c r="U456" s="211"/>
    </row>
    <row r="457">
      <c r="A457" s="222" t="str">
        <f>IFERROR(__xludf.DUMMYFUNCTION("""COMPUTED_VALUE"""),"07250579")</f>
        <v>07250579</v>
      </c>
      <c r="B457" s="211" t="str">
        <f>IFERROR(__xludf.DUMMYFUNCTION("""COMPUTED_VALUE"""),"14 Jul 2025")</f>
        <v>14 Jul 2025</v>
      </c>
      <c r="C457" s="211" t="str">
        <f>IFERROR(__xludf.DUMMYFUNCTION("""COMPUTED_VALUE"""),"Bpk. Ari Budiarto")</f>
        <v>Bpk. Ari Budiarto</v>
      </c>
      <c r="D457" s="211" t="str">
        <f>IFERROR(__xludf.DUMMYFUNCTION("""COMPUTED_VALUE"""),"Argon 6m3")</f>
        <v>Argon 6m3</v>
      </c>
      <c r="E457" s="211" t="str">
        <f>IFERROR(__xludf.DUMMYFUNCTION("""COMPUTED_VALUE"""),"2")</f>
        <v>2</v>
      </c>
      <c r="F457" s="211" t="str">
        <f>IFERROR(__xludf.DUMMYFUNCTION("""COMPUTED_VALUE"""),"400000")</f>
        <v>400000</v>
      </c>
      <c r="G457" s="211"/>
      <c r="H457" s="211"/>
      <c r="I457" s="211">
        <f>IFERROR(__xludf.DUMMYFUNCTION("""COMPUTED_VALUE"""),400000.0)</f>
        <v>400000</v>
      </c>
      <c r="J457" s="211"/>
      <c r="L457" s="211"/>
      <c r="M457" s="211"/>
      <c r="N457" s="211" t="str">
        <f>IFERROR(__xludf.DUMMYFUNCTION("""COMPUTED_VALUE"""),"")</f>
        <v/>
      </c>
      <c r="O457" s="211" t="str">
        <f>IFERROR(__xludf.DUMMYFUNCTION("""COMPUTED_VALUE"""),"")</f>
        <v/>
      </c>
      <c r="P457" s="224" t="str">
        <f>IFERROR(__xludf.DUMMYFUNCTION("""COMPUTED_VALUE""")," ")</f>
        <v/>
      </c>
      <c r="Q457" s="225" t="str">
        <f>IFERROR(__xludf.DUMMYFUNCTION("""COMPUTED_VALUE"""),"")</f>
        <v/>
      </c>
      <c r="R457" s="211" t="str">
        <f>IFERROR(__xludf.DUMMYFUNCTION("""COMPUTED_VALUE"""),"")</f>
        <v/>
      </c>
      <c r="S457" s="211"/>
      <c r="T457" s="211"/>
      <c r="U457" s="211"/>
    </row>
    <row r="458">
      <c r="A458" s="222" t="str">
        <f>IFERROR(__xludf.DUMMYFUNCTION("""COMPUTED_VALUE"""),"07250580")</f>
        <v>07250580</v>
      </c>
      <c r="B458" s="211" t="str">
        <f>IFERROR(__xludf.DUMMYFUNCTION("""COMPUTED_VALUE"""),"14 Jul 2025")</f>
        <v>14 Jul 2025</v>
      </c>
      <c r="C458" s="211" t="str">
        <f>IFERROR(__xludf.DUMMYFUNCTION("""COMPUTED_VALUE"""),"PT Amtech")</f>
        <v>PT Amtech</v>
      </c>
      <c r="D458" s="211" t="str">
        <f>IFERROR(__xludf.DUMMYFUNCTION("""COMPUTED_VALUE"""),"Oksigen 6m3")</f>
        <v>Oksigen 6m3</v>
      </c>
      <c r="E458" s="211" t="str">
        <f>IFERROR(__xludf.DUMMYFUNCTION("""COMPUTED_VALUE"""),"10")</f>
        <v>10</v>
      </c>
      <c r="F458" s="211" t="str">
        <f>IFERROR(__xludf.DUMMYFUNCTION("""COMPUTED_VALUE"""),"610500")</f>
        <v>610500</v>
      </c>
      <c r="G458" s="211"/>
      <c r="H458" s="211"/>
      <c r="I458" s="211">
        <f>IFERROR(__xludf.DUMMYFUNCTION("""COMPUTED_VALUE"""),610500.0)</f>
        <v>610500</v>
      </c>
      <c r="J458" s="211" t="str">
        <f>IFERROR(__xludf.DUMMYFUNCTION("""COMPUTED_VALUE"""),"Tidak")</f>
        <v>Tidak</v>
      </c>
      <c r="L458" s="211"/>
      <c r="M458" s="211"/>
      <c r="N458" s="211" t="str">
        <f>IFERROR(__xludf.DUMMYFUNCTION("""COMPUTED_VALUE"""),"")</f>
        <v/>
      </c>
      <c r="O458" s="211" t="str">
        <f>IFERROR(__xludf.DUMMYFUNCTION("""COMPUTED_VALUE"""),"")</f>
        <v/>
      </c>
      <c r="P458" s="224" t="str">
        <f>IFERROR(__xludf.DUMMYFUNCTION("""COMPUTED_VALUE""")," ")</f>
        <v/>
      </c>
      <c r="Q458" s="225" t="str">
        <f>IFERROR(__xludf.DUMMYFUNCTION("""COMPUTED_VALUE"""),"")</f>
        <v/>
      </c>
      <c r="R458" s="211" t="str">
        <f>IFERROR(__xludf.DUMMYFUNCTION("""COMPUTED_VALUE"""),"")</f>
        <v/>
      </c>
      <c r="S458" s="211"/>
      <c r="T458" s="211"/>
      <c r="U458" s="211"/>
    </row>
    <row r="459">
      <c r="A459" s="222" t="str">
        <f>IFERROR(__xludf.DUMMYFUNCTION("""COMPUTED_VALUE"""),"07250581")</f>
        <v>07250581</v>
      </c>
      <c r="B459" s="211" t="str">
        <f>IFERROR(__xludf.DUMMYFUNCTION("""COMPUTED_VALUE"""),"15 Jul 2025")</f>
        <v>15 Jul 2025</v>
      </c>
      <c r="C459" s="211" t="str">
        <f>IFERROR(__xludf.DUMMYFUNCTION("""COMPUTED_VALUE"""),"Bpk. Eko Iswantoro")</f>
        <v>Bpk. Eko Iswantoro</v>
      </c>
      <c r="D459" s="211" t="str">
        <f>IFERROR(__xludf.DUMMYFUNCTION("""COMPUTED_VALUE"""),"Oksigen 6m3")</f>
        <v>Oksigen 6m3</v>
      </c>
      <c r="E459" s="211" t="str">
        <f>IFERROR(__xludf.DUMMYFUNCTION("""COMPUTED_VALUE"""),"2")</f>
        <v>2</v>
      </c>
      <c r="F459" s="211" t="str">
        <f>IFERROR(__xludf.DUMMYFUNCTION("""COMPUTED_VALUE"""),"140000")</f>
        <v>140000</v>
      </c>
      <c r="G459" s="211"/>
      <c r="H459" s="211"/>
      <c r="I459" s="211">
        <f>IFERROR(__xludf.DUMMYFUNCTION("""COMPUTED_VALUE"""),140000.0)</f>
        <v>140000</v>
      </c>
      <c r="J459" s="211"/>
      <c r="L459" s="211"/>
      <c r="M459" s="211"/>
      <c r="N459" s="211" t="str">
        <f>IFERROR(__xludf.DUMMYFUNCTION("""COMPUTED_VALUE"""),"")</f>
        <v/>
      </c>
      <c r="O459" s="211" t="str">
        <f>IFERROR(__xludf.DUMMYFUNCTION("""COMPUTED_VALUE"""),"")</f>
        <v/>
      </c>
      <c r="P459" s="224" t="str">
        <f>IFERROR(__xludf.DUMMYFUNCTION("""COMPUTED_VALUE""")," ")</f>
        <v/>
      </c>
      <c r="Q459" s="225" t="str">
        <f>IFERROR(__xludf.DUMMYFUNCTION("""COMPUTED_VALUE"""),"")</f>
        <v/>
      </c>
      <c r="R459" s="211" t="str">
        <f>IFERROR(__xludf.DUMMYFUNCTION("""COMPUTED_VALUE"""),"")</f>
        <v/>
      </c>
      <c r="S459" s="211"/>
      <c r="T459" s="211"/>
      <c r="U459" s="211"/>
    </row>
    <row r="460">
      <c r="A460" s="222" t="str">
        <f>IFERROR(__xludf.DUMMYFUNCTION("""COMPUTED_VALUE"""),"07250582")</f>
        <v>07250582</v>
      </c>
      <c r="B460" s="211" t="str">
        <f>IFERROR(__xludf.DUMMYFUNCTION("""COMPUTED_VALUE"""),"15 Jul 2025")</f>
        <v>15 Jul 2025</v>
      </c>
      <c r="C460" s="211" t="str">
        <f>IFERROR(__xludf.DUMMYFUNCTION("""COMPUTED_VALUE"""),"PT Dunia Berkat Marga Mulya")</f>
        <v>PT Dunia Berkat Marga Mulya</v>
      </c>
      <c r="D460" s="211" t="str">
        <f>IFERROR(__xludf.DUMMYFUNCTION("""COMPUTED_VALUE"""),"Oksigen 7m3")</f>
        <v>Oksigen 7m3</v>
      </c>
      <c r="E460" s="211" t="str">
        <f>IFERROR(__xludf.DUMMYFUNCTION("""COMPUTED_VALUE"""),"5")</f>
        <v>5</v>
      </c>
      <c r="F460" s="211" t="str">
        <f>IFERROR(__xludf.DUMMYFUNCTION("""COMPUTED_VALUE"""),"333000")</f>
        <v>333000</v>
      </c>
      <c r="G460" s="211"/>
      <c r="H460" s="211"/>
      <c r="I460" s="211">
        <f>IFERROR(__xludf.DUMMYFUNCTION("""COMPUTED_VALUE"""),333000.0)</f>
        <v>333000</v>
      </c>
      <c r="J460" s="211"/>
      <c r="L460" s="211"/>
      <c r="M460" s="211"/>
      <c r="N460" s="211" t="str">
        <f>IFERROR(__xludf.DUMMYFUNCTION("""COMPUTED_VALUE"""),"")</f>
        <v/>
      </c>
      <c r="O460" s="211" t="str">
        <f>IFERROR(__xludf.DUMMYFUNCTION("""COMPUTED_VALUE"""),"")</f>
        <v/>
      </c>
      <c r="P460" s="224" t="str">
        <f>IFERROR(__xludf.DUMMYFUNCTION("""COMPUTED_VALUE""")," ")</f>
        <v/>
      </c>
      <c r="Q460" s="225" t="str">
        <f>IFERROR(__xludf.DUMMYFUNCTION("""COMPUTED_VALUE"""),"")</f>
        <v/>
      </c>
      <c r="R460" s="211" t="str">
        <f>IFERROR(__xludf.DUMMYFUNCTION("""COMPUTED_VALUE"""),"")</f>
        <v/>
      </c>
      <c r="S460" s="211"/>
      <c r="T460" s="211"/>
      <c r="U460" s="211"/>
    </row>
    <row r="461">
      <c r="A461" s="222" t="str">
        <f>IFERROR(__xludf.DUMMYFUNCTION("""COMPUTED_VALUE"""),"07250583")</f>
        <v>07250583</v>
      </c>
      <c r="B461" s="211" t="str">
        <f>IFERROR(__xludf.DUMMYFUNCTION("""COMPUTED_VALUE"""),"15 Jul 2025")</f>
        <v>15 Jul 2025</v>
      </c>
      <c r="C461" s="211" t="str">
        <f>IFERROR(__xludf.DUMMYFUNCTION("""COMPUTED_VALUE"""),"GYF")</f>
        <v>GYF</v>
      </c>
      <c r="D461" s="211" t="str">
        <f>IFERROR(__xludf.DUMMYFUNCTION("""COMPUTED_VALUE"""),"Oksigen 6m3")</f>
        <v>Oksigen 6m3</v>
      </c>
      <c r="E461" s="211" t="str">
        <f>IFERROR(__xludf.DUMMYFUNCTION("""COMPUTED_VALUE"""),"20")</f>
        <v>20</v>
      </c>
      <c r="F461" s="211" t="str">
        <f>IFERROR(__xludf.DUMMYFUNCTION("""COMPUTED_VALUE"""),"900000")</f>
        <v>900000</v>
      </c>
      <c r="G461" s="211"/>
      <c r="H461" s="211"/>
      <c r="I461" s="211">
        <f>IFERROR(__xludf.DUMMYFUNCTION("""COMPUTED_VALUE"""),900000.0)</f>
        <v>900000</v>
      </c>
      <c r="J461" s="211"/>
      <c r="L461" s="211"/>
      <c r="M461" s="211"/>
      <c r="N461" s="211" t="str">
        <f>IFERROR(__xludf.DUMMYFUNCTION("""COMPUTED_VALUE"""),"")</f>
        <v/>
      </c>
      <c r="O461" s="211" t="str">
        <f>IFERROR(__xludf.DUMMYFUNCTION("""COMPUTED_VALUE"""),"")</f>
        <v/>
      </c>
      <c r="P461" s="224" t="str">
        <f>IFERROR(__xludf.DUMMYFUNCTION("""COMPUTED_VALUE""")," ")</f>
        <v/>
      </c>
      <c r="Q461" s="225" t="str">
        <f>IFERROR(__xludf.DUMMYFUNCTION("""COMPUTED_VALUE"""),"")</f>
        <v/>
      </c>
      <c r="R461" s="211" t="str">
        <f>IFERROR(__xludf.DUMMYFUNCTION("""COMPUTED_VALUE"""),"")</f>
        <v/>
      </c>
      <c r="S461" s="211"/>
      <c r="T461" s="211"/>
      <c r="U461" s="211"/>
    </row>
    <row r="462">
      <c r="A462" s="222" t="str">
        <f>IFERROR(__xludf.DUMMYFUNCTION("""COMPUTED_VALUE"""),"07250584")</f>
        <v>07250584</v>
      </c>
      <c r="B462" s="211" t="str">
        <f>IFERROR(__xludf.DUMMYFUNCTION("""COMPUTED_VALUE"""),"18 Jul 2025")</f>
        <v>18 Jul 2025</v>
      </c>
      <c r="C462" s="211" t="str">
        <f>IFERROR(__xludf.DUMMYFUNCTION("""COMPUTED_VALUE"""),"Bpk. Sukirno (Bejo)")</f>
        <v>Bpk. Sukirno (Bejo)</v>
      </c>
      <c r="D462" s="211" t="str">
        <f>IFERROR(__xludf.DUMMYFUNCTION("""COMPUTED_VALUE"""),"Oksigen 6m3")</f>
        <v>Oksigen 6m3</v>
      </c>
      <c r="E462" s="211" t="str">
        <f>IFERROR(__xludf.DUMMYFUNCTION("""COMPUTED_VALUE"""),"10")</f>
        <v>10</v>
      </c>
      <c r="F462" s="211" t="str">
        <f>IFERROR(__xludf.DUMMYFUNCTION("""COMPUTED_VALUE"""),"600000")</f>
        <v>600000</v>
      </c>
      <c r="G462" s="211"/>
      <c r="H462" s="211"/>
      <c r="I462" s="211">
        <f>IFERROR(__xludf.DUMMYFUNCTION("""COMPUTED_VALUE"""),600000.0)</f>
        <v>600000</v>
      </c>
      <c r="J462" s="211"/>
      <c r="L462" s="211"/>
      <c r="M462" s="211"/>
      <c r="N462" s="211" t="str">
        <f>IFERROR(__xludf.DUMMYFUNCTION("""COMPUTED_VALUE"""),"")</f>
        <v/>
      </c>
      <c r="O462" s="211" t="str">
        <f>IFERROR(__xludf.DUMMYFUNCTION("""COMPUTED_VALUE"""),"")</f>
        <v/>
      </c>
      <c r="P462" s="224" t="str">
        <f>IFERROR(__xludf.DUMMYFUNCTION("""COMPUTED_VALUE""")," ")</f>
        <v/>
      </c>
      <c r="Q462" s="225" t="str">
        <f>IFERROR(__xludf.DUMMYFUNCTION("""COMPUTED_VALUE"""),"")</f>
        <v/>
      </c>
      <c r="R462" s="211" t="str">
        <f>IFERROR(__xludf.DUMMYFUNCTION("""COMPUTED_VALUE"""),"")</f>
        <v/>
      </c>
      <c r="S462" s="211"/>
      <c r="T462" s="211"/>
      <c r="U462" s="211"/>
    </row>
    <row r="463">
      <c r="A463" s="222" t="str">
        <f>IFERROR(__xludf.DUMMYFUNCTION("""COMPUTED_VALUE"""),"07250585")</f>
        <v>07250585</v>
      </c>
      <c r="B463" s="211" t="str">
        <f>IFERROR(__xludf.DUMMYFUNCTION("""COMPUTED_VALUE"""),"21 Jul 2025")</f>
        <v>21 Jul 2025</v>
      </c>
      <c r="C463" s="211" t="str">
        <f>IFERROR(__xludf.DUMMYFUNCTION("""COMPUTED_VALUE"""),"Bengkel Las Bpk. Ari")</f>
        <v>Bengkel Las Bpk. Ari</v>
      </c>
      <c r="D463" s="211" t="str">
        <f>IFERROR(__xludf.DUMMYFUNCTION("""COMPUTED_VALUE"""),"Oksigen 6m3")</f>
        <v>Oksigen 6m3</v>
      </c>
      <c r="E463" s="211" t="str">
        <f>IFERROR(__xludf.DUMMYFUNCTION("""COMPUTED_VALUE"""),"2")</f>
        <v>2</v>
      </c>
      <c r="F463" s="211" t="str">
        <f>IFERROR(__xludf.DUMMYFUNCTION("""COMPUTED_VALUE"""),"120000")</f>
        <v>120000</v>
      </c>
      <c r="G463" s="211"/>
      <c r="H463" s="211"/>
      <c r="I463" s="211">
        <f>IFERROR(__xludf.DUMMYFUNCTION("""COMPUTED_VALUE"""),120000.0)</f>
        <v>120000</v>
      </c>
      <c r="J463" s="211"/>
      <c r="L463" s="211"/>
      <c r="M463" s="211"/>
      <c r="N463" s="211" t="str">
        <f>IFERROR(__xludf.DUMMYFUNCTION("""COMPUTED_VALUE"""),"")</f>
        <v/>
      </c>
      <c r="O463" s="211" t="str">
        <f>IFERROR(__xludf.DUMMYFUNCTION("""COMPUTED_VALUE"""),"")</f>
        <v/>
      </c>
      <c r="P463" s="224" t="str">
        <f>IFERROR(__xludf.DUMMYFUNCTION("""COMPUTED_VALUE""")," ")</f>
        <v/>
      </c>
      <c r="Q463" s="225" t="str">
        <f>IFERROR(__xludf.DUMMYFUNCTION("""COMPUTED_VALUE"""),"")</f>
        <v/>
      </c>
      <c r="R463" s="211" t="str">
        <f>IFERROR(__xludf.DUMMYFUNCTION("""COMPUTED_VALUE"""),"")</f>
        <v/>
      </c>
      <c r="S463" s="211"/>
      <c r="T463" s="211"/>
      <c r="U463" s="211"/>
    </row>
    <row r="464">
      <c r="A464" s="222" t="str">
        <f>IFERROR(__xludf.DUMMYFUNCTION("""COMPUTED_VALUE"""),"07250586")</f>
        <v>07250586</v>
      </c>
      <c r="B464" s="211" t="str">
        <f>IFERROR(__xludf.DUMMYFUNCTION("""COMPUTED_VALUE"""),"21 Jul 2025")</f>
        <v>21 Jul 2025</v>
      </c>
      <c r="C464" s="211" t="str">
        <f>IFERROR(__xludf.DUMMYFUNCTION("""COMPUTED_VALUE"""),"PT Amtech")</f>
        <v>PT Amtech</v>
      </c>
      <c r="D464" s="211" t="str">
        <f>IFERROR(__xludf.DUMMYFUNCTION("""COMPUTED_VALUE"""),"Argon 6m3
Oksigen 6m3")</f>
        <v>Argon 6m3
Oksigen 6m3</v>
      </c>
      <c r="E464" s="211" t="str">
        <f>IFERROR(__xludf.DUMMYFUNCTION("""COMPUTED_VALUE"""),"10
5")</f>
        <v>10
5</v>
      </c>
      <c r="F464" s="211" t="str">
        <f>IFERROR(__xludf.DUMMYFUNCTION("""COMPUTED_VALUE"""),"2109000
305250")</f>
        <v>2109000
305250</v>
      </c>
      <c r="G464" s="211"/>
      <c r="H464" s="211"/>
      <c r="I464" s="211">
        <f>IFERROR(__xludf.DUMMYFUNCTION("""COMPUTED_VALUE"""),2414250.0)</f>
        <v>2414250</v>
      </c>
      <c r="J464" s="211"/>
      <c r="L464" s="211"/>
      <c r="M464" s="211"/>
      <c r="N464" s="211" t="str">
        <f>IFERROR(__xludf.DUMMYFUNCTION("""COMPUTED_VALUE"""),"")</f>
        <v/>
      </c>
      <c r="O464" s="211" t="str">
        <f>IFERROR(__xludf.DUMMYFUNCTION("""COMPUTED_VALUE"""),"")</f>
        <v/>
      </c>
      <c r="P464" s="224" t="str">
        <f>IFERROR(__xludf.DUMMYFUNCTION("""COMPUTED_VALUE""")," ")</f>
        <v/>
      </c>
      <c r="Q464" s="225" t="str">
        <f>IFERROR(__xludf.DUMMYFUNCTION("""COMPUTED_VALUE"""),"")</f>
        <v/>
      </c>
      <c r="R464" s="211" t="str">
        <f>IFERROR(__xludf.DUMMYFUNCTION("""COMPUTED_VALUE"""),"")</f>
        <v/>
      </c>
      <c r="S464" s="211"/>
      <c r="T464" s="211"/>
      <c r="U464" s="211"/>
    </row>
    <row r="465">
      <c r="A465" s="222" t="str">
        <f>IFERROR(__xludf.DUMMYFUNCTION("""COMPUTED_VALUE"""),"07250588")</f>
        <v>07250588</v>
      </c>
      <c r="B465" s="211" t="str">
        <f>IFERROR(__xludf.DUMMYFUNCTION("""COMPUTED_VALUE"""),"21 Jul 2025")</f>
        <v>21 Jul 2025</v>
      </c>
      <c r="C465" s="211" t="str">
        <f>IFERROR(__xludf.DUMMYFUNCTION("""COMPUTED_VALUE"""),"PT Samudra Cipta Enjineering")</f>
        <v>PT Samudra Cipta Enjineering</v>
      </c>
      <c r="D465" s="211" t="str">
        <f>IFERROR(__xludf.DUMMYFUNCTION("""COMPUTED_VALUE"""),"LPG 50kg")</f>
        <v>LPG 50kg</v>
      </c>
      <c r="E465" s="211" t="str">
        <f>IFERROR(__xludf.DUMMYFUNCTION("""COMPUTED_VALUE"""),"2")</f>
        <v>2</v>
      </c>
      <c r="F465" s="211" t="str">
        <f>IFERROR(__xludf.DUMMYFUNCTION("""COMPUTED_VALUE"""),"1800000")</f>
        <v>1800000</v>
      </c>
      <c r="G465" s="211"/>
      <c r="H465" s="211"/>
      <c r="I465" s="211">
        <f>IFERROR(__xludf.DUMMYFUNCTION("""COMPUTED_VALUE"""),1800000.0)</f>
        <v>1800000</v>
      </c>
      <c r="J465" s="211"/>
      <c r="L465" s="211"/>
      <c r="M465" s="211"/>
      <c r="N465" s="211" t="str">
        <f>IFERROR(__xludf.DUMMYFUNCTION("""COMPUTED_VALUE"""),"")</f>
        <v/>
      </c>
      <c r="O465" s="211" t="str">
        <f>IFERROR(__xludf.DUMMYFUNCTION("""COMPUTED_VALUE"""),"")</f>
        <v/>
      </c>
      <c r="P465" s="224" t="str">
        <f>IFERROR(__xludf.DUMMYFUNCTION("""COMPUTED_VALUE""")," ")</f>
        <v/>
      </c>
      <c r="Q465" s="225" t="str">
        <f>IFERROR(__xludf.DUMMYFUNCTION("""COMPUTED_VALUE"""),"")</f>
        <v/>
      </c>
      <c r="R465" s="211" t="str">
        <f>IFERROR(__xludf.DUMMYFUNCTION("""COMPUTED_VALUE"""),"")</f>
        <v/>
      </c>
      <c r="S465" s="211"/>
      <c r="T465" s="211"/>
      <c r="U465" s="211"/>
    </row>
    <row r="466">
      <c r="A466" s="222" t="str">
        <f>IFERROR(__xludf.DUMMYFUNCTION("""COMPUTED_VALUE"""),"07250589")</f>
        <v>07250589</v>
      </c>
      <c r="B466" s="211" t="str">
        <f>IFERROR(__xludf.DUMMYFUNCTION("""COMPUTED_VALUE"""),"21 Jul 2025")</f>
        <v>21 Jul 2025</v>
      </c>
      <c r="C466" s="211" t="str">
        <f>IFERROR(__xludf.DUMMYFUNCTION("""COMPUTED_VALUE"""),"Flashtech Machinery")</f>
        <v>Flashtech Machinery</v>
      </c>
      <c r="D466" s="211" t="str">
        <f>IFERROR(__xludf.DUMMYFUNCTION("""COMPUTED_VALUE"""),"Oksigen 6m3
Argon 6m3")</f>
        <v>Oksigen 6m3
Argon 6m3</v>
      </c>
      <c r="E466" s="211" t="str">
        <f>IFERROR(__xludf.DUMMYFUNCTION("""COMPUTED_VALUE"""),"1
1")</f>
        <v>1
1</v>
      </c>
      <c r="F466" s="211" t="str">
        <f>IFERROR(__xludf.DUMMYFUNCTION("""COMPUTED_VALUE"""),"55000
195000")</f>
        <v>55000
195000</v>
      </c>
      <c r="G466" s="211"/>
      <c r="H466" s="211"/>
      <c r="I466" s="211">
        <f>IFERROR(__xludf.DUMMYFUNCTION("""COMPUTED_VALUE"""),250000.0)</f>
        <v>250000</v>
      </c>
      <c r="J466" s="211"/>
      <c r="L466" s="211"/>
      <c r="M466" s="211"/>
      <c r="N466" s="211" t="str">
        <f>IFERROR(__xludf.DUMMYFUNCTION("""COMPUTED_VALUE"""),"")</f>
        <v/>
      </c>
      <c r="O466" s="211" t="str">
        <f>IFERROR(__xludf.DUMMYFUNCTION("""COMPUTED_VALUE"""),"")</f>
        <v/>
      </c>
      <c r="P466" s="224" t="str">
        <f>IFERROR(__xludf.DUMMYFUNCTION("""COMPUTED_VALUE""")," ")</f>
        <v/>
      </c>
      <c r="Q466" s="225" t="str">
        <f>IFERROR(__xludf.DUMMYFUNCTION("""COMPUTED_VALUE"""),"")</f>
        <v/>
      </c>
      <c r="R466" s="211" t="str">
        <f>IFERROR(__xludf.DUMMYFUNCTION("""COMPUTED_VALUE"""),"")</f>
        <v/>
      </c>
      <c r="S466" s="211"/>
      <c r="T466" s="211"/>
      <c r="U466" s="211"/>
    </row>
    <row r="467">
      <c r="A467" s="222" t="str">
        <f>IFERROR(__xludf.DUMMYFUNCTION("""COMPUTED_VALUE"""),"07250591")</f>
        <v>07250591</v>
      </c>
      <c r="B467" s="211" t="str">
        <f>IFERROR(__xludf.DUMMYFUNCTION("""COMPUTED_VALUE"""),"22 Jul 2025")</f>
        <v>22 Jul 2025</v>
      </c>
      <c r="C467" s="211" t="str">
        <f>IFERROR(__xludf.DUMMYFUNCTION("""COMPUTED_VALUE"""),"Bpk. Joko (Gresik)")</f>
        <v>Bpk. Joko (Gresik)</v>
      </c>
      <c r="D467" s="211" t="str">
        <f>IFERROR(__xludf.DUMMYFUNCTION("""COMPUTED_VALUE"""),"Oksigen 6m3 MR
Karbondioksida MR")</f>
        <v>Oksigen 6m3 MR
Karbondioksida MR</v>
      </c>
      <c r="E467" s="211" t="str">
        <f>IFERROR(__xludf.DUMMYFUNCTION("""COMPUTED_VALUE"""),"10
1")</f>
        <v>10
1</v>
      </c>
      <c r="F467" s="211" t="str">
        <f>IFERROR(__xludf.DUMMYFUNCTION("""COMPUTED_VALUE"""),"550000
160000")</f>
        <v>550000
160000</v>
      </c>
      <c r="G467" s="211"/>
      <c r="H467" s="211"/>
      <c r="I467" s="211">
        <f>IFERROR(__xludf.DUMMYFUNCTION("""COMPUTED_VALUE"""),710000.0)</f>
        <v>710000</v>
      </c>
      <c r="J467" s="211"/>
      <c r="L467" s="211"/>
      <c r="M467" s="211"/>
      <c r="N467" s="211" t="str">
        <f>IFERROR(__xludf.DUMMYFUNCTION("""COMPUTED_VALUE"""),"")</f>
        <v/>
      </c>
      <c r="O467" s="211" t="str">
        <f>IFERROR(__xludf.DUMMYFUNCTION("""COMPUTED_VALUE"""),"")</f>
        <v/>
      </c>
      <c r="P467" s="224" t="str">
        <f>IFERROR(__xludf.DUMMYFUNCTION("""COMPUTED_VALUE""")," ")</f>
        <v/>
      </c>
      <c r="Q467" s="225" t="str">
        <f>IFERROR(__xludf.DUMMYFUNCTION("""COMPUTED_VALUE"""),"")</f>
        <v/>
      </c>
      <c r="R467" s="211" t="str">
        <f>IFERROR(__xludf.DUMMYFUNCTION("""COMPUTED_VALUE"""),"")</f>
        <v/>
      </c>
      <c r="S467" s="211"/>
      <c r="T467" s="211"/>
      <c r="U467" s="211"/>
    </row>
    <row r="468">
      <c r="A468" s="222" t="str">
        <f>IFERROR(__xludf.DUMMYFUNCTION("""COMPUTED_VALUE"""),"07250593")</f>
        <v>07250593</v>
      </c>
      <c r="B468" s="211" t="str">
        <f>IFERROR(__xludf.DUMMYFUNCTION("""COMPUTED_VALUE"""),"21 Jul 2025")</f>
        <v>21 Jul 2025</v>
      </c>
      <c r="C468" s="211" t="str">
        <f>IFERROR(__xludf.DUMMYFUNCTION("""COMPUTED_VALUE"""),"PT Sinar Indogreen Kencana")</f>
        <v>PT Sinar Indogreen Kencana</v>
      </c>
      <c r="D468" s="211" t="str">
        <f>IFERROR(__xludf.DUMMYFUNCTION("""COMPUTED_VALUE"""),"LPG 12kg")</f>
        <v>LPG 12kg</v>
      </c>
      <c r="E468" s="211" t="str">
        <f>IFERROR(__xludf.DUMMYFUNCTION("""COMPUTED_VALUE"""),"1")</f>
        <v>1</v>
      </c>
      <c r="F468" s="211" t="str">
        <f>IFERROR(__xludf.DUMMYFUNCTION("""COMPUTED_VALUE"""),"210001")</f>
        <v>210001</v>
      </c>
      <c r="G468" s="211"/>
      <c r="H468" s="211"/>
      <c r="I468" s="211">
        <f>IFERROR(__xludf.DUMMYFUNCTION("""COMPUTED_VALUE"""),210001.0)</f>
        <v>210001</v>
      </c>
      <c r="J468" s="211"/>
      <c r="L468" s="211"/>
      <c r="M468" s="211"/>
      <c r="N468" s="211" t="str">
        <f>IFERROR(__xludf.DUMMYFUNCTION("""COMPUTED_VALUE"""),"")</f>
        <v/>
      </c>
      <c r="O468" s="211" t="str">
        <f>IFERROR(__xludf.DUMMYFUNCTION("""COMPUTED_VALUE"""),"")</f>
        <v/>
      </c>
      <c r="P468" s="224" t="str">
        <f>IFERROR(__xludf.DUMMYFUNCTION("""COMPUTED_VALUE""")," ")</f>
        <v/>
      </c>
      <c r="Q468" s="225" t="str">
        <f>IFERROR(__xludf.DUMMYFUNCTION("""COMPUTED_VALUE"""),"")</f>
        <v/>
      </c>
      <c r="R468" s="211" t="str">
        <f>IFERROR(__xludf.DUMMYFUNCTION("""COMPUTED_VALUE"""),"")</f>
        <v/>
      </c>
      <c r="S468" s="211"/>
      <c r="T468" s="211"/>
      <c r="U468" s="211"/>
    </row>
    <row r="469">
      <c r="A469" s="222" t="str">
        <f>IFERROR(__xludf.DUMMYFUNCTION("""COMPUTED_VALUE"""),"07250594")</f>
        <v>07250594</v>
      </c>
      <c r="B469" s="211" t="str">
        <f>IFERROR(__xludf.DUMMYFUNCTION("""COMPUTED_VALUE"""),"22 Jul 2025")</f>
        <v>22 Jul 2025</v>
      </c>
      <c r="C469" s="211" t="str">
        <f>IFERROR(__xludf.DUMMYFUNCTION("""COMPUTED_VALUE"""),"Bpk. Alvin (LB Group)")</f>
        <v>Bpk. Alvin (LB Group)</v>
      </c>
      <c r="D469" s="211" t="str">
        <f>IFERROR(__xludf.DUMMYFUNCTION("""COMPUTED_VALUE"""),"Oksigen 7m3")</f>
        <v>Oksigen 7m3</v>
      </c>
      <c r="E469" s="211" t="str">
        <f>IFERROR(__xludf.DUMMYFUNCTION("""COMPUTED_VALUE"""),"5")</f>
        <v>5</v>
      </c>
      <c r="F469" s="211" t="str">
        <f>IFERROR(__xludf.DUMMYFUNCTION("""COMPUTED_VALUE"""),"275000")</f>
        <v>275000</v>
      </c>
      <c r="G469" s="211"/>
      <c r="H469" s="211"/>
      <c r="I469" s="211">
        <f>IFERROR(__xludf.DUMMYFUNCTION("""COMPUTED_VALUE"""),275000.0)</f>
        <v>275000</v>
      </c>
      <c r="J469" s="211"/>
      <c r="L469" s="211"/>
      <c r="M469" s="211"/>
      <c r="N469" s="211" t="str">
        <f>IFERROR(__xludf.DUMMYFUNCTION("""COMPUTED_VALUE"""),"")</f>
        <v/>
      </c>
      <c r="O469" s="211" t="str">
        <f>IFERROR(__xludf.DUMMYFUNCTION("""COMPUTED_VALUE"""),"")</f>
        <v/>
      </c>
      <c r="P469" s="224" t="str">
        <f>IFERROR(__xludf.DUMMYFUNCTION("""COMPUTED_VALUE""")," ")</f>
        <v/>
      </c>
      <c r="Q469" s="225" t="str">
        <f>IFERROR(__xludf.DUMMYFUNCTION("""COMPUTED_VALUE"""),"")</f>
        <v/>
      </c>
      <c r="R469" s="211" t="str">
        <f>IFERROR(__xludf.DUMMYFUNCTION("""COMPUTED_VALUE"""),"")</f>
        <v/>
      </c>
      <c r="S469" s="211"/>
      <c r="T469" s="211"/>
      <c r="U469" s="211"/>
    </row>
    <row r="470">
      <c r="A470" s="222" t="str">
        <f>IFERROR(__xludf.DUMMYFUNCTION("""COMPUTED_VALUE"""),"07250595")</f>
        <v>07250595</v>
      </c>
      <c r="B470" s="211" t="str">
        <f>IFERROR(__xludf.DUMMYFUNCTION("""COMPUTED_VALUE"""),"22 Jul 2025")</f>
        <v>22 Jul 2025</v>
      </c>
      <c r="C470" s="211" t="str">
        <f>IFERROR(__xludf.DUMMYFUNCTION("""COMPUTED_VALUE"""),"PT Harapan Sentosa")</f>
        <v>PT Harapan Sentosa</v>
      </c>
      <c r="D470" s="211" t="str">
        <f>IFERROR(__xludf.DUMMYFUNCTION("""COMPUTED_VALUE"""),"Karbondioksida")</f>
        <v>Karbondioksida</v>
      </c>
      <c r="E470" s="211" t="str">
        <f>IFERROR(__xludf.DUMMYFUNCTION("""COMPUTED_VALUE"""),"5")</f>
        <v>5</v>
      </c>
      <c r="F470" s="211" t="str">
        <f>IFERROR(__xludf.DUMMYFUNCTION("""COMPUTED_VALUE"""),"1050000")</f>
        <v>1050000</v>
      </c>
      <c r="G470" s="211"/>
      <c r="H470" s="211"/>
      <c r="I470" s="211">
        <f>IFERROR(__xludf.DUMMYFUNCTION("""COMPUTED_VALUE"""),1050000.0)</f>
        <v>1050000</v>
      </c>
      <c r="J470" s="211"/>
      <c r="L470" s="211"/>
      <c r="M470" s="211"/>
      <c r="N470" s="211" t="str">
        <f>IFERROR(__xludf.DUMMYFUNCTION("""COMPUTED_VALUE"""),"")</f>
        <v/>
      </c>
      <c r="O470" s="211" t="str">
        <f>IFERROR(__xludf.DUMMYFUNCTION("""COMPUTED_VALUE"""),"")</f>
        <v/>
      </c>
      <c r="P470" s="224" t="str">
        <f>IFERROR(__xludf.DUMMYFUNCTION("""COMPUTED_VALUE""")," ")</f>
        <v/>
      </c>
      <c r="Q470" s="225" t="str">
        <f>IFERROR(__xludf.DUMMYFUNCTION("""COMPUTED_VALUE"""),"")</f>
        <v/>
      </c>
      <c r="R470" s="211" t="str">
        <f>IFERROR(__xludf.DUMMYFUNCTION("""COMPUTED_VALUE"""),"")</f>
        <v/>
      </c>
      <c r="S470" s="211"/>
      <c r="T470" s="211"/>
      <c r="U470" s="211"/>
    </row>
    <row r="471">
      <c r="A471" s="222" t="str">
        <f>IFERROR(__xludf.DUMMYFUNCTION("""COMPUTED_VALUE"""),"07250596")</f>
        <v>07250596</v>
      </c>
      <c r="B471" s="211" t="str">
        <f>IFERROR(__xludf.DUMMYFUNCTION("""COMPUTED_VALUE"""),"22 Jul 2025")</f>
        <v>22 Jul 2025</v>
      </c>
      <c r="C471" s="211" t="str">
        <f>IFERROR(__xludf.DUMMYFUNCTION("""COMPUTED_VALUE"""),"Bpk. Kohir (Maintenance Velg)")</f>
        <v>Bpk. Kohir (Maintenance Velg)</v>
      </c>
      <c r="D471" s="211" t="str">
        <f>IFERROR(__xludf.DUMMYFUNCTION("""COMPUTED_VALUE"""),"Oksigen 6m3
Karbondioksida")</f>
        <v>Oksigen 6m3
Karbondioksida</v>
      </c>
      <c r="E471" s="211" t="str">
        <f>IFERROR(__xludf.DUMMYFUNCTION("""COMPUTED_VALUE"""),"5
1")</f>
        <v>5
1</v>
      </c>
      <c r="F471" s="211" t="str">
        <f>IFERROR(__xludf.DUMMYFUNCTION("""COMPUTED_VALUE"""),"275000
165000")</f>
        <v>275000
165000</v>
      </c>
      <c r="G471" s="211"/>
      <c r="H471" s="211"/>
      <c r="I471" s="211">
        <f>IFERROR(__xludf.DUMMYFUNCTION("""COMPUTED_VALUE"""),440000.0)</f>
        <v>440000</v>
      </c>
      <c r="J471" s="211"/>
      <c r="L471" s="211"/>
      <c r="M471" s="211"/>
      <c r="N471" s="211" t="str">
        <f>IFERROR(__xludf.DUMMYFUNCTION("""COMPUTED_VALUE"""),"")</f>
        <v/>
      </c>
      <c r="O471" s="211" t="str">
        <f>IFERROR(__xludf.DUMMYFUNCTION("""COMPUTED_VALUE"""),"")</f>
        <v/>
      </c>
      <c r="P471" s="224" t="str">
        <f>IFERROR(__xludf.DUMMYFUNCTION("""COMPUTED_VALUE""")," ")</f>
        <v/>
      </c>
      <c r="Q471" s="225" t="str">
        <f>IFERROR(__xludf.DUMMYFUNCTION("""COMPUTED_VALUE"""),"")</f>
        <v/>
      </c>
      <c r="R471" s="211" t="str">
        <f>IFERROR(__xludf.DUMMYFUNCTION("""COMPUTED_VALUE"""),"")</f>
        <v/>
      </c>
      <c r="S471" s="211"/>
      <c r="T471" s="211"/>
      <c r="U471" s="211"/>
    </row>
    <row r="472">
      <c r="A472" s="222" t="str">
        <f>IFERROR(__xludf.DUMMYFUNCTION("""COMPUTED_VALUE"""),"07250598")</f>
        <v>07250598</v>
      </c>
      <c r="B472" s="211" t="str">
        <f>IFERROR(__xludf.DUMMYFUNCTION("""COMPUTED_VALUE"""),"22 Jul 2025")</f>
        <v>22 Jul 2025</v>
      </c>
      <c r="C472" s="211" t="str">
        <f>IFERROR(__xludf.DUMMYFUNCTION("""COMPUTED_VALUE"""),"Bpk. Irul")</f>
        <v>Bpk. Irul</v>
      </c>
      <c r="D472" s="211" t="str">
        <f>IFERROR(__xludf.DUMMYFUNCTION("""COMPUTED_VALUE"""),"Oksigen 6m3")</f>
        <v>Oksigen 6m3</v>
      </c>
      <c r="E472" s="211" t="str">
        <f>IFERROR(__xludf.DUMMYFUNCTION("""COMPUTED_VALUE"""),"1")</f>
        <v>1</v>
      </c>
      <c r="F472" s="211" t="str">
        <f>IFERROR(__xludf.DUMMYFUNCTION("""COMPUTED_VALUE"""),"65000")</f>
        <v>65000</v>
      </c>
      <c r="G472" s="211"/>
      <c r="H472" s="211"/>
      <c r="I472" s="211">
        <f>IFERROR(__xludf.DUMMYFUNCTION("""COMPUTED_VALUE"""),65000.0)</f>
        <v>65000</v>
      </c>
      <c r="J472" s="211"/>
      <c r="L472" s="211"/>
      <c r="M472" s="211"/>
      <c r="N472" s="211" t="str">
        <f>IFERROR(__xludf.DUMMYFUNCTION("""COMPUTED_VALUE"""),"")</f>
        <v/>
      </c>
      <c r="O472" s="211" t="str">
        <f>IFERROR(__xludf.DUMMYFUNCTION("""COMPUTED_VALUE"""),"")</f>
        <v/>
      </c>
      <c r="P472" s="224" t="str">
        <f>IFERROR(__xludf.DUMMYFUNCTION("""COMPUTED_VALUE""")," ")</f>
        <v/>
      </c>
      <c r="Q472" s="225" t="str">
        <f>IFERROR(__xludf.DUMMYFUNCTION("""COMPUTED_VALUE"""),"")</f>
        <v/>
      </c>
      <c r="R472" s="211" t="str">
        <f>IFERROR(__xludf.DUMMYFUNCTION("""COMPUTED_VALUE"""),"")</f>
        <v/>
      </c>
      <c r="S472" s="211"/>
      <c r="T472" s="211"/>
      <c r="U472" s="211"/>
    </row>
    <row r="473">
      <c r="A473" s="222" t="str">
        <f>IFERROR(__xludf.DUMMYFUNCTION("""COMPUTED_VALUE"""),"07250599")</f>
        <v>07250599</v>
      </c>
      <c r="B473" s="211" t="str">
        <f>IFERROR(__xludf.DUMMYFUNCTION("""COMPUTED_VALUE"""),"23 Jul 2025")</f>
        <v>23 Jul 2025</v>
      </c>
      <c r="C473" s="211" t="str">
        <f>IFERROR(__xludf.DUMMYFUNCTION("""COMPUTED_VALUE"""),"PT GEMILANG CIPTA WAWASAN")</f>
        <v>PT GEMILANG CIPTA WAWASAN</v>
      </c>
      <c r="D473" s="211" t="str">
        <f>IFERROR(__xludf.DUMMYFUNCTION("""COMPUTED_VALUE"""),"Oksigen 6m3
LPG 12kg
Argon 6m3")</f>
        <v>Oksigen 6m3
LPG 12kg
Argon 6m3</v>
      </c>
      <c r="E473" s="211" t="str">
        <f>IFERROR(__xludf.DUMMYFUNCTION("""COMPUTED_VALUE"""),"5
5
10")</f>
        <v>5
5
10</v>
      </c>
      <c r="F473" s="211" t="str">
        <f>IFERROR(__xludf.DUMMYFUNCTION("""COMPUTED_VALUE"""),"333000
1165500
2053500")</f>
        <v>333000
1165500
2053500</v>
      </c>
      <c r="G473" s="211"/>
      <c r="H473" s="211"/>
      <c r="I473" s="211">
        <f>IFERROR(__xludf.DUMMYFUNCTION("""COMPUTED_VALUE"""),3552000.0)</f>
        <v>3552000</v>
      </c>
      <c r="J473" s="211"/>
      <c r="L473" s="211"/>
      <c r="M473" s="211"/>
      <c r="N473" s="211" t="str">
        <f>IFERROR(__xludf.DUMMYFUNCTION("""COMPUTED_VALUE"""),"")</f>
        <v/>
      </c>
      <c r="O473" s="211" t="str">
        <f>IFERROR(__xludf.DUMMYFUNCTION("""COMPUTED_VALUE"""),"")</f>
        <v/>
      </c>
      <c r="P473" s="224" t="str">
        <f>IFERROR(__xludf.DUMMYFUNCTION("""COMPUTED_VALUE""")," ")</f>
        <v/>
      </c>
      <c r="Q473" s="225" t="str">
        <f>IFERROR(__xludf.DUMMYFUNCTION("""COMPUTED_VALUE"""),"")</f>
        <v/>
      </c>
      <c r="R473" s="211" t="str">
        <f>IFERROR(__xludf.DUMMYFUNCTION("""COMPUTED_VALUE"""),"")</f>
        <v/>
      </c>
      <c r="S473" s="211"/>
      <c r="T473" s="211"/>
      <c r="U473" s="211"/>
    </row>
    <row r="474">
      <c r="A474" s="222" t="str">
        <f>IFERROR(__xludf.DUMMYFUNCTION("""COMPUTED_VALUE"""),"07250602")</f>
        <v>07250602</v>
      </c>
      <c r="B474" s="211" t="str">
        <f>IFERROR(__xludf.DUMMYFUNCTION("""COMPUTED_VALUE"""),"23 Jul 2025")</f>
        <v>23 Jul 2025</v>
      </c>
      <c r="C474" s="211" t="str">
        <f>IFERROR(__xludf.DUMMYFUNCTION("""COMPUTED_VALUE"""),"Mitra Wood Sejahtera")</f>
        <v>Mitra Wood Sejahtera</v>
      </c>
      <c r="D474" s="211" t="str">
        <f>IFERROR(__xludf.DUMMYFUNCTION("""COMPUTED_VALUE"""),"Oksigen 6m3
LPG 12kg")</f>
        <v>Oksigen 6m3
LPG 12kg</v>
      </c>
      <c r="E474" s="211" t="str">
        <f>IFERROR(__xludf.DUMMYFUNCTION("""COMPUTED_VALUE"""),"10
2")</f>
        <v>10
2</v>
      </c>
      <c r="F474" s="211" t="str">
        <f>IFERROR(__xludf.DUMMYFUNCTION("""COMPUTED_VALUE"""),"550000
420000")</f>
        <v>550000
420000</v>
      </c>
      <c r="G474" s="211"/>
      <c r="H474" s="211"/>
      <c r="I474" s="211">
        <f>IFERROR(__xludf.DUMMYFUNCTION("""COMPUTED_VALUE"""),970000.0)</f>
        <v>970000</v>
      </c>
      <c r="J474" s="211"/>
      <c r="L474" s="211"/>
      <c r="M474" s="211"/>
      <c r="N474" s="211" t="str">
        <f>IFERROR(__xludf.DUMMYFUNCTION("""COMPUTED_VALUE"""),"")</f>
        <v/>
      </c>
      <c r="O474" s="211" t="str">
        <f>IFERROR(__xludf.DUMMYFUNCTION("""COMPUTED_VALUE"""),"")</f>
        <v/>
      </c>
      <c r="P474" s="224" t="str">
        <f>IFERROR(__xludf.DUMMYFUNCTION("""COMPUTED_VALUE""")," ")</f>
        <v/>
      </c>
      <c r="Q474" s="225" t="str">
        <f>IFERROR(__xludf.DUMMYFUNCTION("""COMPUTED_VALUE"""),"")</f>
        <v/>
      </c>
      <c r="R474" s="211" t="str">
        <f>IFERROR(__xludf.DUMMYFUNCTION("""COMPUTED_VALUE"""),"")</f>
        <v/>
      </c>
      <c r="S474" s="211"/>
      <c r="T474" s="211"/>
      <c r="U474" s="211"/>
    </row>
    <row r="475">
      <c r="A475" s="222" t="str">
        <f>IFERROR(__xludf.DUMMYFUNCTION("""COMPUTED_VALUE"""),"07250604")</f>
        <v>07250604</v>
      </c>
      <c r="B475" s="211" t="str">
        <f>IFERROR(__xludf.DUMMYFUNCTION("""COMPUTED_VALUE"""),"23 Jul 2025")</f>
        <v>23 Jul 2025</v>
      </c>
      <c r="C475" s="211" t="str">
        <f>IFERROR(__xludf.DUMMYFUNCTION("""COMPUTED_VALUE"""),"Mitra Wood Sejahtera")</f>
        <v>Mitra Wood Sejahtera</v>
      </c>
      <c r="D475" s="211" t="str">
        <f>IFERROR(__xludf.DUMMYFUNCTION("""COMPUTED_VALUE"""),"Oksigen 6m3
LPG 12kg")</f>
        <v>Oksigen 6m3
LPG 12kg</v>
      </c>
      <c r="E475" s="211" t="str">
        <f>IFERROR(__xludf.DUMMYFUNCTION("""COMPUTED_VALUE"""),"10
2")</f>
        <v>10
2</v>
      </c>
      <c r="F475" s="211" t="str">
        <f>IFERROR(__xludf.DUMMYFUNCTION("""COMPUTED_VALUE"""),"550000
420000")</f>
        <v>550000
420000</v>
      </c>
      <c r="G475" s="211"/>
      <c r="H475" s="211"/>
      <c r="I475" s="211">
        <f>IFERROR(__xludf.DUMMYFUNCTION("""COMPUTED_VALUE"""),970000.0)</f>
        <v>970000</v>
      </c>
      <c r="J475" s="211"/>
      <c r="L475" s="211"/>
      <c r="M475" s="211"/>
      <c r="N475" s="211" t="str">
        <f>IFERROR(__xludf.DUMMYFUNCTION("""COMPUTED_VALUE"""),"")</f>
        <v/>
      </c>
      <c r="O475" s="211" t="str">
        <f>IFERROR(__xludf.DUMMYFUNCTION("""COMPUTED_VALUE"""),"")</f>
        <v/>
      </c>
      <c r="P475" s="224" t="str">
        <f>IFERROR(__xludf.DUMMYFUNCTION("""COMPUTED_VALUE""")," ")</f>
        <v/>
      </c>
      <c r="Q475" s="225" t="str">
        <f>IFERROR(__xludf.DUMMYFUNCTION("""COMPUTED_VALUE"""),"")</f>
        <v/>
      </c>
      <c r="R475" s="211" t="str">
        <f>IFERROR(__xludf.DUMMYFUNCTION("""COMPUTED_VALUE"""),"")</f>
        <v/>
      </c>
      <c r="S475" s="211"/>
      <c r="T475" s="211"/>
      <c r="U475" s="211"/>
    </row>
    <row r="476">
      <c r="A476" s="222" t="str">
        <f>IFERROR(__xludf.DUMMYFUNCTION("""COMPUTED_VALUE"""),"07250606")</f>
        <v>07250606</v>
      </c>
      <c r="B476" s="211" t="str">
        <f>IFERROR(__xludf.DUMMYFUNCTION("""COMPUTED_VALUE"""),"24 Jul 2025")</f>
        <v>24 Jul 2025</v>
      </c>
      <c r="C476" s="211" t="str">
        <f>IFERROR(__xludf.DUMMYFUNCTION("""COMPUTED_VALUE"""),"PT Harapan Sentosa")</f>
        <v>PT Harapan Sentosa</v>
      </c>
      <c r="D476" s="211" t="str">
        <f>IFERROR(__xludf.DUMMYFUNCTION("""COMPUTED_VALUE"""),"Oksigen 7m3")</f>
        <v>Oksigen 7m3</v>
      </c>
      <c r="E476" s="211" t="str">
        <f>IFERROR(__xludf.DUMMYFUNCTION("""COMPUTED_VALUE"""),"10")</f>
        <v>10</v>
      </c>
      <c r="F476" s="211" t="str">
        <f>IFERROR(__xludf.DUMMYFUNCTION("""COMPUTED_VALUE"""),"700000")</f>
        <v>700000</v>
      </c>
      <c r="G476" s="211"/>
      <c r="H476" s="211"/>
      <c r="I476" s="211">
        <f>IFERROR(__xludf.DUMMYFUNCTION("""COMPUTED_VALUE"""),700000.0)</f>
        <v>700000</v>
      </c>
      <c r="J476" s="211"/>
      <c r="L476" s="211"/>
      <c r="M476" s="211"/>
      <c r="N476" s="211" t="str">
        <f>IFERROR(__xludf.DUMMYFUNCTION("""COMPUTED_VALUE"""),"")</f>
        <v/>
      </c>
      <c r="O476" s="211" t="str">
        <f>IFERROR(__xludf.DUMMYFUNCTION("""COMPUTED_VALUE"""),"")</f>
        <v/>
      </c>
      <c r="P476" s="224" t="str">
        <f>IFERROR(__xludf.DUMMYFUNCTION("""COMPUTED_VALUE""")," ")</f>
        <v/>
      </c>
      <c r="Q476" s="225" t="str">
        <f>IFERROR(__xludf.DUMMYFUNCTION("""COMPUTED_VALUE"""),"")</f>
        <v/>
      </c>
      <c r="R476" s="211" t="str">
        <f>IFERROR(__xludf.DUMMYFUNCTION("""COMPUTED_VALUE"""),"")</f>
        <v/>
      </c>
      <c r="S476" s="211"/>
      <c r="T476" s="211"/>
      <c r="U476" s="211"/>
    </row>
    <row r="477">
      <c r="A477" s="222" t="str">
        <f>IFERROR(__xludf.DUMMYFUNCTION("""COMPUTED_VALUE"""),"07250607")</f>
        <v>07250607</v>
      </c>
      <c r="B477" s="211" t="str">
        <f>IFERROR(__xludf.DUMMYFUNCTION("""COMPUTED_VALUE"""),"25 Jul 2025")</f>
        <v>25 Jul 2025</v>
      </c>
      <c r="C477" s="211" t="str">
        <f>IFERROR(__xludf.DUMMYFUNCTION("""COMPUTED_VALUE"""),"PT Utama Alim Sejahtera")</f>
        <v>PT Utama Alim Sejahtera</v>
      </c>
      <c r="D477" s="211" t="str">
        <f>IFERROR(__xludf.DUMMYFUNCTION("""COMPUTED_VALUE"""),"Oksigen 7m3")</f>
        <v>Oksigen 7m3</v>
      </c>
      <c r="E477" s="211" t="str">
        <f>IFERROR(__xludf.DUMMYFUNCTION("""COMPUTED_VALUE"""),"2")</f>
        <v>2</v>
      </c>
      <c r="F477" s="211" t="str">
        <f>IFERROR(__xludf.DUMMYFUNCTION("""COMPUTED_VALUE"""),"130001")</f>
        <v>130001</v>
      </c>
      <c r="G477" s="211"/>
      <c r="H477" s="211"/>
      <c r="I477" s="211">
        <f>IFERROR(__xludf.DUMMYFUNCTION("""COMPUTED_VALUE"""),130001.0)</f>
        <v>130001</v>
      </c>
      <c r="J477" s="211"/>
      <c r="L477" s="211"/>
      <c r="M477" s="211"/>
      <c r="N477" s="211" t="str">
        <f>IFERROR(__xludf.DUMMYFUNCTION("""COMPUTED_VALUE"""),"")</f>
        <v/>
      </c>
      <c r="O477" s="211" t="str">
        <f>IFERROR(__xludf.DUMMYFUNCTION("""COMPUTED_VALUE"""),"")</f>
        <v/>
      </c>
      <c r="P477" s="224" t="str">
        <f>IFERROR(__xludf.DUMMYFUNCTION("""COMPUTED_VALUE""")," ")</f>
        <v/>
      </c>
      <c r="Q477" s="225" t="str">
        <f>IFERROR(__xludf.DUMMYFUNCTION("""COMPUTED_VALUE"""),"")</f>
        <v/>
      </c>
      <c r="R477" s="211" t="str">
        <f>IFERROR(__xludf.DUMMYFUNCTION("""COMPUTED_VALUE"""),"")</f>
        <v/>
      </c>
      <c r="S477" s="211"/>
      <c r="T477" s="211"/>
      <c r="U477" s="211"/>
    </row>
    <row r="478">
      <c r="A478" s="222" t="str">
        <f>IFERROR(__xludf.DUMMYFUNCTION("""COMPUTED_VALUE"""),"07250608")</f>
        <v>07250608</v>
      </c>
      <c r="B478" s="211" t="str">
        <f>IFERROR(__xludf.DUMMYFUNCTION("""COMPUTED_VALUE"""),"25 Jul 2025")</f>
        <v>25 Jul 2025</v>
      </c>
      <c r="C478" s="211" t="str">
        <f>IFERROR(__xludf.DUMMYFUNCTION("""COMPUTED_VALUE"""),"GYF")</f>
        <v>GYF</v>
      </c>
      <c r="D478" s="211" t="str">
        <f>IFERROR(__xludf.DUMMYFUNCTION("""COMPUTED_VALUE"""),"Oksigen 6m3")</f>
        <v>Oksigen 6m3</v>
      </c>
      <c r="E478" s="211" t="str">
        <f>IFERROR(__xludf.DUMMYFUNCTION("""COMPUTED_VALUE"""),"20")</f>
        <v>20</v>
      </c>
      <c r="F478" s="211" t="str">
        <f>IFERROR(__xludf.DUMMYFUNCTION("""COMPUTED_VALUE"""),"900000")</f>
        <v>900000</v>
      </c>
      <c r="G478" s="211"/>
      <c r="H478" s="211"/>
      <c r="I478" s="211">
        <f>IFERROR(__xludf.DUMMYFUNCTION("""COMPUTED_VALUE"""),900000.0)</f>
        <v>900000</v>
      </c>
      <c r="J478" s="211"/>
      <c r="L478" s="211"/>
      <c r="M478" s="211"/>
      <c r="N478" s="211" t="str">
        <f>IFERROR(__xludf.DUMMYFUNCTION("""COMPUTED_VALUE"""),"")</f>
        <v/>
      </c>
      <c r="O478" s="211" t="str">
        <f>IFERROR(__xludf.DUMMYFUNCTION("""COMPUTED_VALUE"""),"")</f>
        <v/>
      </c>
      <c r="P478" s="224" t="str">
        <f>IFERROR(__xludf.DUMMYFUNCTION("""COMPUTED_VALUE""")," ")</f>
        <v/>
      </c>
      <c r="Q478" s="225" t="str">
        <f>IFERROR(__xludf.DUMMYFUNCTION("""COMPUTED_VALUE"""),"")</f>
        <v/>
      </c>
      <c r="R478" s="211" t="str">
        <f>IFERROR(__xludf.DUMMYFUNCTION("""COMPUTED_VALUE"""),"")</f>
        <v/>
      </c>
      <c r="S478" s="211"/>
      <c r="T478" s="211"/>
      <c r="U478" s="211"/>
    </row>
    <row r="479">
      <c r="A479" s="222" t="str">
        <f>IFERROR(__xludf.DUMMYFUNCTION("""COMPUTED_VALUE"""),"07250609")</f>
        <v>07250609</v>
      </c>
      <c r="B479" s="211" t="str">
        <f>IFERROR(__xludf.DUMMYFUNCTION("""COMPUTED_VALUE"""),"28 Jul 2025")</f>
        <v>28 Jul 2025</v>
      </c>
      <c r="C479" s="211" t="str">
        <f>IFERROR(__xludf.DUMMYFUNCTION("""COMPUTED_VALUE"""),"Bpk. Alvin (LB Group)")</f>
        <v>Bpk. Alvin (LB Group)</v>
      </c>
      <c r="D479" s="211" t="str">
        <f>IFERROR(__xludf.DUMMYFUNCTION("""COMPUTED_VALUE"""),"Oksigen 6m3 MR")</f>
        <v>Oksigen 6m3 MR</v>
      </c>
      <c r="E479" s="211" t="str">
        <f>IFERROR(__xludf.DUMMYFUNCTION("""COMPUTED_VALUE"""),"3")</f>
        <v>3</v>
      </c>
      <c r="F479" s="211" t="str">
        <f>IFERROR(__xludf.DUMMYFUNCTION("""COMPUTED_VALUE"""),"150000")</f>
        <v>150000</v>
      </c>
      <c r="G479" s="211"/>
      <c r="H479" s="211"/>
      <c r="I479" s="211">
        <f>IFERROR(__xludf.DUMMYFUNCTION("""COMPUTED_VALUE"""),150000.0)</f>
        <v>150000</v>
      </c>
      <c r="J479" s="211"/>
      <c r="L479" s="211"/>
      <c r="M479" s="211"/>
      <c r="N479" s="211" t="str">
        <f>IFERROR(__xludf.DUMMYFUNCTION("""COMPUTED_VALUE"""),"")</f>
        <v/>
      </c>
      <c r="O479" s="211" t="str">
        <f>IFERROR(__xludf.DUMMYFUNCTION("""COMPUTED_VALUE"""),"")</f>
        <v/>
      </c>
      <c r="P479" s="224" t="str">
        <f>IFERROR(__xludf.DUMMYFUNCTION("""COMPUTED_VALUE""")," ")</f>
        <v/>
      </c>
      <c r="Q479" s="225" t="str">
        <f>IFERROR(__xludf.DUMMYFUNCTION("""COMPUTED_VALUE"""),"")</f>
        <v/>
      </c>
      <c r="R479" s="211" t="str">
        <f>IFERROR(__xludf.DUMMYFUNCTION("""COMPUTED_VALUE"""),"")</f>
        <v/>
      </c>
      <c r="S479" s="211"/>
      <c r="T479" s="211"/>
      <c r="U479" s="211"/>
    </row>
    <row r="480">
      <c r="A480" s="222" t="str">
        <f>IFERROR(__xludf.DUMMYFUNCTION("""COMPUTED_VALUE"""),"07250610")</f>
        <v>07250610</v>
      </c>
      <c r="B480" s="211" t="str">
        <f>IFERROR(__xludf.DUMMYFUNCTION("""COMPUTED_VALUE"""),"29 Jul 2025")</f>
        <v>29 Jul 2025</v>
      </c>
      <c r="C480" s="211" t="str">
        <f>IFERROR(__xludf.DUMMYFUNCTION("""COMPUTED_VALUE"""),"PT Samudra Cipta Enjineering")</f>
        <v>PT Samudra Cipta Enjineering</v>
      </c>
      <c r="D480" s="211" t="str">
        <f>IFERROR(__xludf.DUMMYFUNCTION("""COMPUTED_VALUE"""),"Karbondioksida")</f>
        <v>Karbondioksida</v>
      </c>
      <c r="E480" s="211" t="str">
        <f>IFERROR(__xludf.DUMMYFUNCTION("""COMPUTED_VALUE"""),"3")</f>
        <v>3</v>
      </c>
      <c r="F480" s="211" t="str">
        <f>IFERROR(__xludf.DUMMYFUNCTION("""COMPUTED_VALUE"""),"480000")</f>
        <v>480000</v>
      </c>
      <c r="G480" s="211"/>
      <c r="H480" s="211"/>
      <c r="I480" s="211">
        <f>IFERROR(__xludf.DUMMYFUNCTION("""COMPUTED_VALUE"""),480000.0)</f>
        <v>480000</v>
      </c>
      <c r="J480" s="211"/>
      <c r="L480" s="211"/>
      <c r="M480" s="211"/>
      <c r="N480" s="211" t="str">
        <f>IFERROR(__xludf.DUMMYFUNCTION("""COMPUTED_VALUE"""),"")</f>
        <v/>
      </c>
      <c r="O480" s="211" t="str">
        <f>IFERROR(__xludf.DUMMYFUNCTION("""COMPUTED_VALUE"""),"")</f>
        <v/>
      </c>
      <c r="P480" s="224" t="str">
        <f>IFERROR(__xludf.DUMMYFUNCTION("""COMPUTED_VALUE""")," ")</f>
        <v/>
      </c>
      <c r="Q480" s="225" t="str">
        <f>IFERROR(__xludf.DUMMYFUNCTION("""COMPUTED_VALUE"""),"")</f>
        <v/>
      </c>
      <c r="R480" s="211" t="str">
        <f>IFERROR(__xludf.DUMMYFUNCTION("""COMPUTED_VALUE"""),"")</f>
        <v/>
      </c>
      <c r="S480" s="211"/>
      <c r="T480" s="211"/>
      <c r="U480" s="211"/>
    </row>
    <row r="481">
      <c r="A481" s="222" t="str">
        <f>IFERROR(__xludf.DUMMYFUNCTION("""COMPUTED_VALUE"""),"07250611")</f>
        <v>07250611</v>
      </c>
      <c r="B481" s="211" t="str">
        <f>IFERROR(__xludf.DUMMYFUNCTION("""COMPUTED_VALUE"""),"29 Jul 2025")</f>
        <v>29 Jul 2025</v>
      </c>
      <c r="C481" s="211" t="str">
        <f>IFERROR(__xludf.DUMMYFUNCTION("""COMPUTED_VALUE"""),"Bengkel Dian Jaya")</f>
        <v>Bengkel Dian Jaya</v>
      </c>
      <c r="D481" s="211" t="str">
        <f>IFERROR(__xludf.DUMMYFUNCTION("""COMPUTED_VALUE"""),"Oksigen 6m3")</f>
        <v>Oksigen 6m3</v>
      </c>
      <c r="E481" s="211" t="str">
        <f>IFERROR(__xludf.DUMMYFUNCTION("""COMPUTED_VALUE"""),"10")</f>
        <v>10</v>
      </c>
      <c r="F481" s="211" t="str">
        <f>IFERROR(__xludf.DUMMYFUNCTION("""COMPUTED_VALUE"""),"500000")</f>
        <v>500000</v>
      </c>
      <c r="G481" s="211"/>
      <c r="H481" s="211"/>
      <c r="I481" s="211">
        <f>IFERROR(__xludf.DUMMYFUNCTION("""COMPUTED_VALUE"""),500000.0)</f>
        <v>500000</v>
      </c>
      <c r="J481" s="211"/>
      <c r="L481" s="211"/>
      <c r="M481" s="211"/>
      <c r="N481" s="211" t="str">
        <f>IFERROR(__xludf.DUMMYFUNCTION("""COMPUTED_VALUE"""),"")</f>
        <v/>
      </c>
      <c r="O481" s="211" t="str">
        <f>IFERROR(__xludf.DUMMYFUNCTION("""COMPUTED_VALUE"""),"")</f>
        <v/>
      </c>
      <c r="P481" s="224" t="str">
        <f>IFERROR(__xludf.DUMMYFUNCTION("""COMPUTED_VALUE""")," ")</f>
        <v/>
      </c>
      <c r="Q481" s="225" t="str">
        <f>IFERROR(__xludf.DUMMYFUNCTION("""COMPUTED_VALUE"""),"")</f>
        <v/>
      </c>
      <c r="R481" s="211" t="str">
        <f>IFERROR(__xludf.DUMMYFUNCTION("""COMPUTED_VALUE"""),"")</f>
        <v/>
      </c>
      <c r="S481" s="211"/>
      <c r="T481" s="211"/>
      <c r="U481" s="211"/>
    </row>
    <row r="482">
      <c r="A482" s="222" t="str">
        <f>IFERROR(__xludf.DUMMYFUNCTION("""COMPUTED_VALUE"""),"07250612")</f>
        <v>07250612</v>
      </c>
      <c r="B482" s="211" t="str">
        <f>IFERROR(__xludf.DUMMYFUNCTION("""COMPUTED_VALUE"""),"29 Jul 2025")</f>
        <v>29 Jul 2025</v>
      </c>
      <c r="C482" s="211" t="str">
        <f>IFERROR(__xludf.DUMMYFUNCTION("""COMPUTED_VALUE"""),"PT PELANGI INDOKARYA")</f>
        <v>PT PELANGI INDOKARYA</v>
      </c>
      <c r="D482" s="211" t="str">
        <f>IFERROR(__xludf.DUMMYFUNCTION("""COMPUTED_VALUE"""),"Oksigen 6m3")</f>
        <v>Oksigen 6m3</v>
      </c>
      <c r="E482" s="211" t="str">
        <f>IFERROR(__xludf.DUMMYFUNCTION("""COMPUTED_VALUE"""),"5")</f>
        <v>5</v>
      </c>
      <c r="F482" s="211" t="str">
        <f>IFERROR(__xludf.DUMMYFUNCTION("""COMPUTED_VALUE"""),"333000")</f>
        <v>333000</v>
      </c>
      <c r="G482" s="211"/>
      <c r="H482" s="211"/>
      <c r="I482" s="211">
        <f>IFERROR(__xludf.DUMMYFUNCTION("""COMPUTED_VALUE"""),333000.0)</f>
        <v>333000</v>
      </c>
      <c r="J482" s="211"/>
      <c r="L482" s="211"/>
      <c r="M482" s="211"/>
      <c r="N482" s="211" t="str">
        <f>IFERROR(__xludf.DUMMYFUNCTION("""COMPUTED_VALUE"""),"")</f>
        <v/>
      </c>
      <c r="O482" s="211" t="str">
        <f>IFERROR(__xludf.DUMMYFUNCTION("""COMPUTED_VALUE"""),"")</f>
        <v/>
      </c>
      <c r="P482" s="224" t="str">
        <f>IFERROR(__xludf.DUMMYFUNCTION("""COMPUTED_VALUE""")," ")</f>
        <v/>
      </c>
      <c r="Q482" s="225" t="str">
        <f>IFERROR(__xludf.DUMMYFUNCTION("""COMPUTED_VALUE"""),"")</f>
        <v/>
      </c>
      <c r="R482" s="211" t="str">
        <f>IFERROR(__xludf.DUMMYFUNCTION("""COMPUTED_VALUE"""),"")</f>
        <v/>
      </c>
      <c r="S482" s="211"/>
      <c r="T482" s="211"/>
      <c r="U482" s="211"/>
    </row>
    <row r="483">
      <c r="A483" s="222" t="str">
        <f>IFERROR(__xludf.DUMMYFUNCTION("""COMPUTED_VALUE"""),"07250613")</f>
        <v>07250613</v>
      </c>
      <c r="B483" s="211" t="str">
        <f>IFERROR(__xludf.DUMMYFUNCTION("""COMPUTED_VALUE"""),"29 Jul 2025")</f>
        <v>29 Jul 2025</v>
      </c>
      <c r="C483" s="211" t="str">
        <f>IFERROR(__xludf.DUMMYFUNCTION("""COMPUTED_VALUE"""),"Bengkel Las Bpk. Ari")</f>
        <v>Bengkel Las Bpk. Ari</v>
      </c>
      <c r="D483" s="211" t="str">
        <f>IFERROR(__xludf.DUMMYFUNCTION("""COMPUTED_VALUE"""),"Oksigen 6m3")</f>
        <v>Oksigen 6m3</v>
      </c>
      <c r="E483" s="211" t="str">
        <f>IFERROR(__xludf.DUMMYFUNCTION("""COMPUTED_VALUE"""),"5")</f>
        <v>5</v>
      </c>
      <c r="F483" s="211" t="str">
        <f>IFERROR(__xludf.DUMMYFUNCTION("""COMPUTED_VALUE"""),"300000")</f>
        <v>300000</v>
      </c>
      <c r="G483" s="211"/>
      <c r="H483" s="211"/>
      <c r="I483" s="211">
        <f>IFERROR(__xludf.DUMMYFUNCTION("""COMPUTED_VALUE"""),300000.0)</f>
        <v>300000</v>
      </c>
      <c r="J483" s="211"/>
      <c r="L483" s="211"/>
      <c r="M483" s="211"/>
      <c r="N483" s="211" t="str">
        <f>IFERROR(__xludf.DUMMYFUNCTION("""COMPUTED_VALUE"""),"")</f>
        <v/>
      </c>
      <c r="O483" s="211" t="str">
        <f>IFERROR(__xludf.DUMMYFUNCTION("""COMPUTED_VALUE"""),"")</f>
        <v/>
      </c>
      <c r="P483" s="224" t="str">
        <f>IFERROR(__xludf.DUMMYFUNCTION("""COMPUTED_VALUE""")," ")</f>
        <v/>
      </c>
      <c r="Q483" s="225" t="str">
        <f>IFERROR(__xludf.DUMMYFUNCTION("""COMPUTED_VALUE"""),"")</f>
        <v/>
      </c>
      <c r="R483" s="211" t="str">
        <f>IFERROR(__xludf.DUMMYFUNCTION("""COMPUTED_VALUE"""),"")</f>
        <v/>
      </c>
      <c r="S483" s="211"/>
      <c r="T483" s="211"/>
      <c r="U483" s="211"/>
    </row>
    <row r="484">
      <c r="A484" s="222" t="str">
        <f>IFERROR(__xludf.DUMMYFUNCTION("""COMPUTED_VALUE"""),"07250614")</f>
        <v>07250614</v>
      </c>
      <c r="B484" s="211" t="str">
        <f>IFERROR(__xludf.DUMMYFUNCTION("""COMPUTED_VALUE"""),"29 Jul 2025")</f>
        <v>29 Jul 2025</v>
      </c>
      <c r="C484" s="211" t="str">
        <f>IFERROR(__xludf.DUMMYFUNCTION("""COMPUTED_VALUE"""),"Bpk. Irul")</f>
        <v>Bpk. Irul</v>
      </c>
      <c r="D484" s="211" t="str">
        <f>IFERROR(__xludf.DUMMYFUNCTION("""COMPUTED_VALUE"""),"Oksigen 6m3")</f>
        <v>Oksigen 6m3</v>
      </c>
      <c r="E484" s="211" t="str">
        <f>IFERROR(__xludf.DUMMYFUNCTION("""COMPUTED_VALUE"""),"1")</f>
        <v>1</v>
      </c>
      <c r="F484" s="211" t="str">
        <f>IFERROR(__xludf.DUMMYFUNCTION("""COMPUTED_VALUE"""),"65000")</f>
        <v>65000</v>
      </c>
      <c r="G484" s="211"/>
      <c r="H484" s="211"/>
      <c r="I484" s="211">
        <f>IFERROR(__xludf.DUMMYFUNCTION("""COMPUTED_VALUE"""),65000.0)</f>
        <v>65000</v>
      </c>
      <c r="J484" s="211"/>
      <c r="L484" s="211"/>
      <c r="M484" s="211"/>
      <c r="N484" s="211" t="str">
        <f>IFERROR(__xludf.DUMMYFUNCTION("""COMPUTED_VALUE"""),"")</f>
        <v/>
      </c>
      <c r="O484" s="211" t="str">
        <f>IFERROR(__xludf.DUMMYFUNCTION("""COMPUTED_VALUE"""),"")</f>
        <v/>
      </c>
      <c r="P484" s="224" t="str">
        <f>IFERROR(__xludf.DUMMYFUNCTION("""COMPUTED_VALUE""")," ")</f>
        <v/>
      </c>
      <c r="Q484" s="225" t="str">
        <f>IFERROR(__xludf.DUMMYFUNCTION("""COMPUTED_VALUE"""),"")</f>
        <v/>
      </c>
      <c r="R484" s="211" t="str">
        <f>IFERROR(__xludf.DUMMYFUNCTION("""COMPUTED_VALUE"""),"")</f>
        <v/>
      </c>
      <c r="S484" s="211"/>
      <c r="T484" s="211"/>
      <c r="U484" s="211"/>
    </row>
    <row r="485">
      <c r="A485" s="222" t="str">
        <f>IFERROR(__xludf.DUMMYFUNCTION("""COMPUTED_VALUE"""),"07250615")</f>
        <v>07250615</v>
      </c>
      <c r="B485" s="211" t="str">
        <f>IFERROR(__xludf.DUMMYFUNCTION("""COMPUTED_VALUE"""),"30 Jul 2025")</f>
        <v>30 Jul 2025</v>
      </c>
      <c r="C485" s="211" t="str">
        <f>IFERROR(__xludf.DUMMYFUNCTION("""COMPUTED_VALUE"""),"Bpk. Sulaiman")</f>
        <v>Bpk. Sulaiman</v>
      </c>
      <c r="D485" s="211" t="str">
        <f>IFERROR(__xludf.DUMMYFUNCTION("""COMPUTED_VALUE"""),"Oksigen 7m3")</f>
        <v>Oksigen 7m3</v>
      </c>
      <c r="E485" s="211" t="str">
        <f>IFERROR(__xludf.DUMMYFUNCTION("""COMPUTED_VALUE"""),"5")</f>
        <v>5</v>
      </c>
      <c r="F485" s="211" t="str">
        <f>IFERROR(__xludf.DUMMYFUNCTION("""COMPUTED_VALUE"""),"275000")</f>
        <v>275000</v>
      </c>
      <c r="G485" s="211"/>
      <c r="H485" s="211"/>
      <c r="I485" s="211">
        <f>IFERROR(__xludf.DUMMYFUNCTION("""COMPUTED_VALUE"""),275000.0)</f>
        <v>275000</v>
      </c>
      <c r="J485" s="211"/>
      <c r="L485" s="211"/>
      <c r="M485" s="211"/>
      <c r="N485" s="211" t="str">
        <f>IFERROR(__xludf.DUMMYFUNCTION("""COMPUTED_VALUE"""),"")</f>
        <v/>
      </c>
      <c r="O485" s="211" t="str">
        <f>IFERROR(__xludf.DUMMYFUNCTION("""COMPUTED_VALUE"""),"")</f>
        <v/>
      </c>
      <c r="P485" s="224" t="str">
        <f>IFERROR(__xludf.DUMMYFUNCTION("""COMPUTED_VALUE""")," ")</f>
        <v/>
      </c>
      <c r="Q485" s="225" t="str">
        <f>IFERROR(__xludf.DUMMYFUNCTION("""COMPUTED_VALUE"""),"")</f>
        <v/>
      </c>
      <c r="R485" s="211" t="str">
        <f>IFERROR(__xludf.DUMMYFUNCTION("""COMPUTED_VALUE"""),"")</f>
        <v/>
      </c>
      <c r="S485" s="211"/>
      <c r="T485" s="211"/>
      <c r="U485" s="211"/>
    </row>
    <row r="486">
      <c r="A486" s="222" t="str">
        <f>IFERROR(__xludf.DUMMYFUNCTION("""COMPUTED_VALUE"""),"07250616")</f>
        <v>07250616</v>
      </c>
      <c r="B486" s="211" t="str">
        <f>IFERROR(__xludf.DUMMYFUNCTION("""COMPUTED_VALUE"""),"31 Jul 2025")</f>
        <v>31 Jul 2025</v>
      </c>
      <c r="C486" s="211" t="str">
        <f>IFERROR(__xludf.DUMMYFUNCTION("""COMPUTED_VALUE"""),"Bpk. Ari Budiarto")</f>
        <v>Bpk. Ari Budiarto</v>
      </c>
      <c r="D486" s="211" t="str">
        <f>IFERROR(__xludf.DUMMYFUNCTION("""COMPUTED_VALUE"""),"Argon 6m3")</f>
        <v>Argon 6m3</v>
      </c>
      <c r="E486" s="211" t="str">
        <f>IFERROR(__xludf.DUMMYFUNCTION("""COMPUTED_VALUE"""),"1")</f>
        <v>1</v>
      </c>
      <c r="F486" s="211" t="str">
        <f>IFERROR(__xludf.DUMMYFUNCTION("""COMPUTED_VALUE"""),"200000")</f>
        <v>200000</v>
      </c>
      <c r="G486" s="211"/>
      <c r="H486" s="211"/>
      <c r="I486" s="211">
        <f>IFERROR(__xludf.DUMMYFUNCTION("""COMPUTED_VALUE"""),200000.0)</f>
        <v>200000</v>
      </c>
      <c r="J486" s="211"/>
      <c r="L486" s="211"/>
      <c r="M486" s="211"/>
      <c r="N486" s="211" t="str">
        <f>IFERROR(__xludf.DUMMYFUNCTION("""COMPUTED_VALUE"""),"")</f>
        <v/>
      </c>
      <c r="O486" s="211" t="str">
        <f>IFERROR(__xludf.DUMMYFUNCTION("""COMPUTED_VALUE"""),"")</f>
        <v/>
      </c>
      <c r="P486" s="224" t="str">
        <f>IFERROR(__xludf.DUMMYFUNCTION("""COMPUTED_VALUE""")," ")</f>
        <v/>
      </c>
      <c r="Q486" s="225" t="str">
        <f>IFERROR(__xludf.DUMMYFUNCTION("""COMPUTED_VALUE"""),"")</f>
        <v/>
      </c>
      <c r="R486" s="211" t="str">
        <f>IFERROR(__xludf.DUMMYFUNCTION("""COMPUTED_VALUE"""),"")</f>
        <v/>
      </c>
      <c r="S486" s="211"/>
      <c r="T486" s="211"/>
      <c r="U486" s="211"/>
    </row>
    <row r="487">
      <c r="A487" s="222" t="str">
        <f>IFERROR(__xludf.DUMMYFUNCTION("""COMPUTED_VALUE"""),"07250617")</f>
        <v>07250617</v>
      </c>
      <c r="B487" s="211" t="str">
        <f>IFERROR(__xludf.DUMMYFUNCTION("""COMPUTED_VALUE"""),"31 Jul 2025")</f>
        <v>31 Jul 2025</v>
      </c>
      <c r="C487" s="211" t="str">
        <f>IFERROR(__xludf.DUMMYFUNCTION("""COMPUTED_VALUE"""),"Bpk. Kohir (Maintenance Velg)")</f>
        <v>Bpk. Kohir (Maintenance Velg)</v>
      </c>
      <c r="D487" s="211" t="str">
        <f>IFERROR(__xludf.DUMMYFUNCTION("""COMPUTED_VALUE"""),"Oksigen 6m3")</f>
        <v>Oksigen 6m3</v>
      </c>
      <c r="E487" s="211" t="str">
        <f>IFERROR(__xludf.DUMMYFUNCTION("""COMPUTED_VALUE"""),"5")</f>
        <v>5</v>
      </c>
      <c r="F487" s="211" t="str">
        <f>IFERROR(__xludf.DUMMYFUNCTION("""COMPUTED_VALUE"""),"275000")</f>
        <v>275000</v>
      </c>
      <c r="G487" s="211"/>
      <c r="H487" s="211"/>
      <c r="I487" s="211">
        <f>IFERROR(__xludf.DUMMYFUNCTION("""COMPUTED_VALUE"""),275000.0)</f>
        <v>275000</v>
      </c>
      <c r="J487" s="211"/>
      <c r="L487" s="211"/>
      <c r="M487" s="211"/>
      <c r="N487" s="211" t="str">
        <f>IFERROR(__xludf.DUMMYFUNCTION("""COMPUTED_VALUE"""),"")</f>
        <v/>
      </c>
      <c r="O487" s="211" t="str">
        <f>IFERROR(__xludf.DUMMYFUNCTION("""COMPUTED_VALUE"""),"")</f>
        <v/>
      </c>
      <c r="P487" s="224" t="str">
        <f>IFERROR(__xludf.DUMMYFUNCTION("""COMPUTED_VALUE""")," ")</f>
        <v/>
      </c>
      <c r="Q487" s="225" t="str">
        <f>IFERROR(__xludf.DUMMYFUNCTION("""COMPUTED_VALUE"""),"")</f>
        <v/>
      </c>
      <c r="R487" s="211" t="str">
        <f>IFERROR(__xludf.DUMMYFUNCTION("""COMPUTED_VALUE"""),"")</f>
        <v/>
      </c>
      <c r="S487" s="211"/>
      <c r="T487" s="211"/>
      <c r="U487" s="211"/>
    </row>
    <row r="488">
      <c r="A488" s="222" t="str">
        <f>IFERROR(__xludf.DUMMYFUNCTION("""COMPUTED_VALUE"""),"07250618")</f>
        <v>07250618</v>
      </c>
      <c r="B488" s="211" t="str">
        <f>IFERROR(__xludf.DUMMYFUNCTION("""COMPUTED_VALUE"""),"31 Jul 2025")</f>
        <v>31 Jul 2025</v>
      </c>
      <c r="C488" s="211" t="str">
        <f>IFERROR(__xludf.DUMMYFUNCTION("""COMPUTED_VALUE"""),"PT Utama Alim Sejahtera")</f>
        <v>PT Utama Alim Sejahtera</v>
      </c>
      <c r="D488" s="211" t="str">
        <f>IFERROR(__xludf.DUMMYFUNCTION("""COMPUTED_VALUE"""),"Oksigen 7m3
Karbondioksida")</f>
        <v>Oksigen 7m3
Karbondioksida</v>
      </c>
      <c r="E488" s="211" t="str">
        <f>IFERROR(__xludf.DUMMYFUNCTION("""COMPUTED_VALUE"""),"5
3")</f>
        <v>5
3</v>
      </c>
      <c r="F488" s="211" t="str">
        <f>IFERROR(__xludf.DUMMYFUNCTION("""COMPUTED_VALUE"""),"325001
630001")</f>
        <v>325001
630001</v>
      </c>
      <c r="G488" s="211"/>
      <c r="H488" s="211"/>
      <c r="I488" s="211">
        <f>IFERROR(__xludf.DUMMYFUNCTION("""COMPUTED_VALUE"""),955002.0)</f>
        <v>955002</v>
      </c>
      <c r="J488" s="211"/>
      <c r="L488" s="211"/>
      <c r="M488" s="211"/>
      <c r="N488" s="211" t="str">
        <f>IFERROR(__xludf.DUMMYFUNCTION("""COMPUTED_VALUE"""),"")</f>
        <v/>
      </c>
      <c r="O488" s="211" t="str">
        <f>IFERROR(__xludf.DUMMYFUNCTION("""COMPUTED_VALUE"""),"")</f>
        <v/>
      </c>
      <c r="P488" s="224" t="str">
        <f>IFERROR(__xludf.DUMMYFUNCTION("""COMPUTED_VALUE""")," ")</f>
        <v/>
      </c>
      <c r="Q488" s="225" t="str">
        <f>IFERROR(__xludf.DUMMYFUNCTION("""COMPUTED_VALUE"""),"")</f>
        <v/>
      </c>
      <c r="R488" s="211" t="str">
        <f>IFERROR(__xludf.DUMMYFUNCTION("""COMPUTED_VALUE"""),"")</f>
        <v/>
      </c>
      <c r="S488" s="211"/>
      <c r="T488" s="211"/>
      <c r="U488" s="211"/>
    </row>
    <row r="489">
      <c r="A489" s="222" t="str">
        <f>IFERROR(__xludf.DUMMYFUNCTION("""COMPUTED_VALUE"""),"08250620")</f>
        <v>08250620</v>
      </c>
      <c r="B489" s="211" t="str">
        <f>IFERROR(__xludf.DUMMYFUNCTION("""COMPUTED_VALUE"""),"01 Aug 2025")</f>
        <v>01 Aug 2025</v>
      </c>
      <c r="C489" s="211" t="str">
        <f>IFERROR(__xludf.DUMMYFUNCTION("""COMPUTED_VALUE"""),"Bengkel Las Bpk. Ari")</f>
        <v>Bengkel Las Bpk. Ari</v>
      </c>
      <c r="D489" s="211" t="str">
        <f>IFERROR(__xludf.DUMMYFUNCTION("""COMPUTED_VALUE"""),"Oksigen 6m3
Karbondioksida")</f>
        <v>Oksigen 6m3
Karbondioksida</v>
      </c>
      <c r="E489" s="211" t="str">
        <f>IFERROR(__xludf.DUMMYFUNCTION("""COMPUTED_VALUE"""),"5
1")</f>
        <v>5
1</v>
      </c>
      <c r="F489" s="211" t="str">
        <f>IFERROR(__xludf.DUMMYFUNCTION("""COMPUTED_VALUE"""),"300000
170000")</f>
        <v>300000
170000</v>
      </c>
      <c r="G489" s="211"/>
      <c r="H489" s="211"/>
      <c r="I489" s="211">
        <f>IFERROR(__xludf.DUMMYFUNCTION("""COMPUTED_VALUE"""),470000.0)</f>
        <v>470000</v>
      </c>
      <c r="J489" s="211"/>
      <c r="L489" s="211"/>
      <c r="M489" s="211"/>
      <c r="N489" s="211" t="str">
        <f>IFERROR(__xludf.DUMMYFUNCTION("""COMPUTED_VALUE"""),"")</f>
        <v/>
      </c>
      <c r="O489" s="211" t="str">
        <f>IFERROR(__xludf.DUMMYFUNCTION("""COMPUTED_VALUE"""),"")</f>
        <v/>
      </c>
      <c r="P489" s="224" t="str">
        <f>IFERROR(__xludf.DUMMYFUNCTION("""COMPUTED_VALUE""")," ")</f>
        <v/>
      </c>
      <c r="Q489" s="225" t="str">
        <f>IFERROR(__xludf.DUMMYFUNCTION("""COMPUTED_VALUE"""),"")</f>
        <v/>
      </c>
      <c r="R489" s="211" t="str">
        <f>IFERROR(__xludf.DUMMYFUNCTION("""COMPUTED_VALUE"""),"")</f>
        <v/>
      </c>
      <c r="S489" s="211"/>
      <c r="T489" s="211"/>
      <c r="U489" s="211"/>
    </row>
    <row r="490">
      <c r="A490" s="211"/>
      <c r="B490" s="211"/>
      <c r="C490" s="211"/>
      <c r="D490" s="211" t="str">
        <f>IFERROR(__xludf.DUMMYFUNCTION("""COMPUTED_VALUE"""),"")</f>
        <v/>
      </c>
      <c r="E490" s="211" t="str">
        <f>IFERROR(__xludf.DUMMYFUNCTION("""COMPUTED_VALUE"""),"")</f>
        <v/>
      </c>
      <c r="F490" s="211" t="str">
        <f>IFERROR(__xludf.DUMMYFUNCTION("""COMPUTED_VALUE"""),"")</f>
        <v/>
      </c>
      <c r="G490" s="211"/>
      <c r="H490" s="211"/>
      <c r="I490" s="211" t="str">
        <f>IFERROR(__xludf.DUMMYFUNCTION("""COMPUTED_VALUE"""),"")</f>
        <v/>
      </c>
      <c r="J490" s="211"/>
      <c r="L490" s="211"/>
      <c r="M490" s="211"/>
      <c r="N490" s="211" t="str">
        <f>IFERROR(__xludf.DUMMYFUNCTION("""COMPUTED_VALUE"""),"")</f>
        <v/>
      </c>
      <c r="O490" s="211" t="str">
        <f>IFERROR(__xludf.DUMMYFUNCTION("""COMPUTED_VALUE"""),"")</f>
        <v/>
      </c>
      <c r="P490" s="224" t="str">
        <f>IFERROR(__xludf.DUMMYFUNCTION("""COMPUTED_VALUE""")," ")</f>
        <v/>
      </c>
      <c r="Q490" s="225" t="str">
        <f>IFERROR(__xludf.DUMMYFUNCTION("""COMPUTED_VALUE"""),"")</f>
        <v/>
      </c>
      <c r="R490" s="211" t="str">
        <f>IFERROR(__xludf.DUMMYFUNCTION("""COMPUTED_VALUE"""),"")</f>
        <v/>
      </c>
      <c r="S490" s="211"/>
      <c r="T490" s="211"/>
      <c r="U490" s="211"/>
    </row>
    <row r="491">
      <c r="A491" s="211"/>
      <c r="B491" s="211"/>
      <c r="C491" s="211"/>
      <c r="D491" s="211" t="str">
        <f>IFERROR(__xludf.DUMMYFUNCTION("""COMPUTED_VALUE"""),"")</f>
        <v/>
      </c>
      <c r="E491" s="211" t="str">
        <f>IFERROR(__xludf.DUMMYFUNCTION("""COMPUTED_VALUE"""),"")</f>
        <v/>
      </c>
      <c r="F491" s="211" t="str">
        <f>IFERROR(__xludf.DUMMYFUNCTION("""COMPUTED_VALUE"""),"")</f>
        <v/>
      </c>
      <c r="G491" s="211"/>
      <c r="H491" s="211"/>
      <c r="I491" s="211" t="str">
        <f>IFERROR(__xludf.DUMMYFUNCTION("""COMPUTED_VALUE"""),"")</f>
        <v/>
      </c>
      <c r="J491" s="211"/>
      <c r="L491" s="211"/>
      <c r="M491" s="211"/>
      <c r="N491" s="211" t="str">
        <f>IFERROR(__xludf.DUMMYFUNCTION("""COMPUTED_VALUE"""),"")</f>
        <v/>
      </c>
      <c r="O491" s="211" t="str">
        <f>IFERROR(__xludf.DUMMYFUNCTION("""COMPUTED_VALUE"""),"")</f>
        <v/>
      </c>
      <c r="P491" s="224" t="str">
        <f>IFERROR(__xludf.DUMMYFUNCTION("""COMPUTED_VALUE""")," ")</f>
        <v/>
      </c>
      <c r="Q491" s="225" t="str">
        <f>IFERROR(__xludf.DUMMYFUNCTION("""COMPUTED_VALUE"""),"")</f>
        <v/>
      </c>
      <c r="R491" s="211" t="str">
        <f>IFERROR(__xludf.DUMMYFUNCTION("""COMPUTED_VALUE"""),"")</f>
        <v/>
      </c>
      <c r="S491" s="211"/>
      <c r="T491" s="211"/>
      <c r="U491" s="211"/>
    </row>
    <row r="492">
      <c r="A492" s="211"/>
      <c r="B492" s="211"/>
      <c r="C492" s="211"/>
      <c r="D492" s="211" t="str">
        <f>IFERROR(__xludf.DUMMYFUNCTION("""COMPUTED_VALUE"""),"")</f>
        <v/>
      </c>
      <c r="E492" s="211" t="str">
        <f>IFERROR(__xludf.DUMMYFUNCTION("""COMPUTED_VALUE"""),"")</f>
        <v/>
      </c>
      <c r="F492" s="211" t="str">
        <f>IFERROR(__xludf.DUMMYFUNCTION("""COMPUTED_VALUE"""),"")</f>
        <v/>
      </c>
      <c r="G492" s="211"/>
      <c r="H492" s="211"/>
      <c r="I492" s="211" t="str">
        <f>IFERROR(__xludf.DUMMYFUNCTION("""COMPUTED_VALUE"""),"")</f>
        <v/>
      </c>
      <c r="J492" s="211"/>
      <c r="L492" s="211"/>
      <c r="M492" s="211"/>
      <c r="N492" s="211" t="str">
        <f>IFERROR(__xludf.DUMMYFUNCTION("""COMPUTED_VALUE"""),"")</f>
        <v/>
      </c>
      <c r="O492" s="211" t="str">
        <f>IFERROR(__xludf.DUMMYFUNCTION("""COMPUTED_VALUE"""),"")</f>
        <v/>
      </c>
      <c r="P492" s="224" t="str">
        <f>IFERROR(__xludf.DUMMYFUNCTION("""COMPUTED_VALUE""")," ")</f>
        <v/>
      </c>
      <c r="Q492" s="225" t="str">
        <f>IFERROR(__xludf.DUMMYFUNCTION("""COMPUTED_VALUE"""),"")</f>
        <v/>
      </c>
      <c r="R492" s="211" t="str">
        <f>IFERROR(__xludf.DUMMYFUNCTION("""COMPUTED_VALUE"""),"")</f>
        <v/>
      </c>
      <c r="S492" s="211"/>
      <c r="T492" s="211"/>
      <c r="U492" s="211"/>
    </row>
    <row r="493">
      <c r="A493" s="211"/>
      <c r="B493" s="211"/>
      <c r="C493" s="211"/>
      <c r="D493" s="211" t="str">
        <f>IFERROR(__xludf.DUMMYFUNCTION("""COMPUTED_VALUE"""),"")</f>
        <v/>
      </c>
      <c r="E493" s="211" t="str">
        <f>IFERROR(__xludf.DUMMYFUNCTION("""COMPUTED_VALUE"""),"")</f>
        <v/>
      </c>
      <c r="F493" s="211" t="str">
        <f>IFERROR(__xludf.DUMMYFUNCTION("""COMPUTED_VALUE"""),"")</f>
        <v/>
      </c>
      <c r="G493" s="211"/>
      <c r="H493" s="211"/>
      <c r="I493" s="211" t="str">
        <f>IFERROR(__xludf.DUMMYFUNCTION("""COMPUTED_VALUE"""),"")</f>
        <v/>
      </c>
      <c r="J493" s="211"/>
      <c r="L493" s="211"/>
      <c r="M493" s="211"/>
      <c r="N493" s="211" t="str">
        <f>IFERROR(__xludf.DUMMYFUNCTION("""COMPUTED_VALUE"""),"")</f>
        <v/>
      </c>
      <c r="O493" s="211" t="str">
        <f>IFERROR(__xludf.DUMMYFUNCTION("""COMPUTED_VALUE"""),"")</f>
        <v/>
      </c>
      <c r="P493" s="224" t="str">
        <f>IFERROR(__xludf.DUMMYFUNCTION("""COMPUTED_VALUE""")," ")</f>
        <v/>
      </c>
      <c r="Q493" s="225" t="str">
        <f>IFERROR(__xludf.DUMMYFUNCTION("""COMPUTED_VALUE"""),"")</f>
        <v/>
      </c>
      <c r="R493" s="211" t="str">
        <f>IFERROR(__xludf.DUMMYFUNCTION("""COMPUTED_VALUE"""),"")</f>
        <v/>
      </c>
      <c r="S493" s="211"/>
      <c r="T493" s="211"/>
      <c r="U493" s="211"/>
    </row>
    <row r="494">
      <c r="A494" s="211"/>
      <c r="B494" s="211"/>
      <c r="C494" s="211"/>
      <c r="D494" s="211" t="str">
        <f>IFERROR(__xludf.DUMMYFUNCTION("""COMPUTED_VALUE"""),"")</f>
        <v/>
      </c>
      <c r="E494" s="211" t="str">
        <f>IFERROR(__xludf.DUMMYFUNCTION("""COMPUTED_VALUE"""),"")</f>
        <v/>
      </c>
      <c r="F494" s="211" t="str">
        <f>IFERROR(__xludf.DUMMYFUNCTION("""COMPUTED_VALUE"""),"")</f>
        <v/>
      </c>
      <c r="G494" s="211"/>
      <c r="H494" s="211"/>
      <c r="I494" s="211" t="str">
        <f>IFERROR(__xludf.DUMMYFUNCTION("""COMPUTED_VALUE"""),"")</f>
        <v/>
      </c>
      <c r="J494" s="211"/>
      <c r="L494" s="211"/>
      <c r="M494" s="211"/>
      <c r="N494" s="211" t="str">
        <f>IFERROR(__xludf.DUMMYFUNCTION("""COMPUTED_VALUE"""),"")</f>
        <v/>
      </c>
      <c r="O494" s="211" t="str">
        <f>IFERROR(__xludf.DUMMYFUNCTION("""COMPUTED_VALUE"""),"")</f>
        <v/>
      </c>
      <c r="P494" s="224" t="str">
        <f>IFERROR(__xludf.DUMMYFUNCTION("""COMPUTED_VALUE""")," ")</f>
        <v/>
      </c>
      <c r="Q494" s="225" t="str">
        <f>IFERROR(__xludf.DUMMYFUNCTION("""COMPUTED_VALUE"""),"")</f>
        <v/>
      </c>
      <c r="R494" s="211" t="str">
        <f>IFERROR(__xludf.DUMMYFUNCTION("""COMPUTED_VALUE"""),"")</f>
        <v/>
      </c>
      <c r="S494" s="211"/>
      <c r="T494" s="211"/>
      <c r="U494" s="211"/>
    </row>
    <row r="495">
      <c r="A495" s="211"/>
      <c r="B495" s="211"/>
      <c r="C495" s="211"/>
      <c r="D495" s="211" t="str">
        <f>IFERROR(__xludf.DUMMYFUNCTION("""COMPUTED_VALUE"""),"")</f>
        <v/>
      </c>
      <c r="E495" s="211" t="str">
        <f>IFERROR(__xludf.DUMMYFUNCTION("""COMPUTED_VALUE"""),"")</f>
        <v/>
      </c>
      <c r="F495" s="211" t="str">
        <f>IFERROR(__xludf.DUMMYFUNCTION("""COMPUTED_VALUE"""),"")</f>
        <v/>
      </c>
      <c r="G495" s="211"/>
      <c r="H495" s="211"/>
      <c r="I495" s="211" t="str">
        <f>IFERROR(__xludf.DUMMYFUNCTION("""COMPUTED_VALUE"""),"")</f>
        <v/>
      </c>
      <c r="J495" s="211"/>
      <c r="L495" s="211"/>
      <c r="M495" s="211"/>
      <c r="N495" s="211" t="str">
        <f>IFERROR(__xludf.DUMMYFUNCTION("""COMPUTED_VALUE"""),"")</f>
        <v/>
      </c>
      <c r="O495" s="211" t="str">
        <f>IFERROR(__xludf.DUMMYFUNCTION("""COMPUTED_VALUE"""),"")</f>
        <v/>
      </c>
      <c r="P495" s="224" t="str">
        <f>IFERROR(__xludf.DUMMYFUNCTION("""COMPUTED_VALUE""")," ")</f>
        <v/>
      </c>
      <c r="Q495" s="225" t="str">
        <f>IFERROR(__xludf.DUMMYFUNCTION("""COMPUTED_VALUE"""),"")</f>
        <v/>
      </c>
      <c r="R495" s="211" t="str">
        <f>IFERROR(__xludf.DUMMYFUNCTION("""COMPUTED_VALUE"""),"")</f>
        <v/>
      </c>
      <c r="S495" s="211"/>
      <c r="T495" s="211"/>
      <c r="U495" s="211"/>
    </row>
    <row r="496">
      <c r="A496" s="211"/>
      <c r="B496" s="211"/>
      <c r="C496" s="211"/>
      <c r="D496" s="211" t="str">
        <f>IFERROR(__xludf.DUMMYFUNCTION("""COMPUTED_VALUE"""),"")</f>
        <v/>
      </c>
      <c r="E496" s="211" t="str">
        <f>IFERROR(__xludf.DUMMYFUNCTION("""COMPUTED_VALUE"""),"")</f>
        <v/>
      </c>
      <c r="F496" s="211" t="str">
        <f>IFERROR(__xludf.DUMMYFUNCTION("""COMPUTED_VALUE"""),"")</f>
        <v/>
      </c>
      <c r="G496" s="211"/>
      <c r="H496" s="211"/>
      <c r="I496" s="211" t="str">
        <f>IFERROR(__xludf.DUMMYFUNCTION("""COMPUTED_VALUE"""),"")</f>
        <v/>
      </c>
      <c r="J496" s="211"/>
      <c r="L496" s="211"/>
      <c r="M496" s="211"/>
      <c r="N496" s="211" t="str">
        <f>IFERROR(__xludf.DUMMYFUNCTION("""COMPUTED_VALUE"""),"")</f>
        <v/>
      </c>
      <c r="O496" s="211" t="str">
        <f>IFERROR(__xludf.DUMMYFUNCTION("""COMPUTED_VALUE"""),"")</f>
        <v/>
      </c>
      <c r="P496" s="224" t="str">
        <f>IFERROR(__xludf.DUMMYFUNCTION("""COMPUTED_VALUE""")," ")</f>
        <v/>
      </c>
      <c r="Q496" s="225" t="str">
        <f>IFERROR(__xludf.DUMMYFUNCTION("""COMPUTED_VALUE"""),"")</f>
        <v/>
      </c>
      <c r="R496" s="211" t="str">
        <f>IFERROR(__xludf.DUMMYFUNCTION("""COMPUTED_VALUE"""),"")</f>
        <v/>
      </c>
      <c r="S496" s="211"/>
      <c r="T496" s="211"/>
      <c r="U496" s="211"/>
    </row>
    <row r="497">
      <c r="A497" s="211"/>
      <c r="B497" s="211"/>
      <c r="C497" s="211"/>
      <c r="D497" s="211" t="str">
        <f>IFERROR(__xludf.DUMMYFUNCTION("""COMPUTED_VALUE"""),"")</f>
        <v/>
      </c>
      <c r="E497" s="211" t="str">
        <f>IFERROR(__xludf.DUMMYFUNCTION("""COMPUTED_VALUE"""),"")</f>
        <v/>
      </c>
      <c r="F497" s="211" t="str">
        <f>IFERROR(__xludf.DUMMYFUNCTION("""COMPUTED_VALUE"""),"")</f>
        <v/>
      </c>
      <c r="G497" s="211"/>
      <c r="H497" s="211"/>
      <c r="I497" s="211" t="str">
        <f>IFERROR(__xludf.DUMMYFUNCTION("""COMPUTED_VALUE"""),"")</f>
        <v/>
      </c>
      <c r="J497" s="211"/>
      <c r="L497" s="211"/>
      <c r="M497" s="211"/>
      <c r="N497" s="211" t="str">
        <f>IFERROR(__xludf.DUMMYFUNCTION("""COMPUTED_VALUE"""),"")</f>
        <v/>
      </c>
      <c r="O497" s="211" t="str">
        <f>IFERROR(__xludf.DUMMYFUNCTION("""COMPUTED_VALUE"""),"")</f>
        <v/>
      </c>
      <c r="P497" s="224" t="str">
        <f>IFERROR(__xludf.DUMMYFUNCTION("""COMPUTED_VALUE""")," ")</f>
        <v/>
      </c>
      <c r="Q497" s="225" t="str">
        <f>IFERROR(__xludf.DUMMYFUNCTION("""COMPUTED_VALUE"""),"")</f>
        <v/>
      </c>
      <c r="R497" s="211" t="str">
        <f>IFERROR(__xludf.DUMMYFUNCTION("""COMPUTED_VALUE"""),"")</f>
        <v/>
      </c>
      <c r="S497" s="211"/>
      <c r="T497" s="211"/>
      <c r="U497" s="211"/>
    </row>
    <row r="498">
      <c r="A498" s="211"/>
      <c r="B498" s="211"/>
      <c r="C498" s="211"/>
      <c r="D498" s="211" t="str">
        <f>IFERROR(__xludf.DUMMYFUNCTION("""COMPUTED_VALUE"""),"")</f>
        <v/>
      </c>
      <c r="E498" s="211" t="str">
        <f>IFERROR(__xludf.DUMMYFUNCTION("""COMPUTED_VALUE"""),"")</f>
        <v/>
      </c>
      <c r="F498" s="211" t="str">
        <f>IFERROR(__xludf.DUMMYFUNCTION("""COMPUTED_VALUE"""),"")</f>
        <v/>
      </c>
      <c r="G498" s="211"/>
      <c r="H498" s="211"/>
      <c r="I498" s="211" t="str">
        <f>IFERROR(__xludf.DUMMYFUNCTION("""COMPUTED_VALUE"""),"")</f>
        <v/>
      </c>
      <c r="J498" s="211"/>
      <c r="L498" s="211"/>
      <c r="M498" s="211"/>
      <c r="N498" s="211" t="str">
        <f>IFERROR(__xludf.DUMMYFUNCTION("""COMPUTED_VALUE"""),"")</f>
        <v/>
      </c>
      <c r="O498" s="211" t="str">
        <f>IFERROR(__xludf.DUMMYFUNCTION("""COMPUTED_VALUE"""),"")</f>
        <v/>
      </c>
      <c r="P498" s="224" t="str">
        <f>IFERROR(__xludf.DUMMYFUNCTION("""COMPUTED_VALUE""")," ")</f>
        <v/>
      </c>
      <c r="Q498" s="225" t="str">
        <f>IFERROR(__xludf.DUMMYFUNCTION("""COMPUTED_VALUE"""),"")</f>
        <v/>
      </c>
      <c r="R498" s="211" t="str">
        <f>IFERROR(__xludf.DUMMYFUNCTION("""COMPUTED_VALUE"""),"")</f>
        <v/>
      </c>
      <c r="S498" s="211"/>
      <c r="T498" s="211"/>
      <c r="U498" s="211"/>
    </row>
    <row r="499">
      <c r="A499" s="211"/>
      <c r="B499" s="211"/>
      <c r="C499" s="211"/>
      <c r="D499" s="211" t="str">
        <f>IFERROR(__xludf.DUMMYFUNCTION("""COMPUTED_VALUE"""),"")</f>
        <v/>
      </c>
      <c r="E499" s="211" t="str">
        <f>IFERROR(__xludf.DUMMYFUNCTION("""COMPUTED_VALUE"""),"")</f>
        <v/>
      </c>
      <c r="F499" s="211" t="str">
        <f>IFERROR(__xludf.DUMMYFUNCTION("""COMPUTED_VALUE"""),"")</f>
        <v/>
      </c>
      <c r="G499" s="211"/>
      <c r="H499" s="211"/>
      <c r="I499" s="211" t="str">
        <f>IFERROR(__xludf.DUMMYFUNCTION("""COMPUTED_VALUE"""),"")</f>
        <v/>
      </c>
      <c r="J499" s="211"/>
      <c r="L499" s="211"/>
      <c r="M499" s="211"/>
      <c r="N499" s="211" t="str">
        <f>IFERROR(__xludf.DUMMYFUNCTION("""COMPUTED_VALUE"""),"")</f>
        <v/>
      </c>
      <c r="O499" s="211" t="str">
        <f>IFERROR(__xludf.DUMMYFUNCTION("""COMPUTED_VALUE"""),"")</f>
        <v/>
      </c>
      <c r="P499" s="224" t="str">
        <f>IFERROR(__xludf.DUMMYFUNCTION("""COMPUTED_VALUE""")," ")</f>
        <v/>
      </c>
      <c r="Q499" s="225" t="str">
        <f>IFERROR(__xludf.DUMMYFUNCTION("""COMPUTED_VALUE"""),"")</f>
        <v/>
      </c>
      <c r="R499" s="211" t="str">
        <f>IFERROR(__xludf.DUMMYFUNCTION("""COMPUTED_VALUE"""),"")</f>
        <v/>
      </c>
      <c r="S499" s="211"/>
      <c r="T499" s="211"/>
      <c r="U499" s="211"/>
    </row>
    <row r="500">
      <c r="A500" s="211"/>
      <c r="B500" s="211"/>
      <c r="C500" s="211"/>
      <c r="D500" s="211" t="str">
        <f>IFERROR(__xludf.DUMMYFUNCTION("""COMPUTED_VALUE"""),"")</f>
        <v/>
      </c>
      <c r="E500" s="211" t="str">
        <f>IFERROR(__xludf.DUMMYFUNCTION("""COMPUTED_VALUE"""),"")</f>
        <v/>
      </c>
      <c r="F500" s="211" t="str">
        <f>IFERROR(__xludf.DUMMYFUNCTION("""COMPUTED_VALUE"""),"")</f>
        <v/>
      </c>
      <c r="G500" s="211"/>
      <c r="H500" s="211"/>
      <c r="I500" s="211" t="str">
        <f>IFERROR(__xludf.DUMMYFUNCTION("""COMPUTED_VALUE"""),"")</f>
        <v/>
      </c>
      <c r="J500" s="211"/>
      <c r="L500" s="211"/>
      <c r="M500" s="211"/>
      <c r="N500" s="211" t="str">
        <f>IFERROR(__xludf.DUMMYFUNCTION("""COMPUTED_VALUE"""),"")</f>
        <v/>
      </c>
      <c r="O500" s="211" t="str">
        <f>IFERROR(__xludf.DUMMYFUNCTION("""COMPUTED_VALUE"""),"")</f>
        <v/>
      </c>
      <c r="P500" s="224" t="str">
        <f>IFERROR(__xludf.DUMMYFUNCTION("""COMPUTED_VALUE""")," ")</f>
        <v/>
      </c>
      <c r="Q500" s="225" t="str">
        <f>IFERROR(__xludf.DUMMYFUNCTION("""COMPUTED_VALUE"""),"")</f>
        <v/>
      </c>
      <c r="R500" s="211" t="str">
        <f>IFERROR(__xludf.DUMMYFUNCTION("""COMPUTED_VALUE"""),"")</f>
        <v/>
      </c>
      <c r="S500" s="211"/>
      <c r="T500" s="211"/>
      <c r="U500" s="211"/>
    </row>
    <row r="501">
      <c r="A501" s="211"/>
      <c r="B501" s="211"/>
      <c r="C501" s="211"/>
      <c r="D501" s="211" t="str">
        <f>IFERROR(__xludf.DUMMYFUNCTION("""COMPUTED_VALUE"""),"")</f>
        <v/>
      </c>
      <c r="E501" s="211" t="str">
        <f>IFERROR(__xludf.DUMMYFUNCTION("""COMPUTED_VALUE"""),"")</f>
        <v/>
      </c>
      <c r="F501" s="211" t="str">
        <f>IFERROR(__xludf.DUMMYFUNCTION("""COMPUTED_VALUE"""),"")</f>
        <v/>
      </c>
      <c r="G501" s="211"/>
      <c r="H501" s="211"/>
      <c r="I501" s="211" t="str">
        <f>IFERROR(__xludf.DUMMYFUNCTION("""COMPUTED_VALUE"""),"")</f>
        <v/>
      </c>
      <c r="J501" s="211"/>
      <c r="L501" s="211"/>
      <c r="M501" s="211"/>
      <c r="N501" s="211" t="str">
        <f>IFERROR(__xludf.DUMMYFUNCTION("""COMPUTED_VALUE"""),"")</f>
        <v/>
      </c>
      <c r="O501" s="211" t="str">
        <f>IFERROR(__xludf.DUMMYFUNCTION("""COMPUTED_VALUE"""),"")</f>
        <v/>
      </c>
      <c r="P501" s="224" t="str">
        <f>IFERROR(__xludf.DUMMYFUNCTION("""COMPUTED_VALUE""")," ")</f>
        <v/>
      </c>
      <c r="Q501" s="225" t="str">
        <f>IFERROR(__xludf.DUMMYFUNCTION("""COMPUTED_VALUE"""),"")</f>
        <v/>
      </c>
      <c r="R501" s="211" t="str">
        <f>IFERROR(__xludf.DUMMYFUNCTION("""COMPUTED_VALUE"""),"")</f>
        <v/>
      </c>
      <c r="S501" s="211"/>
      <c r="T501" s="211"/>
      <c r="U501" s="211"/>
    </row>
    <row r="502">
      <c r="A502" s="211"/>
      <c r="B502" s="211"/>
      <c r="C502" s="211"/>
      <c r="D502" s="211" t="str">
        <f>IFERROR(__xludf.DUMMYFUNCTION("""COMPUTED_VALUE"""),"")</f>
        <v/>
      </c>
      <c r="E502" s="211" t="str">
        <f>IFERROR(__xludf.DUMMYFUNCTION("""COMPUTED_VALUE"""),"")</f>
        <v/>
      </c>
      <c r="F502" s="211" t="str">
        <f>IFERROR(__xludf.DUMMYFUNCTION("""COMPUTED_VALUE"""),"")</f>
        <v/>
      </c>
      <c r="G502" s="211"/>
      <c r="H502" s="211"/>
      <c r="I502" s="211" t="str">
        <f>IFERROR(__xludf.DUMMYFUNCTION("""COMPUTED_VALUE"""),"")</f>
        <v/>
      </c>
      <c r="J502" s="211"/>
      <c r="L502" s="211"/>
      <c r="M502" s="211"/>
      <c r="N502" s="211" t="str">
        <f>IFERROR(__xludf.DUMMYFUNCTION("""COMPUTED_VALUE"""),"")</f>
        <v/>
      </c>
      <c r="O502" s="211" t="str">
        <f>IFERROR(__xludf.DUMMYFUNCTION("""COMPUTED_VALUE"""),"")</f>
        <v/>
      </c>
      <c r="P502" s="224" t="str">
        <f>IFERROR(__xludf.DUMMYFUNCTION("""COMPUTED_VALUE""")," ")</f>
        <v/>
      </c>
      <c r="Q502" s="225" t="str">
        <f>IFERROR(__xludf.DUMMYFUNCTION("""COMPUTED_VALUE"""),"")</f>
        <v/>
      </c>
      <c r="R502" s="211" t="str">
        <f>IFERROR(__xludf.DUMMYFUNCTION("""COMPUTED_VALUE"""),"")</f>
        <v/>
      </c>
      <c r="S502" s="211"/>
      <c r="T502" s="211"/>
      <c r="U502" s="211"/>
    </row>
    <row r="503">
      <c r="A503" s="211"/>
      <c r="B503" s="211"/>
      <c r="C503" s="211"/>
      <c r="D503" s="211" t="str">
        <f>IFERROR(__xludf.DUMMYFUNCTION("""COMPUTED_VALUE"""),"")</f>
        <v/>
      </c>
      <c r="E503" s="211" t="str">
        <f>IFERROR(__xludf.DUMMYFUNCTION("""COMPUTED_VALUE"""),"")</f>
        <v/>
      </c>
      <c r="F503" s="211" t="str">
        <f>IFERROR(__xludf.DUMMYFUNCTION("""COMPUTED_VALUE"""),"")</f>
        <v/>
      </c>
      <c r="G503" s="211"/>
      <c r="H503" s="211"/>
      <c r="I503" s="211" t="str">
        <f>IFERROR(__xludf.DUMMYFUNCTION("""COMPUTED_VALUE"""),"")</f>
        <v/>
      </c>
      <c r="J503" s="211"/>
      <c r="L503" s="211"/>
      <c r="M503" s="211"/>
      <c r="N503" s="211" t="str">
        <f>IFERROR(__xludf.DUMMYFUNCTION("""COMPUTED_VALUE"""),"")</f>
        <v/>
      </c>
      <c r="O503" s="211" t="str">
        <f>IFERROR(__xludf.DUMMYFUNCTION("""COMPUTED_VALUE"""),"")</f>
        <v/>
      </c>
      <c r="P503" s="224" t="str">
        <f>IFERROR(__xludf.DUMMYFUNCTION("""COMPUTED_VALUE""")," ")</f>
        <v/>
      </c>
      <c r="Q503" s="225" t="str">
        <f>IFERROR(__xludf.DUMMYFUNCTION("""COMPUTED_VALUE"""),"")</f>
        <v/>
      </c>
      <c r="R503" s="211" t="str">
        <f>IFERROR(__xludf.DUMMYFUNCTION("""COMPUTED_VALUE"""),"")</f>
        <v/>
      </c>
      <c r="S503" s="211"/>
      <c r="T503" s="211"/>
      <c r="U503" s="211"/>
    </row>
    <row r="504">
      <c r="A504" s="211"/>
      <c r="B504" s="211"/>
      <c r="C504" s="211"/>
      <c r="D504" s="211" t="str">
        <f>IFERROR(__xludf.DUMMYFUNCTION("""COMPUTED_VALUE"""),"")</f>
        <v/>
      </c>
      <c r="E504" s="211" t="str">
        <f>IFERROR(__xludf.DUMMYFUNCTION("""COMPUTED_VALUE"""),"")</f>
        <v/>
      </c>
      <c r="F504" s="211" t="str">
        <f>IFERROR(__xludf.DUMMYFUNCTION("""COMPUTED_VALUE"""),"")</f>
        <v/>
      </c>
      <c r="G504" s="211"/>
      <c r="H504" s="211"/>
      <c r="I504" s="211" t="str">
        <f>IFERROR(__xludf.DUMMYFUNCTION("""COMPUTED_VALUE"""),"")</f>
        <v/>
      </c>
      <c r="J504" s="211"/>
      <c r="L504" s="211"/>
      <c r="M504" s="211"/>
      <c r="N504" s="211" t="str">
        <f>IFERROR(__xludf.DUMMYFUNCTION("""COMPUTED_VALUE"""),"")</f>
        <v/>
      </c>
      <c r="O504" s="211" t="str">
        <f>IFERROR(__xludf.DUMMYFUNCTION("""COMPUTED_VALUE"""),"")</f>
        <v/>
      </c>
      <c r="P504" s="224" t="str">
        <f>IFERROR(__xludf.DUMMYFUNCTION("""COMPUTED_VALUE""")," ")</f>
        <v/>
      </c>
      <c r="Q504" s="225" t="str">
        <f>IFERROR(__xludf.DUMMYFUNCTION("""COMPUTED_VALUE"""),"")</f>
        <v/>
      </c>
      <c r="R504" s="211" t="str">
        <f>IFERROR(__xludf.DUMMYFUNCTION("""COMPUTED_VALUE"""),"")</f>
        <v/>
      </c>
      <c r="S504" s="211"/>
      <c r="T504" s="211"/>
      <c r="U504" s="211"/>
    </row>
    <row r="505">
      <c r="A505" s="211"/>
      <c r="B505" s="211"/>
      <c r="C505" s="211"/>
      <c r="D505" s="211" t="str">
        <f>IFERROR(__xludf.DUMMYFUNCTION("""COMPUTED_VALUE"""),"")</f>
        <v/>
      </c>
      <c r="E505" s="211" t="str">
        <f>IFERROR(__xludf.DUMMYFUNCTION("""COMPUTED_VALUE"""),"")</f>
        <v/>
      </c>
      <c r="F505" s="211" t="str">
        <f>IFERROR(__xludf.DUMMYFUNCTION("""COMPUTED_VALUE"""),"")</f>
        <v/>
      </c>
      <c r="G505" s="211"/>
      <c r="H505" s="211"/>
      <c r="I505" s="211" t="str">
        <f>IFERROR(__xludf.DUMMYFUNCTION("""COMPUTED_VALUE"""),"")</f>
        <v/>
      </c>
      <c r="J505" s="211"/>
      <c r="L505" s="211"/>
      <c r="M505" s="211"/>
      <c r="N505" s="211" t="str">
        <f>IFERROR(__xludf.DUMMYFUNCTION("""COMPUTED_VALUE"""),"")</f>
        <v/>
      </c>
      <c r="O505" s="211" t="str">
        <f>IFERROR(__xludf.DUMMYFUNCTION("""COMPUTED_VALUE"""),"")</f>
        <v/>
      </c>
      <c r="P505" s="224" t="str">
        <f>IFERROR(__xludf.DUMMYFUNCTION("""COMPUTED_VALUE""")," ")</f>
        <v/>
      </c>
      <c r="Q505" s="225" t="str">
        <f>IFERROR(__xludf.DUMMYFUNCTION("""COMPUTED_VALUE"""),"")</f>
        <v/>
      </c>
      <c r="R505" s="211" t="str">
        <f>IFERROR(__xludf.DUMMYFUNCTION("""COMPUTED_VALUE"""),"")</f>
        <v/>
      </c>
      <c r="S505" s="211"/>
      <c r="T505" s="211"/>
      <c r="U505" s="211"/>
    </row>
    <row r="506">
      <c r="A506" s="211"/>
      <c r="B506" s="211"/>
      <c r="C506" s="211"/>
      <c r="D506" s="211" t="str">
        <f>IFERROR(__xludf.DUMMYFUNCTION("""COMPUTED_VALUE"""),"")</f>
        <v/>
      </c>
      <c r="E506" s="211" t="str">
        <f>IFERROR(__xludf.DUMMYFUNCTION("""COMPUTED_VALUE"""),"")</f>
        <v/>
      </c>
      <c r="F506" s="211" t="str">
        <f>IFERROR(__xludf.DUMMYFUNCTION("""COMPUTED_VALUE"""),"")</f>
        <v/>
      </c>
      <c r="G506" s="211"/>
      <c r="H506" s="211"/>
      <c r="I506" s="211" t="str">
        <f>IFERROR(__xludf.DUMMYFUNCTION("""COMPUTED_VALUE"""),"")</f>
        <v/>
      </c>
      <c r="J506" s="211"/>
      <c r="L506" s="211"/>
      <c r="M506" s="211"/>
      <c r="N506" s="211" t="str">
        <f>IFERROR(__xludf.DUMMYFUNCTION("""COMPUTED_VALUE"""),"")</f>
        <v/>
      </c>
      <c r="O506" s="211" t="str">
        <f>IFERROR(__xludf.DUMMYFUNCTION("""COMPUTED_VALUE"""),"")</f>
        <v/>
      </c>
      <c r="P506" s="224" t="str">
        <f>IFERROR(__xludf.DUMMYFUNCTION("""COMPUTED_VALUE""")," ")</f>
        <v/>
      </c>
      <c r="Q506" s="225" t="str">
        <f>IFERROR(__xludf.DUMMYFUNCTION("""COMPUTED_VALUE"""),"")</f>
        <v/>
      </c>
      <c r="R506" s="211" t="str">
        <f>IFERROR(__xludf.DUMMYFUNCTION("""COMPUTED_VALUE"""),"")</f>
        <v/>
      </c>
      <c r="S506" s="211"/>
      <c r="T506" s="211"/>
      <c r="U506" s="211"/>
    </row>
    <row r="507">
      <c r="A507" s="211"/>
      <c r="B507" s="211"/>
      <c r="C507" s="211"/>
      <c r="D507" s="211" t="str">
        <f>IFERROR(__xludf.DUMMYFUNCTION("""COMPUTED_VALUE"""),"")</f>
        <v/>
      </c>
      <c r="E507" s="211" t="str">
        <f>IFERROR(__xludf.DUMMYFUNCTION("""COMPUTED_VALUE"""),"")</f>
        <v/>
      </c>
      <c r="F507" s="211" t="str">
        <f>IFERROR(__xludf.DUMMYFUNCTION("""COMPUTED_VALUE"""),"")</f>
        <v/>
      </c>
      <c r="G507" s="211"/>
      <c r="H507" s="211"/>
      <c r="I507" s="211" t="str">
        <f>IFERROR(__xludf.DUMMYFUNCTION("""COMPUTED_VALUE"""),"")</f>
        <v/>
      </c>
      <c r="J507" s="211"/>
      <c r="L507" s="211"/>
      <c r="M507" s="211"/>
      <c r="N507" s="211" t="str">
        <f>IFERROR(__xludf.DUMMYFUNCTION("""COMPUTED_VALUE"""),"")</f>
        <v/>
      </c>
      <c r="O507" s="211" t="str">
        <f>IFERROR(__xludf.DUMMYFUNCTION("""COMPUTED_VALUE"""),"")</f>
        <v/>
      </c>
      <c r="P507" s="224" t="str">
        <f>IFERROR(__xludf.DUMMYFUNCTION("""COMPUTED_VALUE""")," ")</f>
        <v/>
      </c>
      <c r="Q507" s="225" t="str">
        <f>IFERROR(__xludf.DUMMYFUNCTION("""COMPUTED_VALUE"""),"")</f>
        <v/>
      </c>
      <c r="R507" s="211" t="str">
        <f>IFERROR(__xludf.DUMMYFUNCTION("""COMPUTED_VALUE"""),"")</f>
        <v/>
      </c>
      <c r="S507" s="211"/>
      <c r="T507" s="211"/>
      <c r="U507" s="211"/>
    </row>
    <row r="508">
      <c r="A508" s="211"/>
      <c r="B508" s="211"/>
      <c r="C508" s="211"/>
      <c r="D508" s="211" t="str">
        <f>IFERROR(__xludf.DUMMYFUNCTION("""COMPUTED_VALUE"""),"")</f>
        <v/>
      </c>
      <c r="E508" s="211" t="str">
        <f>IFERROR(__xludf.DUMMYFUNCTION("""COMPUTED_VALUE"""),"")</f>
        <v/>
      </c>
      <c r="F508" s="211" t="str">
        <f>IFERROR(__xludf.DUMMYFUNCTION("""COMPUTED_VALUE"""),"")</f>
        <v/>
      </c>
      <c r="G508" s="211"/>
      <c r="H508" s="211"/>
      <c r="I508" s="211" t="str">
        <f>IFERROR(__xludf.DUMMYFUNCTION("""COMPUTED_VALUE"""),"")</f>
        <v/>
      </c>
      <c r="J508" s="211"/>
      <c r="L508" s="211"/>
      <c r="M508" s="211"/>
      <c r="N508" s="211" t="str">
        <f>IFERROR(__xludf.DUMMYFUNCTION("""COMPUTED_VALUE"""),"")</f>
        <v/>
      </c>
      <c r="O508" s="211" t="str">
        <f>IFERROR(__xludf.DUMMYFUNCTION("""COMPUTED_VALUE"""),"")</f>
        <v/>
      </c>
      <c r="P508" s="224" t="str">
        <f>IFERROR(__xludf.DUMMYFUNCTION("""COMPUTED_VALUE""")," ")</f>
        <v/>
      </c>
      <c r="Q508" s="225" t="str">
        <f>IFERROR(__xludf.DUMMYFUNCTION("""COMPUTED_VALUE"""),"")</f>
        <v/>
      </c>
      <c r="R508" s="211" t="str">
        <f>IFERROR(__xludf.DUMMYFUNCTION("""COMPUTED_VALUE"""),"")</f>
        <v/>
      </c>
      <c r="S508" s="211"/>
      <c r="T508" s="211"/>
      <c r="U508" s="211"/>
    </row>
    <row r="509">
      <c r="A509" s="211"/>
      <c r="B509" s="211"/>
      <c r="C509" s="211"/>
      <c r="D509" s="211" t="str">
        <f>IFERROR(__xludf.DUMMYFUNCTION("""COMPUTED_VALUE"""),"")</f>
        <v/>
      </c>
      <c r="E509" s="211" t="str">
        <f>IFERROR(__xludf.DUMMYFUNCTION("""COMPUTED_VALUE"""),"")</f>
        <v/>
      </c>
      <c r="F509" s="211" t="str">
        <f>IFERROR(__xludf.DUMMYFUNCTION("""COMPUTED_VALUE"""),"")</f>
        <v/>
      </c>
      <c r="G509" s="211"/>
      <c r="H509" s="211"/>
      <c r="I509" s="211" t="str">
        <f>IFERROR(__xludf.DUMMYFUNCTION("""COMPUTED_VALUE"""),"")</f>
        <v/>
      </c>
      <c r="J509" s="211"/>
      <c r="L509" s="211"/>
      <c r="M509" s="211"/>
      <c r="N509" s="211" t="str">
        <f>IFERROR(__xludf.DUMMYFUNCTION("""COMPUTED_VALUE"""),"")</f>
        <v/>
      </c>
      <c r="O509" s="211" t="str">
        <f>IFERROR(__xludf.DUMMYFUNCTION("""COMPUTED_VALUE"""),"")</f>
        <v/>
      </c>
      <c r="P509" s="224" t="str">
        <f>IFERROR(__xludf.DUMMYFUNCTION("""COMPUTED_VALUE""")," ")</f>
        <v/>
      </c>
      <c r="Q509" s="225" t="str">
        <f>IFERROR(__xludf.DUMMYFUNCTION("""COMPUTED_VALUE"""),"")</f>
        <v/>
      </c>
      <c r="R509" s="211" t="str">
        <f>IFERROR(__xludf.DUMMYFUNCTION("""COMPUTED_VALUE"""),"")</f>
        <v/>
      </c>
      <c r="S509" s="211"/>
      <c r="T509" s="211"/>
      <c r="U509" s="211"/>
    </row>
    <row r="510">
      <c r="A510" s="211"/>
      <c r="B510" s="211"/>
      <c r="C510" s="211"/>
      <c r="D510" s="211" t="str">
        <f>IFERROR(__xludf.DUMMYFUNCTION("""COMPUTED_VALUE"""),"")</f>
        <v/>
      </c>
      <c r="E510" s="211" t="str">
        <f>IFERROR(__xludf.DUMMYFUNCTION("""COMPUTED_VALUE"""),"")</f>
        <v/>
      </c>
      <c r="F510" s="211" t="str">
        <f>IFERROR(__xludf.DUMMYFUNCTION("""COMPUTED_VALUE"""),"")</f>
        <v/>
      </c>
      <c r="G510" s="211"/>
      <c r="H510" s="211"/>
      <c r="I510" s="211" t="str">
        <f>IFERROR(__xludf.DUMMYFUNCTION("""COMPUTED_VALUE"""),"")</f>
        <v/>
      </c>
      <c r="J510" s="211"/>
      <c r="L510" s="211"/>
      <c r="M510" s="211"/>
      <c r="N510" s="211" t="str">
        <f>IFERROR(__xludf.DUMMYFUNCTION("""COMPUTED_VALUE"""),"")</f>
        <v/>
      </c>
      <c r="O510" s="211" t="str">
        <f>IFERROR(__xludf.DUMMYFUNCTION("""COMPUTED_VALUE"""),"")</f>
        <v/>
      </c>
      <c r="P510" s="224" t="str">
        <f>IFERROR(__xludf.DUMMYFUNCTION("""COMPUTED_VALUE""")," ")</f>
        <v/>
      </c>
      <c r="Q510" s="225" t="str">
        <f>IFERROR(__xludf.DUMMYFUNCTION("""COMPUTED_VALUE"""),"")</f>
        <v/>
      </c>
      <c r="R510" s="211" t="str">
        <f>IFERROR(__xludf.DUMMYFUNCTION("""COMPUTED_VALUE"""),"")</f>
        <v/>
      </c>
      <c r="S510" s="211"/>
      <c r="T510" s="211"/>
      <c r="U510" s="211"/>
    </row>
    <row r="511">
      <c r="A511" s="211"/>
      <c r="B511" s="211"/>
      <c r="C511" s="211"/>
      <c r="D511" s="211" t="str">
        <f>IFERROR(__xludf.DUMMYFUNCTION("""COMPUTED_VALUE"""),"")</f>
        <v/>
      </c>
      <c r="E511" s="211" t="str">
        <f>IFERROR(__xludf.DUMMYFUNCTION("""COMPUTED_VALUE"""),"")</f>
        <v/>
      </c>
      <c r="F511" s="211" t="str">
        <f>IFERROR(__xludf.DUMMYFUNCTION("""COMPUTED_VALUE"""),"")</f>
        <v/>
      </c>
      <c r="G511" s="211"/>
      <c r="H511" s="211"/>
      <c r="I511" s="211" t="str">
        <f>IFERROR(__xludf.DUMMYFUNCTION("""COMPUTED_VALUE"""),"")</f>
        <v/>
      </c>
      <c r="J511" s="211"/>
      <c r="L511" s="211"/>
      <c r="M511" s="211"/>
      <c r="N511" s="211" t="str">
        <f>IFERROR(__xludf.DUMMYFUNCTION("""COMPUTED_VALUE"""),"")</f>
        <v/>
      </c>
      <c r="O511" s="211" t="str">
        <f>IFERROR(__xludf.DUMMYFUNCTION("""COMPUTED_VALUE"""),"")</f>
        <v/>
      </c>
      <c r="P511" s="224" t="str">
        <f>IFERROR(__xludf.DUMMYFUNCTION("""COMPUTED_VALUE""")," ")</f>
        <v/>
      </c>
      <c r="Q511" s="225" t="str">
        <f>IFERROR(__xludf.DUMMYFUNCTION("""COMPUTED_VALUE"""),"")</f>
        <v/>
      </c>
      <c r="R511" s="211" t="str">
        <f>IFERROR(__xludf.DUMMYFUNCTION("""COMPUTED_VALUE"""),"")</f>
        <v/>
      </c>
      <c r="S511" s="211"/>
      <c r="T511" s="211"/>
      <c r="U511" s="211"/>
    </row>
    <row r="512">
      <c r="A512" s="211"/>
      <c r="B512" s="211"/>
      <c r="C512" s="211"/>
      <c r="D512" s="211" t="str">
        <f>IFERROR(__xludf.DUMMYFUNCTION("""COMPUTED_VALUE"""),"")</f>
        <v/>
      </c>
      <c r="E512" s="211" t="str">
        <f>IFERROR(__xludf.DUMMYFUNCTION("""COMPUTED_VALUE"""),"")</f>
        <v/>
      </c>
      <c r="F512" s="211" t="str">
        <f>IFERROR(__xludf.DUMMYFUNCTION("""COMPUTED_VALUE"""),"")</f>
        <v/>
      </c>
      <c r="G512" s="211"/>
      <c r="H512" s="211"/>
      <c r="I512" s="211" t="str">
        <f>IFERROR(__xludf.DUMMYFUNCTION("""COMPUTED_VALUE"""),"")</f>
        <v/>
      </c>
      <c r="J512" s="211"/>
      <c r="L512" s="211"/>
      <c r="M512" s="211"/>
      <c r="N512" s="211" t="str">
        <f>IFERROR(__xludf.DUMMYFUNCTION("""COMPUTED_VALUE"""),"")</f>
        <v/>
      </c>
      <c r="O512" s="211" t="str">
        <f>IFERROR(__xludf.DUMMYFUNCTION("""COMPUTED_VALUE"""),"")</f>
        <v/>
      </c>
      <c r="P512" s="224" t="str">
        <f>IFERROR(__xludf.DUMMYFUNCTION("""COMPUTED_VALUE""")," ")</f>
        <v/>
      </c>
      <c r="Q512" s="225" t="str">
        <f>IFERROR(__xludf.DUMMYFUNCTION("""COMPUTED_VALUE"""),"")</f>
        <v/>
      </c>
      <c r="R512" s="211" t="str">
        <f>IFERROR(__xludf.DUMMYFUNCTION("""COMPUTED_VALUE"""),"")</f>
        <v/>
      </c>
      <c r="S512" s="211"/>
      <c r="T512" s="211"/>
      <c r="U512" s="211"/>
    </row>
    <row r="513">
      <c r="A513" s="211"/>
      <c r="B513" s="211"/>
      <c r="C513" s="211"/>
      <c r="D513" s="211" t="str">
        <f>IFERROR(__xludf.DUMMYFUNCTION("""COMPUTED_VALUE"""),"")</f>
        <v/>
      </c>
      <c r="E513" s="211" t="str">
        <f>IFERROR(__xludf.DUMMYFUNCTION("""COMPUTED_VALUE"""),"")</f>
        <v/>
      </c>
      <c r="F513" s="211" t="str">
        <f>IFERROR(__xludf.DUMMYFUNCTION("""COMPUTED_VALUE"""),"")</f>
        <v/>
      </c>
      <c r="G513" s="211"/>
      <c r="H513" s="211"/>
      <c r="I513" s="211" t="str">
        <f>IFERROR(__xludf.DUMMYFUNCTION("""COMPUTED_VALUE"""),"")</f>
        <v/>
      </c>
      <c r="J513" s="211"/>
      <c r="L513" s="211"/>
      <c r="M513" s="211"/>
      <c r="N513" s="211" t="str">
        <f>IFERROR(__xludf.DUMMYFUNCTION("""COMPUTED_VALUE"""),"")</f>
        <v/>
      </c>
      <c r="O513" s="211" t="str">
        <f>IFERROR(__xludf.DUMMYFUNCTION("""COMPUTED_VALUE"""),"")</f>
        <v/>
      </c>
      <c r="P513" s="224" t="str">
        <f>IFERROR(__xludf.DUMMYFUNCTION("""COMPUTED_VALUE""")," ")</f>
        <v/>
      </c>
      <c r="Q513" s="225" t="str">
        <f>IFERROR(__xludf.DUMMYFUNCTION("""COMPUTED_VALUE"""),"")</f>
        <v/>
      </c>
      <c r="R513" s="211" t="str">
        <f>IFERROR(__xludf.DUMMYFUNCTION("""COMPUTED_VALUE"""),"")</f>
        <v/>
      </c>
      <c r="S513" s="211"/>
      <c r="T513" s="211"/>
      <c r="U513" s="211"/>
    </row>
    <row r="514">
      <c r="A514" s="211"/>
      <c r="B514" s="211"/>
      <c r="C514" s="211"/>
      <c r="D514" s="211" t="str">
        <f>IFERROR(__xludf.DUMMYFUNCTION("""COMPUTED_VALUE"""),"")</f>
        <v/>
      </c>
      <c r="E514" s="211" t="str">
        <f>IFERROR(__xludf.DUMMYFUNCTION("""COMPUTED_VALUE"""),"")</f>
        <v/>
      </c>
      <c r="F514" s="211" t="str">
        <f>IFERROR(__xludf.DUMMYFUNCTION("""COMPUTED_VALUE"""),"")</f>
        <v/>
      </c>
      <c r="G514" s="211"/>
      <c r="H514" s="211"/>
      <c r="I514" s="211" t="str">
        <f>IFERROR(__xludf.DUMMYFUNCTION("""COMPUTED_VALUE"""),"")</f>
        <v/>
      </c>
      <c r="J514" s="211"/>
      <c r="L514" s="211"/>
      <c r="M514" s="211"/>
      <c r="N514" s="211" t="str">
        <f>IFERROR(__xludf.DUMMYFUNCTION("""COMPUTED_VALUE"""),"")</f>
        <v/>
      </c>
      <c r="O514" s="211" t="str">
        <f>IFERROR(__xludf.DUMMYFUNCTION("""COMPUTED_VALUE"""),"")</f>
        <v/>
      </c>
      <c r="P514" s="224" t="str">
        <f>IFERROR(__xludf.DUMMYFUNCTION("""COMPUTED_VALUE""")," ")</f>
        <v/>
      </c>
      <c r="Q514" s="225" t="str">
        <f>IFERROR(__xludf.DUMMYFUNCTION("""COMPUTED_VALUE"""),"")</f>
        <v/>
      </c>
      <c r="R514" s="211" t="str">
        <f>IFERROR(__xludf.DUMMYFUNCTION("""COMPUTED_VALUE"""),"")</f>
        <v/>
      </c>
      <c r="S514" s="211"/>
      <c r="T514" s="211"/>
      <c r="U514" s="211"/>
    </row>
    <row r="515">
      <c r="A515" s="211"/>
      <c r="B515" s="211"/>
      <c r="C515" s="211"/>
      <c r="D515" s="211" t="str">
        <f>IFERROR(__xludf.DUMMYFUNCTION("""COMPUTED_VALUE"""),"")</f>
        <v/>
      </c>
      <c r="E515" s="211" t="str">
        <f>IFERROR(__xludf.DUMMYFUNCTION("""COMPUTED_VALUE"""),"")</f>
        <v/>
      </c>
      <c r="F515" s="211" t="str">
        <f>IFERROR(__xludf.DUMMYFUNCTION("""COMPUTED_VALUE"""),"")</f>
        <v/>
      </c>
      <c r="G515" s="211"/>
      <c r="H515" s="211"/>
      <c r="I515" s="211" t="str">
        <f>IFERROR(__xludf.DUMMYFUNCTION("""COMPUTED_VALUE"""),"")</f>
        <v/>
      </c>
      <c r="J515" s="211"/>
      <c r="L515" s="211"/>
      <c r="M515" s="211"/>
      <c r="N515" s="211" t="str">
        <f>IFERROR(__xludf.DUMMYFUNCTION("""COMPUTED_VALUE"""),"")</f>
        <v/>
      </c>
      <c r="O515" s="211" t="str">
        <f>IFERROR(__xludf.DUMMYFUNCTION("""COMPUTED_VALUE"""),"")</f>
        <v/>
      </c>
      <c r="P515" s="224" t="str">
        <f>IFERROR(__xludf.DUMMYFUNCTION("""COMPUTED_VALUE""")," ")</f>
        <v/>
      </c>
      <c r="Q515" s="225" t="str">
        <f>IFERROR(__xludf.DUMMYFUNCTION("""COMPUTED_VALUE"""),"")</f>
        <v/>
      </c>
      <c r="R515" s="211" t="str">
        <f>IFERROR(__xludf.DUMMYFUNCTION("""COMPUTED_VALUE"""),"")</f>
        <v/>
      </c>
      <c r="S515" s="211"/>
      <c r="T515" s="211"/>
      <c r="U515" s="211"/>
    </row>
    <row r="516">
      <c r="A516" s="211"/>
      <c r="B516" s="211"/>
      <c r="C516" s="211"/>
      <c r="D516" s="211" t="str">
        <f>IFERROR(__xludf.DUMMYFUNCTION("""COMPUTED_VALUE"""),"")</f>
        <v/>
      </c>
      <c r="E516" s="211" t="str">
        <f>IFERROR(__xludf.DUMMYFUNCTION("""COMPUTED_VALUE"""),"")</f>
        <v/>
      </c>
      <c r="F516" s="211" t="str">
        <f>IFERROR(__xludf.DUMMYFUNCTION("""COMPUTED_VALUE"""),"")</f>
        <v/>
      </c>
      <c r="G516" s="211"/>
      <c r="H516" s="211"/>
      <c r="I516" s="211" t="str">
        <f>IFERROR(__xludf.DUMMYFUNCTION("""COMPUTED_VALUE"""),"")</f>
        <v/>
      </c>
      <c r="J516" s="211"/>
      <c r="L516" s="211"/>
      <c r="M516" s="211"/>
      <c r="N516" s="211" t="str">
        <f>IFERROR(__xludf.DUMMYFUNCTION("""COMPUTED_VALUE"""),"")</f>
        <v/>
      </c>
      <c r="O516" s="211" t="str">
        <f>IFERROR(__xludf.DUMMYFUNCTION("""COMPUTED_VALUE"""),"")</f>
        <v/>
      </c>
      <c r="P516" s="224" t="str">
        <f>IFERROR(__xludf.DUMMYFUNCTION("""COMPUTED_VALUE""")," ")</f>
        <v/>
      </c>
      <c r="Q516" s="225" t="str">
        <f>IFERROR(__xludf.DUMMYFUNCTION("""COMPUTED_VALUE"""),"")</f>
        <v/>
      </c>
      <c r="R516" s="211" t="str">
        <f>IFERROR(__xludf.DUMMYFUNCTION("""COMPUTED_VALUE"""),"")</f>
        <v/>
      </c>
      <c r="S516" s="211"/>
      <c r="T516" s="211"/>
      <c r="U516" s="211"/>
    </row>
    <row r="517">
      <c r="A517" s="211"/>
      <c r="B517" s="211"/>
      <c r="C517" s="211"/>
      <c r="D517" s="211" t="str">
        <f>IFERROR(__xludf.DUMMYFUNCTION("""COMPUTED_VALUE"""),"")</f>
        <v/>
      </c>
      <c r="E517" s="211" t="str">
        <f>IFERROR(__xludf.DUMMYFUNCTION("""COMPUTED_VALUE"""),"")</f>
        <v/>
      </c>
      <c r="F517" s="211" t="str">
        <f>IFERROR(__xludf.DUMMYFUNCTION("""COMPUTED_VALUE"""),"")</f>
        <v/>
      </c>
      <c r="G517" s="211"/>
      <c r="H517" s="211"/>
      <c r="I517" s="211" t="str">
        <f>IFERROR(__xludf.DUMMYFUNCTION("""COMPUTED_VALUE"""),"")</f>
        <v/>
      </c>
      <c r="J517" s="211"/>
      <c r="L517" s="211"/>
      <c r="M517" s="211"/>
      <c r="N517" s="211" t="str">
        <f>IFERROR(__xludf.DUMMYFUNCTION("""COMPUTED_VALUE"""),"")</f>
        <v/>
      </c>
      <c r="O517" s="211" t="str">
        <f>IFERROR(__xludf.DUMMYFUNCTION("""COMPUTED_VALUE"""),"")</f>
        <v/>
      </c>
      <c r="P517" s="224" t="str">
        <f>IFERROR(__xludf.DUMMYFUNCTION("""COMPUTED_VALUE""")," ")</f>
        <v/>
      </c>
      <c r="Q517" s="225" t="str">
        <f>IFERROR(__xludf.DUMMYFUNCTION("""COMPUTED_VALUE"""),"")</f>
        <v/>
      </c>
      <c r="R517" s="211" t="str">
        <f>IFERROR(__xludf.DUMMYFUNCTION("""COMPUTED_VALUE"""),"")</f>
        <v/>
      </c>
      <c r="S517" s="211"/>
      <c r="T517" s="211"/>
      <c r="U517" s="211"/>
    </row>
    <row r="518">
      <c r="A518" s="211"/>
      <c r="B518" s="211"/>
      <c r="C518" s="211"/>
      <c r="D518" s="211" t="str">
        <f>IFERROR(__xludf.DUMMYFUNCTION("""COMPUTED_VALUE"""),"")</f>
        <v/>
      </c>
      <c r="E518" s="211" t="str">
        <f>IFERROR(__xludf.DUMMYFUNCTION("""COMPUTED_VALUE"""),"")</f>
        <v/>
      </c>
      <c r="F518" s="211" t="str">
        <f>IFERROR(__xludf.DUMMYFUNCTION("""COMPUTED_VALUE"""),"")</f>
        <v/>
      </c>
      <c r="G518" s="211"/>
      <c r="H518" s="211"/>
      <c r="I518" s="211" t="str">
        <f>IFERROR(__xludf.DUMMYFUNCTION("""COMPUTED_VALUE"""),"")</f>
        <v/>
      </c>
      <c r="J518" s="211"/>
      <c r="L518" s="211"/>
      <c r="M518" s="211"/>
      <c r="N518" s="211" t="str">
        <f>IFERROR(__xludf.DUMMYFUNCTION("""COMPUTED_VALUE"""),"")</f>
        <v/>
      </c>
      <c r="O518" s="211" t="str">
        <f>IFERROR(__xludf.DUMMYFUNCTION("""COMPUTED_VALUE"""),"")</f>
        <v/>
      </c>
      <c r="P518" s="224" t="str">
        <f>IFERROR(__xludf.DUMMYFUNCTION("""COMPUTED_VALUE""")," ")</f>
        <v/>
      </c>
      <c r="Q518" s="225" t="str">
        <f>IFERROR(__xludf.DUMMYFUNCTION("""COMPUTED_VALUE"""),"")</f>
        <v/>
      </c>
      <c r="R518" s="211" t="str">
        <f>IFERROR(__xludf.DUMMYFUNCTION("""COMPUTED_VALUE"""),"")</f>
        <v/>
      </c>
      <c r="S518" s="211"/>
      <c r="T518" s="211"/>
      <c r="U518" s="211"/>
    </row>
    <row r="519">
      <c r="A519" s="211"/>
      <c r="B519" s="211"/>
      <c r="C519" s="211"/>
      <c r="D519" s="211" t="str">
        <f>IFERROR(__xludf.DUMMYFUNCTION("""COMPUTED_VALUE"""),"")</f>
        <v/>
      </c>
      <c r="E519" s="211" t="str">
        <f>IFERROR(__xludf.DUMMYFUNCTION("""COMPUTED_VALUE"""),"")</f>
        <v/>
      </c>
      <c r="F519" s="211" t="str">
        <f>IFERROR(__xludf.DUMMYFUNCTION("""COMPUTED_VALUE"""),"")</f>
        <v/>
      </c>
      <c r="G519" s="211"/>
      <c r="H519" s="211"/>
      <c r="I519" s="211" t="str">
        <f>IFERROR(__xludf.DUMMYFUNCTION("""COMPUTED_VALUE"""),"")</f>
        <v/>
      </c>
      <c r="J519" s="211"/>
      <c r="L519" s="211"/>
      <c r="M519" s="211"/>
      <c r="N519" s="211" t="str">
        <f>IFERROR(__xludf.DUMMYFUNCTION("""COMPUTED_VALUE"""),"")</f>
        <v/>
      </c>
      <c r="O519" s="211" t="str">
        <f>IFERROR(__xludf.DUMMYFUNCTION("""COMPUTED_VALUE"""),"")</f>
        <v/>
      </c>
      <c r="P519" s="224" t="str">
        <f>IFERROR(__xludf.DUMMYFUNCTION("""COMPUTED_VALUE""")," ")</f>
        <v/>
      </c>
      <c r="Q519" s="225" t="str">
        <f>IFERROR(__xludf.DUMMYFUNCTION("""COMPUTED_VALUE"""),"")</f>
        <v/>
      </c>
      <c r="R519" s="211" t="str">
        <f>IFERROR(__xludf.DUMMYFUNCTION("""COMPUTED_VALUE"""),"")</f>
        <v/>
      </c>
      <c r="S519" s="211"/>
      <c r="T519" s="211"/>
      <c r="U519" s="211"/>
    </row>
    <row r="520">
      <c r="A520" s="211"/>
      <c r="B520" s="211"/>
      <c r="C520" s="211"/>
      <c r="D520" s="211" t="str">
        <f>IFERROR(__xludf.DUMMYFUNCTION("""COMPUTED_VALUE"""),"")</f>
        <v/>
      </c>
      <c r="E520" s="211" t="str">
        <f>IFERROR(__xludf.DUMMYFUNCTION("""COMPUTED_VALUE"""),"")</f>
        <v/>
      </c>
      <c r="F520" s="211" t="str">
        <f>IFERROR(__xludf.DUMMYFUNCTION("""COMPUTED_VALUE"""),"")</f>
        <v/>
      </c>
      <c r="G520" s="211"/>
      <c r="H520" s="211"/>
      <c r="I520" s="211" t="str">
        <f>IFERROR(__xludf.DUMMYFUNCTION("""COMPUTED_VALUE"""),"")</f>
        <v/>
      </c>
      <c r="J520" s="211"/>
      <c r="L520" s="211"/>
      <c r="M520" s="211"/>
      <c r="N520" s="211" t="str">
        <f>IFERROR(__xludf.DUMMYFUNCTION("""COMPUTED_VALUE"""),"")</f>
        <v/>
      </c>
      <c r="O520" s="211" t="str">
        <f>IFERROR(__xludf.DUMMYFUNCTION("""COMPUTED_VALUE"""),"")</f>
        <v/>
      </c>
      <c r="P520" s="224" t="str">
        <f>IFERROR(__xludf.DUMMYFUNCTION("""COMPUTED_VALUE""")," ")</f>
        <v/>
      </c>
      <c r="Q520" s="225" t="str">
        <f>IFERROR(__xludf.DUMMYFUNCTION("""COMPUTED_VALUE"""),"")</f>
        <v/>
      </c>
      <c r="R520" s="211" t="str">
        <f>IFERROR(__xludf.DUMMYFUNCTION("""COMPUTED_VALUE"""),"")</f>
        <v/>
      </c>
      <c r="S520" s="211"/>
      <c r="T520" s="211"/>
      <c r="U520" s="211"/>
    </row>
    <row r="521">
      <c r="A521" s="211"/>
      <c r="B521" s="211"/>
      <c r="C521" s="211"/>
      <c r="D521" s="211" t="str">
        <f>IFERROR(__xludf.DUMMYFUNCTION("""COMPUTED_VALUE"""),"")</f>
        <v/>
      </c>
      <c r="E521" s="211" t="str">
        <f>IFERROR(__xludf.DUMMYFUNCTION("""COMPUTED_VALUE"""),"")</f>
        <v/>
      </c>
      <c r="F521" s="211" t="str">
        <f>IFERROR(__xludf.DUMMYFUNCTION("""COMPUTED_VALUE"""),"")</f>
        <v/>
      </c>
      <c r="G521" s="211"/>
      <c r="H521" s="211"/>
      <c r="I521" s="211" t="str">
        <f>IFERROR(__xludf.DUMMYFUNCTION("""COMPUTED_VALUE"""),"")</f>
        <v/>
      </c>
      <c r="J521" s="211"/>
      <c r="L521" s="211"/>
      <c r="M521" s="211"/>
      <c r="N521" s="211" t="str">
        <f>IFERROR(__xludf.DUMMYFUNCTION("""COMPUTED_VALUE"""),"")</f>
        <v/>
      </c>
      <c r="O521" s="211" t="str">
        <f>IFERROR(__xludf.DUMMYFUNCTION("""COMPUTED_VALUE"""),"")</f>
        <v/>
      </c>
      <c r="P521" s="224" t="str">
        <f>IFERROR(__xludf.DUMMYFUNCTION("""COMPUTED_VALUE""")," ")</f>
        <v/>
      </c>
      <c r="Q521" s="225" t="str">
        <f>IFERROR(__xludf.DUMMYFUNCTION("""COMPUTED_VALUE"""),"")</f>
        <v/>
      </c>
      <c r="R521" s="211" t="str">
        <f>IFERROR(__xludf.DUMMYFUNCTION("""COMPUTED_VALUE"""),"")</f>
        <v/>
      </c>
      <c r="S521" s="211"/>
      <c r="T521" s="211"/>
      <c r="U521" s="211"/>
    </row>
    <row r="522">
      <c r="A522" s="211"/>
      <c r="B522" s="211"/>
      <c r="C522" s="211"/>
      <c r="D522" s="211" t="str">
        <f>IFERROR(__xludf.DUMMYFUNCTION("""COMPUTED_VALUE"""),"")</f>
        <v/>
      </c>
      <c r="E522" s="211" t="str">
        <f>IFERROR(__xludf.DUMMYFUNCTION("""COMPUTED_VALUE"""),"")</f>
        <v/>
      </c>
      <c r="F522" s="211" t="str">
        <f>IFERROR(__xludf.DUMMYFUNCTION("""COMPUTED_VALUE"""),"")</f>
        <v/>
      </c>
      <c r="G522" s="211"/>
      <c r="H522" s="211"/>
      <c r="I522" s="211" t="str">
        <f>IFERROR(__xludf.DUMMYFUNCTION("""COMPUTED_VALUE"""),"")</f>
        <v/>
      </c>
      <c r="J522" s="211"/>
      <c r="L522" s="211"/>
      <c r="M522" s="211"/>
      <c r="N522" s="211" t="str">
        <f>IFERROR(__xludf.DUMMYFUNCTION("""COMPUTED_VALUE"""),"")</f>
        <v/>
      </c>
      <c r="O522" s="211" t="str">
        <f>IFERROR(__xludf.DUMMYFUNCTION("""COMPUTED_VALUE"""),"")</f>
        <v/>
      </c>
      <c r="P522" s="224" t="str">
        <f>IFERROR(__xludf.DUMMYFUNCTION("""COMPUTED_VALUE""")," ")</f>
        <v/>
      </c>
      <c r="Q522" s="225" t="str">
        <f>IFERROR(__xludf.DUMMYFUNCTION("""COMPUTED_VALUE"""),"")</f>
        <v/>
      </c>
      <c r="R522" s="211" t="str">
        <f>IFERROR(__xludf.DUMMYFUNCTION("""COMPUTED_VALUE"""),"")</f>
        <v/>
      </c>
      <c r="S522" s="211"/>
      <c r="T522" s="211"/>
      <c r="U522" s="211"/>
    </row>
    <row r="523">
      <c r="A523" s="211"/>
      <c r="B523" s="211"/>
      <c r="C523" s="211"/>
      <c r="D523" s="211" t="str">
        <f>IFERROR(__xludf.DUMMYFUNCTION("""COMPUTED_VALUE"""),"")</f>
        <v/>
      </c>
      <c r="E523" s="211" t="str">
        <f>IFERROR(__xludf.DUMMYFUNCTION("""COMPUTED_VALUE"""),"")</f>
        <v/>
      </c>
      <c r="F523" s="211" t="str">
        <f>IFERROR(__xludf.DUMMYFUNCTION("""COMPUTED_VALUE"""),"")</f>
        <v/>
      </c>
      <c r="G523" s="211"/>
      <c r="H523" s="211"/>
      <c r="I523" s="211" t="str">
        <f>IFERROR(__xludf.DUMMYFUNCTION("""COMPUTED_VALUE"""),"")</f>
        <v/>
      </c>
      <c r="J523" s="211"/>
      <c r="L523" s="211"/>
      <c r="M523" s="211"/>
      <c r="N523" s="211" t="str">
        <f>IFERROR(__xludf.DUMMYFUNCTION("""COMPUTED_VALUE"""),"")</f>
        <v/>
      </c>
      <c r="O523" s="211" t="str">
        <f>IFERROR(__xludf.DUMMYFUNCTION("""COMPUTED_VALUE"""),"")</f>
        <v/>
      </c>
      <c r="P523" s="224" t="str">
        <f>IFERROR(__xludf.DUMMYFUNCTION("""COMPUTED_VALUE""")," ")</f>
        <v/>
      </c>
      <c r="Q523" s="225" t="str">
        <f>IFERROR(__xludf.DUMMYFUNCTION("""COMPUTED_VALUE"""),"")</f>
        <v/>
      </c>
      <c r="R523" s="211" t="str">
        <f>IFERROR(__xludf.DUMMYFUNCTION("""COMPUTED_VALUE"""),"")</f>
        <v/>
      </c>
      <c r="S523" s="211"/>
      <c r="T523" s="211"/>
      <c r="U523" s="211"/>
    </row>
    <row r="524">
      <c r="A524" s="211"/>
      <c r="B524" s="211"/>
      <c r="C524" s="211"/>
      <c r="D524" s="211" t="str">
        <f>IFERROR(__xludf.DUMMYFUNCTION("""COMPUTED_VALUE"""),"")</f>
        <v/>
      </c>
      <c r="E524" s="211" t="str">
        <f>IFERROR(__xludf.DUMMYFUNCTION("""COMPUTED_VALUE"""),"")</f>
        <v/>
      </c>
      <c r="F524" s="211" t="str">
        <f>IFERROR(__xludf.DUMMYFUNCTION("""COMPUTED_VALUE"""),"")</f>
        <v/>
      </c>
      <c r="G524" s="211"/>
      <c r="H524" s="211"/>
      <c r="I524" s="211" t="str">
        <f>IFERROR(__xludf.DUMMYFUNCTION("""COMPUTED_VALUE"""),"")</f>
        <v/>
      </c>
      <c r="J524" s="211"/>
      <c r="L524" s="211"/>
      <c r="M524" s="211"/>
      <c r="N524" s="211" t="str">
        <f>IFERROR(__xludf.DUMMYFUNCTION("""COMPUTED_VALUE"""),"")</f>
        <v/>
      </c>
      <c r="O524" s="211" t="str">
        <f>IFERROR(__xludf.DUMMYFUNCTION("""COMPUTED_VALUE"""),"")</f>
        <v/>
      </c>
      <c r="P524" s="224" t="str">
        <f>IFERROR(__xludf.DUMMYFUNCTION("""COMPUTED_VALUE""")," ")</f>
        <v/>
      </c>
      <c r="Q524" s="225" t="str">
        <f>IFERROR(__xludf.DUMMYFUNCTION("""COMPUTED_VALUE"""),"")</f>
        <v/>
      </c>
      <c r="R524" s="211" t="str">
        <f>IFERROR(__xludf.DUMMYFUNCTION("""COMPUTED_VALUE"""),"")</f>
        <v/>
      </c>
      <c r="S524" s="211"/>
      <c r="T524" s="211"/>
      <c r="U524" s="211"/>
    </row>
    <row r="525">
      <c r="A525" s="211"/>
      <c r="B525" s="211"/>
      <c r="C525" s="211"/>
      <c r="D525" s="211" t="str">
        <f>IFERROR(__xludf.DUMMYFUNCTION("""COMPUTED_VALUE"""),"")</f>
        <v/>
      </c>
      <c r="E525" s="211" t="str">
        <f>IFERROR(__xludf.DUMMYFUNCTION("""COMPUTED_VALUE"""),"")</f>
        <v/>
      </c>
      <c r="F525" s="211" t="str">
        <f>IFERROR(__xludf.DUMMYFUNCTION("""COMPUTED_VALUE"""),"")</f>
        <v/>
      </c>
      <c r="G525" s="211"/>
      <c r="H525" s="211"/>
      <c r="I525" s="211" t="str">
        <f>IFERROR(__xludf.DUMMYFUNCTION("""COMPUTED_VALUE"""),"")</f>
        <v/>
      </c>
      <c r="J525" s="211"/>
      <c r="L525" s="211"/>
      <c r="M525" s="211"/>
      <c r="N525" s="211" t="str">
        <f>IFERROR(__xludf.DUMMYFUNCTION("""COMPUTED_VALUE"""),"")</f>
        <v/>
      </c>
      <c r="O525" s="211" t="str">
        <f>IFERROR(__xludf.DUMMYFUNCTION("""COMPUTED_VALUE"""),"")</f>
        <v/>
      </c>
      <c r="P525" s="224" t="str">
        <f>IFERROR(__xludf.DUMMYFUNCTION("""COMPUTED_VALUE""")," ")</f>
        <v/>
      </c>
      <c r="Q525" s="225" t="str">
        <f>IFERROR(__xludf.DUMMYFUNCTION("""COMPUTED_VALUE"""),"")</f>
        <v/>
      </c>
      <c r="R525" s="211" t="str">
        <f>IFERROR(__xludf.DUMMYFUNCTION("""COMPUTED_VALUE"""),"")</f>
        <v/>
      </c>
      <c r="S525" s="211"/>
      <c r="T525" s="211"/>
      <c r="U525" s="211"/>
    </row>
    <row r="526">
      <c r="A526" s="211"/>
      <c r="B526" s="211"/>
      <c r="C526" s="211"/>
      <c r="D526" s="211" t="str">
        <f>IFERROR(__xludf.DUMMYFUNCTION("""COMPUTED_VALUE"""),"")</f>
        <v/>
      </c>
      <c r="E526" s="211" t="str">
        <f>IFERROR(__xludf.DUMMYFUNCTION("""COMPUTED_VALUE"""),"")</f>
        <v/>
      </c>
      <c r="F526" s="211" t="str">
        <f>IFERROR(__xludf.DUMMYFUNCTION("""COMPUTED_VALUE"""),"")</f>
        <v/>
      </c>
      <c r="G526" s="211"/>
      <c r="H526" s="211"/>
      <c r="I526" s="211" t="str">
        <f>IFERROR(__xludf.DUMMYFUNCTION("""COMPUTED_VALUE"""),"")</f>
        <v/>
      </c>
      <c r="J526" s="211"/>
      <c r="L526" s="211"/>
      <c r="M526" s="211"/>
      <c r="N526" s="211" t="str">
        <f>IFERROR(__xludf.DUMMYFUNCTION("""COMPUTED_VALUE"""),"")</f>
        <v/>
      </c>
      <c r="O526" s="211" t="str">
        <f>IFERROR(__xludf.DUMMYFUNCTION("""COMPUTED_VALUE"""),"")</f>
        <v/>
      </c>
      <c r="P526" s="224" t="str">
        <f>IFERROR(__xludf.DUMMYFUNCTION("""COMPUTED_VALUE""")," ")</f>
        <v/>
      </c>
      <c r="Q526" s="225" t="str">
        <f>IFERROR(__xludf.DUMMYFUNCTION("""COMPUTED_VALUE"""),"")</f>
        <v/>
      </c>
      <c r="R526" s="211" t="str">
        <f>IFERROR(__xludf.DUMMYFUNCTION("""COMPUTED_VALUE"""),"")</f>
        <v/>
      </c>
      <c r="S526" s="211"/>
      <c r="T526" s="211"/>
      <c r="U526" s="211"/>
    </row>
    <row r="527">
      <c r="A527" s="211"/>
      <c r="B527" s="211"/>
      <c r="C527" s="211"/>
      <c r="D527" s="211" t="str">
        <f>IFERROR(__xludf.DUMMYFUNCTION("""COMPUTED_VALUE"""),"")</f>
        <v/>
      </c>
      <c r="E527" s="211" t="str">
        <f>IFERROR(__xludf.DUMMYFUNCTION("""COMPUTED_VALUE"""),"")</f>
        <v/>
      </c>
      <c r="F527" s="211" t="str">
        <f>IFERROR(__xludf.DUMMYFUNCTION("""COMPUTED_VALUE"""),"")</f>
        <v/>
      </c>
      <c r="G527" s="211"/>
      <c r="H527" s="211"/>
      <c r="I527" s="211" t="str">
        <f>IFERROR(__xludf.DUMMYFUNCTION("""COMPUTED_VALUE"""),"")</f>
        <v/>
      </c>
      <c r="J527" s="211"/>
      <c r="L527" s="211"/>
      <c r="M527" s="211"/>
      <c r="N527" s="211" t="str">
        <f>IFERROR(__xludf.DUMMYFUNCTION("""COMPUTED_VALUE"""),"")</f>
        <v/>
      </c>
      <c r="O527" s="211" t="str">
        <f>IFERROR(__xludf.DUMMYFUNCTION("""COMPUTED_VALUE"""),"")</f>
        <v/>
      </c>
      <c r="P527" s="224" t="str">
        <f>IFERROR(__xludf.DUMMYFUNCTION("""COMPUTED_VALUE""")," ")</f>
        <v/>
      </c>
      <c r="Q527" s="225" t="str">
        <f>IFERROR(__xludf.DUMMYFUNCTION("""COMPUTED_VALUE"""),"")</f>
        <v/>
      </c>
      <c r="R527" s="211" t="str">
        <f>IFERROR(__xludf.DUMMYFUNCTION("""COMPUTED_VALUE"""),"")</f>
        <v/>
      </c>
      <c r="S527" s="211"/>
      <c r="T527" s="211"/>
      <c r="U527" s="211"/>
    </row>
    <row r="528">
      <c r="A528" s="211"/>
      <c r="B528" s="211"/>
      <c r="C528" s="211"/>
      <c r="D528" s="211" t="str">
        <f>IFERROR(__xludf.DUMMYFUNCTION("""COMPUTED_VALUE"""),"")</f>
        <v/>
      </c>
      <c r="E528" s="211" t="str">
        <f>IFERROR(__xludf.DUMMYFUNCTION("""COMPUTED_VALUE"""),"")</f>
        <v/>
      </c>
      <c r="F528" s="211" t="str">
        <f>IFERROR(__xludf.DUMMYFUNCTION("""COMPUTED_VALUE"""),"")</f>
        <v/>
      </c>
      <c r="G528" s="211"/>
      <c r="H528" s="211"/>
      <c r="I528" s="211" t="str">
        <f>IFERROR(__xludf.DUMMYFUNCTION("""COMPUTED_VALUE"""),"")</f>
        <v/>
      </c>
      <c r="J528" s="211"/>
      <c r="L528" s="211"/>
      <c r="M528" s="211"/>
      <c r="N528" s="211" t="str">
        <f>IFERROR(__xludf.DUMMYFUNCTION("""COMPUTED_VALUE"""),"")</f>
        <v/>
      </c>
      <c r="O528" s="211" t="str">
        <f>IFERROR(__xludf.DUMMYFUNCTION("""COMPUTED_VALUE"""),"")</f>
        <v/>
      </c>
      <c r="P528" s="224" t="str">
        <f>IFERROR(__xludf.DUMMYFUNCTION("""COMPUTED_VALUE""")," ")</f>
        <v/>
      </c>
      <c r="Q528" s="225" t="str">
        <f>IFERROR(__xludf.DUMMYFUNCTION("""COMPUTED_VALUE"""),"")</f>
        <v/>
      </c>
      <c r="R528" s="211" t="str">
        <f>IFERROR(__xludf.DUMMYFUNCTION("""COMPUTED_VALUE"""),"")</f>
        <v/>
      </c>
      <c r="S528" s="211"/>
      <c r="T528" s="211"/>
      <c r="U528" s="211"/>
    </row>
    <row r="529">
      <c r="A529" s="211"/>
      <c r="B529" s="211"/>
      <c r="C529" s="211"/>
      <c r="D529" s="211" t="str">
        <f>IFERROR(__xludf.DUMMYFUNCTION("""COMPUTED_VALUE"""),"")</f>
        <v/>
      </c>
      <c r="E529" s="211" t="str">
        <f>IFERROR(__xludf.DUMMYFUNCTION("""COMPUTED_VALUE"""),"")</f>
        <v/>
      </c>
      <c r="F529" s="211" t="str">
        <f>IFERROR(__xludf.DUMMYFUNCTION("""COMPUTED_VALUE"""),"")</f>
        <v/>
      </c>
      <c r="G529" s="211"/>
      <c r="H529" s="211"/>
      <c r="I529" s="211" t="str">
        <f>IFERROR(__xludf.DUMMYFUNCTION("""COMPUTED_VALUE"""),"")</f>
        <v/>
      </c>
      <c r="J529" s="211"/>
      <c r="L529" s="211"/>
      <c r="M529" s="211"/>
      <c r="N529" s="211" t="str">
        <f>IFERROR(__xludf.DUMMYFUNCTION("""COMPUTED_VALUE"""),"")</f>
        <v/>
      </c>
      <c r="O529" s="211" t="str">
        <f>IFERROR(__xludf.DUMMYFUNCTION("""COMPUTED_VALUE"""),"")</f>
        <v/>
      </c>
      <c r="P529" s="224" t="str">
        <f>IFERROR(__xludf.DUMMYFUNCTION("""COMPUTED_VALUE""")," ")</f>
        <v/>
      </c>
      <c r="Q529" s="225" t="str">
        <f>IFERROR(__xludf.DUMMYFUNCTION("""COMPUTED_VALUE"""),"")</f>
        <v/>
      </c>
      <c r="R529" s="211" t="str">
        <f>IFERROR(__xludf.DUMMYFUNCTION("""COMPUTED_VALUE"""),"")</f>
        <v/>
      </c>
      <c r="S529" s="211"/>
      <c r="T529" s="211"/>
      <c r="U529" s="211"/>
    </row>
    <row r="530">
      <c r="A530" s="211"/>
      <c r="B530" s="211"/>
      <c r="C530" s="211"/>
      <c r="D530" s="211" t="str">
        <f>IFERROR(__xludf.DUMMYFUNCTION("""COMPUTED_VALUE"""),"")</f>
        <v/>
      </c>
      <c r="E530" s="211" t="str">
        <f>IFERROR(__xludf.DUMMYFUNCTION("""COMPUTED_VALUE"""),"")</f>
        <v/>
      </c>
      <c r="F530" s="211" t="str">
        <f>IFERROR(__xludf.DUMMYFUNCTION("""COMPUTED_VALUE"""),"")</f>
        <v/>
      </c>
      <c r="G530" s="211"/>
      <c r="H530" s="211"/>
      <c r="I530" s="211" t="str">
        <f>IFERROR(__xludf.DUMMYFUNCTION("""COMPUTED_VALUE"""),"")</f>
        <v/>
      </c>
      <c r="J530" s="211"/>
      <c r="L530" s="211"/>
      <c r="M530" s="211"/>
      <c r="N530" s="211" t="str">
        <f>IFERROR(__xludf.DUMMYFUNCTION("""COMPUTED_VALUE"""),"")</f>
        <v/>
      </c>
      <c r="O530" s="211" t="str">
        <f>IFERROR(__xludf.DUMMYFUNCTION("""COMPUTED_VALUE"""),"")</f>
        <v/>
      </c>
      <c r="P530" s="224" t="str">
        <f>IFERROR(__xludf.DUMMYFUNCTION("""COMPUTED_VALUE""")," ")</f>
        <v/>
      </c>
      <c r="Q530" s="225" t="str">
        <f>IFERROR(__xludf.DUMMYFUNCTION("""COMPUTED_VALUE"""),"")</f>
        <v/>
      </c>
      <c r="R530" s="211" t="str">
        <f>IFERROR(__xludf.DUMMYFUNCTION("""COMPUTED_VALUE"""),"")</f>
        <v/>
      </c>
      <c r="S530" s="211"/>
      <c r="T530" s="211"/>
      <c r="U530" s="211"/>
    </row>
    <row r="531">
      <c r="A531" s="211"/>
      <c r="B531" s="211"/>
      <c r="C531" s="211"/>
      <c r="D531" s="211" t="str">
        <f>IFERROR(__xludf.DUMMYFUNCTION("""COMPUTED_VALUE"""),"")</f>
        <v/>
      </c>
      <c r="E531" s="211" t="str">
        <f>IFERROR(__xludf.DUMMYFUNCTION("""COMPUTED_VALUE"""),"")</f>
        <v/>
      </c>
      <c r="F531" s="211" t="str">
        <f>IFERROR(__xludf.DUMMYFUNCTION("""COMPUTED_VALUE"""),"")</f>
        <v/>
      </c>
      <c r="G531" s="211"/>
      <c r="H531" s="211"/>
      <c r="I531" s="211" t="str">
        <f>IFERROR(__xludf.DUMMYFUNCTION("""COMPUTED_VALUE"""),"")</f>
        <v/>
      </c>
      <c r="J531" s="211"/>
      <c r="L531" s="211"/>
      <c r="M531" s="211"/>
      <c r="N531" s="211" t="str">
        <f>IFERROR(__xludf.DUMMYFUNCTION("""COMPUTED_VALUE"""),"")</f>
        <v/>
      </c>
      <c r="O531" s="211" t="str">
        <f>IFERROR(__xludf.DUMMYFUNCTION("""COMPUTED_VALUE"""),"")</f>
        <v/>
      </c>
      <c r="P531" s="224" t="str">
        <f>IFERROR(__xludf.DUMMYFUNCTION("""COMPUTED_VALUE""")," ")</f>
        <v/>
      </c>
      <c r="Q531" s="225" t="str">
        <f>IFERROR(__xludf.DUMMYFUNCTION("""COMPUTED_VALUE"""),"")</f>
        <v/>
      </c>
      <c r="R531" s="211" t="str">
        <f>IFERROR(__xludf.DUMMYFUNCTION("""COMPUTED_VALUE"""),"")</f>
        <v/>
      </c>
      <c r="S531" s="211"/>
      <c r="T531" s="211"/>
      <c r="U531" s="211"/>
    </row>
    <row r="532">
      <c r="A532" s="211"/>
      <c r="B532" s="211"/>
      <c r="C532" s="211"/>
      <c r="D532" s="211" t="str">
        <f>IFERROR(__xludf.DUMMYFUNCTION("""COMPUTED_VALUE"""),"")</f>
        <v/>
      </c>
      <c r="E532" s="211" t="str">
        <f>IFERROR(__xludf.DUMMYFUNCTION("""COMPUTED_VALUE"""),"")</f>
        <v/>
      </c>
      <c r="F532" s="211" t="str">
        <f>IFERROR(__xludf.DUMMYFUNCTION("""COMPUTED_VALUE"""),"")</f>
        <v/>
      </c>
      <c r="G532" s="211"/>
      <c r="H532" s="211"/>
      <c r="I532" s="211" t="str">
        <f>IFERROR(__xludf.DUMMYFUNCTION("""COMPUTED_VALUE"""),"")</f>
        <v/>
      </c>
      <c r="J532" s="211"/>
      <c r="L532" s="211"/>
      <c r="M532" s="211"/>
      <c r="N532" s="211" t="str">
        <f>IFERROR(__xludf.DUMMYFUNCTION("""COMPUTED_VALUE"""),"")</f>
        <v/>
      </c>
      <c r="O532" s="211" t="str">
        <f>IFERROR(__xludf.DUMMYFUNCTION("""COMPUTED_VALUE"""),"")</f>
        <v/>
      </c>
      <c r="P532" s="224" t="str">
        <f>IFERROR(__xludf.DUMMYFUNCTION("""COMPUTED_VALUE""")," ")</f>
        <v/>
      </c>
      <c r="Q532" s="225" t="str">
        <f>IFERROR(__xludf.DUMMYFUNCTION("""COMPUTED_VALUE"""),"")</f>
        <v/>
      </c>
      <c r="R532" s="211" t="str">
        <f>IFERROR(__xludf.DUMMYFUNCTION("""COMPUTED_VALUE"""),"")</f>
        <v/>
      </c>
      <c r="S532" s="211"/>
      <c r="T532" s="211"/>
      <c r="U532" s="211"/>
    </row>
    <row r="533">
      <c r="A533" s="211"/>
      <c r="B533" s="211"/>
      <c r="C533" s="211"/>
      <c r="D533" s="211" t="str">
        <f>IFERROR(__xludf.DUMMYFUNCTION("""COMPUTED_VALUE"""),"")</f>
        <v/>
      </c>
      <c r="E533" s="211" t="str">
        <f>IFERROR(__xludf.DUMMYFUNCTION("""COMPUTED_VALUE"""),"")</f>
        <v/>
      </c>
      <c r="F533" s="211" t="str">
        <f>IFERROR(__xludf.DUMMYFUNCTION("""COMPUTED_VALUE"""),"")</f>
        <v/>
      </c>
      <c r="G533" s="211"/>
      <c r="H533" s="211"/>
      <c r="I533" s="211" t="str">
        <f>IFERROR(__xludf.DUMMYFUNCTION("""COMPUTED_VALUE"""),"")</f>
        <v/>
      </c>
      <c r="J533" s="211"/>
      <c r="L533" s="211"/>
      <c r="M533" s="211"/>
      <c r="N533" s="211" t="str">
        <f>IFERROR(__xludf.DUMMYFUNCTION("""COMPUTED_VALUE"""),"")</f>
        <v/>
      </c>
      <c r="O533" s="211" t="str">
        <f>IFERROR(__xludf.DUMMYFUNCTION("""COMPUTED_VALUE"""),"")</f>
        <v/>
      </c>
      <c r="P533" s="224" t="str">
        <f>IFERROR(__xludf.DUMMYFUNCTION("""COMPUTED_VALUE""")," ")</f>
        <v/>
      </c>
      <c r="Q533" s="225" t="str">
        <f>IFERROR(__xludf.DUMMYFUNCTION("""COMPUTED_VALUE"""),"")</f>
        <v/>
      </c>
      <c r="R533" s="211" t="str">
        <f>IFERROR(__xludf.DUMMYFUNCTION("""COMPUTED_VALUE"""),"")</f>
        <v/>
      </c>
      <c r="S533" s="211"/>
      <c r="T533" s="211"/>
      <c r="U533" s="211"/>
    </row>
    <row r="534">
      <c r="A534" s="211"/>
      <c r="B534" s="211"/>
      <c r="C534" s="211"/>
      <c r="D534" s="211" t="str">
        <f>IFERROR(__xludf.DUMMYFUNCTION("""COMPUTED_VALUE"""),"")</f>
        <v/>
      </c>
      <c r="E534" s="211" t="str">
        <f>IFERROR(__xludf.DUMMYFUNCTION("""COMPUTED_VALUE"""),"")</f>
        <v/>
      </c>
      <c r="F534" s="211" t="str">
        <f>IFERROR(__xludf.DUMMYFUNCTION("""COMPUTED_VALUE"""),"")</f>
        <v/>
      </c>
      <c r="G534" s="211"/>
      <c r="H534" s="211"/>
      <c r="I534" s="211" t="str">
        <f>IFERROR(__xludf.DUMMYFUNCTION("""COMPUTED_VALUE"""),"")</f>
        <v/>
      </c>
      <c r="J534" s="211"/>
      <c r="L534" s="211"/>
      <c r="M534" s="211"/>
      <c r="N534" s="211" t="str">
        <f>IFERROR(__xludf.DUMMYFUNCTION("""COMPUTED_VALUE"""),"")</f>
        <v/>
      </c>
      <c r="O534" s="211" t="str">
        <f>IFERROR(__xludf.DUMMYFUNCTION("""COMPUTED_VALUE"""),"")</f>
        <v/>
      </c>
      <c r="P534" s="224" t="str">
        <f>IFERROR(__xludf.DUMMYFUNCTION("""COMPUTED_VALUE""")," ")</f>
        <v/>
      </c>
      <c r="Q534" s="225" t="str">
        <f>IFERROR(__xludf.DUMMYFUNCTION("""COMPUTED_VALUE"""),"")</f>
        <v/>
      </c>
      <c r="R534" s="211" t="str">
        <f>IFERROR(__xludf.DUMMYFUNCTION("""COMPUTED_VALUE"""),"")</f>
        <v/>
      </c>
      <c r="S534" s="211"/>
      <c r="T534" s="211"/>
      <c r="U534" s="211"/>
    </row>
    <row r="535">
      <c r="A535" s="211"/>
      <c r="B535" s="211"/>
      <c r="C535" s="211"/>
      <c r="D535" s="211" t="str">
        <f>IFERROR(__xludf.DUMMYFUNCTION("""COMPUTED_VALUE"""),"")</f>
        <v/>
      </c>
      <c r="E535" s="211" t="str">
        <f>IFERROR(__xludf.DUMMYFUNCTION("""COMPUTED_VALUE"""),"")</f>
        <v/>
      </c>
      <c r="F535" s="211" t="str">
        <f>IFERROR(__xludf.DUMMYFUNCTION("""COMPUTED_VALUE"""),"")</f>
        <v/>
      </c>
      <c r="G535" s="211"/>
      <c r="H535" s="211"/>
      <c r="I535" s="211" t="str">
        <f>IFERROR(__xludf.DUMMYFUNCTION("""COMPUTED_VALUE"""),"")</f>
        <v/>
      </c>
      <c r="J535" s="211"/>
      <c r="L535" s="211"/>
      <c r="M535" s="211"/>
      <c r="N535" s="211" t="str">
        <f>IFERROR(__xludf.DUMMYFUNCTION("""COMPUTED_VALUE"""),"")</f>
        <v/>
      </c>
      <c r="O535" s="211" t="str">
        <f>IFERROR(__xludf.DUMMYFUNCTION("""COMPUTED_VALUE"""),"")</f>
        <v/>
      </c>
      <c r="P535" s="224" t="str">
        <f>IFERROR(__xludf.DUMMYFUNCTION("""COMPUTED_VALUE""")," ")</f>
        <v/>
      </c>
      <c r="Q535" s="225" t="str">
        <f>IFERROR(__xludf.DUMMYFUNCTION("""COMPUTED_VALUE"""),"")</f>
        <v/>
      </c>
      <c r="R535" s="211" t="str">
        <f>IFERROR(__xludf.DUMMYFUNCTION("""COMPUTED_VALUE"""),"")</f>
        <v/>
      </c>
      <c r="S535" s="211"/>
      <c r="T535" s="211"/>
      <c r="U535" s="211"/>
    </row>
    <row r="536">
      <c r="A536" s="211"/>
      <c r="B536" s="211"/>
      <c r="C536" s="211"/>
      <c r="D536" s="211" t="str">
        <f>IFERROR(__xludf.DUMMYFUNCTION("""COMPUTED_VALUE"""),"")</f>
        <v/>
      </c>
      <c r="E536" s="211" t="str">
        <f>IFERROR(__xludf.DUMMYFUNCTION("""COMPUTED_VALUE"""),"")</f>
        <v/>
      </c>
      <c r="F536" s="211" t="str">
        <f>IFERROR(__xludf.DUMMYFUNCTION("""COMPUTED_VALUE"""),"")</f>
        <v/>
      </c>
      <c r="G536" s="211"/>
      <c r="H536" s="211"/>
      <c r="I536" s="211" t="str">
        <f>IFERROR(__xludf.DUMMYFUNCTION("""COMPUTED_VALUE"""),"")</f>
        <v/>
      </c>
      <c r="J536" s="211"/>
      <c r="L536" s="211"/>
      <c r="M536" s="211"/>
      <c r="N536" s="211" t="str">
        <f>IFERROR(__xludf.DUMMYFUNCTION("""COMPUTED_VALUE"""),"")</f>
        <v/>
      </c>
      <c r="O536" s="211" t="str">
        <f>IFERROR(__xludf.DUMMYFUNCTION("""COMPUTED_VALUE"""),"")</f>
        <v/>
      </c>
      <c r="P536" s="224" t="str">
        <f>IFERROR(__xludf.DUMMYFUNCTION("""COMPUTED_VALUE""")," ")</f>
        <v/>
      </c>
      <c r="Q536" s="225" t="str">
        <f>IFERROR(__xludf.DUMMYFUNCTION("""COMPUTED_VALUE"""),"")</f>
        <v/>
      </c>
      <c r="R536" s="211" t="str">
        <f>IFERROR(__xludf.DUMMYFUNCTION("""COMPUTED_VALUE"""),"")</f>
        <v/>
      </c>
      <c r="S536" s="211"/>
      <c r="T536" s="211"/>
      <c r="U536" s="211"/>
    </row>
    <row r="537">
      <c r="A537" s="211"/>
      <c r="B537" s="211"/>
      <c r="C537" s="211"/>
      <c r="D537" s="211" t="str">
        <f>IFERROR(__xludf.DUMMYFUNCTION("""COMPUTED_VALUE"""),"")</f>
        <v/>
      </c>
      <c r="E537" s="211" t="str">
        <f>IFERROR(__xludf.DUMMYFUNCTION("""COMPUTED_VALUE"""),"")</f>
        <v/>
      </c>
      <c r="F537" s="211" t="str">
        <f>IFERROR(__xludf.DUMMYFUNCTION("""COMPUTED_VALUE"""),"")</f>
        <v/>
      </c>
      <c r="G537" s="211"/>
      <c r="H537" s="211"/>
      <c r="I537" s="211" t="str">
        <f>IFERROR(__xludf.DUMMYFUNCTION("""COMPUTED_VALUE"""),"")</f>
        <v/>
      </c>
      <c r="J537" s="211"/>
      <c r="L537" s="211"/>
      <c r="M537" s="211"/>
      <c r="N537" s="211" t="str">
        <f>IFERROR(__xludf.DUMMYFUNCTION("""COMPUTED_VALUE"""),"")</f>
        <v/>
      </c>
      <c r="O537" s="211" t="str">
        <f>IFERROR(__xludf.DUMMYFUNCTION("""COMPUTED_VALUE"""),"")</f>
        <v/>
      </c>
      <c r="P537" s="224" t="str">
        <f>IFERROR(__xludf.DUMMYFUNCTION("""COMPUTED_VALUE""")," ")</f>
        <v/>
      </c>
      <c r="Q537" s="225" t="str">
        <f>IFERROR(__xludf.DUMMYFUNCTION("""COMPUTED_VALUE"""),"")</f>
        <v/>
      </c>
      <c r="R537" s="211" t="str">
        <f>IFERROR(__xludf.DUMMYFUNCTION("""COMPUTED_VALUE"""),"")</f>
        <v/>
      </c>
      <c r="S537" s="211"/>
      <c r="T537" s="211"/>
      <c r="U537" s="211"/>
    </row>
    <row r="538">
      <c r="A538" s="211"/>
      <c r="B538" s="211"/>
      <c r="C538" s="211"/>
      <c r="D538" s="211" t="str">
        <f>IFERROR(__xludf.DUMMYFUNCTION("""COMPUTED_VALUE"""),"")</f>
        <v/>
      </c>
      <c r="E538" s="211" t="str">
        <f>IFERROR(__xludf.DUMMYFUNCTION("""COMPUTED_VALUE"""),"")</f>
        <v/>
      </c>
      <c r="F538" s="211" t="str">
        <f>IFERROR(__xludf.DUMMYFUNCTION("""COMPUTED_VALUE"""),"")</f>
        <v/>
      </c>
      <c r="G538" s="211"/>
      <c r="H538" s="211"/>
      <c r="I538" s="211" t="str">
        <f>IFERROR(__xludf.DUMMYFUNCTION("""COMPUTED_VALUE"""),"")</f>
        <v/>
      </c>
      <c r="J538" s="211"/>
      <c r="L538" s="211"/>
      <c r="M538" s="211"/>
      <c r="N538" s="211" t="str">
        <f>IFERROR(__xludf.DUMMYFUNCTION("""COMPUTED_VALUE"""),"")</f>
        <v/>
      </c>
      <c r="O538" s="211" t="str">
        <f>IFERROR(__xludf.DUMMYFUNCTION("""COMPUTED_VALUE"""),"")</f>
        <v/>
      </c>
      <c r="P538" s="224" t="str">
        <f>IFERROR(__xludf.DUMMYFUNCTION("""COMPUTED_VALUE""")," ")</f>
        <v/>
      </c>
      <c r="Q538" s="225" t="str">
        <f>IFERROR(__xludf.DUMMYFUNCTION("""COMPUTED_VALUE"""),"")</f>
        <v/>
      </c>
      <c r="R538" s="211" t="str">
        <f>IFERROR(__xludf.DUMMYFUNCTION("""COMPUTED_VALUE"""),"")</f>
        <v/>
      </c>
      <c r="S538" s="211"/>
      <c r="T538" s="211"/>
      <c r="U538" s="211"/>
    </row>
    <row r="539">
      <c r="A539" s="211"/>
      <c r="B539" s="211"/>
      <c r="C539" s="211"/>
      <c r="D539" s="211" t="str">
        <f>IFERROR(__xludf.DUMMYFUNCTION("""COMPUTED_VALUE"""),"")</f>
        <v/>
      </c>
      <c r="E539" s="211" t="str">
        <f>IFERROR(__xludf.DUMMYFUNCTION("""COMPUTED_VALUE"""),"")</f>
        <v/>
      </c>
      <c r="F539" s="211" t="str">
        <f>IFERROR(__xludf.DUMMYFUNCTION("""COMPUTED_VALUE"""),"")</f>
        <v/>
      </c>
      <c r="G539" s="211"/>
      <c r="H539" s="211"/>
      <c r="I539" s="211" t="str">
        <f>IFERROR(__xludf.DUMMYFUNCTION("""COMPUTED_VALUE"""),"")</f>
        <v/>
      </c>
      <c r="J539" s="211"/>
      <c r="L539" s="211"/>
      <c r="M539" s="211"/>
      <c r="N539" s="211" t="str">
        <f>IFERROR(__xludf.DUMMYFUNCTION("""COMPUTED_VALUE"""),"")</f>
        <v/>
      </c>
      <c r="O539" s="211" t="str">
        <f>IFERROR(__xludf.DUMMYFUNCTION("""COMPUTED_VALUE"""),"")</f>
        <v/>
      </c>
      <c r="P539" s="224" t="str">
        <f>IFERROR(__xludf.DUMMYFUNCTION("""COMPUTED_VALUE""")," ")</f>
        <v/>
      </c>
      <c r="Q539" s="225" t="str">
        <f>IFERROR(__xludf.DUMMYFUNCTION("""COMPUTED_VALUE"""),"")</f>
        <v/>
      </c>
      <c r="R539" s="211" t="str">
        <f>IFERROR(__xludf.DUMMYFUNCTION("""COMPUTED_VALUE"""),"")</f>
        <v/>
      </c>
      <c r="S539" s="211"/>
      <c r="T539" s="211"/>
      <c r="U539" s="211"/>
    </row>
    <row r="540">
      <c r="A540" s="211"/>
      <c r="B540" s="211"/>
      <c r="C540" s="211"/>
      <c r="D540" s="211" t="str">
        <f>IFERROR(__xludf.DUMMYFUNCTION("""COMPUTED_VALUE"""),"")</f>
        <v/>
      </c>
      <c r="E540" s="211" t="str">
        <f>IFERROR(__xludf.DUMMYFUNCTION("""COMPUTED_VALUE"""),"")</f>
        <v/>
      </c>
      <c r="F540" s="211" t="str">
        <f>IFERROR(__xludf.DUMMYFUNCTION("""COMPUTED_VALUE"""),"")</f>
        <v/>
      </c>
      <c r="G540" s="211"/>
      <c r="H540" s="211"/>
      <c r="I540" s="211" t="str">
        <f>IFERROR(__xludf.DUMMYFUNCTION("""COMPUTED_VALUE"""),"")</f>
        <v/>
      </c>
      <c r="J540" s="211"/>
      <c r="L540" s="211"/>
      <c r="M540" s="211"/>
      <c r="N540" s="211" t="str">
        <f>IFERROR(__xludf.DUMMYFUNCTION("""COMPUTED_VALUE"""),"")</f>
        <v/>
      </c>
      <c r="O540" s="211" t="str">
        <f>IFERROR(__xludf.DUMMYFUNCTION("""COMPUTED_VALUE"""),"")</f>
        <v/>
      </c>
      <c r="P540" s="224" t="str">
        <f>IFERROR(__xludf.DUMMYFUNCTION("""COMPUTED_VALUE""")," ")</f>
        <v/>
      </c>
      <c r="Q540" s="225" t="str">
        <f>IFERROR(__xludf.DUMMYFUNCTION("""COMPUTED_VALUE"""),"")</f>
        <v/>
      </c>
      <c r="R540" s="211" t="str">
        <f>IFERROR(__xludf.DUMMYFUNCTION("""COMPUTED_VALUE"""),"")</f>
        <v/>
      </c>
      <c r="S540" s="211"/>
      <c r="T540" s="211"/>
      <c r="U540" s="211"/>
    </row>
    <row r="541">
      <c r="A541" s="211"/>
      <c r="B541" s="211"/>
      <c r="C541" s="211"/>
      <c r="D541" s="211" t="str">
        <f>IFERROR(__xludf.DUMMYFUNCTION("""COMPUTED_VALUE"""),"")</f>
        <v/>
      </c>
      <c r="E541" s="211" t="str">
        <f>IFERROR(__xludf.DUMMYFUNCTION("""COMPUTED_VALUE"""),"")</f>
        <v/>
      </c>
      <c r="F541" s="211" t="str">
        <f>IFERROR(__xludf.DUMMYFUNCTION("""COMPUTED_VALUE"""),"")</f>
        <v/>
      </c>
      <c r="G541" s="211"/>
      <c r="H541" s="211"/>
      <c r="I541" s="211" t="str">
        <f>IFERROR(__xludf.DUMMYFUNCTION("""COMPUTED_VALUE"""),"")</f>
        <v/>
      </c>
      <c r="J541" s="211"/>
      <c r="L541" s="211"/>
      <c r="M541" s="211"/>
      <c r="N541" s="211" t="str">
        <f>IFERROR(__xludf.DUMMYFUNCTION("""COMPUTED_VALUE"""),"")</f>
        <v/>
      </c>
      <c r="O541" s="211" t="str">
        <f>IFERROR(__xludf.DUMMYFUNCTION("""COMPUTED_VALUE"""),"")</f>
        <v/>
      </c>
      <c r="P541" s="224" t="str">
        <f>IFERROR(__xludf.DUMMYFUNCTION("""COMPUTED_VALUE""")," ")</f>
        <v/>
      </c>
      <c r="Q541" s="225" t="str">
        <f>IFERROR(__xludf.DUMMYFUNCTION("""COMPUTED_VALUE"""),"")</f>
        <v/>
      </c>
      <c r="R541" s="211" t="str">
        <f>IFERROR(__xludf.DUMMYFUNCTION("""COMPUTED_VALUE"""),"")</f>
        <v/>
      </c>
      <c r="S541" s="211"/>
      <c r="T541" s="211"/>
      <c r="U541" s="211"/>
    </row>
    <row r="542">
      <c r="A542" s="211"/>
      <c r="B542" s="211"/>
      <c r="C542" s="211"/>
      <c r="D542" s="211" t="str">
        <f>IFERROR(__xludf.DUMMYFUNCTION("""COMPUTED_VALUE"""),"")</f>
        <v/>
      </c>
      <c r="E542" s="211" t="str">
        <f>IFERROR(__xludf.DUMMYFUNCTION("""COMPUTED_VALUE"""),"")</f>
        <v/>
      </c>
      <c r="F542" s="211" t="str">
        <f>IFERROR(__xludf.DUMMYFUNCTION("""COMPUTED_VALUE"""),"")</f>
        <v/>
      </c>
      <c r="G542" s="211"/>
      <c r="H542" s="211"/>
      <c r="I542" s="211" t="str">
        <f>IFERROR(__xludf.DUMMYFUNCTION("""COMPUTED_VALUE"""),"")</f>
        <v/>
      </c>
      <c r="J542" s="211"/>
      <c r="L542" s="211"/>
      <c r="M542" s="211"/>
      <c r="N542" s="211" t="str">
        <f>IFERROR(__xludf.DUMMYFUNCTION("""COMPUTED_VALUE"""),"")</f>
        <v/>
      </c>
      <c r="O542" s="211" t="str">
        <f>IFERROR(__xludf.DUMMYFUNCTION("""COMPUTED_VALUE"""),"")</f>
        <v/>
      </c>
      <c r="P542" s="224" t="str">
        <f>IFERROR(__xludf.DUMMYFUNCTION("""COMPUTED_VALUE""")," ")</f>
        <v/>
      </c>
      <c r="Q542" s="225" t="str">
        <f>IFERROR(__xludf.DUMMYFUNCTION("""COMPUTED_VALUE"""),"")</f>
        <v/>
      </c>
      <c r="R542" s="211" t="str">
        <f>IFERROR(__xludf.DUMMYFUNCTION("""COMPUTED_VALUE"""),"")</f>
        <v/>
      </c>
      <c r="S542" s="211"/>
      <c r="T542" s="211"/>
      <c r="U542" s="211"/>
    </row>
    <row r="543">
      <c r="A543" s="211"/>
      <c r="B543" s="211"/>
      <c r="C543" s="211"/>
      <c r="D543" s="211" t="str">
        <f>IFERROR(__xludf.DUMMYFUNCTION("""COMPUTED_VALUE"""),"")</f>
        <v/>
      </c>
      <c r="E543" s="211" t="str">
        <f>IFERROR(__xludf.DUMMYFUNCTION("""COMPUTED_VALUE"""),"")</f>
        <v/>
      </c>
      <c r="F543" s="211" t="str">
        <f>IFERROR(__xludf.DUMMYFUNCTION("""COMPUTED_VALUE"""),"")</f>
        <v/>
      </c>
      <c r="G543" s="211"/>
      <c r="H543" s="211"/>
      <c r="I543" s="211" t="str">
        <f>IFERROR(__xludf.DUMMYFUNCTION("""COMPUTED_VALUE"""),"")</f>
        <v/>
      </c>
      <c r="J543" s="211"/>
      <c r="L543" s="211"/>
      <c r="M543" s="211"/>
      <c r="N543" s="211" t="str">
        <f>IFERROR(__xludf.DUMMYFUNCTION("""COMPUTED_VALUE"""),"")</f>
        <v/>
      </c>
      <c r="O543" s="211" t="str">
        <f>IFERROR(__xludf.DUMMYFUNCTION("""COMPUTED_VALUE"""),"")</f>
        <v/>
      </c>
      <c r="P543" s="224" t="str">
        <f>IFERROR(__xludf.DUMMYFUNCTION("""COMPUTED_VALUE""")," ")</f>
        <v/>
      </c>
      <c r="Q543" s="225" t="str">
        <f>IFERROR(__xludf.DUMMYFUNCTION("""COMPUTED_VALUE"""),"")</f>
        <v/>
      </c>
      <c r="R543" s="211" t="str">
        <f>IFERROR(__xludf.DUMMYFUNCTION("""COMPUTED_VALUE"""),"")</f>
        <v/>
      </c>
      <c r="S543" s="211"/>
      <c r="T543" s="211"/>
      <c r="U543" s="211"/>
    </row>
    <row r="544">
      <c r="A544" s="211"/>
      <c r="B544" s="211"/>
      <c r="C544" s="211"/>
      <c r="D544" s="211" t="str">
        <f>IFERROR(__xludf.DUMMYFUNCTION("""COMPUTED_VALUE"""),"")</f>
        <v/>
      </c>
      <c r="E544" s="211" t="str">
        <f>IFERROR(__xludf.DUMMYFUNCTION("""COMPUTED_VALUE"""),"")</f>
        <v/>
      </c>
      <c r="F544" s="211" t="str">
        <f>IFERROR(__xludf.DUMMYFUNCTION("""COMPUTED_VALUE"""),"")</f>
        <v/>
      </c>
      <c r="G544" s="211"/>
      <c r="H544" s="211"/>
      <c r="I544" s="211" t="str">
        <f>IFERROR(__xludf.DUMMYFUNCTION("""COMPUTED_VALUE"""),"")</f>
        <v/>
      </c>
      <c r="J544" s="211"/>
      <c r="L544" s="211"/>
      <c r="M544" s="211"/>
      <c r="N544" s="211" t="str">
        <f>IFERROR(__xludf.DUMMYFUNCTION("""COMPUTED_VALUE"""),"")</f>
        <v/>
      </c>
      <c r="O544" s="211" t="str">
        <f>IFERROR(__xludf.DUMMYFUNCTION("""COMPUTED_VALUE"""),"")</f>
        <v/>
      </c>
      <c r="P544" s="224" t="str">
        <f>IFERROR(__xludf.DUMMYFUNCTION("""COMPUTED_VALUE""")," ")</f>
        <v/>
      </c>
      <c r="Q544" s="225" t="str">
        <f>IFERROR(__xludf.DUMMYFUNCTION("""COMPUTED_VALUE"""),"")</f>
        <v/>
      </c>
      <c r="R544" s="211" t="str">
        <f>IFERROR(__xludf.DUMMYFUNCTION("""COMPUTED_VALUE"""),"")</f>
        <v/>
      </c>
      <c r="S544" s="211"/>
      <c r="T544" s="211"/>
      <c r="U544" s="211"/>
    </row>
    <row r="545">
      <c r="A545" s="211"/>
      <c r="B545" s="211"/>
      <c r="C545" s="211"/>
      <c r="D545" s="211" t="str">
        <f>IFERROR(__xludf.DUMMYFUNCTION("""COMPUTED_VALUE"""),"")</f>
        <v/>
      </c>
      <c r="E545" s="211" t="str">
        <f>IFERROR(__xludf.DUMMYFUNCTION("""COMPUTED_VALUE"""),"")</f>
        <v/>
      </c>
      <c r="F545" s="211" t="str">
        <f>IFERROR(__xludf.DUMMYFUNCTION("""COMPUTED_VALUE"""),"")</f>
        <v/>
      </c>
      <c r="G545" s="211"/>
      <c r="H545" s="211"/>
      <c r="I545" s="211" t="str">
        <f>IFERROR(__xludf.DUMMYFUNCTION("""COMPUTED_VALUE"""),"")</f>
        <v/>
      </c>
      <c r="J545" s="211"/>
      <c r="L545" s="211"/>
      <c r="M545" s="211"/>
      <c r="N545" s="211" t="str">
        <f>IFERROR(__xludf.DUMMYFUNCTION("""COMPUTED_VALUE"""),"")</f>
        <v/>
      </c>
      <c r="O545" s="211" t="str">
        <f>IFERROR(__xludf.DUMMYFUNCTION("""COMPUTED_VALUE"""),"")</f>
        <v/>
      </c>
      <c r="P545" s="224" t="str">
        <f>IFERROR(__xludf.DUMMYFUNCTION("""COMPUTED_VALUE""")," ")</f>
        <v/>
      </c>
      <c r="Q545" s="225" t="str">
        <f>IFERROR(__xludf.DUMMYFUNCTION("""COMPUTED_VALUE"""),"")</f>
        <v/>
      </c>
      <c r="R545" s="211" t="str">
        <f>IFERROR(__xludf.DUMMYFUNCTION("""COMPUTED_VALUE"""),"")</f>
        <v/>
      </c>
      <c r="S545" s="211"/>
      <c r="T545" s="211"/>
      <c r="U545" s="211"/>
    </row>
    <row r="546">
      <c r="A546" s="211"/>
      <c r="B546" s="211"/>
      <c r="C546" s="211"/>
      <c r="D546" s="211" t="str">
        <f>IFERROR(__xludf.DUMMYFUNCTION("""COMPUTED_VALUE"""),"")</f>
        <v/>
      </c>
      <c r="E546" s="211" t="str">
        <f>IFERROR(__xludf.DUMMYFUNCTION("""COMPUTED_VALUE"""),"")</f>
        <v/>
      </c>
      <c r="F546" s="211" t="str">
        <f>IFERROR(__xludf.DUMMYFUNCTION("""COMPUTED_VALUE"""),"")</f>
        <v/>
      </c>
      <c r="G546" s="211"/>
      <c r="H546" s="211"/>
      <c r="I546" s="211" t="str">
        <f>IFERROR(__xludf.DUMMYFUNCTION("""COMPUTED_VALUE"""),"")</f>
        <v/>
      </c>
      <c r="J546" s="211"/>
      <c r="L546" s="211"/>
      <c r="M546" s="211"/>
      <c r="N546" s="211" t="str">
        <f>IFERROR(__xludf.DUMMYFUNCTION("""COMPUTED_VALUE"""),"")</f>
        <v/>
      </c>
      <c r="O546" s="211" t="str">
        <f>IFERROR(__xludf.DUMMYFUNCTION("""COMPUTED_VALUE"""),"")</f>
        <v/>
      </c>
      <c r="P546" s="224" t="str">
        <f>IFERROR(__xludf.DUMMYFUNCTION("""COMPUTED_VALUE""")," ")</f>
        <v/>
      </c>
      <c r="Q546" s="225" t="str">
        <f>IFERROR(__xludf.DUMMYFUNCTION("""COMPUTED_VALUE"""),"")</f>
        <v/>
      </c>
      <c r="R546" s="211" t="str">
        <f>IFERROR(__xludf.DUMMYFUNCTION("""COMPUTED_VALUE"""),"")</f>
        <v/>
      </c>
      <c r="S546" s="211"/>
      <c r="T546" s="211"/>
      <c r="U546" s="211"/>
    </row>
    <row r="547">
      <c r="A547" s="211"/>
      <c r="B547" s="211"/>
      <c r="C547" s="211"/>
      <c r="D547" s="211" t="str">
        <f>IFERROR(__xludf.DUMMYFUNCTION("""COMPUTED_VALUE"""),"")</f>
        <v/>
      </c>
      <c r="E547" s="211" t="str">
        <f>IFERROR(__xludf.DUMMYFUNCTION("""COMPUTED_VALUE"""),"")</f>
        <v/>
      </c>
      <c r="F547" s="211" t="str">
        <f>IFERROR(__xludf.DUMMYFUNCTION("""COMPUTED_VALUE"""),"")</f>
        <v/>
      </c>
      <c r="G547" s="211"/>
      <c r="H547" s="211"/>
      <c r="I547" s="211" t="str">
        <f>IFERROR(__xludf.DUMMYFUNCTION("""COMPUTED_VALUE"""),"")</f>
        <v/>
      </c>
      <c r="J547" s="211"/>
      <c r="L547" s="211"/>
      <c r="M547" s="211"/>
      <c r="N547" s="211" t="str">
        <f>IFERROR(__xludf.DUMMYFUNCTION("""COMPUTED_VALUE"""),"")</f>
        <v/>
      </c>
      <c r="O547" s="211" t="str">
        <f>IFERROR(__xludf.DUMMYFUNCTION("""COMPUTED_VALUE"""),"")</f>
        <v/>
      </c>
      <c r="P547" s="224" t="str">
        <f>IFERROR(__xludf.DUMMYFUNCTION("""COMPUTED_VALUE""")," ")</f>
        <v/>
      </c>
      <c r="Q547" s="225" t="str">
        <f>IFERROR(__xludf.DUMMYFUNCTION("""COMPUTED_VALUE"""),"")</f>
        <v/>
      </c>
      <c r="R547" s="211" t="str">
        <f>IFERROR(__xludf.DUMMYFUNCTION("""COMPUTED_VALUE"""),"")</f>
        <v/>
      </c>
      <c r="S547" s="211"/>
      <c r="T547" s="211"/>
      <c r="U547" s="211"/>
    </row>
    <row r="548">
      <c r="A548" s="211"/>
      <c r="B548" s="211"/>
      <c r="C548" s="211"/>
      <c r="D548" s="211" t="str">
        <f>IFERROR(__xludf.DUMMYFUNCTION("""COMPUTED_VALUE"""),"")</f>
        <v/>
      </c>
      <c r="E548" s="211" t="str">
        <f>IFERROR(__xludf.DUMMYFUNCTION("""COMPUTED_VALUE"""),"")</f>
        <v/>
      </c>
      <c r="F548" s="211" t="str">
        <f>IFERROR(__xludf.DUMMYFUNCTION("""COMPUTED_VALUE"""),"")</f>
        <v/>
      </c>
      <c r="G548" s="211"/>
      <c r="H548" s="211"/>
      <c r="I548" s="211" t="str">
        <f>IFERROR(__xludf.DUMMYFUNCTION("""COMPUTED_VALUE"""),"")</f>
        <v/>
      </c>
      <c r="J548" s="211"/>
      <c r="L548" s="211"/>
      <c r="M548" s="211"/>
      <c r="N548" s="211" t="str">
        <f>IFERROR(__xludf.DUMMYFUNCTION("""COMPUTED_VALUE"""),"")</f>
        <v/>
      </c>
      <c r="O548" s="211" t="str">
        <f>IFERROR(__xludf.DUMMYFUNCTION("""COMPUTED_VALUE"""),"")</f>
        <v/>
      </c>
      <c r="P548" s="224" t="str">
        <f>IFERROR(__xludf.DUMMYFUNCTION("""COMPUTED_VALUE""")," ")</f>
        <v/>
      </c>
      <c r="Q548" s="225" t="str">
        <f>IFERROR(__xludf.DUMMYFUNCTION("""COMPUTED_VALUE"""),"")</f>
        <v/>
      </c>
      <c r="R548" s="211" t="str">
        <f>IFERROR(__xludf.DUMMYFUNCTION("""COMPUTED_VALUE"""),"")</f>
        <v/>
      </c>
      <c r="S548" s="211"/>
      <c r="T548" s="211"/>
      <c r="U548" s="211"/>
    </row>
    <row r="549">
      <c r="A549" s="211"/>
      <c r="B549" s="211"/>
      <c r="C549" s="211"/>
      <c r="D549" s="211" t="str">
        <f>IFERROR(__xludf.DUMMYFUNCTION("""COMPUTED_VALUE"""),"")</f>
        <v/>
      </c>
      <c r="E549" s="211" t="str">
        <f>IFERROR(__xludf.DUMMYFUNCTION("""COMPUTED_VALUE"""),"")</f>
        <v/>
      </c>
      <c r="F549" s="211" t="str">
        <f>IFERROR(__xludf.DUMMYFUNCTION("""COMPUTED_VALUE"""),"")</f>
        <v/>
      </c>
      <c r="G549" s="211"/>
      <c r="H549" s="211"/>
      <c r="I549" s="211" t="str">
        <f>IFERROR(__xludf.DUMMYFUNCTION("""COMPUTED_VALUE"""),"")</f>
        <v/>
      </c>
      <c r="J549" s="211"/>
      <c r="L549" s="211"/>
      <c r="M549" s="211"/>
      <c r="N549" s="211" t="str">
        <f>IFERROR(__xludf.DUMMYFUNCTION("""COMPUTED_VALUE"""),"")</f>
        <v/>
      </c>
      <c r="O549" s="211" t="str">
        <f>IFERROR(__xludf.DUMMYFUNCTION("""COMPUTED_VALUE"""),"")</f>
        <v/>
      </c>
      <c r="P549" s="224" t="str">
        <f>IFERROR(__xludf.DUMMYFUNCTION("""COMPUTED_VALUE""")," ")</f>
        <v/>
      </c>
      <c r="Q549" s="225" t="str">
        <f>IFERROR(__xludf.DUMMYFUNCTION("""COMPUTED_VALUE"""),"")</f>
        <v/>
      </c>
      <c r="R549" s="211" t="str">
        <f>IFERROR(__xludf.DUMMYFUNCTION("""COMPUTED_VALUE"""),"")</f>
        <v/>
      </c>
      <c r="S549" s="211"/>
      <c r="T549" s="211"/>
      <c r="U549" s="211"/>
    </row>
    <row r="550">
      <c r="A550" s="211"/>
      <c r="B550" s="211"/>
      <c r="C550" s="211"/>
      <c r="D550" s="211" t="str">
        <f>IFERROR(__xludf.DUMMYFUNCTION("""COMPUTED_VALUE"""),"")</f>
        <v/>
      </c>
      <c r="E550" s="211" t="str">
        <f>IFERROR(__xludf.DUMMYFUNCTION("""COMPUTED_VALUE"""),"")</f>
        <v/>
      </c>
      <c r="F550" s="211" t="str">
        <f>IFERROR(__xludf.DUMMYFUNCTION("""COMPUTED_VALUE"""),"")</f>
        <v/>
      </c>
      <c r="G550" s="211"/>
      <c r="H550" s="211"/>
      <c r="I550" s="211" t="str">
        <f>IFERROR(__xludf.DUMMYFUNCTION("""COMPUTED_VALUE"""),"")</f>
        <v/>
      </c>
      <c r="J550" s="211"/>
      <c r="L550" s="211"/>
      <c r="M550" s="211"/>
      <c r="N550" s="211" t="str">
        <f>IFERROR(__xludf.DUMMYFUNCTION("""COMPUTED_VALUE"""),"")</f>
        <v/>
      </c>
      <c r="O550" s="211" t="str">
        <f>IFERROR(__xludf.DUMMYFUNCTION("""COMPUTED_VALUE"""),"")</f>
        <v/>
      </c>
      <c r="P550" s="224" t="str">
        <f>IFERROR(__xludf.DUMMYFUNCTION("""COMPUTED_VALUE""")," ")</f>
        <v/>
      </c>
      <c r="Q550" s="225" t="str">
        <f>IFERROR(__xludf.DUMMYFUNCTION("""COMPUTED_VALUE"""),"")</f>
        <v/>
      </c>
      <c r="R550" s="211" t="str">
        <f>IFERROR(__xludf.DUMMYFUNCTION("""COMPUTED_VALUE"""),"")</f>
        <v/>
      </c>
      <c r="S550" s="211"/>
      <c r="T550" s="211"/>
      <c r="U550" s="211"/>
    </row>
    <row r="551">
      <c r="A551" s="211"/>
      <c r="B551" s="211"/>
      <c r="C551" s="211"/>
      <c r="D551" s="211" t="str">
        <f>IFERROR(__xludf.DUMMYFUNCTION("""COMPUTED_VALUE"""),"")</f>
        <v/>
      </c>
      <c r="E551" s="211" t="str">
        <f>IFERROR(__xludf.DUMMYFUNCTION("""COMPUTED_VALUE"""),"")</f>
        <v/>
      </c>
      <c r="F551" s="211" t="str">
        <f>IFERROR(__xludf.DUMMYFUNCTION("""COMPUTED_VALUE"""),"")</f>
        <v/>
      </c>
      <c r="G551" s="211"/>
      <c r="H551" s="211"/>
      <c r="I551" s="211" t="str">
        <f>IFERROR(__xludf.DUMMYFUNCTION("""COMPUTED_VALUE"""),"")</f>
        <v/>
      </c>
      <c r="J551" s="211"/>
      <c r="L551" s="211"/>
      <c r="M551" s="211"/>
      <c r="N551" s="211" t="str">
        <f>IFERROR(__xludf.DUMMYFUNCTION("""COMPUTED_VALUE"""),"")</f>
        <v/>
      </c>
      <c r="O551" s="211" t="str">
        <f>IFERROR(__xludf.DUMMYFUNCTION("""COMPUTED_VALUE"""),"")</f>
        <v/>
      </c>
      <c r="P551" s="224" t="str">
        <f>IFERROR(__xludf.DUMMYFUNCTION("""COMPUTED_VALUE""")," ")</f>
        <v/>
      </c>
      <c r="Q551" s="225" t="str">
        <f>IFERROR(__xludf.DUMMYFUNCTION("""COMPUTED_VALUE"""),"")</f>
        <v/>
      </c>
      <c r="R551" s="211" t="str">
        <f>IFERROR(__xludf.DUMMYFUNCTION("""COMPUTED_VALUE"""),"")</f>
        <v/>
      </c>
      <c r="S551" s="211"/>
      <c r="T551" s="211"/>
      <c r="U551" s="211"/>
    </row>
    <row r="552">
      <c r="A552" s="211"/>
      <c r="B552" s="211"/>
      <c r="C552" s="211"/>
      <c r="D552" s="211" t="str">
        <f>IFERROR(__xludf.DUMMYFUNCTION("""COMPUTED_VALUE"""),"")</f>
        <v/>
      </c>
      <c r="E552" s="211" t="str">
        <f>IFERROR(__xludf.DUMMYFUNCTION("""COMPUTED_VALUE"""),"")</f>
        <v/>
      </c>
      <c r="F552" s="211" t="str">
        <f>IFERROR(__xludf.DUMMYFUNCTION("""COMPUTED_VALUE"""),"")</f>
        <v/>
      </c>
      <c r="G552" s="211"/>
      <c r="H552" s="211"/>
      <c r="I552" s="211" t="str">
        <f>IFERROR(__xludf.DUMMYFUNCTION("""COMPUTED_VALUE"""),"")</f>
        <v/>
      </c>
      <c r="J552" s="211"/>
      <c r="L552" s="211"/>
      <c r="M552" s="211"/>
      <c r="N552" s="211" t="str">
        <f>IFERROR(__xludf.DUMMYFUNCTION("""COMPUTED_VALUE"""),"")</f>
        <v/>
      </c>
      <c r="O552" s="211" t="str">
        <f>IFERROR(__xludf.DUMMYFUNCTION("""COMPUTED_VALUE"""),"")</f>
        <v/>
      </c>
      <c r="P552" s="224" t="str">
        <f>IFERROR(__xludf.DUMMYFUNCTION("""COMPUTED_VALUE""")," ")</f>
        <v/>
      </c>
      <c r="Q552" s="225" t="str">
        <f>IFERROR(__xludf.DUMMYFUNCTION("""COMPUTED_VALUE"""),"")</f>
        <v/>
      </c>
      <c r="R552" s="211" t="str">
        <f>IFERROR(__xludf.DUMMYFUNCTION("""COMPUTED_VALUE"""),"")</f>
        <v/>
      </c>
      <c r="S552" s="211"/>
      <c r="T552" s="211"/>
      <c r="U552" s="211"/>
    </row>
    <row r="553">
      <c r="A553" s="211"/>
      <c r="B553" s="211"/>
      <c r="C553" s="211"/>
      <c r="D553" s="211" t="str">
        <f>IFERROR(__xludf.DUMMYFUNCTION("""COMPUTED_VALUE"""),"")</f>
        <v/>
      </c>
      <c r="E553" s="211" t="str">
        <f>IFERROR(__xludf.DUMMYFUNCTION("""COMPUTED_VALUE"""),"")</f>
        <v/>
      </c>
      <c r="F553" s="211" t="str">
        <f>IFERROR(__xludf.DUMMYFUNCTION("""COMPUTED_VALUE"""),"")</f>
        <v/>
      </c>
      <c r="G553" s="211"/>
      <c r="H553" s="211"/>
      <c r="I553" s="211" t="str">
        <f>IFERROR(__xludf.DUMMYFUNCTION("""COMPUTED_VALUE"""),"")</f>
        <v/>
      </c>
      <c r="J553" s="211"/>
      <c r="L553" s="211"/>
      <c r="M553" s="211"/>
      <c r="N553" s="211" t="str">
        <f>IFERROR(__xludf.DUMMYFUNCTION("""COMPUTED_VALUE"""),"")</f>
        <v/>
      </c>
      <c r="O553" s="211" t="str">
        <f>IFERROR(__xludf.DUMMYFUNCTION("""COMPUTED_VALUE"""),"")</f>
        <v/>
      </c>
      <c r="P553" s="224" t="str">
        <f>IFERROR(__xludf.DUMMYFUNCTION("""COMPUTED_VALUE""")," ")</f>
        <v/>
      </c>
      <c r="Q553" s="225" t="str">
        <f>IFERROR(__xludf.DUMMYFUNCTION("""COMPUTED_VALUE"""),"")</f>
        <v/>
      </c>
      <c r="R553" s="211" t="str">
        <f>IFERROR(__xludf.DUMMYFUNCTION("""COMPUTED_VALUE"""),"")</f>
        <v/>
      </c>
      <c r="S553" s="211"/>
      <c r="T553" s="211"/>
      <c r="U553" s="211"/>
    </row>
    <row r="554">
      <c r="A554" s="211"/>
      <c r="B554" s="211"/>
      <c r="C554" s="211"/>
      <c r="D554" s="211" t="str">
        <f>IFERROR(__xludf.DUMMYFUNCTION("""COMPUTED_VALUE"""),"")</f>
        <v/>
      </c>
      <c r="E554" s="211" t="str">
        <f>IFERROR(__xludf.DUMMYFUNCTION("""COMPUTED_VALUE"""),"")</f>
        <v/>
      </c>
      <c r="F554" s="211" t="str">
        <f>IFERROR(__xludf.DUMMYFUNCTION("""COMPUTED_VALUE"""),"")</f>
        <v/>
      </c>
      <c r="G554" s="211"/>
      <c r="H554" s="211"/>
      <c r="I554" s="211" t="str">
        <f>IFERROR(__xludf.DUMMYFUNCTION("""COMPUTED_VALUE"""),"")</f>
        <v/>
      </c>
      <c r="J554" s="211"/>
      <c r="L554" s="211"/>
      <c r="M554" s="211"/>
      <c r="N554" s="211" t="str">
        <f>IFERROR(__xludf.DUMMYFUNCTION("""COMPUTED_VALUE"""),"")</f>
        <v/>
      </c>
      <c r="O554" s="211" t="str">
        <f>IFERROR(__xludf.DUMMYFUNCTION("""COMPUTED_VALUE"""),"")</f>
        <v/>
      </c>
      <c r="P554" s="224" t="str">
        <f>IFERROR(__xludf.DUMMYFUNCTION("""COMPUTED_VALUE""")," ")</f>
        <v/>
      </c>
      <c r="Q554" s="225" t="str">
        <f>IFERROR(__xludf.DUMMYFUNCTION("""COMPUTED_VALUE"""),"")</f>
        <v/>
      </c>
      <c r="R554" s="211" t="str">
        <f>IFERROR(__xludf.DUMMYFUNCTION("""COMPUTED_VALUE"""),"")</f>
        <v/>
      </c>
      <c r="S554" s="211"/>
      <c r="T554" s="211"/>
      <c r="U554" s="211"/>
    </row>
    <row r="555">
      <c r="A555" s="211"/>
      <c r="B555" s="211"/>
      <c r="C555" s="211"/>
      <c r="D555" s="211" t="str">
        <f>IFERROR(__xludf.DUMMYFUNCTION("""COMPUTED_VALUE"""),"")</f>
        <v/>
      </c>
      <c r="E555" s="211" t="str">
        <f>IFERROR(__xludf.DUMMYFUNCTION("""COMPUTED_VALUE"""),"")</f>
        <v/>
      </c>
      <c r="F555" s="211" t="str">
        <f>IFERROR(__xludf.DUMMYFUNCTION("""COMPUTED_VALUE"""),"")</f>
        <v/>
      </c>
      <c r="G555" s="211"/>
      <c r="H555" s="211"/>
      <c r="I555" s="211" t="str">
        <f>IFERROR(__xludf.DUMMYFUNCTION("""COMPUTED_VALUE"""),"")</f>
        <v/>
      </c>
      <c r="J555" s="211"/>
      <c r="L555" s="211"/>
      <c r="M555" s="211"/>
      <c r="N555" s="211" t="str">
        <f>IFERROR(__xludf.DUMMYFUNCTION("""COMPUTED_VALUE"""),"")</f>
        <v/>
      </c>
      <c r="O555" s="211" t="str">
        <f>IFERROR(__xludf.DUMMYFUNCTION("""COMPUTED_VALUE"""),"")</f>
        <v/>
      </c>
      <c r="P555" s="224" t="str">
        <f>IFERROR(__xludf.DUMMYFUNCTION("""COMPUTED_VALUE""")," ")</f>
        <v/>
      </c>
      <c r="Q555" s="225" t="str">
        <f>IFERROR(__xludf.DUMMYFUNCTION("""COMPUTED_VALUE"""),"")</f>
        <v/>
      </c>
      <c r="R555" s="211" t="str">
        <f>IFERROR(__xludf.DUMMYFUNCTION("""COMPUTED_VALUE"""),"")</f>
        <v/>
      </c>
      <c r="S555" s="211"/>
      <c r="T555" s="211"/>
      <c r="U555" s="211"/>
    </row>
    <row r="556">
      <c r="A556" s="211"/>
      <c r="B556" s="211"/>
      <c r="C556" s="211"/>
      <c r="D556" s="211" t="str">
        <f>IFERROR(__xludf.DUMMYFUNCTION("""COMPUTED_VALUE"""),"")</f>
        <v/>
      </c>
      <c r="E556" s="211" t="str">
        <f>IFERROR(__xludf.DUMMYFUNCTION("""COMPUTED_VALUE"""),"")</f>
        <v/>
      </c>
      <c r="F556" s="211" t="str">
        <f>IFERROR(__xludf.DUMMYFUNCTION("""COMPUTED_VALUE"""),"")</f>
        <v/>
      </c>
      <c r="G556" s="211"/>
      <c r="H556" s="211"/>
      <c r="I556" s="211" t="str">
        <f>IFERROR(__xludf.DUMMYFUNCTION("""COMPUTED_VALUE"""),"")</f>
        <v/>
      </c>
      <c r="J556" s="211"/>
      <c r="L556" s="211"/>
      <c r="M556" s="211"/>
      <c r="N556" s="211" t="str">
        <f>IFERROR(__xludf.DUMMYFUNCTION("""COMPUTED_VALUE"""),"")</f>
        <v/>
      </c>
      <c r="O556" s="211" t="str">
        <f>IFERROR(__xludf.DUMMYFUNCTION("""COMPUTED_VALUE"""),"")</f>
        <v/>
      </c>
      <c r="P556" s="224" t="str">
        <f>IFERROR(__xludf.DUMMYFUNCTION("""COMPUTED_VALUE""")," ")</f>
        <v/>
      </c>
      <c r="Q556" s="225" t="str">
        <f>IFERROR(__xludf.DUMMYFUNCTION("""COMPUTED_VALUE"""),"")</f>
        <v/>
      </c>
      <c r="R556" s="211" t="str">
        <f>IFERROR(__xludf.DUMMYFUNCTION("""COMPUTED_VALUE"""),"")</f>
        <v/>
      </c>
      <c r="S556" s="211"/>
      <c r="T556" s="211"/>
      <c r="U556" s="211"/>
    </row>
    <row r="557">
      <c r="A557" s="211"/>
      <c r="B557" s="211"/>
      <c r="C557" s="211"/>
      <c r="D557" s="211" t="str">
        <f>IFERROR(__xludf.DUMMYFUNCTION("""COMPUTED_VALUE"""),"")</f>
        <v/>
      </c>
      <c r="E557" s="211" t="str">
        <f>IFERROR(__xludf.DUMMYFUNCTION("""COMPUTED_VALUE"""),"")</f>
        <v/>
      </c>
      <c r="F557" s="211" t="str">
        <f>IFERROR(__xludf.DUMMYFUNCTION("""COMPUTED_VALUE"""),"")</f>
        <v/>
      </c>
      <c r="G557" s="211"/>
      <c r="H557" s="211"/>
      <c r="I557" s="211" t="str">
        <f>IFERROR(__xludf.DUMMYFUNCTION("""COMPUTED_VALUE"""),"")</f>
        <v/>
      </c>
      <c r="J557" s="211"/>
      <c r="L557" s="211"/>
      <c r="M557" s="211"/>
      <c r="N557" s="211" t="str">
        <f>IFERROR(__xludf.DUMMYFUNCTION("""COMPUTED_VALUE"""),"")</f>
        <v/>
      </c>
      <c r="O557" s="211" t="str">
        <f>IFERROR(__xludf.DUMMYFUNCTION("""COMPUTED_VALUE"""),"")</f>
        <v/>
      </c>
      <c r="P557" s="224" t="str">
        <f>IFERROR(__xludf.DUMMYFUNCTION("""COMPUTED_VALUE""")," ")</f>
        <v/>
      </c>
      <c r="Q557" s="225" t="str">
        <f>IFERROR(__xludf.DUMMYFUNCTION("""COMPUTED_VALUE"""),"")</f>
        <v/>
      </c>
      <c r="R557" s="211" t="str">
        <f>IFERROR(__xludf.DUMMYFUNCTION("""COMPUTED_VALUE"""),"")</f>
        <v/>
      </c>
      <c r="S557" s="211"/>
      <c r="T557" s="211"/>
      <c r="U557" s="211"/>
    </row>
    <row r="558">
      <c r="A558" s="211"/>
      <c r="B558" s="211"/>
      <c r="C558" s="211"/>
      <c r="D558" s="211" t="str">
        <f>IFERROR(__xludf.DUMMYFUNCTION("""COMPUTED_VALUE"""),"")</f>
        <v/>
      </c>
      <c r="E558" s="211" t="str">
        <f>IFERROR(__xludf.DUMMYFUNCTION("""COMPUTED_VALUE"""),"")</f>
        <v/>
      </c>
      <c r="F558" s="211" t="str">
        <f>IFERROR(__xludf.DUMMYFUNCTION("""COMPUTED_VALUE"""),"")</f>
        <v/>
      </c>
      <c r="G558" s="211"/>
      <c r="H558" s="211"/>
      <c r="I558" s="211" t="str">
        <f>IFERROR(__xludf.DUMMYFUNCTION("""COMPUTED_VALUE"""),"")</f>
        <v/>
      </c>
      <c r="J558" s="211"/>
      <c r="L558" s="211"/>
      <c r="M558" s="211"/>
      <c r="N558" s="211" t="str">
        <f>IFERROR(__xludf.DUMMYFUNCTION("""COMPUTED_VALUE"""),"")</f>
        <v/>
      </c>
      <c r="O558" s="211" t="str">
        <f>IFERROR(__xludf.DUMMYFUNCTION("""COMPUTED_VALUE"""),"")</f>
        <v/>
      </c>
      <c r="P558" s="224" t="str">
        <f>IFERROR(__xludf.DUMMYFUNCTION("""COMPUTED_VALUE""")," ")</f>
        <v/>
      </c>
      <c r="Q558" s="225" t="str">
        <f>IFERROR(__xludf.DUMMYFUNCTION("""COMPUTED_VALUE"""),"")</f>
        <v/>
      </c>
      <c r="R558" s="211" t="str">
        <f>IFERROR(__xludf.DUMMYFUNCTION("""COMPUTED_VALUE"""),"")</f>
        <v/>
      </c>
      <c r="S558" s="211"/>
      <c r="T558" s="211"/>
      <c r="U558" s="211"/>
    </row>
    <row r="559">
      <c r="A559" s="211"/>
      <c r="B559" s="211"/>
      <c r="C559" s="211"/>
      <c r="D559" s="211" t="str">
        <f>IFERROR(__xludf.DUMMYFUNCTION("""COMPUTED_VALUE"""),"")</f>
        <v/>
      </c>
      <c r="E559" s="211" t="str">
        <f>IFERROR(__xludf.DUMMYFUNCTION("""COMPUTED_VALUE"""),"")</f>
        <v/>
      </c>
      <c r="F559" s="211" t="str">
        <f>IFERROR(__xludf.DUMMYFUNCTION("""COMPUTED_VALUE"""),"")</f>
        <v/>
      </c>
      <c r="G559" s="211"/>
      <c r="H559" s="211"/>
      <c r="I559" s="211" t="str">
        <f>IFERROR(__xludf.DUMMYFUNCTION("""COMPUTED_VALUE"""),"")</f>
        <v/>
      </c>
      <c r="J559" s="211"/>
      <c r="L559" s="211"/>
      <c r="M559" s="211"/>
      <c r="N559" s="211" t="str">
        <f>IFERROR(__xludf.DUMMYFUNCTION("""COMPUTED_VALUE"""),"")</f>
        <v/>
      </c>
      <c r="O559" s="211" t="str">
        <f>IFERROR(__xludf.DUMMYFUNCTION("""COMPUTED_VALUE"""),"")</f>
        <v/>
      </c>
      <c r="P559" s="224" t="str">
        <f>IFERROR(__xludf.DUMMYFUNCTION("""COMPUTED_VALUE""")," ")</f>
        <v/>
      </c>
      <c r="Q559" s="225" t="str">
        <f>IFERROR(__xludf.DUMMYFUNCTION("""COMPUTED_VALUE"""),"")</f>
        <v/>
      </c>
      <c r="R559" s="211" t="str">
        <f>IFERROR(__xludf.DUMMYFUNCTION("""COMPUTED_VALUE"""),"")</f>
        <v/>
      </c>
      <c r="S559" s="211"/>
      <c r="T559" s="211"/>
      <c r="U559" s="211"/>
    </row>
    <row r="560">
      <c r="A560" s="211"/>
      <c r="B560" s="211"/>
      <c r="C560" s="211"/>
      <c r="D560" s="211" t="str">
        <f>IFERROR(__xludf.DUMMYFUNCTION("""COMPUTED_VALUE"""),"")</f>
        <v/>
      </c>
      <c r="E560" s="211" t="str">
        <f>IFERROR(__xludf.DUMMYFUNCTION("""COMPUTED_VALUE"""),"")</f>
        <v/>
      </c>
      <c r="F560" s="211" t="str">
        <f>IFERROR(__xludf.DUMMYFUNCTION("""COMPUTED_VALUE"""),"")</f>
        <v/>
      </c>
      <c r="G560" s="211"/>
      <c r="H560" s="211"/>
      <c r="I560" s="211" t="str">
        <f>IFERROR(__xludf.DUMMYFUNCTION("""COMPUTED_VALUE"""),"")</f>
        <v/>
      </c>
      <c r="J560" s="211"/>
      <c r="L560" s="211"/>
      <c r="M560" s="211"/>
      <c r="N560" s="211" t="str">
        <f>IFERROR(__xludf.DUMMYFUNCTION("""COMPUTED_VALUE"""),"")</f>
        <v/>
      </c>
      <c r="O560" s="211" t="str">
        <f>IFERROR(__xludf.DUMMYFUNCTION("""COMPUTED_VALUE"""),"")</f>
        <v/>
      </c>
      <c r="P560" s="224" t="str">
        <f>IFERROR(__xludf.DUMMYFUNCTION("""COMPUTED_VALUE""")," ")</f>
        <v/>
      </c>
      <c r="Q560" s="225" t="str">
        <f>IFERROR(__xludf.DUMMYFUNCTION("""COMPUTED_VALUE"""),"")</f>
        <v/>
      </c>
      <c r="R560" s="211" t="str">
        <f>IFERROR(__xludf.DUMMYFUNCTION("""COMPUTED_VALUE"""),"")</f>
        <v/>
      </c>
      <c r="S560" s="211"/>
      <c r="T560" s="211"/>
      <c r="U560" s="211"/>
    </row>
    <row r="561">
      <c r="A561" s="211"/>
      <c r="B561" s="211"/>
      <c r="C561" s="211"/>
      <c r="D561" s="211" t="str">
        <f>IFERROR(__xludf.DUMMYFUNCTION("""COMPUTED_VALUE"""),"")</f>
        <v/>
      </c>
      <c r="E561" s="211" t="str">
        <f>IFERROR(__xludf.DUMMYFUNCTION("""COMPUTED_VALUE"""),"")</f>
        <v/>
      </c>
      <c r="F561" s="211" t="str">
        <f>IFERROR(__xludf.DUMMYFUNCTION("""COMPUTED_VALUE"""),"")</f>
        <v/>
      </c>
      <c r="G561" s="211"/>
      <c r="H561" s="211"/>
      <c r="I561" s="211" t="str">
        <f>IFERROR(__xludf.DUMMYFUNCTION("""COMPUTED_VALUE"""),"")</f>
        <v/>
      </c>
      <c r="J561" s="211"/>
      <c r="L561" s="211"/>
      <c r="M561" s="211"/>
      <c r="N561" s="211" t="str">
        <f>IFERROR(__xludf.DUMMYFUNCTION("""COMPUTED_VALUE"""),"")</f>
        <v/>
      </c>
      <c r="O561" s="211" t="str">
        <f>IFERROR(__xludf.DUMMYFUNCTION("""COMPUTED_VALUE"""),"")</f>
        <v/>
      </c>
      <c r="P561" s="224" t="str">
        <f>IFERROR(__xludf.DUMMYFUNCTION("""COMPUTED_VALUE""")," ")</f>
        <v/>
      </c>
      <c r="Q561" s="225" t="str">
        <f>IFERROR(__xludf.DUMMYFUNCTION("""COMPUTED_VALUE"""),"")</f>
        <v/>
      </c>
      <c r="R561" s="211" t="str">
        <f>IFERROR(__xludf.DUMMYFUNCTION("""COMPUTED_VALUE"""),"")</f>
        <v/>
      </c>
      <c r="S561" s="211"/>
      <c r="T561" s="211"/>
      <c r="U561" s="211"/>
    </row>
    <row r="562">
      <c r="A562" s="211"/>
      <c r="B562" s="211"/>
      <c r="C562" s="211"/>
      <c r="D562" s="211" t="str">
        <f>IFERROR(__xludf.DUMMYFUNCTION("""COMPUTED_VALUE"""),"")</f>
        <v/>
      </c>
      <c r="E562" s="211" t="str">
        <f>IFERROR(__xludf.DUMMYFUNCTION("""COMPUTED_VALUE"""),"")</f>
        <v/>
      </c>
      <c r="F562" s="211" t="str">
        <f>IFERROR(__xludf.DUMMYFUNCTION("""COMPUTED_VALUE"""),"")</f>
        <v/>
      </c>
      <c r="G562" s="211"/>
      <c r="H562" s="211"/>
      <c r="I562" s="211" t="str">
        <f>IFERROR(__xludf.DUMMYFUNCTION("""COMPUTED_VALUE"""),"")</f>
        <v/>
      </c>
      <c r="J562" s="211"/>
      <c r="L562" s="211"/>
      <c r="M562" s="211"/>
      <c r="N562" s="211" t="str">
        <f>IFERROR(__xludf.DUMMYFUNCTION("""COMPUTED_VALUE"""),"")</f>
        <v/>
      </c>
      <c r="O562" s="211" t="str">
        <f>IFERROR(__xludf.DUMMYFUNCTION("""COMPUTED_VALUE"""),"")</f>
        <v/>
      </c>
      <c r="P562" s="224" t="str">
        <f>IFERROR(__xludf.DUMMYFUNCTION("""COMPUTED_VALUE""")," ")</f>
        <v/>
      </c>
      <c r="Q562" s="225" t="str">
        <f>IFERROR(__xludf.DUMMYFUNCTION("""COMPUTED_VALUE"""),"")</f>
        <v/>
      </c>
      <c r="R562" s="211" t="str">
        <f>IFERROR(__xludf.DUMMYFUNCTION("""COMPUTED_VALUE"""),"")</f>
        <v/>
      </c>
      <c r="S562" s="211"/>
      <c r="T562" s="211"/>
      <c r="U562" s="211"/>
    </row>
    <row r="563">
      <c r="A563" s="211"/>
      <c r="B563" s="211"/>
      <c r="C563" s="211"/>
      <c r="D563" s="211" t="str">
        <f>IFERROR(__xludf.DUMMYFUNCTION("""COMPUTED_VALUE"""),"")</f>
        <v/>
      </c>
      <c r="E563" s="211" t="str">
        <f>IFERROR(__xludf.DUMMYFUNCTION("""COMPUTED_VALUE"""),"")</f>
        <v/>
      </c>
      <c r="F563" s="211" t="str">
        <f>IFERROR(__xludf.DUMMYFUNCTION("""COMPUTED_VALUE"""),"")</f>
        <v/>
      </c>
      <c r="G563" s="211"/>
      <c r="H563" s="211"/>
      <c r="I563" s="211" t="str">
        <f>IFERROR(__xludf.DUMMYFUNCTION("""COMPUTED_VALUE"""),"")</f>
        <v/>
      </c>
      <c r="J563" s="211"/>
      <c r="L563" s="211"/>
      <c r="M563" s="211"/>
      <c r="N563" s="211" t="str">
        <f>IFERROR(__xludf.DUMMYFUNCTION("""COMPUTED_VALUE"""),"")</f>
        <v/>
      </c>
      <c r="O563" s="211" t="str">
        <f>IFERROR(__xludf.DUMMYFUNCTION("""COMPUTED_VALUE"""),"")</f>
        <v/>
      </c>
      <c r="P563" s="224" t="str">
        <f>IFERROR(__xludf.DUMMYFUNCTION("""COMPUTED_VALUE""")," ")</f>
        <v/>
      </c>
      <c r="Q563" s="225" t="str">
        <f>IFERROR(__xludf.DUMMYFUNCTION("""COMPUTED_VALUE"""),"")</f>
        <v/>
      </c>
      <c r="R563" s="211" t="str">
        <f>IFERROR(__xludf.DUMMYFUNCTION("""COMPUTED_VALUE"""),"")</f>
        <v/>
      </c>
      <c r="S563" s="211"/>
      <c r="T563" s="211"/>
      <c r="U563" s="211"/>
    </row>
    <row r="564">
      <c r="A564" s="211"/>
      <c r="B564" s="211"/>
      <c r="C564" s="211"/>
      <c r="D564" s="211" t="str">
        <f>IFERROR(__xludf.DUMMYFUNCTION("""COMPUTED_VALUE"""),"")</f>
        <v/>
      </c>
      <c r="E564" s="211" t="str">
        <f>IFERROR(__xludf.DUMMYFUNCTION("""COMPUTED_VALUE"""),"")</f>
        <v/>
      </c>
      <c r="F564" s="211" t="str">
        <f>IFERROR(__xludf.DUMMYFUNCTION("""COMPUTED_VALUE"""),"")</f>
        <v/>
      </c>
      <c r="G564" s="211"/>
      <c r="H564" s="211"/>
      <c r="I564" s="211" t="str">
        <f>IFERROR(__xludf.DUMMYFUNCTION("""COMPUTED_VALUE"""),"")</f>
        <v/>
      </c>
      <c r="J564" s="211"/>
      <c r="L564" s="211"/>
      <c r="M564" s="211"/>
      <c r="N564" s="211" t="str">
        <f>IFERROR(__xludf.DUMMYFUNCTION("""COMPUTED_VALUE"""),"")</f>
        <v/>
      </c>
      <c r="O564" s="211" t="str">
        <f>IFERROR(__xludf.DUMMYFUNCTION("""COMPUTED_VALUE"""),"")</f>
        <v/>
      </c>
      <c r="P564" s="224" t="str">
        <f>IFERROR(__xludf.DUMMYFUNCTION("""COMPUTED_VALUE""")," ")</f>
        <v/>
      </c>
      <c r="Q564" s="225" t="str">
        <f>IFERROR(__xludf.DUMMYFUNCTION("""COMPUTED_VALUE"""),"")</f>
        <v/>
      </c>
      <c r="R564" s="211" t="str">
        <f>IFERROR(__xludf.DUMMYFUNCTION("""COMPUTED_VALUE"""),"")</f>
        <v/>
      </c>
      <c r="S564" s="211"/>
      <c r="T564" s="211"/>
      <c r="U564" s="211"/>
    </row>
    <row r="565">
      <c r="A565" s="211"/>
      <c r="B565" s="211"/>
      <c r="C565" s="211"/>
      <c r="D565" s="211" t="str">
        <f>IFERROR(__xludf.DUMMYFUNCTION("""COMPUTED_VALUE"""),"")</f>
        <v/>
      </c>
      <c r="E565" s="211" t="str">
        <f>IFERROR(__xludf.DUMMYFUNCTION("""COMPUTED_VALUE"""),"")</f>
        <v/>
      </c>
      <c r="F565" s="211" t="str">
        <f>IFERROR(__xludf.DUMMYFUNCTION("""COMPUTED_VALUE"""),"")</f>
        <v/>
      </c>
      <c r="G565" s="211"/>
      <c r="H565" s="211"/>
      <c r="I565" s="211" t="str">
        <f>IFERROR(__xludf.DUMMYFUNCTION("""COMPUTED_VALUE"""),"")</f>
        <v/>
      </c>
      <c r="J565" s="211"/>
      <c r="L565" s="211"/>
      <c r="M565" s="211"/>
      <c r="N565" s="211" t="str">
        <f>IFERROR(__xludf.DUMMYFUNCTION("""COMPUTED_VALUE"""),"")</f>
        <v/>
      </c>
      <c r="O565" s="211" t="str">
        <f>IFERROR(__xludf.DUMMYFUNCTION("""COMPUTED_VALUE"""),"")</f>
        <v/>
      </c>
      <c r="P565" s="224" t="str">
        <f>IFERROR(__xludf.DUMMYFUNCTION("""COMPUTED_VALUE""")," ")</f>
        <v/>
      </c>
      <c r="Q565" s="225" t="str">
        <f>IFERROR(__xludf.DUMMYFUNCTION("""COMPUTED_VALUE"""),"")</f>
        <v/>
      </c>
      <c r="R565" s="211" t="str">
        <f>IFERROR(__xludf.DUMMYFUNCTION("""COMPUTED_VALUE"""),"")</f>
        <v/>
      </c>
      <c r="S565" s="211"/>
      <c r="T565" s="211"/>
      <c r="U565" s="211"/>
    </row>
    <row r="566">
      <c r="A566" s="211"/>
      <c r="B566" s="211"/>
      <c r="C566" s="211"/>
      <c r="D566" s="211" t="str">
        <f>IFERROR(__xludf.DUMMYFUNCTION("""COMPUTED_VALUE"""),"")</f>
        <v/>
      </c>
      <c r="E566" s="211" t="str">
        <f>IFERROR(__xludf.DUMMYFUNCTION("""COMPUTED_VALUE"""),"")</f>
        <v/>
      </c>
      <c r="F566" s="211" t="str">
        <f>IFERROR(__xludf.DUMMYFUNCTION("""COMPUTED_VALUE"""),"")</f>
        <v/>
      </c>
      <c r="G566" s="211"/>
      <c r="H566" s="211"/>
      <c r="I566" s="211" t="str">
        <f>IFERROR(__xludf.DUMMYFUNCTION("""COMPUTED_VALUE"""),"")</f>
        <v/>
      </c>
      <c r="J566" s="211"/>
      <c r="L566" s="211"/>
      <c r="M566" s="211"/>
      <c r="N566" s="211" t="str">
        <f>IFERROR(__xludf.DUMMYFUNCTION("""COMPUTED_VALUE"""),"")</f>
        <v/>
      </c>
      <c r="O566" s="211" t="str">
        <f>IFERROR(__xludf.DUMMYFUNCTION("""COMPUTED_VALUE"""),"")</f>
        <v/>
      </c>
      <c r="P566" s="224" t="str">
        <f>IFERROR(__xludf.DUMMYFUNCTION("""COMPUTED_VALUE""")," ")</f>
        <v/>
      </c>
      <c r="Q566" s="225" t="str">
        <f>IFERROR(__xludf.DUMMYFUNCTION("""COMPUTED_VALUE"""),"")</f>
        <v/>
      </c>
      <c r="R566" s="211" t="str">
        <f>IFERROR(__xludf.DUMMYFUNCTION("""COMPUTED_VALUE"""),"")</f>
        <v/>
      </c>
      <c r="S566" s="211"/>
      <c r="T566" s="211"/>
      <c r="U566" s="211"/>
    </row>
    <row r="567">
      <c r="A567" s="211"/>
      <c r="B567" s="211"/>
      <c r="C567" s="211"/>
      <c r="D567" s="211" t="str">
        <f>IFERROR(__xludf.DUMMYFUNCTION("""COMPUTED_VALUE"""),"")</f>
        <v/>
      </c>
      <c r="E567" s="211" t="str">
        <f>IFERROR(__xludf.DUMMYFUNCTION("""COMPUTED_VALUE"""),"")</f>
        <v/>
      </c>
      <c r="F567" s="211" t="str">
        <f>IFERROR(__xludf.DUMMYFUNCTION("""COMPUTED_VALUE"""),"")</f>
        <v/>
      </c>
      <c r="G567" s="211"/>
      <c r="H567" s="211"/>
      <c r="I567" s="211" t="str">
        <f>IFERROR(__xludf.DUMMYFUNCTION("""COMPUTED_VALUE"""),"")</f>
        <v/>
      </c>
      <c r="J567" s="211"/>
      <c r="L567" s="211"/>
      <c r="M567" s="211"/>
      <c r="N567" s="211" t="str">
        <f>IFERROR(__xludf.DUMMYFUNCTION("""COMPUTED_VALUE"""),"")</f>
        <v/>
      </c>
      <c r="O567" s="211" t="str">
        <f>IFERROR(__xludf.DUMMYFUNCTION("""COMPUTED_VALUE"""),"")</f>
        <v/>
      </c>
      <c r="P567" s="224" t="str">
        <f>IFERROR(__xludf.DUMMYFUNCTION("""COMPUTED_VALUE""")," ")</f>
        <v/>
      </c>
      <c r="Q567" s="225" t="str">
        <f>IFERROR(__xludf.DUMMYFUNCTION("""COMPUTED_VALUE"""),"")</f>
        <v/>
      </c>
      <c r="R567" s="211" t="str">
        <f>IFERROR(__xludf.DUMMYFUNCTION("""COMPUTED_VALUE"""),"")</f>
        <v/>
      </c>
      <c r="S567" s="211"/>
      <c r="T567" s="211"/>
      <c r="U567" s="211"/>
    </row>
    <row r="568">
      <c r="A568" s="211"/>
      <c r="B568" s="211"/>
      <c r="C568" s="211"/>
      <c r="D568" s="211" t="str">
        <f>IFERROR(__xludf.DUMMYFUNCTION("""COMPUTED_VALUE"""),"")</f>
        <v/>
      </c>
      <c r="E568" s="211" t="str">
        <f>IFERROR(__xludf.DUMMYFUNCTION("""COMPUTED_VALUE"""),"")</f>
        <v/>
      </c>
      <c r="F568" s="211" t="str">
        <f>IFERROR(__xludf.DUMMYFUNCTION("""COMPUTED_VALUE"""),"")</f>
        <v/>
      </c>
      <c r="G568" s="211"/>
      <c r="H568" s="211"/>
      <c r="I568" s="211" t="str">
        <f>IFERROR(__xludf.DUMMYFUNCTION("""COMPUTED_VALUE"""),"")</f>
        <v/>
      </c>
      <c r="J568" s="211"/>
      <c r="L568" s="211"/>
      <c r="M568" s="211"/>
      <c r="N568" s="211" t="str">
        <f>IFERROR(__xludf.DUMMYFUNCTION("""COMPUTED_VALUE"""),"")</f>
        <v/>
      </c>
      <c r="O568" s="211" t="str">
        <f>IFERROR(__xludf.DUMMYFUNCTION("""COMPUTED_VALUE"""),"")</f>
        <v/>
      </c>
      <c r="P568" s="224" t="str">
        <f>IFERROR(__xludf.DUMMYFUNCTION("""COMPUTED_VALUE""")," ")</f>
        <v/>
      </c>
      <c r="Q568" s="225" t="str">
        <f>IFERROR(__xludf.DUMMYFUNCTION("""COMPUTED_VALUE"""),"")</f>
        <v/>
      </c>
      <c r="R568" s="211" t="str">
        <f>IFERROR(__xludf.DUMMYFUNCTION("""COMPUTED_VALUE"""),"")</f>
        <v/>
      </c>
      <c r="S568" s="211"/>
      <c r="T568" s="211"/>
      <c r="U568" s="211"/>
    </row>
    <row r="569">
      <c r="A569" s="211"/>
      <c r="B569" s="211"/>
      <c r="C569" s="211"/>
      <c r="D569" s="211" t="str">
        <f>IFERROR(__xludf.DUMMYFUNCTION("""COMPUTED_VALUE"""),"")</f>
        <v/>
      </c>
      <c r="E569" s="211" t="str">
        <f>IFERROR(__xludf.DUMMYFUNCTION("""COMPUTED_VALUE"""),"")</f>
        <v/>
      </c>
      <c r="F569" s="211" t="str">
        <f>IFERROR(__xludf.DUMMYFUNCTION("""COMPUTED_VALUE"""),"")</f>
        <v/>
      </c>
      <c r="G569" s="211"/>
      <c r="H569" s="211"/>
      <c r="I569" s="211" t="str">
        <f>IFERROR(__xludf.DUMMYFUNCTION("""COMPUTED_VALUE"""),"")</f>
        <v/>
      </c>
      <c r="J569" s="211"/>
      <c r="L569" s="211"/>
      <c r="M569" s="211"/>
      <c r="N569" s="211" t="str">
        <f>IFERROR(__xludf.DUMMYFUNCTION("""COMPUTED_VALUE"""),"")</f>
        <v/>
      </c>
      <c r="O569" s="211" t="str">
        <f>IFERROR(__xludf.DUMMYFUNCTION("""COMPUTED_VALUE"""),"")</f>
        <v/>
      </c>
      <c r="P569" s="224" t="str">
        <f>IFERROR(__xludf.DUMMYFUNCTION("""COMPUTED_VALUE""")," ")</f>
        <v/>
      </c>
      <c r="Q569" s="225" t="str">
        <f>IFERROR(__xludf.DUMMYFUNCTION("""COMPUTED_VALUE"""),"")</f>
        <v/>
      </c>
      <c r="R569" s="211" t="str">
        <f>IFERROR(__xludf.DUMMYFUNCTION("""COMPUTED_VALUE"""),"")</f>
        <v/>
      </c>
      <c r="S569" s="211"/>
      <c r="T569" s="211"/>
      <c r="U569" s="211"/>
    </row>
    <row r="570">
      <c r="A570" s="211"/>
      <c r="B570" s="211"/>
      <c r="C570" s="211"/>
      <c r="D570" s="211" t="str">
        <f>IFERROR(__xludf.DUMMYFUNCTION("""COMPUTED_VALUE"""),"")</f>
        <v/>
      </c>
      <c r="E570" s="211" t="str">
        <f>IFERROR(__xludf.DUMMYFUNCTION("""COMPUTED_VALUE"""),"")</f>
        <v/>
      </c>
      <c r="F570" s="211" t="str">
        <f>IFERROR(__xludf.DUMMYFUNCTION("""COMPUTED_VALUE"""),"")</f>
        <v/>
      </c>
      <c r="G570" s="211"/>
      <c r="H570" s="211"/>
      <c r="I570" s="211" t="str">
        <f>IFERROR(__xludf.DUMMYFUNCTION("""COMPUTED_VALUE"""),"")</f>
        <v/>
      </c>
      <c r="J570" s="211"/>
      <c r="L570" s="211"/>
      <c r="M570" s="211"/>
      <c r="N570" s="211" t="str">
        <f>IFERROR(__xludf.DUMMYFUNCTION("""COMPUTED_VALUE"""),"")</f>
        <v/>
      </c>
      <c r="O570" s="211" t="str">
        <f>IFERROR(__xludf.DUMMYFUNCTION("""COMPUTED_VALUE"""),"")</f>
        <v/>
      </c>
      <c r="P570" s="224" t="str">
        <f>IFERROR(__xludf.DUMMYFUNCTION("""COMPUTED_VALUE""")," ")</f>
        <v/>
      </c>
      <c r="Q570" s="225" t="str">
        <f>IFERROR(__xludf.DUMMYFUNCTION("""COMPUTED_VALUE"""),"")</f>
        <v/>
      </c>
      <c r="R570" s="211" t="str">
        <f>IFERROR(__xludf.DUMMYFUNCTION("""COMPUTED_VALUE"""),"")</f>
        <v/>
      </c>
      <c r="S570" s="211"/>
      <c r="T570" s="211"/>
      <c r="U570" s="211"/>
    </row>
    <row r="571">
      <c r="A571" s="211"/>
      <c r="B571" s="211"/>
      <c r="C571" s="211"/>
      <c r="D571" s="211" t="str">
        <f>IFERROR(__xludf.DUMMYFUNCTION("""COMPUTED_VALUE"""),"")</f>
        <v/>
      </c>
      <c r="E571" s="211" t="str">
        <f>IFERROR(__xludf.DUMMYFUNCTION("""COMPUTED_VALUE"""),"")</f>
        <v/>
      </c>
      <c r="F571" s="211" t="str">
        <f>IFERROR(__xludf.DUMMYFUNCTION("""COMPUTED_VALUE"""),"")</f>
        <v/>
      </c>
      <c r="G571" s="211"/>
      <c r="H571" s="211"/>
      <c r="I571" s="211" t="str">
        <f>IFERROR(__xludf.DUMMYFUNCTION("""COMPUTED_VALUE"""),"")</f>
        <v/>
      </c>
      <c r="J571" s="211"/>
      <c r="L571" s="211"/>
      <c r="M571" s="211"/>
      <c r="N571" s="211" t="str">
        <f>IFERROR(__xludf.DUMMYFUNCTION("""COMPUTED_VALUE"""),"")</f>
        <v/>
      </c>
      <c r="O571" s="211" t="str">
        <f>IFERROR(__xludf.DUMMYFUNCTION("""COMPUTED_VALUE"""),"")</f>
        <v/>
      </c>
      <c r="P571" s="224" t="str">
        <f>IFERROR(__xludf.DUMMYFUNCTION("""COMPUTED_VALUE""")," ")</f>
        <v/>
      </c>
      <c r="Q571" s="225" t="str">
        <f>IFERROR(__xludf.DUMMYFUNCTION("""COMPUTED_VALUE"""),"")</f>
        <v/>
      </c>
      <c r="R571" s="211" t="str">
        <f>IFERROR(__xludf.DUMMYFUNCTION("""COMPUTED_VALUE"""),"")</f>
        <v/>
      </c>
      <c r="S571" s="211"/>
      <c r="T571" s="211"/>
      <c r="U571" s="211"/>
    </row>
    <row r="572">
      <c r="A572" s="211"/>
      <c r="B572" s="211"/>
      <c r="C572" s="211"/>
      <c r="D572" s="211" t="str">
        <f>IFERROR(__xludf.DUMMYFUNCTION("""COMPUTED_VALUE"""),"")</f>
        <v/>
      </c>
      <c r="E572" s="211" t="str">
        <f>IFERROR(__xludf.DUMMYFUNCTION("""COMPUTED_VALUE"""),"")</f>
        <v/>
      </c>
      <c r="F572" s="211" t="str">
        <f>IFERROR(__xludf.DUMMYFUNCTION("""COMPUTED_VALUE"""),"")</f>
        <v/>
      </c>
      <c r="G572" s="211"/>
      <c r="H572" s="211"/>
      <c r="I572" s="211" t="str">
        <f>IFERROR(__xludf.DUMMYFUNCTION("""COMPUTED_VALUE"""),"")</f>
        <v/>
      </c>
      <c r="J572" s="211"/>
      <c r="L572" s="211"/>
      <c r="M572" s="211"/>
      <c r="N572" s="211" t="str">
        <f>IFERROR(__xludf.DUMMYFUNCTION("""COMPUTED_VALUE"""),"")</f>
        <v/>
      </c>
      <c r="O572" s="211" t="str">
        <f>IFERROR(__xludf.DUMMYFUNCTION("""COMPUTED_VALUE"""),"")</f>
        <v/>
      </c>
      <c r="P572" s="224" t="str">
        <f>IFERROR(__xludf.DUMMYFUNCTION("""COMPUTED_VALUE""")," ")</f>
        <v/>
      </c>
      <c r="Q572" s="225" t="str">
        <f>IFERROR(__xludf.DUMMYFUNCTION("""COMPUTED_VALUE"""),"")</f>
        <v/>
      </c>
      <c r="R572" s="211" t="str">
        <f>IFERROR(__xludf.DUMMYFUNCTION("""COMPUTED_VALUE"""),"")</f>
        <v/>
      </c>
      <c r="S572" s="211"/>
      <c r="T572" s="211"/>
      <c r="U572" s="211"/>
    </row>
    <row r="573">
      <c r="A573" s="211"/>
      <c r="B573" s="211"/>
      <c r="C573" s="211"/>
      <c r="D573" s="211" t="str">
        <f>IFERROR(__xludf.DUMMYFUNCTION("""COMPUTED_VALUE"""),"")</f>
        <v/>
      </c>
      <c r="E573" s="211" t="str">
        <f>IFERROR(__xludf.DUMMYFUNCTION("""COMPUTED_VALUE"""),"")</f>
        <v/>
      </c>
      <c r="F573" s="211" t="str">
        <f>IFERROR(__xludf.DUMMYFUNCTION("""COMPUTED_VALUE"""),"")</f>
        <v/>
      </c>
      <c r="G573" s="211"/>
      <c r="H573" s="211"/>
      <c r="I573" s="211" t="str">
        <f>IFERROR(__xludf.DUMMYFUNCTION("""COMPUTED_VALUE"""),"")</f>
        <v/>
      </c>
      <c r="J573" s="211"/>
      <c r="L573" s="211"/>
      <c r="M573" s="211"/>
      <c r="N573" s="211" t="str">
        <f>IFERROR(__xludf.DUMMYFUNCTION("""COMPUTED_VALUE"""),"")</f>
        <v/>
      </c>
      <c r="O573" s="211" t="str">
        <f>IFERROR(__xludf.DUMMYFUNCTION("""COMPUTED_VALUE"""),"")</f>
        <v/>
      </c>
      <c r="P573" s="224" t="str">
        <f>IFERROR(__xludf.DUMMYFUNCTION("""COMPUTED_VALUE""")," ")</f>
        <v/>
      </c>
      <c r="Q573" s="225" t="str">
        <f>IFERROR(__xludf.DUMMYFUNCTION("""COMPUTED_VALUE"""),"")</f>
        <v/>
      </c>
      <c r="R573" s="211" t="str">
        <f>IFERROR(__xludf.DUMMYFUNCTION("""COMPUTED_VALUE"""),"")</f>
        <v/>
      </c>
      <c r="S573" s="211"/>
      <c r="T573" s="211"/>
      <c r="U573" s="211"/>
    </row>
    <row r="574">
      <c r="A574" s="211"/>
      <c r="B574" s="211"/>
      <c r="C574" s="211"/>
      <c r="D574" s="211" t="str">
        <f>IFERROR(__xludf.DUMMYFUNCTION("""COMPUTED_VALUE"""),"")</f>
        <v/>
      </c>
      <c r="E574" s="211" t="str">
        <f>IFERROR(__xludf.DUMMYFUNCTION("""COMPUTED_VALUE"""),"")</f>
        <v/>
      </c>
      <c r="F574" s="211" t="str">
        <f>IFERROR(__xludf.DUMMYFUNCTION("""COMPUTED_VALUE"""),"")</f>
        <v/>
      </c>
      <c r="G574" s="211"/>
      <c r="H574" s="211"/>
      <c r="I574" s="211" t="str">
        <f>IFERROR(__xludf.DUMMYFUNCTION("""COMPUTED_VALUE"""),"")</f>
        <v/>
      </c>
      <c r="J574" s="211"/>
      <c r="L574" s="211"/>
      <c r="M574" s="211"/>
      <c r="N574" s="211" t="str">
        <f>IFERROR(__xludf.DUMMYFUNCTION("""COMPUTED_VALUE"""),"")</f>
        <v/>
      </c>
      <c r="O574" s="211" t="str">
        <f>IFERROR(__xludf.DUMMYFUNCTION("""COMPUTED_VALUE"""),"")</f>
        <v/>
      </c>
      <c r="P574" s="224" t="str">
        <f>IFERROR(__xludf.DUMMYFUNCTION("""COMPUTED_VALUE""")," ")</f>
        <v/>
      </c>
      <c r="Q574" s="225" t="str">
        <f>IFERROR(__xludf.DUMMYFUNCTION("""COMPUTED_VALUE"""),"")</f>
        <v/>
      </c>
      <c r="R574" s="211" t="str">
        <f>IFERROR(__xludf.DUMMYFUNCTION("""COMPUTED_VALUE"""),"")</f>
        <v/>
      </c>
      <c r="S574" s="211"/>
      <c r="T574" s="211"/>
      <c r="U574" s="211"/>
    </row>
    <row r="575">
      <c r="A575" s="211"/>
      <c r="B575" s="211"/>
      <c r="C575" s="211"/>
      <c r="D575" s="211" t="str">
        <f>IFERROR(__xludf.DUMMYFUNCTION("""COMPUTED_VALUE"""),"")</f>
        <v/>
      </c>
      <c r="E575" s="211" t="str">
        <f>IFERROR(__xludf.DUMMYFUNCTION("""COMPUTED_VALUE"""),"")</f>
        <v/>
      </c>
      <c r="F575" s="211" t="str">
        <f>IFERROR(__xludf.DUMMYFUNCTION("""COMPUTED_VALUE"""),"")</f>
        <v/>
      </c>
      <c r="G575" s="211"/>
      <c r="H575" s="211"/>
      <c r="I575" s="211" t="str">
        <f>IFERROR(__xludf.DUMMYFUNCTION("""COMPUTED_VALUE"""),"")</f>
        <v/>
      </c>
      <c r="J575" s="211"/>
      <c r="L575" s="211"/>
      <c r="M575" s="211"/>
      <c r="N575" s="211" t="str">
        <f>IFERROR(__xludf.DUMMYFUNCTION("""COMPUTED_VALUE"""),"")</f>
        <v/>
      </c>
      <c r="O575" s="211" t="str">
        <f>IFERROR(__xludf.DUMMYFUNCTION("""COMPUTED_VALUE"""),"")</f>
        <v/>
      </c>
      <c r="P575" s="224" t="str">
        <f>IFERROR(__xludf.DUMMYFUNCTION("""COMPUTED_VALUE""")," ")</f>
        <v/>
      </c>
      <c r="Q575" s="225" t="str">
        <f>IFERROR(__xludf.DUMMYFUNCTION("""COMPUTED_VALUE"""),"")</f>
        <v/>
      </c>
      <c r="R575" s="211" t="str">
        <f>IFERROR(__xludf.DUMMYFUNCTION("""COMPUTED_VALUE"""),"")</f>
        <v/>
      </c>
      <c r="S575" s="211"/>
      <c r="T575" s="211"/>
      <c r="U575" s="211"/>
    </row>
    <row r="576">
      <c r="A576" s="211"/>
      <c r="B576" s="211"/>
      <c r="C576" s="211"/>
      <c r="D576" s="211" t="str">
        <f>IFERROR(__xludf.DUMMYFUNCTION("""COMPUTED_VALUE"""),"")</f>
        <v/>
      </c>
      <c r="E576" s="211" t="str">
        <f>IFERROR(__xludf.DUMMYFUNCTION("""COMPUTED_VALUE"""),"")</f>
        <v/>
      </c>
      <c r="F576" s="211" t="str">
        <f>IFERROR(__xludf.DUMMYFUNCTION("""COMPUTED_VALUE"""),"")</f>
        <v/>
      </c>
      <c r="G576" s="211"/>
      <c r="H576" s="211"/>
      <c r="I576" s="211" t="str">
        <f>IFERROR(__xludf.DUMMYFUNCTION("""COMPUTED_VALUE"""),"")</f>
        <v/>
      </c>
      <c r="J576" s="211"/>
      <c r="L576" s="211"/>
      <c r="M576" s="211"/>
      <c r="N576" s="211" t="str">
        <f>IFERROR(__xludf.DUMMYFUNCTION("""COMPUTED_VALUE"""),"")</f>
        <v/>
      </c>
      <c r="O576" s="211" t="str">
        <f>IFERROR(__xludf.DUMMYFUNCTION("""COMPUTED_VALUE"""),"")</f>
        <v/>
      </c>
      <c r="P576" s="224" t="str">
        <f>IFERROR(__xludf.DUMMYFUNCTION("""COMPUTED_VALUE""")," ")</f>
        <v/>
      </c>
      <c r="Q576" s="225" t="str">
        <f>IFERROR(__xludf.DUMMYFUNCTION("""COMPUTED_VALUE"""),"")</f>
        <v/>
      </c>
      <c r="R576" s="211" t="str">
        <f>IFERROR(__xludf.DUMMYFUNCTION("""COMPUTED_VALUE"""),"")</f>
        <v/>
      </c>
      <c r="S576" s="211"/>
      <c r="T576" s="211"/>
      <c r="U576" s="211"/>
    </row>
    <row r="577">
      <c r="A577" s="211"/>
      <c r="B577" s="211"/>
      <c r="C577" s="211"/>
      <c r="D577" s="211" t="str">
        <f>IFERROR(__xludf.DUMMYFUNCTION("""COMPUTED_VALUE"""),"")</f>
        <v/>
      </c>
      <c r="E577" s="211" t="str">
        <f>IFERROR(__xludf.DUMMYFUNCTION("""COMPUTED_VALUE"""),"")</f>
        <v/>
      </c>
      <c r="F577" s="211" t="str">
        <f>IFERROR(__xludf.DUMMYFUNCTION("""COMPUTED_VALUE"""),"")</f>
        <v/>
      </c>
      <c r="G577" s="211"/>
      <c r="H577" s="211"/>
      <c r="I577" s="211" t="str">
        <f>IFERROR(__xludf.DUMMYFUNCTION("""COMPUTED_VALUE"""),"")</f>
        <v/>
      </c>
      <c r="J577" s="211"/>
      <c r="L577" s="211"/>
      <c r="M577" s="211"/>
      <c r="N577" s="211" t="str">
        <f>IFERROR(__xludf.DUMMYFUNCTION("""COMPUTED_VALUE"""),"")</f>
        <v/>
      </c>
      <c r="O577" s="211" t="str">
        <f>IFERROR(__xludf.DUMMYFUNCTION("""COMPUTED_VALUE"""),"")</f>
        <v/>
      </c>
      <c r="P577" s="224" t="str">
        <f>IFERROR(__xludf.DUMMYFUNCTION("""COMPUTED_VALUE""")," ")</f>
        <v/>
      </c>
      <c r="Q577" s="225" t="str">
        <f>IFERROR(__xludf.DUMMYFUNCTION("""COMPUTED_VALUE"""),"")</f>
        <v/>
      </c>
      <c r="R577" s="211" t="str">
        <f>IFERROR(__xludf.DUMMYFUNCTION("""COMPUTED_VALUE"""),"")</f>
        <v/>
      </c>
      <c r="S577" s="211"/>
      <c r="T577" s="211"/>
      <c r="U577" s="211"/>
    </row>
    <row r="578">
      <c r="A578" s="211"/>
      <c r="B578" s="211"/>
      <c r="C578" s="211"/>
      <c r="D578" s="211" t="str">
        <f>IFERROR(__xludf.DUMMYFUNCTION("""COMPUTED_VALUE"""),"")</f>
        <v/>
      </c>
      <c r="E578" s="211" t="str">
        <f>IFERROR(__xludf.DUMMYFUNCTION("""COMPUTED_VALUE"""),"")</f>
        <v/>
      </c>
      <c r="F578" s="211" t="str">
        <f>IFERROR(__xludf.DUMMYFUNCTION("""COMPUTED_VALUE"""),"")</f>
        <v/>
      </c>
      <c r="G578" s="211"/>
      <c r="H578" s="211"/>
      <c r="I578" s="211" t="str">
        <f>IFERROR(__xludf.DUMMYFUNCTION("""COMPUTED_VALUE"""),"")</f>
        <v/>
      </c>
      <c r="J578" s="211"/>
      <c r="L578" s="211"/>
      <c r="M578" s="211"/>
      <c r="N578" s="211" t="str">
        <f>IFERROR(__xludf.DUMMYFUNCTION("""COMPUTED_VALUE"""),"")</f>
        <v/>
      </c>
      <c r="O578" s="211" t="str">
        <f>IFERROR(__xludf.DUMMYFUNCTION("""COMPUTED_VALUE"""),"")</f>
        <v/>
      </c>
      <c r="P578" s="224" t="str">
        <f>IFERROR(__xludf.DUMMYFUNCTION("""COMPUTED_VALUE""")," ")</f>
        <v/>
      </c>
      <c r="Q578" s="225" t="str">
        <f>IFERROR(__xludf.DUMMYFUNCTION("""COMPUTED_VALUE"""),"")</f>
        <v/>
      </c>
      <c r="R578" s="211" t="str">
        <f>IFERROR(__xludf.DUMMYFUNCTION("""COMPUTED_VALUE"""),"")</f>
        <v/>
      </c>
      <c r="S578" s="211"/>
      <c r="T578" s="211"/>
      <c r="U578" s="211"/>
    </row>
    <row r="579">
      <c r="A579" s="211"/>
      <c r="B579" s="211"/>
      <c r="C579" s="211"/>
      <c r="D579" s="211" t="str">
        <f>IFERROR(__xludf.DUMMYFUNCTION("""COMPUTED_VALUE"""),"")</f>
        <v/>
      </c>
      <c r="E579" s="211" t="str">
        <f>IFERROR(__xludf.DUMMYFUNCTION("""COMPUTED_VALUE"""),"")</f>
        <v/>
      </c>
      <c r="F579" s="211" t="str">
        <f>IFERROR(__xludf.DUMMYFUNCTION("""COMPUTED_VALUE"""),"")</f>
        <v/>
      </c>
      <c r="G579" s="211"/>
      <c r="H579" s="211"/>
      <c r="I579" s="211" t="str">
        <f>IFERROR(__xludf.DUMMYFUNCTION("""COMPUTED_VALUE"""),"")</f>
        <v/>
      </c>
      <c r="J579" s="211"/>
      <c r="L579" s="211"/>
      <c r="M579" s="211"/>
      <c r="N579" s="211" t="str">
        <f>IFERROR(__xludf.DUMMYFUNCTION("""COMPUTED_VALUE"""),"")</f>
        <v/>
      </c>
      <c r="O579" s="211" t="str">
        <f>IFERROR(__xludf.DUMMYFUNCTION("""COMPUTED_VALUE"""),"")</f>
        <v/>
      </c>
      <c r="P579" s="224" t="str">
        <f>IFERROR(__xludf.DUMMYFUNCTION("""COMPUTED_VALUE""")," ")</f>
        <v/>
      </c>
      <c r="Q579" s="225" t="str">
        <f>IFERROR(__xludf.DUMMYFUNCTION("""COMPUTED_VALUE"""),"")</f>
        <v/>
      </c>
      <c r="R579" s="211" t="str">
        <f>IFERROR(__xludf.DUMMYFUNCTION("""COMPUTED_VALUE"""),"")</f>
        <v/>
      </c>
      <c r="S579" s="211"/>
      <c r="T579" s="211"/>
      <c r="U579" s="211"/>
    </row>
    <row r="580">
      <c r="A580" s="211"/>
      <c r="B580" s="211"/>
      <c r="C580" s="211"/>
      <c r="D580" s="211" t="str">
        <f>IFERROR(__xludf.DUMMYFUNCTION("""COMPUTED_VALUE"""),"")</f>
        <v/>
      </c>
      <c r="E580" s="211" t="str">
        <f>IFERROR(__xludf.DUMMYFUNCTION("""COMPUTED_VALUE"""),"")</f>
        <v/>
      </c>
      <c r="F580" s="211" t="str">
        <f>IFERROR(__xludf.DUMMYFUNCTION("""COMPUTED_VALUE"""),"")</f>
        <v/>
      </c>
      <c r="G580" s="211"/>
      <c r="H580" s="211"/>
      <c r="I580" s="211" t="str">
        <f>IFERROR(__xludf.DUMMYFUNCTION("""COMPUTED_VALUE"""),"")</f>
        <v/>
      </c>
      <c r="J580" s="211"/>
      <c r="L580" s="211"/>
      <c r="M580" s="211"/>
      <c r="N580" s="211" t="str">
        <f>IFERROR(__xludf.DUMMYFUNCTION("""COMPUTED_VALUE"""),"")</f>
        <v/>
      </c>
      <c r="O580" s="211" t="str">
        <f>IFERROR(__xludf.DUMMYFUNCTION("""COMPUTED_VALUE"""),"")</f>
        <v/>
      </c>
      <c r="P580" s="224" t="str">
        <f>IFERROR(__xludf.DUMMYFUNCTION("""COMPUTED_VALUE""")," ")</f>
        <v/>
      </c>
      <c r="Q580" s="225" t="str">
        <f>IFERROR(__xludf.DUMMYFUNCTION("""COMPUTED_VALUE"""),"")</f>
        <v/>
      </c>
      <c r="R580" s="211" t="str">
        <f>IFERROR(__xludf.DUMMYFUNCTION("""COMPUTED_VALUE"""),"")</f>
        <v/>
      </c>
      <c r="S580" s="211"/>
      <c r="T580" s="211"/>
      <c r="U580" s="211"/>
    </row>
    <row r="581">
      <c r="A581" s="211"/>
      <c r="B581" s="211"/>
      <c r="C581" s="211"/>
      <c r="D581" s="211" t="str">
        <f>IFERROR(__xludf.DUMMYFUNCTION("""COMPUTED_VALUE"""),"")</f>
        <v/>
      </c>
      <c r="E581" s="211" t="str">
        <f>IFERROR(__xludf.DUMMYFUNCTION("""COMPUTED_VALUE"""),"")</f>
        <v/>
      </c>
      <c r="F581" s="211" t="str">
        <f>IFERROR(__xludf.DUMMYFUNCTION("""COMPUTED_VALUE"""),"")</f>
        <v/>
      </c>
      <c r="G581" s="211"/>
      <c r="H581" s="211"/>
      <c r="I581" s="211" t="str">
        <f>IFERROR(__xludf.DUMMYFUNCTION("""COMPUTED_VALUE"""),"")</f>
        <v/>
      </c>
      <c r="J581" s="211"/>
      <c r="L581" s="211"/>
      <c r="M581" s="211"/>
      <c r="N581" s="211" t="str">
        <f>IFERROR(__xludf.DUMMYFUNCTION("""COMPUTED_VALUE"""),"")</f>
        <v/>
      </c>
      <c r="O581" s="211" t="str">
        <f>IFERROR(__xludf.DUMMYFUNCTION("""COMPUTED_VALUE"""),"")</f>
        <v/>
      </c>
      <c r="P581" s="224" t="str">
        <f>IFERROR(__xludf.DUMMYFUNCTION("""COMPUTED_VALUE""")," ")</f>
        <v/>
      </c>
      <c r="Q581" s="225" t="str">
        <f>IFERROR(__xludf.DUMMYFUNCTION("""COMPUTED_VALUE"""),"")</f>
        <v/>
      </c>
      <c r="R581" s="211" t="str">
        <f>IFERROR(__xludf.DUMMYFUNCTION("""COMPUTED_VALUE"""),"")</f>
        <v/>
      </c>
      <c r="S581" s="211"/>
      <c r="T581" s="211"/>
      <c r="U581" s="211"/>
    </row>
    <row r="582">
      <c r="A582" s="211"/>
      <c r="B582" s="211"/>
      <c r="C582" s="211"/>
      <c r="D582" s="211" t="str">
        <f>IFERROR(__xludf.DUMMYFUNCTION("""COMPUTED_VALUE"""),"")</f>
        <v/>
      </c>
      <c r="E582" s="211" t="str">
        <f>IFERROR(__xludf.DUMMYFUNCTION("""COMPUTED_VALUE"""),"")</f>
        <v/>
      </c>
      <c r="F582" s="211" t="str">
        <f>IFERROR(__xludf.DUMMYFUNCTION("""COMPUTED_VALUE"""),"")</f>
        <v/>
      </c>
      <c r="G582" s="211"/>
      <c r="H582" s="211"/>
      <c r="I582" s="211" t="str">
        <f>IFERROR(__xludf.DUMMYFUNCTION("""COMPUTED_VALUE"""),"")</f>
        <v/>
      </c>
      <c r="J582" s="211"/>
      <c r="L582" s="211"/>
      <c r="M582" s="211"/>
      <c r="N582" s="211" t="str">
        <f>IFERROR(__xludf.DUMMYFUNCTION("""COMPUTED_VALUE"""),"")</f>
        <v/>
      </c>
      <c r="O582" s="211" t="str">
        <f>IFERROR(__xludf.DUMMYFUNCTION("""COMPUTED_VALUE"""),"")</f>
        <v/>
      </c>
      <c r="P582" s="224" t="str">
        <f>IFERROR(__xludf.DUMMYFUNCTION("""COMPUTED_VALUE""")," ")</f>
        <v/>
      </c>
      <c r="Q582" s="225" t="str">
        <f>IFERROR(__xludf.DUMMYFUNCTION("""COMPUTED_VALUE"""),"")</f>
        <v/>
      </c>
      <c r="R582" s="211" t="str">
        <f>IFERROR(__xludf.DUMMYFUNCTION("""COMPUTED_VALUE"""),"")</f>
        <v/>
      </c>
      <c r="S582" s="211"/>
      <c r="T582" s="211"/>
      <c r="U582" s="211"/>
    </row>
    <row r="583">
      <c r="A583" s="211"/>
      <c r="B583" s="211"/>
      <c r="C583" s="211"/>
      <c r="D583" s="211" t="str">
        <f>IFERROR(__xludf.DUMMYFUNCTION("""COMPUTED_VALUE"""),"")</f>
        <v/>
      </c>
      <c r="E583" s="211" t="str">
        <f>IFERROR(__xludf.DUMMYFUNCTION("""COMPUTED_VALUE"""),"")</f>
        <v/>
      </c>
      <c r="F583" s="211" t="str">
        <f>IFERROR(__xludf.DUMMYFUNCTION("""COMPUTED_VALUE"""),"")</f>
        <v/>
      </c>
      <c r="G583" s="211"/>
      <c r="H583" s="211"/>
      <c r="I583" s="211" t="str">
        <f>IFERROR(__xludf.DUMMYFUNCTION("""COMPUTED_VALUE"""),"")</f>
        <v/>
      </c>
      <c r="J583" s="211"/>
      <c r="L583" s="211"/>
      <c r="M583" s="211"/>
      <c r="N583" s="211" t="str">
        <f>IFERROR(__xludf.DUMMYFUNCTION("""COMPUTED_VALUE"""),"")</f>
        <v/>
      </c>
      <c r="O583" s="211" t="str">
        <f>IFERROR(__xludf.DUMMYFUNCTION("""COMPUTED_VALUE"""),"")</f>
        <v/>
      </c>
      <c r="P583" s="224" t="str">
        <f>IFERROR(__xludf.DUMMYFUNCTION("""COMPUTED_VALUE""")," ")</f>
        <v/>
      </c>
      <c r="Q583" s="225" t="str">
        <f>IFERROR(__xludf.DUMMYFUNCTION("""COMPUTED_VALUE"""),"")</f>
        <v/>
      </c>
      <c r="R583" s="211" t="str">
        <f>IFERROR(__xludf.DUMMYFUNCTION("""COMPUTED_VALUE"""),"")</f>
        <v/>
      </c>
      <c r="S583" s="211"/>
      <c r="T583" s="211"/>
      <c r="U583" s="211"/>
    </row>
    <row r="584">
      <c r="A584" s="211"/>
      <c r="B584" s="211"/>
      <c r="C584" s="211"/>
      <c r="D584" s="211" t="str">
        <f>IFERROR(__xludf.DUMMYFUNCTION("""COMPUTED_VALUE"""),"")</f>
        <v/>
      </c>
      <c r="E584" s="211" t="str">
        <f>IFERROR(__xludf.DUMMYFUNCTION("""COMPUTED_VALUE"""),"")</f>
        <v/>
      </c>
      <c r="F584" s="211" t="str">
        <f>IFERROR(__xludf.DUMMYFUNCTION("""COMPUTED_VALUE"""),"")</f>
        <v/>
      </c>
      <c r="G584" s="211"/>
      <c r="H584" s="211"/>
      <c r="I584" s="211" t="str">
        <f>IFERROR(__xludf.DUMMYFUNCTION("""COMPUTED_VALUE"""),"")</f>
        <v/>
      </c>
      <c r="J584" s="211"/>
      <c r="L584" s="211"/>
      <c r="M584" s="211"/>
      <c r="N584" s="211" t="str">
        <f>IFERROR(__xludf.DUMMYFUNCTION("""COMPUTED_VALUE"""),"")</f>
        <v/>
      </c>
      <c r="O584" s="211" t="str">
        <f>IFERROR(__xludf.DUMMYFUNCTION("""COMPUTED_VALUE"""),"")</f>
        <v/>
      </c>
      <c r="P584" s="224" t="str">
        <f>IFERROR(__xludf.DUMMYFUNCTION("""COMPUTED_VALUE""")," ")</f>
        <v/>
      </c>
      <c r="Q584" s="225" t="str">
        <f>IFERROR(__xludf.DUMMYFUNCTION("""COMPUTED_VALUE"""),"")</f>
        <v/>
      </c>
      <c r="R584" s="211" t="str">
        <f>IFERROR(__xludf.DUMMYFUNCTION("""COMPUTED_VALUE"""),"")</f>
        <v/>
      </c>
      <c r="S584" s="211"/>
      <c r="T584" s="211"/>
      <c r="U584" s="211"/>
    </row>
    <row r="585">
      <c r="A585" s="211"/>
      <c r="B585" s="211"/>
      <c r="C585" s="211"/>
      <c r="D585" s="211" t="str">
        <f>IFERROR(__xludf.DUMMYFUNCTION("""COMPUTED_VALUE"""),"")</f>
        <v/>
      </c>
      <c r="E585" s="211" t="str">
        <f>IFERROR(__xludf.DUMMYFUNCTION("""COMPUTED_VALUE"""),"")</f>
        <v/>
      </c>
      <c r="F585" s="211" t="str">
        <f>IFERROR(__xludf.DUMMYFUNCTION("""COMPUTED_VALUE"""),"")</f>
        <v/>
      </c>
      <c r="G585" s="211"/>
      <c r="H585" s="211"/>
      <c r="I585" s="211" t="str">
        <f>IFERROR(__xludf.DUMMYFUNCTION("""COMPUTED_VALUE"""),"")</f>
        <v/>
      </c>
      <c r="J585" s="211"/>
      <c r="L585" s="211"/>
      <c r="M585" s="211"/>
      <c r="N585" s="211" t="str">
        <f>IFERROR(__xludf.DUMMYFUNCTION("""COMPUTED_VALUE"""),"")</f>
        <v/>
      </c>
      <c r="O585" s="211" t="str">
        <f>IFERROR(__xludf.DUMMYFUNCTION("""COMPUTED_VALUE"""),"")</f>
        <v/>
      </c>
      <c r="P585" s="224" t="str">
        <f>IFERROR(__xludf.DUMMYFUNCTION("""COMPUTED_VALUE""")," ")</f>
        <v/>
      </c>
      <c r="Q585" s="225" t="str">
        <f>IFERROR(__xludf.DUMMYFUNCTION("""COMPUTED_VALUE"""),"")</f>
        <v/>
      </c>
      <c r="R585" s="211" t="str">
        <f>IFERROR(__xludf.DUMMYFUNCTION("""COMPUTED_VALUE"""),"")</f>
        <v/>
      </c>
      <c r="S585" s="211"/>
      <c r="T585" s="211"/>
      <c r="U585" s="211"/>
    </row>
    <row r="586">
      <c r="A586" s="211"/>
      <c r="B586" s="211"/>
      <c r="C586" s="211"/>
      <c r="D586" s="211" t="str">
        <f>IFERROR(__xludf.DUMMYFUNCTION("""COMPUTED_VALUE"""),"")</f>
        <v/>
      </c>
      <c r="E586" s="211" t="str">
        <f>IFERROR(__xludf.DUMMYFUNCTION("""COMPUTED_VALUE"""),"")</f>
        <v/>
      </c>
      <c r="F586" s="211" t="str">
        <f>IFERROR(__xludf.DUMMYFUNCTION("""COMPUTED_VALUE"""),"")</f>
        <v/>
      </c>
      <c r="G586" s="211"/>
      <c r="H586" s="211"/>
      <c r="I586" s="211" t="str">
        <f>IFERROR(__xludf.DUMMYFUNCTION("""COMPUTED_VALUE"""),"")</f>
        <v/>
      </c>
      <c r="J586" s="211"/>
      <c r="L586" s="211"/>
      <c r="M586" s="211"/>
      <c r="N586" s="211" t="str">
        <f>IFERROR(__xludf.DUMMYFUNCTION("""COMPUTED_VALUE"""),"")</f>
        <v/>
      </c>
      <c r="O586" s="211" t="str">
        <f>IFERROR(__xludf.DUMMYFUNCTION("""COMPUTED_VALUE"""),"")</f>
        <v/>
      </c>
      <c r="P586" s="224" t="str">
        <f>IFERROR(__xludf.DUMMYFUNCTION("""COMPUTED_VALUE""")," ")</f>
        <v/>
      </c>
      <c r="Q586" s="225" t="str">
        <f>IFERROR(__xludf.DUMMYFUNCTION("""COMPUTED_VALUE"""),"")</f>
        <v/>
      </c>
      <c r="R586" s="211" t="str">
        <f>IFERROR(__xludf.DUMMYFUNCTION("""COMPUTED_VALUE"""),"")</f>
        <v/>
      </c>
      <c r="S586" s="211"/>
      <c r="T586" s="211"/>
      <c r="U586" s="211"/>
    </row>
    <row r="587">
      <c r="A587" s="211"/>
      <c r="B587" s="211"/>
      <c r="C587" s="211"/>
      <c r="D587" s="211" t="str">
        <f>IFERROR(__xludf.DUMMYFUNCTION("""COMPUTED_VALUE"""),"")</f>
        <v/>
      </c>
      <c r="E587" s="211" t="str">
        <f>IFERROR(__xludf.DUMMYFUNCTION("""COMPUTED_VALUE"""),"")</f>
        <v/>
      </c>
      <c r="F587" s="211" t="str">
        <f>IFERROR(__xludf.DUMMYFUNCTION("""COMPUTED_VALUE"""),"")</f>
        <v/>
      </c>
      <c r="G587" s="211"/>
      <c r="H587" s="211"/>
      <c r="I587" s="211" t="str">
        <f>IFERROR(__xludf.DUMMYFUNCTION("""COMPUTED_VALUE"""),"")</f>
        <v/>
      </c>
      <c r="J587" s="211"/>
      <c r="L587" s="211"/>
      <c r="M587" s="211"/>
      <c r="N587" s="211" t="str">
        <f>IFERROR(__xludf.DUMMYFUNCTION("""COMPUTED_VALUE"""),"")</f>
        <v/>
      </c>
      <c r="O587" s="211" t="str">
        <f>IFERROR(__xludf.DUMMYFUNCTION("""COMPUTED_VALUE"""),"")</f>
        <v/>
      </c>
      <c r="P587" s="224" t="str">
        <f>IFERROR(__xludf.DUMMYFUNCTION("""COMPUTED_VALUE""")," ")</f>
        <v/>
      </c>
      <c r="Q587" s="225" t="str">
        <f>IFERROR(__xludf.DUMMYFUNCTION("""COMPUTED_VALUE"""),"")</f>
        <v/>
      </c>
      <c r="R587" s="211" t="str">
        <f>IFERROR(__xludf.DUMMYFUNCTION("""COMPUTED_VALUE"""),"")</f>
        <v/>
      </c>
      <c r="S587" s="211"/>
      <c r="T587" s="211"/>
      <c r="U587" s="211"/>
    </row>
    <row r="588">
      <c r="A588" s="211"/>
      <c r="B588" s="211"/>
      <c r="C588" s="211"/>
      <c r="D588" s="211" t="str">
        <f>IFERROR(__xludf.DUMMYFUNCTION("""COMPUTED_VALUE"""),"")</f>
        <v/>
      </c>
      <c r="E588" s="211" t="str">
        <f>IFERROR(__xludf.DUMMYFUNCTION("""COMPUTED_VALUE"""),"")</f>
        <v/>
      </c>
      <c r="F588" s="211" t="str">
        <f>IFERROR(__xludf.DUMMYFUNCTION("""COMPUTED_VALUE"""),"")</f>
        <v/>
      </c>
      <c r="G588" s="211"/>
      <c r="H588" s="211"/>
      <c r="I588" s="211" t="str">
        <f>IFERROR(__xludf.DUMMYFUNCTION("""COMPUTED_VALUE"""),"")</f>
        <v/>
      </c>
      <c r="J588" s="211"/>
      <c r="L588" s="211"/>
      <c r="M588" s="211"/>
      <c r="N588" s="211" t="str">
        <f>IFERROR(__xludf.DUMMYFUNCTION("""COMPUTED_VALUE"""),"")</f>
        <v/>
      </c>
      <c r="O588" s="211" t="str">
        <f>IFERROR(__xludf.DUMMYFUNCTION("""COMPUTED_VALUE"""),"")</f>
        <v/>
      </c>
      <c r="P588" s="224" t="str">
        <f>IFERROR(__xludf.DUMMYFUNCTION("""COMPUTED_VALUE""")," ")</f>
        <v/>
      </c>
      <c r="Q588" s="225" t="str">
        <f>IFERROR(__xludf.DUMMYFUNCTION("""COMPUTED_VALUE"""),"")</f>
        <v/>
      </c>
      <c r="R588" s="211" t="str">
        <f>IFERROR(__xludf.DUMMYFUNCTION("""COMPUTED_VALUE"""),"")</f>
        <v/>
      </c>
      <c r="S588" s="211"/>
      <c r="T588" s="211"/>
      <c r="U588" s="211"/>
    </row>
    <row r="589">
      <c r="A589" s="211"/>
      <c r="B589" s="211"/>
      <c r="C589" s="211"/>
      <c r="D589" s="211" t="str">
        <f>IFERROR(__xludf.DUMMYFUNCTION("""COMPUTED_VALUE"""),"")</f>
        <v/>
      </c>
      <c r="E589" s="211" t="str">
        <f>IFERROR(__xludf.DUMMYFUNCTION("""COMPUTED_VALUE"""),"")</f>
        <v/>
      </c>
      <c r="F589" s="211" t="str">
        <f>IFERROR(__xludf.DUMMYFUNCTION("""COMPUTED_VALUE"""),"")</f>
        <v/>
      </c>
      <c r="G589" s="211"/>
      <c r="H589" s="211"/>
      <c r="I589" s="211" t="str">
        <f>IFERROR(__xludf.DUMMYFUNCTION("""COMPUTED_VALUE"""),"")</f>
        <v/>
      </c>
      <c r="J589" s="211"/>
      <c r="L589" s="211"/>
      <c r="M589" s="211"/>
      <c r="N589" s="211" t="str">
        <f>IFERROR(__xludf.DUMMYFUNCTION("""COMPUTED_VALUE"""),"")</f>
        <v/>
      </c>
      <c r="O589" s="211" t="str">
        <f>IFERROR(__xludf.DUMMYFUNCTION("""COMPUTED_VALUE"""),"")</f>
        <v/>
      </c>
      <c r="P589" s="224" t="str">
        <f>IFERROR(__xludf.DUMMYFUNCTION("""COMPUTED_VALUE""")," ")</f>
        <v/>
      </c>
      <c r="Q589" s="225" t="str">
        <f>IFERROR(__xludf.DUMMYFUNCTION("""COMPUTED_VALUE"""),"")</f>
        <v/>
      </c>
      <c r="R589" s="211" t="str">
        <f>IFERROR(__xludf.DUMMYFUNCTION("""COMPUTED_VALUE"""),"")</f>
        <v/>
      </c>
      <c r="S589" s="211"/>
      <c r="T589" s="211"/>
      <c r="U589" s="211"/>
    </row>
    <row r="590">
      <c r="A590" s="211"/>
      <c r="B590" s="211"/>
      <c r="C590" s="211"/>
      <c r="D590" s="211" t="str">
        <f>IFERROR(__xludf.DUMMYFUNCTION("""COMPUTED_VALUE"""),"")</f>
        <v/>
      </c>
      <c r="E590" s="211" t="str">
        <f>IFERROR(__xludf.DUMMYFUNCTION("""COMPUTED_VALUE"""),"")</f>
        <v/>
      </c>
      <c r="F590" s="211" t="str">
        <f>IFERROR(__xludf.DUMMYFUNCTION("""COMPUTED_VALUE"""),"")</f>
        <v/>
      </c>
      <c r="G590" s="211"/>
      <c r="H590" s="211"/>
      <c r="I590" s="211" t="str">
        <f>IFERROR(__xludf.DUMMYFUNCTION("""COMPUTED_VALUE"""),"")</f>
        <v/>
      </c>
      <c r="J590" s="211"/>
      <c r="L590" s="211"/>
      <c r="M590" s="211"/>
      <c r="N590" s="211" t="str">
        <f>IFERROR(__xludf.DUMMYFUNCTION("""COMPUTED_VALUE"""),"")</f>
        <v/>
      </c>
      <c r="O590" s="211" t="str">
        <f>IFERROR(__xludf.DUMMYFUNCTION("""COMPUTED_VALUE"""),"")</f>
        <v/>
      </c>
      <c r="P590" s="224" t="str">
        <f>IFERROR(__xludf.DUMMYFUNCTION("""COMPUTED_VALUE""")," ")</f>
        <v/>
      </c>
      <c r="Q590" s="225" t="str">
        <f>IFERROR(__xludf.DUMMYFUNCTION("""COMPUTED_VALUE"""),"")</f>
        <v/>
      </c>
      <c r="R590" s="211" t="str">
        <f>IFERROR(__xludf.DUMMYFUNCTION("""COMPUTED_VALUE"""),"")</f>
        <v/>
      </c>
      <c r="S590" s="211"/>
      <c r="T590" s="211"/>
      <c r="U590" s="211"/>
    </row>
    <row r="591">
      <c r="A591" s="211"/>
      <c r="B591" s="211"/>
      <c r="C591" s="211"/>
      <c r="D591" s="211" t="str">
        <f>IFERROR(__xludf.DUMMYFUNCTION("""COMPUTED_VALUE"""),"")</f>
        <v/>
      </c>
      <c r="E591" s="211" t="str">
        <f>IFERROR(__xludf.DUMMYFUNCTION("""COMPUTED_VALUE"""),"")</f>
        <v/>
      </c>
      <c r="F591" s="211" t="str">
        <f>IFERROR(__xludf.DUMMYFUNCTION("""COMPUTED_VALUE"""),"")</f>
        <v/>
      </c>
      <c r="G591" s="211"/>
      <c r="H591" s="211"/>
      <c r="I591" s="211" t="str">
        <f>IFERROR(__xludf.DUMMYFUNCTION("""COMPUTED_VALUE"""),"")</f>
        <v/>
      </c>
      <c r="J591" s="211"/>
      <c r="L591" s="211"/>
      <c r="M591" s="211"/>
      <c r="N591" s="211" t="str">
        <f>IFERROR(__xludf.DUMMYFUNCTION("""COMPUTED_VALUE"""),"")</f>
        <v/>
      </c>
      <c r="O591" s="211" t="str">
        <f>IFERROR(__xludf.DUMMYFUNCTION("""COMPUTED_VALUE"""),"")</f>
        <v/>
      </c>
      <c r="P591" s="224" t="str">
        <f>IFERROR(__xludf.DUMMYFUNCTION("""COMPUTED_VALUE""")," ")</f>
        <v/>
      </c>
      <c r="Q591" s="225" t="str">
        <f>IFERROR(__xludf.DUMMYFUNCTION("""COMPUTED_VALUE"""),"")</f>
        <v/>
      </c>
      <c r="R591" s="211" t="str">
        <f>IFERROR(__xludf.DUMMYFUNCTION("""COMPUTED_VALUE"""),"")</f>
        <v/>
      </c>
      <c r="S591" s="211"/>
      <c r="T591" s="211"/>
      <c r="U591" s="211"/>
    </row>
    <row r="592">
      <c r="A592" s="211"/>
      <c r="B592" s="211"/>
      <c r="C592" s="211"/>
      <c r="D592" s="211" t="str">
        <f>IFERROR(__xludf.DUMMYFUNCTION("""COMPUTED_VALUE"""),"")</f>
        <v/>
      </c>
      <c r="E592" s="211" t="str">
        <f>IFERROR(__xludf.DUMMYFUNCTION("""COMPUTED_VALUE"""),"")</f>
        <v/>
      </c>
      <c r="F592" s="211" t="str">
        <f>IFERROR(__xludf.DUMMYFUNCTION("""COMPUTED_VALUE"""),"")</f>
        <v/>
      </c>
      <c r="G592" s="211"/>
      <c r="H592" s="211"/>
      <c r="I592" s="211" t="str">
        <f>IFERROR(__xludf.DUMMYFUNCTION("""COMPUTED_VALUE"""),"")</f>
        <v/>
      </c>
      <c r="J592" s="211"/>
      <c r="L592" s="211"/>
      <c r="M592" s="211"/>
      <c r="N592" s="211" t="str">
        <f>IFERROR(__xludf.DUMMYFUNCTION("""COMPUTED_VALUE"""),"")</f>
        <v/>
      </c>
      <c r="O592" s="211" t="str">
        <f>IFERROR(__xludf.DUMMYFUNCTION("""COMPUTED_VALUE"""),"")</f>
        <v/>
      </c>
      <c r="P592" s="224" t="str">
        <f>IFERROR(__xludf.DUMMYFUNCTION("""COMPUTED_VALUE""")," ")</f>
        <v/>
      </c>
      <c r="Q592" s="225" t="str">
        <f>IFERROR(__xludf.DUMMYFUNCTION("""COMPUTED_VALUE"""),"")</f>
        <v/>
      </c>
      <c r="R592" s="211" t="str">
        <f>IFERROR(__xludf.DUMMYFUNCTION("""COMPUTED_VALUE"""),"")</f>
        <v/>
      </c>
      <c r="S592" s="211"/>
      <c r="T592" s="211"/>
      <c r="U592" s="211"/>
    </row>
    <row r="593">
      <c r="A593" s="211"/>
      <c r="B593" s="211"/>
      <c r="C593" s="211"/>
      <c r="D593" s="211" t="str">
        <f>IFERROR(__xludf.DUMMYFUNCTION("""COMPUTED_VALUE"""),"")</f>
        <v/>
      </c>
      <c r="E593" s="211" t="str">
        <f>IFERROR(__xludf.DUMMYFUNCTION("""COMPUTED_VALUE"""),"")</f>
        <v/>
      </c>
      <c r="F593" s="211" t="str">
        <f>IFERROR(__xludf.DUMMYFUNCTION("""COMPUTED_VALUE"""),"")</f>
        <v/>
      </c>
      <c r="G593" s="211"/>
      <c r="H593" s="211"/>
      <c r="I593" s="211" t="str">
        <f>IFERROR(__xludf.DUMMYFUNCTION("""COMPUTED_VALUE"""),"")</f>
        <v/>
      </c>
      <c r="J593" s="211"/>
      <c r="L593" s="211"/>
      <c r="M593" s="211"/>
      <c r="N593" s="211" t="str">
        <f>IFERROR(__xludf.DUMMYFUNCTION("""COMPUTED_VALUE"""),"")</f>
        <v/>
      </c>
      <c r="O593" s="211" t="str">
        <f>IFERROR(__xludf.DUMMYFUNCTION("""COMPUTED_VALUE"""),"")</f>
        <v/>
      </c>
      <c r="P593" s="224" t="str">
        <f>IFERROR(__xludf.DUMMYFUNCTION("""COMPUTED_VALUE""")," ")</f>
        <v/>
      </c>
      <c r="Q593" s="225" t="str">
        <f>IFERROR(__xludf.DUMMYFUNCTION("""COMPUTED_VALUE"""),"")</f>
        <v/>
      </c>
      <c r="R593" s="211" t="str">
        <f>IFERROR(__xludf.DUMMYFUNCTION("""COMPUTED_VALUE"""),"")</f>
        <v/>
      </c>
      <c r="S593" s="211"/>
      <c r="T593" s="211"/>
      <c r="U593" s="211"/>
    </row>
    <row r="594">
      <c r="A594" s="211"/>
      <c r="B594" s="211"/>
      <c r="C594" s="211"/>
      <c r="D594" s="211" t="str">
        <f>IFERROR(__xludf.DUMMYFUNCTION("""COMPUTED_VALUE"""),"")</f>
        <v/>
      </c>
      <c r="E594" s="211" t="str">
        <f>IFERROR(__xludf.DUMMYFUNCTION("""COMPUTED_VALUE"""),"")</f>
        <v/>
      </c>
      <c r="F594" s="211" t="str">
        <f>IFERROR(__xludf.DUMMYFUNCTION("""COMPUTED_VALUE"""),"")</f>
        <v/>
      </c>
      <c r="G594" s="211"/>
      <c r="H594" s="211"/>
      <c r="I594" s="211" t="str">
        <f>IFERROR(__xludf.DUMMYFUNCTION("""COMPUTED_VALUE"""),"")</f>
        <v/>
      </c>
      <c r="J594" s="211"/>
      <c r="L594" s="211"/>
      <c r="M594" s="211"/>
      <c r="N594" s="211" t="str">
        <f>IFERROR(__xludf.DUMMYFUNCTION("""COMPUTED_VALUE"""),"")</f>
        <v/>
      </c>
      <c r="O594" s="211" t="str">
        <f>IFERROR(__xludf.DUMMYFUNCTION("""COMPUTED_VALUE"""),"")</f>
        <v/>
      </c>
      <c r="P594" s="224" t="str">
        <f>IFERROR(__xludf.DUMMYFUNCTION("""COMPUTED_VALUE""")," ")</f>
        <v/>
      </c>
      <c r="Q594" s="225" t="str">
        <f>IFERROR(__xludf.DUMMYFUNCTION("""COMPUTED_VALUE"""),"")</f>
        <v/>
      </c>
      <c r="R594" s="211" t="str">
        <f>IFERROR(__xludf.DUMMYFUNCTION("""COMPUTED_VALUE"""),"")</f>
        <v/>
      </c>
      <c r="S594" s="211"/>
      <c r="T594" s="211"/>
      <c r="U594" s="211"/>
    </row>
    <row r="595">
      <c r="A595" s="211"/>
      <c r="B595" s="211"/>
      <c r="C595" s="211"/>
      <c r="D595" s="211" t="str">
        <f>IFERROR(__xludf.DUMMYFUNCTION("""COMPUTED_VALUE"""),"")</f>
        <v/>
      </c>
      <c r="E595" s="211" t="str">
        <f>IFERROR(__xludf.DUMMYFUNCTION("""COMPUTED_VALUE"""),"")</f>
        <v/>
      </c>
      <c r="F595" s="211" t="str">
        <f>IFERROR(__xludf.DUMMYFUNCTION("""COMPUTED_VALUE"""),"")</f>
        <v/>
      </c>
      <c r="G595" s="211"/>
      <c r="H595" s="211"/>
      <c r="I595" s="211" t="str">
        <f>IFERROR(__xludf.DUMMYFUNCTION("""COMPUTED_VALUE"""),"")</f>
        <v/>
      </c>
      <c r="J595" s="211"/>
      <c r="L595" s="211"/>
      <c r="M595" s="211"/>
      <c r="N595" s="211" t="str">
        <f>IFERROR(__xludf.DUMMYFUNCTION("""COMPUTED_VALUE"""),"")</f>
        <v/>
      </c>
      <c r="O595" s="211" t="str">
        <f>IFERROR(__xludf.DUMMYFUNCTION("""COMPUTED_VALUE"""),"")</f>
        <v/>
      </c>
      <c r="P595" s="224" t="str">
        <f>IFERROR(__xludf.DUMMYFUNCTION("""COMPUTED_VALUE""")," ")</f>
        <v/>
      </c>
      <c r="Q595" s="225" t="str">
        <f>IFERROR(__xludf.DUMMYFUNCTION("""COMPUTED_VALUE"""),"")</f>
        <v/>
      </c>
      <c r="R595" s="211" t="str">
        <f>IFERROR(__xludf.DUMMYFUNCTION("""COMPUTED_VALUE"""),"")</f>
        <v/>
      </c>
      <c r="S595" s="211"/>
      <c r="T595" s="211"/>
      <c r="U595" s="211"/>
    </row>
    <row r="596">
      <c r="A596" s="211"/>
      <c r="B596" s="211"/>
      <c r="C596" s="211"/>
      <c r="D596" s="211" t="str">
        <f>IFERROR(__xludf.DUMMYFUNCTION("""COMPUTED_VALUE"""),"")</f>
        <v/>
      </c>
      <c r="E596" s="211" t="str">
        <f>IFERROR(__xludf.DUMMYFUNCTION("""COMPUTED_VALUE"""),"")</f>
        <v/>
      </c>
      <c r="F596" s="211" t="str">
        <f>IFERROR(__xludf.DUMMYFUNCTION("""COMPUTED_VALUE"""),"")</f>
        <v/>
      </c>
      <c r="G596" s="211"/>
      <c r="H596" s="211"/>
      <c r="I596" s="211" t="str">
        <f>IFERROR(__xludf.DUMMYFUNCTION("""COMPUTED_VALUE"""),"")</f>
        <v/>
      </c>
      <c r="J596" s="211"/>
      <c r="L596" s="211"/>
      <c r="M596" s="211"/>
      <c r="N596" s="211" t="str">
        <f>IFERROR(__xludf.DUMMYFUNCTION("""COMPUTED_VALUE"""),"")</f>
        <v/>
      </c>
      <c r="O596" s="211" t="str">
        <f>IFERROR(__xludf.DUMMYFUNCTION("""COMPUTED_VALUE"""),"")</f>
        <v/>
      </c>
      <c r="P596" s="224" t="str">
        <f>IFERROR(__xludf.DUMMYFUNCTION("""COMPUTED_VALUE""")," ")</f>
        <v/>
      </c>
      <c r="Q596" s="225" t="str">
        <f>IFERROR(__xludf.DUMMYFUNCTION("""COMPUTED_VALUE"""),"")</f>
        <v/>
      </c>
      <c r="R596" s="211" t="str">
        <f>IFERROR(__xludf.DUMMYFUNCTION("""COMPUTED_VALUE"""),"")</f>
        <v/>
      </c>
      <c r="S596" s="211"/>
      <c r="T596" s="211"/>
      <c r="U596" s="211"/>
    </row>
    <row r="597">
      <c r="A597" s="211"/>
      <c r="B597" s="211"/>
      <c r="C597" s="211"/>
      <c r="D597" s="211" t="str">
        <f>IFERROR(__xludf.DUMMYFUNCTION("""COMPUTED_VALUE"""),"")</f>
        <v/>
      </c>
      <c r="E597" s="211" t="str">
        <f>IFERROR(__xludf.DUMMYFUNCTION("""COMPUTED_VALUE"""),"")</f>
        <v/>
      </c>
      <c r="F597" s="211" t="str">
        <f>IFERROR(__xludf.DUMMYFUNCTION("""COMPUTED_VALUE"""),"")</f>
        <v/>
      </c>
      <c r="G597" s="211"/>
      <c r="H597" s="211"/>
      <c r="I597" s="211" t="str">
        <f>IFERROR(__xludf.DUMMYFUNCTION("""COMPUTED_VALUE"""),"")</f>
        <v/>
      </c>
      <c r="J597" s="211"/>
      <c r="L597" s="211"/>
      <c r="M597" s="211"/>
      <c r="N597" s="211" t="str">
        <f>IFERROR(__xludf.DUMMYFUNCTION("""COMPUTED_VALUE"""),"")</f>
        <v/>
      </c>
      <c r="O597" s="211" t="str">
        <f>IFERROR(__xludf.DUMMYFUNCTION("""COMPUTED_VALUE"""),"")</f>
        <v/>
      </c>
      <c r="P597" s="224" t="str">
        <f>IFERROR(__xludf.DUMMYFUNCTION("""COMPUTED_VALUE""")," ")</f>
        <v/>
      </c>
      <c r="Q597" s="225" t="str">
        <f>IFERROR(__xludf.DUMMYFUNCTION("""COMPUTED_VALUE"""),"")</f>
        <v/>
      </c>
      <c r="R597" s="211" t="str">
        <f>IFERROR(__xludf.DUMMYFUNCTION("""COMPUTED_VALUE"""),"")</f>
        <v/>
      </c>
      <c r="S597" s="211"/>
      <c r="T597" s="211"/>
      <c r="U597" s="211"/>
    </row>
    <row r="598">
      <c r="A598" s="211"/>
      <c r="B598" s="211"/>
      <c r="C598" s="211"/>
      <c r="D598" s="211" t="str">
        <f>IFERROR(__xludf.DUMMYFUNCTION("""COMPUTED_VALUE"""),"")</f>
        <v/>
      </c>
      <c r="E598" s="211" t="str">
        <f>IFERROR(__xludf.DUMMYFUNCTION("""COMPUTED_VALUE"""),"")</f>
        <v/>
      </c>
      <c r="F598" s="211" t="str">
        <f>IFERROR(__xludf.DUMMYFUNCTION("""COMPUTED_VALUE"""),"")</f>
        <v/>
      </c>
      <c r="G598" s="211"/>
      <c r="H598" s="211"/>
      <c r="I598" s="211" t="str">
        <f>IFERROR(__xludf.DUMMYFUNCTION("""COMPUTED_VALUE"""),"")</f>
        <v/>
      </c>
      <c r="J598" s="211"/>
      <c r="L598" s="211"/>
      <c r="M598" s="211"/>
      <c r="N598" s="211" t="str">
        <f>IFERROR(__xludf.DUMMYFUNCTION("""COMPUTED_VALUE"""),"")</f>
        <v/>
      </c>
      <c r="O598" s="211" t="str">
        <f>IFERROR(__xludf.DUMMYFUNCTION("""COMPUTED_VALUE"""),"")</f>
        <v/>
      </c>
      <c r="P598" s="224" t="str">
        <f>IFERROR(__xludf.DUMMYFUNCTION("""COMPUTED_VALUE""")," ")</f>
        <v/>
      </c>
      <c r="Q598" s="225" t="str">
        <f>IFERROR(__xludf.DUMMYFUNCTION("""COMPUTED_VALUE"""),"")</f>
        <v/>
      </c>
      <c r="R598" s="211" t="str">
        <f>IFERROR(__xludf.DUMMYFUNCTION("""COMPUTED_VALUE"""),"")</f>
        <v/>
      </c>
      <c r="S598" s="211"/>
      <c r="T598" s="211"/>
      <c r="U598" s="211"/>
    </row>
    <row r="599">
      <c r="A599" s="211"/>
      <c r="B599" s="211"/>
      <c r="C599" s="211"/>
      <c r="D599" s="211" t="str">
        <f>IFERROR(__xludf.DUMMYFUNCTION("""COMPUTED_VALUE"""),"")</f>
        <v/>
      </c>
      <c r="E599" s="211" t="str">
        <f>IFERROR(__xludf.DUMMYFUNCTION("""COMPUTED_VALUE"""),"")</f>
        <v/>
      </c>
      <c r="F599" s="211" t="str">
        <f>IFERROR(__xludf.DUMMYFUNCTION("""COMPUTED_VALUE"""),"")</f>
        <v/>
      </c>
      <c r="G599" s="211"/>
      <c r="H599" s="211"/>
      <c r="I599" s="211" t="str">
        <f>IFERROR(__xludf.DUMMYFUNCTION("""COMPUTED_VALUE"""),"")</f>
        <v/>
      </c>
      <c r="J599" s="211"/>
      <c r="L599" s="211"/>
      <c r="M599" s="211"/>
      <c r="N599" s="211" t="str">
        <f>IFERROR(__xludf.DUMMYFUNCTION("""COMPUTED_VALUE"""),"")</f>
        <v/>
      </c>
      <c r="O599" s="211" t="str">
        <f>IFERROR(__xludf.DUMMYFUNCTION("""COMPUTED_VALUE"""),"")</f>
        <v/>
      </c>
      <c r="P599" s="224" t="str">
        <f>IFERROR(__xludf.DUMMYFUNCTION("""COMPUTED_VALUE""")," ")</f>
        <v/>
      </c>
      <c r="Q599" s="225" t="str">
        <f>IFERROR(__xludf.DUMMYFUNCTION("""COMPUTED_VALUE"""),"")</f>
        <v/>
      </c>
      <c r="R599" s="211" t="str">
        <f>IFERROR(__xludf.DUMMYFUNCTION("""COMPUTED_VALUE"""),"")</f>
        <v/>
      </c>
      <c r="S599" s="211"/>
      <c r="T599" s="211"/>
      <c r="U599" s="211"/>
    </row>
    <row r="600">
      <c r="A600" s="211"/>
      <c r="B600" s="211"/>
      <c r="C600" s="211"/>
      <c r="D600" s="211" t="str">
        <f>IFERROR(__xludf.DUMMYFUNCTION("""COMPUTED_VALUE"""),"")</f>
        <v/>
      </c>
      <c r="E600" s="211" t="str">
        <f>IFERROR(__xludf.DUMMYFUNCTION("""COMPUTED_VALUE"""),"")</f>
        <v/>
      </c>
      <c r="F600" s="211" t="str">
        <f>IFERROR(__xludf.DUMMYFUNCTION("""COMPUTED_VALUE"""),"")</f>
        <v/>
      </c>
      <c r="G600" s="211"/>
      <c r="H600" s="211"/>
      <c r="I600" s="211" t="str">
        <f>IFERROR(__xludf.DUMMYFUNCTION("""COMPUTED_VALUE"""),"")</f>
        <v/>
      </c>
      <c r="J600" s="211"/>
      <c r="L600" s="211"/>
      <c r="M600" s="211"/>
      <c r="N600" s="211" t="str">
        <f>IFERROR(__xludf.DUMMYFUNCTION("""COMPUTED_VALUE"""),"")</f>
        <v/>
      </c>
      <c r="O600" s="211" t="str">
        <f>IFERROR(__xludf.DUMMYFUNCTION("""COMPUTED_VALUE"""),"")</f>
        <v/>
      </c>
      <c r="P600" s="224" t="str">
        <f>IFERROR(__xludf.DUMMYFUNCTION("""COMPUTED_VALUE""")," ")</f>
        <v/>
      </c>
      <c r="Q600" s="225" t="str">
        <f>IFERROR(__xludf.DUMMYFUNCTION("""COMPUTED_VALUE"""),"")</f>
        <v/>
      </c>
      <c r="R600" s="211" t="str">
        <f>IFERROR(__xludf.DUMMYFUNCTION("""COMPUTED_VALUE"""),"")</f>
        <v/>
      </c>
      <c r="S600" s="211"/>
      <c r="T600" s="211"/>
      <c r="U600" s="211"/>
    </row>
    <row r="601">
      <c r="A601" s="211"/>
      <c r="B601" s="211"/>
      <c r="C601" s="211"/>
      <c r="D601" s="211" t="str">
        <f>IFERROR(__xludf.DUMMYFUNCTION("""COMPUTED_VALUE"""),"")</f>
        <v/>
      </c>
      <c r="E601" s="211" t="str">
        <f>IFERROR(__xludf.DUMMYFUNCTION("""COMPUTED_VALUE"""),"")</f>
        <v/>
      </c>
      <c r="F601" s="211" t="str">
        <f>IFERROR(__xludf.DUMMYFUNCTION("""COMPUTED_VALUE"""),"")</f>
        <v/>
      </c>
      <c r="G601" s="211"/>
      <c r="H601" s="211"/>
      <c r="I601" s="211" t="str">
        <f>IFERROR(__xludf.DUMMYFUNCTION("""COMPUTED_VALUE"""),"")</f>
        <v/>
      </c>
      <c r="J601" s="211"/>
      <c r="L601" s="211"/>
      <c r="M601" s="211"/>
      <c r="N601" s="211" t="str">
        <f>IFERROR(__xludf.DUMMYFUNCTION("""COMPUTED_VALUE"""),"")</f>
        <v/>
      </c>
      <c r="O601" s="211" t="str">
        <f>IFERROR(__xludf.DUMMYFUNCTION("""COMPUTED_VALUE"""),"")</f>
        <v/>
      </c>
      <c r="P601" s="224" t="str">
        <f>IFERROR(__xludf.DUMMYFUNCTION("""COMPUTED_VALUE""")," ")</f>
        <v/>
      </c>
      <c r="Q601" s="225" t="str">
        <f>IFERROR(__xludf.DUMMYFUNCTION("""COMPUTED_VALUE"""),"")</f>
        <v/>
      </c>
      <c r="R601" s="211" t="str">
        <f>IFERROR(__xludf.DUMMYFUNCTION("""COMPUTED_VALUE"""),"")</f>
        <v/>
      </c>
      <c r="S601" s="211"/>
      <c r="T601" s="211"/>
      <c r="U601" s="211"/>
    </row>
    <row r="602">
      <c r="A602" s="211"/>
      <c r="B602" s="211"/>
      <c r="C602" s="211"/>
      <c r="D602" s="211" t="str">
        <f>IFERROR(__xludf.DUMMYFUNCTION("""COMPUTED_VALUE"""),"")</f>
        <v/>
      </c>
      <c r="E602" s="211" t="str">
        <f>IFERROR(__xludf.DUMMYFUNCTION("""COMPUTED_VALUE"""),"")</f>
        <v/>
      </c>
      <c r="F602" s="211" t="str">
        <f>IFERROR(__xludf.DUMMYFUNCTION("""COMPUTED_VALUE"""),"")</f>
        <v/>
      </c>
      <c r="G602" s="211"/>
      <c r="H602" s="211"/>
      <c r="I602" s="211" t="str">
        <f>IFERROR(__xludf.DUMMYFUNCTION("""COMPUTED_VALUE"""),"")</f>
        <v/>
      </c>
      <c r="J602" s="211"/>
      <c r="L602" s="211"/>
      <c r="M602" s="211"/>
      <c r="N602" s="211" t="str">
        <f>IFERROR(__xludf.DUMMYFUNCTION("""COMPUTED_VALUE"""),"")</f>
        <v/>
      </c>
      <c r="O602" s="211" t="str">
        <f>IFERROR(__xludf.DUMMYFUNCTION("""COMPUTED_VALUE"""),"")</f>
        <v/>
      </c>
      <c r="P602" s="224" t="str">
        <f>IFERROR(__xludf.DUMMYFUNCTION("""COMPUTED_VALUE""")," ")</f>
        <v/>
      </c>
      <c r="Q602" s="225" t="str">
        <f>IFERROR(__xludf.DUMMYFUNCTION("""COMPUTED_VALUE"""),"")</f>
        <v/>
      </c>
      <c r="R602" s="211" t="str">
        <f>IFERROR(__xludf.DUMMYFUNCTION("""COMPUTED_VALUE"""),"")</f>
        <v/>
      </c>
      <c r="S602" s="211"/>
      <c r="T602" s="211"/>
      <c r="U602" s="211"/>
    </row>
    <row r="603">
      <c r="A603" s="211"/>
      <c r="B603" s="211"/>
      <c r="C603" s="211"/>
      <c r="D603" s="211" t="str">
        <f>IFERROR(__xludf.DUMMYFUNCTION("""COMPUTED_VALUE"""),"")</f>
        <v/>
      </c>
      <c r="E603" s="211" t="str">
        <f>IFERROR(__xludf.DUMMYFUNCTION("""COMPUTED_VALUE"""),"")</f>
        <v/>
      </c>
      <c r="F603" s="211" t="str">
        <f>IFERROR(__xludf.DUMMYFUNCTION("""COMPUTED_VALUE"""),"")</f>
        <v/>
      </c>
      <c r="G603" s="211"/>
      <c r="H603" s="211"/>
      <c r="I603" s="211" t="str">
        <f>IFERROR(__xludf.DUMMYFUNCTION("""COMPUTED_VALUE"""),"")</f>
        <v/>
      </c>
      <c r="J603" s="211"/>
      <c r="L603" s="211"/>
      <c r="M603" s="211"/>
      <c r="N603" s="211" t="str">
        <f>IFERROR(__xludf.DUMMYFUNCTION("""COMPUTED_VALUE"""),"")</f>
        <v/>
      </c>
      <c r="O603" s="211" t="str">
        <f>IFERROR(__xludf.DUMMYFUNCTION("""COMPUTED_VALUE"""),"")</f>
        <v/>
      </c>
      <c r="P603" s="224" t="str">
        <f>IFERROR(__xludf.DUMMYFUNCTION("""COMPUTED_VALUE""")," ")</f>
        <v/>
      </c>
      <c r="Q603" s="225" t="str">
        <f>IFERROR(__xludf.DUMMYFUNCTION("""COMPUTED_VALUE"""),"")</f>
        <v/>
      </c>
      <c r="R603" s="211" t="str">
        <f>IFERROR(__xludf.DUMMYFUNCTION("""COMPUTED_VALUE"""),"")</f>
        <v/>
      </c>
      <c r="S603" s="211"/>
      <c r="T603" s="211"/>
      <c r="U603" s="211"/>
    </row>
    <row r="604">
      <c r="A604" s="211"/>
      <c r="B604" s="211"/>
      <c r="C604" s="211"/>
      <c r="D604" s="211" t="str">
        <f>IFERROR(__xludf.DUMMYFUNCTION("""COMPUTED_VALUE"""),"")</f>
        <v/>
      </c>
      <c r="E604" s="211" t="str">
        <f>IFERROR(__xludf.DUMMYFUNCTION("""COMPUTED_VALUE"""),"")</f>
        <v/>
      </c>
      <c r="F604" s="211" t="str">
        <f>IFERROR(__xludf.DUMMYFUNCTION("""COMPUTED_VALUE"""),"")</f>
        <v/>
      </c>
      <c r="G604" s="211"/>
      <c r="H604" s="211"/>
      <c r="I604" s="211" t="str">
        <f>IFERROR(__xludf.DUMMYFUNCTION("""COMPUTED_VALUE"""),"")</f>
        <v/>
      </c>
      <c r="J604" s="211"/>
      <c r="L604" s="211"/>
      <c r="M604" s="211"/>
      <c r="N604" s="211" t="str">
        <f>IFERROR(__xludf.DUMMYFUNCTION("""COMPUTED_VALUE"""),"")</f>
        <v/>
      </c>
      <c r="O604" s="211" t="str">
        <f>IFERROR(__xludf.DUMMYFUNCTION("""COMPUTED_VALUE"""),"")</f>
        <v/>
      </c>
      <c r="P604" s="224" t="str">
        <f>IFERROR(__xludf.DUMMYFUNCTION("""COMPUTED_VALUE""")," ")</f>
        <v/>
      </c>
      <c r="Q604" s="225" t="str">
        <f>IFERROR(__xludf.DUMMYFUNCTION("""COMPUTED_VALUE"""),"")</f>
        <v/>
      </c>
      <c r="R604" s="211" t="str">
        <f>IFERROR(__xludf.DUMMYFUNCTION("""COMPUTED_VALUE"""),"")</f>
        <v/>
      </c>
      <c r="S604" s="211"/>
      <c r="T604" s="211"/>
      <c r="U604" s="211"/>
    </row>
    <row r="605">
      <c r="A605" s="211"/>
      <c r="B605" s="211"/>
      <c r="C605" s="211"/>
      <c r="D605" s="211" t="str">
        <f>IFERROR(__xludf.DUMMYFUNCTION("""COMPUTED_VALUE"""),"")</f>
        <v/>
      </c>
      <c r="E605" s="211" t="str">
        <f>IFERROR(__xludf.DUMMYFUNCTION("""COMPUTED_VALUE"""),"")</f>
        <v/>
      </c>
      <c r="F605" s="211" t="str">
        <f>IFERROR(__xludf.DUMMYFUNCTION("""COMPUTED_VALUE"""),"")</f>
        <v/>
      </c>
      <c r="G605" s="211"/>
      <c r="H605" s="211"/>
      <c r="I605" s="211" t="str">
        <f>IFERROR(__xludf.DUMMYFUNCTION("""COMPUTED_VALUE"""),"")</f>
        <v/>
      </c>
      <c r="J605" s="211"/>
      <c r="L605" s="211"/>
      <c r="M605" s="211"/>
      <c r="N605" s="211" t="str">
        <f>IFERROR(__xludf.DUMMYFUNCTION("""COMPUTED_VALUE"""),"")</f>
        <v/>
      </c>
      <c r="O605" s="211" t="str">
        <f>IFERROR(__xludf.DUMMYFUNCTION("""COMPUTED_VALUE"""),"")</f>
        <v/>
      </c>
      <c r="P605" s="224" t="str">
        <f>IFERROR(__xludf.DUMMYFUNCTION("""COMPUTED_VALUE""")," ")</f>
        <v/>
      </c>
      <c r="Q605" s="225" t="str">
        <f>IFERROR(__xludf.DUMMYFUNCTION("""COMPUTED_VALUE"""),"")</f>
        <v/>
      </c>
      <c r="R605" s="211" t="str">
        <f>IFERROR(__xludf.DUMMYFUNCTION("""COMPUTED_VALUE"""),"")</f>
        <v/>
      </c>
      <c r="S605" s="211"/>
      <c r="T605" s="211"/>
      <c r="U605" s="211"/>
    </row>
    <row r="606">
      <c r="A606" s="211"/>
      <c r="B606" s="211"/>
      <c r="C606" s="211"/>
      <c r="D606" s="211" t="str">
        <f>IFERROR(__xludf.DUMMYFUNCTION("""COMPUTED_VALUE"""),"")</f>
        <v/>
      </c>
      <c r="E606" s="211" t="str">
        <f>IFERROR(__xludf.DUMMYFUNCTION("""COMPUTED_VALUE"""),"")</f>
        <v/>
      </c>
      <c r="F606" s="211" t="str">
        <f>IFERROR(__xludf.DUMMYFUNCTION("""COMPUTED_VALUE"""),"")</f>
        <v/>
      </c>
      <c r="G606" s="211"/>
      <c r="H606" s="211"/>
      <c r="I606" s="211" t="str">
        <f>IFERROR(__xludf.DUMMYFUNCTION("""COMPUTED_VALUE"""),"")</f>
        <v/>
      </c>
      <c r="J606" s="211"/>
      <c r="L606" s="211"/>
      <c r="M606" s="211"/>
      <c r="N606" s="211" t="str">
        <f>IFERROR(__xludf.DUMMYFUNCTION("""COMPUTED_VALUE"""),"")</f>
        <v/>
      </c>
      <c r="O606" s="211" t="str">
        <f>IFERROR(__xludf.DUMMYFUNCTION("""COMPUTED_VALUE"""),"")</f>
        <v/>
      </c>
      <c r="P606" s="224" t="str">
        <f>IFERROR(__xludf.DUMMYFUNCTION("""COMPUTED_VALUE""")," ")</f>
        <v/>
      </c>
      <c r="Q606" s="225" t="str">
        <f>IFERROR(__xludf.DUMMYFUNCTION("""COMPUTED_VALUE"""),"")</f>
        <v/>
      </c>
      <c r="R606" s="211" t="str">
        <f>IFERROR(__xludf.DUMMYFUNCTION("""COMPUTED_VALUE"""),"")</f>
        <v/>
      </c>
      <c r="S606" s="211"/>
      <c r="T606" s="211"/>
      <c r="U606" s="211"/>
    </row>
    <row r="607">
      <c r="A607" s="211"/>
      <c r="B607" s="211"/>
      <c r="C607" s="211"/>
      <c r="D607" s="211" t="str">
        <f>IFERROR(__xludf.DUMMYFUNCTION("""COMPUTED_VALUE"""),"")</f>
        <v/>
      </c>
      <c r="E607" s="211" t="str">
        <f>IFERROR(__xludf.DUMMYFUNCTION("""COMPUTED_VALUE"""),"")</f>
        <v/>
      </c>
      <c r="F607" s="211" t="str">
        <f>IFERROR(__xludf.DUMMYFUNCTION("""COMPUTED_VALUE"""),"")</f>
        <v/>
      </c>
      <c r="G607" s="211"/>
      <c r="H607" s="211"/>
      <c r="I607" s="211" t="str">
        <f>IFERROR(__xludf.DUMMYFUNCTION("""COMPUTED_VALUE"""),"")</f>
        <v/>
      </c>
      <c r="J607" s="211"/>
      <c r="L607" s="211"/>
      <c r="M607" s="211"/>
      <c r="N607" s="211" t="str">
        <f>IFERROR(__xludf.DUMMYFUNCTION("""COMPUTED_VALUE"""),"")</f>
        <v/>
      </c>
      <c r="O607" s="211" t="str">
        <f>IFERROR(__xludf.DUMMYFUNCTION("""COMPUTED_VALUE"""),"")</f>
        <v/>
      </c>
      <c r="P607" s="224" t="str">
        <f>IFERROR(__xludf.DUMMYFUNCTION("""COMPUTED_VALUE""")," ")</f>
        <v/>
      </c>
      <c r="Q607" s="225" t="str">
        <f>IFERROR(__xludf.DUMMYFUNCTION("""COMPUTED_VALUE"""),"")</f>
        <v/>
      </c>
      <c r="R607" s="211" t="str">
        <f>IFERROR(__xludf.DUMMYFUNCTION("""COMPUTED_VALUE"""),"")</f>
        <v/>
      </c>
      <c r="S607" s="211"/>
      <c r="T607" s="211"/>
      <c r="U607" s="211"/>
    </row>
    <row r="608">
      <c r="A608" s="211"/>
      <c r="B608" s="211"/>
      <c r="C608" s="211"/>
      <c r="D608" s="211" t="str">
        <f>IFERROR(__xludf.DUMMYFUNCTION("""COMPUTED_VALUE"""),"")</f>
        <v/>
      </c>
      <c r="E608" s="211" t="str">
        <f>IFERROR(__xludf.DUMMYFUNCTION("""COMPUTED_VALUE"""),"")</f>
        <v/>
      </c>
      <c r="F608" s="211" t="str">
        <f>IFERROR(__xludf.DUMMYFUNCTION("""COMPUTED_VALUE"""),"")</f>
        <v/>
      </c>
      <c r="G608" s="211"/>
      <c r="H608" s="211"/>
      <c r="I608" s="211" t="str">
        <f>IFERROR(__xludf.DUMMYFUNCTION("""COMPUTED_VALUE"""),"")</f>
        <v/>
      </c>
      <c r="J608" s="211"/>
      <c r="L608" s="211"/>
      <c r="M608" s="211"/>
      <c r="N608" s="211" t="str">
        <f>IFERROR(__xludf.DUMMYFUNCTION("""COMPUTED_VALUE"""),"")</f>
        <v/>
      </c>
      <c r="O608" s="211" t="str">
        <f>IFERROR(__xludf.DUMMYFUNCTION("""COMPUTED_VALUE"""),"")</f>
        <v/>
      </c>
      <c r="P608" s="224" t="str">
        <f>IFERROR(__xludf.DUMMYFUNCTION("""COMPUTED_VALUE""")," ")</f>
        <v/>
      </c>
      <c r="Q608" s="225" t="str">
        <f>IFERROR(__xludf.DUMMYFUNCTION("""COMPUTED_VALUE"""),"")</f>
        <v/>
      </c>
      <c r="R608" s="211" t="str">
        <f>IFERROR(__xludf.DUMMYFUNCTION("""COMPUTED_VALUE"""),"")</f>
        <v/>
      </c>
      <c r="S608" s="211"/>
      <c r="T608" s="211"/>
      <c r="U608" s="211"/>
    </row>
    <row r="609">
      <c r="A609" s="211"/>
      <c r="B609" s="211"/>
      <c r="C609" s="211"/>
      <c r="D609" s="211" t="str">
        <f>IFERROR(__xludf.DUMMYFUNCTION("""COMPUTED_VALUE"""),"")</f>
        <v/>
      </c>
      <c r="E609" s="211" t="str">
        <f>IFERROR(__xludf.DUMMYFUNCTION("""COMPUTED_VALUE"""),"")</f>
        <v/>
      </c>
      <c r="F609" s="211" t="str">
        <f>IFERROR(__xludf.DUMMYFUNCTION("""COMPUTED_VALUE"""),"")</f>
        <v/>
      </c>
      <c r="G609" s="211"/>
      <c r="H609" s="211"/>
      <c r="I609" s="211" t="str">
        <f>IFERROR(__xludf.DUMMYFUNCTION("""COMPUTED_VALUE"""),"")</f>
        <v/>
      </c>
      <c r="J609" s="211"/>
      <c r="L609" s="211"/>
      <c r="M609" s="211"/>
      <c r="N609" s="211" t="str">
        <f>IFERROR(__xludf.DUMMYFUNCTION("""COMPUTED_VALUE"""),"")</f>
        <v/>
      </c>
      <c r="O609" s="211" t="str">
        <f>IFERROR(__xludf.DUMMYFUNCTION("""COMPUTED_VALUE"""),"")</f>
        <v/>
      </c>
      <c r="P609" s="224" t="str">
        <f>IFERROR(__xludf.DUMMYFUNCTION("""COMPUTED_VALUE""")," ")</f>
        <v/>
      </c>
      <c r="Q609" s="225" t="str">
        <f>IFERROR(__xludf.DUMMYFUNCTION("""COMPUTED_VALUE"""),"")</f>
        <v/>
      </c>
      <c r="R609" s="211" t="str">
        <f>IFERROR(__xludf.DUMMYFUNCTION("""COMPUTED_VALUE"""),"")</f>
        <v/>
      </c>
      <c r="S609" s="211"/>
      <c r="T609" s="211"/>
      <c r="U609" s="211"/>
    </row>
    <row r="610">
      <c r="A610" s="211"/>
      <c r="B610" s="211"/>
      <c r="C610" s="211"/>
      <c r="D610" s="211" t="str">
        <f>IFERROR(__xludf.DUMMYFUNCTION("""COMPUTED_VALUE"""),"")</f>
        <v/>
      </c>
      <c r="E610" s="211" t="str">
        <f>IFERROR(__xludf.DUMMYFUNCTION("""COMPUTED_VALUE"""),"")</f>
        <v/>
      </c>
      <c r="F610" s="211" t="str">
        <f>IFERROR(__xludf.DUMMYFUNCTION("""COMPUTED_VALUE"""),"")</f>
        <v/>
      </c>
      <c r="G610" s="211"/>
      <c r="H610" s="211"/>
      <c r="I610" s="211" t="str">
        <f>IFERROR(__xludf.DUMMYFUNCTION("""COMPUTED_VALUE"""),"")</f>
        <v/>
      </c>
      <c r="J610" s="211"/>
    </row>
    <row r="611">
      <c r="A611" s="211"/>
      <c r="B611" s="211"/>
      <c r="C611" s="211"/>
      <c r="D611" s="211" t="str">
        <f>IFERROR(__xludf.DUMMYFUNCTION("""COMPUTED_VALUE"""),"")</f>
        <v/>
      </c>
      <c r="E611" s="211" t="str">
        <f>IFERROR(__xludf.DUMMYFUNCTION("""COMPUTED_VALUE"""),"")</f>
        <v/>
      </c>
      <c r="F611" s="211" t="str">
        <f>IFERROR(__xludf.DUMMYFUNCTION("""COMPUTED_VALUE"""),"")</f>
        <v/>
      </c>
      <c r="G611" s="211"/>
      <c r="H611" s="211"/>
      <c r="I611" s="211" t="str">
        <f>IFERROR(__xludf.DUMMYFUNCTION("""COMPUTED_VALUE"""),"")</f>
        <v/>
      </c>
      <c r="J611" s="211"/>
    </row>
    <row r="612">
      <c r="A612" s="211"/>
      <c r="B612" s="211"/>
      <c r="C612" s="211"/>
      <c r="D612" s="211" t="str">
        <f>IFERROR(__xludf.DUMMYFUNCTION("""COMPUTED_VALUE"""),"")</f>
        <v/>
      </c>
      <c r="E612" s="211" t="str">
        <f>IFERROR(__xludf.DUMMYFUNCTION("""COMPUTED_VALUE"""),"")</f>
        <v/>
      </c>
      <c r="F612" s="211" t="str">
        <f>IFERROR(__xludf.DUMMYFUNCTION("""COMPUTED_VALUE"""),"")</f>
        <v/>
      </c>
      <c r="G612" s="211"/>
      <c r="H612" s="211"/>
      <c r="I612" s="211" t="str">
        <f>IFERROR(__xludf.DUMMYFUNCTION("""COMPUTED_VALUE"""),"")</f>
        <v/>
      </c>
      <c r="J612" s="211"/>
    </row>
    <row r="613">
      <c r="A613" s="211"/>
      <c r="B613" s="211"/>
      <c r="C613" s="211"/>
      <c r="D613" s="211" t="str">
        <f>IFERROR(__xludf.DUMMYFUNCTION("""COMPUTED_VALUE"""),"")</f>
        <v/>
      </c>
      <c r="E613" s="211" t="str">
        <f>IFERROR(__xludf.DUMMYFUNCTION("""COMPUTED_VALUE"""),"")</f>
        <v/>
      </c>
      <c r="F613" s="211" t="str">
        <f>IFERROR(__xludf.DUMMYFUNCTION("""COMPUTED_VALUE"""),"")</f>
        <v/>
      </c>
      <c r="G613" s="211"/>
      <c r="H613" s="211"/>
      <c r="I613" s="211" t="str">
        <f>IFERROR(__xludf.DUMMYFUNCTION("""COMPUTED_VALUE"""),"")</f>
        <v/>
      </c>
      <c r="J613" s="211"/>
    </row>
    <row r="614">
      <c r="A614" s="211"/>
      <c r="B614" s="211"/>
      <c r="C614" s="211"/>
      <c r="D614" s="211" t="str">
        <f>IFERROR(__xludf.DUMMYFUNCTION("""COMPUTED_VALUE"""),"")</f>
        <v/>
      </c>
      <c r="E614" s="211" t="str">
        <f>IFERROR(__xludf.DUMMYFUNCTION("""COMPUTED_VALUE"""),"")</f>
        <v/>
      </c>
      <c r="F614" s="211" t="str">
        <f>IFERROR(__xludf.DUMMYFUNCTION("""COMPUTED_VALUE"""),"")</f>
        <v/>
      </c>
      <c r="G614" s="211"/>
      <c r="H614" s="211"/>
      <c r="I614" s="211" t="str">
        <f>IFERROR(__xludf.DUMMYFUNCTION("""COMPUTED_VALUE"""),"")</f>
        <v/>
      </c>
      <c r="J614" s="211"/>
    </row>
    <row r="615">
      <c r="A615" s="211"/>
      <c r="B615" s="211"/>
      <c r="C615" s="211"/>
      <c r="D615" s="211" t="str">
        <f>IFERROR(__xludf.DUMMYFUNCTION("""COMPUTED_VALUE"""),"")</f>
        <v/>
      </c>
      <c r="E615" s="211" t="str">
        <f>IFERROR(__xludf.DUMMYFUNCTION("""COMPUTED_VALUE"""),"")</f>
        <v/>
      </c>
      <c r="F615" s="211" t="str">
        <f>IFERROR(__xludf.DUMMYFUNCTION("""COMPUTED_VALUE"""),"")</f>
        <v/>
      </c>
      <c r="G615" s="211"/>
      <c r="H615" s="211"/>
      <c r="I615" s="211" t="str">
        <f>IFERROR(__xludf.DUMMYFUNCTION("""COMPUTED_VALUE"""),"")</f>
        <v/>
      </c>
      <c r="J615" s="211"/>
    </row>
    <row r="616">
      <c r="A616" s="211"/>
      <c r="B616" s="211"/>
      <c r="C616" s="211"/>
      <c r="D616" s="211" t="str">
        <f>IFERROR(__xludf.DUMMYFUNCTION("""COMPUTED_VALUE"""),"")</f>
        <v/>
      </c>
      <c r="E616" s="211" t="str">
        <f>IFERROR(__xludf.DUMMYFUNCTION("""COMPUTED_VALUE"""),"")</f>
        <v/>
      </c>
      <c r="F616" s="211" t="str">
        <f>IFERROR(__xludf.DUMMYFUNCTION("""COMPUTED_VALUE"""),"")</f>
        <v/>
      </c>
      <c r="G616" s="211"/>
      <c r="H616" s="211"/>
      <c r="I616" s="211" t="str">
        <f>IFERROR(__xludf.DUMMYFUNCTION("""COMPUTED_VALUE"""),"")</f>
        <v/>
      </c>
      <c r="J616" s="211"/>
    </row>
    <row r="617">
      <c r="A617" s="211"/>
      <c r="B617" s="211"/>
      <c r="C617" s="211"/>
      <c r="D617" s="211" t="str">
        <f>IFERROR(__xludf.DUMMYFUNCTION("""COMPUTED_VALUE"""),"")</f>
        <v/>
      </c>
      <c r="E617" s="211" t="str">
        <f>IFERROR(__xludf.DUMMYFUNCTION("""COMPUTED_VALUE"""),"")</f>
        <v/>
      </c>
      <c r="F617" s="211" t="str">
        <f>IFERROR(__xludf.DUMMYFUNCTION("""COMPUTED_VALUE"""),"")</f>
        <v/>
      </c>
      <c r="G617" s="211"/>
      <c r="H617" s="211"/>
      <c r="I617" s="211" t="str">
        <f>IFERROR(__xludf.DUMMYFUNCTION("""COMPUTED_VALUE"""),"")</f>
        <v/>
      </c>
      <c r="J617" s="211"/>
    </row>
    <row r="618">
      <c r="A618" s="211"/>
      <c r="B618" s="211"/>
      <c r="C618" s="211"/>
      <c r="D618" s="211" t="str">
        <f>IFERROR(__xludf.DUMMYFUNCTION("""COMPUTED_VALUE"""),"")</f>
        <v/>
      </c>
      <c r="E618" s="211" t="str">
        <f>IFERROR(__xludf.DUMMYFUNCTION("""COMPUTED_VALUE"""),"")</f>
        <v/>
      </c>
      <c r="F618" s="211" t="str">
        <f>IFERROR(__xludf.DUMMYFUNCTION("""COMPUTED_VALUE"""),"")</f>
        <v/>
      </c>
      <c r="G618" s="211"/>
      <c r="H618" s="211"/>
      <c r="I618" s="211" t="str">
        <f>IFERROR(__xludf.DUMMYFUNCTION("""COMPUTED_VALUE"""),"")</f>
        <v/>
      </c>
      <c r="J618" s="211"/>
    </row>
    <row r="619">
      <c r="A619" s="211"/>
      <c r="B619" s="211"/>
      <c r="C619" s="211"/>
      <c r="D619" s="211" t="str">
        <f>IFERROR(__xludf.DUMMYFUNCTION("""COMPUTED_VALUE"""),"")</f>
        <v/>
      </c>
      <c r="E619" s="211" t="str">
        <f>IFERROR(__xludf.DUMMYFUNCTION("""COMPUTED_VALUE"""),"")</f>
        <v/>
      </c>
      <c r="F619" s="211" t="str">
        <f>IFERROR(__xludf.DUMMYFUNCTION("""COMPUTED_VALUE"""),"")</f>
        <v/>
      </c>
      <c r="G619" s="211"/>
      <c r="H619" s="211"/>
      <c r="I619" s="211" t="str">
        <f>IFERROR(__xludf.DUMMYFUNCTION("""COMPUTED_VALUE"""),"")</f>
        <v/>
      </c>
      <c r="J619" s="211"/>
    </row>
    <row r="620">
      <c r="A620" s="211"/>
      <c r="B620" s="211"/>
      <c r="C620" s="211"/>
      <c r="D620" s="211" t="str">
        <f>IFERROR(__xludf.DUMMYFUNCTION("""COMPUTED_VALUE"""),"")</f>
        <v/>
      </c>
      <c r="E620" s="211" t="str">
        <f>IFERROR(__xludf.DUMMYFUNCTION("""COMPUTED_VALUE"""),"")</f>
        <v/>
      </c>
      <c r="F620" s="211" t="str">
        <f>IFERROR(__xludf.DUMMYFUNCTION("""COMPUTED_VALUE"""),"")</f>
        <v/>
      </c>
      <c r="G620" s="211"/>
      <c r="H620" s="211"/>
      <c r="I620" s="211" t="str">
        <f>IFERROR(__xludf.DUMMYFUNCTION("""COMPUTED_VALUE"""),"")</f>
        <v/>
      </c>
      <c r="J620" s="211"/>
    </row>
    <row r="621">
      <c r="A621" s="211"/>
      <c r="B621" s="211"/>
      <c r="C621" s="211"/>
      <c r="D621" s="211" t="str">
        <f>IFERROR(__xludf.DUMMYFUNCTION("""COMPUTED_VALUE"""),"")</f>
        <v/>
      </c>
      <c r="E621" s="211" t="str">
        <f>IFERROR(__xludf.DUMMYFUNCTION("""COMPUTED_VALUE"""),"")</f>
        <v/>
      </c>
      <c r="F621" s="211" t="str">
        <f>IFERROR(__xludf.DUMMYFUNCTION("""COMPUTED_VALUE"""),"")</f>
        <v/>
      </c>
      <c r="G621" s="211"/>
      <c r="H621" s="211"/>
      <c r="I621" s="211" t="str">
        <f>IFERROR(__xludf.DUMMYFUNCTION("""COMPUTED_VALUE"""),"")</f>
        <v/>
      </c>
      <c r="J621" s="211"/>
    </row>
    <row r="622">
      <c r="A622" s="211"/>
      <c r="B622" s="211"/>
      <c r="C622" s="211"/>
      <c r="D622" s="211" t="str">
        <f>IFERROR(__xludf.DUMMYFUNCTION("""COMPUTED_VALUE"""),"")</f>
        <v/>
      </c>
      <c r="E622" s="211" t="str">
        <f>IFERROR(__xludf.DUMMYFUNCTION("""COMPUTED_VALUE"""),"")</f>
        <v/>
      </c>
      <c r="F622" s="211" t="str">
        <f>IFERROR(__xludf.DUMMYFUNCTION("""COMPUTED_VALUE"""),"")</f>
        <v/>
      </c>
      <c r="G622" s="211"/>
      <c r="H622" s="211"/>
      <c r="I622" s="211" t="str">
        <f>IFERROR(__xludf.DUMMYFUNCTION("""COMPUTED_VALUE"""),"")</f>
        <v/>
      </c>
      <c r="J622" s="211"/>
    </row>
    <row r="623">
      <c r="A623" s="211"/>
      <c r="B623" s="211"/>
      <c r="C623" s="211"/>
      <c r="D623" s="211" t="str">
        <f>IFERROR(__xludf.DUMMYFUNCTION("""COMPUTED_VALUE"""),"")</f>
        <v/>
      </c>
      <c r="E623" s="211" t="str">
        <f>IFERROR(__xludf.DUMMYFUNCTION("""COMPUTED_VALUE"""),"")</f>
        <v/>
      </c>
      <c r="F623" s="211" t="str">
        <f>IFERROR(__xludf.DUMMYFUNCTION("""COMPUTED_VALUE"""),"")</f>
        <v/>
      </c>
      <c r="G623" s="211"/>
      <c r="H623" s="211"/>
      <c r="I623" s="211" t="str">
        <f>IFERROR(__xludf.DUMMYFUNCTION("""COMPUTED_VALUE"""),"")</f>
        <v/>
      </c>
      <c r="J623" s="211"/>
    </row>
    <row r="624">
      <c r="A624" s="211"/>
      <c r="B624" s="211"/>
      <c r="C624" s="211"/>
      <c r="D624" s="211" t="str">
        <f>IFERROR(__xludf.DUMMYFUNCTION("""COMPUTED_VALUE"""),"")</f>
        <v/>
      </c>
      <c r="E624" s="211" t="str">
        <f>IFERROR(__xludf.DUMMYFUNCTION("""COMPUTED_VALUE"""),"")</f>
        <v/>
      </c>
      <c r="F624" s="211" t="str">
        <f>IFERROR(__xludf.DUMMYFUNCTION("""COMPUTED_VALUE"""),"")</f>
        <v/>
      </c>
      <c r="G624" s="211"/>
      <c r="H624" s="211"/>
      <c r="I624" s="211" t="str">
        <f>IFERROR(__xludf.DUMMYFUNCTION("""COMPUTED_VALUE"""),"")</f>
        <v/>
      </c>
      <c r="J624" s="211"/>
    </row>
    <row r="625">
      <c r="A625" s="211"/>
      <c r="B625" s="211"/>
      <c r="C625" s="211"/>
      <c r="D625" s="211" t="str">
        <f>IFERROR(__xludf.DUMMYFUNCTION("""COMPUTED_VALUE"""),"")</f>
        <v/>
      </c>
      <c r="E625" s="211" t="str">
        <f>IFERROR(__xludf.DUMMYFUNCTION("""COMPUTED_VALUE"""),"")</f>
        <v/>
      </c>
      <c r="F625" s="211" t="str">
        <f>IFERROR(__xludf.DUMMYFUNCTION("""COMPUTED_VALUE"""),"")</f>
        <v/>
      </c>
      <c r="G625" s="211"/>
      <c r="H625" s="211"/>
      <c r="I625" s="211" t="str">
        <f>IFERROR(__xludf.DUMMYFUNCTION("""COMPUTED_VALUE"""),"")</f>
        <v/>
      </c>
      <c r="J625" s="211"/>
    </row>
    <row r="626">
      <c r="A626" s="211"/>
      <c r="B626" s="211"/>
      <c r="C626" s="211"/>
      <c r="D626" s="211" t="str">
        <f>IFERROR(__xludf.DUMMYFUNCTION("""COMPUTED_VALUE"""),"")</f>
        <v/>
      </c>
      <c r="E626" s="211" t="str">
        <f>IFERROR(__xludf.DUMMYFUNCTION("""COMPUTED_VALUE"""),"")</f>
        <v/>
      </c>
      <c r="F626" s="211" t="str">
        <f>IFERROR(__xludf.DUMMYFUNCTION("""COMPUTED_VALUE"""),"")</f>
        <v/>
      </c>
      <c r="G626" s="211"/>
      <c r="H626" s="211"/>
      <c r="I626" s="211" t="str">
        <f>IFERROR(__xludf.DUMMYFUNCTION("""COMPUTED_VALUE"""),"")</f>
        <v/>
      </c>
      <c r="J626" s="211"/>
    </row>
    <row r="627">
      <c r="A627" s="211"/>
      <c r="B627" s="211"/>
      <c r="C627" s="211"/>
      <c r="D627" s="211" t="str">
        <f>IFERROR(__xludf.DUMMYFUNCTION("""COMPUTED_VALUE"""),"")</f>
        <v/>
      </c>
      <c r="E627" s="211" t="str">
        <f>IFERROR(__xludf.DUMMYFUNCTION("""COMPUTED_VALUE"""),"")</f>
        <v/>
      </c>
      <c r="F627" s="211" t="str">
        <f>IFERROR(__xludf.DUMMYFUNCTION("""COMPUTED_VALUE"""),"")</f>
        <v/>
      </c>
      <c r="G627" s="211"/>
      <c r="H627" s="211"/>
      <c r="I627" s="211" t="str">
        <f>IFERROR(__xludf.DUMMYFUNCTION("""COMPUTED_VALUE"""),"")</f>
        <v/>
      </c>
      <c r="J627" s="211"/>
    </row>
    <row r="628">
      <c r="A628" s="211"/>
      <c r="B628" s="211"/>
      <c r="C628" s="211"/>
      <c r="D628" s="211" t="str">
        <f>IFERROR(__xludf.DUMMYFUNCTION("""COMPUTED_VALUE"""),"")</f>
        <v/>
      </c>
      <c r="E628" s="211" t="str">
        <f>IFERROR(__xludf.DUMMYFUNCTION("""COMPUTED_VALUE"""),"")</f>
        <v/>
      </c>
      <c r="F628" s="211" t="str">
        <f>IFERROR(__xludf.DUMMYFUNCTION("""COMPUTED_VALUE"""),"")</f>
        <v/>
      </c>
      <c r="G628" s="211"/>
      <c r="H628" s="211"/>
      <c r="I628" s="211" t="str">
        <f>IFERROR(__xludf.DUMMYFUNCTION("""COMPUTED_VALUE"""),"")</f>
        <v/>
      </c>
      <c r="J628" s="211"/>
    </row>
    <row r="629">
      <c r="A629" s="211"/>
      <c r="B629" s="211"/>
      <c r="C629" s="211"/>
      <c r="D629" s="211" t="str">
        <f>IFERROR(__xludf.DUMMYFUNCTION("""COMPUTED_VALUE"""),"")</f>
        <v/>
      </c>
      <c r="E629" s="211" t="str">
        <f>IFERROR(__xludf.DUMMYFUNCTION("""COMPUTED_VALUE"""),"")</f>
        <v/>
      </c>
      <c r="F629" s="211" t="str">
        <f>IFERROR(__xludf.DUMMYFUNCTION("""COMPUTED_VALUE"""),"")</f>
        <v/>
      </c>
      <c r="G629" s="211"/>
      <c r="H629" s="211"/>
      <c r="I629" s="211" t="str">
        <f>IFERROR(__xludf.DUMMYFUNCTION("""COMPUTED_VALUE"""),"")</f>
        <v/>
      </c>
      <c r="J629" s="211"/>
    </row>
    <row r="630">
      <c r="A630" s="211"/>
      <c r="B630" s="211"/>
      <c r="C630" s="211"/>
      <c r="D630" s="211" t="str">
        <f>IFERROR(__xludf.DUMMYFUNCTION("""COMPUTED_VALUE"""),"")</f>
        <v/>
      </c>
      <c r="E630" s="211" t="str">
        <f>IFERROR(__xludf.DUMMYFUNCTION("""COMPUTED_VALUE"""),"")</f>
        <v/>
      </c>
      <c r="F630" s="211" t="str">
        <f>IFERROR(__xludf.DUMMYFUNCTION("""COMPUTED_VALUE"""),"")</f>
        <v/>
      </c>
      <c r="G630" s="211"/>
      <c r="H630" s="211"/>
      <c r="I630" s="211" t="str">
        <f>IFERROR(__xludf.DUMMYFUNCTION("""COMPUTED_VALUE"""),"")</f>
        <v/>
      </c>
      <c r="J630" s="211"/>
    </row>
    <row r="631">
      <c r="A631" s="211"/>
      <c r="B631" s="211"/>
      <c r="C631" s="211"/>
      <c r="D631" s="211" t="str">
        <f>IFERROR(__xludf.DUMMYFUNCTION("""COMPUTED_VALUE"""),"")</f>
        <v/>
      </c>
      <c r="E631" s="211" t="str">
        <f>IFERROR(__xludf.DUMMYFUNCTION("""COMPUTED_VALUE"""),"")</f>
        <v/>
      </c>
      <c r="F631" s="211" t="str">
        <f>IFERROR(__xludf.DUMMYFUNCTION("""COMPUTED_VALUE"""),"")</f>
        <v/>
      </c>
      <c r="G631" s="211"/>
      <c r="H631" s="211"/>
      <c r="I631" s="211" t="str">
        <f>IFERROR(__xludf.DUMMYFUNCTION("""COMPUTED_VALUE"""),"")</f>
        <v/>
      </c>
      <c r="J631" s="211"/>
    </row>
    <row r="632">
      <c r="A632" s="211"/>
      <c r="B632" s="211"/>
      <c r="C632" s="211"/>
      <c r="D632" s="211" t="str">
        <f>IFERROR(__xludf.DUMMYFUNCTION("""COMPUTED_VALUE"""),"")</f>
        <v/>
      </c>
      <c r="E632" s="211" t="str">
        <f>IFERROR(__xludf.DUMMYFUNCTION("""COMPUTED_VALUE"""),"")</f>
        <v/>
      </c>
      <c r="F632" s="211" t="str">
        <f>IFERROR(__xludf.DUMMYFUNCTION("""COMPUTED_VALUE"""),"")</f>
        <v/>
      </c>
      <c r="G632" s="211"/>
      <c r="H632" s="211"/>
      <c r="I632" s="211" t="str">
        <f>IFERROR(__xludf.DUMMYFUNCTION("""COMPUTED_VALUE"""),"")</f>
        <v/>
      </c>
      <c r="J632" s="211"/>
    </row>
    <row r="633">
      <c r="A633" s="211"/>
      <c r="B633" s="211"/>
      <c r="C633" s="211"/>
      <c r="D633" s="211" t="str">
        <f>IFERROR(__xludf.DUMMYFUNCTION("""COMPUTED_VALUE"""),"")</f>
        <v/>
      </c>
      <c r="E633" s="211" t="str">
        <f>IFERROR(__xludf.DUMMYFUNCTION("""COMPUTED_VALUE"""),"")</f>
        <v/>
      </c>
      <c r="F633" s="211" t="str">
        <f>IFERROR(__xludf.DUMMYFUNCTION("""COMPUTED_VALUE"""),"")</f>
        <v/>
      </c>
      <c r="G633" s="211"/>
      <c r="H633" s="211"/>
      <c r="I633" s="211" t="str">
        <f>IFERROR(__xludf.DUMMYFUNCTION("""COMPUTED_VALUE"""),"")</f>
        <v/>
      </c>
      <c r="J633" s="211"/>
    </row>
    <row r="634">
      <c r="A634" s="211"/>
      <c r="B634" s="211"/>
      <c r="C634" s="211"/>
      <c r="D634" s="211" t="str">
        <f>IFERROR(__xludf.DUMMYFUNCTION("""COMPUTED_VALUE"""),"")</f>
        <v/>
      </c>
      <c r="E634" s="211" t="str">
        <f>IFERROR(__xludf.DUMMYFUNCTION("""COMPUTED_VALUE"""),"")</f>
        <v/>
      </c>
      <c r="F634" s="211" t="str">
        <f>IFERROR(__xludf.DUMMYFUNCTION("""COMPUTED_VALUE"""),"")</f>
        <v/>
      </c>
      <c r="G634" s="211"/>
      <c r="H634" s="211"/>
      <c r="I634" s="211" t="str">
        <f>IFERROR(__xludf.DUMMYFUNCTION("""COMPUTED_VALUE"""),"")</f>
        <v/>
      </c>
      <c r="J634" s="211"/>
    </row>
    <row r="635">
      <c r="A635" s="211"/>
      <c r="B635" s="211"/>
      <c r="C635" s="211"/>
      <c r="D635" s="211" t="str">
        <f>IFERROR(__xludf.DUMMYFUNCTION("""COMPUTED_VALUE"""),"")</f>
        <v/>
      </c>
      <c r="E635" s="211" t="str">
        <f>IFERROR(__xludf.DUMMYFUNCTION("""COMPUTED_VALUE"""),"")</f>
        <v/>
      </c>
      <c r="F635" s="211" t="str">
        <f>IFERROR(__xludf.DUMMYFUNCTION("""COMPUTED_VALUE"""),"")</f>
        <v/>
      </c>
      <c r="G635" s="211"/>
      <c r="H635" s="211"/>
      <c r="I635" s="211" t="str">
        <f>IFERROR(__xludf.DUMMYFUNCTION("""COMPUTED_VALUE"""),"")</f>
        <v/>
      </c>
      <c r="J635" s="211"/>
    </row>
    <row r="636">
      <c r="A636" s="211"/>
      <c r="B636" s="211"/>
      <c r="C636" s="211"/>
      <c r="D636" s="211" t="str">
        <f>IFERROR(__xludf.DUMMYFUNCTION("""COMPUTED_VALUE"""),"")</f>
        <v/>
      </c>
      <c r="E636" s="211" t="str">
        <f>IFERROR(__xludf.DUMMYFUNCTION("""COMPUTED_VALUE"""),"")</f>
        <v/>
      </c>
      <c r="F636" s="211" t="str">
        <f>IFERROR(__xludf.DUMMYFUNCTION("""COMPUTED_VALUE"""),"")</f>
        <v/>
      </c>
      <c r="G636" s="211"/>
      <c r="H636" s="211"/>
      <c r="I636" s="211" t="str">
        <f>IFERROR(__xludf.DUMMYFUNCTION("""COMPUTED_VALUE"""),"")</f>
        <v/>
      </c>
      <c r="J636" s="211"/>
    </row>
    <row r="637">
      <c r="A637" s="211"/>
      <c r="B637" s="211"/>
      <c r="C637" s="211"/>
      <c r="D637" s="211" t="str">
        <f>IFERROR(__xludf.DUMMYFUNCTION("""COMPUTED_VALUE"""),"")</f>
        <v/>
      </c>
      <c r="E637" s="211" t="str">
        <f>IFERROR(__xludf.DUMMYFUNCTION("""COMPUTED_VALUE"""),"")</f>
        <v/>
      </c>
      <c r="F637" s="211" t="str">
        <f>IFERROR(__xludf.DUMMYFUNCTION("""COMPUTED_VALUE"""),"")</f>
        <v/>
      </c>
      <c r="G637" s="211"/>
      <c r="H637" s="211"/>
      <c r="I637" s="211" t="str">
        <f>IFERROR(__xludf.DUMMYFUNCTION("""COMPUTED_VALUE"""),"")</f>
        <v/>
      </c>
      <c r="J637" s="211"/>
    </row>
    <row r="638">
      <c r="A638" s="211"/>
      <c r="B638" s="211"/>
      <c r="C638" s="211"/>
      <c r="D638" s="211" t="str">
        <f>IFERROR(__xludf.DUMMYFUNCTION("""COMPUTED_VALUE"""),"")</f>
        <v/>
      </c>
      <c r="E638" s="211" t="str">
        <f>IFERROR(__xludf.DUMMYFUNCTION("""COMPUTED_VALUE"""),"")</f>
        <v/>
      </c>
      <c r="F638" s="211" t="str">
        <f>IFERROR(__xludf.DUMMYFUNCTION("""COMPUTED_VALUE"""),"")</f>
        <v/>
      </c>
      <c r="G638" s="211"/>
      <c r="H638" s="211"/>
      <c r="I638" s="211" t="str">
        <f>IFERROR(__xludf.DUMMYFUNCTION("""COMPUTED_VALUE"""),"")</f>
        <v/>
      </c>
      <c r="J638" s="211"/>
    </row>
    <row r="639">
      <c r="A639" s="211"/>
      <c r="B639" s="211"/>
      <c r="C639" s="211"/>
      <c r="D639" s="211" t="str">
        <f>IFERROR(__xludf.DUMMYFUNCTION("""COMPUTED_VALUE"""),"")</f>
        <v/>
      </c>
      <c r="E639" s="211" t="str">
        <f>IFERROR(__xludf.DUMMYFUNCTION("""COMPUTED_VALUE"""),"")</f>
        <v/>
      </c>
      <c r="F639" s="211" t="str">
        <f>IFERROR(__xludf.DUMMYFUNCTION("""COMPUTED_VALUE"""),"")</f>
        <v/>
      </c>
      <c r="G639" s="211"/>
      <c r="H639" s="211"/>
      <c r="I639" s="211" t="str">
        <f>IFERROR(__xludf.DUMMYFUNCTION("""COMPUTED_VALUE"""),"")</f>
        <v/>
      </c>
      <c r="J639" s="211"/>
    </row>
    <row r="640">
      <c r="A640" s="211"/>
      <c r="B640" s="211"/>
      <c r="C640" s="211"/>
      <c r="D640" s="211" t="str">
        <f>IFERROR(__xludf.DUMMYFUNCTION("""COMPUTED_VALUE"""),"")</f>
        <v/>
      </c>
      <c r="E640" s="211" t="str">
        <f>IFERROR(__xludf.DUMMYFUNCTION("""COMPUTED_VALUE"""),"")</f>
        <v/>
      </c>
      <c r="F640" s="211" t="str">
        <f>IFERROR(__xludf.DUMMYFUNCTION("""COMPUTED_VALUE"""),"")</f>
        <v/>
      </c>
      <c r="G640" s="211"/>
      <c r="H640" s="211"/>
      <c r="I640" s="211" t="str">
        <f>IFERROR(__xludf.DUMMYFUNCTION("""COMPUTED_VALUE"""),"")</f>
        <v/>
      </c>
      <c r="J640" s="211"/>
    </row>
    <row r="641">
      <c r="A641" s="211"/>
      <c r="B641" s="211"/>
      <c r="C641" s="211"/>
      <c r="D641" s="211" t="str">
        <f>IFERROR(__xludf.DUMMYFUNCTION("""COMPUTED_VALUE"""),"")</f>
        <v/>
      </c>
      <c r="E641" s="211" t="str">
        <f>IFERROR(__xludf.DUMMYFUNCTION("""COMPUTED_VALUE"""),"")</f>
        <v/>
      </c>
      <c r="F641" s="211" t="str">
        <f>IFERROR(__xludf.DUMMYFUNCTION("""COMPUTED_VALUE"""),"")</f>
        <v/>
      </c>
      <c r="G641" s="211"/>
      <c r="H641" s="211"/>
      <c r="I641" s="211" t="str">
        <f>IFERROR(__xludf.DUMMYFUNCTION("""COMPUTED_VALUE"""),"")</f>
        <v/>
      </c>
      <c r="J641" s="211"/>
    </row>
    <row r="642">
      <c r="A642" s="211"/>
      <c r="B642" s="211"/>
      <c r="C642" s="211"/>
      <c r="D642" s="211" t="str">
        <f>IFERROR(__xludf.DUMMYFUNCTION("""COMPUTED_VALUE"""),"")</f>
        <v/>
      </c>
      <c r="E642" s="211" t="str">
        <f>IFERROR(__xludf.DUMMYFUNCTION("""COMPUTED_VALUE"""),"")</f>
        <v/>
      </c>
      <c r="F642" s="211" t="str">
        <f>IFERROR(__xludf.DUMMYFUNCTION("""COMPUTED_VALUE"""),"")</f>
        <v/>
      </c>
      <c r="G642" s="211"/>
      <c r="H642" s="211"/>
      <c r="I642" s="211" t="str">
        <f>IFERROR(__xludf.DUMMYFUNCTION("""COMPUTED_VALUE"""),"")</f>
        <v/>
      </c>
      <c r="J642" s="211"/>
    </row>
    <row r="643">
      <c r="A643" s="211"/>
      <c r="B643" s="211"/>
      <c r="C643" s="211"/>
      <c r="D643" s="211" t="str">
        <f>IFERROR(__xludf.DUMMYFUNCTION("""COMPUTED_VALUE"""),"")</f>
        <v/>
      </c>
      <c r="E643" s="211" t="str">
        <f>IFERROR(__xludf.DUMMYFUNCTION("""COMPUTED_VALUE"""),"")</f>
        <v/>
      </c>
      <c r="F643" s="211" t="str">
        <f>IFERROR(__xludf.DUMMYFUNCTION("""COMPUTED_VALUE"""),"")</f>
        <v/>
      </c>
      <c r="G643" s="211"/>
      <c r="H643" s="211"/>
      <c r="I643" s="211" t="str">
        <f>IFERROR(__xludf.DUMMYFUNCTION("""COMPUTED_VALUE"""),"")</f>
        <v/>
      </c>
      <c r="J643" s="211"/>
    </row>
    <row r="644">
      <c r="A644" s="211"/>
      <c r="B644" s="211"/>
      <c r="C644" s="211"/>
      <c r="D644" s="211" t="str">
        <f>IFERROR(__xludf.DUMMYFUNCTION("""COMPUTED_VALUE"""),"")</f>
        <v/>
      </c>
      <c r="E644" s="211" t="str">
        <f>IFERROR(__xludf.DUMMYFUNCTION("""COMPUTED_VALUE"""),"")</f>
        <v/>
      </c>
      <c r="F644" s="211" t="str">
        <f>IFERROR(__xludf.DUMMYFUNCTION("""COMPUTED_VALUE"""),"")</f>
        <v/>
      </c>
      <c r="G644" s="211"/>
      <c r="H644" s="211"/>
      <c r="I644" s="211" t="str">
        <f>IFERROR(__xludf.DUMMYFUNCTION("""COMPUTED_VALUE"""),"")</f>
        <v/>
      </c>
      <c r="J644" s="211"/>
    </row>
    <row r="645">
      <c r="A645" s="211"/>
      <c r="B645" s="211"/>
      <c r="C645" s="211"/>
      <c r="D645" s="211" t="str">
        <f>IFERROR(__xludf.DUMMYFUNCTION("""COMPUTED_VALUE"""),"")</f>
        <v/>
      </c>
      <c r="E645" s="211" t="str">
        <f>IFERROR(__xludf.DUMMYFUNCTION("""COMPUTED_VALUE"""),"")</f>
        <v/>
      </c>
      <c r="F645" s="211" t="str">
        <f>IFERROR(__xludf.DUMMYFUNCTION("""COMPUTED_VALUE"""),"")</f>
        <v/>
      </c>
      <c r="G645" s="211"/>
      <c r="H645" s="211"/>
      <c r="I645" s="211" t="str">
        <f>IFERROR(__xludf.DUMMYFUNCTION("""COMPUTED_VALUE"""),"")</f>
        <v/>
      </c>
      <c r="J645" s="211"/>
    </row>
    <row r="646">
      <c r="A646" s="211"/>
      <c r="B646" s="211"/>
      <c r="C646" s="211"/>
      <c r="D646" s="211" t="str">
        <f>IFERROR(__xludf.DUMMYFUNCTION("""COMPUTED_VALUE"""),"")</f>
        <v/>
      </c>
      <c r="E646" s="211" t="str">
        <f>IFERROR(__xludf.DUMMYFUNCTION("""COMPUTED_VALUE"""),"")</f>
        <v/>
      </c>
      <c r="F646" s="211" t="str">
        <f>IFERROR(__xludf.DUMMYFUNCTION("""COMPUTED_VALUE"""),"")</f>
        <v/>
      </c>
      <c r="G646" s="211"/>
      <c r="H646" s="211"/>
      <c r="I646" s="211" t="str">
        <f>IFERROR(__xludf.DUMMYFUNCTION("""COMPUTED_VALUE"""),"")</f>
        <v/>
      </c>
      <c r="J646" s="211"/>
    </row>
    <row r="647">
      <c r="A647" s="211"/>
      <c r="B647" s="211"/>
      <c r="C647" s="211"/>
      <c r="D647" s="211" t="str">
        <f>IFERROR(__xludf.DUMMYFUNCTION("""COMPUTED_VALUE"""),"")</f>
        <v/>
      </c>
      <c r="E647" s="211" t="str">
        <f>IFERROR(__xludf.DUMMYFUNCTION("""COMPUTED_VALUE"""),"")</f>
        <v/>
      </c>
      <c r="F647" s="211" t="str">
        <f>IFERROR(__xludf.DUMMYFUNCTION("""COMPUTED_VALUE"""),"")</f>
        <v/>
      </c>
      <c r="G647" s="211"/>
      <c r="H647" s="211"/>
      <c r="I647" s="211" t="str">
        <f>IFERROR(__xludf.DUMMYFUNCTION("""COMPUTED_VALUE"""),"")</f>
        <v/>
      </c>
      <c r="J647" s="211"/>
    </row>
    <row r="648">
      <c r="A648" s="211"/>
      <c r="B648" s="211"/>
      <c r="C648" s="211"/>
      <c r="D648" s="211" t="str">
        <f>IFERROR(__xludf.DUMMYFUNCTION("""COMPUTED_VALUE"""),"")</f>
        <v/>
      </c>
      <c r="E648" s="211" t="str">
        <f>IFERROR(__xludf.DUMMYFUNCTION("""COMPUTED_VALUE"""),"")</f>
        <v/>
      </c>
      <c r="F648" s="211" t="str">
        <f>IFERROR(__xludf.DUMMYFUNCTION("""COMPUTED_VALUE"""),"")</f>
        <v/>
      </c>
      <c r="G648" s="211"/>
      <c r="H648" s="211"/>
      <c r="I648" s="211" t="str">
        <f>IFERROR(__xludf.DUMMYFUNCTION("""COMPUTED_VALUE"""),"")</f>
        <v/>
      </c>
      <c r="J648" s="211"/>
    </row>
    <row r="649">
      <c r="A649" s="211"/>
      <c r="B649" s="211"/>
      <c r="C649" s="211"/>
      <c r="D649" s="211" t="str">
        <f>IFERROR(__xludf.DUMMYFUNCTION("""COMPUTED_VALUE"""),"")</f>
        <v/>
      </c>
      <c r="E649" s="211" t="str">
        <f>IFERROR(__xludf.DUMMYFUNCTION("""COMPUTED_VALUE"""),"")</f>
        <v/>
      </c>
      <c r="F649" s="211" t="str">
        <f>IFERROR(__xludf.DUMMYFUNCTION("""COMPUTED_VALUE"""),"")</f>
        <v/>
      </c>
      <c r="G649" s="211"/>
      <c r="H649" s="211"/>
      <c r="I649" s="211" t="str">
        <f>IFERROR(__xludf.DUMMYFUNCTION("""COMPUTED_VALUE"""),"")</f>
        <v/>
      </c>
      <c r="J649" s="211"/>
    </row>
    <row r="650">
      <c r="A650" s="211"/>
      <c r="B650" s="211"/>
      <c r="C650" s="211"/>
      <c r="D650" s="211" t="str">
        <f>IFERROR(__xludf.DUMMYFUNCTION("""COMPUTED_VALUE"""),"")</f>
        <v/>
      </c>
      <c r="E650" s="211" t="str">
        <f>IFERROR(__xludf.DUMMYFUNCTION("""COMPUTED_VALUE"""),"")</f>
        <v/>
      </c>
      <c r="F650" s="211" t="str">
        <f>IFERROR(__xludf.DUMMYFUNCTION("""COMPUTED_VALUE"""),"")</f>
        <v/>
      </c>
      <c r="G650" s="211"/>
      <c r="H650" s="211"/>
      <c r="I650" s="211" t="str">
        <f>IFERROR(__xludf.DUMMYFUNCTION("""COMPUTED_VALUE"""),"")</f>
        <v/>
      </c>
      <c r="J650" s="211"/>
    </row>
    <row r="651">
      <c r="A651" s="211"/>
      <c r="B651" s="211"/>
      <c r="C651" s="211"/>
      <c r="D651" s="211" t="str">
        <f>IFERROR(__xludf.DUMMYFUNCTION("""COMPUTED_VALUE"""),"")</f>
        <v/>
      </c>
      <c r="E651" s="211" t="str">
        <f>IFERROR(__xludf.DUMMYFUNCTION("""COMPUTED_VALUE"""),"")</f>
        <v/>
      </c>
      <c r="F651" s="211" t="str">
        <f>IFERROR(__xludf.DUMMYFUNCTION("""COMPUTED_VALUE"""),"")</f>
        <v/>
      </c>
      <c r="G651" s="211"/>
      <c r="H651" s="211"/>
      <c r="I651" s="211" t="str">
        <f>IFERROR(__xludf.DUMMYFUNCTION("""COMPUTED_VALUE"""),"")</f>
        <v/>
      </c>
      <c r="J651" s="211"/>
    </row>
    <row r="652">
      <c r="A652" s="211"/>
      <c r="B652" s="211"/>
      <c r="C652" s="211"/>
      <c r="D652" s="211" t="str">
        <f>IFERROR(__xludf.DUMMYFUNCTION("""COMPUTED_VALUE"""),"")</f>
        <v/>
      </c>
      <c r="E652" s="211" t="str">
        <f>IFERROR(__xludf.DUMMYFUNCTION("""COMPUTED_VALUE"""),"")</f>
        <v/>
      </c>
      <c r="F652" s="211" t="str">
        <f>IFERROR(__xludf.DUMMYFUNCTION("""COMPUTED_VALUE"""),"")</f>
        <v/>
      </c>
      <c r="G652" s="211"/>
      <c r="H652" s="211"/>
      <c r="I652" s="211" t="str">
        <f>IFERROR(__xludf.DUMMYFUNCTION("""COMPUTED_VALUE"""),"")</f>
        <v/>
      </c>
      <c r="J652" s="211"/>
    </row>
    <row r="653">
      <c r="A653" s="211"/>
      <c r="B653" s="211"/>
      <c r="C653" s="211"/>
      <c r="D653" s="211" t="str">
        <f>IFERROR(__xludf.DUMMYFUNCTION("""COMPUTED_VALUE"""),"")</f>
        <v/>
      </c>
      <c r="E653" s="211" t="str">
        <f>IFERROR(__xludf.DUMMYFUNCTION("""COMPUTED_VALUE"""),"")</f>
        <v/>
      </c>
      <c r="F653" s="211" t="str">
        <f>IFERROR(__xludf.DUMMYFUNCTION("""COMPUTED_VALUE"""),"")</f>
        <v/>
      </c>
      <c r="G653" s="211"/>
      <c r="H653" s="211"/>
      <c r="I653" s="211" t="str">
        <f>IFERROR(__xludf.DUMMYFUNCTION("""COMPUTED_VALUE"""),"")</f>
        <v/>
      </c>
      <c r="J653" s="211"/>
    </row>
    <row r="654">
      <c r="A654" s="211"/>
      <c r="B654" s="211"/>
      <c r="C654" s="211"/>
      <c r="D654" s="211" t="str">
        <f>IFERROR(__xludf.DUMMYFUNCTION("""COMPUTED_VALUE"""),"")</f>
        <v/>
      </c>
      <c r="E654" s="211" t="str">
        <f>IFERROR(__xludf.DUMMYFUNCTION("""COMPUTED_VALUE"""),"")</f>
        <v/>
      </c>
      <c r="F654" s="211" t="str">
        <f>IFERROR(__xludf.DUMMYFUNCTION("""COMPUTED_VALUE"""),"")</f>
        <v/>
      </c>
      <c r="G654" s="211"/>
      <c r="H654" s="211"/>
      <c r="I654" s="211" t="str">
        <f>IFERROR(__xludf.DUMMYFUNCTION("""COMPUTED_VALUE"""),"")</f>
        <v/>
      </c>
      <c r="J654" s="211"/>
    </row>
    <row r="655">
      <c r="A655" s="211"/>
      <c r="B655" s="211"/>
      <c r="C655" s="211"/>
      <c r="D655" s="211" t="str">
        <f>IFERROR(__xludf.DUMMYFUNCTION("""COMPUTED_VALUE"""),"")</f>
        <v/>
      </c>
      <c r="E655" s="211" t="str">
        <f>IFERROR(__xludf.DUMMYFUNCTION("""COMPUTED_VALUE"""),"")</f>
        <v/>
      </c>
      <c r="F655" s="211" t="str">
        <f>IFERROR(__xludf.DUMMYFUNCTION("""COMPUTED_VALUE"""),"")</f>
        <v/>
      </c>
      <c r="G655" s="211"/>
      <c r="H655" s="211"/>
      <c r="I655" s="211" t="str">
        <f>IFERROR(__xludf.DUMMYFUNCTION("""COMPUTED_VALUE"""),"")</f>
        <v/>
      </c>
      <c r="J655" s="211"/>
    </row>
    <row r="656">
      <c r="A656" s="211"/>
      <c r="B656" s="211"/>
      <c r="C656" s="211"/>
      <c r="D656" s="211" t="str">
        <f>IFERROR(__xludf.DUMMYFUNCTION("""COMPUTED_VALUE"""),"")</f>
        <v/>
      </c>
      <c r="E656" s="211" t="str">
        <f>IFERROR(__xludf.DUMMYFUNCTION("""COMPUTED_VALUE"""),"")</f>
        <v/>
      </c>
      <c r="F656" s="211" t="str">
        <f>IFERROR(__xludf.DUMMYFUNCTION("""COMPUTED_VALUE"""),"")</f>
        <v/>
      </c>
      <c r="G656" s="211"/>
      <c r="H656" s="211"/>
      <c r="I656" s="211" t="str">
        <f>IFERROR(__xludf.DUMMYFUNCTION("""COMPUTED_VALUE"""),"")</f>
        <v/>
      </c>
      <c r="J656" s="211"/>
    </row>
    <row r="657">
      <c r="A657" s="211"/>
      <c r="B657" s="211"/>
      <c r="C657" s="211"/>
      <c r="D657" s="211" t="str">
        <f>IFERROR(__xludf.DUMMYFUNCTION("""COMPUTED_VALUE"""),"")</f>
        <v/>
      </c>
      <c r="E657" s="211" t="str">
        <f>IFERROR(__xludf.DUMMYFUNCTION("""COMPUTED_VALUE"""),"")</f>
        <v/>
      </c>
      <c r="F657" s="211" t="str">
        <f>IFERROR(__xludf.DUMMYFUNCTION("""COMPUTED_VALUE"""),"")</f>
        <v/>
      </c>
      <c r="G657" s="211"/>
      <c r="H657" s="211"/>
      <c r="I657" s="211" t="str">
        <f>IFERROR(__xludf.DUMMYFUNCTION("""COMPUTED_VALUE"""),"")</f>
        <v/>
      </c>
      <c r="J657" s="211"/>
    </row>
    <row r="658">
      <c r="A658" s="211"/>
      <c r="B658" s="211"/>
      <c r="C658" s="211"/>
      <c r="D658" s="211" t="str">
        <f>IFERROR(__xludf.DUMMYFUNCTION("""COMPUTED_VALUE"""),"")</f>
        <v/>
      </c>
      <c r="E658" s="211" t="str">
        <f>IFERROR(__xludf.DUMMYFUNCTION("""COMPUTED_VALUE"""),"")</f>
        <v/>
      </c>
      <c r="F658" s="211" t="str">
        <f>IFERROR(__xludf.DUMMYFUNCTION("""COMPUTED_VALUE"""),"")</f>
        <v/>
      </c>
      <c r="G658" s="211"/>
      <c r="H658" s="211"/>
      <c r="I658" s="211" t="str">
        <f>IFERROR(__xludf.DUMMYFUNCTION("""COMPUTED_VALUE"""),"")</f>
        <v/>
      </c>
      <c r="J658" s="211"/>
    </row>
    <row r="659">
      <c r="A659" s="211"/>
      <c r="B659" s="211"/>
      <c r="C659" s="211"/>
      <c r="D659" s="211" t="str">
        <f>IFERROR(__xludf.DUMMYFUNCTION("""COMPUTED_VALUE"""),"")</f>
        <v/>
      </c>
      <c r="E659" s="211" t="str">
        <f>IFERROR(__xludf.DUMMYFUNCTION("""COMPUTED_VALUE"""),"")</f>
        <v/>
      </c>
      <c r="F659" s="211" t="str">
        <f>IFERROR(__xludf.DUMMYFUNCTION("""COMPUTED_VALUE"""),"")</f>
        <v/>
      </c>
      <c r="G659" s="211"/>
      <c r="H659" s="211"/>
      <c r="I659" s="211" t="str">
        <f>IFERROR(__xludf.DUMMYFUNCTION("""COMPUTED_VALUE"""),"")</f>
        <v/>
      </c>
      <c r="J659" s="211"/>
    </row>
    <row r="660">
      <c r="A660" s="211"/>
      <c r="B660" s="211"/>
      <c r="C660" s="211"/>
      <c r="D660" s="211" t="str">
        <f>IFERROR(__xludf.DUMMYFUNCTION("""COMPUTED_VALUE"""),"")</f>
        <v/>
      </c>
      <c r="E660" s="211" t="str">
        <f>IFERROR(__xludf.DUMMYFUNCTION("""COMPUTED_VALUE"""),"")</f>
        <v/>
      </c>
      <c r="F660" s="211" t="str">
        <f>IFERROR(__xludf.DUMMYFUNCTION("""COMPUTED_VALUE"""),"")</f>
        <v/>
      </c>
      <c r="G660" s="211"/>
      <c r="H660" s="211"/>
      <c r="I660" s="211" t="str">
        <f>IFERROR(__xludf.DUMMYFUNCTION("""COMPUTED_VALUE"""),"")</f>
        <v/>
      </c>
      <c r="J660" s="211"/>
    </row>
    <row r="661">
      <c r="A661" s="211"/>
      <c r="B661" s="211"/>
      <c r="C661" s="211"/>
      <c r="D661" s="211" t="str">
        <f>IFERROR(__xludf.DUMMYFUNCTION("""COMPUTED_VALUE"""),"")</f>
        <v/>
      </c>
      <c r="E661" s="211" t="str">
        <f>IFERROR(__xludf.DUMMYFUNCTION("""COMPUTED_VALUE"""),"")</f>
        <v/>
      </c>
      <c r="F661" s="211" t="str">
        <f>IFERROR(__xludf.DUMMYFUNCTION("""COMPUTED_VALUE"""),"")</f>
        <v/>
      </c>
      <c r="G661" s="211"/>
      <c r="H661" s="211"/>
      <c r="I661" s="211" t="str">
        <f>IFERROR(__xludf.DUMMYFUNCTION("""COMPUTED_VALUE"""),"")</f>
        <v/>
      </c>
      <c r="J661" s="211"/>
    </row>
    <row r="662">
      <c r="A662" s="211"/>
      <c r="B662" s="211"/>
      <c r="C662" s="211"/>
      <c r="D662" s="211" t="str">
        <f>IFERROR(__xludf.DUMMYFUNCTION("""COMPUTED_VALUE"""),"")</f>
        <v/>
      </c>
      <c r="E662" s="211" t="str">
        <f>IFERROR(__xludf.DUMMYFUNCTION("""COMPUTED_VALUE"""),"")</f>
        <v/>
      </c>
      <c r="F662" s="211" t="str">
        <f>IFERROR(__xludf.DUMMYFUNCTION("""COMPUTED_VALUE"""),"")</f>
        <v/>
      </c>
      <c r="G662" s="211"/>
      <c r="H662" s="211"/>
      <c r="I662" s="211" t="str">
        <f>IFERROR(__xludf.DUMMYFUNCTION("""COMPUTED_VALUE"""),"")</f>
        <v/>
      </c>
      <c r="J662" s="211"/>
    </row>
    <row r="663">
      <c r="A663" s="211"/>
      <c r="B663" s="211"/>
      <c r="C663" s="211"/>
      <c r="D663" s="211" t="str">
        <f>IFERROR(__xludf.DUMMYFUNCTION("""COMPUTED_VALUE"""),"")</f>
        <v/>
      </c>
      <c r="E663" s="211" t="str">
        <f>IFERROR(__xludf.DUMMYFUNCTION("""COMPUTED_VALUE"""),"")</f>
        <v/>
      </c>
      <c r="F663" s="211" t="str">
        <f>IFERROR(__xludf.DUMMYFUNCTION("""COMPUTED_VALUE"""),"")</f>
        <v/>
      </c>
      <c r="G663" s="211"/>
      <c r="H663" s="211"/>
      <c r="I663" s="211" t="str">
        <f>IFERROR(__xludf.DUMMYFUNCTION("""COMPUTED_VALUE"""),"")</f>
        <v/>
      </c>
      <c r="J663" s="211"/>
    </row>
    <row r="664">
      <c r="A664" s="211"/>
      <c r="B664" s="211"/>
      <c r="C664" s="211"/>
      <c r="D664" s="211" t="str">
        <f>IFERROR(__xludf.DUMMYFUNCTION("""COMPUTED_VALUE"""),"")</f>
        <v/>
      </c>
      <c r="E664" s="211" t="str">
        <f>IFERROR(__xludf.DUMMYFUNCTION("""COMPUTED_VALUE"""),"")</f>
        <v/>
      </c>
      <c r="F664" s="211" t="str">
        <f>IFERROR(__xludf.DUMMYFUNCTION("""COMPUTED_VALUE"""),"")</f>
        <v/>
      </c>
      <c r="G664" s="211"/>
      <c r="H664" s="211"/>
      <c r="I664" s="211" t="str">
        <f>IFERROR(__xludf.DUMMYFUNCTION("""COMPUTED_VALUE"""),"")</f>
        <v/>
      </c>
      <c r="J664" s="211"/>
    </row>
    <row r="665">
      <c r="A665" s="211"/>
      <c r="B665" s="211"/>
      <c r="C665" s="211"/>
      <c r="D665" s="211" t="str">
        <f>IFERROR(__xludf.DUMMYFUNCTION("""COMPUTED_VALUE"""),"")</f>
        <v/>
      </c>
      <c r="E665" s="211" t="str">
        <f>IFERROR(__xludf.DUMMYFUNCTION("""COMPUTED_VALUE"""),"")</f>
        <v/>
      </c>
      <c r="F665" s="211" t="str">
        <f>IFERROR(__xludf.DUMMYFUNCTION("""COMPUTED_VALUE"""),"")</f>
        <v/>
      </c>
      <c r="G665" s="211"/>
      <c r="H665" s="211"/>
      <c r="I665" s="211" t="str">
        <f>IFERROR(__xludf.DUMMYFUNCTION("""COMPUTED_VALUE"""),"")</f>
        <v/>
      </c>
      <c r="J665" s="211"/>
    </row>
    <row r="666">
      <c r="A666" s="211"/>
      <c r="B666" s="211"/>
      <c r="C666" s="211"/>
      <c r="D666" s="211" t="str">
        <f>IFERROR(__xludf.DUMMYFUNCTION("""COMPUTED_VALUE"""),"")</f>
        <v/>
      </c>
      <c r="E666" s="211" t="str">
        <f>IFERROR(__xludf.DUMMYFUNCTION("""COMPUTED_VALUE"""),"")</f>
        <v/>
      </c>
      <c r="F666" s="211" t="str">
        <f>IFERROR(__xludf.DUMMYFUNCTION("""COMPUTED_VALUE"""),"")</f>
        <v/>
      </c>
      <c r="G666" s="211"/>
      <c r="H666" s="211"/>
      <c r="I666" s="211" t="str">
        <f>IFERROR(__xludf.DUMMYFUNCTION("""COMPUTED_VALUE"""),"")</f>
        <v/>
      </c>
      <c r="J666" s="211"/>
    </row>
    <row r="667">
      <c r="A667" s="211"/>
      <c r="B667" s="211"/>
      <c r="C667" s="211"/>
      <c r="D667" s="211" t="str">
        <f>IFERROR(__xludf.DUMMYFUNCTION("""COMPUTED_VALUE"""),"")</f>
        <v/>
      </c>
      <c r="E667" s="211" t="str">
        <f>IFERROR(__xludf.DUMMYFUNCTION("""COMPUTED_VALUE"""),"")</f>
        <v/>
      </c>
      <c r="F667" s="211" t="str">
        <f>IFERROR(__xludf.DUMMYFUNCTION("""COMPUTED_VALUE"""),"")</f>
        <v/>
      </c>
      <c r="G667" s="211"/>
      <c r="H667" s="211"/>
      <c r="I667" s="211" t="str">
        <f>IFERROR(__xludf.DUMMYFUNCTION("""COMPUTED_VALUE"""),"")</f>
        <v/>
      </c>
      <c r="J667" s="211"/>
    </row>
    <row r="668">
      <c r="A668" s="211"/>
      <c r="B668" s="211"/>
      <c r="C668" s="211"/>
      <c r="D668" s="211" t="str">
        <f>IFERROR(__xludf.DUMMYFUNCTION("""COMPUTED_VALUE"""),"")</f>
        <v/>
      </c>
      <c r="E668" s="211" t="str">
        <f>IFERROR(__xludf.DUMMYFUNCTION("""COMPUTED_VALUE"""),"")</f>
        <v/>
      </c>
      <c r="F668" s="211" t="str">
        <f>IFERROR(__xludf.DUMMYFUNCTION("""COMPUTED_VALUE"""),"")</f>
        <v/>
      </c>
      <c r="G668" s="211"/>
      <c r="H668" s="211"/>
      <c r="I668" s="211" t="str">
        <f>IFERROR(__xludf.DUMMYFUNCTION("""COMPUTED_VALUE"""),"")</f>
        <v/>
      </c>
      <c r="J668" s="211"/>
    </row>
    <row r="669">
      <c r="A669" s="211"/>
      <c r="B669" s="211"/>
      <c r="C669" s="211"/>
      <c r="D669" s="211" t="str">
        <f>IFERROR(__xludf.DUMMYFUNCTION("""COMPUTED_VALUE"""),"")</f>
        <v/>
      </c>
      <c r="E669" s="211" t="str">
        <f>IFERROR(__xludf.DUMMYFUNCTION("""COMPUTED_VALUE"""),"")</f>
        <v/>
      </c>
      <c r="F669" s="211" t="str">
        <f>IFERROR(__xludf.DUMMYFUNCTION("""COMPUTED_VALUE"""),"")</f>
        <v/>
      </c>
      <c r="G669" s="211"/>
      <c r="H669" s="211"/>
      <c r="I669" s="211" t="str">
        <f>IFERROR(__xludf.DUMMYFUNCTION("""COMPUTED_VALUE"""),"")</f>
        <v/>
      </c>
      <c r="J669" s="211"/>
    </row>
    <row r="670">
      <c r="A670" s="211"/>
      <c r="B670" s="211"/>
      <c r="C670" s="211"/>
      <c r="D670" s="211" t="str">
        <f>IFERROR(__xludf.DUMMYFUNCTION("""COMPUTED_VALUE"""),"")</f>
        <v/>
      </c>
      <c r="E670" s="211" t="str">
        <f>IFERROR(__xludf.DUMMYFUNCTION("""COMPUTED_VALUE"""),"")</f>
        <v/>
      </c>
      <c r="F670" s="211" t="str">
        <f>IFERROR(__xludf.DUMMYFUNCTION("""COMPUTED_VALUE"""),"")</f>
        <v/>
      </c>
      <c r="G670" s="211"/>
      <c r="H670" s="211"/>
      <c r="I670" s="211" t="str">
        <f>IFERROR(__xludf.DUMMYFUNCTION("""COMPUTED_VALUE"""),"")</f>
        <v/>
      </c>
      <c r="J670" s="211"/>
    </row>
    <row r="671">
      <c r="A671" s="211"/>
      <c r="B671" s="211"/>
      <c r="C671" s="211"/>
      <c r="D671" s="211" t="str">
        <f>IFERROR(__xludf.DUMMYFUNCTION("""COMPUTED_VALUE"""),"")</f>
        <v/>
      </c>
      <c r="E671" s="211" t="str">
        <f>IFERROR(__xludf.DUMMYFUNCTION("""COMPUTED_VALUE"""),"")</f>
        <v/>
      </c>
      <c r="F671" s="211" t="str">
        <f>IFERROR(__xludf.DUMMYFUNCTION("""COMPUTED_VALUE"""),"")</f>
        <v/>
      </c>
      <c r="G671" s="211"/>
      <c r="H671" s="211"/>
      <c r="I671" s="211" t="str">
        <f>IFERROR(__xludf.DUMMYFUNCTION("""COMPUTED_VALUE"""),"")</f>
        <v/>
      </c>
      <c r="J671" s="211"/>
    </row>
    <row r="672">
      <c r="A672" s="211"/>
      <c r="B672" s="211"/>
      <c r="C672" s="211"/>
      <c r="D672" s="211" t="str">
        <f>IFERROR(__xludf.DUMMYFUNCTION("""COMPUTED_VALUE"""),"")</f>
        <v/>
      </c>
      <c r="E672" s="211" t="str">
        <f>IFERROR(__xludf.DUMMYFUNCTION("""COMPUTED_VALUE"""),"")</f>
        <v/>
      </c>
      <c r="F672" s="211" t="str">
        <f>IFERROR(__xludf.DUMMYFUNCTION("""COMPUTED_VALUE"""),"")</f>
        <v/>
      </c>
      <c r="G672" s="211"/>
      <c r="H672" s="211"/>
      <c r="I672" s="211" t="str">
        <f>IFERROR(__xludf.DUMMYFUNCTION("""COMPUTED_VALUE"""),"")</f>
        <v/>
      </c>
      <c r="J672" s="211"/>
    </row>
    <row r="673">
      <c r="A673" s="211"/>
      <c r="B673" s="211"/>
      <c r="C673" s="211"/>
      <c r="D673" s="211" t="str">
        <f>IFERROR(__xludf.DUMMYFUNCTION("""COMPUTED_VALUE"""),"")</f>
        <v/>
      </c>
      <c r="E673" s="211" t="str">
        <f>IFERROR(__xludf.DUMMYFUNCTION("""COMPUTED_VALUE"""),"")</f>
        <v/>
      </c>
      <c r="F673" s="211" t="str">
        <f>IFERROR(__xludf.DUMMYFUNCTION("""COMPUTED_VALUE"""),"")</f>
        <v/>
      </c>
      <c r="G673" s="211"/>
      <c r="H673" s="211"/>
      <c r="I673" s="211" t="str">
        <f>IFERROR(__xludf.DUMMYFUNCTION("""COMPUTED_VALUE"""),"")</f>
        <v/>
      </c>
      <c r="J673" s="211"/>
    </row>
    <row r="674">
      <c r="A674" s="211"/>
      <c r="B674" s="211"/>
      <c r="C674" s="211"/>
      <c r="D674" s="211" t="str">
        <f>IFERROR(__xludf.DUMMYFUNCTION("""COMPUTED_VALUE"""),"")</f>
        <v/>
      </c>
      <c r="E674" s="211" t="str">
        <f>IFERROR(__xludf.DUMMYFUNCTION("""COMPUTED_VALUE"""),"")</f>
        <v/>
      </c>
      <c r="F674" s="211" t="str">
        <f>IFERROR(__xludf.DUMMYFUNCTION("""COMPUTED_VALUE"""),"")</f>
        <v/>
      </c>
      <c r="G674" s="211"/>
      <c r="H674" s="211"/>
      <c r="I674" s="211" t="str">
        <f>IFERROR(__xludf.DUMMYFUNCTION("""COMPUTED_VALUE"""),"")</f>
        <v/>
      </c>
      <c r="J674" s="211"/>
    </row>
    <row r="675">
      <c r="A675" s="211"/>
      <c r="B675" s="211"/>
      <c r="C675" s="211"/>
      <c r="D675" s="211" t="str">
        <f>IFERROR(__xludf.DUMMYFUNCTION("""COMPUTED_VALUE"""),"")</f>
        <v/>
      </c>
      <c r="E675" s="211" t="str">
        <f>IFERROR(__xludf.DUMMYFUNCTION("""COMPUTED_VALUE"""),"")</f>
        <v/>
      </c>
      <c r="F675" s="211" t="str">
        <f>IFERROR(__xludf.DUMMYFUNCTION("""COMPUTED_VALUE"""),"")</f>
        <v/>
      </c>
      <c r="G675" s="211"/>
      <c r="H675" s="211"/>
      <c r="I675" s="211" t="str">
        <f>IFERROR(__xludf.DUMMYFUNCTION("""COMPUTED_VALUE"""),"")</f>
        <v/>
      </c>
      <c r="J675" s="211"/>
    </row>
    <row r="676">
      <c r="A676" s="211"/>
      <c r="B676" s="211"/>
      <c r="C676" s="211"/>
      <c r="D676" s="211" t="str">
        <f>IFERROR(__xludf.DUMMYFUNCTION("""COMPUTED_VALUE"""),"")</f>
        <v/>
      </c>
      <c r="E676" s="211" t="str">
        <f>IFERROR(__xludf.DUMMYFUNCTION("""COMPUTED_VALUE"""),"")</f>
        <v/>
      </c>
      <c r="F676" s="211" t="str">
        <f>IFERROR(__xludf.DUMMYFUNCTION("""COMPUTED_VALUE"""),"")</f>
        <v/>
      </c>
      <c r="G676" s="211"/>
      <c r="H676" s="211"/>
      <c r="I676" s="211" t="str">
        <f>IFERROR(__xludf.DUMMYFUNCTION("""COMPUTED_VALUE"""),"")</f>
        <v/>
      </c>
      <c r="J676" s="211"/>
    </row>
    <row r="677">
      <c r="A677" s="211"/>
      <c r="B677" s="211"/>
      <c r="C677" s="211"/>
      <c r="D677" s="211" t="str">
        <f>IFERROR(__xludf.DUMMYFUNCTION("""COMPUTED_VALUE"""),"")</f>
        <v/>
      </c>
      <c r="E677" s="211" t="str">
        <f>IFERROR(__xludf.DUMMYFUNCTION("""COMPUTED_VALUE"""),"")</f>
        <v/>
      </c>
      <c r="F677" s="211" t="str">
        <f>IFERROR(__xludf.DUMMYFUNCTION("""COMPUTED_VALUE"""),"")</f>
        <v/>
      </c>
      <c r="G677" s="211"/>
      <c r="H677" s="211"/>
      <c r="I677" s="211" t="str">
        <f>IFERROR(__xludf.DUMMYFUNCTION("""COMPUTED_VALUE"""),"")</f>
        <v/>
      </c>
      <c r="J677" s="211"/>
    </row>
    <row r="678">
      <c r="A678" s="211"/>
      <c r="B678" s="211"/>
      <c r="C678" s="211"/>
      <c r="D678" s="211" t="str">
        <f>IFERROR(__xludf.DUMMYFUNCTION("""COMPUTED_VALUE"""),"")</f>
        <v/>
      </c>
      <c r="E678" s="211" t="str">
        <f>IFERROR(__xludf.DUMMYFUNCTION("""COMPUTED_VALUE"""),"")</f>
        <v/>
      </c>
      <c r="F678" s="211" t="str">
        <f>IFERROR(__xludf.DUMMYFUNCTION("""COMPUTED_VALUE"""),"")</f>
        <v/>
      </c>
      <c r="G678" s="211"/>
      <c r="H678" s="211"/>
      <c r="I678" s="211" t="str">
        <f>IFERROR(__xludf.DUMMYFUNCTION("""COMPUTED_VALUE"""),"")</f>
        <v/>
      </c>
      <c r="J678" s="211"/>
    </row>
    <row r="679">
      <c r="A679" s="211"/>
      <c r="B679" s="211"/>
      <c r="C679" s="211"/>
      <c r="D679" s="211" t="str">
        <f>IFERROR(__xludf.DUMMYFUNCTION("""COMPUTED_VALUE"""),"")</f>
        <v/>
      </c>
      <c r="E679" s="211" t="str">
        <f>IFERROR(__xludf.DUMMYFUNCTION("""COMPUTED_VALUE"""),"")</f>
        <v/>
      </c>
      <c r="F679" s="211" t="str">
        <f>IFERROR(__xludf.DUMMYFUNCTION("""COMPUTED_VALUE"""),"")</f>
        <v/>
      </c>
      <c r="G679" s="211"/>
      <c r="H679" s="211"/>
      <c r="I679" s="211" t="str">
        <f>IFERROR(__xludf.DUMMYFUNCTION("""COMPUTED_VALUE"""),"")</f>
        <v/>
      </c>
      <c r="J679" s="211"/>
    </row>
    <row r="680">
      <c r="A680" s="211"/>
      <c r="B680" s="211"/>
      <c r="C680" s="211"/>
      <c r="D680" s="211" t="str">
        <f>IFERROR(__xludf.DUMMYFUNCTION("""COMPUTED_VALUE"""),"")</f>
        <v/>
      </c>
      <c r="E680" s="211" t="str">
        <f>IFERROR(__xludf.DUMMYFUNCTION("""COMPUTED_VALUE"""),"")</f>
        <v/>
      </c>
      <c r="F680" s="211" t="str">
        <f>IFERROR(__xludf.DUMMYFUNCTION("""COMPUTED_VALUE"""),"")</f>
        <v/>
      </c>
      <c r="G680" s="211"/>
      <c r="H680" s="211"/>
      <c r="I680" s="211" t="str">
        <f>IFERROR(__xludf.DUMMYFUNCTION("""COMPUTED_VALUE"""),"")</f>
        <v/>
      </c>
      <c r="J680" s="211"/>
    </row>
    <row r="681">
      <c r="A681" s="211"/>
      <c r="B681" s="211"/>
      <c r="C681" s="211"/>
      <c r="D681" s="211" t="str">
        <f>IFERROR(__xludf.DUMMYFUNCTION("""COMPUTED_VALUE"""),"")</f>
        <v/>
      </c>
      <c r="E681" s="211" t="str">
        <f>IFERROR(__xludf.DUMMYFUNCTION("""COMPUTED_VALUE"""),"")</f>
        <v/>
      </c>
      <c r="F681" s="211" t="str">
        <f>IFERROR(__xludf.DUMMYFUNCTION("""COMPUTED_VALUE"""),"")</f>
        <v/>
      </c>
      <c r="G681" s="211"/>
      <c r="H681" s="211"/>
      <c r="I681" s="211" t="str">
        <f>IFERROR(__xludf.DUMMYFUNCTION("""COMPUTED_VALUE"""),"")</f>
        <v/>
      </c>
      <c r="J681" s="211"/>
    </row>
    <row r="682">
      <c r="A682" s="211"/>
      <c r="B682" s="211"/>
      <c r="C682" s="211"/>
      <c r="D682" s="211" t="str">
        <f>IFERROR(__xludf.DUMMYFUNCTION("""COMPUTED_VALUE"""),"")</f>
        <v/>
      </c>
      <c r="E682" s="211" t="str">
        <f>IFERROR(__xludf.DUMMYFUNCTION("""COMPUTED_VALUE"""),"")</f>
        <v/>
      </c>
      <c r="F682" s="211" t="str">
        <f>IFERROR(__xludf.DUMMYFUNCTION("""COMPUTED_VALUE"""),"")</f>
        <v/>
      </c>
      <c r="G682" s="211"/>
      <c r="H682" s="211"/>
      <c r="I682" s="211" t="str">
        <f>IFERROR(__xludf.DUMMYFUNCTION("""COMPUTED_VALUE"""),"")</f>
        <v/>
      </c>
      <c r="J682" s="211"/>
    </row>
    <row r="683">
      <c r="A683" s="211"/>
      <c r="B683" s="211"/>
      <c r="C683" s="211"/>
      <c r="D683" s="211" t="str">
        <f>IFERROR(__xludf.DUMMYFUNCTION("""COMPUTED_VALUE"""),"")</f>
        <v/>
      </c>
      <c r="E683" s="211" t="str">
        <f>IFERROR(__xludf.DUMMYFUNCTION("""COMPUTED_VALUE"""),"")</f>
        <v/>
      </c>
      <c r="F683" s="211" t="str">
        <f>IFERROR(__xludf.DUMMYFUNCTION("""COMPUTED_VALUE"""),"")</f>
        <v/>
      </c>
      <c r="G683" s="211"/>
      <c r="H683" s="211"/>
      <c r="I683" s="211" t="str">
        <f>IFERROR(__xludf.DUMMYFUNCTION("""COMPUTED_VALUE"""),"")</f>
        <v/>
      </c>
      <c r="J683" s="211"/>
    </row>
    <row r="684">
      <c r="A684" s="211"/>
      <c r="B684" s="211"/>
      <c r="C684" s="211"/>
      <c r="D684" s="211" t="str">
        <f>IFERROR(__xludf.DUMMYFUNCTION("""COMPUTED_VALUE"""),"")</f>
        <v/>
      </c>
      <c r="E684" s="211" t="str">
        <f>IFERROR(__xludf.DUMMYFUNCTION("""COMPUTED_VALUE"""),"")</f>
        <v/>
      </c>
      <c r="F684" s="211" t="str">
        <f>IFERROR(__xludf.DUMMYFUNCTION("""COMPUTED_VALUE"""),"")</f>
        <v/>
      </c>
      <c r="G684" s="211"/>
      <c r="H684" s="211"/>
      <c r="I684" s="211" t="str">
        <f>IFERROR(__xludf.DUMMYFUNCTION("""COMPUTED_VALUE"""),"")</f>
        <v/>
      </c>
      <c r="J684" s="211"/>
    </row>
    <row r="685">
      <c r="A685" s="211"/>
      <c r="B685" s="211"/>
      <c r="C685" s="211"/>
      <c r="D685" s="211" t="str">
        <f>IFERROR(__xludf.DUMMYFUNCTION("""COMPUTED_VALUE"""),"")</f>
        <v/>
      </c>
      <c r="E685" s="211" t="str">
        <f>IFERROR(__xludf.DUMMYFUNCTION("""COMPUTED_VALUE"""),"")</f>
        <v/>
      </c>
      <c r="F685" s="211" t="str">
        <f>IFERROR(__xludf.DUMMYFUNCTION("""COMPUTED_VALUE"""),"")</f>
        <v/>
      </c>
      <c r="G685" s="211"/>
      <c r="H685" s="211"/>
      <c r="I685" s="211" t="str">
        <f>IFERROR(__xludf.DUMMYFUNCTION("""COMPUTED_VALUE"""),"")</f>
        <v/>
      </c>
      <c r="J685" s="211"/>
    </row>
    <row r="686">
      <c r="A686" s="211"/>
      <c r="B686" s="211"/>
      <c r="C686" s="211"/>
      <c r="D686" s="211" t="str">
        <f>IFERROR(__xludf.DUMMYFUNCTION("""COMPUTED_VALUE"""),"")</f>
        <v/>
      </c>
      <c r="E686" s="211" t="str">
        <f>IFERROR(__xludf.DUMMYFUNCTION("""COMPUTED_VALUE"""),"")</f>
        <v/>
      </c>
      <c r="F686" s="211" t="str">
        <f>IFERROR(__xludf.DUMMYFUNCTION("""COMPUTED_VALUE"""),"")</f>
        <v/>
      </c>
      <c r="G686" s="211"/>
      <c r="H686" s="211"/>
      <c r="I686" s="211" t="str">
        <f>IFERROR(__xludf.DUMMYFUNCTION("""COMPUTED_VALUE"""),"")</f>
        <v/>
      </c>
      <c r="J686" s="211"/>
    </row>
    <row r="687">
      <c r="A687" s="211"/>
      <c r="B687" s="211"/>
      <c r="C687" s="211"/>
      <c r="D687" s="211" t="str">
        <f>IFERROR(__xludf.DUMMYFUNCTION("""COMPUTED_VALUE"""),"")</f>
        <v/>
      </c>
      <c r="E687" s="211" t="str">
        <f>IFERROR(__xludf.DUMMYFUNCTION("""COMPUTED_VALUE"""),"")</f>
        <v/>
      </c>
      <c r="F687" s="211" t="str">
        <f>IFERROR(__xludf.DUMMYFUNCTION("""COMPUTED_VALUE"""),"")</f>
        <v/>
      </c>
      <c r="G687" s="211"/>
      <c r="H687" s="211"/>
      <c r="I687" s="211" t="str">
        <f>IFERROR(__xludf.DUMMYFUNCTION("""COMPUTED_VALUE"""),"")</f>
        <v/>
      </c>
      <c r="J687" s="211"/>
    </row>
    <row r="688">
      <c r="A688" s="211"/>
      <c r="B688" s="211"/>
      <c r="C688" s="211"/>
      <c r="D688" s="211" t="str">
        <f>IFERROR(__xludf.DUMMYFUNCTION("""COMPUTED_VALUE"""),"")</f>
        <v/>
      </c>
      <c r="E688" s="211" t="str">
        <f>IFERROR(__xludf.DUMMYFUNCTION("""COMPUTED_VALUE"""),"")</f>
        <v/>
      </c>
      <c r="F688" s="211" t="str">
        <f>IFERROR(__xludf.DUMMYFUNCTION("""COMPUTED_VALUE"""),"")</f>
        <v/>
      </c>
      <c r="G688" s="211"/>
      <c r="H688" s="211"/>
      <c r="I688" s="211" t="str">
        <f>IFERROR(__xludf.DUMMYFUNCTION("""COMPUTED_VALUE"""),"")</f>
        <v/>
      </c>
      <c r="J688" s="211"/>
    </row>
    <row r="689">
      <c r="A689" s="211"/>
      <c r="B689" s="211"/>
      <c r="C689" s="211"/>
      <c r="D689" s="211" t="str">
        <f>IFERROR(__xludf.DUMMYFUNCTION("""COMPUTED_VALUE"""),"")</f>
        <v/>
      </c>
      <c r="E689" s="211" t="str">
        <f>IFERROR(__xludf.DUMMYFUNCTION("""COMPUTED_VALUE"""),"")</f>
        <v/>
      </c>
      <c r="F689" s="211" t="str">
        <f>IFERROR(__xludf.DUMMYFUNCTION("""COMPUTED_VALUE"""),"")</f>
        <v/>
      </c>
      <c r="G689" s="211"/>
      <c r="H689" s="211"/>
      <c r="I689" s="211" t="str">
        <f>IFERROR(__xludf.DUMMYFUNCTION("""COMPUTED_VALUE"""),"")</f>
        <v/>
      </c>
      <c r="J689" s="211"/>
    </row>
    <row r="690">
      <c r="A690" s="211"/>
      <c r="B690" s="211"/>
      <c r="C690" s="211"/>
      <c r="D690" s="211" t="str">
        <f>IFERROR(__xludf.DUMMYFUNCTION("""COMPUTED_VALUE"""),"")</f>
        <v/>
      </c>
      <c r="E690" s="211" t="str">
        <f>IFERROR(__xludf.DUMMYFUNCTION("""COMPUTED_VALUE"""),"")</f>
        <v/>
      </c>
      <c r="F690" s="211" t="str">
        <f>IFERROR(__xludf.DUMMYFUNCTION("""COMPUTED_VALUE"""),"")</f>
        <v/>
      </c>
      <c r="G690" s="211"/>
      <c r="H690" s="211"/>
      <c r="I690" s="211" t="str">
        <f>IFERROR(__xludf.DUMMYFUNCTION("""COMPUTED_VALUE"""),"")</f>
        <v/>
      </c>
      <c r="J690" s="211"/>
    </row>
    <row r="691">
      <c r="A691" s="211"/>
      <c r="B691" s="211"/>
      <c r="C691" s="211"/>
      <c r="D691" s="211" t="str">
        <f>IFERROR(__xludf.DUMMYFUNCTION("""COMPUTED_VALUE"""),"")</f>
        <v/>
      </c>
      <c r="E691" s="211" t="str">
        <f>IFERROR(__xludf.DUMMYFUNCTION("""COMPUTED_VALUE"""),"")</f>
        <v/>
      </c>
      <c r="F691" s="211" t="str">
        <f>IFERROR(__xludf.DUMMYFUNCTION("""COMPUTED_VALUE"""),"")</f>
        <v/>
      </c>
      <c r="G691" s="211"/>
      <c r="H691" s="211"/>
      <c r="I691" s="211" t="str">
        <f>IFERROR(__xludf.DUMMYFUNCTION("""COMPUTED_VALUE"""),"")</f>
        <v/>
      </c>
      <c r="J691" s="211"/>
    </row>
    <row r="692">
      <c r="A692" s="211"/>
      <c r="B692" s="211"/>
      <c r="C692" s="211"/>
      <c r="D692" s="211" t="str">
        <f>IFERROR(__xludf.DUMMYFUNCTION("""COMPUTED_VALUE"""),"")</f>
        <v/>
      </c>
      <c r="E692" s="211" t="str">
        <f>IFERROR(__xludf.DUMMYFUNCTION("""COMPUTED_VALUE"""),"")</f>
        <v/>
      </c>
      <c r="F692" s="211" t="str">
        <f>IFERROR(__xludf.DUMMYFUNCTION("""COMPUTED_VALUE"""),"")</f>
        <v/>
      </c>
      <c r="G692" s="211"/>
      <c r="H692" s="211"/>
      <c r="I692" s="211" t="str">
        <f>IFERROR(__xludf.DUMMYFUNCTION("""COMPUTED_VALUE"""),"")</f>
        <v/>
      </c>
      <c r="J692" s="211"/>
    </row>
    <row r="693">
      <c r="A693" s="211"/>
      <c r="B693" s="211"/>
      <c r="C693" s="211"/>
      <c r="D693" s="211" t="str">
        <f>IFERROR(__xludf.DUMMYFUNCTION("""COMPUTED_VALUE"""),"")</f>
        <v/>
      </c>
      <c r="E693" s="211" t="str">
        <f>IFERROR(__xludf.DUMMYFUNCTION("""COMPUTED_VALUE"""),"")</f>
        <v/>
      </c>
      <c r="F693" s="211" t="str">
        <f>IFERROR(__xludf.DUMMYFUNCTION("""COMPUTED_VALUE"""),"")</f>
        <v/>
      </c>
      <c r="G693" s="211"/>
      <c r="H693" s="211"/>
      <c r="I693" s="211" t="str">
        <f>IFERROR(__xludf.DUMMYFUNCTION("""COMPUTED_VALUE"""),"")</f>
        <v/>
      </c>
      <c r="J693" s="211"/>
    </row>
    <row r="694">
      <c r="A694" s="211"/>
      <c r="B694" s="211"/>
      <c r="C694" s="211"/>
      <c r="D694" s="211" t="str">
        <f>IFERROR(__xludf.DUMMYFUNCTION("""COMPUTED_VALUE"""),"")</f>
        <v/>
      </c>
      <c r="E694" s="211" t="str">
        <f>IFERROR(__xludf.DUMMYFUNCTION("""COMPUTED_VALUE"""),"")</f>
        <v/>
      </c>
      <c r="F694" s="211" t="str">
        <f>IFERROR(__xludf.DUMMYFUNCTION("""COMPUTED_VALUE"""),"")</f>
        <v/>
      </c>
      <c r="G694" s="211"/>
      <c r="H694" s="211"/>
      <c r="I694" s="211" t="str">
        <f>IFERROR(__xludf.DUMMYFUNCTION("""COMPUTED_VALUE"""),"")</f>
        <v/>
      </c>
      <c r="J694" s="211"/>
    </row>
    <row r="695">
      <c r="A695" s="211"/>
      <c r="B695" s="211"/>
      <c r="C695" s="211"/>
      <c r="D695" s="211" t="str">
        <f>IFERROR(__xludf.DUMMYFUNCTION("""COMPUTED_VALUE"""),"")</f>
        <v/>
      </c>
      <c r="E695" s="211" t="str">
        <f>IFERROR(__xludf.DUMMYFUNCTION("""COMPUTED_VALUE"""),"")</f>
        <v/>
      </c>
      <c r="F695" s="211" t="str">
        <f>IFERROR(__xludf.DUMMYFUNCTION("""COMPUTED_VALUE"""),"")</f>
        <v/>
      </c>
      <c r="G695" s="211"/>
      <c r="H695" s="211"/>
      <c r="I695" s="211" t="str">
        <f>IFERROR(__xludf.DUMMYFUNCTION("""COMPUTED_VALUE"""),"")</f>
        <v/>
      </c>
      <c r="J695" s="211"/>
    </row>
    <row r="696">
      <c r="A696" s="211"/>
      <c r="B696" s="211"/>
      <c r="C696" s="211"/>
      <c r="D696" s="211" t="str">
        <f>IFERROR(__xludf.DUMMYFUNCTION("""COMPUTED_VALUE"""),"")</f>
        <v/>
      </c>
      <c r="E696" s="211" t="str">
        <f>IFERROR(__xludf.DUMMYFUNCTION("""COMPUTED_VALUE"""),"")</f>
        <v/>
      </c>
      <c r="F696" s="211" t="str">
        <f>IFERROR(__xludf.DUMMYFUNCTION("""COMPUTED_VALUE"""),"")</f>
        <v/>
      </c>
      <c r="G696" s="211"/>
      <c r="H696" s="211"/>
      <c r="I696" s="211" t="str">
        <f>IFERROR(__xludf.DUMMYFUNCTION("""COMPUTED_VALUE"""),"")</f>
        <v/>
      </c>
      <c r="J696" s="211"/>
    </row>
    <row r="697">
      <c r="A697" s="211"/>
      <c r="B697" s="211"/>
      <c r="C697" s="211"/>
      <c r="D697" s="211" t="str">
        <f>IFERROR(__xludf.DUMMYFUNCTION("""COMPUTED_VALUE"""),"")</f>
        <v/>
      </c>
      <c r="E697" s="211" t="str">
        <f>IFERROR(__xludf.DUMMYFUNCTION("""COMPUTED_VALUE"""),"")</f>
        <v/>
      </c>
      <c r="F697" s="211" t="str">
        <f>IFERROR(__xludf.DUMMYFUNCTION("""COMPUTED_VALUE"""),"")</f>
        <v/>
      </c>
      <c r="G697" s="211"/>
      <c r="H697" s="211"/>
      <c r="I697" s="211" t="str">
        <f>IFERROR(__xludf.DUMMYFUNCTION("""COMPUTED_VALUE"""),"")</f>
        <v/>
      </c>
      <c r="J697" s="211"/>
    </row>
    <row r="698">
      <c r="A698" s="211"/>
      <c r="B698" s="211"/>
      <c r="C698" s="211"/>
      <c r="D698" s="211" t="str">
        <f>IFERROR(__xludf.DUMMYFUNCTION("""COMPUTED_VALUE"""),"")</f>
        <v/>
      </c>
      <c r="E698" s="211" t="str">
        <f>IFERROR(__xludf.DUMMYFUNCTION("""COMPUTED_VALUE"""),"")</f>
        <v/>
      </c>
      <c r="F698" s="211" t="str">
        <f>IFERROR(__xludf.DUMMYFUNCTION("""COMPUTED_VALUE"""),"")</f>
        <v/>
      </c>
      <c r="G698" s="211"/>
      <c r="H698" s="211"/>
      <c r="I698" s="211" t="str">
        <f>IFERROR(__xludf.DUMMYFUNCTION("""COMPUTED_VALUE"""),"")</f>
        <v/>
      </c>
      <c r="J698" s="211"/>
    </row>
    <row r="699">
      <c r="A699" s="211"/>
      <c r="B699" s="211"/>
      <c r="C699" s="211"/>
      <c r="D699" s="211" t="str">
        <f>IFERROR(__xludf.DUMMYFUNCTION("""COMPUTED_VALUE"""),"")</f>
        <v/>
      </c>
      <c r="E699" s="211" t="str">
        <f>IFERROR(__xludf.DUMMYFUNCTION("""COMPUTED_VALUE"""),"")</f>
        <v/>
      </c>
      <c r="F699" s="211" t="str">
        <f>IFERROR(__xludf.DUMMYFUNCTION("""COMPUTED_VALUE"""),"")</f>
        <v/>
      </c>
      <c r="G699" s="211"/>
      <c r="H699" s="211"/>
      <c r="I699" s="211" t="str">
        <f>IFERROR(__xludf.DUMMYFUNCTION("""COMPUTED_VALUE"""),"")</f>
        <v/>
      </c>
      <c r="J699" s="211"/>
    </row>
    <row r="700">
      <c r="A700" s="211"/>
      <c r="B700" s="211"/>
      <c r="C700" s="211"/>
      <c r="D700" s="211" t="str">
        <f>IFERROR(__xludf.DUMMYFUNCTION("""COMPUTED_VALUE"""),"")</f>
        <v/>
      </c>
      <c r="E700" s="211" t="str">
        <f>IFERROR(__xludf.DUMMYFUNCTION("""COMPUTED_VALUE"""),"")</f>
        <v/>
      </c>
      <c r="F700" s="211" t="str">
        <f>IFERROR(__xludf.DUMMYFUNCTION("""COMPUTED_VALUE"""),"")</f>
        <v/>
      </c>
      <c r="G700" s="211"/>
      <c r="H700" s="211"/>
      <c r="I700" s="211" t="str">
        <f>IFERROR(__xludf.DUMMYFUNCTION("""COMPUTED_VALUE"""),"")</f>
        <v/>
      </c>
      <c r="J700" s="211"/>
    </row>
    <row r="701">
      <c r="A701" s="211"/>
      <c r="B701" s="211"/>
      <c r="C701" s="211"/>
      <c r="D701" s="211" t="str">
        <f>IFERROR(__xludf.DUMMYFUNCTION("""COMPUTED_VALUE"""),"")</f>
        <v/>
      </c>
      <c r="E701" s="211" t="str">
        <f>IFERROR(__xludf.DUMMYFUNCTION("""COMPUTED_VALUE"""),"")</f>
        <v/>
      </c>
      <c r="F701" s="211" t="str">
        <f>IFERROR(__xludf.DUMMYFUNCTION("""COMPUTED_VALUE"""),"")</f>
        <v/>
      </c>
      <c r="G701" s="211"/>
      <c r="H701" s="211"/>
      <c r="I701" s="211" t="str">
        <f>IFERROR(__xludf.DUMMYFUNCTION("""COMPUTED_VALUE"""),"")</f>
        <v/>
      </c>
      <c r="J701" s="211"/>
    </row>
    <row r="702">
      <c r="A702" s="211"/>
      <c r="B702" s="211"/>
      <c r="C702" s="211"/>
      <c r="D702" s="211" t="str">
        <f>IFERROR(__xludf.DUMMYFUNCTION("""COMPUTED_VALUE"""),"")</f>
        <v/>
      </c>
      <c r="E702" s="211" t="str">
        <f>IFERROR(__xludf.DUMMYFUNCTION("""COMPUTED_VALUE"""),"")</f>
        <v/>
      </c>
      <c r="F702" s="211" t="str">
        <f>IFERROR(__xludf.DUMMYFUNCTION("""COMPUTED_VALUE"""),"")</f>
        <v/>
      </c>
      <c r="G702" s="211"/>
      <c r="H702" s="211"/>
      <c r="I702" s="211" t="str">
        <f>IFERROR(__xludf.DUMMYFUNCTION("""COMPUTED_VALUE"""),"")</f>
        <v/>
      </c>
      <c r="J702" s="211"/>
    </row>
    <row r="703">
      <c r="A703" s="211"/>
      <c r="B703" s="211"/>
      <c r="C703" s="211"/>
      <c r="D703" s="211" t="str">
        <f>IFERROR(__xludf.DUMMYFUNCTION("""COMPUTED_VALUE"""),"")</f>
        <v/>
      </c>
      <c r="E703" s="211" t="str">
        <f>IFERROR(__xludf.DUMMYFUNCTION("""COMPUTED_VALUE"""),"")</f>
        <v/>
      </c>
      <c r="F703" s="211" t="str">
        <f>IFERROR(__xludf.DUMMYFUNCTION("""COMPUTED_VALUE"""),"")</f>
        <v/>
      </c>
      <c r="G703" s="211"/>
      <c r="H703" s="211"/>
      <c r="I703" s="211" t="str">
        <f>IFERROR(__xludf.DUMMYFUNCTION("""COMPUTED_VALUE"""),"")</f>
        <v/>
      </c>
      <c r="J703" s="211"/>
    </row>
    <row r="704">
      <c r="A704" s="211"/>
      <c r="B704" s="211"/>
      <c r="C704" s="211"/>
      <c r="D704" s="211" t="str">
        <f>IFERROR(__xludf.DUMMYFUNCTION("""COMPUTED_VALUE"""),"")</f>
        <v/>
      </c>
      <c r="E704" s="211" t="str">
        <f>IFERROR(__xludf.DUMMYFUNCTION("""COMPUTED_VALUE"""),"")</f>
        <v/>
      </c>
      <c r="F704" s="211" t="str">
        <f>IFERROR(__xludf.DUMMYFUNCTION("""COMPUTED_VALUE"""),"")</f>
        <v/>
      </c>
      <c r="G704" s="211"/>
      <c r="H704" s="211"/>
      <c r="I704" s="211" t="str">
        <f>IFERROR(__xludf.DUMMYFUNCTION("""COMPUTED_VALUE"""),"")</f>
        <v/>
      </c>
      <c r="J704" s="211"/>
    </row>
    <row r="705">
      <c r="A705" s="211"/>
      <c r="B705" s="211"/>
      <c r="C705" s="211"/>
      <c r="D705" s="211" t="str">
        <f>IFERROR(__xludf.DUMMYFUNCTION("""COMPUTED_VALUE"""),"")</f>
        <v/>
      </c>
      <c r="E705" s="211" t="str">
        <f>IFERROR(__xludf.DUMMYFUNCTION("""COMPUTED_VALUE"""),"")</f>
        <v/>
      </c>
      <c r="F705" s="211" t="str">
        <f>IFERROR(__xludf.DUMMYFUNCTION("""COMPUTED_VALUE"""),"")</f>
        <v/>
      </c>
      <c r="G705" s="211"/>
      <c r="H705" s="211"/>
      <c r="I705" s="211" t="str">
        <f>IFERROR(__xludf.DUMMYFUNCTION("""COMPUTED_VALUE"""),"")</f>
        <v/>
      </c>
      <c r="J705" s="211"/>
    </row>
    <row r="706">
      <c r="A706" s="211"/>
      <c r="B706" s="211"/>
      <c r="C706" s="211"/>
      <c r="D706" s="211" t="str">
        <f>IFERROR(__xludf.DUMMYFUNCTION("""COMPUTED_VALUE"""),"")</f>
        <v/>
      </c>
      <c r="E706" s="211" t="str">
        <f>IFERROR(__xludf.DUMMYFUNCTION("""COMPUTED_VALUE"""),"")</f>
        <v/>
      </c>
      <c r="F706" s="211" t="str">
        <f>IFERROR(__xludf.DUMMYFUNCTION("""COMPUTED_VALUE"""),"")</f>
        <v/>
      </c>
      <c r="G706" s="211"/>
      <c r="H706" s="211"/>
      <c r="I706" s="211" t="str">
        <f>IFERROR(__xludf.DUMMYFUNCTION("""COMPUTED_VALUE"""),"")</f>
        <v/>
      </c>
      <c r="J706" s="211"/>
    </row>
    <row r="707">
      <c r="A707" s="211"/>
      <c r="B707" s="211"/>
      <c r="C707" s="211"/>
      <c r="D707" s="211" t="str">
        <f>IFERROR(__xludf.DUMMYFUNCTION("""COMPUTED_VALUE"""),"")</f>
        <v/>
      </c>
      <c r="E707" s="211" t="str">
        <f>IFERROR(__xludf.DUMMYFUNCTION("""COMPUTED_VALUE"""),"")</f>
        <v/>
      </c>
      <c r="F707" s="211" t="str">
        <f>IFERROR(__xludf.DUMMYFUNCTION("""COMPUTED_VALUE"""),"")</f>
        <v/>
      </c>
      <c r="G707" s="211"/>
      <c r="H707" s="211"/>
      <c r="I707" s="211" t="str">
        <f>IFERROR(__xludf.DUMMYFUNCTION("""COMPUTED_VALUE"""),"")</f>
        <v/>
      </c>
      <c r="J707" s="211"/>
    </row>
    <row r="708">
      <c r="A708" s="211"/>
      <c r="B708" s="211"/>
      <c r="C708" s="211"/>
      <c r="D708" s="211" t="str">
        <f>IFERROR(__xludf.DUMMYFUNCTION("""COMPUTED_VALUE"""),"")</f>
        <v/>
      </c>
      <c r="E708" s="211" t="str">
        <f>IFERROR(__xludf.DUMMYFUNCTION("""COMPUTED_VALUE"""),"")</f>
        <v/>
      </c>
      <c r="F708" s="211" t="str">
        <f>IFERROR(__xludf.DUMMYFUNCTION("""COMPUTED_VALUE"""),"")</f>
        <v/>
      </c>
      <c r="G708" s="211"/>
      <c r="H708" s="211"/>
      <c r="I708" s="211" t="str">
        <f>IFERROR(__xludf.DUMMYFUNCTION("""COMPUTED_VALUE"""),"")</f>
        <v/>
      </c>
      <c r="J708" s="211"/>
    </row>
    <row r="709">
      <c r="A709" s="211"/>
      <c r="B709" s="211"/>
      <c r="C709" s="211"/>
      <c r="D709" s="211" t="str">
        <f>IFERROR(__xludf.DUMMYFUNCTION("""COMPUTED_VALUE"""),"")</f>
        <v/>
      </c>
      <c r="E709" s="211" t="str">
        <f>IFERROR(__xludf.DUMMYFUNCTION("""COMPUTED_VALUE"""),"")</f>
        <v/>
      </c>
      <c r="F709" s="211" t="str">
        <f>IFERROR(__xludf.DUMMYFUNCTION("""COMPUTED_VALUE"""),"")</f>
        <v/>
      </c>
      <c r="G709" s="211"/>
      <c r="H709" s="211"/>
      <c r="I709" s="211" t="str">
        <f>IFERROR(__xludf.DUMMYFUNCTION("""COMPUTED_VALUE"""),"")</f>
        <v/>
      </c>
      <c r="J709" s="211"/>
    </row>
    <row r="710">
      <c r="A710" s="211"/>
      <c r="B710" s="211"/>
      <c r="C710" s="211"/>
      <c r="D710" s="211" t="str">
        <f>IFERROR(__xludf.DUMMYFUNCTION("""COMPUTED_VALUE"""),"")</f>
        <v/>
      </c>
      <c r="E710" s="211" t="str">
        <f>IFERROR(__xludf.DUMMYFUNCTION("""COMPUTED_VALUE"""),"")</f>
        <v/>
      </c>
      <c r="F710" s="211" t="str">
        <f>IFERROR(__xludf.DUMMYFUNCTION("""COMPUTED_VALUE"""),"")</f>
        <v/>
      </c>
      <c r="G710" s="211"/>
      <c r="H710" s="211"/>
      <c r="I710" s="211" t="str">
        <f>IFERROR(__xludf.DUMMYFUNCTION("""COMPUTED_VALUE"""),"")</f>
        <v/>
      </c>
      <c r="J710" s="211"/>
    </row>
    <row r="711">
      <c r="A711" s="211"/>
      <c r="B711" s="211"/>
      <c r="C711" s="211"/>
      <c r="D711" s="211" t="str">
        <f>IFERROR(__xludf.DUMMYFUNCTION("""COMPUTED_VALUE"""),"")</f>
        <v/>
      </c>
      <c r="E711" s="211" t="str">
        <f>IFERROR(__xludf.DUMMYFUNCTION("""COMPUTED_VALUE"""),"")</f>
        <v/>
      </c>
      <c r="F711" s="211" t="str">
        <f>IFERROR(__xludf.DUMMYFUNCTION("""COMPUTED_VALUE"""),"")</f>
        <v/>
      </c>
      <c r="G711" s="211"/>
      <c r="H711" s="211"/>
      <c r="I711" s="211" t="str">
        <f>IFERROR(__xludf.DUMMYFUNCTION("""COMPUTED_VALUE"""),"")</f>
        <v/>
      </c>
      <c r="J711" s="211"/>
    </row>
    <row r="712">
      <c r="A712" s="211"/>
      <c r="B712" s="211"/>
      <c r="C712" s="211"/>
      <c r="D712" s="211" t="str">
        <f>IFERROR(__xludf.DUMMYFUNCTION("""COMPUTED_VALUE"""),"")</f>
        <v/>
      </c>
      <c r="E712" s="211" t="str">
        <f>IFERROR(__xludf.DUMMYFUNCTION("""COMPUTED_VALUE"""),"")</f>
        <v/>
      </c>
      <c r="F712" s="211" t="str">
        <f>IFERROR(__xludf.DUMMYFUNCTION("""COMPUTED_VALUE"""),"")</f>
        <v/>
      </c>
      <c r="G712" s="211"/>
      <c r="H712" s="211"/>
      <c r="I712" s="211" t="str">
        <f>IFERROR(__xludf.DUMMYFUNCTION("""COMPUTED_VALUE"""),"")</f>
        <v/>
      </c>
      <c r="J712" s="211"/>
    </row>
    <row r="713">
      <c r="A713" s="211"/>
      <c r="B713" s="211"/>
      <c r="C713" s="211"/>
      <c r="D713" s="211" t="str">
        <f>IFERROR(__xludf.DUMMYFUNCTION("""COMPUTED_VALUE"""),"")</f>
        <v/>
      </c>
      <c r="E713" s="211" t="str">
        <f>IFERROR(__xludf.DUMMYFUNCTION("""COMPUTED_VALUE"""),"")</f>
        <v/>
      </c>
      <c r="F713" s="211" t="str">
        <f>IFERROR(__xludf.DUMMYFUNCTION("""COMPUTED_VALUE"""),"")</f>
        <v/>
      </c>
      <c r="G713" s="211"/>
      <c r="H713" s="211"/>
      <c r="I713" s="211" t="str">
        <f>IFERROR(__xludf.DUMMYFUNCTION("""COMPUTED_VALUE"""),"")</f>
        <v/>
      </c>
      <c r="J713" s="211"/>
    </row>
    <row r="714">
      <c r="A714" s="211"/>
      <c r="B714" s="211"/>
      <c r="C714" s="211"/>
      <c r="D714" s="211" t="str">
        <f>IFERROR(__xludf.DUMMYFUNCTION("""COMPUTED_VALUE"""),"")</f>
        <v/>
      </c>
      <c r="E714" s="211" t="str">
        <f>IFERROR(__xludf.DUMMYFUNCTION("""COMPUTED_VALUE"""),"")</f>
        <v/>
      </c>
      <c r="F714" s="211" t="str">
        <f>IFERROR(__xludf.DUMMYFUNCTION("""COMPUTED_VALUE"""),"")</f>
        <v/>
      </c>
      <c r="G714" s="211"/>
      <c r="H714" s="211"/>
      <c r="I714" s="211" t="str">
        <f>IFERROR(__xludf.DUMMYFUNCTION("""COMPUTED_VALUE"""),"")</f>
        <v/>
      </c>
      <c r="J714" s="211"/>
    </row>
    <row r="715">
      <c r="A715" s="211"/>
      <c r="B715" s="211"/>
      <c r="C715" s="211"/>
      <c r="D715" s="211" t="str">
        <f>IFERROR(__xludf.DUMMYFUNCTION("""COMPUTED_VALUE"""),"")</f>
        <v/>
      </c>
      <c r="E715" s="211" t="str">
        <f>IFERROR(__xludf.DUMMYFUNCTION("""COMPUTED_VALUE"""),"")</f>
        <v/>
      </c>
      <c r="F715" s="211" t="str">
        <f>IFERROR(__xludf.DUMMYFUNCTION("""COMPUTED_VALUE"""),"")</f>
        <v/>
      </c>
      <c r="G715" s="211"/>
      <c r="H715" s="211"/>
      <c r="I715" s="211" t="str">
        <f>IFERROR(__xludf.DUMMYFUNCTION("""COMPUTED_VALUE"""),"")</f>
        <v/>
      </c>
      <c r="J715" s="211"/>
    </row>
    <row r="716">
      <c r="A716" s="211"/>
      <c r="B716" s="211"/>
      <c r="C716" s="211"/>
      <c r="D716" s="211" t="str">
        <f>IFERROR(__xludf.DUMMYFUNCTION("""COMPUTED_VALUE"""),"")</f>
        <v/>
      </c>
      <c r="E716" s="211" t="str">
        <f>IFERROR(__xludf.DUMMYFUNCTION("""COMPUTED_VALUE"""),"")</f>
        <v/>
      </c>
      <c r="F716" s="211" t="str">
        <f>IFERROR(__xludf.DUMMYFUNCTION("""COMPUTED_VALUE"""),"")</f>
        <v/>
      </c>
      <c r="G716" s="211"/>
      <c r="H716" s="211"/>
      <c r="I716" s="211" t="str">
        <f>IFERROR(__xludf.DUMMYFUNCTION("""COMPUTED_VALUE"""),"")</f>
        <v/>
      </c>
      <c r="J716" s="211"/>
    </row>
    <row r="717">
      <c r="A717" s="211"/>
      <c r="B717" s="211"/>
      <c r="C717" s="211"/>
      <c r="D717" s="211" t="str">
        <f>IFERROR(__xludf.DUMMYFUNCTION("""COMPUTED_VALUE"""),"")</f>
        <v/>
      </c>
      <c r="E717" s="211" t="str">
        <f>IFERROR(__xludf.DUMMYFUNCTION("""COMPUTED_VALUE"""),"")</f>
        <v/>
      </c>
      <c r="F717" s="211" t="str">
        <f>IFERROR(__xludf.DUMMYFUNCTION("""COMPUTED_VALUE"""),"")</f>
        <v/>
      </c>
      <c r="G717" s="211"/>
      <c r="H717" s="211"/>
      <c r="I717" s="211" t="str">
        <f>IFERROR(__xludf.DUMMYFUNCTION("""COMPUTED_VALUE"""),"")</f>
        <v/>
      </c>
      <c r="J717" s="211"/>
    </row>
    <row r="718">
      <c r="A718" s="211"/>
      <c r="B718" s="211"/>
      <c r="C718" s="211"/>
      <c r="D718" s="211" t="str">
        <f>IFERROR(__xludf.DUMMYFUNCTION("""COMPUTED_VALUE"""),"")</f>
        <v/>
      </c>
      <c r="E718" s="211" t="str">
        <f>IFERROR(__xludf.DUMMYFUNCTION("""COMPUTED_VALUE"""),"")</f>
        <v/>
      </c>
      <c r="F718" s="211" t="str">
        <f>IFERROR(__xludf.DUMMYFUNCTION("""COMPUTED_VALUE"""),"")</f>
        <v/>
      </c>
      <c r="G718" s="211"/>
      <c r="H718" s="211"/>
      <c r="I718" s="211" t="str">
        <f>IFERROR(__xludf.DUMMYFUNCTION("""COMPUTED_VALUE"""),"")</f>
        <v/>
      </c>
      <c r="J718" s="211"/>
    </row>
    <row r="719">
      <c r="A719" s="211"/>
      <c r="B719" s="211"/>
      <c r="C719" s="211"/>
      <c r="D719" s="211" t="str">
        <f>IFERROR(__xludf.DUMMYFUNCTION("""COMPUTED_VALUE"""),"")</f>
        <v/>
      </c>
      <c r="E719" s="211" t="str">
        <f>IFERROR(__xludf.DUMMYFUNCTION("""COMPUTED_VALUE"""),"")</f>
        <v/>
      </c>
      <c r="F719" s="211" t="str">
        <f>IFERROR(__xludf.DUMMYFUNCTION("""COMPUTED_VALUE"""),"")</f>
        <v/>
      </c>
      <c r="G719" s="211"/>
      <c r="H719" s="211"/>
      <c r="I719" s="211" t="str">
        <f>IFERROR(__xludf.DUMMYFUNCTION("""COMPUTED_VALUE"""),"")</f>
        <v/>
      </c>
      <c r="J719" s="211"/>
    </row>
    <row r="720">
      <c r="A720" s="211"/>
      <c r="B720" s="211"/>
      <c r="C720" s="211"/>
      <c r="D720" s="211" t="str">
        <f>IFERROR(__xludf.DUMMYFUNCTION("""COMPUTED_VALUE"""),"")</f>
        <v/>
      </c>
      <c r="E720" s="211" t="str">
        <f>IFERROR(__xludf.DUMMYFUNCTION("""COMPUTED_VALUE"""),"")</f>
        <v/>
      </c>
      <c r="F720" s="211" t="str">
        <f>IFERROR(__xludf.DUMMYFUNCTION("""COMPUTED_VALUE"""),"")</f>
        <v/>
      </c>
      <c r="G720" s="211"/>
      <c r="H720" s="211"/>
      <c r="I720" s="211" t="str">
        <f>IFERROR(__xludf.DUMMYFUNCTION("""COMPUTED_VALUE"""),"")</f>
        <v/>
      </c>
      <c r="J720" s="211"/>
    </row>
    <row r="721">
      <c r="A721" s="211"/>
      <c r="B721" s="211"/>
      <c r="C721" s="211"/>
      <c r="D721" s="211" t="str">
        <f>IFERROR(__xludf.DUMMYFUNCTION("""COMPUTED_VALUE"""),"")</f>
        <v/>
      </c>
      <c r="E721" s="211" t="str">
        <f>IFERROR(__xludf.DUMMYFUNCTION("""COMPUTED_VALUE"""),"")</f>
        <v/>
      </c>
      <c r="F721" s="211" t="str">
        <f>IFERROR(__xludf.DUMMYFUNCTION("""COMPUTED_VALUE"""),"")</f>
        <v/>
      </c>
      <c r="G721" s="211"/>
      <c r="H721" s="211"/>
      <c r="I721" s="211" t="str">
        <f>IFERROR(__xludf.DUMMYFUNCTION("""COMPUTED_VALUE"""),"")</f>
        <v/>
      </c>
      <c r="J721" s="211"/>
    </row>
    <row r="722">
      <c r="A722" s="211"/>
      <c r="B722" s="211"/>
      <c r="C722" s="211"/>
      <c r="D722" s="211" t="str">
        <f>IFERROR(__xludf.DUMMYFUNCTION("""COMPUTED_VALUE"""),"")</f>
        <v/>
      </c>
      <c r="E722" s="211" t="str">
        <f>IFERROR(__xludf.DUMMYFUNCTION("""COMPUTED_VALUE"""),"")</f>
        <v/>
      </c>
      <c r="F722" s="211" t="str">
        <f>IFERROR(__xludf.DUMMYFUNCTION("""COMPUTED_VALUE"""),"")</f>
        <v/>
      </c>
      <c r="G722" s="211"/>
      <c r="H722" s="211"/>
      <c r="I722" s="211" t="str">
        <f>IFERROR(__xludf.DUMMYFUNCTION("""COMPUTED_VALUE"""),"")</f>
        <v/>
      </c>
      <c r="J722" s="211"/>
    </row>
    <row r="723">
      <c r="A723" s="211"/>
      <c r="B723" s="211"/>
      <c r="C723" s="211"/>
      <c r="D723" s="211" t="str">
        <f>IFERROR(__xludf.DUMMYFUNCTION("""COMPUTED_VALUE"""),"")</f>
        <v/>
      </c>
      <c r="E723" s="211" t="str">
        <f>IFERROR(__xludf.DUMMYFUNCTION("""COMPUTED_VALUE"""),"")</f>
        <v/>
      </c>
      <c r="F723" s="211" t="str">
        <f>IFERROR(__xludf.DUMMYFUNCTION("""COMPUTED_VALUE"""),"")</f>
        <v/>
      </c>
      <c r="G723" s="211"/>
      <c r="H723" s="211"/>
      <c r="I723" s="211" t="str">
        <f>IFERROR(__xludf.DUMMYFUNCTION("""COMPUTED_VALUE"""),"")</f>
        <v/>
      </c>
      <c r="J723" s="211"/>
    </row>
    <row r="724">
      <c r="A724" s="211"/>
      <c r="B724" s="211"/>
      <c r="C724" s="211"/>
      <c r="D724" s="211" t="str">
        <f>IFERROR(__xludf.DUMMYFUNCTION("""COMPUTED_VALUE"""),"")</f>
        <v/>
      </c>
      <c r="E724" s="211" t="str">
        <f>IFERROR(__xludf.DUMMYFUNCTION("""COMPUTED_VALUE"""),"")</f>
        <v/>
      </c>
      <c r="F724" s="211" t="str">
        <f>IFERROR(__xludf.DUMMYFUNCTION("""COMPUTED_VALUE"""),"")</f>
        <v/>
      </c>
      <c r="G724" s="211"/>
      <c r="H724" s="211"/>
      <c r="I724" s="211" t="str">
        <f>IFERROR(__xludf.DUMMYFUNCTION("""COMPUTED_VALUE"""),"")</f>
        <v/>
      </c>
      <c r="J724" s="211"/>
    </row>
    <row r="725">
      <c r="A725" s="211"/>
      <c r="B725" s="211"/>
      <c r="C725" s="211"/>
      <c r="D725" s="211" t="str">
        <f>IFERROR(__xludf.DUMMYFUNCTION("""COMPUTED_VALUE"""),"")</f>
        <v/>
      </c>
      <c r="E725" s="211" t="str">
        <f>IFERROR(__xludf.DUMMYFUNCTION("""COMPUTED_VALUE"""),"")</f>
        <v/>
      </c>
      <c r="F725" s="211" t="str">
        <f>IFERROR(__xludf.DUMMYFUNCTION("""COMPUTED_VALUE"""),"")</f>
        <v/>
      </c>
      <c r="G725" s="211"/>
      <c r="H725" s="211"/>
      <c r="I725" s="211" t="str">
        <f>IFERROR(__xludf.DUMMYFUNCTION("""COMPUTED_VALUE"""),"")</f>
        <v/>
      </c>
      <c r="J725" s="211"/>
    </row>
    <row r="726">
      <c r="A726" s="211"/>
      <c r="B726" s="211"/>
      <c r="C726" s="211"/>
      <c r="D726" s="211" t="str">
        <f>IFERROR(__xludf.DUMMYFUNCTION("""COMPUTED_VALUE"""),"")</f>
        <v/>
      </c>
      <c r="E726" s="211" t="str">
        <f>IFERROR(__xludf.DUMMYFUNCTION("""COMPUTED_VALUE"""),"")</f>
        <v/>
      </c>
      <c r="F726" s="211" t="str">
        <f>IFERROR(__xludf.DUMMYFUNCTION("""COMPUTED_VALUE"""),"")</f>
        <v/>
      </c>
      <c r="G726" s="211"/>
      <c r="H726" s="211"/>
      <c r="I726" s="211" t="str">
        <f>IFERROR(__xludf.DUMMYFUNCTION("""COMPUTED_VALUE"""),"")</f>
        <v/>
      </c>
      <c r="J726" s="211"/>
    </row>
    <row r="727">
      <c r="A727" s="211"/>
      <c r="B727" s="211"/>
      <c r="C727" s="211"/>
      <c r="D727" s="211" t="str">
        <f>IFERROR(__xludf.DUMMYFUNCTION("""COMPUTED_VALUE"""),"")</f>
        <v/>
      </c>
      <c r="E727" s="211" t="str">
        <f>IFERROR(__xludf.DUMMYFUNCTION("""COMPUTED_VALUE"""),"")</f>
        <v/>
      </c>
      <c r="F727" s="211" t="str">
        <f>IFERROR(__xludf.DUMMYFUNCTION("""COMPUTED_VALUE"""),"")</f>
        <v/>
      </c>
      <c r="G727" s="211"/>
      <c r="H727" s="211"/>
      <c r="I727" s="211" t="str">
        <f>IFERROR(__xludf.DUMMYFUNCTION("""COMPUTED_VALUE"""),"")</f>
        <v/>
      </c>
      <c r="J727" s="211"/>
    </row>
    <row r="728">
      <c r="A728" s="211"/>
      <c r="B728" s="211"/>
      <c r="C728" s="211"/>
      <c r="D728" s="211" t="str">
        <f>IFERROR(__xludf.DUMMYFUNCTION("""COMPUTED_VALUE"""),"")</f>
        <v/>
      </c>
      <c r="E728" s="211" t="str">
        <f>IFERROR(__xludf.DUMMYFUNCTION("""COMPUTED_VALUE"""),"")</f>
        <v/>
      </c>
      <c r="F728" s="211" t="str">
        <f>IFERROR(__xludf.DUMMYFUNCTION("""COMPUTED_VALUE"""),"")</f>
        <v/>
      </c>
      <c r="G728" s="211"/>
      <c r="H728" s="211"/>
      <c r="I728" s="211" t="str">
        <f>IFERROR(__xludf.DUMMYFUNCTION("""COMPUTED_VALUE"""),"")</f>
        <v/>
      </c>
      <c r="J728" s="211"/>
    </row>
    <row r="729">
      <c r="A729" s="211"/>
      <c r="B729" s="211"/>
      <c r="C729" s="211"/>
      <c r="D729" s="211" t="str">
        <f>IFERROR(__xludf.DUMMYFUNCTION("""COMPUTED_VALUE"""),"")</f>
        <v/>
      </c>
      <c r="E729" s="211" t="str">
        <f>IFERROR(__xludf.DUMMYFUNCTION("""COMPUTED_VALUE"""),"")</f>
        <v/>
      </c>
      <c r="F729" s="211" t="str">
        <f>IFERROR(__xludf.DUMMYFUNCTION("""COMPUTED_VALUE"""),"")</f>
        <v/>
      </c>
      <c r="G729" s="211"/>
      <c r="H729" s="211"/>
      <c r="I729" s="211" t="str">
        <f>IFERROR(__xludf.DUMMYFUNCTION("""COMPUTED_VALUE"""),"")</f>
        <v/>
      </c>
      <c r="J729" s="211"/>
    </row>
    <row r="730">
      <c r="A730" s="211"/>
      <c r="B730" s="211"/>
      <c r="C730" s="211"/>
      <c r="D730" s="211" t="str">
        <f>IFERROR(__xludf.DUMMYFUNCTION("""COMPUTED_VALUE"""),"")</f>
        <v/>
      </c>
      <c r="E730" s="211" t="str">
        <f>IFERROR(__xludf.DUMMYFUNCTION("""COMPUTED_VALUE"""),"")</f>
        <v/>
      </c>
      <c r="F730" s="211" t="str">
        <f>IFERROR(__xludf.DUMMYFUNCTION("""COMPUTED_VALUE"""),"")</f>
        <v/>
      </c>
      <c r="G730" s="211"/>
      <c r="H730" s="211"/>
      <c r="I730" s="211" t="str">
        <f>IFERROR(__xludf.DUMMYFUNCTION("""COMPUTED_VALUE"""),"")</f>
        <v/>
      </c>
      <c r="J730" s="211"/>
    </row>
    <row r="731">
      <c r="A731" s="211"/>
      <c r="B731" s="211"/>
      <c r="C731" s="211"/>
      <c r="D731" s="211" t="str">
        <f>IFERROR(__xludf.DUMMYFUNCTION("""COMPUTED_VALUE"""),"")</f>
        <v/>
      </c>
      <c r="E731" s="211" t="str">
        <f>IFERROR(__xludf.DUMMYFUNCTION("""COMPUTED_VALUE"""),"")</f>
        <v/>
      </c>
      <c r="F731" s="211" t="str">
        <f>IFERROR(__xludf.DUMMYFUNCTION("""COMPUTED_VALUE"""),"")</f>
        <v/>
      </c>
      <c r="G731" s="211"/>
      <c r="H731" s="211"/>
      <c r="I731" s="211" t="str">
        <f>IFERROR(__xludf.DUMMYFUNCTION("""COMPUTED_VALUE"""),"")</f>
        <v/>
      </c>
      <c r="J731" s="211"/>
    </row>
    <row r="732">
      <c r="A732" s="211"/>
      <c r="B732" s="211"/>
      <c r="C732" s="211"/>
      <c r="D732" s="211" t="str">
        <f>IFERROR(__xludf.DUMMYFUNCTION("""COMPUTED_VALUE"""),"")</f>
        <v/>
      </c>
      <c r="E732" s="211" t="str">
        <f>IFERROR(__xludf.DUMMYFUNCTION("""COMPUTED_VALUE"""),"")</f>
        <v/>
      </c>
      <c r="F732" s="211" t="str">
        <f>IFERROR(__xludf.DUMMYFUNCTION("""COMPUTED_VALUE"""),"")</f>
        <v/>
      </c>
      <c r="G732" s="211"/>
      <c r="H732" s="211"/>
      <c r="I732" s="211" t="str">
        <f>IFERROR(__xludf.DUMMYFUNCTION("""COMPUTED_VALUE"""),"")</f>
        <v/>
      </c>
      <c r="J732" s="211"/>
    </row>
    <row r="733">
      <c r="A733" s="211"/>
      <c r="B733" s="211"/>
      <c r="C733" s="211"/>
      <c r="D733" s="211" t="str">
        <f>IFERROR(__xludf.DUMMYFUNCTION("""COMPUTED_VALUE"""),"")</f>
        <v/>
      </c>
      <c r="E733" s="211" t="str">
        <f>IFERROR(__xludf.DUMMYFUNCTION("""COMPUTED_VALUE"""),"")</f>
        <v/>
      </c>
      <c r="F733" s="211" t="str">
        <f>IFERROR(__xludf.DUMMYFUNCTION("""COMPUTED_VALUE"""),"")</f>
        <v/>
      </c>
      <c r="G733" s="211"/>
      <c r="H733" s="211"/>
      <c r="I733" s="211" t="str">
        <f>IFERROR(__xludf.DUMMYFUNCTION("""COMPUTED_VALUE"""),"")</f>
        <v/>
      </c>
      <c r="J733" s="211"/>
    </row>
    <row r="734">
      <c r="A734" s="211"/>
      <c r="B734" s="211"/>
      <c r="C734" s="211"/>
      <c r="D734" s="211" t="str">
        <f>IFERROR(__xludf.DUMMYFUNCTION("""COMPUTED_VALUE"""),"")</f>
        <v/>
      </c>
      <c r="E734" s="211" t="str">
        <f>IFERROR(__xludf.DUMMYFUNCTION("""COMPUTED_VALUE"""),"")</f>
        <v/>
      </c>
      <c r="F734" s="211" t="str">
        <f>IFERROR(__xludf.DUMMYFUNCTION("""COMPUTED_VALUE"""),"")</f>
        <v/>
      </c>
      <c r="G734" s="211"/>
      <c r="H734" s="211"/>
      <c r="I734" s="211" t="str">
        <f>IFERROR(__xludf.DUMMYFUNCTION("""COMPUTED_VALUE"""),"")</f>
        <v/>
      </c>
      <c r="J734" s="211"/>
    </row>
    <row r="735">
      <c r="A735" s="211"/>
      <c r="B735" s="211"/>
      <c r="C735" s="211"/>
      <c r="D735" s="211" t="str">
        <f>IFERROR(__xludf.DUMMYFUNCTION("""COMPUTED_VALUE"""),"")</f>
        <v/>
      </c>
      <c r="E735" s="211" t="str">
        <f>IFERROR(__xludf.DUMMYFUNCTION("""COMPUTED_VALUE"""),"")</f>
        <v/>
      </c>
      <c r="F735" s="211" t="str">
        <f>IFERROR(__xludf.DUMMYFUNCTION("""COMPUTED_VALUE"""),"")</f>
        <v/>
      </c>
      <c r="G735" s="211"/>
      <c r="H735" s="211"/>
      <c r="I735" s="211" t="str">
        <f>IFERROR(__xludf.DUMMYFUNCTION("""COMPUTED_VALUE"""),"")</f>
        <v/>
      </c>
      <c r="J735" s="211"/>
    </row>
    <row r="736">
      <c r="A736" s="211"/>
      <c r="B736" s="211"/>
      <c r="C736" s="211"/>
      <c r="D736" s="211" t="str">
        <f>IFERROR(__xludf.DUMMYFUNCTION("""COMPUTED_VALUE"""),"")</f>
        <v/>
      </c>
      <c r="E736" s="211" t="str">
        <f>IFERROR(__xludf.DUMMYFUNCTION("""COMPUTED_VALUE"""),"")</f>
        <v/>
      </c>
      <c r="F736" s="211" t="str">
        <f>IFERROR(__xludf.DUMMYFUNCTION("""COMPUTED_VALUE"""),"")</f>
        <v/>
      </c>
      <c r="G736" s="211"/>
      <c r="H736" s="211"/>
      <c r="I736" s="211" t="str">
        <f>IFERROR(__xludf.DUMMYFUNCTION("""COMPUTED_VALUE"""),"")</f>
        <v/>
      </c>
      <c r="J736" s="211"/>
    </row>
    <row r="737">
      <c r="A737" s="211"/>
      <c r="B737" s="211"/>
      <c r="C737" s="211"/>
      <c r="D737" s="211" t="str">
        <f>IFERROR(__xludf.DUMMYFUNCTION("""COMPUTED_VALUE"""),"")</f>
        <v/>
      </c>
      <c r="E737" s="211" t="str">
        <f>IFERROR(__xludf.DUMMYFUNCTION("""COMPUTED_VALUE"""),"")</f>
        <v/>
      </c>
      <c r="F737" s="211" t="str">
        <f>IFERROR(__xludf.DUMMYFUNCTION("""COMPUTED_VALUE"""),"")</f>
        <v/>
      </c>
      <c r="G737" s="211"/>
      <c r="H737" s="211"/>
      <c r="I737" s="211" t="str">
        <f>IFERROR(__xludf.DUMMYFUNCTION("""COMPUTED_VALUE"""),"")</f>
        <v/>
      </c>
      <c r="J737" s="211"/>
    </row>
    <row r="738">
      <c r="A738" s="211"/>
      <c r="B738" s="211"/>
      <c r="C738" s="211"/>
      <c r="D738" s="211" t="str">
        <f>IFERROR(__xludf.DUMMYFUNCTION("""COMPUTED_VALUE"""),"")</f>
        <v/>
      </c>
      <c r="E738" s="211" t="str">
        <f>IFERROR(__xludf.DUMMYFUNCTION("""COMPUTED_VALUE"""),"")</f>
        <v/>
      </c>
      <c r="F738" s="211" t="str">
        <f>IFERROR(__xludf.DUMMYFUNCTION("""COMPUTED_VALUE"""),"")</f>
        <v/>
      </c>
      <c r="G738" s="211"/>
      <c r="H738" s="211"/>
      <c r="I738" s="211" t="str">
        <f>IFERROR(__xludf.DUMMYFUNCTION("""COMPUTED_VALUE"""),"")</f>
        <v/>
      </c>
      <c r="J738" s="211"/>
    </row>
    <row r="739">
      <c r="A739" s="211"/>
      <c r="B739" s="211"/>
      <c r="C739" s="211"/>
      <c r="D739" s="211" t="str">
        <f>IFERROR(__xludf.DUMMYFUNCTION("""COMPUTED_VALUE"""),"")</f>
        <v/>
      </c>
      <c r="E739" s="211" t="str">
        <f>IFERROR(__xludf.DUMMYFUNCTION("""COMPUTED_VALUE"""),"")</f>
        <v/>
      </c>
      <c r="F739" s="211" t="str">
        <f>IFERROR(__xludf.DUMMYFUNCTION("""COMPUTED_VALUE"""),"")</f>
        <v/>
      </c>
      <c r="G739" s="211"/>
      <c r="H739" s="211"/>
      <c r="I739" s="211" t="str">
        <f>IFERROR(__xludf.DUMMYFUNCTION("""COMPUTED_VALUE"""),"")</f>
        <v/>
      </c>
      <c r="J739" s="211"/>
    </row>
    <row r="740">
      <c r="A740" s="211"/>
      <c r="B740" s="211"/>
      <c r="C740" s="211"/>
      <c r="D740" s="211" t="str">
        <f>IFERROR(__xludf.DUMMYFUNCTION("""COMPUTED_VALUE"""),"")</f>
        <v/>
      </c>
      <c r="E740" s="211" t="str">
        <f>IFERROR(__xludf.DUMMYFUNCTION("""COMPUTED_VALUE"""),"")</f>
        <v/>
      </c>
      <c r="F740" s="211" t="str">
        <f>IFERROR(__xludf.DUMMYFUNCTION("""COMPUTED_VALUE"""),"")</f>
        <v/>
      </c>
      <c r="G740" s="211"/>
      <c r="H740" s="211"/>
      <c r="I740" s="211" t="str">
        <f>IFERROR(__xludf.DUMMYFUNCTION("""COMPUTED_VALUE"""),"")</f>
        <v/>
      </c>
      <c r="J740" s="211"/>
    </row>
    <row r="741">
      <c r="A741" s="211"/>
      <c r="B741" s="211"/>
      <c r="C741" s="211"/>
      <c r="D741" s="211" t="str">
        <f>IFERROR(__xludf.DUMMYFUNCTION("""COMPUTED_VALUE"""),"")</f>
        <v/>
      </c>
      <c r="E741" s="211" t="str">
        <f>IFERROR(__xludf.DUMMYFUNCTION("""COMPUTED_VALUE"""),"")</f>
        <v/>
      </c>
      <c r="F741" s="211" t="str">
        <f>IFERROR(__xludf.DUMMYFUNCTION("""COMPUTED_VALUE"""),"")</f>
        <v/>
      </c>
      <c r="G741" s="211"/>
      <c r="H741" s="211"/>
      <c r="I741" s="211" t="str">
        <f>IFERROR(__xludf.DUMMYFUNCTION("""COMPUTED_VALUE"""),"")</f>
        <v/>
      </c>
      <c r="J741" s="211"/>
    </row>
    <row r="742">
      <c r="A742" s="211"/>
      <c r="B742" s="211"/>
      <c r="C742" s="211"/>
      <c r="D742" s="211" t="str">
        <f>IFERROR(__xludf.DUMMYFUNCTION("""COMPUTED_VALUE"""),"")</f>
        <v/>
      </c>
      <c r="E742" s="211" t="str">
        <f>IFERROR(__xludf.DUMMYFUNCTION("""COMPUTED_VALUE"""),"")</f>
        <v/>
      </c>
      <c r="F742" s="211" t="str">
        <f>IFERROR(__xludf.DUMMYFUNCTION("""COMPUTED_VALUE"""),"")</f>
        <v/>
      </c>
      <c r="G742" s="211"/>
      <c r="H742" s="211"/>
      <c r="I742" s="211" t="str">
        <f>IFERROR(__xludf.DUMMYFUNCTION("""COMPUTED_VALUE"""),"")</f>
        <v/>
      </c>
      <c r="J742" s="211"/>
    </row>
    <row r="743">
      <c r="A743" s="211"/>
      <c r="B743" s="211"/>
      <c r="C743" s="211"/>
      <c r="D743" s="211" t="str">
        <f>IFERROR(__xludf.DUMMYFUNCTION("""COMPUTED_VALUE"""),"")</f>
        <v/>
      </c>
      <c r="E743" s="211" t="str">
        <f>IFERROR(__xludf.DUMMYFUNCTION("""COMPUTED_VALUE"""),"")</f>
        <v/>
      </c>
      <c r="F743" s="211" t="str">
        <f>IFERROR(__xludf.DUMMYFUNCTION("""COMPUTED_VALUE"""),"")</f>
        <v/>
      </c>
      <c r="G743" s="211"/>
      <c r="H743" s="211"/>
      <c r="I743" s="211" t="str">
        <f>IFERROR(__xludf.DUMMYFUNCTION("""COMPUTED_VALUE"""),"")</f>
        <v/>
      </c>
      <c r="J743" s="211"/>
    </row>
    <row r="744">
      <c r="A744" s="211"/>
      <c r="B744" s="211"/>
      <c r="C744" s="211"/>
      <c r="D744" s="211" t="str">
        <f>IFERROR(__xludf.DUMMYFUNCTION("""COMPUTED_VALUE"""),"")</f>
        <v/>
      </c>
      <c r="E744" s="211" t="str">
        <f>IFERROR(__xludf.DUMMYFUNCTION("""COMPUTED_VALUE"""),"")</f>
        <v/>
      </c>
      <c r="F744" s="211" t="str">
        <f>IFERROR(__xludf.DUMMYFUNCTION("""COMPUTED_VALUE"""),"")</f>
        <v/>
      </c>
      <c r="G744" s="211"/>
      <c r="H744" s="211"/>
      <c r="I744" s="211" t="str">
        <f>IFERROR(__xludf.DUMMYFUNCTION("""COMPUTED_VALUE"""),"")</f>
        <v/>
      </c>
      <c r="J744" s="211"/>
    </row>
    <row r="745">
      <c r="A745" s="211"/>
      <c r="B745" s="211"/>
      <c r="C745" s="211"/>
      <c r="D745" s="211" t="str">
        <f>IFERROR(__xludf.DUMMYFUNCTION("""COMPUTED_VALUE"""),"")</f>
        <v/>
      </c>
      <c r="E745" s="211" t="str">
        <f>IFERROR(__xludf.DUMMYFUNCTION("""COMPUTED_VALUE"""),"")</f>
        <v/>
      </c>
      <c r="F745" s="211" t="str">
        <f>IFERROR(__xludf.DUMMYFUNCTION("""COMPUTED_VALUE"""),"")</f>
        <v/>
      </c>
      <c r="G745" s="211"/>
      <c r="H745" s="211"/>
      <c r="I745" s="211" t="str">
        <f>IFERROR(__xludf.DUMMYFUNCTION("""COMPUTED_VALUE"""),"")</f>
        <v/>
      </c>
      <c r="J745" s="211"/>
    </row>
    <row r="746">
      <c r="A746" s="211"/>
      <c r="B746" s="211"/>
      <c r="C746" s="211"/>
      <c r="D746" s="211" t="str">
        <f>IFERROR(__xludf.DUMMYFUNCTION("""COMPUTED_VALUE"""),"")</f>
        <v/>
      </c>
      <c r="E746" s="211" t="str">
        <f>IFERROR(__xludf.DUMMYFUNCTION("""COMPUTED_VALUE"""),"")</f>
        <v/>
      </c>
      <c r="F746" s="211" t="str">
        <f>IFERROR(__xludf.DUMMYFUNCTION("""COMPUTED_VALUE"""),"")</f>
        <v/>
      </c>
      <c r="G746" s="211"/>
      <c r="H746" s="211"/>
      <c r="I746" s="211" t="str">
        <f>IFERROR(__xludf.DUMMYFUNCTION("""COMPUTED_VALUE"""),"")</f>
        <v/>
      </c>
      <c r="J746" s="211"/>
    </row>
    <row r="747">
      <c r="A747" s="211"/>
      <c r="B747" s="211"/>
      <c r="C747" s="211"/>
      <c r="D747" s="211" t="str">
        <f>IFERROR(__xludf.DUMMYFUNCTION("""COMPUTED_VALUE"""),"")</f>
        <v/>
      </c>
      <c r="E747" s="211" t="str">
        <f>IFERROR(__xludf.DUMMYFUNCTION("""COMPUTED_VALUE"""),"")</f>
        <v/>
      </c>
      <c r="F747" s="211" t="str">
        <f>IFERROR(__xludf.DUMMYFUNCTION("""COMPUTED_VALUE"""),"")</f>
        <v/>
      </c>
      <c r="G747" s="211"/>
      <c r="H747" s="211"/>
      <c r="I747" s="211" t="str">
        <f>IFERROR(__xludf.DUMMYFUNCTION("""COMPUTED_VALUE"""),"")</f>
        <v/>
      </c>
      <c r="J747" s="211"/>
    </row>
    <row r="748">
      <c r="A748" s="211"/>
      <c r="B748" s="211"/>
      <c r="C748" s="211"/>
      <c r="D748" s="211" t="str">
        <f>IFERROR(__xludf.DUMMYFUNCTION("""COMPUTED_VALUE"""),"")</f>
        <v/>
      </c>
      <c r="E748" s="211" t="str">
        <f>IFERROR(__xludf.DUMMYFUNCTION("""COMPUTED_VALUE"""),"")</f>
        <v/>
      </c>
      <c r="F748" s="211" t="str">
        <f>IFERROR(__xludf.DUMMYFUNCTION("""COMPUTED_VALUE"""),"")</f>
        <v/>
      </c>
      <c r="G748" s="211"/>
      <c r="H748" s="211"/>
      <c r="I748" s="211" t="str">
        <f>IFERROR(__xludf.DUMMYFUNCTION("""COMPUTED_VALUE"""),"")</f>
        <v/>
      </c>
      <c r="J748" s="211"/>
    </row>
    <row r="749">
      <c r="A749" s="211"/>
      <c r="B749" s="211"/>
      <c r="C749" s="211"/>
      <c r="D749" s="211" t="str">
        <f>IFERROR(__xludf.DUMMYFUNCTION("""COMPUTED_VALUE"""),"")</f>
        <v/>
      </c>
      <c r="E749" s="211" t="str">
        <f>IFERROR(__xludf.DUMMYFUNCTION("""COMPUTED_VALUE"""),"")</f>
        <v/>
      </c>
      <c r="F749" s="211" t="str">
        <f>IFERROR(__xludf.DUMMYFUNCTION("""COMPUTED_VALUE"""),"")</f>
        <v/>
      </c>
      <c r="G749" s="211"/>
      <c r="H749" s="211"/>
      <c r="I749" s="211" t="str">
        <f>IFERROR(__xludf.DUMMYFUNCTION("""COMPUTED_VALUE"""),"")</f>
        <v/>
      </c>
      <c r="J749" s="211"/>
    </row>
    <row r="750">
      <c r="A750" s="211"/>
      <c r="B750" s="211"/>
      <c r="C750" s="211"/>
      <c r="D750" s="211" t="str">
        <f>IFERROR(__xludf.DUMMYFUNCTION("""COMPUTED_VALUE"""),"")</f>
        <v/>
      </c>
      <c r="E750" s="211" t="str">
        <f>IFERROR(__xludf.DUMMYFUNCTION("""COMPUTED_VALUE"""),"")</f>
        <v/>
      </c>
      <c r="F750" s="211" t="str">
        <f>IFERROR(__xludf.DUMMYFUNCTION("""COMPUTED_VALUE"""),"")</f>
        <v/>
      </c>
      <c r="G750" s="211"/>
      <c r="H750" s="211"/>
      <c r="I750" s="211" t="str">
        <f>IFERROR(__xludf.DUMMYFUNCTION("""COMPUTED_VALUE"""),"")</f>
        <v/>
      </c>
      <c r="J750" s="211"/>
    </row>
    <row r="751">
      <c r="A751" s="211"/>
      <c r="B751" s="211"/>
      <c r="C751" s="211"/>
      <c r="D751" s="211" t="str">
        <f>IFERROR(__xludf.DUMMYFUNCTION("""COMPUTED_VALUE"""),"")</f>
        <v/>
      </c>
      <c r="E751" s="211" t="str">
        <f>IFERROR(__xludf.DUMMYFUNCTION("""COMPUTED_VALUE"""),"")</f>
        <v/>
      </c>
      <c r="F751" s="211" t="str">
        <f>IFERROR(__xludf.DUMMYFUNCTION("""COMPUTED_VALUE"""),"")</f>
        <v/>
      </c>
      <c r="G751" s="211"/>
      <c r="H751" s="211"/>
      <c r="I751" s="211" t="str">
        <f>IFERROR(__xludf.DUMMYFUNCTION("""COMPUTED_VALUE"""),"")</f>
        <v/>
      </c>
      <c r="J751" s="211"/>
    </row>
    <row r="752">
      <c r="A752" s="211"/>
      <c r="B752" s="211"/>
      <c r="C752" s="211"/>
      <c r="D752" s="211" t="str">
        <f>IFERROR(__xludf.DUMMYFUNCTION("""COMPUTED_VALUE"""),"")</f>
        <v/>
      </c>
      <c r="E752" s="211" t="str">
        <f>IFERROR(__xludf.DUMMYFUNCTION("""COMPUTED_VALUE"""),"")</f>
        <v/>
      </c>
      <c r="F752" s="211" t="str">
        <f>IFERROR(__xludf.DUMMYFUNCTION("""COMPUTED_VALUE"""),"")</f>
        <v/>
      </c>
      <c r="G752" s="211"/>
      <c r="H752" s="211"/>
      <c r="I752" s="211" t="str">
        <f>IFERROR(__xludf.DUMMYFUNCTION("""COMPUTED_VALUE"""),"")</f>
        <v/>
      </c>
      <c r="J752" s="211"/>
    </row>
    <row r="753">
      <c r="A753" s="211"/>
      <c r="B753" s="211"/>
      <c r="C753" s="211"/>
      <c r="D753" s="211" t="str">
        <f>IFERROR(__xludf.DUMMYFUNCTION("""COMPUTED_VALUE"""),"")</f>
        <v/>
      </c>
      <c r="E753" s="211" t="str">
        <f>IFERROR(__xludf.DUMMYFUNCTION("""COMPUTED_VALUE"""),"")</f>
        <v/>
      </c>
      <c r="F753" s="211" t="str">
        <f>IFERROR(__xludf.DUMMYFUNCTION("""COMPUTED_VALUE"""),"")</f>
        <v/>
      </c>
      <c r="G753" s="211"/>
      <c r="H753" s="211"/>
      <c r="I753" s="211" t="str">
        <f>IFERROR(__xludf.DUMMYFUNCTION("""COMPUTED_VALUE"""),"")</f>
        <v/>
      </c>
      <c r="J753" s="211"/>
    </row>
    <row r="754">
      <c r="A754" s="211"/>
      <c r="B754" s="211"/>
      <c r="C754" s="211"/>
      <c r="D754" s="211" t="str">
        <f>IFERROR(__xludf.DUMMYFUNCTION("""COMPUTED_VALUE"""),"")</f>
        <v/>
      </c>
      <c r="E754" s="211" t="str">
        <f>IFERROR(__xludf.DUMMYFUNCTION("""COMPUTED_VALUE"""),"")</f>
        <v/>
      </c>
      <c r="F754" s="211" t="str">
        <f>IFERROR(__xludf.DUMMYFUNCTION("""COMPUTED_VALUE"""),"")</f>
        <v/>
      </c>
      <c r="G754" s="211"/>
      <c r="H754" s="211"/>
      <c r="I754" s="211" t="str">
        <f>IFERROR(__xludf.DUMMYFUNCTION("""COMPUTED_VALUE"""),"")</f>
        <v/>
      </c>
      <c r="J754" s="211"/>
    </row>
    <row r="755">
      <c r="A755" s="211"/>
      <c r="B755" s="211"/>
      <c r="C755" s="211"/>
      <c r="D755" s="211" t="str">
        <f>IFERROR(__xludf.DUMMYFUNCTION("""COMPUTED_VALUE"""),"")</f>
        <v/>
      </c>
      <c r="E755" s="211" t="str">
        <f>IFERROR(__xludf.DUMMYFUNCTION("""COMPUTED_VALUE"""),"")</f>
        <v/>
      </c>
      <c r="F755" s="211" t="str">
        <f>IFERROR(__xludf.DUMMYFUNCTION("""COMPUTED_VALUE"""),"")</f>
        <v/>
      </c>
      <c r="G755" s="211"/>
      <c r="H755" s="211"/>
      <c r="I755" s="211" t="str">
        <f>IFERROR(__xludf.DUMMYFUNCTION("""COMPUTED_VALUE"""),"")</f>
        <v/>
      </c>
      <c r="J755" s="211"/>
    </row>
    <row r="756">
      <c r="A756" s="211"/>
      <c r="B756" s="211"/>
      <c r="C756" s="211"/>
      <c r="D756" s="211" t="str">
        <f>IFERROR(__xludf.DUMMYFUNCTION("""COMPUTED_VALUE"""),"")</f>
        <v/>
      </c>
      <c r="E756" s="211" t="str">
        <f>IFERROR(__xludf.DUMMYFUNCTION("""COMPUTED_VALUE"""),"")</f>
        <v/>
      </c>
      <c r="F756" s="211" t="str">
        <f>IFERROR(__xludf.DUMMYFUNCTION("""COMPUTED_VALUE"""),"")</f>
        <v/>
      </c>
      <c r="G756" s="211"/>
      <c r="H756" s="211"/>
      <c r="I756" s="211" t="str">
        <f>IFERROR(__xludf.DUMMYFUNCTION("""COMPUTED_VALUE"""),"")</f>
        <v/>
      </c>
      <c r="J756" s="211"/>
    </row>
    <row r="757">
      <c r="A757" s="211"/>
      <c r="B757" s="211"/>
      <c r="C757" s="211"/>
      <c r="D757" s="211" t="str">
        <f>IFERROR(__xludf.DUMMYFUNCTION("""COMPUTED_VALUE"""),"")</f>
        <v/>
      </c>
      <c r="E757" s="211" t="str">
        <f>IFERROR(__xludf.DUMMYFUNCTION("""COMPUTED_VALUE"""),"")</f>
        <v/>
      </c>
      <c r="F757" s="211" t="str">
        <f>IFERROR(__xludf.DUMMYFUNCTION("""COMPUTED_VALUE"""),"")</f>
        <v/>
      </c>
      <c r="G757" s="211"/>
      <c r="H757" s="211"/>
      <c r="I757" s="211" t="str">
        <f>IFERROR(__xludf.DUMMYFUNCTION("""COMPUTED_VALUE"""),"")</f>
        <v/>
      </c>
      <c r="J757" s="211"/>
    </row>
    <row r="758">
      <c r="A758" s="211"/>
      <c r="B758" s="211"/>
      <c r="C758" s="211"/>
      <c r="D758" s="211" t="str">
        <f>IFERROR(__xludf.DUMMYFUNCTION("""COMPUTED_VALUE"""),"")</f>
        <v/>
      </c>
      <c r="E758" s="211" t="str">
        <f>IFERROR(__xludf.DUMMYFUNCTION("""COMPUTED_VALUE"""),"")</f>
        <v/>
      </c>
      <c r="F758" s="211" t="str">
        <f>IFERROR(__xludf.DUMMYFUNCTION("""COMPUTED_VALUE"""),"")</f>
        <v/>
      </c>
      <c r="G758" s="211"/>
      <c r="H758" s="211"/>
      <c r="I758" s="211" t="str">
        <f>IFERROR(__xludf.DUMMYFUNCTION("""COMPUTED_VALUE"""),"")</f>
        <v/>
      </c>
      <c r="J758" s="211"/>
    </row>
    <row r="759">
      <c r="A759" s="211"/>
      <c r="B759" s="211"/>
      <c r="C759" s="211"/>
      <c r="D759" s="211" t="str">
        <f>IFERROR(__xludf.DUMMYFUNCTION("""COMPUTED_VALUE"""),"")</f>
        <v/>
      </c>
      <c r="E759" s="211" t="str">
        <f>IFERROR(__xludf.DUMMYFUNCTION("""COMPUTED_VALUE"""),"")</f>
        <v/>
      </c>
      <c r="F759" s="211" t="str">
        <f>IFERROR(__xludf.DUMMYFUNCTION("""COMPUTED_VALUE"""),"")</f>
        <v/>
      </c>
      <c r="G759" s="211"/>
      <c r="H759" s="211"/>
      <c r="I759" s="211" t="str">
        <f>IFERROR(__xludf.DUMMYFUNCTION("""COMPUTED_VALUE"""),"")</f>
        <v/>
      </c>
      <c r="J759" s="211"/>
    </row>
    <row r="760">
      <c r="A760" s="211"/>
      <c r="B760" s="211"/>
      <c r="C760" s="211"/>
      <c r="D760" s="211" t="str">
        <f>IFERROR(__xludf.DUMMYFUNCTION("""COMPUTED_VALUE"""),"")</f>
        <v/>
      </c>
      <c r="E760" s="211" t="str">
        <f>IFERROR(__xludf.DUMMYFUNCTION("""COMPUTED_VALUE"""),"")</f>
        <v/>
      </c>
      <c r="F760" s="211" t="str">
        <f>IFERROR(__xludf.DUMMYFUNCTION("""COMPUTED_VALUE"""),"")</f>
        <v/>
      </c>
      <c r="G760" s="211"/>
      <c r="H760" s="211"/>
      <c r="I760" s="211" t="str">
        <f>IFERROR(__xludf.DUMMYFUNCTION("""COMPUTED_VALUE"""),"")</f>
        <v/>
      </c>
      <c r="J760" s="211"/>
    </row>
    <row r="761">
      <c r="A761" s="211"/>
      <c r="B761" s="211"/>
      <c r="C761" s="211"/>
      <c r="D761" s="211" t="str">
        <f>IFERROR(__xludf.DUMMYFUNCTION("""COMPUTED_VALUE"""),"")</f>
        <v/>
      </c>
      <c r="E761" s="211" t="str">
        <f>IFERROR(__xludf.DUMMYFUNCTION("""COMPUTED_VALUE"""),"")</f>
        <v/>
      </c>
      <c r="F761" s="211" t="str">
        <f>IFERROR(__xludf.DUMMYFUNCTION("""COMPUTED_VALUE"""),"")</f>
        <v/>
      </c>
      <c r="G761" s="211"/>
      <c r="H761" s="211"/>
      <c r="I761" s="211" t="str">
        <f>IFERROR(__xludf.DUMMYFUNCTION("""COMPUTED_VALUE"""),"")</f>
        <v/>
      </c>
      <c r="J761" s="211"/>
    </row>
    <row r="762">
      <c r="A762" s="211"/>
      <c r="B762" s="211"/>
      <c r="C762" s="211"/>
      <c r="D762" s="211" t="str">
        <f>IFERROR(__xludf.DUMMYFUNCTION("""COMPUTED_VALUE"""),"")</f>
        <v/>
      </c>
      <c r="E762" s="211" t="str">
        <f>IFERROR(__xludf.DUMMYFUNCTION("""COMPUTED_VALUE"""),"")</f>
        <v/>
      </c>
      <c r="F762" s="211" t="str">
        <f>IFERROR(__xludf.DUMMYFUNCTION("""COMPUTED_VALUE"""),"")</f>
        <v/>
      </c>
      <c r="G762" s="211"/>
      <c r="H762" s="211"/>
      <c r="I762" s="211" t="str">
        <f>IFERROR(__xludf.DUMMYFUNCTION("""COMPUTED_VALUE"""),"")</f>
        <v/>
      </c>
      <c r="J762" s="211"/>
    </row>
    <row r="763">
      <c r="A763" s="211"/>
      <c r="B763" s="211"/>
      <c r="C763" s="211"/>
      <c r="D763" s="211" t="str">
        <f>IFERROR(__xludf.DUMMYFUNCTION("""COMPUTED_VALUE"""),"")</f>
        <v/>
      </c>
      <c r="E763" s="211" t="str">
        <f>IFERROR(__xludf.DUMMYFUNCTION("""COMPUTED_VALUE"""),"")</f>
        <v/>
      </c>
      <c r="F763" s="211" t="str">
        <f>IFERROR(__xludf.DUMMYFUNCTION("""COMPUTED_VALUE"""),"")</f>
        <v/>
      </c>
      <c r="G763" s="211"/>
      <c r="H763" s="211"/>
      <c r="I763" s="211" t="str">
        <f>IFERROR(__xludf.DUMMYFUNCTION("""COMPUTED_VALUE"""),"")</f>
        <v/>
      </c>
      <c r="J763" s="211"/>
    </row>
    <row r="764">
      <c r="A764" s="211"/>
      <c r="B764" s="211"/>
      <c r="C764" s="211"/>
      <c r="D764" s="211" t="str">
        <f>IFERROR(__xludf.DUMMYFUNCTION("""COMPUTED_VALUE"""),"")</f>
        <v/>
      </c>
      <c r="E764" s="211" t="str">
        <f>IFERROR(__xludf.DUMMYFUNCTION("""COMPUTED_VALUE"""),"")</f>
        <v/>
      </c>
      <c r="F764" s="211" t="str">
        <f>IFERROR(__xludf.DUMMYFUNCTION("""COMPUTED_VALUE"""),"")</f>
        <v/>
      </c>
      <c r="G764" s="211"/>
      <c r="H764" s="211"/>
      <c r="I764" s="211" t="str">
        <f>IFERROR(__xludf.DUMMYFUNCTION("""COMPUTED_VALUE"""),"")</f>
        <v/>
      </c>
      <c r="J764" s="211"/>
    </row>
    <row r="765">
      <c r="A765" s="211"/>
      <c r="B765" s="211"/>
      <c r="C765" s="211"/>
      <c r="D765" s="211" t="str">
        <f>IFERROR(__xludf.DUMMYFUNCTION("""COMPUTED_VALUE"""),"")</f>
        <v/>
      </c>
      <c r="E765" s="211" t="str">
        <f>IFERROR(__xludf.DUMMYFUNCTION("""COMPUTED_VALUE"""),"")</f>
        <v/>
      </c>
      <c r="F765" s="211" t="str">
        <f>IFERROR(__xludf.DUMMYFUNCTION("""COMPUTED_VALUE"""),"")</f>
        <v/>
      </c>
      <c r="G765" s="211"/>
      <c r="H765" s="211"/>
      <c r="I765" s="211" t="str">
        <f>IFERROR(__xludf.DUMMYFUNCTION("""COMPUTED_VALUE"""),"")</f>
        <v/>
      </c>
      <c r="J765" s="211"/>
    </row>
    <row r="766">
      <c r="A766" s="211"/>
      <c r="B766" s="211"/>
      <c r="C766" s="211"/>
      <c r="D766" s="211" t="str">
        <f>IFERROR(__xludf.DUMMYFUNCTION("""COMPUTED_VALUE"""),"")</f>
        <v/>
      </c>
      <c r="E766" s="211" t="str">
        <f>IFERROR(__xludf.DUMMYFUNCTION("""COMPUTED_VALUE"""),"")</f>
        <v/>
      </c>
      <c r="F766" s="211" t="str">
        <f>IFERROR(__xludf.DUMMYFUNCTION("""COMPUTED_VALUE"""),"")</f>
        <v/>
      </c>
      <c r="G766" s="211"/>
      <c r="H766" s="211"/>
      <c r="I766" s="211" t="str">
        <f>IFERROR(__xludf.DUMMYFUNCTION("""COMPUTED_VALUE"""),"")</f>
        <v/>
      </c>
      <c r="J766" s="211"/>
    </row>
    <row r="767">
      <c r="A767" s="211"/>
      <c r="B767" s="211"/>
      <c r="C767" s="211"/>
      <c r="D767" s="211" t="str">
        <f>IFERROR(__xludf.DUMMYFUNCTION("""COMPUTED_VALUE"""),"")</f>
        <v/>
      </c>
      <c r="E767" s="211" t="str">
        <f>IFERROR(__xludf.DUMMYFUNCTION("""COMPUTED_VALUE"""),"")</f>
        <v/>
      </c>
      <c r="F767" s="211" t="str">
        <f>IFERROR(__xludf.DUMMYFUNCTION("""COMPUTED_VALUE"""),"")</f>
        <v/>
      </c>
      <c r="G767" s="211"/>
      <c r="H767" s="211"/>
      <c r="I767" s="211" t="str">
        <f>IFERROR(__xludf.DUMMYFUNCTION("""COMPUTED_VALUE"""),"")</f>
        <v/>
      </c>
      <c r="J767" s="211"/>
    </row>
    <row r="768">
      <c r="A768" s="211"/>
      <c r="B768" s="211"/>
      <c r="C768" s="211"/>
      <c r="D768" s="211" t="str">
        <f>IFERROR(__xludf.DUMMYFUNCTION("""COMPUTED_VALUE"""),"")</f>
        <v/>
      </c>
      <c r="E768" s="211" t="str">
        <f>IFERROR(__xludf.DUMMYFUNCTION("""COMPUTED_VALUE"""),"")</f>
        <v/>
      </c>
      <c r="F768" s="211" t="str">
        <f>IFERROR(__xludf.DUMMYFUNCTION("""COMPUTED_VALUE"""),"")</f>
        <v/>
      </c>
      <c r="G768" s="211"/>
      <c r="H768" s="211"/>
      <c r="I768" s="211" t="str">
        <f>IFERROR(__xludf.DUMMYFUNCTION("""COMPUTED_VALUE"""),"")</f>
        <v/>
      </c>
      <c r="J768" s="211"/>
    </row>
    <row r="769">
      <c r="A769" s="211"/>
      <c r="B769" s="211"/>
      <c r="C769" s="211"/>
      <c r="D769" s="211" t="str">
        <f>IFERROR(__xludf.DUMMYFUNCTION("""COMPUTED_VALUE"""),"")</f>
        <v/>
      </c>
      <c r="E769" s="211" t="str">
        <f>IFERROR(__xludf.DUMMYFUNCTION("""COMPUTED_VALUE"""),"")</f>
        <v/>
      </c>
      <c r="F769" s="211" t="str">
        <f>IFERROR(__xludf.DUMMYFUNCTION("""COMPUTED_VALUE"""),"")</f>
        <v/>
      </c>
      <c r="G769" s="211"/>
      <c r="H769" s="211"/>
      <c r="I769" s="211" t="str">
        <f>IFERROR(__xludf.DUMMYFUNCTION("""COMPUTED_VALUE"""),"")</f>
        <v/>
      </c>
      <c r="J769" s="211"/>
    </row>
    <row r="770">
      <c r="A770" s="211"/>
      <c r="B770" s="211"/>
      <c r="C770" s="211"/>
      <c r="D770" s="211" t="str">
        <f>IFERROR(__xludf.DUMMYFUNCTION("""COMPUTED_VALUE"""),"")</f>
        <v/>
      </c>
      <c r="E770" s="211" t="str">
        <f>IFERROR(__xludf.DUMMYFUNCTION("""COMPUTED_VALUE"""),"")</f>
        <v/>
      </c>
      <c r="F770" s="211" t="str">
        <f>IFERROR(__xludf.DUMMYFUNCTION("""COMPUTED_VALUE"""),"")</f>
        <v/>
      </c>
      <c r="G770" s="211"/>
      <c r="H770" s="211"/>
      <c r="I770" s="211" t="str">
        <f>IFERROR(__xludf.DUMMYFUNCTION("""COMPUTED_VALUE"""),"")</f>
        <v/>
      </c>
      <c r="J770" s="211"/>
    </row>
    <row r="771">
      <c r="A771" s="211"/>
      <c r="B771" s="211"/>
      <c r="C771" s="211"/>
      <c r="D771" s="211" t="str">
        <f>IFERROR(__xludf.DUMMYFUNCTION("""COMPUTED_VALUE"""),"")</f>
        <v/>
      </c>
      <c r="E771" s="211" t="str">
        <f>IFERROR(__xludf.DUMMYFUNCTION("""COMPUTED_VALUE"""),"")</f>
        <v/>
      </c>
      <c r="F771" s="211" t="str">
        <f>IFERROR(__xludf.DUMMYFUNCTION("""COMPUTED_VALUE"""),"")</f>
        <v/>
      </c>
      <c r="G771" s="211"/>
      <c r="H771" s="211"/>
      <c r="I771" s="211" t="str">
        <f>IFERROR(__xludf.DUMMYFUNCTION("""COMPUTED_VALUE"""),"")</f>
        <v/>
      </c>
      <c r="J771" s="211"/>
    </row>
    <row r="772">
      <c r="A772" s="211"/>
      <c r="B772" s="211"/>
      <c r="C772" s="211"/>
      <c r="D772" s="211" t="str">
        <f>IFERROR(__xludf.DUMMYFUNCTION("""COMPUTED_VALUE"""),"")</f>
        <v/>
      </c>
      <c r="E772" s="211" t="str">
        <f>IFERROR(__xludf.DUMMYFUNCTION("""COMPUTED_VALUE"""),"")</f>
        <v/>
      </c>
      <c r="F772" s="211" t="str">
        <f>IFERROR(__xludf.DUMMYFUNCTION("""COMPUTED_VALUE"""),"")</f>
        <v/>
      </c>
      <c r="G772" s="211"/>
      <c r="H772" s="211"/>
      <c r="I772" s="211" t="str">
        <f>IFERROR(__xludf.DUMMYFUNCTION("""COMPUTED_VALUE"""),"")</f>
        <v/>
      </c>
      <c r="J772" s="211"/>
    </row>
    <row r="773">
      <c r="A773" s="211"/>
      <c r="B773" s="211"/>
      <c r="C773" s="211"/>
      <c r="D773" s="211" t="str">
        <f>IFERROR(__xludf.DUMMYFUNCTION("""COMPUTED_VALUE"""),"")</f>
        <v/>
      </c>
      <c r="E773" s="211" t="str">
        <f>IFERROR(__xludf.DUMMYFUNCTION("""COMPUTED_VALUE"""),"")</f>
        <v/>
      </c>
      <c r="F773" s="211" t="str">
        <f>IFERROR(__xludf.DUMMYFUNCTION("""COMPUTED_VALUE"""),"")</f>
        <v/>
      </c>
      <c r="G773" s="211"/>
      <c r="H773" s="211"/>
      <c r="I773" s="211" t="str">
        <f>IFERROR(__xludf.DUMMYFUNCTION("""COMPUTED_VALUE"""),"")</f>
        <v/>
      </c>
      <c r="J773" s="211"/>
    </row>
    <row r="774">
      <c r="A774" s="211"/>
      <c r="B774" s="211"/>
      <c r="C774" s="211"/>
      <c r="D774" s="211" t="str">
        <f>IFERROR(__xludf.DUMMYFUNCTION("""COMPUTED_VALUE"""),"")</f>
        <v/>
      </c>
      <c r="E774" s="211" t="str">
        <f>IFERROR(__xludf.DUMMYFUNCTION("""COMPUTED_VALUE"""),"")</f>
        <v/>
      </c>
      <c r="F774" s="211" t="str">
        <f>IFERROR(__xludf.DUMMYFUNCTION("""COMPUTED_VALUE"""),"")</f>
        <v/>
      </c>
      <c r="G774" s="211"/>
      <c r="H774" s="211"/>
      <c r="I774" s="211" t="str">
        <f>IFERROR(__xludf.DUMMYFUNCTION("""COMPUTED_VALUE"""),"")</f>
        <v/>
      </c>
      <c r="J774" s="211"/>
    </row>
    <row r="775">
      <c r="A775" s="211"/>
      <c r="B775" s="211"/>
      <c r="C775" s="211"/>
      <c r="D775" s="211" t="str">
        <f>IFERROR(__xludf.DUMMYFUNCTION("""COMPUTED_VALUE"""),"")</f>
        <v/>
      </c>
      <c r="E775" s="211" t="str">
        <f>IFERROR(__xludf.DUMMYFUNCTION("""COMPUTED_VALUE"""),"")</f>
        <v/>
      </c>
      <c r="F775" s="211" t="str">
        <f>IFERROR(__xludf.DUMMYFUNCTION("""COMPUTED_VALUE"""),"")</f>
        <v/>
      </c>
      <c r="G775" s="211"/>
      <c r="H775" s="211"/>
      <c r="I775" s="211" t="str">
        <f>IFERROR(__xludf.DUMMYFUNCTION("""COMPUTED_VALUE"""),"")</f>
        <v/>
      </c>
      <c r="J775" s="211"/>
    </row>
    <row r="776">
      <c r="A776" s="211"/>
      <c r="B776" s="211"/>
      <c r="C776" s="211"/>
      <c r="D776" s="211" t="str">
        <f>IFERROR(__xludf.DUMMYFUNCTION("""COMPUTED_VALUE"""),"")</f>
        <v/>
      </c>
      <c r="E776" s="211" t="str">
        <f>IFERROR(__xludf.DUMMYFUNCTION("""COMPUTED_VALUE"""),"")</f>
        <v/>
      </c>
      <c r="F776" s="211" t="str">
        <f>IFERROR(__xludf.DUMMYFUNCTION("""COMPUTED_VALUE"""),"")</f>
        <v/>
      </c>
      <c r="G776" s="211"/>
      <c r="H776" s="211"/>
      <c r="I776" s="211" t="str">
        <f>IFERROR(__xludf.DUMMYFUNCTION("""COMPUTED_VALUE"""),"")</f>
        <v/>
      </c>
      <c r="J776" s="211"/>
    </row>
    <row r="777">
      <c r="A777" s="211"/>
      <c r="B777" s="211"/>
      <c r="C777" s="211"/>
      <c r="D777" s="211" t="str">
        <f>IFERROR(__xludf.DUMMYFUNCTION("""COMPUTED_VALUE"""),"")</f>
        <v/>
      </c>
      <c r="E777" s="211" t="str">
        <f>IFERROR(__xludf.DUMMYFUNCTION("""COMPUTED_VALUE"""),"")</f>
        <v/>
      </c>
      <c r="F777" s="211" t="str">
        <f>IFERROR(__xludf.DUMMYFUNCTION("""COMPUTED_VALUE"""),"")</f>
        <v/>
      </c>
      <c r="G777" s="211"/>
      <c r="H777" s="211"/>
      <c r="I777" s="211" t="str">
        <f>IFERROR(__xludf.DUMMYFUNCTION("""COMPUTED_VALUE"""),"")</f>
        <v/>
      </c>
      <c r="J777" s="211"/>
    </row>
    <row r="778">
      <c r="A778" s="211"/>
      <c r="B778" s="211"/>
      <c r="C778" s="211"/>
      <c r="D778" s="211" t="str">
        <f>IFERROR(__xludf.DUMMYFUNCTION("""COMPUTED_VALUE"""),"")</f>
        <v/>
      </c>
      <c r="E778" s="211" t="str">
        <f>IFERROR(__xludf.DUMMYFUNCTION("""COMPUTED_VALUE"""),"")</f>
        <v/>
      </c>
      <c r="F778" s="211" t="str">
        <f>IFERROR(__xludf.DUMMYFUNCTION("""COMPUTED_VALUE"""),"")</f>
        <v/>
      </c>
      <c r="G778" s="211"/>
      <c r="H778" s="211"/>
      <c r="I778" s="211" t="str">
        <f>IFERROR(__xludf.DUMMYFUNCTION("""COMPUTED_VALUE"""),"")</f>
        <v/>
      </c>
      <c r="J778" s="211"/>
    </row>
    <row r="779">
      <c r="A779" s="211"/>
      <c r="B779" s="211"/>
      <c r="C779" s="211"/>
      <c r="D779" s="211" t="str">
        <f>IFERROR(__xludf.DUMMYFUNCTION("""COMPUTED_VALUE"""),"")</f>
        <v/>
      </c>
      <c r="E779" s="211" t="str">
        <f>IFERROR(__xludf.DUMMYFUNCTION("""COMPUTED_VALUE"""),"")</f>
        <v/>
      </c>
      <c r="F779" s="211" t="str">
        <f>IFERROR(__xludf.DUMMYFUNCTION("""COMPUTED_VALUE"""),"")</f>
        <v/>
      </c>
      <c r="G779" s="211"/>
      <c r="H779" s="211"/>
      <c r="I779" s="211" t="str">
        <f>IFERROR(__xludf.DUMMYFUNCTION("""COMPUTED_VALUE"""),"")</f>
        <v/>
      </c>
      <c r="J779" s="211"/>
    </row>
    <row r="780">
      <c r="A780" s="211"/>
      <c r="B780" s="211"/>
      <c r="C780" s="211"/>
      <c r="D780" s="211" t="str">
        <f>IFERROR(__xludf.DUMMYFUNCTION("""COMPUTED_VALUE"""),"")</f>
        <v/>
      </c>
      <c r="E780" s="211" t="str">
        <f>IFERROR(__xludf.DUMMYFUNCTION("""COMPUTED_VALUE"""),"")</f>
        <v/>
      </c>
      <c r="F780" s="211" t="str">
        <f>IFERROR(__xludf.DUMMYFUNCTION("""COMPUTED_VALUE"""),"")</f>
        <v/>
      </c>
      <c r="G780" s="211"/>
      <c r="H780" s="211"/>
      <c r="I780" s="211" t="str">
        <f>IFERROR(__xludf.DUMMYFUNCTION("""COMPUTED_VALUE"""),"")</f>
        <v/>
      </c>
      <c r="J780" s="211"/>
    </row>
    <row r="781">
      <c r="A781" s="211"/>
      <c r="B781" s="211"/>
      <c r="C781" s="211"/>
      <c r="D781" s="211" t="str">
        <f>IFERROR(__xludf.DUMMYFUNCTION("""COMPUTED_VALUE"""),"")</f>
        <v/>
      </c>
      <c r="E781" s="211" t="str">
        <f>IFERROR(__xludf.DUMMYFUNCTION("""COMPUTED_VALUE"""),"")</f>
        <v/>
      </c>
      <c r="F781" s="211" t="str">
        <f>IFERROR(__xludf.DUMMYFUNCTION("""COMPUTED_VALUE"""),"")</f>
        <v/>
      </c>
      <c r="G781" s="211"/>
      <c r="H781" s="211"/>
      <c r="I781" s="211" t="str">
        <f>IFERROR(__xludf.DUMMYFUNCTION("""COMPUTED_VALUE"""),"")</f>
        <v/>
      </c>
      <c r="J781" s="211"/>
    </row>
    <row r="782">
      <c r="A782" s="211"/>
      <c r="B782" s="211"/>
      <c r="C782" s="211"/>
      <c r="D782" s="211" t="str">
        <f>IFERROR(__xludf.DUMMYFUNCTION("""COMPUTED_VALUE"""),"")</f>
        <v/>
      </c>
      <c r="E782" s="211" t="str">
        <f>IFERROR(__xludf.DUMMYFUNCTION("""COMPUTED_VALUE"""),"")</f>
        <v/>
      </c>
      <c r="F782" s="211" t="str">
        <f>IFERROR(__xludf.DUMMYFUNCTION("""COMPUTED_VALUE"""),"")</f>
        <v/>
      </c>
      <c r="G782" s="211"/>
      <c r="H782" s="211"/>
      <c r="I782" s="211" t="str">
        <f>IFERROR(__xludf.DUMMYFUNCTION("""COMPUTED_VALUE"""),"")</f>
        <v/>
      </c>
      <c r="J782" s="211"/>
    </row>
    <row r="783">
      <c r="A783" s="211"/>
      <c r="B783" s="211"/>
      <c r="C783" s="211"/>
      <c r="D783" s="211" t="str">
        <f>IFERROR(__xludf.DUMMYFUNCTION("""COMPUTED_VALUE"""),"")</f>
        <v/>
      </c>
      <c r="E783" s="211" t="str">
        <f>IFERROR(__xludf.DUMMYFUNCTION("""COMPUTED_VALUE"""),"")</f>
        <v/>
      </c>
      <c r="F783" s="211" t="str">
        <f>IFERROR(__xludf.DUMMYFUNCTION("""COMPUTED_VALUE"""),"")</f>
        <v/>
      </c>
      <c r="G783" s="211"/>
      <c r="H783" s="211"/>
      <c r="I783" s="211" t="str">
        <f>IFERROR(__xludf.DUMMYFUNCTION("""COMPUTED_VALUE"""),"")</f>
        <v/>
      </c>
      <c r="J783" s="211"/>
    </row>
    <row r="784">
      <c r="A784" s="211"/>
      <c r="B784" s="211"/>
      <c r="C784" s="211"/>
      <c r="D784" s="211" t="str">
        <f>IFERROR(__xludf.DUMMYFUNCTION("""COMPUTED_VALUE"""),"")</f>
        <v/>
      </c>
      <c r="E784" s="211" t="str">
        <f>IFERROR(__xludf.DUMMYFUNCTION("""COMPUTED_VALUE"""),"")</f>
        <v/>
      </c>
      <c r="F784" s="211" t="str">
        <f>IFERROR(__xludf.DUMMYFUNCTION("""COMPUTED_VALUE"""),"")</f>
        <v/>
      </c>
      <c r="G784" s="211"/>
      <c r="H784" s="211"/>
      <c r="I784" s="211" t="str">
        <f>IFERROR(__xludf.DUMMYFUNCTION("""COMPUTED_VALUE"""),"")</f>
        <v/>
      </c>
      <c r="J784" s="211"/>
    </row>
    <row r="785">
      <c r="A785" s="211"/>
      <c r="B785" s="211"/>
      <c r="C785" s="211"/>
      <c r="D785" s="211" t="str">
        <f>IFERROR(__xludf.DUMMYFUNCTION("""COMPUTED_VALUE"""),"")</f>
        <v/>
      </c>
      <c r="E785" s="211" t="str">
        <f>IFERROR(__xludf.DUMMYFUNCTION("""COMPUTED_VALUE"""),"")</f>
        <v/>
      </c>
      <c r="F785" s="211" t="str">
        <f>IFERROR(__xludf.DUMMYFUNCTION("""COMPUTED_VALUE"""),"")</f>
        <v/>
      </c>
      <c r="G785" s="211"/>
      <c r="H785" s="211"/>
      <c r="I785" s="211" t="str">
        <f>IFERROR(__xludf.DUMMYFUNCTION("""COMPUTED_VALUE"""),"")</f>
        <v/>
      </c>
      <c r="J785" s="211"/>
    </row>
    <row r="786">
      <c r="A786" s="211"/>
      <c r="B786" s="211"/>
      <c r="C786" s="211"/>
      <c r="D786" s="211" t="str">
        <f>IFERROR(__xludf.DUMMYFUNCTION("""COMPUTED_VALUE"""),"")</f>
        <v/>
      </c>
      <c r="E786" s="211" t="str">
        <f>IFERROR(__xludf.DUMMYFUNCTION("""COMPUTED_VALUE"""),"")</f>
        <v/>
      </c>
      <c r="F786" s="211" t="str">
        <f>IFERROR(__xludf.DUMMYFUNCTION("""COMPUTED_VALUE"""),"")</f>
        <v/>
      </c>
      <c r="G786" s="211"/>
      <c r="H786" s="211"/>
      <c r="I786" s="211" t="str">
        <f>IFERROR(__xludf.DUMMYFUNCTION("""COMPUTED_VALUE"""),"")</f>
        <v/>
      </c>
      <c r="J786" s="211"/>
    </row>
    <row r="787">
      <c r="A787" s="211"/>
      <c r="B787" s="211"/>
      <c r="C787" s="211"/>
      <c r="D787" s="211" t="str">
        <f>IFERROR(__xludf.DUMMYFUNCTION("""COMPUTED_VALUE"""),"")</f>
        <v/>
      </c>
      <c r="E787" s="211" t="str">
        <f>IFERROR(__xludf.DUMMYFUNCTION("""COMPUTED_VALUE"""),"")</f>
        <v/>
      </c>
      <c r="F787" s="211" t="str">
        <f>IFERROR(__xludf.DUMMYFUNCTION("""COMPUTED_VALUE"""),"")</f>
        <v/>
      </c>
      <c r="G787" s="211"/>
      <c r="H787" s="211"/>
      <c r="I787" s="211" t="str">
        <f>IFERROR(__xludf.DUMMYFUNCTION("""COMPUTED_VALUE"""),"")</f>
        <v/>
      </c>
      <c r="J787" s="211"/>
    </row>
    <row r="788">
      <c r="A788" s="211"/>
      <c r="B788" s="211"/>
      <c r="C788" s="211"/>
      <c r="D788" s="211" t="str">
        <f>IFERROR(__xludf.DUMMYFUNCTION("""COMPUTED_VALUE"""),"")</f>
        <v/>
      </c>
      <c r="E788" s="211" t="str">
        <f>IFERROR(__xludf.DUMMYFUNCTION("""COMPUTED_VALUE"""),"")</f>
        <v/>
      </c>
      <c r="F788" s="211" t="str">
        <f>IFERROR(__xludf.DUMMYFUNCTION("""COMPUTED_VALUE"""),"")</f>
        <v/>
      </c>
      <c r="G788" s="211"/>
      <c r="H788" s="211"/>
      <c r="I788" s="211" t="str">
        <f>IFERROR(__xludf.DUMMYFUNCTION("""COMPUTED_VALUE"""),"")</f>
        <v/>
      </c>
      <c r="J788" s="211"/>
    </row>
    <row r="789">
      <c r="A789" s="211"/>
      <c r="B789" s="211"/>
      <c r="C789" s="211"/>
      <c r="D789" s="211" t="str">
        <f>IFERROR(__xludf.DUMMYFUNCTION("""COMPUTED_VALUE"""),"")</f>
        <v/>
      </c>
      <c r="E789" s="211" t="str">
        <f>IFERROR(__xludf.DUMMYFUNCTION("""COMPUTED_VALUE"""),"")</f>
        <v/>
      </c>
      <c r="F789" s="211" t="str">
        <f>IFERROR(__xludf.DUMMYFUNCTION("""COMPUTED_VALUE"""),"")</f>
        <v/>
      </c>
      <c r="G789" s="211"/>
      <c r="H789" s="211"/>
      <c r="I789" s="211" t="str">
        <f>IFERROR(__xludf.DUMMYFUNCTION("""COMPUTED_VALUE"""),"")</f>
        <v/>
      </c>
      <c r="J789" s="211"/>
    </row>
    <row r="790">
      <c r="A790" s="211"/>
      <c r="B790" s="211"/>
      <c r="C790" s="211"/>
      <c r="D790" s="211" t="str">
        <f>IFERROR(__xludf.DUMMYFUNCTION("""COMPUTED_VALUE"""),"")</f>
        <v/>
      </c>
      <c r="E790" s="211" t="str">
        <f>IFERROR(__xludf.DUMMYFUNCTION("""COMPUTED_VALUE"""),"")</f>
        <v/>
      </c>
      <c r="F790" s="211" t="str">
        <f>IFERROR(__xludf.DUMMYFUNCTION("""COMPUTED_VALUE"""),"")</f>
        <v/>
      </c>
      <c r="G790" s="211"/>
      <c r="H790" s="211"/>
      <c r="I790" s="211" t="str">
        <f>IFERROR(__xludf.DUMMYFUNCTION("""COMPUTED_VALUE"""),"")</f>
        <v/>
      </c>
      <c r="J790" s="211"/>
    </row>
    <row r="791">
      <c r="A791" s="211"/>
      <c r="B791" s="211"/>
      <c r="C791" s="211"/>
      <c r="D791" s="211" t="str">
        <f>IFERROR(__xludf.DUMMYFUNCTION("""COMPUTED_VALUE"""),"")</f>
        <v/>
      </c>
      <c r="E791" s="211" t="str">
        <f>IFERROR(__xludf.DUMMYFUNCTION("""COMPUTED_VALUE"""),"")</f>
        <v/>
      </c>
      <c r="F791" s="211" t="str">
        <f>IFERROR(__xludf.DUMMYFUNCTION("""COMPUTED_VALUE"""),"")</f>
        <v/>
      </c>
      <c r="G791" s="211"/>
      <c r="H791" s="211"/>
      <c r="I791" s="211" t="str">
        <f>IFERROR(__xludf.DUMMYFUNCTION("""COMPUTED_VALUE"""),"")</f>
        <v/>
      </c>
      <c r="J791" s="211"/>
    </row>
    <row r="792">
      <c r="A792" s="211"/>
      <c r="B792" s="211"/>
      <c r="C792" s="211"/>
      <c r="D792" s="211" t="str">
        <f>IFERROR(__xludf.DUMMYFUNCTION("""COMPUTED_VALUE"""),"")</f>
        <v/>
      </c>
      <c r="E792" s="211" t="str">
        <f>IFERROR(__xludf.DUMMYFUNCTION("""COMPUTED_VALUE"""),"")</f>
        <v/>
      </c>
      <c r="F792" s="211" t="str">
        <f>IFERROR(__xludf.DUMMYFUNCTION("""COMPUTED_VALUE"""),"")</f>
        <v/>
      </c>
      <c r="G792" s="211"/>
      <c r="H792" s="211"/>
      <c r="I792" s="211" t="str">
        <f>IFERROR(__xludf.DUMMYFUNCTION("""COMPUTED_VALUE"""),"")</f>
        <v/>
      </c>
      <c r="J792" s="211"/>
    </row>
    <row r="793">
      <c r="A793" s="211"/>
      <c r="B793" s="211"/>
      <c r="C793" s="211"/>
      <c r="D793" s="211" t="str">
        <f>IFERROR(__xludf.DUMMYFUNCTION("""COMPUTED_VALUE"""),"")</f>
        <v/>
      </c>
      <c r="E793" s="211" t="str">
        <f>IFERROR(__xludf.DUMMYFUNCTION("""COMPUTED_VALUE"""),"")</f>
        <v/>
      </c>
      <c r="F793" s="211" t="str">
        <f>IFERROR(__xludf.DUMMYFUNCTION("""COMPUTED_VALUE"""),"")</f>
        <v/>
      </c>
      <c r="G793" s="211"/>
      <c r="H793" s="211"/>
      <c r="I793" s="211" t="str">
        <f>IFERROR(__xludf.DUMMYFUNCTION("""COMPUTED_VALUE"""),"")</f>
        <v/>
      </c>
      <c r="J793" s="211"/>
    </row>
    <row r="794">
      <c r="A794" s="211"/>
      <c r="B794" s="211"/>
      <c r="C794" s="211"/>
      <c r="D794" s="211" t="str">
        <f>IFERROR(__xludf.DUMMYFUNCTION("""COMPUTED_VALUE"""),"")</f>
        <v/>
      </c>
      <c r="E794" s="211" t="str">
        <f>IFERROR(__xludf.DUMMYFUNCTION("""COMPUTED_VALUE"""),"")</f>
        <v/>
      </c>
      <c r="F794" s="211" t="str">
        <f>IFERROR(__xludf.DUMMYFUNCTION("""COMPUTED_VALUE"""),"")</f>
        <v/>
      </c>
      <c r="G794" s="211"/>
      <c r="H794" s="211"/>
      <c r="I794" s="211" t="str">
        <f>IFERROR(__xludf.DUMMYFUNCTION("""COMPUTED_VALUE"""),"")</f>
        <v/>
      </c>
      <c r="J794" s="211"/>
    </row>
    <row r="795">
      <c r="A795" s="211"/>
      <c r="B795" s="211"/>
      <c r="C795" s="211"/>
      <c r="D795" s="211" t="str">
        <f>IFERROR(__xludf.DUMMYFUNCTION("""COMPUTED_VALUE"""),"")</f>
        <v/>
      </c>
      <c r="E795" s="211" t="str">
        <f>IFERROR(__xludf.DUMMYFUNCTION("""COMPUTED_VALUE"""),"")</f>
        <v/>
      </c>
      <c r="F795" s="211" t="str">
        <f>IFERROR(__xludf.DUMMYFUNCTION("""COMPUTED_VALUE"""),"")</f>
        <v/>
      </c>
      <c r="G795" s="211"/>
      <c r="H795" s="211"/>
      <c r="I795" s="211" t="str">
        <f>IFERROR(__xludf.DUMMYFUNCTION("""COMPUTED_VALUE"""),"")</f>
        <v/>
      </c>
      <c r="J795" s="211"/>
    </row>
    <row r="796">
      <c r="A796" s="211"/>
      <c r="B796" s="211"/>
      <c r="C796" s="211"/>
      <c r="D796" s="211" t="str">
        <f>IFERROR(__xludf.DUMMYFUNCTION("""COMPUTED_VALUE"""),"")</f>
        <v/>
      </c>
      <c r="E796" s="211" t="str">
        <f>IFERROR(__xludf.DUMMYFUNCTION("""COMPUTED_VALUE"""),"")</f>
        <v/>
      </c>
      <c r="F796" s="211" t="str">
        <f>IFERROR(__xludf.DUMMYFUNCTION("""COMPUTED_VALUE"""),"")</f>
        <v/>
      </c>
      <c r="G796" s="211"/>
      <c r="H796" s="211"/>
      <c r="I796" s="211" t="str">
        <f>IFERROR(__xludf.DUMMYFUNCTION("""COMPUTED_VALUE"""),"")</f>
        <v/>
      </c>
      <c r="J796" s="211"/>
    </row>
    <row r="797">
      <c r="A797" s="211"/>
      <c r="B797" s="211"/>
      <c r="C797" s="211"/>
      <c r="D797" s="211" t="str">
        <f>IFERROR(__xludf.DUMMYFUNCTION("""COMPUTED_VALUE"""),"")</f>
        <v/>
      </c>
      <c r="E797" s="211" t="str">
        <f>IFERROR(__xludf.DUMMYFUNCTION("""COMPUTED_VALUE"""),"")</f>
        <v/>
      </c>
      <c r="F797" s="211" t="str">
        <f>IFERROR(__xludf.DUMMYFUNCTION("""COMPUTED_VALUE"""),"")</f>
        <v/>
      </c>
      <c r="G797" s="211"/>
      <c r="H797" s="211"/>
      <c r="I797" s="211" t="str">
        <f>IFERROR(__xludf.DUMMYFUNCTION("""COMPUTED_VALUE"""),"")</f>
        <v/>
      </c>
      <c r="J797" s="211"/>
    </row>
    <row r="798">
      <c r="A798" s="211"/>
      <c r="B798" s="211"/>
      <c r="C798" s="211"/>
      <c r="D798" s="211" t="str">
        <f>IFERROR(__xludf.DUMMYFUNCTION("""COMPUTED_VALUE"""),"")</f>
        <v/>
      </c>
      <c r="E798" s="211" t="str">
        <f>IFERROR(__xludf.DUMMYFUNCTION("""COMPUTED_VALUE"""),"")</f>
        <v/>
      </c>
      <c r="F798" s="211" t="str">
        <f>IFERROR(__xludf.DUMMYFUNCTION("""COMPUTED_VALUE"""),"")</f>
        <v/>
      </c>
      <c r="G798" s="211"/>
      <c r="H798" s="211"/>
      <c r="I798" s="211" t="str">
        <f>IFERROR(__xludf.DUMMYFUNCTION("""COMPUTED_VALUE"""),"")</f>
        <v/>
      </c>
      <c r="J798" s="211"/>
    </row>
    <row r="799">
      <c r="A799" s="211"/>
      <c r="B799" s="211"/>
      <c r="C799" s="211"/>
      <c r="D799" s="211" t="str">
        <f>IFERROR(__xludf.DUMMYFUNCTION("""COMPUTED_VALUE"""),"")</f>
        <v/>
      </c>
      <c r="E799" s="211" t="str">
        <f>IFERROR(__xludf.DUMMYFUNCTION("""COMPUTED_VALUE"""),"")</f>
        <v/>
      </c>
      <c r="F799" s="211" t="str">
        <f>IFERROR(__xludf.DUMMYFUNCTION("""COMPUTED_VALUE"""),"")</f>
        <v/>
      </c>
      <c r="G799" s="211"/>
      <c r="H799" s="211"/>
      <c r="I799" s="211" t="str">
        <f>IFERROR(__xludf.DUMMYFUNCTION("""COMPUTED_VALUE"""),"")</f>
        <v/>
      </c>
      <c r="J799" s="211"/>
    </row>
    <row r="800">
      <c r="A800" s="211"/>
      <c r="B800" s="211"/>
      <c r="C800" s="211"/>
      <c r="D800" s="211" t="str">
        <f>IFERROR(__xludf.DUMMYFUNCTION("""COMPUTED_VALUE"""),"")</f>
        <v/>
      </c>
      <c r="E800" s="211" t="str">
        <f>IFERROR(__xludf.DUMMYFUNCTION("""COMPUTED_VALUE"""),"")</f>
        <v/>
      </c>
      <c r="F800" s="211" t="str">
        <f>IFERROR(__xludf.DUMMYFUNCTION("""COMPUTED_VALUE"""),"")</f>
        <v/>
      </c>
      <c r="G800" s="211"/>
      <c r="H800" s="211"/>
      <c r="I800" s="211" t="str">
        <f>IFERROR(__xludf.DUMMYFUNCTION("""COMPUTED_VALUE"""),"")</f>
        <v/>
      </c>
      <c r="J800" s="211"/>
    </row>
    <row r="801">
      <c r="A801" s="211"/>
      <c r="B801" s="211"/>
      <c r="C801" s="211"/>
      <c r="D801" s="211" t="str">
        <f>IFERROR(__xludf.DUMMYFUNCTION("""COMPUTED_VALUE"""),"")</f>
        <v/>
      </c>
      <c r="E801" s="211" t="str">
        <f>IFERROR(__xludf.DUMMYFUNCTION("""COMPUTED_VALUE"""),"")</f>
        <v/>
      </c>
      <c r="F801" s="211" t="str">
        <f>IFERROR(__xludf.DUMMYFUNCTION("""COMPUTED_VALUE"""),"")</f>
        <v/>
      </c>
      <c r="G801" s="211"/>
      <c r="H801" s="211"/>
      <c r="I801" s="211" t="str">
        <f>IFERROR(__xludf.DUMMYFUNCTION("""COMPUTED_VALUE"""),"")</f>
        <v/>
      </c>
      <c r="J801" s="211"/>
    </row>
    <row r="802">
      <c r="A802" s="211"/>
      <c r="B802" s="211"/>
      <c r="C802" s="211"/>
      <c r="D802" s="211" t="str">
        <f>IFERROR(__xludf.DUMMYFUNCTION("""COMPUTED_VALUE"""),"")</f>
        <v/>
      </c>
      <c r="E802" s="211" t="str">
        <f>IFERROR(__xludf.DUMMYFUNCTION("""COMPUTED_VALUE"""),"")</f>
        <v/>
      </c>
      <c r="F802" s="211" t="str">
        <f>IFERROR(__xludf.DUMMYFUNCTION("""COMPUTED_VALUE"""),"")</f>
        <v/>
      </c>
      <c r="G802" s="211"/>
      <c r="H802" s="211"/>
      <c r="I802" s="211" t="str">
        <f>IFERROR(__xludf.DUMMYFUNCTION("""COMPUTED_VALUE"""),"")</f>
        <v/>
      </c>
      <c r="J802" s="211"/>
    </row>
    <row r="803">
      <c r="A803" s="211"/>
      <c r="B803" s="211"/>
      <c r="C803" s="211"/>
      <c r="D803" s="211" t="str">
        <f>IFERROR(__xludf.DUMMYFUNCTION("""COMPUTED_VALUE"""),"")</f>
        <v/>
      </c>
      <c r="E803" s="211" t="str">
        <f>IFERROR(__xludf.DUMMYFUNCTION("""COMPUTED_VALUE"""),"")</f>
        <v/>
      </c>
      <c r="F803" s="211" t="str">
        <f>IFERROR(__xludf.DUMMYFUNCTION("""COMPUTED_VALUE"""),"")</f>
        <v/>
      </c>
      <c r="G803" s="211"/>
      <c r="H803" s="211"/>
      <c r="I803" s="211" t="str">
        <f>IFERROR(__xludf.DUMMYFUNCTION("""COMPUTED_VALUE"""),"")</f>
        <v/>
      </c>
      <c r="J803" s="211"/>
    </row>
    <row r="804">
      <c r="A804" s="211"/>
      <c r="B804" s="211"/>
      <c r="C804" s="211"/>
      <c r="D804" s="211" t="str">
        <f>IFERROR(__xludf.DUMMYFUNCTION("""COMPUTED_VALUE"""),"")</f>
        <v/>
      </c>
      <c r="E804" s="211" t="str">
        <f>IFERROR(__xludf.DUMMYFUNCTION("""COMPUTED_VALUE"""),"")</f>
        <v/>
      </c>
      <c r="F804" s="211" t="str">
        <f>IFERROR(__xludf.DUMMYFUNCTION("""COMPUTED_VALUE"""),"")</f>
        <v/>
      </c>
      <c r="G804" s="211"/>
      <c r="H804" s="211"/>
      <c r="I804" s="211" t="str">
        <f>IFERROR(__xludf.DUMMYFUNCTION("""COMPUTED_VALUE"""),"")</f>
        <v/>
      </c>
      <c r="J804" s="211"/>
    </row>
    <row r="805">
      <c r="A805" s="211"/>
      <c r="B805" s="211"/>
      <c r="C805" s="211"/>
      <c r="D805" s="211" t="str">
        <f>IFERROR(__xludf.DUMMYFUNCTION("""COMPUTED_VALUE"""),"")</f>
        <v/>
      </c>
      <c r="E805" s="211" t="str">
        <f>IFERROR(__xludf.DUMMYFUNCTION("""COMPUTED_VALUE"""),"")</f>
        <v/>
      </c>
      <c r="F805" s="211" t="str">
        <f>IFERROR(__xludf.DUMMYFUNCTION("""COMPUTED_VALUE"""),"")</f>
        <v/>
      </c>
      <c r="G805" s="211"/>
      <c r="H805" s="211"/>
      <c r="I805" s="211" t="str">
        <f>IFERROR(__xludf.DUMMYFUNCTION("""COMPUTED_VALUE"""),"")</f>
        <v/>
      </c>
      <c r="J805" s="211"/>
    </row>
    <row r="806">
      <c r="A806" s="211"/>
      <c r="B806" s="211"/>
      <c r="C806" s="211"/>
      <c r="D806" s="211" t="str">
        <f>IFERROR(__xludf.DUMMYFUNCTION("""COMPUTED_VALUE"""),"")</f>
        <v/>
      </c>
      <c r="E806" s="211" t="str">
        <f>IFERROR(__xludf.DUMMYFUNCTION("""COMPUTED_VALUE"""),"")</f>
        <v/>
      </c>
      <c r="F806" s="211" t="str">
        <f>IFERROR(__xludf.DUMMYFUNCTION("""COMPUTED_VALUE"""),"")</f>
        <v/>
      </c>
      <c r="G806" s="211"/>
      <c r="H806" s="211"/>
      <c r="I806" s="211" t="str">
        <f>IFERROR(__xludf.DUMMYFUNCTION("""COMPUTED_VALUE"""),"")</f>
        <v/>
      </c>
      <c r="J806" s="211"/>
    </row>
    <row r="807">
      <c r="A807" s="211"/>
      <c r="B807" s="211"/>
      <c r="C807" s="211"/>
      <c r="D807" s="211" t="str">
        <f>IFERROR(__xludf.DUMMYFUNCTION("""COMPUTED_VALUE"""),"")</f>
        <v/>
      </c>
      <c r="E807" s="211" t="str">
        <f>IFERROR(__xludf.DUMMYFUNCTION("""COMPUTED_VALUE"""),"")</f>
        <v/>
      </c>
      <c r="F807" s="211" t="str">
        <f>IFERROR(__xludf.DUMMYFUNCTION("""COMPUTED_VALUE"""),"")</f>
        <v/>
      </c>
      <c r="G807" s="211"/>
      <c r="H807" s="211"/>
      <c r="I807" s="211" t="str">
        <f>IFERROR(__xludf.DUMMYFUNCTION("""COMPUTED_VALUE"""),"")</f>
        <v/>
      </c>
      <c r="J807" s="211"/>
    </row>
    <row r="808">
      <c r="A808" s="211"/>
      <c r="B808" s="211"/>
      <c r="C808" s="211"/>
      <c r="D808" s="211" t="str">
        <f>IFERROR(__xludf.DUMMYFUNCTION("""COMPUTED_VALUE"""),"")</f>
        <v/>
      </c>
      <c r="E808" s="211" t="str">
        <f>IFERROR(__xludf.DUMMYFUNCTION("""COMPUTED_VALUE"""),"")</f>
        <v/>
      </c>
      <c r="F808" s="211" t="str">
        <f>IFERROR(__xludf.DUMMYFUNCTION("""COMPUTED_VALUE"""),"")</f>
        <v/>
      </c>
      <c r="G808" s="211"/>
      <c r="H808" s="211"/>
      <c r="I808" s="211" t="str">
        <f>IFERROR(__xludf.DUMMYFUNCTION("""COMPUTED_VALUE"""),"")</f>
        <v/>
      </c>
      <c r="J808" s="211"/>
    </row>
    <row r="809">
      <c r="A809" s="211"/>
      <c r="B809" s="211"/>
      <c r="C809" s="211"/>
      <c r="D809" s="211" t="str">
        <f>IFERROR(__xludf.DUMMYFUNCTION("""COMPUTED_VALUE"""),"")</f>
        <v/>
      </c>
      <c r="E809" s="211" t="str">
        <f>IFERROR(__xludf.DUMMYFUNCTION("""COMPUTED_VALUE"""),"")</f>
        <v/>
      </c>
      <c r="F809" s="211" t="str">
        <f>IFERROR(__xludf.DUMMYFUNCTION("""COMPUTED_VALUE"""),"")</f>
        <v/>
      </c>
      <c r="G809" s="211"/>
      <c r="H809" s="211"/>
      <c r="I809" s="211" t="str">
        <f>IFERROR(__xludf.DUMMYFUNCTION("""COMPUTED_VALUE"""),"")</f>
        <v/>
      </c>
      <c r="J809" s="211"/>
    </row>
    <row r="810">
      <c r="A810" s="211"/>
      <c r="B810" s="211"/>
      <c r="C810" s="211"/>
      <c r="D810" s="211" t="str">
        <f>IFERROR(__xludf.DUMMYFUNCTION("""COMPUTED_VALUE"""),"")</f>
        <v/>
      </c>
      <c r="E810" s="211" t="str">
        <f>IFERROR(__xludf.DUMMYFUNCTION("""COMPUTED_VALUE"""),"")</f>
        <v/>
      </c>
      <c r="F810" s="211" t="str">
        <f>IFERROR(__xludf.DUMMYFUNCTION("""COMPUTED_VALUE"""),"")</f>
        <v/>
      </c>
      <c r="G810" s="211"/>
      <c r="H810" s="211"/>
      <c r="I810" s="211" t="str">
        <f>IFERROR(__xludf.DUMMYFUNCTION("""COMPUTED_VALUE"""),"")</f>
        <v/>
      </c>
      <c r="J810" s="211"/>
    </row>
    <row r="811">
      <c r="A811" s="211"/>
      <c r="B811" s="211"/>
      <c r="C811" s="211"/>
      <c r="D811" s="211" t="str">
        <f>IFERROR(__xludf.DUMMYFUNCTION("""COMPUTED_VALUE"""),"")</f>
        <v/>
      </c>
      <c r="E811" s="211" t="str">
        <f>IFERROR(__xludf.DUMMYFUNCTION("""COMPUTED_VALUE"""),"")</f>
        <v/>
      </c>
      <c r="F811" s="211" t="str">
        <f>IFERROR(__xludf.DUMMYFUNCTION("""COMPUTED_VALUE"""),"")</f>
        <v/>
      </c>
      <c r="G811" s="211"/>
      <c r="H811" s="211"/>
      <c r="I811" s="211" t="str">
        <f>IFERROR(__xludf.DUMMYFUNCTION("""COMPUTED_VALUE"""),"")</f>
        <v/>
      </c>
      <c r="J811" s="211"/>
    </row>
    <row r="812">
      <c r="A812" s="211"/>
      <c r="B812" s="211"/>
      <c r="C812" s="211"/>
      <c r="D812" s="211" t="str">
        <f>IFERROR(__xludf.DUMMYFUNCTION("""COMPUTED_VALUE"""),"")</f>
        <v/>
      </c>
      <c r="E812" s="211" t="str">
        <f>IFERROR(__xludf.DUMMYFUNCTION("""COMPUTED_VALUE"""),"")</f>
        <v/>
      </c>
      <c r="F812" s="211" t="str">
        <f>IFERROR(__xludf.DUMMYFUNCTION("""COMPUTED_VALUE"""),"")</f>
        <v/>
      </c>
      <c r="G812" s="211"/>
      <c r="H812" s="211"/>
      <c r="I812" s="211" t="str">
        <f>IFERROR(__xludf.DUMMYFUNCTION("""COMPUTED_VALUE"""),"")</f>
        <v/>
      </c>
      <c r="J812" s="211"/>
    </row>
    <row r="813">
      <c r="A813" s="211"/>
      <c r="B813" s="211"/>
      <c r="C813" s="211"/>
      <c r="D813" s="211" t="str">
        <f>IFERROR(__xludf.DUMMYFUNCTION("""COMPUTED_VALUE"""),"")</f>
        <v/>
      </c>
      <c r="E813" s="211" t="str">
        <f>IFERROR(__xludf.DUMMYFUNCTION("""COMPUTED_VALUE"""),"")</f>
        <v/>
      </c>
      <c r="F813" s="211" t="str">
        <f>IFERROR(__xludf.DUMMYFUNCTION("""COMPUTED_VALUE"""),"")</f>
        <v/>
      </c>
      <c r="G813" s="211"/>
      <c r="H813" s="211"/>
      <c r="I813" s="211" t="str">
        <f>IFERROR(__xludf.DUMMYFUNCTION("""COMPUTED_VALUE"""),"")</f>
        <v/>
      </c>
      <c r="J813" s="211"/>
    </row>
    <row r="814">
      <c r="A814" s="211"/>
      <c r="B814" s="211"/>
      <c r="C814" s="211"/>
      <c r="D814" s="211" t="str">
        <f>IFERROR(__xludf.DUMMYFUNCTION("""COMPUTED_VALUE"""),"")</f>
        <v/>
      </c>
      <c r="E814" s="211" t="str">
        <f>IFERROR(__xludf.DUMMYFUNCTION("""COMPUTED_VALUE"""),"")</f>
        <v/>
      </c>
      <c r="F814" s="211" t="str">
        <f>IFERROR(__xludf.DUMMYFUNCTION("""COMPUTED_VALUE"""),"")</f>
        <v/>
      </c>
      <c r="G814" s="211"/>
      <c r="H814" s="211"/>
      <c r="I814" s="211" t="str">
        <f>IFERROR(__xludf.DUMMYFUNCTION("""COMPUTED_VALUE"""),"")</f>
        <v/>
      </c>
      <c r="J814" s="211"/>
    </row>
    <row r="815">
      <c r="A815" s="211"/>
      <c r="B815" s="211"/>
      <c r="C815" s="211"/>
      <c r="D815" s="211" t="str">
        <f>IFERROR(__xludf.DUMMYFUNCTION("""COMPUTED_VALUE"""),"")</f>
        <v/>
      </c>
      <c r="E815" s="211" t="str">
        <f>IFERROR(__xludf.DUMMYFUNCTION("""COMPUTED_VALUE"""),"")</f>
        <v/>
      </c>
      <c r="F815" s="211" t="str">
        <f>IFERROR(__xludf.DUMMYFUNCTION("""COMPUTED_VALUE"""),"")</f>
        <v/>
      </c>
      <c r="G815" s="211"/>
      <c r="H815" s="211"/>
      <c r="I815" s="211" t="str">
        <f>IFERROR(__xludf.DUMMYFUNCTION("""COMPUTED_VALUE"""),"")</f>
        <v/>
      </c>
      <c r="J815" s="211"/>
    </row>
    <row r="816">
      <c r="A816" s="211"/>
      <c r="B816" s="211"/>
      <c r="C816" s="211"/>
      <c r="D816" s="211" t="str">
        <f>IFERROR(__xludf.DUMMYFUNCTION("""COMPUTED_VALUE"""),"")</f>
        <v/>
      </c>
      <c r="E816" s="211" t="str">
        <f>IFERROR(__xludf.DUMMYFUNCTION("""COMPUTED_VALUE"""),"")</f>
        <v/>
      </c>
      <c r="F816" s="211" t="str">
        <f>IFERROR(__xludf.DUMMYFUNCTION("""COMPUTED_VALUE"""),"")</f>
        <v/>
      </c>
      <c r="G816" s="211"/>
      <c r="H816" s="211"/>
      <c r="I816" s="211" t="str">
        <f>IFERROR(__xludf.DUMMYFUNCTION("""COMPUTED_VALUE"""),"")</f>
        <v/>
      </c>
      <c r="J816" s="211"/>
    </row>
    <row r="817">
      <c r="A817" s="211"/>
      <c r="B817" s="211"/>
      <c r="C817" s="211"/>
      <c r="D817" s="211" t="str">
        <f>IFERROR(__xludf.DUMMYFUNCTION("""COMPUTED_VALUE"""),"")</f>
        <v/>
      </c>
      <c r="E817" s="211" t="str">
        <f>IFERROR(__xludf.DUMMYFUNCTION("""COMPUTED_VALUE"""),"")</f>
        <v/>
      </c>
      <c r="F817" s="211" t="str">
        <f>IFERROR(__xludf.DUMMYFUNCTION("""COMPUTED_VALUE"""),"")</f>
        <v/>
      </c>
      <c r="G817" s="211"/>
      <c r="H817" s="211"/>
      <c r="I817" s="211" t="str">
        <f>IFERROR(__xludf.DUMMYFUNCTION("""COMPUTED_VALUE"""),"")</f>
        <v/>
      </c>
      <c r="J817" s="211"/>
    </row>
    <row r="818">
      <c r="A818" s="211"/>
      <c r="B818" s="211"/>
      <c r="C818" s="211"/>
      <c r="D818" s="211" t="str">
        <f>IFERROR(__xludf.DUMMYFUNCTION("""COMPUTED_VALUE"""),"")</f>
        <v/>
      </c>
      <c r="E818" s="211" t="str">
        <f>IFERROR(__xludf.DUMMYFUNCTION("""COMPUTED_VALUE"""),"")</f>
        <v/>
      </c>
      <c r="F818" s="211" t="str">
        <f>IFERROR(__xludf.DUMMYFUNCTION("""COMPUTED_VALUE"""),"")</f>
        <v/>
      </c>
      <c r="G818" s="211"/>
      <c r="H818" s="211"/>
      <c r="I818" s="211" t="str">
        <f>IFERROR(__xludf.DUMMYFUNCTION("""COMPUTED_VALUE"""),"")</f>
        <v/>
      </c>
      <c r="J818" s="211"/>
    </row>
    <row r="819">
      <c r="A819" s="211"/>
      <c r="B819" s="211"/>
      <c r="C819" s="211"/>
      <c r="D819" s="211" t="str">
        <f>IFERROR(__xludf.DUMMYFUNCTION("""COMPUTED_VALUE"""),"")</f>
        <v/>
      </c>
      <c r="E819" s="211" t="str">
        <f>IFERROR(__xludf.DUMMYFUNCTION("""COMPUTED_VALUE"""),"")</f>
        <v/>
      </c>
      <c r="F819" s="211" t="str">
        <f>IFERROR(__xludf.DUMMYFUNCTION("""COMPUTED_VALUE"""),"")</f>
        <v/>
      </c>
      <c r="G819" s="211"/>
      <c r="H819" s="211"/>
      <c r="I819" s="211" t="str">
        <f>IFERROR(__xludf.DUMMYFUNCTION("""COMPUTED_VALUE"""),"")</f>
        <v/>
      </c>
      <c r="J819" s="211"/>
    </row>
    <row r="820">
      <c r="A820" s="211"/>
      <c r="B820" s="211"/>
      <c r="C820" s="211"/>
      <c r="D820" s="211" t="str">
        <f>IFERROR(__xludf.DUMMYFUNCTION("""COMPUTED_VALUE"""),"")</f>
        <v/>
      </c>
      <c r="E820" s="211" t="str">
        <f>IFERROR(__xludf.DUMMYFUNCTION("""COMPUTED_VALUE"""),"")</f>
        <v/>
      </c>
      <c r="F820" s="211" t="str">
        <f>IFERROR(__xludf.DUMMYFUNCTION("""COMPUTED_VALUE"""),"")</f>
        <v/>
      </c>
      <c r="G820" s="211"/>
      <c r="H820" s="211"/>
      <c r="I820" s="211" t="str">
        <f>IFERROR(__xludf.DUMMYFUNCTION("""COMPUTED_VALUE"""),"")</f>
        <v/>
      </c>
      <c r="J820" s="211"/>
    </row>
    <row r="821">
      <c r="A821" s="211"/>
      <c r="B821" s="211"/>
      <c r="C821" s="211"/>
      <c r="D821" s="211" t="str">
        <f>IFERROR(__xludf.DUMMYFUNCTION("""COMPUTED_VALUE"""),"")</f>
        <v/>
      </c>
      <c r="E821" s="211" t="str">
        <f>IFERROR(__xludf.DUMMYFUNCTION("""COMPUTED_VALUE"""),"")</f>
        <v/>
      </c>
      <c r="F821" s="211" t="str">
        <f>IFERROR(__xludf.DUMMYFUNCTION("""COMPUTED_VALUE"""),"")</f>
        <v/>
      </c>
      <c r="G821" s="211"/>
      <c r="H821" s="211"/>
      <c r="I821" s="211" t="str">
        <f>IFERROR(__xludf.DUMMYFUNCTION("""COMPUTED_VALUE"""),"")</f>
        <v/>
      </c>
      <c r="J821" s="211"/>
    </row>
    <row r="822">
      <c r="A822" s="211"/>
      <c r="B822" s="211"/>
      <c r="C822" s="211"/>
      <c r="D822" s="211" t="str">
        <f>IFERROR(__xludf.DUMMYFUNCTION("""COMPUTED_VALUE"""),"")</f>
        <v/>
      </c>
      <c r="E822" s="211" t="str">
        <f>IFERROR(__xludf.DUMMYFUNCTION("""COMPUTED_VALUE"""),"")</f>
        <v/>
      </c>
      <c r="F822" s="211" t="str">
        <f>IFERROR(__xludf.DUMMYFUNCTION("""COMPUTED_VALUE"""),"")</f>
        <v/>
      </c>
      <c r="G822" s="211"/>
      <c r="H822" s="211"/>
      <c r="I822" s="211" t="str">
        <f>IFERROR(__xludf.DUMMYFUNCTION("""COMPUTED_VALUE"""),"")</f>
        <v/>
      </c>
      <c r="J822" s="211"/>
    </row>
    <row r="823">
      <c r="A823" s="211"/>
      <c r="B823" s="211"/>
      <c r="C823" s="211"/>
      <c r="D823" s="211" t="str">
        <f>IFERROR(__xludf.DUMMYFUNCTION("""COMPUTED_VALUE"""),"")</f>
        <v/>
      </c>
      <c r="E823" s="211" t="str">
        <f>IFERROR(__xludf.DUMMYFUNCTION("""COMPUTED_VALUE"""),"")</f>
        <v/>
      </c>
      <c r="F823" s="211" t="str">
        <f>IFERROR(__xludf.DUMMYFUNCTION("""COMPUTED_VALUE"""),"")</f>
        <v/>
      </c>
      <c r="G823" s="211"/>
      <c r="H823" s="211"/>
      <c r="I823" s="211" t="str">
        <f>IFERROR(__xludf.DUMMYFUNCTION("""COMPUTED_VALUE"""),"")</f>
        <v/>
      </c>
      <c r="J823" s="211"/>
    </row>
    <row r="824">
      <c r="A824" s="211"/>
      <c r="B824" s="211"/>
      <c r="C824" s="211"/>
      <c r="D824" s="211" t="str">
        <f>IFERROR(__xludf.DUMMYFUNCTION("""COMPUTED_VALUE"""),"")</f>
        <v/>
      </c>
      <c r="E824" s="211" t="str">
        <f>IFERROR(__xludf.DUMMYFUNCTION("""COMPUTED_VALUE"""),"")</f>
        <v/>
      </c>
      <c r="F824" s="211" t="str">
        <f>IFERROR(__xludf.DUMMYFUNCTION("""COMPUTED_VALUE"""),"")</f>
        <v/>
      </c>
      <c r="G824" s="211"/>
      <c r="H824" s="211"/>
      <c r="I824" s="211" t="str">
        <f>IFERROR(__xludf.DUMMYFUNCTION("""COMPUTED_VALUE"""),"")</f>
        <v/>
      </c>
      <c r="J824" s="211"/>
    </row>
    <row r="825">
      <c r="A825" s="211"/>
      <c r="B825" s="211"/>
      <c r="C825" s="211"/>
      <c r="D825" s="211" t="str">
        <f>IFERROR(__xludf.DUMMYFUNCTION("""COMPUTED_VALUE"""),"")</f>
        <v/>
      </c>
      <c r="E825" s="211" t="str">
        <f>IFERROR(__xludf.DUMMYFUNCTION("""COMPUTED_VALUE"""),"")</f>
        <v/>
      </c>
      <c r="F825" s="211" t="str">
        <f>IFERROR(__xludf.DUMMYFUNCTION("""COMPUTED_VALUE"""),"")</f>
        <v/>
      </c>
      <c r="G825" s="211"/>
      <c r="H825" s="211"/>
      <c r="I825" s="211" t="str">
        <f>IFERROR(__xludf.DUMMYFUNCTION("""COMPUTED_VALUE"""),"")</f>
        <v/>
      </c>
      <c r="J825" s="211"/>
    </row>
    <row r="826">
      <c r="A826" s="211"/>
      <c r="B826" s="211"/>
      <c r="C826" s="211"/>
      <c r="D826" s="211" t="str">
        <f>IFERROR(__xludf.DUMMYFUNCTION("""COMPUTED_VALUE"""),"")</f>
        <v/>
      </c>
      <c r="E826" s="211" t="str">
        <f>IFERROR(__xludf.DUMMYFUNCTION("""COMPUTED_VALUE"""),"")</f>
        <v/>
      </c>
      <c r="F826" s="211" t="str">
        <f>IFERROR(__xludf.DUMMYFUNCTION("""COMPUTED_VALUE"""),"")</f>
        <v/>
      </c>
      <c r="G826" s="211"/>
      <c r="H826" s="211"/>
      <c r="I826" s="211" t="str">
        <f>IFERROR(__xludf.DUMMYFUNCTION("""COMPUTED_VALUE"""),"")</f>
        <v/>
      </c>
      <c r="J826" s="211"/>
    </row>
    <row r="827">
      <c r="A827" s="211"/>
      <c r="B827" s="211"/>
      <c r="C827" s="211"/>
      <c r="D827" s="211" t="str">
        <f>IFERROR(__xludf.DUMMYFUNCTION("""COMPUTED_VALUE"""),"")</f>
        <v/>
      </c>
      <c r="E827" s="211" t="str">
        <f>IFERROR(__xludf.DUMMYFUNCTION("""COMPUTED_VALUE"""),"")</f>
        <v/>
      </c>
      <c r="F827" s="211" t="str">
        <f>IFERROR(__xludf.DUMMYFUNCTION("""COMPUTED_VALUE"""),"")</f>
        <v/>
      </c>
      <c r="G827" s="211"/>
      <c r="H827" s="211"/>
      <c r="I827" s="211" t="str">
        <f>IFERROR(__xludf.DUMMYFUNCTION("""COMPUTED_VALUE"""),"")</f>
        <v/>
      </c>
      <c r="J827" s="211"/>
    </row>
    <row r="828">
      <c r="A828" s="211"/>
      <c r="B828" s="211"/>
      <c r="C828" s="211"/>
      <c r="D828" s="211" t="str">
        <f>IFERROR(__xludf.DUMMYFUNCTION("""COMPUTED_VALUE"""),"")</f>
        <v/>
      </c>
      <c r="E828" s="211" t="str">
        <f>IFERROR(__xludf.DUMMYFUNCTION("""COMPUTED_VALUE"""),"")</f>
        <v/>
      </c>
      <c r="F828" s="211" t="str">
        <f>IFERROR(__xludf.DUMMYFUNCTION("""COMPUTED_VALUE"""),"")</f>
        <v/>
      </c>
      <c r="G828" s="211"/>
      <c r="H828" s="211"/>
      <c r="I828" s="211" t="str">
        <f>IFERROR(__xludf.DUMMYFUNCTION("""COMPUTED_VALUE"""),"")</f>
        <v/>
      </c>
      <c r="J828" s="211"/>
    </row>
    <row r="829">
      <c r="A829" s="211"/>
      <c r="B829" s="211"/>
      <c r="C829" s="211"/>
      <c r="D829" s="211" t="str">
        <f>IFERROR(__xludf.DUMMYFUNCTION("""COMPUTED_VALUE"""),"")</f>
        <v/>
      </c>
      <c r="E829" s="211" t="str">
        <f>IFERROR(__xludf.DUMMYFUNCTION("""COMPUTED_VALUE"""),"")</f>
        <v/>
      </c>
      <c r="F829" s="211" t="str">
        <f>IFERROR(__xludf.DUMMYFUNCTION("""COMPUTED_VALUE"""),"")</f>
        <v/>
      </c>
      <c r="G829" s="211"/>
      <c r="H829" s="211"/>
      <c r="I829" s="211" t="str">
        <f>IFERROR(__xludf.DUMMYFUNCTION("""COMPUTED_VALUE"""),"")</f>
        <v/>
      </c>
      <c r="J829" s="211"/>
    </row>
    <row r="830">
      <c r="A830" s="211"/>
      <c r="B830" s="211"/>
      <c r="C830" s="211"/>
      <c r="D830" s="211" t="str">
        <f>IFERROR(__xludf.DUMMYFUNCTION("""COMPUTED_VALUE"""),"")</f>
        <v/>
      </c>
      <c r="E830" s="211" t="str">
        <f>IFERROR(__xludf.DUMMYFUNCTION("""COMPUTED_VALUE"""),"")</f>
        <v/>
      </c>
      <c r="F830" s="211" t="str">
        <f>IFERROR(__xludf.DUMMYFUNCTION("""COMPUTED_VALUE"""),"")</f>
        <v/>
      </c>
      <c r="G830" s="211"/>
      <c r="H830" s="211"/>
      <c r="I830" s="211" t="str">
        <f>IFERROR(__xludf.DUMMYFUNCTION("""COMPUTED_VALUE"""),"")</f>
        <v/>
      </c>
      <c r="J830" s="211"/>
    </row>
    <row r="831">
      <c r="A831" s="211"/>
      <c r="B831" s="211"/>
      <c r="C831" s="211"/>
      <c r="D831" s="211" t="str">
        <f>IFERROR(__xludf.DUMMYFUNCTION("""COMPUTED_VALUE"""),"")</f>
        <v/>
      </c>
      <c r="E831" s="211" t="str">
        <f>IFERROR(__xludf.DUMMYFUNCTION("""COMPUTED_VALUE"""),"")</f>
        <v/>
      </c>
      <c r="F831" s="211" t="str">
        <f>IFERROR(__xludf.DUMMYFUNCTION("""COMPUTED_VALUE"""),"")</f>
        <v/>
      </c>
      <c r="G831" s="211"/>
      <c r="H831" s="211"/>
      <c r="I831" s="211" t="str">
        <f>IFERROR(__xludf.DUMMYFUNCTION("""COMPUTED_VALUE"""),"")</f>
        <v/>
      </c>
      <c r="J831" s="211"/>
    </row>
    <row r="832">
      <c r="A832" s="211"/>
      <c r="B832" s="211"/>
      <c r="C832" s="211"/>
      <c r="D832" s="211" t="str">
        <f>IFERROR(__xludf.DUMMYFUNCTION("""COMPUTED_VALUE"""),"")</f>
        <v/>
      </c>
      <c r="E832" s="211" t="str">
        <f>IFERROR(__xludf.DUMMYFUNCTION("""COMPUTED_VALUE"""),"")</f>
        <v/>
      </c>
      <c r="F832" s="211" t="str">
        <f>IFERROR(__xludf.DUMMYFUNCTION("""COMPUTED_VALUE"""),"")</f>
        <v/>
      </c>
      <c r="G832" s="211"/>
      <c r="H832" s="211"/>
      <c r="I832" s="211" t="str">
        <f>IFERROR(__xludf.DUMMYFUNCTION("""COMPUTED_VALUE"""),"")</f>
        <v/>
      </c>
      <c r="J832" s="211"/>
    </row>
    <row r="833">
      <c r="A833" s="211"/>
      <c r="B833" s="211"/>
      <c r="C833" s="211"/>
      <c r="D833" s="211" t="str">
        <f>IFERROR(__xludf.DUMMYFUNCTION("""COMPUTED_VALUE"""),"")</f>
        <v/>
      </c>
      <c r="E833" s="211" t="str">
        <f>IFERROR(__xludf.DUMMYFUNCTION("""COMPUTED_VALUE"""),"")</f>
        <v/>
      </c>
      <c r="F833" s="211" t="str">
        <f>IFERROR(__xludf.DUMMYFUNCTION("""COMPUTED_VALUE"""),"")</f>
        <v/>
      </c>
      <c r="G833" s="211"/>
      <c r="H833" s="211"/>
      <c r="I833" s="211" t="str">
        <f>IFERROR(__xludf.DUMMYFUNCTION("""COMPUTED_VALUE"""),"")</f>
        <v/>
      </c>
      <c r="J833" s="211"/>
    </row>
    <row r="834">
      <c r="A834" s="211"/>
      <c r="B834" s="211"/>
      <c r="C834" s="211"/>
      <c r="D834" s="211" t="str">
        <f>IFERROR(__xludf.DUMMYFUNCTION("""COMPUTED_VALUE"""),"")</f>
        <v/>
      </c>
      <c r="E834" s="211" t="str">
        <f>IFERROR(__xludf.DUMMYFUNCTION("""COMPUTED_VALUE"""),"")</f>
        <v/>
      </c>
      <c r="F834" s="211" t="str">
        <f>IFERROR(__xludf.DUMMYFUNCTION("""COMPUTED_VALUE"""),"")</f>
        <v/>
      </c>
      <c r="G834" s="211"/>
      <c r="H834" s="211"/>
      <c r="I834" s="211" t="str">
        <f>IFERROR(__xludf.DUMMYFUNCTION("""COMPUTED_VALUE"""),"")</f>
        <v/>
      </c>
      <c r="J834" s="211"/>
    </row>
    <row r="835">
      <c r="A835" s="211"/>
      <c r="B835" s="211"/>
      <c r="C835" s="211"/>
      <c r="D835" s="211" t="str">
        <f>IFERROR(__xludf.DUMMYFUNCTION("""COMPUTED_VALUE"""),"")</f>
        <v/>
      </c>
      <c r="E835" s="211" t="str">
        <f>IFERROR(__xludf.DUMMYFUNCTION("""COMPUTED_VALUE"""),"")</f>
        <v/>
      </c>
      <c r="F835" s="211" t="str">
        <f>IFERROR(__xludf.DUMMYFUNCTION("""COMPUTED_VALUE"""),"")</f>
        <v/>
      </c>
      <c r="G835" s="211"/>
      <c r="H835" s="211"/>
      <c r="I835" s="211" t="str">
        <f>IFERROR(__xludf.DUMMYFUNCTION("""COMPUTED_VALUE"""),"")</f>
        <v/>
      </c>
      <c r="J835" s="211"/>
    </row>
    <row r="836">
      <c r="A836" s="211"/>
      <c r="B836" s="211"/>
      <c r="C836" s="211"/>
      <c r="D836" s="211" t="str">
        <f>IFERROR(__xludf.DUMMYFUNCTION("""COMPUTED_VALUE"""),"")</f>
        <v/>
      </c>
      <c r="E836" s="211" t="str">
        <f>IFERROR(__xludf.DUMMYFUNCTION("""COMPUTED_VALUE"""),"")</f>
        <v/>
      </c>
      <c r="F836" s="211" t="str">
        <f>IFERROR(__xludf.DUMMYFUNCTION("""COMPUTED_VALUE"""),"")</f>
        <v/>
      </c>
      <c r="G836" s="211"/>
      <c r="H836" s="211"/>
      <c r="I836" s="211" t="str">
        <f>IFERROR(__xludf.DUMMYFUNCTION("""COMPUTED_VALUE"""),"")</f>
        <v/>
      </c>
      <c r="J836" s="211"/>
    </row>
    <row r="837">
      <c r="A837" s="211"/>
      <c r="B837" s="211"/>
      <c r="C837" s="211"/>
      <c r="D837" s="211" t="str">
        <f>IFERROR(__xludf.DUMMYFUNCTION("""COMPUTED_VALUE"""),"")</f>
        <v/>
      </c>
      <c r="E837" s="211" t="str">
        <f>IFERROR(__xludf.DUMMYFUNCTION("""COMPUTED_VALUE"""),"")</f>
        <v/>
      </c>
      <c r="F837" s="211" t="str">
        <f>IFERROR(__xludf.DUMMYFUNCTION("""COMPUTED_VALUE"""),"")</f>
        <v/>
      </c>
      <c r="G837" s="211"/>
      <c r="H837" s="211"/>
      <c r="I837" s="211" t="str">
        <f>IFERROR(__xludf.DUMMYFUNCTION("""COMPUTED_VALUE"""),"")</f>
        <v/>
      </c>
      <c r="J837" s="211"/>
    </row>
    <row r="838">
      <c r="A838" s="211"/>
      <c r="B838" s="211"/>
      <c r="C838" s="211"/>
      <c r="D838" s="211" t="str">
        <f>IFERROR(__xludf.DUMMYFUNCTION("""COMPUTED_VALUE"""),"")</f>
        <v/>
      </c>
      <c r="E838" s="211" t="str">
        <f>IFERROR(__xludf.DUMMYFUNCTION("""COMPUTED_VALUE"""),"")</f>
        <v/>
      </c>
      <c r="F838" s="211" t="str">
        <f>IFERROR(__xludf.DUMMYFUNCTION("""COMPUTED_VALUE"""),"")</f>
        <v/>
      </c>
      <c r="G838" s="211"/>
      <c r="H838" s="211"/>
      <c r="I838" s="211" t="str">
        <f>IFERROR(__xludf.DUMMYFUNCTION("""COMPUTED_VALUE"""),"")</f>
        <v/>
      </c>
      <c r="J838" s="211"/>
    </row>
    <row r="839">
      <c r="A839" s="211"/>
      <c r="B839" s="211"/>
      <c r="C839" s="211"/>
      <c r="D839" s="211" t="str">
        <f>IFERROR(__xludf.DUMMYFUNCTION("""COMPUTED_VALUE"""),"")</f>
        <v/>
      </c>
      <c r="E839" s="211" t="str">
        <f>IFERROR(__xludf.DUMMYFUNCTION("""COMPUTED_VALUE"""),"")</f>
        <v/>
      </c>
      <c r="F839" s="211" t="str">
        <f>IFERROR(__xludf.DUMMYFUNCTION("""COMPUTED_VALUE"""),"")</f>
        <v/>
      </c>
      <c r="G839" s="211"/>
      <c r="H839" s="211"/>
      <c r="I839" s="211" t="str">
        <f>IFERROR(__xludf.DUMMYFUNCTION("""COMPUTED_VALUE"""),"")</f>
        <v/>
      </c>
      <c r="J839" s="211"/>
    </row>
    <row r="840">
      <c r="A840" s="211"/>
      <c r="B840" s="211"/>
      <c r="C840" s="211"/>
      <c r="D840" s="211" t="str">
        <f>IFERROR(__xludf.DUMMYFUNCTION("""COMPUTED_VALUE"""),"")</f>
        <v/>
      </c>
      <c r="E840" s="211" t="str">
        <f>IFERROR(__xludf.DUMMYFUNCTION("""COMPUTED_VALUE"""),"")</f>
        <v/>
      </c>
      <c r="F840" s="211" t="str">
        <f>IFERROR(__xludf.DUMMYFUNCTION("""COMPUTED_VALUE"""),"")</f>
        <v/>
      </c>
      <c r="G840" s="211"/>
      <c r="H840" s="211"/>
      <c r="I840" s="211" t="str">
        <f>IFERROR(__xludf.DUMMYFUNCTION("""COMPUTED_VALUE"""),"")</f>
        <v/>
      </c>
      <c r="J840" s="211"/>
    </row>
    <row r="841">
      <c r="A841" s="211"/>
      <c r="B841" s="211"/>
      <c r="C841" s="211"/>
      <c r="D841" s="211" t="str">
        <f>IFERROR(__xludf.DUMMYFUNCTION("""COMPUTED_VALUE"""),"")</f>
        <v/>
      </c>
      <c r="E841" s="211" t="str">
        <f>IFERROR(__xludf.DUMMYFUNCTION("""COMPUTED_VALUE"""),"")</f>
        <v/>
      </c>
      <c r="F841" s="211" t="str">
        <f>IFERROR(__xludf.DUMMYFUNCTION("""COMPUTED_VALUE"""),"")</f>
        <v/>
      </c>
      <c r="G841" s="211"/>
      <c r="H841" s="211"/>
      <c r="I841" s="211" t="str">
        <f>IFERROR(__xludf.DUMMYFUNCTION("""COMPUTED_VALUE"""),"")</f>
        <v/>
      </c>
      <c r="J841" s="211"/>
    </row>
    <row r="842">
      <c r="A842" s="211"/>
      <c r="B842" s="211"/>
      <c r="C842" s="211"/>
      <c r="D842" s="211" t="str">
        <f>IFERROR(__xludf.DUMMYFUNCTION("""COMPUTED_VALUE"""),"")</f>
        <v/>
      </c>
      <c r="E842" s="211" t="str">
        <f>IFERROR(__xludf.DUMMYFUNCTION("""COMPUTED_VALUE"""),"")</f>
        <v/>
      </c>
      <c r="F842" s="211" t="str">
        <f>IFERROR(__xludf.DUMMYFUNCTION("""COMPUTED_VALUE"""),"")</f>
        <v/>
      </c>
      <c r="G842" s="211"/>
      <c r="H842" s="211"/>
      <c r="I842" s="211" t="str">
        <f>IFERROR(__xludf.DUMMYFUNCTION("""COMPUTED_VALUE"""),"")</f>
        <v/>
      </c>
      <c r="J842" s="211"/>
    </row>
    <row r="843">
      <c r="A843" s="211"/>
      <c r="B843" s="211"/>
      <c r="C843" s="211"/>
      <c r="D843" s="211" t="str">
        <f>IFERROR(__xludf.DUMMYFUNCTION("""COMPUTED_VALUE"""),"")</f>
        <v/>
      </c>
      <c r="E843" s="211" t="str">
        <f>IFERROR(__xludf.DUMMYFUNCTION("""COMPUTED_VALUE"""),"")</f>
        <v/>
      </c>
      <c r="F843" s="211" t="str">
        <f>IFERROR(__xludf.DUMMYFUNCTION("""COMPUTED_VALUE"""),"")</f>
        <v/>
      </c>
      <c r="G843" s="211"/>
      <c r="H843" s="211"/>
      <c r="I843" s="211" t="str">
        <f>IFERROR(__xludf.DUMMYFUNCTION("""COMPUTED_VALUE"""),"")</f>
        <v/>
      </c>
      <c r="J843" s="211"/>
    </row>
    <row r="844">
      <c r="A844" s="211"/>
      <c r="B844" s="211"/>
      <c r="C844" s="211"/>
      <c r="D844" s="211" t="str">
        <f>IFERROR(__xludf.DUMMYFUNCTION("""COMPUTED_VALUE"""),"")</f>
        <v/>
      </c>
      <c r="E844" s="211" t="str">
        <f>IFERROR(__xludf.DUMMYFUNCTION("""COMPUTED_VALUE"""),"")</f>
        <v/>
      </c>
      <c r="F844" s="211" t="str">
        <f>IFERROR(__xludf.DUMMYFUNCTION("""COMPUTED_VALUE"""),"")</f>
        <v/>
      </c>
      <c r="G844" s="211"/>
      <c r="H844" s="211"/>
      <c r="I844" s="211" t="str">
        <f>IFERROR(__xludf.DUMMYFUNCTION("""COMPUTED_VALUE"""),"")</f>
        <v/>
      </c>
      <c r="J844" s="211"/>
    </row>
    <row r="845">
      <c r="A845" s="211"/>
      <c r="B845" s="211"/>
      <c r="C845" s="211"/>
      <c r="D845" s="211" t="str">
        <f>IFERROR(__xludf.DUMMYFUNCTION("""COMPUTED_VALUE"""),"")</f>
        <v/>
      </c>
      <c r="E845" s="211" t="str">
        <f>IFERROR(__xludf.DUMMYFUNCTION("""COMPUTED_VALUE"""),"")</f>
        <v/>
      </c>
      <c r="F845" s="211" t="str">
        <f>IFERROR(__xludf.DUMMYFUNCTION("""COMPUTED_VALUE"""),"")</f>
        <v/>
      </c>
      <c r="G845" s="211"/>
      <c r="H845" s="211"/>
      <c r="I845" s="211" t="str">
        <f>IFERROR(__xludf.DUMMYFUNCTION("""COMPUTED_VALUE"""),"")</f>
        <v/>
      </c>
      <c r="J845" s="211"/>
    </row>
    <row r="846">
      <c r="A846" s="211"/>
      <c r="B846" s="211"/>
      <c r="C846" s="211"/>
      <c r="D846" s="211" t="str">
        <f>IFERROR(__xludf.DUMMYFUNCTION("""COMPUTED_VALUE"""),"")</f>
        <v/>
      </c>
      <c r="E846" s="211" t="str">
        <f>IFERROR(__xludf.DUMMYFUNCTION("""COMPUTED_VALUE"""),"")</f>
        <v/>
      </c>
      <c r="F846" s="211" t="str">
        <f>IFERROR(__xludf.DUMMYFUNCTION("""COMPUTED_VALUE"""),"")</f>
        <v/>
      </c>
      <c r="G846" s="211"/>
      <c r="H846" s="211"/>
      <c r="I846" s="211" t="str">
        <f>IFERROR(__xludf.DUMMYFUNCTION("""COMPUTED_VALUE"""),"")</f>
        <v/>
      </c>
      <c r="J846" s="211"/>
    </row>
    <row r="847">
      <c r="A847" s="211"/>
      <c r="B847" s="211"/>
      <c r="C847" s="211"/>
      <c r="D847" s="211" t="str">
        <f>IFERROR(__xludf.DUMMYFUNCTION("""COMPUTED_VALUE"""),"")</f>
        <v/>
      </c>
      <c r="E847" s="211" t="str">
        <f>IFERROR(__xludf.DUMMYFUNCTION("""COMPUTED_VALUE"""),"")</f>
        <v/>
      </c>
      <c r="F847" s="211" t="str">
        <f>IFERROR(__xludf.DUMMYFUNCTION("""COMPUTED_VALUE"""),"")</f>
        <v/>
      </c>
      <c r="G847" s="211"/>
      <c r="H847" s="211"/>
      <c r="I847" s="211" t="str">
        <f>IFERROR(__xludf.DUMMYFUNCTION("""COMPUTED_VALUE"""),"")</f>
        <v/>
      </c>
      <c r="J847" s="211"/>
    </row>
    <row r="848">
      <c r="A848" s="211"/>
      <c r="B848" s="211"/>
      <c r="C848" s="211"/>
      <c r="D848" s="211" t="str">
        <f>IFERROR(__xludf.DUMMYFUNCTION("""COMPUTED_VALUE"""),"")</f>
        <v/>
      </c>
      <c r="E848" s="211" t="str">
        <f>IFERROR(__xludf.DUMMYFUNCTION("""COMPUTED_VALUE"""),"")</f>
        <v/>
      </c>
      <c r="F848" s="211" t="str">
        <f>IFERROR(__xludf.DUMMYFUNCTION("""COMPUTED_VALUE"""),"")</f>
        <v/>
      </c>
      <c r="G848" s="211"/>
      <c r="H848" s="211"/>
      <c r="I848" s="211" t="str">
        <f>IFERROR(__xludf.DUMMYFUNCTION("""COMPUTED_VALUE"""),"")</f>
        <v/>
      </c>
      <c r="J848" s="211"/>
    </row>
    <row r="849">
      <c r="A849" s="211"/>
      <c r="B849" s="211"/>
      <c r="C849" s="211"/>
      <c r="D849" s="211" t="str">
        <f>IFERROR(__xludf.DUMMYFUNCTION("""COMPUTED_VALUE"""),"")</f>
        <v/>
      </c>
      <c r="E849" s="211" t="str">
        <f>IFERROR(__xludf.DUMMYFUNCTION("""COMPUTED_VALUE"""),"")</f>
        <v/>
      </c>
      <c r="F849" s="211" t="str">
        <f>IFERROR(__xludf.DUMMYFUNCTION("""COMPUTED_VALUE"""),"")</f>
        <v/>
      </c>
      <c r="G849" s="211"/>
      <c r="H849" s="211"/>
      <c r="I849" s="211" t="str">
        <f>IFERROR(__xludf.DUMMYFUNCTION("""COMPUTED_VALUE"""),"")</f>
        <v/>
      </c>
      <c r="J849" s="211"/>
    </row>
    <row r="850">
      <c r="A850" s="211"/>
      <c r="B850" s="211"/>
      <c r="C850" s="211"/>
      <c r="D850" s="211" t="str">
        <f>IFERROR(__xludf.DUMMYFUNCTION("""COMPUTED_VALUE"""),"")</f>
        <v/>
      </c>
      <c r="E850" s="211" t="str">
        <f>IFERROR(__xludf.DUMMYFUNCTION("""COMPUTED_VALUE"""),"")</f>
        <v/>
      </c>
      <c r="F850" s="211" t="str">
        <f>IFERROR(__xludf.DUMMYFUNCTION("""COMPUTED_VALUE"""),"")</f>
        <v/>
      </c>
      <c r="G850" s="211"/>
      <c r="H850" s="211"/>
      <c r="I850" s="211" t="str">
        <f>IFERROR(__xludf.DUMMYFUNCTION("""COMPUTED_VALUE"""),"")</f>
        <v/>
      </c>
      <c r="J850" s="211"/>
    </row>
    <row r="851">
      <c r="A851" s="211"/>
      <c r="B851" s="211"/>
      <c r="C851" s="211"/>
      <c r="D851" s="211" t="str">
        <f>IFERROR(__xludf.DUMMYFUNCTION("""COMPUTED_VALUE"""),"")</f>
        <v/>
      </c>
      <c r="E851" s="211" t="str">
        <f>IFERROR(__xludf.DUMMYFUNCTION("""COMPUTED_VALUE"""),"")</f>
        <v/>
      </c>
      <c r="F851" s="211" t="str">
        <f>IFERROR(__xludf.DUMMYFUNCTION("""COMPUTED_VALUE"""),"")</f>
        <v/>
      </c>
      <c r="G851" s="211"/>
      <c r="H851" s="211"/>
      <c r="I851" s="211" t="str">
        <f>IFERROR(__xludf.DUMMYFUNCTION("""COMPUTED_VALUE"""),"")</f>
        <v/>
      </c>
      <c r="J851" s="211"/>
    </row>
    <row r="852">
      <c r="A852" s="211"/>
      <c r="B852" s="211"/>
      <c r="C852" s="211"/>
      <c r="D852" s="211" t="str">
        <f>IFERROR(__xludf.DUMMYFUNCTION("""COMPUTED_VALUE"""),"")</f>
        <v/>
      </c>
      <c r="E852" s="211" t="str">
        <f>IFERROR(__xludf.DUMMYFUNCTION("""COMPUTED_VALUE"""),"")</f>
        <v/>
      </c>
      <c r="F852" s="211" t="str">
        <f>IFERROR(__xludf.DUMMYFUNCTION("""COMPUTED_VALUE"""),"")</f>
        <v/>
      </c>
      <c r="G852" s="211"/>
      <c r="H852" s="211"/>
      <c r="I852" s="211" t="str">
        <f>IFERROR(__xludf.DUMMYFUNCTION("""COMPUTED_VALUE"""),"")</f>
        <v/>
      </c>
      <c r="J852" s="211"/>
    </row>
    <row r="853">
      <c r="A853" s="211"/>
      <c r="B853" s="211"/>
      <c r="C853" s="211"/>
      <c r="D853" s="211" t="str">
        <f>IFERROR(__xludf.DUMMYFUNCTION("""COMPUTED_VALUE"""),"")</f>
        <v/>
      </c>
      <c r="E853" s="211" t="str">
        <f>IFERROR(__xludf.DUMMYFUNCTION("""COMPUTED_VALUE"""),"")</f>
        <v/>
      </c>
      <c r="F853" s="211" t="str">
        <f>IFERROR(__xludf.DUMMYFUNCTION("""COMPUTED_VALUE"""),"")</f>
        <v/>
      </c>
      <c r="G853" s="211"/>
      <c r="H853" s="211"/>
      <c r="I853" s="211" t="str">
        <f>IFERROR(__xludf.DUMMYFUNCTION("""COMPUTED_VALUE"""),"")</f>
        <v/>
      </c>
      <c r="J853" s="211"/>
    </row>
    <row r="854">
      <c r="A854" s="211"/>
      <c r="B854" s="211"/>
      <c r="C854" s="211"/>
      <c r="D854" s="211" t="str">
        <f>IFERROR(__xludf.DUMMYFUNCTION("""COMPUTED_VALUE"""),"")</f>
        <v/>
      </c>
      <c r="E854" s="211" t="str">
        <f>IFERROR(__xludf.DUMMYFUNCTION("""COMPUTED_VALUE"""),"")</f>
        <v/>
      </c>
      <c r="F854" s="211" t="str">
        <f>IFERROR(__xludf.DUMMYFUNCTION("""COMPUTED_VALUE"""),"")</f>
        <v/>
      </c>
      <c r="G854" s="211"/>
      <c r="H854" s="211"/>
      <c r="I854" s="211" t="str">
        <f>IFERROR(__xludf.DUMMYFUNCTION("""COMPUTED_VALUE"""),"")</f>
        <v/>
      </c>
      <c r="J854" s="211"/>
    </row>
    <row r="855">
      <c r="A855" s="211"/>
      <c r="B855" s="211"/>
      <c r="C855" s="211"/>
      <c r="D855" s="211" t="str">
        <f>IFERROR(__xludf.DUMMYFUNCTION("""COMPUTED_VALUE"""),"")</f>
        <v/>
      </c>
      <c r="E855" s="211" t="str">
        <f>IFERROR(__xludf.DUMMYFUNCTION("""COMPUTED_VALUE"""),"")</f>
        <v/>
      </c>
      <c r="F855" s="211" t="str">
        <f>IFERROR(__xludf.DUMMYFUNCTION("""COMPUTED_VALUE"""),"")</f>
        <v/>
      </c>
      <c r="G855" s="211"/>
      <c r="H855" s="211"/>
      <c r="I855" s="211" t="str">
        <f>IFERROR(__xludf.DUMMYFUNCTION("""COMPUTED_VALUE"""),"")</f>
        <v/>
      </c>
      <c r="J855" s="211"/>
    </row>
    <row r="856">
      <c r="A856" s="211"/>
      <c r="B856" s="211"/>
      <c r="C856" s="211"/>
      <c r="D856" s="211" t="str">
        <f>IFERROR(__xludf.DUMMYFUNCTION("""COMPUTED_VALUE"""),"")</f>
        <v/>
      </c>
      <c r="E856" s="211" t="str">
        <f>IFERROR(__xludf.DUMMYFUNCTION("""COMPUTED_VALUE"""),"")</f>
        <v/>
      </c>
      <c r="F856" s="211" t="str">
        <f>IFERROR(__xludf.DUMMYFUNCTION("""COMPUTED_VALUE"""),"")</f>
        <v/>
      </c>
      <c r="G856" s="211"/>
      <c r="H856" s="211"/>
      <c r="I856" s="211" t="str">
        <f>IFERROR(__xludf.DUMMYFUNCTION("""COMPUTED_VALUE"""),"")</f>
        <v/>
      </c>
      <c r="J856" s="211"/>
    </row>
    <row r="857">
      <c r="A857" s="211"/>
      <c r="B857" s="211"/>
      <c r="C857" s="211"/>
      <c r="D857" s="211" t="str">
        <f>IFERROR(__xludf.DUMMYFUNCTION("""COMPUTED_VALUE"""),"")</f>
        <v/>
      </c>
      <c r="E857" s="211" t="str">
        <f>IFERROR(__xludf.DUMMYFUNCTION("""COMPUTED_VALUE"""),"")</f>
        <v/>
      </c>
      <c r="F857" s="211" t="str">
        <f>IFERROR(__xludf.DUMMYFUNCTION("""COMPUTED_VALUE"""),"")</f>
        <v/>
      </c>
      <c r="G857" s="211"/>
      <c r="H857" s="211"/>
      <c r="I857" s="211" t="str">
        <f>IFERROR(__xludf.DUMMYFUNCTION("""COMPUTED_VALUE"""),"")</f>
        <v/>
      </c>
      <c r="J857" s="211"/>
    </row>
    <row r="858">
      <c r="A858" s="211"/>
      <c r="B858" s="211"/>
      <c r="C858" s="211"/>
      <c r="D858" s="211" t="str">
        <f>IFERROR(__xludf.DUMMYFUNCTION("""COMPUTED_VALUE"""),"")</f>
        <v/>
      </c>
      <c r="E858" s="211" t="str">
        <f>IFERROR(__xludf.DUMMYFUNCTION("""COMPUTED_VALUE"""),"")</f>
        <v/>
      </c>
      <c r="F858" s="211" t="str">
        <f>IFERROR(__xludf.DUMMYFUNCTION("""COMPUTED_VALUE"""),"")</f>
        <v/>
      </c>
      <c r="G858" s="211"/>
      <c r="H858" s="211"/>
      <c r="I858" s="211" t="str">
        <f>IFERROR(__xludf.DUMMYFUNCTION("""COMPUTED_VALUE"""),"")</f>
        <v/>
      </c>
      <c r="J858" s="211"/>
    </row>
    <row r="859">
      <c r="A859" s="211"/>
      <c r="B859" s="211"/>
      <c r="C859" s="211"/>
      <c r="D859" s="211" t="str">
        <f>IFERROR(__xludf.DUMMYFUNCTION("""COMPUTED_VALUE"""),"")</f>
        <v/>
      </c>
      <c r="E859" s="211" t="str">
        <f>IFERROR(__xludf.DUMMYFUNCTION("""COMPUTED_VALUE"""),"")</f>
        <v/>
      </c>
      <c r="F859" s="211" t="str">
        <f>IFERROR(__xludf.DUMMYFUNCTION("""COMPUTED_VALUE"""),"")</f>
        <v/>
      </c>
      <c r="G859" s="211"/>
      <c r="H859" s="211"/>
      <c r="I859" s="211" t="str">
        <f>IFERROR(__xludf.DUMMYFUNCTION("""COMPUTED_VALUE"""),"")</f>
        <v/>
      </c>
      <c r="J859" s="211"/>
    </row>
    <row r="860">
      <c r="A860" s="211"/>
      <c r="B860" s="211"/>
      <c r="C860" s="211"/>
      <c r="D860" s="211" t="str">
        <f>IFERROR(__xludf.DUMMYFUNCTION("""COMPUTED_VALUE"""),"")</f>
        <v/>
      </c>
      <c r="E860" s="211" t="str">
        <f>IFERROR(__xludf.DUMMYFUNCTION("""COMPUTED_VALUE"""),"")</f>
        <v/>
      </c>
      <c r="F860" s="211" t="str">
        <f>IFERROR(__xludf.DUMMYFUNCTION("""COMPUTED_VALUE"""),"")</f>
        <v/>
      </c>
      <c r="G860" s="211"/>
      <c r="H860" s="211"/>
      <c r="I860" s="211" t="str">
        <f>IFERROR(__xludf.DUMMYFUNCTION("""COMPUTED_VALUE"""),"")</f>
        <v/>
      </c>
      <c r="J860" s="211"/>
    </row>
    <row r="861">
      <c r="A861" s="211"/>
      <c r="B861" s="211"/>
      <c r="C861" s="211"/>
      <c r="D861" s="211" t="str">
        <f>IFERROR(__xludf.DUMMYFUNCTION("""COMPUTED_VALUE"""),"")</f>
        <v/>
      </c>
      <c r="E861" s="211" t="str">
        <f>IFERROR(__xludf.DUMMYFUNCTION("""COMPUTED_VALUE"""),"")</f>
        <v/>
      </c>
      <c r="F861" s="211" t="str">
        <f>IFERROR(__xludf.DUMMYFUNCTION("""COMPUTED_VALUE"""),"")</f>
        <v/>
      </c>
      <c r="G861" s="211"/>
      <c r="H861" s="211"/>
      <c r="I861" s="211" t="str">
        <f>IFERROR(__xludf.DUMMYFUNCTION("""COMPUTED_VALUE"""),"")</f>
        <v/>
      </c>
      <c r="J861" s="211"/>
    </row>
    <row r="862">
      <c r="A862" s="211"/>
      <c r="B862" s="211"/>
      <c r="C862" s="211"/>
      <c r="D862" s="211" t="str">
        <f>IFERROR(__xludf.DUMMYFUNCTION("""COMPUTED_VALUE"""),"")</f>
        <v/>
      </c>
      <c r="E862" s="211" t="str">
        <f>IFERROR(__xludf.DUMMYFUNCTION("""COMPUTED_VALUE"""),"")</f>
        <v/>
      </c>
      <c r="F862" s="211" t="str">
        <f>IFERROR(__xludf.DUMMYFUNCTION("""COMPUTED_VALUE"""),"")</f>
        <v/>
      </c>
      <c r="G862" s="211"/>
      <c r="H862" s="211"/>
      <c r="I862" s="211" t="str">
        <f>IFERROR(__xludf.DUMMYFUNCTION("""COMPUTED_VALUE"""),"")</f>
        <v/>
      </c>
      <c r="J862" s="211"/>
    </row>
    <row r="863">
      <c r="A863" s="211"/>
      <c r="B863" s="211"/>
      <c r="C863" s="211"/>
      <c r="D863" s="211" t="str">
        <f>IFERROR(__xludf.DUMMYFUNCTION("""COMPUTED_VALUE"""),"")</f>
        <v/>
      </c>
      <c r="E863" s="211" t="str">
        <f>IFERROR(__xludf.DUMMYFUNCTION("""COMPUTED_VALUE"""),"")</f>
        <v/>
      </c>
      <c r="F863" s="211" t="str">
        <f>IFERROR(__xludf.DUMMYFUNCTION("""COMPUTED_VALUE"""),"")</f>
        <v/>
      </c>
      <c r="G863" s="211"/>
      <c r="H863" s="211"/>
      <c r="I863" s="211" t="str">
        <f>IFERROR(__xludf.DUMMYFUNCTION("""COMPUTED_VALUE"""),"")</f>
        <v/>
      </c>
      <c r="J863" s="211"/>
    </row>
    <row r="864">
      <c r="A864" s="211"/>
      <c r="B864" s="211"/>
      <c r="C864" s="211"/>
      <c r="D864" s="211" t="str">
        <f>IFERROR(__xludf.DUMMYFUNCTION("""COMPUTED_VALUE"""),"")</f>
        <v/>
      </c>
      <c r="E864" s="211" t="str">
        <f>IFERROR(__xludf.DUMMYFUNCTION("""COMPUTED_VALUE"""),"")</f>
        <v/>
      </c>
      <c r="F864" s="211" t="str">
        <f>IFERROR(__xludf.DUMMYFUNCTION("""COMPUTED_VALUE"""),"")</f>
        <v/>
      </c>
      <c r="G864" s="211"/>
      <c r="H864" s="211"/>
      <c r="I864" s="211" t="str">
        <f>IFERROR(__xludf.DUMMYFUNCTION("""COMPUTED_VALUE"""),"")</f>
        <v/>
      </c>
      <c r="J864" s="211"/>
    </row>
    <row r="865">
      <c r="A865" s="211"/>
      <c r="B865" s="211"/>
      <c r="C865" s="211"/>
      <c r="D865" s="211" t="str">
        <f>IFERROR(__xludf.DUMMYFUNCTION("""COMPUTED_VALUE"""),"")</f>
        <v/>
      </c>
      <c r="E865" s="211" t="str">
        <f>IFERROR(__xludf.DUMMYFUNCTION("""COMPUTED_VALUE"""),"")</f>
        <v/>
      </c>
      <c r="F865" s="211" t="str">
        <f>IFERROR(__xludf.DUMMYFUNCTION("""COMPUTED_VALUE"""),"")</f>
        <v/>
      </c>
      <c r="G865" s="211"/>
      <c r="H865" s="211"/>
      <c r="I865" s="211" t="str">
        <f>IFERROR(__xludf.DUMMYFUNCTION("""COMPUTED_VALUE"""),"")</f>
        <v/>
      </c>
      <c r="J865" s="211"/>
    </row>
    <row r="866">
      <c r="A866" s="211"/>
      <c r="B866" s="211"/>
      <c r="C866" s="211"/>
      <c r="D866" s="211" t="str">
        <f>IFERROR(__xludf.DUMMYFUNCTION("""COMPUTED_VALUE"""),"")</f>
        <v/>
      </c>
      <c r="E866" s="211" t="str">
        <f>IFERROR(__xludf.DUMMYFUNCTION("""COMPUTED_VALUE"""),"")</f>
        <v/>
      </c>
      <c r="F866" s="211" t="str">
        <f>IFERROR(__xludf.DUMMYFUNCTION("""COMPUTED_VALUE"""),"")</f>
        <v/>
      </c>
      <c r="G866" s="211"/>
      <c r="H866" s="211"/>
      <c r="I866" s="211" t="str">
        <f>IFERROR(__xludf.DUMMYFUNCTION("""COMPUTED_VALUE"""),"")</f>
        <v/>
      </c>
      <c r="J866" s="211"/>
    </row>
    <row r="867">
      <c r="A867" s="211"/>
      <c r="B867" s="211"/>
      <c r="C867" s="211"/>
      <c r="D867" s="211" t="str">
        <f>IFERROR(__xludf.DUMMYFUNCTION("""COMPUTED_VALUE"""),"")</f>
        <v/>
      </c>
      <c r="E867" s="211" t="str">
        <f>IFERROR(__xludf.DUMMYFUNCTION("""COMPUTED_VALUE"""),"")</f>
        <v/>
      </c>
      <c r="F867" s="211" t="str">
        <f>IFERROR(__xludf.DUMMYFUNCTION("""COMPUTED_VALUE"""),"")</f>
        <v/>
      </c>
      <c r="G867" s="211"/>
      <c r="H867" s="211"/>
      <c r="I867" s="211" t="str">
        <f>IFERROR(__xludf.DUMMYFUNCTION("""COMPUTED_VALUE"""),"")</f>
        <v/>
      </c>
      <c r="J867" s="211"/>
    </row>
    <row r="868">
      <c r="A868" s="211"/>
      <c r="B868" s="211"/>
      <c r="C868" s="211"/>
      <c r="D868" s="211" t="str">
        <f>IFERROR(__xludf.DUMMYFUNCTION("""COMPUTED_VALUE"""),"")</f>
        <v/>
      </c>
      <c r="E868" s="211" t="str">
        <f>IFERROR(__xludf.DUMMYFUNCTION("""COMPUTED_VALUE"""),"")</f>
        <v/>
      </c>
      <c r="F868" s="211" t="str">
        <f>IFERROR(__xludf.DUMMYFUNCTION("""COMPUTED_VALUE"""),"")</f>
        <v/>
      </c>
      <c r="G868" s="211"/>
      <c r="H868" s="211"/>
      <c r="I868" s="211" t="str">
        <f>IFERROR(__xludf.DUMMYFUNCTION("""COMPUTED_VALUE"""),"")</f>
        <v/>
      </c>
      <c r="J868" s="211"/>
    </row>
    <row r="869">
      <c r="A869" s="211"/>
      <c r="B869" s="211"/>
      <c r="C869" s="211"/>
      <c r="D869" s="211" t="str">
        <f>IFERROR(__xludf.DUMMYFUNCTION("""COMPUTED_VALUE"""),"")</f>
        <v/>
      </c>
      <c r="E869" s="211" t="str">
        <f>IFERROR(__xludf.DUMMYFUNCTION("""COMPUTED_VALUE"""),"")</f>
        <v/>
      </c>
      <c r="F869" s="211" t="str">
        <f>IFERROR(__xludf.DUMMYFUNCTION("""COMPUTED_VALUE"""),"")</f>
        <v/>
      </c>
      <c r="G869" s="211"/>
      <c r="H869" s="211"/>
      <c r="I869" s="211" t="str">
        <f>IFERROR(__xludf.DUMMYFUNCTION("""COMPUTED_VALUE"""),"")</f>
        <v/>
      </c>
      <c r="J869" s="211"/>
    </row>
    <row r="870">
      <c r="A870" s="211"/>
      <c r="B870" s="211"/>
      <c r="C870" s="211"/>
      <c r="D870" s="211" t="str">
        <f>IFERROR(__xludf.DUMMYFUNCTION("""COMPUTED_VALUE"""),"")</f>
        <v/>
      </c>
      <c r="E870" s="211" t="str">
        <f>IFERROR(__xludf.DUMMYFUNCTION("""COMPUTED_VALUE"""),"")</f>
        <v/>
      </c>
      <c r="F870" s="211" t="str">
        <f>IFERROR(__xludf.DUMMYFUNCTION("""COMPUTED_VALUE"""),"")</f>
        <v/>
      </c>
      <c r="G870" s="211"/>
      <c r="H870" s="211"/>
      <c r="I870" s="211" t="str">
        <f>IFERROR(__xludf.DUMMYFUNCTION("""COMPUTED_VALUE"""),"")</f>
        <v/>
      </c>
      <c r="J870" s="211"/>
    </row>
    <row r="871">
      <c r="A871" s="211"/>
      <c r="B871" s="211"/>
      <c r="C871" s="211"/>
      <c r="D871" s="211" t="str">
        <f>IFERROR(__xludf.DUMMYFUNCTION("""COMPUTED_VALUE"""),"")</f>
        <v/>
      </c>
      <c r="E871" s="211" t="str">
        <f>IFERROR(__xludf.DUMMYFUNCTION("""COMPUTED_VALUE"""),"")</f>
        <v/>
      </c>
      <c r="F871" s="211" t="str">
        <f>IFERROR(__xludf.DUMMYFUNCTION("""COMPUTED_VALUE"""),"")</f>
        <v/>
      </c>
      <c r="G871" s="211"/>
      <c r="H871" s="211"/>
      <c r="I871" s="211" t="str">
        <f>IFERROR(__xludf.DUMMYFUNCTION("""COMPUTED_VALUE"""),"")</f>
        <v/>
      </c>
      <c r="J871" s="211"/>
    </row>
    <row r="872">
      <c r="A872" s="211"/>
      <c r="B872" s="211"/>
      <c r="C872" s="211"/>
      <c r="D872" s="211" t="str">
        <f>IFERROR(__xludf.DUMMYFUNCTION("""COMPUTED_VALUE"""),"")</f>
        <v/>
      </c>
      <c r="E872" s="211" t="str">
        <f>IFERROR(__xludf.DUMMYFUNCTION("""COMPUTED_VALUE"""),"")</f>
        <v/>
      </c>
      <c r="F872" s="211" t="str">
        <f>IFERROR(__xludf.DUMMYFUNCTION("""COMPUTED_VALUE"""),"")</f>
        <v/>
      </c>
      <c r="G872" s="211"/>
      <c r="H872" s="211"/>
      <c r="I872" s="211" t="str">
        <f>IFERROR(__xludf.DUMMYFUNCTION("""COMPUTED_VALUE"""),"")</f>
        <v/>
      </c>
      <c r="J872" s="211"/>
    </row>
    <row r="873">
      <c r="A873" s="211"/>
      <c r="B873" s="211"/>
      <c r="C873" s="211"/>
      <c r="D873" s="211" t="str">
        <f>IFERROR(__xludf.DUMMYFUNCTION("""COMPUTED_VALUE"""),"")</f>
        <v/>
      </c>
      <c r="E873" s="211" t="str">
        <f>IFERROR(__xludf.DUMMYFUNCTION("""COMPUTED_VALUE"""),"")</f>
        <v/>
      </c>
      <c r="F873" s="211" t="str">
        <f>IFERROR(__xludf.DUMMYFUNCTION("""COMPUTED_VALUE"""),"")</f>
        <v/>
      </c>
      <c r="G873" s="211"/>
      <c r="H873" s="211"/>
      <c r="I873" s="211" t="str">
        <f>IFERROR(__xludf.DUMMYFUNCTION("""COMPUTED_VALUE"""),"")</f>
        <v/>
      </c>
      <c r="J873" s="211"/>
    </row>
    <row r="874">
      <c r="A874" s="211"/>
      <c r="B874" s="211"/>
      <c r="C874" s="211"/>
      <c r="D874" s="211" t="str">
        <f>IFERROR(__xludf.DUMMYFUNCTION("""COMPUTED_VALUE"""),"")</f>
        <v/>
      </c>
      <c r="E874" s="211" t="str">
        <f>IFERROR(__xludf.DUMMYFUNCTION("""COMPUTED_VALUE"""),"")</f>
        <v/>
      </c>
      <c r="F874" s="211" t="str">
        <f>IFERROR(__xludf.DUMMYFUNCTION("""COMPUTED_VALUE"""),"")</f>
        <v/>
      </c>
      <c r="G874" s="211"/>
      <c r="H874" s="211"/>
      <c r="I874" s="211" t="str">
        <f>IFERROR(__xludf.DUMMYFUNCTION("""COMPUTED_VALUE"""),"")</f>
        <v/>
      </c>
      <c r="J874" s="211"/>
    </row>
    <row r="875">
      <c r="A875" s="211"/>
      <c r="B875" s="211"/>
      <c r="C875" s="211"/>
      <c r="D875" s="211" t="str">
        <f>IFERROR(__xludf.DUMMYFUNCTION("""COMPUTED_VALUE"""),"")</f>
        <v/>
      </c>
      <c r="E875" s="211" t="str">
        <f>IFERROR(__xludf.DUMMYFUNCTION("""COMPUTED_VALUE"""),"")</f>
        <v/>
      </c>
      <c r="F875" s="211" t="str">
        <f>IFERROR(__xludf.DUMMYFUNCTION("""COMPUTED_VALUE"""),"")</f>
        <v/>
      </c>
      <c r="G875" s="211"/>
      <c r="H875" s="211"/>
      <c r="I875" s="211" t="str">
        <f>IFERROR(__xludf.DUMMYFUNCTION("""COMPUTED_VALUE"""),"")</f>
        <v/>
      </c>
      <c r="J875" s="211"/>
    </row>
    <row r="876">
      <c r="A876" s="211"/>
      <c r="B876" s="211"/>
      <c r="C876" s="211"/>
      <c r="D876" s="211" t="str">
        <f>IFERROR(__xludf.DUMMYFUNCTION("""COMPUTED_VALUE"""),"")</f>
        <v/>
      </c>
      <c r="E876" s="211" t="str">
        <f>IFERROR(__xludf.DUMMYFUNCTION("""COMPUTED_VALUE"""),"")</f>
        <v/>
      </c>
      <c r="F876" s="211" t="str">
        <f>IFERROR(__xludf.DUMMYFUNCTION("""COMPUTED_VALUE"""),"")</f>
        <v/>
      </c>
      <c r="G876" s="211"/>
      <c r="H876" s="211"/>
      <c r="I876" s="211" t="str">
        <f>IFERROR(__xludf.DUMMYFUNCTION("""COMPUTED_VALUE"""),"")</f>
        <v/>
      </c>
      <c r="J876" s="211"/>
    </row>
    <row r="877">
      <c r="A877" s="211"/>
      <c r="B877" s="211"/>
      <c r="C877" s="211"/>
      <c r="D877" s="211" t="str">
        <f>IFERROR(__xludf.DUMMYFUNCTION("""COMPUTED_VALUE"""),"")</f>
        <v/>
      </c>
      <c r="E877" s="211" t="str">
        <f>IFERROR(__xludf.DUMMYFUNCTION("""COMPUTED_VALUE"""),"")</f>
        <v/>
      </c>
      <c r="F877" s="211" t="str">
        <f>IFERROR(__xludf.DUMMYFUNCTION("""COMPUTED_VALUE"""),"")</f>
        <v/>
      </c>
      <c r="G877" s="211"/>
      <c r="H877" s="211"/>
      <c r="I877" s="211" t="str">
        <f>IFERROR(__xludf.DUMMYFUNCTION("""COMPUTED_VALUE"""),"")</f>
        <v/>
      </c>
      <c r="J877" s="211"/>
    </row>
    <row r="878">
      <c r="A878" s="211"/>
      <c r="B878" s="211"/>
      <c r="C878" s="211"/>
      <c r="D878" s="211" t="str">
        <f>IFERROR(__xludf.DUMMYFUNCTION("""COMPUTED_VALUE"""),"")</f>
        <v/>
      </c>
      <c r="E878" s="211" t="str">
        <f>IFERROR(__xludf.DUMMYFUNCTION("""COMPUTED_VALUE"""),"")</f>
        <v/>
      </c>
      <c r="F878" s="211" t="str">
        <f>IFERROR(__xludf.DUMMYFUNCTION("""COMPUTED_VALUE"""),"")</f>
        <v/>
      </c>
      <c r="G878" s="211"/>
      <c r="H878" s="211"/>
      <c r="I878" s="211" t="str">
        <f>IFERROR(__xludf.DUMMYFUNCTION("""COMPUTED_VALUE"""),"")</f>
        <v/>
      </c>
      <c r="J878" s="211"/>
    </row>
    <row r="879">
      <c r="A879" s="211"/>
      <c r="B879" s="211"/>
      <c r="C879" s="211"/>
      <c r="D879" s="211" t="str">
        <f>IFERROR(__xludf.DUMMYFUNCTION("""COMPUTED_VALUE"""),"")</f>
        <v/>
      </c>
      <c r="E879" s="211" t="str">
        <f>IFERROR(__xludf.DUMMYFUNCTION("""COMPUTED_VALUE"""),"")</f>
        <v/>
      </c>
      <c r="F879" s="211" t="str">
        <f>IFERROR(__xludf.DUMMYFUNCTION("""COMPUTED_VALUE"""),"")</f>
        <v/>
      </c>
      <c r="G879" s="211"/>
      <c r="H879" s="211"/>
      <c r="I879" s="211" t="str">
        <f>IFERROR(__xludf.DUMMYFUNCTION("""COMPUTED_VALUE"""),"")</f>
        <v/>
      </c>
      <c r="J879" s="211"/>
    </row>
    <row r="880">
      <c r="A880" s="211"/>
      <c r="B880" s="211"/>
      <c r="C880" s="211"/>
      <c r="D880" s="211" t="str">
        <f>IFERROR(__xludf.DUMMYFUNCTION("""COMPUTED_VALUE"""),"")</f>
        <v/>
      </c>
      <c r="E880" s="211" t="str">
        <f>IFERROR(__xludf.DUMMYFUNCTION("""COMPUTED_VALUE"""),"")</f>
        <v/>
      </c>
      <c r="F880" s="211" t="str">
        <f>IFERROR(__xludf.DUMMYFUNCTION("""COMPUTED_VALUE"""),"")</f>
        <v/>
      </c>
      <c r="G880" s="211"/>
      <c r="H880" s="211"/>
      <c r="I880" s="211" t="str">
        <f>IFERROR(__xludf.DUMMYFUNCTION("""COMPUTED_VALUE"""),"")</f>
        <v/>
      </c>
      <c r="J880" s="211"/>
    </row>
    <row r="881">
      <c r="A881" s="211"/>
      <c r="B881" s="211"/>
      <c r="C881" s="211"/>
      <c r="D881" s="211" t="str">
        <f>IFERROR(__xludf.DUMMYFUNCTION("""COMPUTED_VALUE"""),"")</f>
        <v/>
      </c>
      <c r="E881" s="211" t="str">
        <f>IFERROR(__xludf.DUMMYFUNCTION("""COMPUTED_VALUE"""),"")</f>
        <v/>
      </c>
      <c r="F881" s="211" t="str">
        <f>IFERROR(__xludf.DUMMYFUNCTION("""COMPUTED_VALUE"""),"")</f>
        <v/>
      </c>
      <c r="G881" s="211"/>
      <c r="H881" s="211"/>
      <c r="I881" s="211" t="str">
        <f>IFERROR(__xludf.DUMMYFUNCTION("""COMPUTED_VALUE"""),"")</f>
        <v/>
      </c>
      <c r="J881" s="211"/>
    </row>
    <row r="882">
      <c r="A882" s="211"/>
      <c r="B882" s="211"/>
      <c r="C882" s="211"/>
      <c r="D882" s="211" t="str">
        <f>IFERROR(__xludf.DUMMYFUNCTION("""COMPUTED_VALUE"""),"")</f>
        <v/>
      </c>
      <c r="E882" s="211" t="str">
        <f>IFERROR(__xludf.DUMMYFUNCTION("""COMPUTED_VALUE"""),"")</f>
        <v/>
      </c>
      <c r="F882" s="211" t="str">
        <f>IFERROR(__xludf.DUMMYFUNCTION("""COMPUTED_VALUE"""),"")</f>
        <v/>
      </c>
      <c r="G882" s="211"/>
      <c r="H882" s="211"/>
      <c r="I882" s="211" t="str">
        <f>IFERROR(__xludf.DUMMYFUNCTION("""COMPUTED_VALUE"""),"")</f>
        <v/>
      </c>
      <c r="J882" s="211"/>
    </row>
    <row r="883">
      <c r="A883" s="211"/>
      <c r="B883" s="211"/>
      <c r="C883" s="211"/>
      <c r="D883" s="211" t="str">
        <f>IFERROR(__xludf.DUMMYFUNCTION("""COMPUTED_VALUE"""),"")</f>
        <v/>
      </c>
      <c r="E883" s="211" t="str">
        <f>IFERROR(__xludf.DUMMYFUNCTION("""COMPUTED_VALUE"""),"")</f>
        <v/>
      </c>
      <c r="F883" s="211" t="str">
        <f>IFERROR(__xludf.DUMMYFUNCTION("""COMPUTED_VALUE"""),"")</f>
        <v/>
      </c>
      <c r="G883" s="211"/>
      <c r="H883" s="211"/>
      <c r="I883" s="211" t="str">
        <f>IFERROR(__xludf.DUMMYFUNCTION("""COMPUTED_VALUE"""),"")</f>
        <v/>
      </c>
      <c r="J883" s="211"/>
    </row>
    <row r="884">
      <c r="A884" s="211"/>
      <c r="B884" s="211"/>
      <c r="C884" s="211"/>
      <c r="D884" s="211" t="str">
        <f>IFERROR(__xludf.DUMMYFUNCTION("""COMPUTED_VALUE"""),"")</f>
        <v/>
      </c>
      <c r="E884" s="211" t="str">
        <f>IFERROR(__xludf.DUMMYFUNCTION("""COMPUTED_VALUE"""),"")</f>
        <v/>
      </c>
      <c r="F884" s="211" t="str">
        <f>IFERROR(__xludf.DUMMYFUNCTION("""COMPUTED_VALUE"""),"")</f>
        <v/>
      </c>
      <c r="G884" s="211"/>
      <c r="H884" s="211"/>
      <c r="I884" s="211" t="str">
        <f>IFERROR(__xludf.DUMMYFUNCTION("""COMPUTED_VALUE"""),"")</f>
        <v/>
      </c>
      <c r="J884" s="211"/>
    </row>
    <row r="885">
      <c r="A885" s="211"/>
      <c r="B885" s="211"/>
      <c r="C885" s="211"/>
      <c r="D885" s="211" t="str">
        <f>IFERROR(__xludf.DUMMYFUNCTION("""COMPUTED_VALUE"""),"")</f>
        <v/>
      </c>
      <c r="E885" s="211" t="str">
        <f>IFERROR(__xludf.DUMMYFUNCTION("""COMPUTED_VALUE"""),"")</f>
        <v/>
      </c>
      <c r="F885" s="211" t="str">
        <f>IFERROR(__xludf.DUMMYFUNCTION("""COMPUTED_VALUE"""),"")</f>
        <v/>
      </c>
      <c r="G885" s="211"/>
      <c r="H885" s="211"/>
      <c r="I885" s="211" t="str">
        <f>IFERROR(__xludf.DUMMYFUNCTION("""COMPUTED_VALUE"""),"")</f>
        <v/>
      </c>
      <c r="J885" s="211"/>
    </row>
    <row r="886">
      <c r="A886" s="211"/>
      <c r="B886" s="211"/>
      <c r="C886" s="211"/>
      <c r="D886" s="211" t="str">
        <f>IFERROR(__xludf.DUMMYFUNCTION("""COMPUTED_VALUE"""),"")</f>
        <v/>
      </c>
      <c r="E886" s="211" t="str">
        <f>IFERROR(__xludf.DUMMYFUNCTION("""COMPUTED_VALUE"""),"")</f>
        <v/>
      </c>
      <c r="F886" s="211" t="str">
        <f>IFERROR(__xludf.DUMMYFUNCTION("""COMPUTED_VALUE"""),"")</f>
        <v/>
      </c>
      <c r="G886" s="211"/>
      <c r="H886" s="211"/>
      <c r="I886" s="211" t="str">
        <f>IFERROR(__xludf.DUMMYFUNCTION("""COMPUTED_VALUE"""),"")</f>
        <v/>
      </c>
      <c r="J886" s="211"/>
    </row>
    <row r="887">
      <c r="A887" s="211"/>
      <c r="B887" s="211"/>
      <c r="C887" s="211"/>
      <c r="D887" s="211" t="str">
        <f>IFERROR(__xludf.DUMMYFUNCTION("""COMPUTED_VALUE"""),"")</f>
        <v/>
      </c>
      <c r="E887" s="211" t="str">
        <f>IFERROR(__xludf.DUMMYFUNCTION("""COMPUTED_VALUE"""),"")</f>
        <v/>
      </c>
      <c r="F887" s="211" t="str">
        <f>IFERROR(__xludf.DUMMYFUNCTION("""COMPUTED_VALUE"""),"")</f>
        <v/>
      </c>
      <c r="G887" s="211"/>
      <c r="H887" s="211"/>
      <c r="I887" s="211" t="str">
        <f>IFERROR(__xludf.DUMMYFUNCTION("""COMPUTED_VALUE"""),"")</f>
        <v/>
      </c>
      <c r="J887" s="211"/>
    </row>
    <row r="888">
      <c r="A888" s="211"/>
      <c r="B888" s="211"/>
      <c r="C888" s="211"/>
      <c r="D888" s="211" t="str">
        <f>IFERROR(__xludf.DUMMYFUNCTION("""COMPUTED_VALUE"""),"")</f>
        <v/>
      </c>
      <c r="E888" s="211" t="str">
        <f>IFERROR(__xludf.DUMMYFUNCTION("""COMPUTED_VALUE"""),"")</f>
        <v/>
      </c>
      <c r="F888" s="211" t="str">
        <f>IFERROR(__xludf.DUMMYFUNCTION("""COMPUTED_VALUE"""),"")</f>
        <v/>
      </c>
      <c r="G888" s="211"/>
      <c r="H888" s="211"/>
      <c r="I888" s="211" t="str">
        <f>IFERROR(__xludf.DUMMYFUNCTION("""COMPUTED_VALUE"""),"")</f>
        <v/>
      </c>
      <c r="J888" s="211"/>
    </row>
    <row r="889">
      <c r="A889" s="211"/>
      <c r="B889" s="211"/>
      <c r="C889" s="211"/>
      <c r="D889" s="211" t="str">
        <f>IFERROR(__xludf.DUMMYFUNCTION("""COMPUTED_VALUE"""),"")</f>
        <v/>
      </c>
      <c r="E889" s="211" t="str">
        <f>IFERROR(__xludf.DUMMYFUNCTION("""COMPUTED_VALUE"""),"")</f>
        <v/>
      </c>
      <c r="F889" s="211" t="str">
        <f>IFERROR(__xludf.DUMMYFUNCTION("""COMPUTED_VALUE"""),"")</f>
        <v/>
      </c>
      <c r="G889" s="211"/>
      <c r="H889" s="211"/>
      <c r="I889" s="211" t="str">
        <f>IFERROR(__xludf.DUMMYFUNCTION("""COMPUTED_VALUE"""),"")</f>
        <v/>
      </c>
      <c r="J889" s="211"/>
    </row>
    <row r="890">
      <c r="A890" s="211"/>
      <c r="B890" s="211"/>
      <c r="C890" s="211"/>
      <c r="D890" s="211" t="str">
        <f>IFERROR(__xludf.DUMMYFUNCTION("""COMPUTED_VALUE"""),"")</f>
        <v/>
      </c>
      <c r="E890" s="211" t="str">
        <f>IFERROR(__xludf.DUMMYFUNCTION("""COMPUTED_VALUE"""),"")</f>
        <v/>
      </c>
      <c r="F890" s="211" t="str">
        <f>IFERROR(__xludf.DUMMYFUNCTION("""COMPUTED_VALUE"""),"")</f>
        <v/>
      </c>
      <c r="G890" s="211"/>
      <c r="H890" s="211"/>
      <c r="I890" s="211" t="str">
        <f>IFERROR(__xludf.DUMMYFUNCTION("""COMPUTED_VALUE"""),"")</f>
        <v/>
      </c>
      <c r="J890" s="211"/>
    </row>
    <row r="891">
      <c r="A891" s="211"/>
      <c r="B891" s="211"/>
      <c r="C891" s="211"/>
      <c r="D891" s="211" t="str">
        <f>IFERROR(__xludf.DUMMYFUNCTION("""COMPUTED_VALUE"""),"")</f>
        <v/>
      </c>
      <c r="E891" s="211" t="str">
        <f>IFERROR(__xludf.DUMMYFUNCTION("""COMPUTED_VALUE"""),"")</f>
        <v/>
      </c>
      <c r="F891" s="211" t="str">
        <f>IFERROR(__xludf.DUMMYFUNCTION("""COMPUTED_VALUE"""),"")</f>
        <v/>
      </c>
      <c r="G891" s="211"/>
      <c r="H891" s="211"/>
      <c r="I891" s="211" t="str">
        <f>IFERROR(__xludf.DUMMYFUNCTION("""COMPUTED_VALUE"""),"")</f>
        <v/>
      </c>
      <c r="J891" s="211"/>
    </row>
    <row r="892">
      <c r="A892" s="211"/>
      <c r="B892" s="211"/>
      <c r="C892" s="211"/>
      <c r="D892" s="211" t="str">
        <f>IFERROR(__xludf.DUMMYFUNCTION("""COMPUTED_VALUE"""),"")</f>
        <v/>
      </c>
      <c r="E892" s="211" t="str">
        <f>IFERROR(__xludf.DUMMYFUNCTION("""COMPUTED_VALUE"""),"")</f>
        <v/>
      </c>
      <c r="F892" s="211" t="str">
        <f>IFERROR(__xludf.DUMMYFUNCTION("""COMPUTED_VALUE"""),"")</f>
        <v/>
      </c>
      <c r="G892" s="211"/>
      <c r="H892" s="211"/>
      <c r="I892" s="211" t="str">
        <f>IFERROR(__xludf.DUMMYFUNCTION("""COMPUTED_VALUE"""),"")</f>
        <v/>
      </c>
      <c r="J892" s="211"/>
    </row>
    <row r="893">
      <c r="A893" s="211"/>
      <c r="B893" s="211"/>
      <c r="C893" s="211"/>
      <c r="D893" s="211" t="str">
        <f>IFERROR(__xludf.DUMMYFUNCTION("""COMPUTED_VALUE"""),"")</f>
        <v/>
      </c>
      <c r="E893" s="211" t="str">
        <f>IFERROR(__xludf.DUMMYFUNCTION("""COMPUTED_VALUE"""),"")</f>
        <v/>
      </c>
      <c r="F893" s="211" t="str">
        <f>IFERROR(__xludf.DUMMYFUNCTION("""COMPUTED_VALUE"""),"")</f>
        <v/>
      </c>
      <c r="G893" s="211"/>
      <c r="H893" s="211"/>
      <c r="I893" s="211" t="str">
        <f>IFERROR(__xludf.DUMMYFUNCTION("""COMPUTED_VALUE"""),"")</f>
        <v/>
      </c>
      <c r="J893" s="211"/>
    </row>
    <row r="894">
      <c r="A894" s="211"/>
      <c r="B894" s="211"/>
      <c r="C894" s="211"/>
      <c r="D894" s="211" t="str">
        <f>IFERROR(__xludf.DUMMYFUNCTION("""COMPUTED_VALUE"""),"")</f>
        <v/>
      </c>
      <c r="E894" s="211" t="str">
        <f>IFERROR(__xludf.DUMMYFUNCTION("""COMPUTED_VALUE"""),"")</f>
        <v/>
      </c>
      <c r="F894" s="211" t="str">
        <f>IFERROR(__xludf.DUMMYFUNCTION("""COMPUTED_VALUE"""),"")</f>
        <v/>
      </c>
      <c r="G894" s="211"/>
      <c r="H894" s="211"/>
      <c r="I894" s="211" t="str">
        <f>IFERROR(__xludf.DUMMYFUNCTION("""COMPUTED_VALUE"""),"")</f>
        <v/>
      </c>
      <c r="J894" s="211"/>
    </row>
    <row r="895">
      <c r="A895" s="211"/>
      <c r="B895" s="211"/>
      <c r="C895" s="211"/>
      <c r="D895" s="211" t="str">
        <f>IFERROR(__xludf.DUMMYFUNCTION("""COMPUTED_VALUE"""),"")</f>
        <v/>
      </c>
      <c r="E895" s="211" t="str">
        <f>IFERROR(__xludf.DUMMYFUNCTION("""COMPUTED_VALUE"""),"")</f>
        <v/>
      </c>
      <c r="F895" s="211" t="str">
        <f>IFERROR(__xludf.DUMMYFUNCTION("""COMPUTED_VALUE"""),"")</f>
        <v/>
      </c>
      <c r="G895" s="211"/>
      <c r="H895" s="211"/>
      <c r="I895" s="211" t="str">
        <f>IFERROR(__xludf.DUMMYFUNCTION("""COMPUTED_VALUE"""),"")</f>
        <v/>
      </c>
      <c r="J895" s="211"/>
    </row>
    <row r="896">
      <c r="A896" s="211"/>
      <c r="B896" s="211"/>
      <c r="C896" s="211"/>
      <c r="D896" s="211" t="str">
        <f>IFERROR(__xludf.DUMMYFUNCTION("""COMPUTED_VALUE"""),"")</f>
        <v/>
      </c>
      <c r="E896" s="211" t="str">
        <f>IFERROR(__xludf.DUMMYFUNCTION("""COMPUTED_VALUE"""),"")</f>
        <v/>
      </c>
      <c r="F896" s="211" t="str">
        <f>IFERROR(__xludf.DUMMYFUNCTION("""COMPUTED_VALUE"""),"")</f>
        <v/>
      </c>
      <c r="G896" s="211"/>
      <c r="H896" s="211"/>
      <c r="I896" s="211" t="str">
        <f>IFERROR(__xludf.DUMMYFUNCTION("""COMPUTED_VALUE"""),"")</f>
        <v/>
      </c>
      <c r="J896" s="211"/>
    </row>
    <row r="897">
      <c r="A897" s="211"/>
      <c r="B897" s="211"/>
      <c r="C897" s="211"/>
      <c r="D897" s="211" t="str">
        <f>IFERROR(__xludf.DUMMYFUNCTION("""COMPUTED_VALUE"""),"")</f>
        <v/>
      </c>
      <c r="E897" s="211" t="str">
        <f>IFERROR(__xludf.DUMMYFUNCTION("""COMPUTED_VALUE"""),"")</f>
        <v/>
      </c>
      <c r="F897" s="211" t="str">
        <f>IFERROR(__xludf.DUMMYFUNCTION("""COMPUTED_VALUE"""),"")</f>
        <v/>
      </c>
      <c r="G897" s="211"/>
      <c r="H897" s="211"/>
      <c r="I897" s="211" t="str">
        <f>IFERROR(__xludf.DUMMYFUNCTION("""COMPUTED_VALUE"""),"")</f>
        <v/>
      </c>
      <c r="J897" s="211"/>
    </row>
    <row r="898">
      <c r="A898" s="211"/>
      <c r="B898" s="211"/>
      <c r="C898" s="211"/>
      <c r="D898" s="211" t="str">
        <f>IFERROR(__xludf.DUMMYFUNCTION("""COMPUTED_VALUE"""),"")</f>
        <v/>
      </c>
      <c r="E898" s="211" t="str">
        <f>IFERROR(__xludf.DUMMYFUNCTION("""COMPUTED_VALUE"""),"")</f>
        <v/>
      </c>
      <c r="F898" s="211" t="str">
        <f>IFERROR(__xludf.DUMMYFUNCTION("""COMPUTED_VALUE"""),"")</f>
        <v/>
      </c>
      <c r="G898" s="211"/>
      <c r="H898" s="211"/>
      <c r="I898" s="211" t="str">
        <f>IFERROR(__xludf.DUMMYFUNCTION("""COMPUTED_VALUE"""),"")</f>
        <v/>
      </c>
      <c r="J898" s="211"/>
    </row>
    <row r="899">
      <c r="A899" s="211"/>
      <c r="B899" s="211"/>
      <c r="C899" s="211"/>
      <c r="D899" s="211" t="str">
        <f>IFERROR(__xludf.DUMMYFUNCTION("""COMPUTED_VALUE"""),"")</f>
        <v/>
      </c>
      <c r="E899" s="211" t="str">
        <f>IFERROR(__xludf.DUMMYFUNCTION("""COMPUTED_VALUE"""),"")</f>
        <v/>
      </c>
      <c r="F899" s="211" t="str">
        <f>IFERROR(__xludf.DUMMYFUNCTION("""COMPUTED_VALUE"""),"")</f>
        <v/>
      </c>
      <c r="G899" s="211"/>
      <c r="H899" s="211"/>
      <c r="I899" s="211" t="str">
        <f>IFERROR(__xludf.DUMMYFUNCTION("""COMPUTED_VALUE"""),"")</f>
        <v/>
      </c>
      <c r="J899" s="211"/>
    </row>
    <row r="900">
      <c r="A900" s="211"/>
      <c r="B900" s="211"/>
      <c r="C900" s="211"/>
      <c r="D900" s="211" t="str">
        <f>IFERROR(__xludf.DUMMYFUNCTION("""COMPUTED_VALUE"""),"")</f>
        <v/>
      </c>
      <c r="E900" s="211" t="str">
        <f>IFERROR(__xludf.DUMMYFUNCTION("""COMPUTED_VALUE"""),"")</f>
        <v/>
      </c>
      <c r="F900" s="211" t="str">
        <f>IFERROR(__xludf.DUMMYFUNCTION("""COMPUTED_VALUE"""),"")</f>
        <v/>
      </c>
      <c r="G900" s="211"/>
      <c r="H900" s="211"/>
      <c r="I900" s="211" t="str">
        <f>IFERROR(__xludf.DUMMYFUNCTION("""COMPUTED_VALUE"""),"")</f>
        <v/>
      </c>
      <c r="J900" s="211"/>
    </row>
    <row r="901">
      <c r="A901" s="211"/>
      <c r="B901" s="211"/>
      <c r="C901" s="211"/>
      <c r="D901" s="211" t="str">
        <f>IFERROR(__xludf.DUMMYFUNCTION("""COMPUTED_VALUE"""),"")</f>
        <v/>
      </c>
      <c r="E901" s="211" t="str">
        <f>IFERROR(__xludf.DUMMYFUNCTION("""COMPUTED_VALUE"""),"")</f>
        <v/>
      </c>
      <c r="F901" s="211" t="str">
        <f>IFERROR(__xludf.DUMMYFUNCTION("""COMPUTED_VALUE"""),"")</f>
        <v/>
      </c>
      <c r="G901" s="211"/>
      <c r="H901" s="211"/>
      <c r="I901" s="211" t="str">
        <f>IFERROR(__xludf.DUMMYFUNCTION("""COMPUTED_VALUE"""),"")</f>
        <v/>
      </c>
      <c r="J901" s="211"/>
    </row>
    <row r="902">
      <c r="A902" s="211"/>
      <c r="B902" s="211"/>
      <c r="C902" s="211"/>
      <c r="D902" s="211" t="str">
        <f>IFERROR(__xludf.DUMMYFUNCTION("""COMPUTED_VALUE"""),"")</f>
        <v/>
      </c>
      <c r="E902" s="211" t="str">
        <f>IFERROR(__xludf.DUMMYFUNCTION("""COMPUTED_VALUE"""),"")</f>
        <v/>
      </c>
      <c r="F902" s="211" t="str">
        <f>IFERROR(__xludf.DUMMYFUNCTION("""COMPUTED_VALUE"""),"")</f>
        <v/>
      </c>
      <c r="G902" s="211"/>
      <c r="H902" s="211"/>
      <c r="I902" s="211" t="str">
        <f>IFERROR(__xludf.DUMMYFUNCTION("""COMPUTED_VALUE"""),"")</f>
        <v/>
      </c>
      <c r="J902" s="211"/>
    </row>
    <row r="903">
      <c r="A903" s="211"/>
      <c r="B903" s="211"/>
      <c r="C903" s="211"/>
      <c r="D903" s="211" t="str">
        <f>IFERROR(__xludf.DUMMYFUNCTION("""COMPUTED_VALUE"""),"")</f>
        <v/>
      </c>
      <c r="E903" s="211" t="str">
        <f>IFERROR(__xludf.DUMMYFUNCTION("""COMPUTED_VALUE"""),"")</f>
        <v/>
      </c>
      <c r="F903" s="211" t="str">
        <f>IFERROR(__xludf.DUMMYFUNCTION("""COMPUTED_VALUE"""),"")</f>
        <v/>
      </c>
      <c r="G903" s="211"/>
      <c r="H903" s="211"/>
      <c r="I903" s="211" t="str">
        <f>IFERROR(__xludf.DUMMYFUNCTION("""COMPUTED_VALUE"""),"")</f>
        <v/>
      </c>
      <c r="J903" s="211"/>
    </row>
    <row r="904">
      <c r="A904" s="211"/>
      <c r="B904" s="211"/>
      <c r="C904" s="211"/>
      <c r="D904" s="211" t="str">
        <f>IFERROR(__xludf.DUMMYFUNCTION("""COMPUTED_VALUE"""),"")</f>
        <v/>
      </c>
      <c r="E904" s="211" t="str">
        <f>IFERROR(__xludf.DUMMYFUNCTION("""COMPUTED_VALUE"""),"")</f>
        <v/>
      </c>
      <c r="F904" s="211" t="str">
        <f>IFERROR(__xludf.DUMMYFUNCTION("""COMPUTED_VALUE"""),"")</f>
        <v/>
      </c>
      <c r="G904" s="211"/>
      <c r="H904" s="211"/>
      <c r="I904" s="211" t="str">
        <f>IFERROR(__xludf.DUMMYFUNCTION("""COMPUTED_VALUE"""),"")</f>
        <v/>
      </c>
      <c r="J904" s="211"/>
    </row>
    <row r="905">
      <c r="A905" s="211"/>
      <c r="B905" s="211"/>
      <c r="C905" s="211"/>
      <c r="D905" s="211" t="str">
        <f>IFERROR(__xludf.DUMMYFUNCTION("""COMPUTED_VALUE"""),"")</f>
        <v/>
      </c>
      <c r="E905" s="211" t="str">
        <f>IFERROR(__xludf.DUMMYFUNCTION("""COMPUTED_VALUE"""),"")</f>
        <v/>
      </c>
      <c r="F905" s="211" t="str">
        <f>IFERROR(__xludf.DUMMYFUNCTION("""COMPUTED_VALUE"""),"")</f>
        <v/>
      </c>
      <c r="G905" s="211"/>
      <c r="H905" s="211"/>
      <c r="I905" s="211" t="str">
        <f>IFERROR(__xludf.DUMMYFUNCTION("""COMPUTED_VALUE"""),"")</f>
        <v/>
      </c>
      <c r="J905" s="211"/>
    </row>
    <row r="906">
      <c r="A906" s="211"/>
      <c r="B906" s="211"/>
      <c r="C906" s="211"/>
      <c r="D906" s="211" t="str">
        <f>IFERROR(__xludf.DUMMYFUNCTION("""COMPUTED_VALUE"""),"")</f>
        <v/>
      </c>
      <c r="E906" s="211" t="str">
        <f>IFERROR(__xludf.DUMMYFUNCTION("""COMPUTED_VALUE"""),"")</f>
        <v/>
      </c>
      <c r="F906" s="211" t="str">
        <f>IFERROR(__xludf.DUMMYFUNCTION("""COMPUTED_VALUE"""),"")</f>
        <v/>
      </c>
      <c r="G906" s="211"/>
      <c r="H906" s="211"/>
      <c r="I906" s="211" t="str">
        <f>IFERROR(__xludf.DUMMYFUNCTION("""COMPUTED_VALUE"""),"")</f>
        <v/>
      </c>
      <c r="J906" s="211"/>
    </row>
    <row r="907">
      <c r="A907" s="211"/>
      <c r="B907" s="211"/>
      <c r="C907" s="211"/>
      <c r="D907" s="211" t="str">
        <f>IFERROR(__xludf.DUMMYFUNCTION("""COMPUTED_VALUE"""),"")</f>
        <v/>
      </c>
      <c r="E907" s="211" t="str">
        <f>IFERROR(__xludf.DUMMYFUNCTION("""COMPUTED_VALUE"""),"")</f>
        <v/>
      </c>
      <c r="F907" s="211" t="str">
        <f>IFERROR(__xludf.DUMMYFUNCTION("""COMPUTED_VALUE"""),"")</f>
        <v/>
      </c>
      <c r="G907" s="211"/>
      <c r="H907" s="211"/>
      <c r="I907" s="211" t="str">
        <f>IFERROR(__xludf.DUMMYFUNCTION("""COMPUTED_VALUE"""),"")</f>
        <v/>
      </c>
      <c r="J907" s="211"/>
    </row>
    <row r="908">
      <c r="A908" s="211"/>
      <c r="B908" s="211"/>
      <c r="C908" s="211"/>
      <c r="D908" s="211" t="str">
        <f>IFERROR(__xludf.DUMMYFUNCTION("""COMPUTED_VALUE"""),"")</f>
        <v/>
      </c>
      <c r="E908" s="211" t="str">
        <f>IFERROR(__xludf.DUMMYFUNCTION("""COMPUTED_VALUE"""),"")</f>
        <v/>
      </c>
      <c r="F908" s="211" t="str">
        <f>IFERROR(__xludf.DUMMYFUNCTION("""COMPUTED_VALUE"""),"")</f>
        <v/>
      </c>
      <c r="G908" s="211"/>
      <c r="H908" s="211"/>
      <c r="I908" s="211" t="str">
        <f>IFERROR(__xludf.DUMMYFUNCTION("""COMPUTED_VALUE"""),"")</f>
        <v/>
      </c>
      <c r="J908" s="211"/>
    </row>
    <row r="909">
      <c r="A909" s="211"/>
      <c r="B909" s="211"/>
      <c r="C909" s="211"/>
      <c r="D909" s="211" t="str">
        <f>IFERROR(__xludf.DUMMYFUNCTION("""COMPUTED_VALUE"""),"")</f>
        <v/>
      </c>
      <c r="E909" s="211" t="str">
        <f>IFERROR(__xludf.DUMMYFUNCTION("""COMPUTED_VALUE"""),"")</f>
        <v/>
      </c>
      <c r="F909" s="211" t="str">
        <f>IFERROR(__xludf.DUMMYFUNCTION("""COMPUTED_VALUE"""),"")</f>
        <v/>
      </c>
      <c r="G909" s="211"/>
      <c r="H909" s="211"/>
      <c r="I909" s="211" t="str">
        <f>IFERROR(__xludf.DUMMYFUNCTION("""COMPUTED_VALUE"""),"")</f>
        <v/>
      </c>
      <c r="J909" s="211"/>
    </row>
    <row r="910">
      <c r="A910" s="211"/>
      <c r="B910" s="211"/>
      <c r="C910" s="211"/>
      <c r="D910" s="211" t="str">
        <f>IFERROR(__xludf.DUMMYFUNCTION("""COMPUTED_VALUE"""),"")</f>
        <v/>
      </c>
      <c r="E910" s="211" t="str">
        <f>IFERROR(__xludf.DUMMYFUNCTION("""COMPUTED_VALUE"""),"")</f>
        <v/>
      </c>
      <c r="F910" s="211" t="str">
        <f>IFERROR(__xludf.DUMMYFUNCTION("""COMPUTED_VALUE"""),"")</f>
        <v/>
      </c>
      <c r="G910" s="211"/>
      <c r="H910" s="211"/>
      <c r="I910" s="211" t="str">
        <f>IFERROR(__xludf.DUMMYFUNCTION("""COMPUTED_VALUE"""),"")</f>
        <v/>
      </c>
      <c r="J910" s="211"/>
    </row>
    <row r="911">
      <c r="A911" s="211"/>
      <c r="B911" s="211"/>
      <c r="C911" s="211"/>
      <c r="D911" s="211" t="str">
        <f>IFERROR(__xludf.DUMMYFUNCTION("""COMPUTED_VALUE"""),"")</f>
        <v/>
      </c>
      <c r="E911" s="211" t="str">
        <f>IFERROR(__xludf.DUMMYFUNCTION("""COMPUTED_VALUE"""),"")</f>
        <v/>
      </c>
      <c r="F911" s="211" t="str">
        <f>IFERROR(__xludf.DUMMYFUNCTION("""COMPUTED_VALUE"""),"")</f>
        <v/>
      </c>
      <c r="G911" s="211"/>
      <c r="H911" s="211"/>
      <c r="I911" s="211" t="str">
        <f>IFERROR(__xludf.DUMMYFUNCTION("""COMPUTED_VALUE"""),"")</f>
        <v/>
      </c>
      <c r="J911" s="211"/>
    </row>
    <row r="912">
      <c r="A912" s="211"/>
      <c r="B912" s="211"/>
      <c r="C912" s="211"/>
      <c r="D912" s="211" t="str">
        <f>IFERROR(__xludf.DUMMYFUNCTION("""COMPUTED_VALUE"""),"")</f>
        <v/>
      </c>
      <c r="E912" s="211" t="str">
        <f>IFERROR(__xludf.DUMMYFUNCTION("""COMPUTED_VALUE"""),"")</f>
        <v/>
      </c>
      <c r="F912" s="211" t="str">
        <f>IFERROR(__xludf.DUMMYFUNCTION("""COMPUTED_VALUE"""),"")</f>
        <v/>
      </c>
      <c r="G912" s="211"/>
      <c r="H912" s="211"/>
      <c r="I912" s="211" t="str">
        <f>IFERROR(__xludf.DUMMYFUNCTION("""COMPUTED_VALUE"""),"")</f>
        <v/>
      </c>
      <c r="J912" s="211"/>
    </row>
    <row r="913">
      <c r="A913" s="211"/>
      <c r="B913" s="211"/>
      <c r="C913" s="211"/>
      <c r="D913" s="211" t="str">
        <f>IFERROR(__xludf.DUMMYFUNCTION("""COMPUTED_VALUE"""),"")</f>
        <v/>
      </c>
      <c r="E913" s="211" t="str">
        <f>IFERROR(__xludf.DUMMYFUNCTION("""COMPUTED_VALUE"""),"")</f>
        <v/>
      </c>
      <c r="F913" s="211" t="str">
        <f>IFERROR(__xludf.DUMMYFUNCTION("""COMPUTED_VALUE"""),"")</f>
        <v/>
      </c>
      <c r="G913" s="211"/>
      <c r="H913" s="211"/>
      <c r="I913" s="211" t="str">
        <f>IFERROR(__xludf.DUMMYFUNCTION("""COMPUTED_VALUE"""),"")</f>
        <v/>
      </c>
      <c r="J913" s="211"/>
    </row>
    <row r="914">
      <c r="A914" s="211"/>
      <c r="B914" s="211"/>
      <c r="C914" s="211"/>
      <c r="D914" s="211" t="str">
        <f>IFERROR(__xludf.DUMMYFUNCTION("""COMPUTED_VALUE"""),"")</f>
        <v/>
      </c>
      <c r="E914" s="211" t="str">
        <f>IFERROR(__xludf.DUMMYFUNCTION("""COMPUTED_VALUE"""),"")</f>
        <v/>
      </c>
      <c r="F914" s="211" t="str">
        <f>IFERROR(__xludf.DUMMYFUNCTION("""COMPUTED_VALUE"""),"")</f>
        <v/>
      </c>
      <c r="G914" s="211"/>
      <c r="H914" s="211"/>
      <c r="I914" s="211" t="str">
        <f>IFERROR(__xludf.DUMMYFUNCTION("""COMPUTED_VALUE"""),"")</f>
        <v/>
      </c>
      <c r="J914" s="211"/>
    </row>
    <row r="915">
      <c r="A915" s="211"/>
      <c r="B915" s="211"/>
      <c r="C915" s="211"/>
      <c r="D915" s="211" t="str">
        <f>IFERROR(__xludf.DUMMYFUNCTION("""COMPUTED_VALUE"""),"")</f>
        <v/>
      </c>
      <c r="E915" s="211" t="str">
        <f>IFERROR(__xludf.DUMMYFUNCTION("""COMPUTED_VALUE"""),"")</f>
        <v/>
      </c>
      <c r="F915" s="211" t="str">
        <f>IFERROR(__xludf.DUMMYFUNCTION("""COMPUTED_VALUE"""),"")</f>
        <v/>
      </c>
      <c r="G915" s="211"/>
      <c r="H915" s="211"/>
      <c r="I915" s="211" t="str">
        <f>IFERROR(__xludf.DUMMYFUNCTION("""COMPUTED_VALUE"""),"")</f>
        <v/>
      </c>
      <c r="J915" s="211"/>
    </row>
    <row r="916">
      <c r="A916" s="211"/>
      <c r="B916" s="211"/>
      <c r="C916" s="211"/>
      <c r="D916" s="211" t="str">
        <f>IFERROR(__xludf.DUMMYFUNCTION("""COMPUTED_VALUE"""),"")</f>
        <v/>
      </c>
      <c r="E916" s="211" t="str">
        <f>IFERROR(__xludf.DUMMYFUNCTION("""COMPUTED_VALUE"""),"")</f>
        <v/>
      </c>
      <c r="F916" s="211" t="str">
        <f>IFERROR(__xludf.DUMMYFUNCTION("""COMPUTED_VALUE"""),"")</f>
        <v/>
      </c>
      <c r="G916" s="211"/>
      <c r="H916" s="211"/>
      <c r="I916" s="211" t="str">
        <f>IFERROR(__xludf.DUMMYFUNCTION("""COMPUTED_VALUE"""),"")</f>
        <v/>
      </c>
      <c r="J916" s="211"/>
    </row>
    <row r="917">
      <c r="A917" s="211"/>
      <c r="B917" s="211"/>
      <c r="C917" s="211"/>
      <c r="D917" s="211" t="str">
        <f>IFERROR(__xludf.DUMMYFUNCTION("""COMPUTED_VALUE"""),"")</f>
        <v/>
      </c>
      <c r="E917" s="211" t="str">
        <f>IFERROR(__xludf.DUMMYFUNCTION("""COMPUTED_VALUE"""),"")</f>
        <v/>
      </c>
      <c r="F917" s="211" t="str">
        <f>IFERROR(__xludf.DUMMYFUNCTION("""COMPUTED_VALUE"""),"")</f>
        <v/>
      </c>
      <c r="G917" s="211"/>
      <c r="H917" s="211"/>
      <c r="I917" s="211" t="str">
        <f>IFERROR(__xludf.DUMMYFUNCTION("""COMPUTED_VALUE"""),"")</f>
        <v/>
      </c>
      <c r="J917" s="211"/>
    </row>
    <row r="918">
      <c r="A918" s="211"/>
      <c r="B918" s="211"/>
      <c r="C918" s="211"/>
      <c r="D918" s="211" t="str">
        <f>IFERROR(__xludf.DUMMYFUNCTION("""COMPUTED_VALUE"""),"")</f>
        <v/>
      </c>
      <c r="E918" s="211" t="str">
        <f>IFERROR(__xludf.DUMMYFUNCTION("""COMPUTED_VALUE"""),"")</f>
        <v/>
      </c>
      <c r="F918" s="211" t="str">
        <f>IFERROR(__xludf.DUMMYFUNCTION("""COMPUTED_VALUE"""),"")</f>
        <v/>
      </c>
      <c r="G918" s="211"/>
      <c r="H918" s="211"/>
      <c r="I918" s="211" t="str">
        <f>IFERROR(__xludf.DUMMYFUNCTION("""COMPUTED_VALUE"""),"")</f>
        <v/>
      </c>
      <c r="J918" s="211"/>
    </row>
    <row r="919">
      <c r="A919" s="211"/>
      <c r="B919" s="211"/>
      <c r="C919" s="211"/>
      <c r="D919" s="211" t="str">
        <f>IFERROR(__xludf.DUMMYFUNCTION("""COMPUTED_VALUE"""),"")</f>
        <v/>
      </c>
      <c r="E919" s="211" t="str">
        <f>IFERROR(__xludf.DUMMYFUNCTION("""COMPUTED_VALUE"""),"")</f>
        <v/>
      </c>
      <c r="F919" s="211" t="str">
        <f>IFERROR(__xludf.DUMMYFUNCTION("""COMPUTED_VALUE"""),"")</f>
        <v/>
      </c>
      <c r="G919" s="211"/>
      <c r="H919" s="211"/>
      <c r="I919" s="211" t="str">
        <f>IFERROR(__xludf.DUMMYFUNCTION("""COMPUTED_VALUE"""),"")</f>
        <v/>
      </c>
      <c r="J919" s="211"/>
    </row>
    <row r="920">
      <c r="A920" s="211"/>
      <c r="B920" s="211"/>
      <c r="C920" s="211"/>
      <c r="D920" s="211" t="str">
        <f>IFERROR(__xludf.DUMMYFUNCTION("""COMPUTED_VALUE"""),"")</f>
        <v/>
      </c>
      <c r="E920" s="211" t="str">
        <f>IFERROR(__xludf.DUMMYFUNCTION("""COMPUTED_VALUE"""),"")</f>
        <v/>
      </c>
      <c r="F920" s="211" t="str">
        <f>IFERROR(__xludf.DUMMYFUNCTION("""COMPUTED_VALUE"""),"")</f>
        <v/>
      </c>
      <c r="G920" s="211"/>
      <c r="H920" s="211"/>
      <c r="I920" s="211" t="str">
        <f>IFERROR(__xludf.DUMMYFUNCTION("""COMPUTED_VALUE"""),"")</f>
        <v/>
      </c>
      <c r="J920" s="211"/>
    </row>
    <row r="921">
      <c r="A921" s="211"/>
      <c r="B921" s="211"/>
      <c r="C921" s="211"/>
      <c r="D921" s="211" t="str">
        <f>IFERROR(__xludf.DUMMYFUNCTION("""COMPUTED_VALUE"""),"")</f>
        <v/>
      </c>
      <c r="E921" s="211" t="str">
        <f>IFERROR(__xludf.DUMMYFUNCTION("""COMPUTED_VALUE"""),"")</f>
        <v/>
      </c>
      <c r="F921" s="211" t="str">
        <f>IFERROR(__xludf.DUMMYFUNCTION("""COMPUTED_VALUE"""),"")</f>
        <v/>
      </c>
      <c r="G921" s="211"/>
      <c r="H921" s="211"/>
      <c r="I921" s="211" t="str">
        <f>IFERROR(__xludf.DUMMYFUNCTION("""COMPUTED_VALUE"""),"")</f>
        <v/>
      </c>
      <c r="J921" s="211"/>
    </row>
    <row r="922">
      <c r="A922" s="211"/>
      <c r="B922" s="211"/>
      <c r="C922" s="211"/>
      <c r="D922" s="211" t="str">
        <f>IFERROR(__xludf.DUMMYFUNCTION("""COMPUTED_VALUE"""),"")</f>
        <v/>
      </c>
      <c r="E922" s="211" t="str">
        <f>IFERROR(__xludf.DUMMYFUNCTION("""COMPUTED_VALUE"""),"")</f>
        <v/>
      </c>
      <c r="F922" s="211" t="str">
        <f>IFERROR(__xludf.DUMMYFUNCTION("""COMPUTED_VALUE"""),"")</f>
        <v/>
      </c>
      <c r="G922" s="211"/>
      <c r="H922" s="211"/>
      <c r="I922" s="211" t="str">
        <f>IFERROR(__xludf.DUMMYFUNCTION("""COMPUTED_VALUE"""),"")</f>
        <v/>
      </c>
      <c r="J922" s="211"/>
    </row>
    <row r="923">
      <c r="A923" s="211"/>
      <c r="B923" s="211"/>
      <c r="C923" s="211"/>
      <c r="D923" s="211" t="str">
        <f>IFERROR(__xludf.DUMMYFUNCTION("""COMPUTED_VALUE"""),"")</f>
        <v/>
      </c>
      <c r="E923" s="211" t="str">
        <f>IFERROR(__xludf.DUMMYFUNCTION("""COMPUTED_VALUE"""),"")</f>
        <v/>
      </c>
      <c r="F923" s="211" t="str">
        <f>IFERROR(__xludf.DUMMYFUNCTION("""COMPUTED_VALUE"""),"")</f>
        <v/>
      </c>
      <c r="G923" s="211"/>
      <c r="H923" s="211"/>
      <c r="I923" s="211" t="str">
        <f>IFERROR(__xludf.DUMMYFUNCTION("""COMPUTED_VALUE"""),"")</f>
        <v/>
      </c>
      <c r="J923" s="211"/>
    </row>
    <row r="924">
      <c r="A924" s="211"/>
      <c r="B924" s="211"/>
      <c r="C924" s="211"/>
      <c r="D924" s="211" t="str">
        <f>IFERROR(__xludf.DUMMYFUNCTION("""COMPUTED_VALUE"""),"")</f>
        <v/>
      </c>
      <c r="E924" s="211" t="str">
        <f>IFERROR(__xludf.DUMMYFUNCTION("""COMPUTED_VALUE"""),"")</f>
        <v/>
      </c>
      <c r="F924" s="211" t="str">
        <f>IFERROR(__xludf.DUMMYFUNCTION("""COMPUTED_VALUE"""),"")</f>
        <v/>
      </c>
      <c r="G924" s="211"/>
      <c r="H924" s="211"/>
      <c r="I924" s="211" t="str">
        <f>IFERROR(__xludf.DUMMYFUNCTION("""COMPUTED_VALUE"""),"")</f>
        <v/>
      </c>
      <c r="J924" s="211"/>
    </row>
    <row r="925">
      <c r="A925" s="211"/>
      <c r="B925" s="211"/>
      <c r="C925" s="211"/>
      <c r="D925" s="211" t="str">
        <f>IFERROR(__xludf.DUMMYFUNCTION("""COMPUTED_VALUE"""),"")</f>
        <v/>
      </c>
      <c r="E925" s="211" t="str">
        <f>IFERROR(__xludf.DUMMYFUNCTION("""COMPUTED_VALUE"""),"")</f>
        <v/>
      </c>
      <c r="F925" s="211" t="str">
        <f>IFERROR(__xludf.DUMMYFUNCTION("""COMPUTED_VALUE"""),"")</f>
        <v/>
      </c>
      <c r="G925" s="211"/>
      <c r="H925" s="211"/>
      <c r="I925" s="211" t="str">
        <f>IFERROR(__xludf.DUMMYFUNCTION("""COMPUTED_VALUE"""),"")</f>
        <v/>
      </c>
      <c r="J925" s="211"/>
    </row>
    <row r="926">
      <c r="A926" s="211"/>
      <c r="B926" s="211"/>
      <c r="C926" s="211"/>
      <c r="D926" s="211" t="str">
        <f>IFERROR(__xludf.DUMMYFUNCTION("""COMPUTED_VALUE"""),"")</f>
        <v/>
      </c>
      <c r="E926" s="211" t="str">
        <f>IFERROR(__xludf.DUMMYFUNCTION("""COMPUTED_VALUE"""),"")</f>
        <v/>
      </c>
      <c r="F926" s="211" t="str">
        <f>IFERROR(__xludf.DUMMYFUNCTION("""COMPUTED_VALUE"""),"")</f>
        <v/>
      </c>
      <c r="G926" s="211"/>
      <c r="H926" s="211"/>
      <c r="I926" s="211" t="str">
        <f>IFERROR(__xludf.DUMMYFUNCTION("""COMPUTED_VALUE"""),"")</f>
        <v/>
      </c>
      <c r="J926" s="211"/>
    </row>
    <row r="927">
      <c r="A927" s="211"/>
      <c r="B927" s="211"/>
      <c r="C927" s="211"/>
      <c r="D927" s="211" t="str">
        <f>IFERROR(__xludf.DUMMYFUNCTION("""COMPUTED_VALUE"""),"")</f>
        <v/>
      </c>
      <c r="E927" s="211" t="str">
        <f>IFERROR(__xludf.DUMMYFUNCTION("""COMPUTED_VALUE"""),"")</f>
        <v/>
      </c>
      <c r="F927" s="211" t="str">
        <f>IFERROR(__xludf.DUMMYFUNCTION("""COMPUTED_VALUE"""),"")</f>
        <v/>
      </c>
      <c r="G927" s="211"/>
      <c r="H927" s="211"/>
      <c r="I927" s="211" t="str">
        <f>IFERROR(__xludf.DUMMYFUNCTION("""COMPUTED_VALUE"""),"")</f>
        <v/>
      </c>
      <c r="J927" s="211"/>
    </row>
    <row r="928">
      <c r="A928" s="211"/>
      <c r="B928" s="211"/>
      <c r="C928" s="211"/>
      <c r="D928" s="211" t="str">
        <f>IFERROR(__xludf.DUMMYFUNCTION("""COMPUTED_VALUE"""),"")</f>
        <v/>
      </c>
      <c r="E928" s="211" t="str">
        <f>IFERROR(__xludf.DUMMYFUNCTION("""COMPUTED_VALUE"""),"")</f>
        <v/>
      </c>
      <c r="F928" s="211" t="str">
        <f>IFERROR(__xludf.DUMMYFUNCTION("""COMPUTED_VALUE"""),"")</f>
        <v/>
      </c>
      <c r="G928" s="211"/>
      <c r="H928" s="211"/>
      <c r="I928" s="211" t="str">
        <f>IFERROR(__xludf.DUMMYFUNCTION("""COMPUTED_VALUE"""),"")</f>
        <v/>
      </c>
      <c r="J928" s="211"/>
    </row>
    <row r="929">
      <c r="A929" s="211"/>
      <c r="B929" s="211"/>
      <c r="C929" s="211"/>
      <c r="D929" s="211" t="str">
        <f>IFERROR(__xludf.DUMMYFUNCTION("""COMPUTED_VALUE"""),"")</f>
        <v/>
      </c>
      <c r="E929" s="211" t="str">
        <f>IFERROR(__xludf.DUMMYFUNCTION("""COMPUTED_VALUE"""),"")</f>
        <v/>
      </c>
      <c r="F929" s="211" t="str">
        <f>IFERROR(__xludf.DUMMYFUNCTION("""COMPUTED_VALUE"""),"")</f>
        <v/>
      </c>
      <c r="G929" s="211"/>
      <c r="H929" s="211"/>
      <c r="I929" s="211" t="str">
        <f>IFERROR(__xludf.DUMMYFUNCTION("""COMPUTED_VALUE"""),"")</f>
        <v/>
      </c>
      <c r="J929" s="211"/>
    </row>
    <row r="930">
      <c r="A930" s="211"/>
      <c r="B930" s="211"/>
      <c r="C930" s="211"/>
      <c r="D930" s="211" t="str">
        <f>IFERROR(__xludf.DUMMYFUNCTION("""COMPUTED_VALUE"""),"")</f>
        <v/>
      </c>
      <c r="E930" s="211" t="str">
        <f>IFERROR(__xludf.DUMMYFUNCTION("""COMPUTED_VALUE"""),"")</f>
        <v/>
      </c>
      <c r="F930" s="211" t="str">
        <f>IFERROR(__xludf.DUMMYFUNCTION("""COMPUTED_VALUE"""),"")</f>
        <v/>
      </c>
      <c r="G930" s="211"/>
      <c r="H930" s="211"/>
      <c r="I930" s="211" t="str">
        <f>IFERROR(__xludf.DUMMYFUNCTION("""COMPUTED_VALUE"""),"")</f>
        <v/>
      </c>
      <c r="J930" s="211"/>
    </row>
    <row r="931">
      <c r="A931" s="211"/>
      <c r="B931" s="211"/>
      <c r="C931" s="211"/>
      <c r="D931" s="211" t="str">
        <f>IFERROR(__xludf.DUMMYFUNCTION("""COMPUTED_VALUE"""),"")</f>
        <v/>
      </c>
      <c r="E931" s="211" t="str">
        <f>IFERROR(__xludf.DUMMYFUNCTION("""COMPUTED_VALUE"""),"")</f>
        <v/>
      </c>
      <c r="F931" s="211" t="str">
        <f>IFERROR(__xludf.DUMMYFUNCTION("""COMPUTED_VALUE"""),"")</f>
        <v/>
      </c>
      <c r="G931" s="211"/>
      <c r="H931" s="211"/>
      <c r="I931" s="211" t="str">
        <f>IFERROR(__xludf.DUMMYFUNCTION("""COMPUTED_VALUE"""),"")</f>
        <v/>
      </c>
      <c r="J931" s="211"/>
    </row>
    <row r="932">
      <c r="A932" s="211"/>
      <c r="B932" s="211"/>
      <c r="C932" s="211"/>
      <c r="D932" s="211" t="str">
        <f>IFERROR(__xludf.DUMMYFUNCTION("""COMPUTED_VALUE"""),"")</f>
        <v/>
      </c>
      <c r="E932" s="211" t="str">
        <f>IFERROR(__xludf.DUMMYFUNCTION("""COMPUTED_VALUE"""),"")</f>
        <v/>
      </c>
      <c r="F932" s="211" t="str">
        <f>IFERROR(__xludf.DUMMYFUNCTION("""COMPUTED_VALUE"""),"")</f>
        <v/>
      </c>
      <c r="G932" s="211"/>
      <c r="H932" s="211"/>
      <c r="I932" s="211" t="str">
        <f>IFERROR(__xludf.DUMMYFUNCTION("""COMPUTED_VALUE"""),"")</f>
        <v/>
      </c>
      <c r="J932" s="211"/>
    </row>
    <row r="933">
      <c r="A933" s="211"/>
      <c r="B933" s="211"/>
      <c r="C933" s="211"/>
      <c r="D933" s="211" t="str">
        <f>IFERROR(__xludf.DUMMYFUNCTION("""COMPUTED_VALUE"""),"")</f>
        <v/>
      </c>
      <c r="E933" s="211" t="str">
        <f>IFERROR(__xludf.DUMMYFUNCTION("""COMPUTED_VALUE"""),"")</f>
        <v/>
      </c>
      <c r="F933" s="211" t="str">
        <f>IFERROR(__xludf.DUMMYFUNCTION("""COMPUTED_VALUE"""),"")</f>
        <v/>
      </c>
      <c r="G933" s="211"/>
      <c r="H933" s="211"/>
      <c r="I933" s="211" t="str">
        <f>IFERROR(__xludf.DUMMYFUNCTION("""COMPUTED_VALUE"""),"")</f>
        <v/>
      </c>
      <c r="J933" s="211"/>
    </row>
    <row r="934">
      <c r="A934" s="211"/>
      <c r="B934" s="211"/>
      <c r="C934" s="211"/>
      <c r="D934" s="211" t="str">
        <f>IFERROR(__xludf.DUMMYFUNCTION("""COMPUTED_VALUE"""),"")</f>
        <v/>
      </c>
      <c r="E934" s="211" t="str">
        <f>IFERROR(__xludf.DUMMYFUNCTION("""COMPUTED_VALUE"""),"")</f>
        <v/>
      </c>
      <c r="F934" s="211" t="str">
        <f>IFERROR(__xludf.DUMMYFUNCTION("""COMPUTED_VALUE"""),"")</f>
        <v/>
      </c>
      <c r="G934" s="211"/>
      <c r="H934" s="211"/>
      <c r="I934" s="211" t="str">
        <f>IFERROR(__xludf.DUMMYFUNCTION("""COMPUTED_VALUE"""),"")</f>
        <v/>
      </c>
      <c r="J934" s="211"/>
    </row>
    <row r="935">
      <c r="A935" s="211"/>
      <c r="B935" s="211"/>
      <c r="C935" s="211"/>
      <c r="D935" s="211" t="str">
        <f>IFERROR(__xludf.DUMMYFUNCTION("""COMPUTED_VALUE"""),"")</f>
        <v/>
      </c>
      <c r="E935" s="211" t="str">
        <f>IFERROR(__xludf.DUMMYFUNCTION("""COMPUTED_VALUE"""),"")</f>
        <v/>
      </c>
      <c r="F935" s="211" t="str">
        <f>IFERROR(__xludf.DUMMYFUNCTION("""COMPUTED_VALUE"""),"")</f>
        <v/>
      </c>
      <c r="G935" s="211"/>
      <c r="H935" s="211"/>
      <c r="I935" s="211" t="str">
        <f>IFERROR(__xludf.DUMMYFUNCTION("""COMPUTED_VALUE"""),"")</f>
        <v/>
      </c>
      <c r="J935" s="211"/>
    </row>
    <row r="936">
      <c r="A936" s="211"/>
      <c r="B936" s="211"/>
      <c r="C936" s="211"/>
      <c r="D936" s="211" t="str">
        <f>IFERROR(__xludf.DUMMYFUNCTION("""COMPUTED_VALUE"""),"")</f>
        <v/>
      </c>
      <c r="E936" s="211" t="str">
        <f>IFERROR(__xludf.DUMMYFUNCTION("""COMPUTED_VALUE"""),"")</f>
        <v/>
      </c>
      <c r="F936" s="211" t="str">
        <f>IFERROR(__xludf.DUMMYFUNCTION("""COMPUTED_VALUE"""),"")</f>
        <v/>
      </c>
      <c r="G936" s="211"/>
      <c r="H936" s="211"/>
      <c r="I936" s="211" t="str">
        <f>IFERROR(__xludf.DUMMYFUNCTION("""COMPUTED_VALUE"""),"")</f>
        <v/>
      </c>
      <c r="J936" s="211"/>
    </row>
    <row r="937">
      <c r="A937" s="211"/>
      <c r="B937" s="211"/>
      <c r="C937" s="211"/>
      <c r="D937" s="211" t="str">
        <f>IFERROR(__xludf.DUMMYFUNCTION("""COMPUTED_VALUE"""),"")</f>
        <v/>
      </c>
      <c r="E937" s="211" t="str">
        <f>IFERROR(__xludf.DUMMYFUNCTION("""COMPUTED_VALUE"""),"")</f>
        <v/>
      </c>
      <c r="F937" s="211" t="str">
        <f>IFERROR(__xludf.DUMMYFUNCTION("""COMPUTED_VALUE"""),"")</f>
        <v/>
      </c>
      <c r="G937" s="211"/>
      <c r="H937" s="211"/>
      <c r="I937" s="211" t="str">
        <f>IFERROR(__xludf.DUMMYFUNCTION("""COMPUTED_VALUE"""),"")</f>
        <v/>
      </c>
      <c r="J937" s="211"/>
    </row>
    <row r="938">
      <c r="A938" s="211"/>
      <c r="B938" s="211"/>
      <c r="C938" s="211"/>
      <c r="D938" s="211" t="str">
        <f>IFERROR(__xludf.DUMMYFUNCTION("""COMPUTED_VALUE"""),"")</f>
        <v/>
      </c>
      <c r="E938" s="211" t="str">
        <f>IFERROR(__xludf.DUMMYFUNCTION("""COMPUTED_VALUE"""),"")</f>
        <v/>
      </c>
      <c r="F938" s="211" t="str">
        <f>IFERROR(__xludf.DUMMYFUNCTION("""COMPUTED_VALUE"""),"")</f>
        <v/>
      </c>
      <c r="G938" s="211"/>
      <c r="H938" s="211"/>
      <c r="I938" s="211" t="str">
        <f>IFERROR(__xludf.DUMMYFUNCTION("""COMPUTED_VALUE"""),"")</f>
        <v/>
      </c>
      <c r="J938" s="211"/>
    </row>
    <row r="939">
      <c r="A939" s="211"/>
      <c r="B939" s="211"/>
      <c r="C939" s="211"/>
      <c r="D939" s="211" t="str">
        <f>IFERROR(__xludf.DUMMYFUNCTION("""COMPUTED_VALUE"""),"")</f>
        <v/>
      </c>
      <c r="E939" s="211" t="str">
        <f>IFERROR(__xludf.DUMMYFUNCTION("""COMPUTED_VALUE"""),"")</f>
        <v/>
      </c>
      <c r="F939" s="211" t="str">
        <f>IFERROR(__xludf.DUMMYFUNCTION("""COMPUTED_VALUE"""),"")</f>
        <v/>
      </c>
      <c r="G939" s="211"/>
      <c r="H939" s="211"/>
      <c r="I939" s="211" t="str">
        <f>IFERROR(__xludf.DUMMYFUNCTION("""COMPUTED_VALUE"""),"")</f>
        <v/>
      </c>
      <c r="J939" s="211"/>
    </row>
    <row r="940">
      <c r="A940" s="211"/>
      <c r="B940" s="211"/>
      <c r="C940" s="211"/>
      <c r="D940" s="211" t="str">
        <f>IFERROR(__xludf.DUMMYFUNCTION("""COMPUTED_VALUE"""),"")</f>
        <v/>
      </c>
      <c r="E940" s="211" t="str">
        <f>IFERROR(__xludf.DUMMYFUNCTION("""COMPUTED_VALUE"""),"")</f>
        <v/>
      </c>
      <c r="F940" s="211" t="str">
        <f>IFERROR(__xludf.DUMMYFUNCTION("""COMPUTED_VALUE"""),"")</f>
        <v/>
      </c>
      <c r="G940" s="211"/>
      <c r="H940" s="211"/>
      <c r="I940" s="211" t="str">
        <f>IFERROR(__xludf.DUMMYFUNCTION("""COMPUTED_VALUE"""),"")</f>
        <v/>
      </c>
      <c r="J940" s="211"/>
    </row>
    <row r="941">
      <c r="A941" s="211"/>
      <c r="B941" s="211"/>
      <c r="C941" s="211"/>
      <c r="D941" s="211" t="str">
        <f>IFERROR(__xludf.DUMMYFUNCTION("""COMPUTED_VALUE"""),"")</f>
        <v/>
      </c>
      <c r="E941" s="211" t="str">
        <f>IFERROR(__xludf.DUMMYFUNCTION("""COMPUTED_VALUE"""),"")</f>
        <v/>
      </c>
      <c r="F941" s="211" t="str">
        <f>IFERROR(__xludf.DUMMYFUNCTION("""COMPUTED_VALUE"""),"")</f>
        <v/>
      </c>
      <c r="G941" s="211"/>
      <c r="H941" s="211"/>
      <c r="I941" s="211" t="str">
        <f>IFERROR(__xludf.DUMMYFUNCTION("""COMPUTED_VALUE"""),"")</f>
        <v/>
      </c>
      <c r="J941" s="211"/>
    </row>
    <row r="942">
      <c r="A942" s="211"/>
      <c r="B942" s="211"/>
      <c r="C942" s="211"/>
      <c r="D942" s="211" t="str">
        <f>IFERROR(__xludf.DUMMYFUNCTION("""COMPUTED_VALUE"""),"")</f>
        <v/>
      </c>
      <c r="E942" s="211" t="str">
        <f>IFERROR(__xludf.DUMMYFUNCTION("""COMPUTED_VALUE"""),"")</f>
        <v/>
      </c>
      <c r="F942" s="211" t="str">
        <f>IFERROR(__xludf.DUMMYFUNCTION("""COMPUTED_VALUE"""),"")</f>
        <v/>
      </c>
      <c r="G942" s="211"/>
      <c r="H942" s="211"/>
      <c r="I942" s="211" t="str">
        <f>IFERROR(__xludf.DUMMYFUNCTION("""COMPUTED_VALUE"""),"")</f>
        <v/>
      </c>
      <c r="J942" s="211"/>
    </row>
    <row r="943">
      <c r="A943" s="211"/>
      <c r="B943" s="211"/>
      <c r="C943" s="211"/>
      <c r="D943" s="211" t="str">
        <f>IFERROR(__xludf.DUMMYFUNCTION("""COMPUTED_VALUE"""),"")</f>
        <v/>
      </c>
      <c r="E943" s="211" t="str">
        <f>IFERROR(__xludf.DUMMYFUNCTION("""COMPUTED_VALUE"""),"")</f>
        <v/>
      </c>
      <c r="F943" s="211" t="str">
        <f>IFERROR(__xludf.DUMMYFUNCTION("""COMPUTED_VALUE"""),"")</f>
        <v/>
      </c>
      <c r="G943" s="211"/>
      <c r="H943" s="211"/>
      <c r="I943" s="211" t="str">
        <f>IFERROR(__xludf.DUMMYFUNCTION("""COMPUTED_VALUE"""),"")</f>
        <v/>
      </c>
      <c r="J943" s="211"/>
    </row>
    <row r="944">
      <c r="A944" s="211"/>
      <c r="B944" s="211"/>
      <c r="C944" s="211"/>
      <c r="D944" s="211" t="str">
        <f>IFERROR(__xludf.DUMMYFUNCTION("""COMPUTED_VALUE"""),"")</f>
        <v/>
      </c>
      <c r="E944" s="211" t="str">
        <f>IFERROR(__xludf.DUMMYFUNCTION("""COMPUTED_VALUE"""),"")</f>
        <v/>
      </c>
      <c r="F944" s="211" t="str">
        <f>IFERROR(__xludf.DUMMYFUNCTION("""COMPUTED_VALUE"""),"")</f>
        <v/>
      </c>
      <c r="G944" s="211"/>
      <c r="H944" s="211"/>
      <c r="I944" s="211" t="str">
        <f>IFERROR(__xludf.DUMMYFUNCTION("""COMPUTED_VALUE"""),"")</f>
        <v/>
      </c>
      <c r="J944" s="211"/>
    </row>
    <row r="945">
      <c r="A945" s="211"/>
      <c r="B945" s="211"/>
      <c r="C945" s="211"/>
      <c r="D945" s="211" t="str">
        <f>IFERROR(__xludf.DUMMYFUNCTION("""COMPUTED_VALUE"""),"")</f>
        <v/>
      </c>
      <c r="E945" s="211" t="str">
        <f>IFERROR(__xludf.DUMMYFUNCTION("""COMPUTED_VALUE"""),"")</f>
        <v/>
      </c>
      <c r="F945" s="211" t="str">
        <f>IFERROR(__xludf.DUMMYFUNCTION("""COMPUTED_VALUE"""),"")</f>
        <v/>
      </c>
      <c r="G945" s="211"/>
      <c r="H945" s="211"/>
      <c r="I945" s="211" t="str">
        <f>IFERROR(__xludf.DUMMYFUNCTION("""COMPUTED_VALUE"""),"")</f>
        <v/>
      </c>
      <c r="J945" s="211"/>
    </row>
    <row r="946">
      <c r="A946" s="211"/>
      <c r="B946" s="211"/>
      <c r="C946" s="211"/>
      <c r="D946" s="211" t="str">
        <f>IFERROR(__xludf.DUMMYFUNCTION("""COMPUTED_VALUE"""),"")</f>
        <v/>
      </c>
      <c r="E946" s="211" t="str">
        <f>IFERROR(__xludf.DUMMYFUNCTION("""COMPUTED_VALUE"""),"")</f>
        <v/>
      </c>
      <c r="F946" s="211" t="str">
        <f>IFERROR(__xludf.DUMMYFUNCTION("""COMPUTED_VALUE"""),"")</f>
        <v/>
      </c>
      <c r="G946" s="211"/>
      <c r="H946" s="211"/>
      <c r="I946" s="211" t="str">
        <f>IFERROR(__xludf.DUMMYFUNCTION("""COMPUTED_VALUE"""),"")</f>
        <v/>
      </c>
      <c r="J946" s="211"/>
    </row>
    <row r="947">
      <c r="A947" s="211"/>
      <c r="B947" s="211"/>
      <c r="C947" s="211"/>
      <c r="D947" s="211" t="str">
        <f>IFERROR(__xludf.DUMMYFUNCTION("""COMPUTED_VALUE"""),"")</f>
        <v/>
      </c>
      <c r="E947" s="211" t="str">
        <f>IFERROR(__xludf.DUMMYFUNCTION("""COMPUTED_VALUE"""),"")</f>
        <v/>
      </c>
      <c r="F947" s="211" t="str">
        <f>IFERROR(__xludf.DUMMYFUNCTION("""COMPUTED_VALUE"""),"")</f>
        <v/>
      </c>
      <c r="G947" s="211"/>
      <c r="H947" s="211"/>
      <c r="I947" s="211" t="str">
        <f>IFERROR(__xludf.DUMMYFUNCTION("""COMPUTED_VALUE"""),"")</f>
        <v/>
      </c>
      <c r="J947" s="211"/>
    </row>
    <row r="948">
      <c r="A948" s="211"/>
      <c r="B948" s="211"/>
      <c r="C948" s="211"/>
      <c r="D948" s="211" t="str">
        <f>IFERROR(__xludf.DUMMYFUNCTION("""COMPUTED_VALUE"""),"")</f>
        <v/>
      </c>
      <c r="E948" s="211" t="str">
        <f>IFERROR(__xludf.DUMMYFUNCTION("""COMPUTED_VALUE"""),"")</f>
        <v/>
      </c>
      <c r="F948" s="211" t="str">
        <f>IFERROR(__xludf.DUMMYFUNCTION("""COMPUTED_VALUE"""),"")</f>
        <v/>
      </c>
      <c r="G948" s="211"/>
      <c r="H948" s="211"/>
      <c r="I948" s="211" t="str">
        <f>IFERROR(__xludf.DUMMYFUNCTION("""COMPUTED_VALUE"""),"")</f>
        <v/>
      </c>
      <c r="J948" s="211"/>
    </row>
    <row r="949">
      <c r="A949" s="211"/>
      <c r="B949" s="211"/>
      <c r="C949" s="211"/>
      <c r="D949" s="211" t="str">
        <f>IFERROR(__xludf.DUMMYFUNCTION("""COMPUTED_VALUE"""),"")</f>
        <v/>
      </c>
      <c r="E949" s="211" t="str">
        <f>IFERROR(__xludf.DUMMYFUNCTION("""COMPUTED_VALUE"""),"")</f>
        <v/>
      </c>
      <c r="F949" s="211" t="str">
        <f>IFERROR(__xludf.DUMMYFUNCTION("""COMPUTED_VALUE"""),"")</f>
        <v/>
      </c>
      <c r="G949" s="211"/>
      <c r="H949" s="211"/>
      <c r="I949" s="211" t="str">
        <f>IFERROR(__xludf.DUMMYFUNCTION("""COMPUTED_VALUE"""),"")</f>
        <v/>
      </c>
      <c r="J949" s="211"/>
    </row>
    <row r="950">
      <c r="A950" s="211"/>
      <c r="B950" s="211"/>
      <c r="C950" s="211"/>
      <c r="D950" s="211" t="str">
        <f>IFERROR(__xludf.DUMMYFUNCTION("""COMPUTED_VALUE"""),"")</f>
        <v/>
      </c>
      <c r="E950" s="211" t="str">
        <f>IFERROR(__xludf.DUMMYFUNCTION("""COMPUTED_VALUE"""),"")</f>
        <v/>
      </c>
      <c r="F950" s="211" t="str">
        <f>IFERROR(__xludf.DUMMYFUNCTION("""COMPUTED_VALUE"""),"")</f>
        <v/>
      </c>
      <c r="G950" s="211"/>
      <c r="H950" s="211"/>
      <c r="I950" s="211" t="str">
        <f>IFERROR(__xludf.DUMMYFUNCTION("""COMPUTED_VALUE"""),"")</f>
        <v/>
      </c>
      <c r="J950" s="211"/>
    </row>
    <row r="951">
      <c r="A951" s="211"/>
      <c r="B951" s="211"/>
      <c r="C951" s="211"/>
      <c r="D951" s="211" t="str">
        <f>IFERROR(__xludf.DUMMYFUNCTION("""COMPUTED_VALUE"""),"")</f>
        <v/>
      </c>
      <c r="E951" s="211" t="str">
        <f>IFERROR(__xludf.DUMMYFUNCTION("""COMPUTED_VALUE"""),"")</f>
        <v/>
      </c>
      <c r="F951" s="211" t="str">
        <f>IFERROR(__xludf.DUMMYFUNCTION("""COMPUTED_VALUE"""),"")</f>
        <v/>
      </c>
      <c r="G951" s="211"/>
      <c r="H951" s="211"/>
      <c r="I951" s="211" t="str">
        <f>IFERROR(__xludf.DUMMYFUNCTION("""COMPUTED_VALUE"""),"")</f>
        <v/>
      </c>
      <c r="J951" s="211"/>
    </row>
    <row r="952">
      <c r="A952" s="211"/>
      <c r="B952" s="211"/>
      <c r="C952" s="211"/>
      <c r="D952" s="211" t="str">
        <f>IFERROR(__xludf.DUMMYFUNCTION("""COMPUTED_VALUE"""),"")</f>
        <v/>
      </c>
      <c r="E952" s="211" t="str">
        <f>IFERROR(__xludf.DUMMYFUNCTION("""COMPUTED_VALUE"""),"")</f>
        <v/>
      </c>
      <c r="F952" s="211" t="str">
        <f>IFERROR(__xludf.DUMMYFUNCTION("""COMPUTED_VALUE"""),"")</f>
        <v/>
      </c>
      <c r="G952" s="211"/>
      <c r="H952" s="211"/>
      <c r="I952" s="211" t="str">
        <f>IFERROR(__xludf.DUMMYFUNCTION("""COMPUTED_VALUE"""),"")</f>
        <v/>
      </c>
      <c r="J952" s="211"/>
    </row>
    <row r="953">
      <c r="A953" s="211"/>
      <c r="B953" s="211"/>
      <c r="C953" s="211"/>
      <c r="D953" s="211" t="str">
        <f>IFERROR(__xludf.DUMMYFUNCTION("""COMPUTED_VALUE"""),"")</f>
        <v/>
      </c>
      <c r="E953" s="211" t="str">
        <f>IFERROR(__xludf.DUMMYFUNCTION("""COMPUTED_VALUE"""),"")</f>
        <v/>
      </c>
      <c r="F953" s="211" t="str">
        <f>IFERROR(__xludf.DUMMYFUNCTION("""COMPUTED_VALUE"""),"")</f>
        <v/>
      </c>
      <c r="G953" s="211"/>
      <c r="H953" s="211"/>
      <c r="I953" s="211" t="str">
        <f>IFERROR(__xludf.DUMMYFUNCTION("""COMPUTED_VALUE"""),"")</f>
        <v/>
      </c>
      <c r="J953" s="211"/>
    </row>
    <row r="954">
      <c r="A954" s="211"/>
      <c r="B954" s="211"/>
      <c r="C954" s="211"/>
      <c r="D954" s="211" t="str">
        <f>IFERROR(__xludf.DUMMYFUNCTION("""COMPUTED_VALUE"""),"")</f>
        <v/>
      </c>
      <c r="E954" s="211" t="str">
        <f>IFERROR(__xludf.DUMMYFUNCTION("""COMPUTED_VALUE"""),"")</f>
        <v/>
      </c>
      <c r="F954" s="211" t="str">
        <f>IFERROR(__xludf.DUMMYFUNCTION("""COMPUTED_VALUE"""),"")</f>
        <v/>
      </c>
      <c r="G954" s="211"/>
      <c r="H954" s="211"/>
      <c r="I954" s="211" t="str">
        <f>IFERROR(__xludf.DUMMYFUNCTION("""COMPUTED_VALUE"""),"")</f>
        <v/>
      </c>
      <c r="J954" s="211"/>
    </row>
    <row r="955">
      <c r="A955" s="211"/>
      <c r="B955" s="211"/>
      <c r="C955" s="211"/>
      <c r="D955" s="211" t="str">
        <f>IFERROR(__xludf.DUMMYFUNCTION("""COMPUTED_VALUE"""),"")</f>
        <v/>
      </c>
      <c r="E955" s="211" t="str">
        <f>IFERROR(__xludf.DUMMYFUNCTION("""COMPUTED_VALUE"""),"")</f>
        <v/>
      </c>
      <c r="F955" s="211" t="str">
        <f>IFERROR(__xludf.DUMMYFUNCTION("""COMPUTED_VALUE"""),"")</f>
        <v/>
      </c>
      <c r="G955" s="211"/>
      <c r="H955" s="211"/>
      <c r="I955" s="211" t="str">
        <f>IFERROR(__xludf.DUMMYFUNCTION("""COMPUTED_VALUE"""),"")</f>
        <v/>
      </c>
      <c r="J955" s="211"/>
    </row>
    <row r="956">
      <c r="A956" s="211"/>
      <c r="B956" s="211"/>
      <c r="C956" s="211"/>
      <c r="D956" s="211" t="str">
        <f>IFERROR(__xludf.DUMMYFUNCTION("""COMPUTED_VALUE"""),"")</f>
        <v/>
      </c>
      <c r="E956" s="211" t="str">
        <f>IFERROR(__xludf.DUMMYFUNCTION("""COMPUTED_VALUE"""),"")</f>
        <v/>
      </c>
      <c r="F956" s="211" t="str">
        <f>IFERROR(__xludf.DUMMYFUNCTION("""COMPUTED_VALUE"""),"")</f>
        <v/>
      </c>
      <c r="G956" s="211"/>
      <c r="H956" s="211"/>
      <c r="I956" s="211" t="str">
        <f>IFERROR(__xludf.DUMMYFUNCTION("""COMPUTED_VALUE"""),"")</f>
        <v/>
      </c>
      <c r="J956" s="211"/>
    </row>
    <row r="957">
      <c r="A957" s="211"/>
      <c r="B957" s="211"/>
      <c r="C957" s="211"/>
      <c r="D957" s="211" t="str">
        <f>IFERROR(__xludf.DUMMYFUNCTION("""COMPUTED_VALUE"""),"")</f>
        <v/>
      </c>
      <c r="E957" s="211" t="str">
        <f>IFERROR(__xludf.DUMMYFUNCTION("""COMPUTED_VALUE"""),"")</f>
        <v/>
      </c>
      <c r="F957" s="211" t="str">
        <f>IFERROR(__xludf.DUMMYFUNCTION("""COMPUTED_VALUE"""),"")</f>
        <v/>
      </c>
      <c r="G957" s="211"/>
      <c r="H957" s="211"/>
      <c r="I957" s="211" t="str">
        <f>IFERROR(__xludf.DUMMYFUNCTION("""COMPUTED_VALUE"""),"")</f>
        <v/>
      </c>
      <c r="J957" s="211"/>
    </row>
    <row r="958">
      <c r="A958" s="211"/>
      <c r="B958" s="211"/>
      <c r="C958" s="211"/>
      <c r="D958" s="211" t="str">
        <f>IFERROR(__xludf.DUMMYFUNCTION("""COMPUTED_VALUE"""),"")</f>
        <v/>
      </c>
      <c r="E958" s="211" t="str">
        <f>IFERROR(__xludf.DUMMYFUNCTION("""COMPUTED_VALUE"""),"")</f>
        <v/>
      </c>
      <c r="F958" s="211" t="str">
        <f>IFERROR(__xludf.DUMMYFUNCTION("""COMPUTED_VALUE"""),"")</f>
        <v/>
      </c>
      <c r="G958" s="211"/>
      <c r="H958" s="211"/>
      <c r="I958" s="211" t="str">
        <f>IFERROR(__xludf.DUMMYFUNCTION("""COMPUTED_VALUE"""),"")</f>
        <v/>
      </c>
      <c r="J958" s="211"/>
    </row>
    <row r="959">
      <c r="A959" s="211"/>
      <c r="B959" s="211"/>
      <c r="C959" s="211"/>
      <c r="D959" s="211" t="str">
        <f>IFERROR(__xludf.DUMMYFUNCTION("""COMPUTED_VALUE"""),"")</f>
        <v/>
      </c>
      <c r="E959" s="211" t="str">
        <f>IFERROR(__xludf.DUMMYFUNCTION("""COMPUTED_VALUE"""),"")</f>
        <v/>
      </c>
      <c r="F959" s="211" t="str">
        <f>IFERROR(__xludf.DUMMYFUNCTION("""COMPUTED_VALUE"""),"")</f>
        <v/>
      </c>
      <c r="G959" s="211"/>
      <c r="H959" s="211"/>
      <c r="I959" s="211" t="str">
        <f>IFERROR(__xludf.DUMMYFUNCTION("""COMPUTED_VALUE"""),"")</f>
        <v/>
      </c>
      <c r="J959" s="211"/>
    </row>
    <row r="960">
      <c r="A960" s="211"/>
      <c r="B960" s="211"/>
      <c r="C960" s="211"/>
      <c r="D960" s="211" t="str">
        <f>IFERROR(__xludf.DUMMYFUNCTION("""COMPUTED_VALUE"""),"")</f>
        <v/>
      </c>
      <c r="E960" s="211" t="str">
        <f>IFERROR(__xludf.DUMMYFUNCTION("""COMPUTED_VALUE"""),"")</f>
        <v/>
      </c>
      <c r="F960" s="211" t="str">
        <f>IFERROR(__xludf.DUMMYFUNCTION("""COMPUTED_VALUE"""),"")</f>
        <v/>
      </c>
      <c r="G960" s="211"/>
      <c r="H960" s="211"/>
      <c r="I960" s="211" t="str">
        <f>IFERROR(__xludf.DUMMYFUNCTION("""COMPUTED_VALUE"""),"")</f>
        <v/>
      </c>
      <c r="J960" s="211"/>
    </row>
    <row r="961">
      <c r="A961" s="211"/>
      <c r="B961" s="211"/>
      <c r="C961" s="211"/>
      <c r="D961" s="211" t="str">
        <f>IFERROR(__xludf.DUMMYFUNCTION("""COMPUTED_VALUE"""),"")</f>
        <v/>
      </c>
      <c r="E961" s="211" t="str">
        <f>IFERROR(__xludf.DUMMYFUNCTION("""COMPUTED_VALUE"""),"")</f>
        <v/>
      </c>
      <c r="F961" s="211" t="str">
        <f>IFERROR(__xludf.DUMMYFUNCTION("""COMPUTED_VALUE"""),"")</f>
        <v/>
      </c>
      <c r="G961" s="211"/>
      <c r="H961" s="211"/>
      <c r="I961" s="211" t="str">
        <f>IFERROR(__xludf.DUMMYFUNCTION("""COMPUTED_VALUE"""),"")</f>
        <v/>
      </c>
      <c r="J961" s="211"/>
    </row>
    <row r="962">
      <c r="A962" s="211"/>
      <c r="B962" s="211"/>
      <c r="C962" s="211"/>
      <c r="D962" s="211" t="str">
        <f>IFERROR(__xludf.DUMMYFUNCTION("""COMPUTED_VALUE"""),"")</f>
        <v/>
      </c>
      <c r="E962" s="211" t="str">
        <f>IFERROR(__xludf.DUMMYFUNCTION("""COMPUTED_VALUE"""),"")</f>
        <v/>
      </c>
      <c r="F962" s="211" t="str">
        <f>IFERROR(__xludf.DUMMYFUNCTION("""COMPUTED_VALUE"""),"")</f>
        <v/>
      </c>
      <c r="G962" s="211"/>
      <c r="H962" s="211"/>
      <c r="I962" s="211" t="str">
        <f>IFERROR(__xludf.DUMMYFUNCTION("""COMPUTED_VALUE"""),"")</f>
        <v/>
      </c>
      <c r="J962" s="211"/>
    </row>
    <row r="963">
      <c r="A963" s="211"/>
      <c r="B963" s="211"/>
      <c r="C963" s="211"/>
      <c r="D963" s="211" t="str">
        <f>IFERROR(__xludf.DUMMYFUNCTION("""COMPUTED_VALUE"""),"")</f>
        <v/>
      </c>
      <c r="E963" s="211" t="str">
        <f>IFERROR(__xludf.DUMMYFUNCTION("""COMPUTED_VALUE"""),"")</f>
        <v/>
      </c>
      <c r="F963" s="211" t="str">
        <f>IFERROR(__xludf.DUMMYFUNCTION("""COMPUTED_VALUE"""),"")</f>
        <v/>
      </c>
      <c r="G963" s="211"/>
      <c r="H963" s="211"/>
      <c r="I963" s="211" t="str">
        <f>IFERROR(__xludf.DUMMYFUNCTION("""COMPUTED_VALUE"""),"")</f>
        <v/>
      </c>
      <c r="J963" s="211"/>
    </row>
    <row r="964">
      <c r="A964" s="211"/>
      <c r="B964" s="211"/>
      <c r="C964" s="211"/>
      <c r="D964" s="211" t="str">
        <f>IFERROR(__xludf.DUMMYFUNCTION("""COMPUTED_VALUE"""),"")</f>
        <v/>
      </c>
      <c r="E964" s="211" t="str">
        <f>IFERROR(__xludf.DUMMYFUNCTION("""COMPUTED_VALUE"""),"")</f>
        <v/>
      </c>
      <c r="F964" s="211" t="str">
        <f>IFERROR(__xludf.DUMMYFUNCTION("""COMPUTED_VALUE"""),"")</f>
        <v/>
      </c>
      <c r="G964" s="211"/>
      <c r="H964" s="211"/>
      <c r="I964" s="211" t="str">
        <f>IFERROR(__xludf.DUMMYFUNCTION("""COMPUTED_VALUE"""),"")</f>
        <v/>
      </c>
      <c r="J964" s="211"/>
    </row>
    <row r="965">
      <c r="A965" s="211"/>
      <c r="B965" s="211"/>
      <c r="C965" s="211"/>
      <c r="D965" s="211" t="str">
        <f>IFERROR(__xludf.DUMMYFUNCTION("""COMPUTED_VALUE"""),"")</f>
        <v/>
      </c>
      <c r="E965" s="211" t="str">
        <f>IFERROR(__xludf.DUMMYFUNCTION("""COMPUTED_VALUE"""),"")</f>
        <v/>
      </c>
      <c r="F965" s="211" t="str">
        <f>IFERROR(__xludf.DUMMYFUNCTION("""COMPUTED_VALUE"""),"")</f>
        <v/>
      </c>
      <c r="G965" s="211"/>
      <c r="H965" s="211"/>
      <c r="I965" s="211" t="str">
        <f>IFERROR(__xludf.DUMMYFUNCTION("""COMPUTED_VALUE"""),"")</f>
        <v/>
      </c>
      <c r="J965" s="211"/>
    </row>
    <row r="966">
      <c r="A966" s="211"/>
      <c r="B966" s="211"/>
      <c r="C966" s="211"/>
      <c r="D966" s="211" t="str">
        <f>IFERROR(__xludf.DUMMYFUNCTION("""COMPUTED_VALUE"""),"")</f>
        <v/>
      </c>
      <c r="E966" s="211" t="str">
        <f>IFERROR(__xludf.DUMMYFUNCTION("""COMPUTED_VALUE"""),"")</f>
        <v/>
      </c>
      <c r="F966" s="211" t="str">
        <f>IFERROR(__xludf.DUMMYFUNCTION("""COMPUTED_VALUE"""),"")</f>
        <v/>
      </c>
      <c r="G966" s="211"/>
      <c r="H966" s="211"/>
      <c r="I966" s="211" t="str">
        <f>IFERROR(__xludf.DUMMYFUNCTION("""COMPUTED_VALUE"""),"")</f>
        <v/>
      </c>
      <c r="J966" s="211"/>
    </row>
    <row r="967">
      <c r="A967" s="211"/>
      <c r="B967" s="211"/>
      <c r="C967" s="211"/>
      <c r="D967" s="211" t="str">
        <f>IFERROR(__xludf.DUMMYFUNCTION("""COMPUTED_VALUE"""),"")</f>
        <v/>
      </c>
      <c r="E967" s="211" t="str">
        <f>IFERROR(__xludf.DUMMYFUNCTION("""COMPUTED_VALUE"""),"")</f>
        <v/>
      </c>
      <c r="F967" s="211" t="str">
        <f>IFERROR(__xludf.DUMMYFUNCTION("""COMPUTED_VALUE"""),"")</f>
        <v/>
      </c>
      <c r="G967" s="211"/>
      <c r="H967" s="211"/>
      <c r="I967" s="211" t="str">
        <f>IFERROR(__xludf.DUMMYFUNCTION("""COMPUTED_VALUE"""),"")</f>
        <v/>
      </c>
      <c r="J967" s="211"/>
    </row>
    <row r="968">
      <c r="A968" s="211"/>
      <c r="B968" s="211"/>
      <c r="C968" s="211"/>
      <c r="D968" s="211" t="str">
        <f>IFERROR(__xludf.DUMMYFUNCTION("""COMPUTED_VALUE"""),"")</f>
        <v/>
      </c>
      <c r="E968" s="211" t="str">
        <f>IFERROR(__xludf.DUMMYFUNCTION("""COMPUTED_VALUE"""),"")</f>
        <v/>
      </c>
      <c r="F968" s="211" t="str">
        <f>IFERROR(__xludf.DUMMYFUNCTION("""COMPUTED_VALUE"""),"")</f>
        <v/>
      </c>
      <c r="G968" s="211"/>
      <c r="H968" s="211"/>
      <c r="I968" s="211" t="str">
        <f>IFERROR(__xludf.DUMMYFUNCTION("""COMPUTED_VALUE"""),"")</f>
        <v/>
      </c>
      <c r="J968" s="211"/>
    </row>
    <row r="969">
      <c r="A969" s="211"/>
      <c r="B969" s="211"/>
      <c r="C969" s="211"/>
      <c r="D969" s="211" t="str">
        <f>IFERROR(__xludf.DUMMYFUNCTION("""COMPUTED_VALUE"""),"")</f>
        <v/>
      </c>
      <c r="E969" s="211" t="str">
        <f>IFERROR(__xludf.DUMMYFUNCTION("""COMPUTED_VALUE"""),"")</f>
        <v/>
      </c>
      <c r="F969" s="211" t="str">
        <f>IFERROR(__xludf.DUMMYFUNCTION("""COMPUTED_VALUE"""),"")</f>
        <v/>
      </c>
      <c r="G969" s="211"/>
      <c r="H969" s="211"/>
      <c r="I969" s="211" t="str">
        <f>IFERROR(__xludf.DUMMYFUNCTION("""COMPUTED_VALUE"""),"")</f>
        <v/>
      </c>
      <c r="J969" s="211"/>
    </row>
    <row r="970">
      <c r="A970" s="211"/>
      <c r="B970" s="211"/>
      <c r="C970" s="211"/>
      <c r="D970" s="211" t="str">
        <f>IFERROR(__xludf.DUMMYFUNCTION("""COMPUTED_VALUE"""),"")</f>
        <v/>
      </c>
      <c r="E970" s="211" t="str">
        <f>IFERROR(__xludf.DUMMYFUNCTION("""COMPUTED_VALUE"""),"")</f>
        <v/>
      </c>
      <c r="F970" s="211" t="str">
        <f>IFERROR(__xludf.DUMMYFUNCTION("""COMPUTED_VALUE"""),"")</f>
        <v/>
      </c>
      <c r="G970" s="211"/>
      <c r="H970" s="211"/>
      <c r="I970" s="211" t="str">
        <f>IFERROR(__xludf.DUMMYFUNCTION("""COMPUTED_VALUE"""),"")</f>
        <v/>
      </c>
      <c r="J970" s="211"/>
    </row>
    <row r="971">
      <c r="A971" s="211"/>
      <c r="B971" s="211"/>
      <c r="C971" s="211"/>
      <c r="D971" s="211" t="str">
        <f>IFERROR(__xludf.DUMMYFUNCTION("""COMPUTED_VALUE"""),"")</f>
        <v/>
      </c>
      <c r="E971" s="211" t="str">
        <f>IFERROR(__xludf.DUMMYFUNCTION("""COMPUTED_VALUE"""),"")</f>
        <v/>
      </c>
      <c r="F971" s="211" t="str">
        <f>IFERROR(__xludf.DUMMYFUNCTION("""COMPUTED_VALUE"""),"")</f>
        <v/>
      </c>
      <c r="G971" s="211"/>
      <c r="H971" s="211"/>
      <c r="I971" s="211" t="str">
        <f>IFERROR(__xludf.DUMMYFUNCTION("""COMPUTED_VALUE"""),"")</f>
        <v/>
      </c>
      <c r="J971" s="211"/>
    </row>
    <row r="972">
      <c r="A972" s="211"/>
      <c r="B972" s="211"/>
      <c r="C972" s="211"/>
      <c r="D972" s="211" t="str">
        <f>IFERROR(__xludf.DUMMYFUNCTION("""COMPUTED_VALUE"""),"")</f>
        <v/>
      </c>
      <c r="E972" s="211" t="str">
        <f>IFERROR(__xludf.DUMMYFUNCTION("""COMPUTED_VALUE"""),"")</f>
        <v/>
      </c>
      <c r="F972" s="211" t="str">
        <f>IFERROR(__xludf.DUMMYFUNCTION("""COMPUTED_VALUE"""),"")</f>
        <v/>
      </c>
      <c r="G972" s="211"/>
      <c r="H972" s="211"/>
      <c r="I972" s="211" t="str">
        <f>IFERROR(__xludf.DUMMYFUNCTION("""COMPUTED_VALUE"""),"")</f>
        <v/>
      </c>
      <c r="J972" s="211"/>
    </row>
    <row r="973">
      <c r="A973" s="211"/>
      <c r="B973" s="211"/>
      <c r="C973" s="211"/>
      <c r="D973" s="211" t="str">
        <f>IFERROR(__xludf.DUMMYFUNCTION("""COMPUTED_VALUE"""),"")</f>
        <v/>
      </c>
      <c r="E973" s="211" t="str">
        <f>IFERROR(__xludf.DUMMYFUNCTION("""COMPUTED_VALUE"""),"")</f>
        <v/>
      </c>
      <c r="F973" s="211" t="str">
        <f>IFERROR(__xludf.DUMMYFUNCTION("""COMPUTED_VALUE"""),"")</f>
        <v/>
      </c>
      <c r="G973" s="211"/>
      <c r="H973" s="211"/>
      <c r="I973" s="211" t="str">
        <f>IFERROR(__xludf.DUMMYFUNCTION("""COMPUTED_VALUE"""),"")</f>
        <v/>
      </c>
      <c r="J973" s="211"/>
    </row>
    <row r="974">
      <c r="A974" s="211"/>
      <c r="B974" s="211"/>
      <c r="C974" s="211"/>
      <c r="D974" s="211" t="str">
        <f>IFERROR(__xludf.DUMMYFUNCTION("""COMPUTED_VALUE"""),"")</f>
        <v/>
      </c>
      <c r="E974" s="211" t="str">
        <f>IFERROR(__xludf.DUMMYFUNCTION("""COMPUTED_VALUE"""),"")</f>
        <v/>
      </c>
      <c r="F974" s="211" t="str">
        <f>IFERROR(__xludf.DUMMYFUNCTION("""COMPUTED_VALUE"""),"")</f>
        <v/>
      </c>
      <c r="G974" s="211"/>
      <c r="H974" s="211"/>
      <c r="I974" s="211" t="str">
        <f>IFERROR(__xludf.DUMMYFUNCTION("""COMPUTED_VALUE"""),"")</f>
        <v/>
      </c>
      <c r="J974" s="211"/>
    </row>
    <row r="975">
      <c r="A975" s="211"/>
      <c r="B975" s="211"/>
      <c r="C975" s="211"/>
      <c r="D975" s="211" t="str">
        <f>IFERROR(__xludf.DUMMYFUNCTION("""COMPUTED_VALUE"""),"")</f>
        <v/>
      </c>
      <c r="E975" s="211" t="str">
        <f>IFERROR(__xludf.DUMMYFUNCTION("""COMPUTED_VALUE"""),"")</f>
        <v/>
      </c>
      <c r="F975" s="211" t="str">
        <f>IFERROR(__xludf.DUMMYFUNCTION("""COMPUTED_VALUE"""),"")</f>
        <v/>
      </c>
      <c r="G975" s="211"/>
      <c r="H975" s="211"/>
      <c r="I975" s="211" t="str">
        <f>IFERROR(__xludf.DUMMYFUNCTION("""COMPUTED_VALUE"""),"")</f>
        <v/>
      </c>
      <c r="J975" s="211"/>
    </row>
    <row r="976">
      <c r="A976" s="211"/>
      <c r="B976" s="211"/>
      <c r="C976" s="211"/>
      <c r="D976" s="211" t="str">
        <f>IFERROR(__xludf.DUMMYFUNCTION("""COMPUTED_VALUE"""),"")</f>
        <v/>
      </c>
      <c r="E976" s="211" t="str">
        <f>IFERROR(__xludf.DUMMYFUNCTION("""COMPUTED_VALUE"""),"")</f>
        <v/>
      </c>
      <c r="F976" s="211" t="str">
        <f>IFERROR(__xludf.DUMMYFUNCTION("""COMPUTED_VALUE"""),"")</f>
        <v/>
      </c>
      <c r="G976" s="211"/>
      <c r="H976" s="211"/>
      <c r="I976" s="211" t="str">
        <f>IFERROR(__xludf.DUMMYFUNCTION("""COMPUTED_VALUE"""),"")</f>
        <v/>
      </c>
      <c r="J976" s="211"/>
    </row>
    <row r="977">
      <c r="A977" s="211"/>
      <c r="B977" s="211"/>
      <c r="C977" s="211"/>
      <c r="D977" s="211" t="str">
        <f>IFERROR(__xludf.DUMMYFUNCTION("""COMPUTED_VALUE"""),"")</f>
        <v/>
      </c>
      <c r="E977" s="211" t="str">
        <f>IFERROR(__xludf.DUMMYFUNCTION("""COMPUTED_VALUE"""),"")</f>
        <v/>
      </c>
      <c r="F977" s="211" t="str">
        <f>IFERROR(__xludf.DUMMYFUNCTION("""COMPUTED_VALUE"""),"")</f>
        <v/>
      </c>
      <c r="G977" s="211"/>
      <c r="H977" s="211"/>
      <c r="I977" s="211" t="str">
        <f>IFERROR(__xludf.DUMMYFUNCTION("""COMPUTED_VALUE"""),"")</f>
        <v/>
      </c>
      <c r="J977" s="211"/>
    </row>
    <row r="978">
      <c r="A978" s="211"/>
      <c r="B978" s="211"/>
      <c r="C978" s="211"/>
      <c r="D978" s="211" t="str">
        <f>IFERROR(__xludf.DUMMYFUNCTION("""COMPUTED_VALUE"""),"")</f>
        <v/>
      </c>
      <c r="E978" s="211" t="str">
        <f>IFERROR(__xludf.DUMMYFUNCTION("""COMPUTED_VALUE"""),"")</f>
        <v/>
      </c>
      <c r="F978" s="211" t="str">
        <f>IFERROR(__xludf.DUMMYFUNCTION("""COMPUTED_VALUE"""),"")</f>
        <v/>
      </c>
      <c r="G978" s="211"/>
      <c r="H978" s="211"/>
      <c r="I978" s="211" t="str">
        <f>IFERROR(__xludf.DUMMYFUNCTION("""COMPUTED_VALUE"""),"")</f>
        <v/>
      </c>
      <c r="J978" s="211"/>
    </row>
    <row r="979">
      <c r="A979" s="211"/>
      <c r="B979" s="211"/>
      <c r="C979" s="211"/>
      <c r="D979" s="211" t="str">
        <f>IFERROR(__xludf.DUMMYFUNCTION("""COMPUTED_VALUE"""),"")</f>
        <v/>
      </c>
      <c r="E979" s="211" t="str">
        <f>IFERROR(__xludf.DUMMYFUNCTION("""COMPUTED_VALUE"""),"")</f>
        <v/>
      </c>
      <c r="F979" s="211" t="str">
        <f>IFERROR(__xludf.DUMMYFUNCTION("""COMPUTED_VALUE"""),"")</f>
        <v/>
      </c>
      <c r="G979" s="211"/>
      <c r="H979" s="211"/>
      <c r="I979" s="211" t="str">
        <f>IFERROR(__xludf.DUMMYFUNCTION("""COMPUTED_VALUE"""),"")</f>
        <v/>
      </c>
      <c r="J979" s="211"/>
    </row>
    <row r="980">
      <c r="A980" s="211"/>
      <c r="B980" s="211"/>
      <c r="C980" s="211"/>
      <c r="D980" s="211" t="str">
        <f>IFERROR(__xludf.DUMMYFUNCTION("""COMPUTED_VALUE"""),"")</f>
        <v/>
      </c>
      <c r="E980" s="211" t="str">
        <f>IFERROR(__xludf.DUMMYFUNCTION("""COMPUTED_VALUE"""),"")</f>
        <v/>
      </c>
      <c r="F980" s="211" t="str">
        <f>IFERROR(__xludf.DUMMYFUNCTION("""COMPUTED_VALUE"""),"")</f>
        <v/>
      </c>
      <c r="G980" s="211"/>
      <c r="H980" s="211"/>
      <c r="I980" s="211" t="str">
        <f>IFERROR(__xludf.DUMMYFUNCTION("""COMPUTED_VALUE"""),"")</f>
        <v/>
      </c>
      <c r="J980" s="211"/>
    </row>
    <row r="981">
      <c r="A981" s="211"/>
      <c r="B981" s="211"/>
      <c r="C981" s="211"/>
      <c r="D981" s="211" t="str">
        <f>IFERROR(__xludf.DUMMYFUNCTION("""COMPUTED_VALUE"""),"")</f>
        <v/>
      </c>
      <c r="E981" s="211" t="str">
        <f>IFERROR(__xludf.DUMMYFUNCTION("""COMPUTED_VALUE"""),"")</f>
        <v/>
      </c>
      <c r="F981" s="211" t="str">
        <f>IFERROR(__xludf.DUMMYFUNCTION("""COMPUTED_VALUE"""),"")</f>
        <v/>
      </c>
      <c r="G981" s="211"/>
      <c r="H981" s="211"/>
      <c r="I981" s="211" t="str">
        <f>IFERROR(__xludf.DUMMYFUNCTION("""COMPUTED_VALUE"""),"")</f>
        <v/>
      </c>
      <c r="J981" s="211"/>
    </row>
    <row r="982">
      <c r="A982" s="211"/>
      <c r="B982" s="211"/>
      <c r="C982" s="211"/>
      <c r="D982" s="211" t="str">
        <f>IFERROR(__xludf.DUMMYFUNCTION("""COMPUTED_VALUE"""),"")</f>
        <v/>
      </c>
      <c r="E982" s="211" t="str">
        <f>IFERROR(__xludf.DUMMYFUNCTION("""COMPUTED_VALUE"""),"")</f>
        <v/>
      </c>
      <c r="F982" s="211" t="str">
        <f>IFERROR(__xludf.DUMMYFUNCTION("""COMPUTED_VALUE"""),"")</f>
        <v/>
      </c>
      <c r="G982" s="211"/>
      <c r="H982" s="211"/>
      <c r="I982" s="211" t="str">
        <f>IFERROR(__xludf.DUMMYFUNCTION("""COMPUTED_VALUE"""),"")</f>
        <v/>
      </c>
      <c r="J982" s="211"/>
    </row>
    <row r="983">
      <c r="A983" s="211"/>
      <c r="B983" s="211"/>
      <c r="C983" s="211"/>
      <c r="D983" s="211" t="str">
        <f>IFERROR(__xludf.DUMMYFUNCTION("""COMPUTED_VALUE"""),"")</f>
        <v/>
      </c>
      <c r="E983" s="211" t="str">
        <f>IFERROR(__xludf.DUMMYFUNCTION("""COMPUTED_VALUE"""),"")</f>
        <v/>
      </c>
      <c r="F983" s="211" t="str">
        <f>IFERROR(__xludf.DUMMYFUNCTION("""COMPUTED_VALUE"""),"")</f>
        <v/>
      </c>
      <c r="G983" s="211"/>
      <c r="H983" s="211"/>
      <c r="I983" s="211" t="str">
        <f>IFERROR(__xludf.DUMMYFUNCTION("""COMPUTED_VALUE"""),"")</f>
        <v/>
      </c>
      <c r="J983" s="211"/>
    </row>
    <row r="984">
      <c r="A984" s="211"/>
      <c r="B984" s="211"/>
      <c r="C984" s="211"/>
      <c r="D984" s="211" t="str">
        <f>IFERROR(__xludf.DUMMYFUNCTION("""COMPUTED_VALUE"""),"")</f>
        <v/>
      </c>
      <c r="E984" s="211" t="str">
        <f>IFERROR(__xludf.DUMMYFUNCTION("""COMPUTED_VALUE"""),"")</f>
        <v/>
      </c>
      <c r="F984" s="211" t="str">
        <f>IFERROR(__xludf.DUMMYFUNCTION("""COMPUTED_VALUE"""),"")</f>
        <v/>
      </c>
      <c r="G984" s="211"/>
      <c r="H984" s="211"/>
      <c r="I984" s="211" t="str">
        <f>IFERROR(__xludf.DUMMYFUNCTION("""COMPUTED_VALUE"""),"")</f>
        <v/>
      </c>
      <c r="J984" s="211"/>
    </row>
    <row r="985">
      <c r="A985" s="211"/>
      <c r="B985" s="211"/>
      <c r="C985" s="211"/>
      <c r="D985" s="211" t="str">
        <f>IFERROR(__xludf.DUMMYFUNCTION("""COMPUTED_VALUE"""),"")</f>
        <v/>
      </c>
      <c r="E985" s="211" t="str">
        <f>IFERROR(__xludf.DUMMYFUNCTION("""COMPUTED_VALUE"""),"")</f>
        <v/>
      </c>
      <c r="F985" s="211" t="str">
        <f>IFERROR(__xludf.DUMMYFUNCTION("""COMPUTED_VALUE"""),"")</f>
        <v/>
      </c>
      <c r="G985" s="211"/>
      <c r="H985" s="211"/>
      <c r="I985" s="211" t="str">
        <f>IFERROR(__xludf.DUMMYFUNCTION("""COMPUTED_VALUE"""),"")</f>
        <v/>
      </c>
      <c r="J985" s="211"/>
    </row>
    <row r="986">
      <c r="A986" s="211"/>
      <c r="B986" s="211"/>
      <c r="C986" s="211"/>
      <c r="D986" s="211" t="str">
        <f>IFERROR(__xludf.DUMMYFUNCTION("""COMPUTED_VALUE"""),"")</f>
        <v/>
      </c>
      <c r="E986" s="211" t="str">
        <f>IFERROR(__xludf.DUMMYFUNCTION("""COMPUTED_VALUE"""),"")</f>
        <v/>
      </c>
      <c r="F986" s="211" t="str">
        <f>IFERROR(__xludf.DUMMYFUNCTION("""COMPUTED_VALUE"""),"")</f>
        <v/>
      </c>
      <c r="G986" s="211"/>
      <c r="H986" s="211"/>
      <c r="I986" s="211" t="str">
        <f>IFERROR(__xludf.DUMMYFUNCTION("""COMPUTED_VALUE"""),"")</f>
        <v/>
      </c>
      <c r="J986" s="211"/>
    </row>
    <row r="987">
      <c r="A987" s="211"/>
      <c r="B987" s="211"/>
      <c r="C987" s="211"/>
      <c r="D987" s="211" t="str">
        <f>IFERROR(__xludf.DUMMYFUNCTION("""COMPUTED_VALUE"""),"")</f>
        <v/>
      </c>
      <c r="E987" s="211" t="str">
        <f>IFERROR(__xludf.DUMMYFUNCTION("""COMPUTED_VALUE"""),"")</f>
        <v/>
      </c>
      <c r="F987" s="211" t="str">
        <f>IFERROR(__xludf.DUMMYFUNCTION("""COMPUTED_VALUE"""),"")</f>
        <v/>
      </c>
      <c r="G987" s="211"/>
      <c r="H987" s="211"/>
      <c r="I987" s="211" t="str">
        <f>IFERROR(__xludf.DUMMYFUNCTION("""COMPUTED_VALUE"""),"")</f>
        <v/>
      </c>
      <c r="J987" s="211"/>
    </row>
    <row r="988">
      <c r="A988" s="211"/>
      <c r="B988" s="211"/>
      <c r="C988" s="211"/>
      <c r="D988" s="211" t="str">
        <f>IFERROR(__xludf.DUMMYFUNCTION("""COMPUTED_VALUE"""),"")</f>
        <v/>
      </c>
      <c r="E988" s="211" t="str">
        <f>IFERROR(__xludf.DUMMYFUNCTION("""COMPUTED_VALUE"""),"")</f>
        <v/>
      </c>
      <c r="F988" s="211" t="str">
        <f>IFERROR(__xludf.DUMMYFUNCTION("""COMPUTED_VALUE"""),"")</f>
        <v/>
      </c>
      <c r="G988" s="211"/>
      <c r="H988" s="211"/>
      <c r="I988" s="211" t="str">
        <f>IFERROR(__xludf.DUMMYFUNCTION("""COMPUTED_VALUE"""),"")</f>
        <v/>
      </c>
      <c r="J988" s="211"/>
    </row>
    <row r="989">
      <c r="A989" s="211"/>
      <c r="B989" s="211"/>
      <c r="C989" s="211"/>
      <c r="D989" s="211" t="str">
        <f>IFERROR(__xludf.DUMMYFUNCTION("""COMPUTED_VALUE"""),"")</f>
        <v/>
      </c>
      <c r="E989" s="211" t="str">
        <f>IFERROR(__xludf.DUMMYFUNCTION("""COMPUTED_VALUE"""),"")</f>
        <v/>
      </c>
      <c r="F989" s="211" t="str">
        <f>IFERROR(__xludf.DUMMYFUNCTION("""COMPUTED_VALUE"""),"")</f>
        <v/>
      </c>
      <c r="G989" s="211"/>
      <c r="H989" s="211"/>
      <c r="I989" s="211" t="str">
        <f>IFERROR(__xludf.DUMMYFUNCTION("""COMPUTED_VALUE"""),"")</f>
        <v/>
      </c>
      <c r="J989" s="211"/>
    </row>
    <row r="990">
      <c r="A990" s="211"/>
      <c r="B990" s="211"/>
      <c r="C990" s="211"/>
      <c r="D990" s="211" t="str">
        <f>IFERROR(__xludf.DUMMYFUNCTION("""COMPUTED_VALUE"""),"")</f>
        <v/>
      </c>
      <c r="E990" s="211" t="str">
        <f>IFERROR(__xludf.DUMMYFUNCTION("""COMPUTED_VALUE"""),"")</f>
        <v/>
      </c>
      <c r="F990" s="211" t="str">
        <f>IFERROR(__xludf.DUMMYFUNCTION("""COMPUTED_VALUE"""),"")</f>
        <v/>
      </c>
      <c r="G990" s="211"/>
      <c r="H990" s="211"/>
      <c r="I990" s="211" t="str">
        <f>IFERROR(__xludf.DUMMYFUNCTION("""COMPUTED_VALUE"""),"")</f>
        <v/>
      </c>
      <c r="J990" s="211"/>
    </row>
    <row r="991">
      <c r="A991" s="211"/>
      <c r="B991" s="211"/>
      <c r="C991" s="211"/>
      <c r="D991" s="211" t="str">
        <f>IFERROR(__xludf.DUMMYFUNCTION("""COMPUTED_VALUE"""),"")</f>
        <v/>
      </c>
      <c r="E991" s="211" t="str">
        <f>IFERROR(__xludf.DUMMYFUNCTION("""COMPUTED_VALUE"""),"")</f>
        <v/>
      </c>
      <c r="F991" s="211" t="str">
        <f>IFERROR(__xludf.DUMMYFUNCTION("""COMPUTED_VALUE"""),"")</f>
        <v/>
      </c>
      <c r="G991" s="211"/>
      <c r="H991" s="211"/>
      <c r="I991" s="211" t="str">
        <f>IFERROR(__xludf.DUMMYFUNCTION("""COMPUTED_VALUE"""),"")</f>
        <v/>
      </c>
      <c r="J991" s="211"/>
    </row>
    <row r="992">
      <c r="A992" s="211"/>
      <c r="B992" s="211"/>
      <c r="C992" s="211"/>
      <c r="D992" s="211" t="str">
        <f>IFERROR(__xludf.DUMMYFUNCTION("""COMPUTED_VALUE"""),"")</f>
        <v/>
      </c>
      <c r="E992" s="211" t="str">
        <f>IFERROR(__xludf.DUMMYFUNCTION("""COMPUTED_VALUE"""),"")</f>
        <v/>
      </c>
      <c r="F992" s="211" t="str">
        <f>IFERROR(__xludf.DUMMYFUNCTION("""COMPUTED_VALUE"""),"")</f>
        <v/>
      </c>
      <c r="G992" s="211"/>
      <c r="H992" s="211"/>
      <c r="I992" s="211" t="str">
        <f>IFERROR(__xludf.DUMMYFUNCTION("""COMPUTED_VALUE"""),"")</f>
        <v/>
      </c>
      <c r="J992" s="211"/>
    </row>
    <row r="993">
      <c r="A993" s="211"/>
      <c r="B993" s="211"/>
      <c r="C993" s="211"/>
      <c r="D993" s="211" t="str">
        <f>IFERROR(__xludf.DUMMYFUNCTION("""COMPUTED_VALUE"""),"")</f>
        <v/>
      </c>
      <c r="E993" s="211" t="str">
        <f>IFERROR(__xludf.DUMMYFUNCTION("""COMPUTED_VALUE"""),"")</f>
        <v/>
      </c>
      <c r="F993" s="211" t="str">
        <f>IFERROR(__xludf.DUMMYFUNCTION("""COMPUTED_VALUE"""),"")</f>
        <v/>
      </c>
      <c r="G993" s="211"/>
      <c r="H993" s="211"/>
      <c r="I993" s="211" t="str">
        <f>IFERROR(__xludf.DUMMYFUNCTION("""COMPUTED_VALUE"""),"")</f>
        <v/>
      </c>
      <c r="J993" s="211"/>
    </row>
    <row r="994">
      <c r="A994" s="211"/>
      <c r="B994" s="211"/>
      <c r="C994" s="211"/>
      <c r="D994" s="211" t="str">
        <f>IFERROR(__xludf.DUMMYFUNCTION("""COMPUTED_VALUE"""),"")</f>
        <v/>
      </c>
      <c r="E994" s="211" t="str">
        <f>IFERROR(__xludf.DUMMYFUNCTION("""COMPUTED_VALUE"""),"")</f>
        <v/>
      </c>
      <c r="F994" s="211" t="str">
        <f>IFERROR(__xludf.DUMMYFUNCTION("""COMPUTED_VALUE"""),"")</f>
        <v/>
      </c>
      <c r="G994" s="211"/>
      <c r="H994" s="211"/>
      <c r="I994" s="211" t="str">
        <f>IFERROR(__xludf.DUMMYFUNCTION("""COMPUTED_VALUE"""),"")</f>
        <v/>
      </c>
      <c r="J994" s="211"/>
    </row>
    <row r="995">
      <c r="A995" s="211"/>
      <c r="B995" s="211"/>
      <c r="C995" s="211"/>
      <c r="D995" s="211" t="str">
        <f>IFERROR(__xludf.DUMMYFUNCTION("""COMPUTED_VALUE"""),"")</f>
        <v/>
      </c>
      <c r="E995" s="211" t="str">
        <f>IFERROR(__xludf.DUMMYFUNCTION("""COMPUTED_VALUE"""),"")</f>
        <v/>
      </c>
      <c r="F995" s="211" t="str">
        <f>IFERROR(__xludf.DUMMYFUNCTION("""COMPUTED_VALUE"""),"")</f>
        <v/>
      </c>
      <c r="G995" s="211"/>
      <c r="H995" s="211"/>
      <c r="I995" s="211" t="str">
        <f>IFERROR(__xludf.DUMMYFUNCTION("""COMPUTED_VALUE"""),"")</f>
        <v/>
      </c>
      <c r="J995" s="211"/>
    </row>
    <row r="996">
      <c r="A996" s="211"/>
      <c r="B996" s="211"/>
      <c r="C996" s="211"/>
      <c r="D996" s="211" t="str">
        <f>IFERROR(__xludf.DUMMYFUNCTION("""COMPUTED_VALUE"""),"")</f>
        <v/>
      </c>
      <c r="E996" s="211" t="str">
        <f>IFERROR(__xludf.DUMMYFUNCTION("""COMPUTED_VALUE"""),"")</f>
        <v/>
      </c>
      <c r="F996" s="211" t="str">
        <f>IFERROR(__xludf.DUMMYFUNCTION("""COMPUTED_VALUE"""),"")</f>
        <v/>
      </c>
      <c r="G996" s="211"/>
      <c r="H996" s="211"/>
      <c r="I996" s="211" t="str">
        <f>IFERROR(__xludf.DUMMYFUNCTION("""COMPUTED_VALUE"""),"")</f>
        <v/>
      </c>
      <c r="J996" s="211"/>
    </row>
    <row r="997">
      <c r="A997" s="211"/>
      <c r="B997" s="211"/>
      <c r="C997" s="211"/>
      <c r="D997" s="211" t="str">
        <f>IFERROR(__xludf.DUMMYFUNCTION("""COMPUTED_VALUE"""),"")</f>
        <v/>
      </c>
      <c r="E997" s="211" t="str">
        <f>IFERROR(__xludf.DUMMYFUNCTION("""COMPUTED_VALUE"""),"")</f>
        <v/>
      </c>
      <c r="F997" s="211" t="str">
        <f>IFERROR(__xludf.DUMMYFUNCTION("""COMPUTED_VALUE"""),"")</f>
        <v/>
      </c>
      <c r="G997" s="211"/>
      <c r="H997" s="211"/>
      <c r="I997" s="211" t="str">
        <f>IFERROR(__xludf.DUMMYFUNCTION("""COMPUTED_VALUE"""),"")</f>
        <v/>
      </c>
      <c r="J997" s="211"/>
    </row>
    <row r="998">
      <c r="A998" s="211"/>
      <c r="B998" s="211"/>
      <c r="C998" s="211"/>
      <c r="D998" s="211" t="str">
        <f>IFERROR(__xludf.DUMMYFUNCTION("""COMPUTED_VALUE"""),"")</f>
        <v/>
      </c>
      <c r="E998" s="211" t="str">
        <f>IFERROR(__xludf.DUMMYFUNCTION("""COMPUTED_VALUE"""),"")</f>
        <v/>
      </c>
      <c r="F998" s="211" t="str">
        <f>IFERROR(__xludf.DUMMYFUNCTION("""COMPUTED_VALUE"""),"")</f>
        <v/>
      </c>
      <c r="G998" s="211"/>
      <c r="H998" s="211"/>
      <c r="I998" s="211" t="str">
        <f>IFERROR(__xludf.DUMMYFUNCTION("""COMPUTED_VALUE"""),"")</f>
        <v/>
      </c>
      <c r="J998" s="211"/>
    </row>
    <row r="999">
      <c r="A999" s="211"/>
      <c r="B999" s="211"/>
      <c r="C999" s="211"/>
      <c r="D999" s="211" t="str">
        <f>IFERROR(__xludf.DUMMYFUNCTION("""COMPUTED_VALUE"""),"")</f>
        <v/>
      </c>
      <c r="E999" s="211" t="str">
        <f>IFERROR(__xludf.DUMMYFUNCTION("""COMPUTED_VALUE"""),"")</f>
        <v/>
      </c>
      <c r="F999" s="211" t="str">
        <f>IFERROR(__xludf.DUMMYFUNCTION("""COMPUTED_VALUE"""),"")</f>
        <v/>
      </c>
      <c r="G999" s="211"/>
      <c r="H999" s="211"/>
      <c r="I999" s="211" t="str">
        <f>IFERROR(__xludf.DUMMYFUNCTION("""COMPUTED_VALUE"""),"")</f>
        <v/>
      </c>
      <c r="J999" s="211"/>
    </row>
    <row r="1000">
      <c r="A1000" s="211"/>
      <c r="B1000" s="211"/>
      <c r="C1000" s="211"/>
      <c r="D1000" s="211" t="str">
        <f>IFERROR(__xludf.DUMMYFUNCTION("""COMPUTED_VALUE"""),"")</f>
        <v/>
      </c>
      <c r="E1000" s="211" t="str">
        <f>IFERROR(__xludf.DUMMYFUNCTION("""COMPUTED_VALUE"""),"")</f>
        <v/>
      </c>
      <c r="F1000" s="211" t="str">
        <f>IFERROR(__xludf.DUMMYFUNCTION("""COMPUTED_VALUE"""),"")</f>
        <v/>
      </c>
      <c r="G1000" s="211"/>
      <c r="H1000" s="211"/>
      <c r="I1000" s="211" t="str">
        <f>IFERROR(__xludf.DUMMYFUNCTION("""COMPUTED_VALUE"""),"")</f>
        <v/>
      </c>
      <c r="J1000" s="211"/>
    </row>
  </sheetData>
  <autoFilter ref="$A$1:$Z$150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2" max="2" width="3.43"/>
    <col customWidth="1" min="4" max="4" width="18.43"/>
    <col customWidth="1" min="7" max="7" width="21.0"/>
  </cols>
  <sheetData>
    <row r="1" ht="1.5" customHeight="1">
      <c r="A1" s="175"/>
      <c r="E1" s="176"/>
      <c r="F1" s="176"/>
      <c r="G1" s="176"/>
      <c r="H1" s="177"/>
      <c r="I1" s="177"/>
      <c r="J1" s="177"/>
      <c r="K1" s="177"/>
      <c r="L1" s="177"/>
      <c r="M1" s="177"/>
      <c r="N1" s="177"/>
      <c r="O1" s="177"/>
      <c r="P1" s="177"/>
      <c r="Q1" s="177"/>
      <c r="R1" s="177"/>
      <c r="S1" s="177"/>
      <c r="T1" s="177"/>
      <c r="U1" s="177"/>
      <c r="V1" s="177"/>
      <c r="W1" s="177"/>
      <c r="X1" s="177"/>
      <c r="Y1" s="177"/>
      <c r="Z1" s="177"/>
    </row>
    <row r="2">
      <c r="E2" s="176"/>
      <c r="F2" s="176"/>
      <c r="G2" s="176"/>
      <c r="H2" s="177"/>
      <c r="I2" s="177"/>
      <c r="J2" s="177"/>
      <c r="K2" s="177"/>
      <c r="L2" s="177"/>
      <c r="M2" s="177"/>
      <c r="N2" s="177"/>
      <c r="O2" s="177"/>
      <c r="P2" s="177"/>
      <c r="Q2" s="177"/>
      <c r="R2" s="177"/>
      <c r="S2" s="177"/>
      <c r="T2" s="177"/>
      <c r="U2" s="177"/>
      <c r="V2" s="177"/>
      <c r="W2" s="177"/>
      <c r="X2" s="177"/>
      <c r="Y2" s="177"/>
      <c r="Z2" s="177"/>
    </row>
    <row r="3">
      <c r="E3" s="176"/>
      <c r="F3" s="176"/>
      <c r="G3" s="176"/>
      <c r="H3" s="177"/>
      <c r="I3" s="177"/>
      <c r="J3" s="177"/>
      <c r="K3" s="177"/>
      <c r="L3" s="177"/>
      <c r="M3" s="177"/>
      <c r="N3" s="177"/>
      <c r="O3" s="177"/>
      <c r="P3" s="177"/>
      <c r="Q3" s="177"/>
      <c r="R3" s="177"/>
      <c r="S3" s="177"/>
      <c r="T3" s="177"/>
      <c r="U3" s="177"/>
      <c r="V3" s="177"/>
      <c r="W3" s="177"/>
      <c r="X3" s="177"/>
      <c r="Y3" s="177"/>
      <c r="Z3" s="177"/>
    </row>
    <row r="4">
      <c r="E4" s="176"/>
      <c r="F4" s="178" t="s">
        <v>80</v>
      </c>
      <c r="H4" s="177"/>
      <c r="I4" s="177"/>
      <c r="J4" s="177"/>
      <c r="K4" s="177"/>
      <c r="L4" s="177"/>
      <c r="M4" s="177"/>
      <c r="N4" s="177"/>
      <c r="O4" s="177"/>
      <c r="P4" s="177"/>
      <c r="Q4" s="177"/>
      <c r="R4" s="177"/>
      <c r="S4" s="177"/>
      <c r="T4" s="177"/>
      <c r="U4" s="177"/>
      <c r="V4" s="177"/>
      <c r="W4" s="177"/>
      <c r="X4" s="177"/>
      <c r="Y4" s="177"/>
      <c r="Z4" s="177"/>
    </row>
    <row r="5">
      <c r="E5" s="176"/>
      <c r="H5" s="177"/>
      <c r="I5" s="177"/>
      <c r="J5" s="177"/>
      <c r="K5" s="177"/>
      <c r="L5" s="177"/>
      <c r="M5" s="177"/>
      <c r="N5" s="177"/>
      <c r="O5" s="177"/>
      <c r="P5" s="177"/>
      <c r="Q5" s="177"/>
      <c r="R5" s="177"/>
      <c r="S5" s="177"/>
      <c r="T5" s="177"/>
      <c r="U5" s="177"/>
      <c r="V5" s="177"/>
      <c r="W5" s="177"/>
      <c r="X5" s="177"/>
      <c r="Y5" s="177"/>
      <c r="Z5" s="177"/>
    </row>
    <row r="6">
      <c r="A6" s="179" t="s">
        <v>81</v>
      </c>
      <c r="E6" s="176"/>
      <c r="H6" s="177"/>
      <c r="I6" s="177"/>
      <c r="J6" s="177"/>
      <c r="K6" s="177"/>
      <c r="L6" s="177"/>
      <c r="M6" s="177"/>
      <c r="N6" s="177"/>
      <c r="O6" s="177"/>
      <c r="P6" s="177"/>
      <c r="Q6" s="177"/>
      <c r="R6" s="177"/>
      <c r="S6" s="177"/>
      <c r="T6" s="177"/>
      <c r="U6" s="177"/>
      <c r="V6" s="177"/>
      <c r="W6" s="177"/>
      <c r="X6" s="177"/>
      <c r="Y6" s="177"/>
      <c r="Z6" s="177"/>
    </row>
    <row r="7">
      <c r="E7" s="176"/>
      <c r="F7" s="180" t="s">
        <v>82</v>
      </c>
      <c r="G7" s="226">
        <v>46125.0</v>
      </c>
      <c r="H7" s="177"/>
      <c r="I7" s="177"/>
      <c r="J7" s="177"/>
      <c r="K7" s="177"/>
      <c r="L7" s="177"/>
      <c r="M7" s="177"/>
      <c r="N7" s="177"/>
      <c r="O7" s="177"/>
      <c r="P7" s="177"/>
      <c r="Q7" s="177"/>
      <c r="R7" s="177"/>
      <c r="S7" s="177"/>
      <c r="T7" s="177"/>
      <c r="U7" s="177"/>
      <c r="V7" s="177"/>
      <c r="W7" s="177"/>
      <c r="X7" s="177"/>
      <c r="Y7" s="177"/>
      <c r="Z7" s="177"/>
    </row>
    <row r="8" ht="5.25" customHeight="1">
      <c r="E8" s="176"/>
      <c r="F8" s="176"/>
      <c r="G8" s="176"/>
      <c r="H8" s="177"/>
      <c r="I8" s="177"/>
      <c r="J8" s="177"/>
      <c r="K8" s="177"/>
      <c r="L8" s="177"/>
      <c r="M8" s="177"/>
      <c r="N8" s="177"/>
      <c r="O8" s="177"/>
      <c r="P8" s="177"/>
      <c r="Q8" s="177"/>
      <c r="R8" s="177"/>
      <c r="S8" s="177"/>
      <c r="T8" s="177"/>
      <c r="U8" s="177"/>
      <c r="V8" s="177"/>
      <c r="W8" s="177"/>
      <c r="X8" s="177"/>
      <c r="Y8" s="177"/>
      <c r="Z8" s="177"/>
    </row>
    <row r="9">
      <c r="E9" s="176"/>
      <c r="F9" s="176"/>
      <c r="G9" s="176"/>
      <c r="H9" s="177"/>
      <c r="I9" s="177"/>
      <c r="J9" s="177"/>
      <c r="K9" s="177"/>
      <c r="L9" s="177"/>
      <c r="M9" s="177"/>
      <c r="N9" s="177"/>
      <c r="O9" s="177"/>
      <c r="P9" s="177"/>
      <c r="Q9" s="177"/>
      <c r="R9" s="177"/>
      <c r="S9" s="177"/>
      <c r="T9" s="177"/>
      <c r="U9" s="177"/>
      <c r="V9" s="177"/>
      <c r="W9" s="177"/>
      <c r="X9" s="177"/>
      <c r="Y9" s="177"/>
      <c r="Z9" s="177"/>
    </row>
    <row r="10">
      <c r="A10" s="176"/>
      <c r="B10" s="176"/>
      <c r="C10" s="176"/>
      <c r="D10" s="176"/>
      <c r="E10" s="176"/>
      <c r="F10" s="176"/>
      <c r="G10" s="176"/>
      <c r="H10" s="177"/>
      <c r="I10" s="177"/>
      <c r="J10" s="177"/>
      <c r="K10" s="177"/>
      <c r="L10" s="177"/>
      <c r="M10" s="177"/>
      <c r="N10" s="177"/>
      <c r="O10" s="177"/>
      <c r="P10" s="177"/>
      <c r="Q10" s="177"/>
      <c r="R10" s="177"/>
      <c r="S10" s="177"/>
      <c r="T10" s="177"/>
      <c r="U10" s="177"/>
      <c r="V10" s="177"/>
      <c r="W10" s="177"/>
      <c r="X10" s="177"/>
      <c r="Y10" s="177"/>
      <c r="Z10" s="177"/>
    </row>
    <row r="11">
      <c r="A11" s="182" t="s">
        <v>83</v>
      </c>
      <c r="B11" s="183" t="s">
        <v>84</v>
      </c>
      <c r="C11" s="191" t="s">
        <v>95</v>
      </c>
      <c r="D11" s="185"/>
      <c r="E11" s="185"/>
      <c r="F11" s="185"/>
      <c r="G11" s="186"/>
      <c r="H11" s="177"/>
      <c r="I11" s="177"/>
      <c r="J11" s="177"/>
      <c r="K11" s="177"/>
      <c r="L11" s="177"/>
      <c r="M11" s="177"/>
      <c r="N11" s="177"/>
      <c r="O11" s="177"/>
      <c r="P11" s="177"/>
      <c r="Q11" s="177"/>
      <c r="R11" s="177"/>
      <c r="S11" s="177"/>
      <c r="T11" s="177"/>
      <c r="U11" s="177"/>
      <c r="V11" s="177"/>
      <c r="W11" s="177"/>
      <c r="X11" s="177"/>
      <c r="Y11" s="177"/>
      <c r="Z11" s="177"/>
    </row>
    <row r="12">
      <c r="A12" s="176"/>
      <c r="B12" s="187"/>
      <c r="C12" s="191" t="s">
        <v>96</v>
      </c>
      <c r="D12" s="185"/>
      <c r="E12" s="185"/>
      <c r="F12" s="185"/>
      <c r="G12" s="185"/>
      <c r="H12" s="189"/>
      <c r="I12" s="177"/>
      <c r="J12" s="177"/>
      <c r="K12" s="177"/>
      <c r="L12" s="177"/>
      <c r="M12" s="177"/>
      <c r="N12" s="177"/>
      <c r="O12" s="177"/>
      <c r="P12" s="177"/>
      <c r="Q12" s="177"/>
      <c r="R12" s="177"/>
      <c r="S12" s="177"/>
      <c r="T12" s="177"/>
      <c r="U12" s="177"/>
      <c r="V12" s="177"/>
      <c r="W12" s="177"/>
      <c r="X12" s="177"/>
      <c r="Y12" s="177"/>
      <c r="Z12" s="177"/>
    </row>
    <row r="13">
      <c r="A13" s="176"/>
      <c r="B13" s="187"/>
      <c r="C13" s="191"/>
      <c r="D13" s="190"/>
      <c r="E13" s="190"/>
      <c r="F13" s="190"/>
      <c r="G13" s="190"/>
      <c r="H13" s="189"/>
      <c r="I13" s="177"/>
      <c r="J13" s="177"/>
      <c r="K13" s="177"/>
      <c r="L13" s="177"/>
      <c r="M13" s="177"/>
      <c r="N13" s="177"/>
      <c r="O13" s="177"/>
      <c r="P13" s="177"/>
      <c r="Q13" s="177"/>
      <c r="R13" s="177"/>
      <c r="S13" s="177"/>
      <c r="T13" s="177"/>
      <c r="U13" s="177"/>
      <c r="V13" s="177"/>
      <c r="W13" s="177"/>
      <c r="X13" s="177"/>
      <c r="Y13" s="177"/>
      <c r="Z13" s="177"/>
    </row>
    <row r="14">
      <c r="A14" s="176"/>
      <c r="B14" s="187"/>
      <c r="C14" s="227"/>
      <c r="D14" s="185"/>
      <c r="E14" s="185"/>
      <c r="F14" s="185"/>
      <c r="G14" s="185"/>
      <c r="H14" s="189"/>
      <c r="I14" s="177"/>
      <c r="J14" s="177"/>
      <c r="K14" s="177"/>
      <c r="L14" s="177"/>
      <c r="M14" s="177"/>
      <c r="N14" s="177"/>
      <c r="O14" s="177"/>
      <c r="P14" s="177"/>
      <c r="Q14" s="177"/>
      <c r="R14" s="177"/>
      <c r="S14" s="177"/>
      <c r="T14" s="177"/>
      <c r="U14" s="177"/>
      <c r="V14" s="177"/>
      <c r="W14" s="177"/>
      <c r="X14" s="177"/>
      <c r="Y14" s="177"/>
      <c r="Z14" s="177"/>
    </row>
    <row r="15">
      <c r="A15" s="176"/>
      <c r="B15" s="187"/>
      <c r="C15" s="185"/>
      <c r="D15" s="185"/>
      <c r="E15" s="185"/>
      <c r="F15" s="185"/>
      <c r="G15" s="185"/>
      <c r="H15" s="189"/>
      <c r="I15" s="177"/>
      <c r="J15" s="177"/>
      <c r="K15" s="177"/>
      <c r="L15" s="177"/>
      <c r="M15" s="177"/>
      <c r="N15" s="177"/>
      <c r="O15" s="177"/>
      <c r="P15" s="177"/>
      <c r="Q15" s="177"/>
      <c r="R15" s="177"/>
      <c r="S15" s="177"/>
      <c r="T15" s="177"/>
      <c r="U15" s="177"/>
      <c r="V15" s="177"/>
      <c r="W15" s="177"/>
      <c r="X15" s="177"/>
      <c r="Y15" s="177"/>
      <c r="Z15" s="177"/>
    </row>
    <row r="16">
      <c r="A16" s="176"/>
      <c r="B16" s="187"/>
      <c r="C16" s="176"/>
      <c r="D16" s="176"/>
      <c r="E16" s="176"/>
      <c r="F16" s="176"/>
      <c r="G16" s="176"/>
      <c r="H16" s="177"/>
      <c r="I16" s="177"/>
      <c r="J16" s="177"/>
      <c r="K16" s="177"/>
      <c r="L16" s="177"/>
      <c r="M16" s="177"/>
      <c r="N16" s="177"/>
      <c r="O16" s="177"/>
      <c r="P16" s="177"/>
      <c r="Q16" s="177"/>
      <c r="R16" s="177"/>
      <c r="S16" s="177"/>
      <c r="T16" s="177"/>
      <c r="U16" s="177"/>
      <c r="V16" s="177"/>
      <c r="W16" s="177"/>
      <c r="X16" s="177"/>
      <c r="Y16" s="177"/>
      <c r="Z16" s="177"/>
    </row>
    <row r="17">
      <c r="A17" s="182" t="s">
        <v>85</v>
      </c>
      <c r="B17" s="183" t="s">
        <v>84</v>
      </c>
      <c r="C17" s="191" t="s">
        <v>97</v>
      </c>
      <c r="D17" s="16"/>
      <c r="E17" s="16"/>
      <c r="F17" s="176"/>
      <c r="G17" s="176"/>
      <c r="H17" s="177"/>
      <c r="I17" s="177"/>
      <c r="J17" s="177"/>
      <c r="K17" s="177"/>
      <c r="L17" s="177"/>
      <c r="M17" s="177"/>
      <c r="N17" s="177"/>
      <c r="O17" s="177"/>
      <c r="P17" s="177"/>
      <c r="Q17" s="177"/>
      <c r="R17" s="177"/>
      <c r="S17" s="177"/>
      <c r="T17" s="177"/>
      <c r="U17" s="177"/>
      <c r="V17" s="177"/>
      <c r="W17" s="177"/>
      <c r="X17" s="177"/>
      <c r="Y17" s="177"/>
      <c r="Z17" s="177"/>
    </row>
    <row r="18">
      <c r="A18" s="177"/>
      <c r="B18" s="177"/>
      <c r="C18" s="177"/>
      <c r="D18" s="177"/>
      <c r="E18" s="177"/>
      <c r="F18" s="177"/>
      <c r="G18" s="189"/>
      <c r="H18" s="177"/>
      <c r="I18" s="177"/>
      <c r="J18" s="177"/>
      <c r="K18" s="177"/>
      <c r="L18" s="177"/>
      <c r="M18" s="177"/>
      <c r="N18" s="177"/>
      <c r="O18" s="177"/>
      <c r="P18" s="177"/>
      <c r="Q18" s="177"/>
      <c r="R18" s="177"/>
      <c r="S18" s="177"/>
      <c r="T18" s="177"/>
      <c r="U18" s="177"/>
      <c r="V18" s="177"/>
      <c r="W18" s="177"/>
      <c r="X18" s="177"/>
      <c r="Y18" s="177"/>
      <c r="Z18" s="177"/>
    </row>
    <row r="19">
      <c r="A19" s="192" t="s">
        <v>86</v>
      </c>
      <c r="D19" s="177"/>
      <c r="E19" s="177"/>
      <c r="F19" s="192" t="s">
        <v>87</v>
      </c>
      <c r="H19" s="177"/>
      <c r="I19" s="177"/>
      <c r="J19" s="177"/>
      <c r="K19" s="177"/>
      <c r="L19" s="177"/>
      <c r="M19" s="177"/>
      <c r="N19" s="177"/>
      <c r="O19" s="177"/>
      <c r="P19" s="177"/>
      <c r="Q19" s="177"/>
      <c r="R19" s="177"/>
      <c r="S19" s="177"/>
      <c r="T19" s="177"/>
      <c r="U19" s="177"/>
      <c r="V19" s="177"/>
      <c r="W19" s="177"/>
      <c r="X19" s="177"/>
      <c r="Y19" s="177"/>
      <c r="Z19" s="177"/>
    </row>
    <row r="20">
      <c r="A20" s="177"/>
      <c r="B20" s="177"/>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c r="A21" s="177"/>
      <c r="B21" s="177"/>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row>
    <row r="22">
      <c r="A22" s="177"/>
      <c r="B22" s="177"/>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c r="A23" s="177"/>
      <c r="B23" s="177"/>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row>
    <row r="24">
      <c r="A24" s="193"/>
      <c r="B24" s="16"/>
      <c r="C24" s="16"/>
      <c r="D24" s="177"/>
      <c r="E24" s="177"/>
      <c r="F24" s="194"/>
      <c r="G24" s="16"/>
      <c r="H24" s="177"/>
      <c r="I24" s="177"/>
      <c r="J24" s="177"/>
      <c r="K24" s="177"/>
      <c r="L24" s="177"/>
      <c r="M24" s="177"/>
      <c r="N24" s="177"/>
      <c r="O24" s="177"/>
      <c r="P24" s="177"/>
      <c r="Q24" s="177"/>
      <c r="R24" s="177"/>
      <c r="S24" s="177"/>
      <c r="T24" s="177"/>
      <c r="U24" s="177"/>
      <c r="V24" s="177"/>
      <c r="W24" s="177"/>
      <c r="X24" s="177"/>
      <c r="Y24" s="177"/>
      <c r="Z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8">
    <mergeCell ref="A1:D5"/>
    <mergeCell ref="F4:G6"/>
    <mergeCell ref="A6:D9"/>
    <mergeCell ref="C17:E17"/>
    <mergeCell ref="A19:C19"/>
    <mergeCell ref="F19:G19"/>
    <mergeCell ref="A24:C24"/>
    <mergeCell ref="F24:G24"/>
  </mergeCells>
  <dataValidations>
    <dataValidation type="list" allowBlank="1" sqref="C17">
      <formula1>database!$AD$2:$AD1000</formula1>
    </dataValidation>
  </dataValidations>
  <printOptions horizontalCentered="1"/>
  <pageMargins bottom="0.39370078740157477" footer="0.0" header="0.0" left="0.5905511811023622" right="0.984251968503937" top="0.6496062992125984"/>
  <pageSetup orientation="landscape" pageOrder="overThenDown" paperHeight="5.511811023622046in" paperWidth="9.448818897637794i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pageSetUpPr fitToPage="1"/>
  </sheetPr>
  <sheetViews>
    <sheetView workbookViewId="0"/>
  </sheetViews>
  <sheetFormatPr customHeight="1" defaultColWidth="14.43" defaultRowHeight="15.0"/>
  <cols>
    <col customWidth="1" min="1" max="1" width="5.86"/>
    <col customWidth="1" min="2" max="6" width="21.57"/>
    <col customWidth="1" min="7" max="7" width="2.29"/>
    <col customWidth="1" min="8" max="12" width="21.57"/>
    <col customWidth="1" min="13" max="13" width="5.86"/>
  </cols>
  <sheetData>
    <row r="1" ht="60.0" customHeight="1">
      <c r="A1" s="228"/>
      <c r="B1" s="229"/>
      <c r="F1" s="230"/>
      <c r="G1" s="230"/>
      <c r="H1" s="230"/>
      <c r="I1" s="231"/>
      <c r="J1" s="232" t="s">
        <v>98</v>
      </c>
      <c r="M1" s="231"/>
    </row>
    <row r="2" ht="60.0" customHeight="1">
      <c r="A2" s="228"/>
      <c r="F2" s="230"/>
      <c r="G2" s="230"/>
      <c r="H2" s="230"/>
      <c r="I2" s="233"/>
      <c r="J2" s="234" t="s">
        <v>99</v>
      </c>
      <c r="M2" s="230"/>
    </row>
    <row r="3" ht="60.0" customHeight="1">
      <c r="A3" s="228"/>
      <c r="B3" s="235" t="s">
        <v>1</v>
      </c>
      <c r="F3" s="230"/>
      <c r="G3" s="230"/>
      <c r="H3" s="230"/>
      <c r="I3" s="236"/>
      <c r="J3" s="236" t="s">
        <v>100</v>
      </c>
      <c r="K3" s="233"/>
      <c r="M3" s="230"/>
    </row>
    <row r="4" ht="60.0" customHeight="1">
      <c r="A4" s="228"/>
      <c r="F4" s="230"/>
      <c r="G4" s="230"/>
      <c r="H4" s="230"/>
      <c r="I4" s="236"/>
      <c r="J4" s="236" t="s">
        <v>82</v>
      </c>
      <c r="K4" s="237"/>
      <c r="M4" s="230"/>
    </row>
    <row r="5" ht="30.0" customHeight="1">
      <c r="A5" s="228"/>
      <c r="B5" s="230"/>
      <c r="C5" s="230"/>
      <c r="D5" s="230"/>
      <c r="E5" s="230"/>
      <c r="F5" s="230"/>
      <c r="G5" s="230"/>
      <c r="H5" s="230"/>
      <c r="I5" s="230"/>
      <c r="J5" s="230"/>
      <c r="K5" s="230"/>
      <c r="L5" s="230"/>
      <c r="M5" s="230"/>
    </row>
    <row r="6" ht="30.0" customHeight="1">
      <c r="A6" s="228"/>
      <c r="B6" s="230"/>
      <c r="C6" s="230"/>
      <c r="D6" s="230"/>
      <c r="E6" s="230"/>
      <c r="F6" s="230"/>
      <c r="G6" s="230"/>
      <c r="H6" s="230"/>
      <c r="I6" s="230"/>
      <c r="J6" s="230"/>
      <c r="K6" s="230"/>
      <c r="L6" s="230"/>
      <c r="M6" s="230"/>
    </row>
    <row r="7" ht="30.0" customHeight="1">
      <c r="A7" s="228"/>
      <c r="B7" s="230"/>
      <c r="C7" s="230"/>
      <c r="D7" s="230"/>
      <c r="E7" s="230"/>
      <c r="F7" s="230"/>
      <c r="G7" s="230"/>
      <c r="H7" s="230"/>
      <c r="I7" s="230"/>
      <c r="J7" s="230"/>
      <c r="K7" s="230"/>
      <c r="L7" s="230"/>
      <c r="M7" s="230"/>
    </row>
    <row r="8" ht="30.0" customHeight="1">
      <c r="A8" s="228"/>
      <c r="B8" s="230"/>
      <c r="C8" s="230"/>
      <c r="D8" s="230"/>
      <c r="E8" s="230"/>
      <c r="F8" s="230"/>
      <c r="G8" s="230"/>
      <c r="H8" s="230"/>
      <c r="I8" s="230"/>
      <c r="J8" s="230"/>
      <c r="K8" s="230"/>
      <c r="L8" s="230"/>
      <c r="M8" s="230"/>
    </row>
    <row r="9" ht="30.0" customHeight="1">
      <c r="A9" s="228"/>
      <c r="B9" s="230"/>
      <c r="C9" s="230"/>
      <c r="D9" s="230"/>
      <c r="E9" s="230"/>
      <c r="F9" s="230"/>
      <c r="G9" s="230"/>
      <c r="H9" s="230"/>
      <c r="I9" s="230"/>
      <c r="J9" s="230"/>
      <c r="K9" s="230"/>
      <c r="L9" s="230"/>
      <c r="M9" s="230"/>
    </row>
    <row r="10" ht="30.0" customHeight="1">
      <c r="A10" s="228"/>
      <c r="B10" s="238" t="s">
        <v>101</v>
      </c>
      <c r="C10" s="238"/>
      <c r="D10" s="239"/>
      <c r="E10" s="240"/>
      <c r="F10" s="241"/>
      <c r="G10" s="241"/>
      <c r="H10" s="238" t="s">
        <v>43</v>
      </c>
      <c r="I10" s="241"/>
      <c r="J10" s="241"/>
      <c r="K10" s="241"/>
      <c r="L10" s="241"/>
      <c r="M10" s="241"/>
    </row>
    <row r="11" ht="30.0" customHeight="1">
      <c r="A11" s="228"/>
      <c r="B11" s="242"/>
      <c r="C11" s="242"/>
      <c r="D11" s="243"/>
      <c r="E11" s="244"/>
      <c r="F11" s="244"/>
      <c r="G11" s="245"/>
      <c r="H11" s="244"/>
      <c r="I11" s="244"/>
      <c r="J11" s="244"/>
      <c r="K11" s="244"/>
      <c r="L11" s="246"/>
      <c r="M11" s="241"/>
    </row>
    <row r="12" ht="30.0" customHeight="1">
      <c r="A12" s="228"/>
      <c r="B12" s="230"/>
      <c r="C12" s="230"/>
      <c r="D12" s="230"/>
      <c r="E12" s="230"/>
      <c r="F12" s="230"/>
      <c r="G12" s="230"/>
      <c r="H12" s="230"/>
      <c r="I12" s="230"/>
      <c r="J12" s="230"/>
      <c r="K12" s="230"/>
      <c r="L12" s="230"/>
      <c r="M12" s="230"/>
    </row>
    <row r="13" ht="30.0" customHeight="1">
      <c r="A13" s="228"/>
      <c r="B13" s="247" t="s">
        <v>102</v>
      </c>
      <c r="C13" s="230"/>
      <c r="D13" s="230"/>
      <c r="E13" s="230"/>
      <c r="F13" s="230"/>
      <c r="G13" s="230"/>
      <c r="H13" s="230"/>
      <c r="I13" s="230"/>
      <c r="J13" s="230"/>
      <c r="K13" s="230"/>
      <c r="L13" s="230"/>
      <c r="M13" s="230"/>
    </row>
    <row r="14" ht="30.0" customHeight="1">
      <c r="A14" s="228"/>
      <c r="B14" s="247" t="s">
        <v>103</v>
      </c>
      <c r="C14" s="248" t="s">
        <v>84</v>
      </c>
      <c r="D14" s="249"/>
      <c r="E14" s="249"/>
      <c r="F14" s="249"/>
      <c r="G14" s="230"/>
      <c r="H14" s="230"/>
      <c r="I14" s="230"/>
      <c r="J14" s="230"/>
      <c r="K14" s="230"/>
      <c r="L14" s="230"/>
      <c r="M14" s="230"/>
    </row>
    <row r="15" ht="30.0" customHeight="1">
      <c r="A15" s="228"/>
      <c r="B15" s="247" t="s">
        <v>37</v>
      </c>
      <c r="C15" s="248" t="s">
        <v>84</v>
      </c>
      <c r="D15" s="249"/>
      <c r="E15" s="249"/>
      <c r="F15" s="249"/>
      <c r="G15" s="230"/>
      <c r="H15" s="230"/>
      <c r="I15" s="230"/>
      <c r="J15" s="230"/>
      <c r="K15" s="230"/>
      <c r="L15" s="230"/>
      <c r="M15" s="230"/>
    </row>
    <row r="16" ht="30.0" customHeight="1">
      <c r="A16" s="228"/>
      <c r="B16" s="230"/>
      <c r="C16" s="230"/>
      <c r="D16" s="230"/>
      <c r="E16" s="230"/>
      <c r="F16" s="230"/>
      <c r="G16" s="230"/>
      <c r="H16" s="230"/>
      <c r="I16" s="230"/>
      <c r="J16" s="230"/>
      <c r="K16" s="230"/>
      <c r="L16" s="230"/>
      <c r="M16" s="230"/>
    </row>
    <row r="17" ht="30.0" customHeight="1">
      <c r="A17" s="228"/>
      <c r="B17" s="250" t="s">
        <v>104</v>
      </c>
      <c r="C17" s="200"/>
      <c r="D17" s="200"/>
      <c r="E17" s="200"/>
      <c r="F17" s="200"/>
      <c r="G17" s="200"/>
      <c r="H17" s="251"/>
      <c r="I17" s="250" t="s">
        <v>45</v>
      </c>
      <c r="J17" s="200"/>
      <c r="K17" s="200"/>
      <c r="L17" s="251"/>
      <c r="M17" s="230"/>
    </row>
    <row r="18" ht="30.0" customHeight="1">
      <c r="A18" s="228"/>
      <c r="B18" s="250" t="s">
        <v>11</v>
      </c>
      <c r="C18" s="200"/>
      <c r="D18" s="251"/>
      <c r="E18" s="250" t="s">
        <v>15</v>
      </c>
      <c r="F18" s="250" t="s">
        <v>105</v>
      </c>
      <c r="G18" s="200"/>
      <c r="H18" s="251"/>
      <c r="I18" s="252"/>
      <c r="J18" s="92"/>
      <c r="K18" s="92"/>
      <c r="L18" s="161"/>
      <c r="M18" s="230"/>
    </row>
    <row r="19" ht="30.0" customHeight="1">
      <c r="A19" s="228"/>
      <c r="B19" s="250"/>
      <c r="C19" s="200"/>
      <c r="D19" s="251"/>
      <c r="E19" s="253"/>
      <c r="F19" s="253"/>
      <c r="G19" s="200"/>
      <c r="H19" s="251"/>
      <c r="I19" s="162"/>
      <c r="L19" s="163"/>
      <c r="M19" s="230"/>
    </row>
    <row r="20" ht="30.0" customHeight="1">
      <c r="A20" s="228"/>
      <c r="B20" s="250"/>
      <c r="C20" s="200"/>
      <c r="D20" s="251"/>
      <c r="E20" s="254"/>
      <c r="F20" s="253"/>
      <c r="G20" s="200"/>
      <c r="H20" s="251"/>
      <c r="I20" s="162"/>
      <c r="L20" s="163"/>
      <c r="M20" s="230"/>
    </row>
    <row r="21" ht="30.0" customHeight="1">
      <c r="A21" s="230"/>
      <c r="B21" s="250"/>
      <c r="C21" s="200"/>
      <c r="D21" s="251"/>
      <c r="E21" s="254"/>
      <c r="F21" s="253"/>
      <c r="G21" s="200"/>
      <c r="H21" s="251"/>
      <c r="I21" s="162"/>
      <c r="L21" s="163"/>
      <c r="M21" s="230"/>
    </row>
    <row r="22" ht="30.0" customHeight="1">
      <c r="A22" s="230"/>
      <c r="B22" s="250"/>
      <c r="C22" s="200"/>
      <c r="D22" s="251"/>
      <c r="E22" s="254"/>
      <c r="F22" s="253"/>
      <c r="G22" s="200"/>
      <c r="H22" s="251"/>
      <c r="I22" s="162"/>
      <c r="L22" s="163"/>
      <c r="M22" s="230"/>
    </row>
    <row r="23" ht="30.0" customHeight="1">
      <c r="A23" s="230"/>
      <c r="B23" s="250"/>
      <c r="C23" s="200"/>
      <c r="D23" s="251"/>
      <c r="E23" s="254"/>
      <c r="F23" s="253"/>
      <c r="G23" s="200"/>
      <c r="H23" s="251"/>
      <c r="I23" s="167"/>
      <c r="J23" s="16"/>
      <c r="K23" s="16"/>
      <c r="L23" s="172"/>
      <c r="M23" s="230"/>
    </row>
    <row r="24" ht="30.0" customHeight="1">
      <c r="A24" s="230"/>
      <c r="B24" s="230"/>
      <c r="C24" s="230"/>
      <c r="D24" s="230"/>
      <c r="E24" s="230"/>
      <c r="F24" s="230"/>
      <c r="G24" s="230"/>
      <c r="H24" s="230"/>
      <c r="I24" s="230"/>
      <c r="J24" s="230"/>
      <c r="K24" s="230"/>
      <c r="L24" s="230"/>
      <c r="M24" s="230"/>
    </row>
    <row r="25" ht="30.0" customHeight="1">
      <c r="A25" s="230"/>
      <c r="B25" s="250" t="s">
        <v>106</v>
      </c>
      <c r="C25" s="200"/>
      <c r="D25" s="200"/>
      <c r="E25" s="200"/>
      <c r="F25" s="200"/>
      <c r="G25" s="200"/>
      <c r="H25" s="200"/>
      <c r="I25" s="200"/>
      <c r="J25" s="200"/>
      <c r="K25" s="200"/>
      <c r="L25" s="251"/>
      <c r="M25" s="230"/>
    </row>
    <row r="26" ht="30.0" customHeight="1">
      <c r="A26" s="230"/>
      <c r="B26" s="255"/>
      <c r="C26" s="255"/>
      <c r="D26" s="255"/>
      <c r="E26" s="256"/>
      <c r="F26" s="257"/>
      <c r="G26" s="258"/>
      <c r="H26" s="258"/>
      <c r="I26" s="255"/>
      <c r="J26" s="255"/>
      <c r="K26" s="255"/>
      <c r="L26" s="259">
        <v>10.0</v>
      </c>
      <c r="M26" s="230"/>
    </row>
    <row r="27" ht="30.0" customHeight="1">
      <c r="A27" s="230"/>
      <c r="B27" s="260"/>
      <c r="C27" s="261"/>
      <c r="D27" s="261"/>
      <c r="E27" s="262"/>
      <c r="F27" s="257"/>
      <c r="G27" s="263"/>
      <c r="H27" s="264"/>
      <c r="I27" s="264"/>
      <c r="J27" s="264"/>
      <c r="K27" s="264"/>
      <c r="L27" s="264"/>
      <c r="M27" s="230"/>
    </row>
    <row r="28" ht="30.0" customHeight="1">
      <c r="A28" s="230"/>
      <c r="B28" s="260"/>
      <c r="C28" s="260"/>
      <c r="D28" s="260"/>
      <c r="E28" s="254"/>
      <c r="F28" s="257"/>
      <c r="G28" s="265"/>
      <c r="H28" s="260"/>
      <c r="I28" s="260"/>
      <c r="J28" s="260"/>
      <c r="K28" s="260"/>
      <c r="L28" s="260"/>
      <c r="M28" s="230"/>
    </row>
    <row r="29" ht="30.0" customHeight="1">
      <c r="A29" s="230"/>
      <c r="B29" s="260"/>
      <c r="C29" s="260"/>
      <c r="D29" s="260"/>
      <c r="E29" s="254"/>
      <c r="F29" s="257"/>
      <c r="G29" s="265"/>
      <c r="H29" s="260"/>
      <c r="I29" s="260"/>
      <c r="J29" s="260"/>
      <c r="K29" s="260"/>
      <c r="L29" s="260"/>
      <c r="M29" s="230"/>
    </row>
    <row r="30" ht="30.0" customHeight="1">
      <c r="A30" s="230"/>
      <c r="B30" s="260"/>
      <c r="C30" s="260"/>
      <c r="D30" s="260"/>
      <c r="E30" s="254"/>
      <c r="F30" s="257"/>
      <c r="G30" s="265"/>
      <c r="H30" s="260"/>
      <c r="I30" s="260"/>
      <c r="J30" s="260"/>
      <c r="K30" s="260"/>
      <c r="L30" s="260"/>
      <c r="M30" s="230"/>
    </row>
    <row r="31" ht="30.0" customHeight="1">
      <c r="A31" s="230"/>
      <c r="B31" s="260"/>
      <c r="C31" s="260"/>
      <c r="D31" s="260"/>
      <c r="E31" s="254"/>
      <c r="F31" s="257"/>
      <c r="G31" s="265"/>
      <c r="H31" s="260"/>
      <c r="I31" s="260"/>
      <c r="J31" s="260"/>
      <c r="K31" s="260"/>
      <c r="L31" s="260"/>
      <c r="M31" s="230"/>
    </row>
    <row r="32" ht="30.0" customHeight="1">
      <c r="A32" s="230"/>
      <c r="B32" s="260"/>
      <c r="C32" s="266"/>
      <c r="D32" s="266"/>
      <c r="E32" s="250"/>
      <c r="F32" s="257"/>
      <c r="G32" s="267"/>
      <c r="H32" s="266"/>
      <c r="I32" s="266"/>
      <c r="J32" s="266"/>
      <c r="K32" s="266"/>
      <c r="L32" s="266"/>
      <c r="M32" s="230"/>
    </row>
    <row r="33" ht="30.0" customHeight="1">
      <c r="A33" s="230"/>
      <c r="B33" s="260"/>
      <c r="C33" s="260"/>
      <c r="D33" s="260"/>
      <c r="E33" s="254"/>
      <c r="F33" s="257"/>
      <c r="G33" s="265"/>
      <c r="H33" s="260"/>
      <c r="I33" s="260"/>
      <c r="J33" s="260"/>
      <c r="K33" s="260"/>
      <c r="L33" s="260"/>
      <c r="M33" s="230"/>
    </row>
    <row r="34" ht="30.0" customHeight="1">
      <c r="A34" s="230"/>
      <c r="B34" s="268"/>
      <c r="C34" s="260"/>
      <c r="D34" s="260"/>
      <c r="E34" s="254"/>
      <c r="F34" s="257"/>
      <c r="G34" s="265"/>
      <c r="H34" s="260"/>
      <c r="I34" s="260"/>
      <c r="J34" s="260"/>
      <c r="K34" s="260"/>
      <c r="L34" s="260"/>
      <c r="M34" s="230"/>
    </row>
    <row r="35" ht="30.0" customHeight="1">
      <c r="A35" s="230"/>
      <c r="B35" s="269">
        <v>10.0</v>
      </c>
      <c r="C35" s="260"/>
      <c r="D35" s="260"/>
      <c r="E35" s="254"/>
      <c r="F35" s="256"/>
      <c r="G35" s="265"/>
      <c r="H35" s="260"/>
      <c r="I35" s="260"/>
      <c r="J35" s="260"/>
      <c r="K35" s="260"/>
      <c r="L35" s="260"/>
      <c r="M35" s="230"/>
    </row>
    <row r="36">
      <c r="A36" s="230"/>
      <c r="B36" s="247"/>
      <c r="C36" s="247"/>
      <c r="D36" s="239"/>
      <c r="E36" s="270"/>
      <c r="F36" s="271"/>
      <c r="G36" s="271"/>
      <c r="H36" s="230"/>
      <c r="I36" s="238"/>
      <c r="J36" s="239"/>
      <c r="K36" s="272"/>
      <c r="L36" s="230"/>
      <c r="M36" s="230"/>
    </row>
    <row r="37">
      <c r="A37" s="230"/>
      <c r="B37" s="247"/>
      <c r="C37" s="247"/>
      <c r="D37" s="239"/>
      <c r="E37" s="270"/>
      <c r="F37" s="271"/>
      <c r="G37" s="271"/>
      <c r="H37" s="230"/>
      <c r="I37" s="238"/>
      <c r="J37" s="239"/>
      <c r="K37" s="272"/>
      <c r="L37" s="230"/>
      <c r="M37" s="230"/>
    </row>
    <row r="38" ht="30.0" customHeight="1">
      <c r="A38" s="230"/>
      <c r="B38" s="273" t="s">
        <v>107</v>
      </c>
      <c r="C38" s="92"/>
      <c r="D38" s="92"/>
      <c r="E38" s="161"/>
      <c r="F38" s="274" t="s">
        <v>108</v>
      </c>
      <c r="J38" s="239" t="s">
        <v>109</v>
      </c>
      <c r="M38" s="230"/>
    </row>
    <row r="39" ht="30.0" customHeight="1">
      <c r="A39" s="230"/>
      <c r="B39" s="162"/>
      <c r="E39" s="163"/>
      <c r="F39" s="275"/>
      <c r="G39" s="275"/>
      <c r="H39" s="230"/>
      <c r="I39" s="241"/>
      <c r="J39" s="241"/>
      <c r="K39" s="241"/>
      <c r="L39" s="230"/>
      <c r="M39" s="230"/>
    </row>
    <row r="40" ht="30.0" customHeight="1">
      <c r="A40" s="230"/>
      <c r="B40" s="162"/>
      <c r="E40" s="163"/>
      <c r="F40" s="275"/>
      <c r="G40" s="275"/>
      <c r="H40" s="230"/>
      <c r="I40" s="230"/>
      <c r="J40" s="230"/>
      <c r="K40" s="230"/>
      <c r="L40" s="230"/>
      <c r="M40" s="230"/>
    </row>
    <row r="41" ht="30.0" customHeight="1">
      <c r="A41" s="230"/>
      <c r="B41" s="162"/>
      <c r="E41" s="163"/>
      <c r="F41" s="275"/>
      <c r="G41" s="275"/>
      <c r="H41" s="230"/>
      <c r="I41" s="230"/>
      <c r="J41" s="230"/>
      <c r="K41" s="230"/>
      <c r="L41" s="230"/>
      <c r="M41" s="230"/>
    </row>
    <row r="42" ht="30.0" customHeight="1">
      <c r="A42" s="230"/>
      <c r="B42" s="162"/>
      <c r="E42" s="163"/>
      <c r="F42" s="276"/>
      <c r="G42" s="276"/>
      <c r="H42" s="276"/>
      <c r="I42" s="276"/>
      <c r="J42" s="276"/>
      <c r="K42" s="276"/>
      <c r="L42" s="276"/>
      <c r="M42" s="276"/>
    </row>
    <row r="43" ht="30.0" customHeight="1">
      <c r="A43" s="230"/>
      <c r="B43" s="167"/>
      <c r="C43" s="16"/>
      <c r="D43" s="16"/>
      <c r="E43" s="172"/>
      <c r="F43" s="276" t="s">
        <v>110</v>
      </c>
      <c r="J43" s="276" t="s">
        <v>110</v>
      </c>
      <c r="M43" s="230"/>
    </row>
    <row r="44">
      <c r="A44" s="230"/>
      <c r="B44" s="230"/>
      <c r="C44" s="230"/>
      <c r="D44" s="230"/>
      <c r="E44" s="230"/>
      <c r="F44" s="230"/>
      <c r="G44" s="230"/>
      <c r="H44" s="230"/>
      <c r="I44" s="230"/>
      <c r="J44" s="230"/>
      <c r="K44" s="230"/>
      <c r="L44" s="230"/>
      <c r="M44" s="230"/>
    </row>
    <row r="45">
      <c r="A45" s="230"/>
      <c r="B45" s="230"/>
      <c r="C45" s="230"/>
      <c r="D45" s="230"/>
      <c r="E45" s="230"/>
      <c r="F45" s="230"/>
      <c r="G45" s="230"/>
      <c r="H45" s="230"/>
      <c r="I45" s="230"/>
      <c r="J45" s="230"/>
      <c r="K45" s="230"/>
      <c r="L45" s="230"/>
      <c r="M45" s="230"/>
    </row>
    <row r="46">
      <c r="A46" s="230"/>
      <c r="B46" s="230"/>
      <c r="C46" s="230"/>
      <c r="D46" s="230"/>
      <c r="E46" s="230"/>
      <c r="F46" s="230"/>
      <c r="G46" s="230"/>
      <c r="H46" s="230"/>
      <c r="I46" s="230"/>
      <c r="J46" s="230"/>
      <c r="K46" s="230"/>
      <c r="L46" s="230"/>
      <c r="M46" s="230"/>
    </row>
    <row r="47">
      <c r="A47" s="230"/>
      <c r="B47" s="230"/>
      <c r="C47" s="230"/>
      <c r="D47" s="230"/>
      <c r="E47" s="230"/>
      <c r="F47" s="230"/>
      <c r="G47" s="230"/>
      <c r="H47" s="230"/>
      <c r="I47" s="230"/>
      <c r="J47" s="230"/>
      <c r="K47" s="230"/>
      <c r="L47" s="230"/>
      <c r="M47" s="230"/>
    </row>
    <row r="48">
      <c r="A48" s="230"/>
      <c r="B48" s="230"/>
      <c r="C48" s="230"/>
      <c r="D48" s="230"/>
      <c r="E48" s="230"/>
      <c r="F48" s="230"/>
      <c r="G48" s="230"/>
      <c r="H48" s="230"/>
      <c r="I48" s="230"/>
      <c r="J48" s="230"/>
      <c r="K48" s="230"/>
      <c r="L48" s="230"/>
      <c r="M48" s="230"/>
    </row>
    <row r="49">
      <c r="A49" s="230"/>
      <c r="B49" s="230"/>
      <c r="C49" s="230"/>
      <c r="D49" s="230"/>
      <c r="E49" s="230"/>
      <c r="F49" s="230"/>
      <c r="G49" s="230"/>
      <c r="H49" s="230"/>
      <c r="I49" s="230"/>
      <c r="J49" s="230"/>
      <c r="K49" s="230"/>
      <c r="L49" s="230"/>
      <c r="M49" s="230"/>
    </row>
    <row r="50">
      <c r="A50" s="230"/>
      <c r="B50" s="230"/>
      <c r="C50" s="230"/>
      <c r="D50" s="230"/>
      <c r="E50" s="230"/>
      <c r="F50" s="230"/>
      <c r="G50" s="230"/>
      <c r="H50" s="230"/>
      <c r="I50" s="230"/>
      <c r="J50" s="230"/>
      <c r="K50" s="230"/>
      <c r="L50" s="230"/>
      <c r="M50" s="230"/>
    </row>
    <row r="51">
      <c r="A51" s="230"/>
      <c r="B51" s="230"/>
      <c r="C51" s="230"/>
      <c r="D51" s="230"/>
      <c r="E51" s="230"/>
      <c r="F51" s="230"/>
      <c r="G51" s="230"/>
      <c r="H51" s="230"/>
      <c r="I51" s="230"/>
      <c r="J51" s="230"/>
      <c r="K51" s="230"/>
      <c r="L51" s="230"/>
      <c r="M51" s="230"/>
    </row>
    <row r="52">
      <c r="A52" s="230"/>
      <c r="B52" s="230"/>
      <c r="C52" s="230"/>
      <c r="D52" s="230"/>
      <c r="E52" s="230"/>
      <c r="F52" s="230"/>
      <c r="G52" s="230"/>
      <c r="H52" s="230"/>
      <c r="I52" s="230"/>
      <c r="J52" s="230"/>
      <c r="K52" s="230"/>
      <c r="L52" s="230"/>
      <c r="M52" s="230"/>
    </row>
    <row r="53">
      <c r="A53" s="230"/>
      <c r="B53" s="230"/>
      <c r="C53" s="230"/>
      <c r="D53" s="230"/>
      <c r="E53" s="230"/>
      <c r="F53" s="230"/>
      <c r="G53" s="230"/>
      <c r="H53" s="230"/>
      <c r="I53" s="230"/>
      <c r="J53" s="230"/>
      <c r="K53" s="230"/>
      <c r="L53" s="230"/>
      <c r="M53" s="230"/>
    </row>
    <row r="54">
      <c r="A54" s="230"/>
      <c r="B54" s="230"/>
      <c r="C54" s="230"/>
      <c r="D54" s="230"/>
      <c r="E54" s="230"/>
      <c r="F54" s="230"/>
      <c r="G54" s="230"/>
      <c r="H54" s="230"/>
      <c r="I54" s="230"/>
      <c r="J54" s="230"/>
      <c r="K54" s="230"/>
      <c r="L54" s="230"/>
      <c r="M54" s="230"/>
    </row>
    <row r="55">
      <c r="A55" s="230"/>
      <c r="B55" s="230"/>
      <c r="C55" s="230"/>
      <c r="D55" s="230"/>
      <c r="E55" s="230"/>
      <c r="F55" s="230"/>
      <c r="G55" s="230"/>
      <c r="H55" s="230"/>
      <c r="I55" s="230"/>
      <c r="J55" s="230"/>
      <c r="K55" s="230"/>
      <c r="L55" s="230"/>
      <c r="M55" s="230"/>
    </row>
    <row r="56">
      <c r="A56" s="230"/>
      <c r="B56" s="230"/>
      <c r="C56" s="230"/>
      <c r="D56" s="230"/>
      <c r="E56" s="230"/>
      <c r="F56" s="230"/>
      <c r="G56" s="230"/>
      <c r="H56" s="230"/>
      <c r="I56" s="230"/>
      <c r="J56" s="230"/>
      <c r="K56" s="230"/>
      <c r="L56" s="230"/>
      <c r="M56" s="230"/>
    </row>
    <row r="57">
      <c r="A57" s="230"/>
      <c r="B57" s="230"/>
      <c r="C57" s="230"/>
      <c r="D57" s="230"/>
      <c r="E57" s="230"/>
      <c r="F57" s="230"/>
      <c r="G57" s="230"/>
      <c r="H57" s="230"/>
      <c r="I57" s="230"/>
      <c r="J57" s="230"/>
      <c r="K57" s="230"/>
      <c r="L57" s="230"/>
      <c r="M57" s="230"/>
    </row>
    <row r="58">
      <c r="A58" s="230"/>
      <c r="B58" s="230"/>
      <c r="C58" s="230"/>
      <c r="D58" s="230"/>
      <c r="E58" s="230"/>
      <c r="F58" s="230"/>
      <c r="G58" s="230"/>
      <c r="H58" s="230"/>
      <c r="I58" s="230"/>
      <c r="J58" s="230"/>
      <c r="K58" s="230"/>
      <c r="L58" s="230"/>
      <c r="M58" s="230"/>
    </row>
    <row r="59">
      <c r="A59" s="230"/>
      <c r="B59" s="230"/>
      <c r="C59" s="230"/>
      <c r="D59" s="230"/>
      <c r="E59" s="230"/>
      <c r="F59" s="230"/>
      <c r="G59" s="230"/>
      <c r="H59" s="230"/>
      <c r="I59" s="230"/>
      <c r="J59" s="230"/>
      <c r="K59" s="230"/>
      <c r="L59" s="230"/>
      <c r="M59" s="230"/>
    </row>
    <row r="60">
      <c r="A60" s="230"/>
      <c r="B60" s="230"/>
      <c r="C60" s="230"/>
      <c r="D60" s="230"/>
      <c r="E60" s="230"/>
      <c r="F60" s="230"/>
      <c r="G60" s="230"/>
      <c r="H60" s="230"/>
      <c r="I60" s="230"/>
      <c r="J60" s="230"/>
      <c r="K60" s="230"/>
      <c r="L60" s="230"/>
      <c r="M60" s="230"/>
    </row>
    <row r="61">
      <c r="A61" s="230"/>
      <c r="B61" s="230"/>
      <c r="C61" s="230"/>
      <c r="D61" s="230"/>
      <c r="E61" s="230"/>
      <c r="F61" s="230"/>
      <c r="G61" s="230"/>
      <c r="H61" s="230"/>
      <c r="I61" s="230"/>
      <c r="J61" s="230"/>
      <c r="K61" s="230"/>
      <c r="L61" s="230"/>
      <c r="M61" s="230"/>
    </row>
    <row r="62">
      <c r="A62" s="230"/>
      <c r="B62" s="230"/>
      <c r="C62" s="230"/>
      <c r="D62" s="230"/>
      <c r="E62" s="230"/>
      <c r="F62" s="230"/>
      <c r="G62" s="230"/>
      <c r="H62" s="230"/>
      <c r="I62" s="230"/>
      <c r="J62" s="230"/>
      <c r="K62" s="230"/>
      <c r="L62" s="230"/>
      <c r="M62" s="230"/>
    </row>
    <row r="63">
      <c r="A63" s="230"/>
      <c r="B63" s="230"/>
      <c r="C63" s="230"/>
      <c r="D63" s="230"/>
      <c r="E63" s="230"/>
      <c r="F63" s="230"/>
      <c r="G63" s="230"/>
      <c r="H63" s="230"/>
      <c r="I63" s="230"/>
      <c r="J63" s="230"/>
      <c r="K63" s="230"/>
      <c r="L63" s="230"/>
      <c r="M63" s="230"/>
    </row>
    <row r="64">
      <c r="A64" s="230"/>
      <c r="B64" s="230"/>
      <c r="C64" s="230"/>
      <c r="D64" s="230"/>
      <c r="E64" s="230"/>
      <c r="F64" s="230"/>
      <c r="G64" s="230"/>
      <c r="H64" s="230"/>
      <c r="I64" s="230"/>
      <c r="J64" s="230"/>
      <c r="K64" s="230"/>
      <c r="L64" s="230"/>
      <c r="M64" s="230"/>
    </row>
    <row r="65">
      <c r="A65" s="230"/>
      <c r="B65" s="230"/>
      <c r="C65" s="230"/>
      <c r="D65" s="230"/>
      <c r="E65" s="230"/>
      <c r="F65" s="230"/>
      <c r="G65" s="230"/>
      <c r="H65" s="230"/>
      <c r="I65" s="230"/>
      <c r="J65" s="230"/>
      <c r="K65" s="230"/>
      <c r="L65" s="230"/>
      <c r="M65" s="230"/>
    </row>
    <row r="66">
      <c r="A66" s="230"/>
      <c r="B66" s="230"/>
      <c r="C66" s="230"/>
      <c r="D66" s="230"/>
      <c r="E66" s="230"/>
      <c r="F66" s="230"/>
      <c r="G66" s="230"/>
      <c r="H66" s="230"/>
      <c r="I66" s="230"/>
      <c r="J66" s="230"/>
      <c r="K66" s="230"/>
      <c r="L66" s="230"/>
      <c r="M66" s="230"/>
    </row>
    <row r="67">
      <c r="A67" s="230"/>
      <c r="B67" s="230"/>
      <c r="C67" s="230"/>
      <c r="D67" s="230"/>
      <c r="E67" s="230"/>
      <c r="F67" s="230"/>
      <c r="G67" s="230"/>
      <c r="H67" s="230"/>
      <c r="I67" s="230"/>
      <c r="J67" s="230"/>
      <c r="K67" s="230"/>
      <c r="L67" s="230"/>
      <c r="M67" s="230"/>
    </row>
    <row r="68">
      <c r="A68" s="230"/>
      <c r="B68" s="230"/>
      <c r="C68" s="230"/>
      <c r="D68" s="230"/>
      <c r="E68" s="230"/>
      <c r="F68" s="230"/>
      <c r="G68" s="230"/>
      <c r="H68" s="230"/>
      <c r="I68" s="230"/>
      <c r="J68" s="230"/>
      <c r="K68" s="230"/>
      <c r="L68" s="230"/>
      <c r="M68" s="230"/>
    </row>
    <row r="69">
      <c r="A69" s="230"/>
      <c r="B69" s="230"/>
      <c r="C69" s="230"/>
      <c r="D69" s="230"/>
      <c r="E69" s="230"/>
      <c r="F69" s="230"/>
      <c r="G69" s="230"/>
      <c r="H69" s="230"/>
      <c r="I69" s="230"/>
      <c r="J69" s="230"/>
      <c r="K69" s="230"/>
      <c r="L69" s="230"/>
      <c r="M69" s="230"/>
    </row>
    <row r="70">
      <c r="A70" s="230"/>
      <c r="B70" s="230"/>
      <c r="C70" s="230"/>
      <c r="D70" s="230"/>
      <c r="E70" s="230"/>
      <c r="F70" s="230"/>
      <c r="G70" s="230"/>
      <c r="H70" s="230"/>
      <c r="I70" s="230"/>
      <c r="J70" s="230"/>
      <c r="K70" s="230"/>
      <c r="L70" s="230"/>
      <c r="M70" s="230"/>
    </row>
    <row r="71">
      <c r="A71" s="230"/>
      <c r="B71" s="230"/>
      <c r="C71" s="230"/>
      <c r="D71" s="230"/>
      <c r="E71" s="230"/>
      <c r="F71" s="230"/>
      <c r="G71" s="230"/>
      <c r="H71" s="230"/>
      <c r="I71" s="230"/>
      <c r="J71" s="230"/>
      <c r="K71" s="230"/>
      <c r="L71" s="230"/>
      <c r="M71" s="230"/>
    </row>
    <row r="72">
      <c r="A72" s="230"/>
      <c r="B72" s="230"/>
      <c r="C72" s="230"/>
      <c r="D72" s="230"/>
      <c r="E72" s="230"/>
      <c r="F72" s="230"/>
      <c r="G72" s="230"/>
      <c r="H72" s="230"/>
      <c r="I72" s="230"/>
      <c r="J72" s="230"/>
      <c r="K72" s="230"/>
      <c r="L72" s="230"/>
      <c r="M72" s="230"/>
    </row>
    <row r="73">
      <c r="A73" s="230"/>
      <c r="B73" s="230"/>
      <c r="C73" s="230"/>
      <c r="D73" s="230"/>
      <c r="E73" s="230"/>
      <c r="F73" s="230"/>
      <c r="G73" s="230"/>
      <c r="H73" s="230"/>
      <c r="I73" s="230"/>
      <c r="J73" s="230"/>
      <c r="K73" s="230"/>
      <c r="L73" s="230"/>
      <c r="M73" s="230"/>
    </row>
    <row r="74">
      <c r="A74" s="230"/>
      <c r="B74" s="230"/>
      <c r="C74" s="230"/>
      <c r="D74" s="230"/>
      <c r="E74" s="230"/>
      <c r="F74" s="230"/>
      <c r="G74" s="230"/>
      <c r="H74" s="230"/>
      <c r="I74" s="230"/>
      <c r="J74" s="230"/>
      <c r="K74" s="230"/>
      <c r="L74" s="230"/>
      <c r="M74" s="230"/>
    </row>
    <row r="75">
      <c r="A75" s="230"/>
      <c r="B75" s="230"/>
      <c r="C75" s="230"/>
      <c r="D75" s="230"/>
      <c r="E75" s="230"/>
      <c r="F75" s="230"/>
      <c r="G75" s="230"/>
      <c r="H75" s="230"/>
      <c r="I75" s="230"/>
      <c r="J75" s="230"/>
      <c r="K75" s="230"/>
      <c r="L75" s="230"/>
      <c r="M75" s="230"/>
    </row>
    <row r="76">
      <c r="A76" s="230"/>
      <c r="B76" s="230"/>
      <c r="C76" s="230"/>
      <c r="D76" s="230"/>
      <c r="E76" s="230"/>
      <c r="F76" s="230"/>
      <c r="G76" s="230"/>
      <c r="H76" s="230"/>
      <c r="I76" s="230"/>
      <c r="J76" s="230"/>
      <c r="K76" s="230"/>
      <c r="L76" s="230"/>
      <c r="M76" s="230"/>
    </row>
    <row r="77">
      <c r="A77" s="230"/>
      <c r="B77" s="230"/>
      <c r="C77" s="230"/>
      <c r="D77" s="230"/>
      <c r="E77" s="230"/>
      <c r="F77" s="230"/>
      <c r="G77" s="230"/>
      <c r="H77" s="230"/>
      <c r="I77" s="230"/>
      <c r="J77" s="230"/>
      <c r="K77" s="230"/>
      <c r="L77" s="230"/>
      <c r="M77" s="230"/>
    </row>
    <row r="78">
      <c r="A78" s="230"/>
      <c r="B78" s="230"/>
      <c r="C78" s="230"/>
      <c r="D78" s="230"/>
      <c r="E78" s="230"/>
      <c r="F78" s="230"/>
      <c r="G78" s="230"/>
      <c r="H78" s="230"/>
      <c r="I78" s="230"/>
      <c r="J78" s="230"/>
      <c r="K78" s="230"/>
      <c r="L78" s="230"/>
      <c r="M78" s="230"/>
    </row>
    <row r="79">
      <c r="A79" s="230"/>
      <c r="B79" s="230"/>
      <c r="C79" s="230"/>
      <c r="D79" s="230"/>
      <c r="E79" s="230"/>
      <c r="F79" s="230"/>
      <c r="G79" s="230"/>
      <c r="H79" s="230"/>
      <c r="I79" s="230"/>
      <c r="J79" s="230"/>
      <c r="K79" s="230"/>
      <c r="L79" s="230"/>
      <c r="M79" s="230"/>
    </row>
    <row r="80">
      <c r="A80" s="230"/>
      <c r="B80" s="230"/>
      <c r="C80" s="230"/>
      <c r="D80" s="230"/>
      <c r="E80" s="230"/>
      <c r="F80" s="230"/>
      <c r="G80" s="230"/>
      <c r="H80" s="230"/>
      <c r="I80" s="230"/>
      <c r="J80" s="230"/>
      <c r="K80" s="230"/>
      <c r="L80" s="230"/>
      <c r="M80" s="230"/>
    </row>
    <row r="81">
      <c r="A81" s="230"/>
      <c r="B81" s="230"/>
      <c r="C81" s="230"/>
      <c r="D81" s="230"/>
      <c r="E81" s="230"/>
      <c r="F81" s="230"/>
      <c r="G81" s="230"/>
      <c r="H81" s="230"/>
      <c r="I81" s="230"/>
      <c r="J81" s="230"/>
      <c r="K81" s="230"/>
      <c r="L81" s="230"/>
      <c r="M81" s="230"/>
    </row>
    <row r="82">
      <c r="A82" s="230"/>
      <c r="B82" s="230"/>
      <c r="C82" s="230"/>
      <c r="D82" s="230"/>
      <c r="E82" s="230"/>
      <c r="F82" s="230"/>
      <c r="G82" s="230"/>
      <c r="H82" s="230"/>
      <c r="I82" s="230"/>
      <c r="J82" s="230"/>
      <c r="K82" s="230"/>
      <c r="L82" s="230"/>
      <c r="M82" s="230"/>
    </row>
    <row r="83">
      <c r="A83" s="230"/>
      <c r="B83" s="230"/>
      <c r="C83" s="230"/>
      <c r="D83" s="230"/>
      <c r="E83" s="230"/>
      <c r="F83" s="230"/>
      <c r="G83" s="230"/>
      <c r="H83" s="230"/>
      <c r="I83" s="230"/>
      <c r="J83" s="230"/>
      <c r="K83" s="230"/>
      <c r="L83" s="230"/>
      <c r="M83" s="230"/>
    </row>
    <row r="84">
      <c r="A84" s="230"/>
      <c r="B84" s="230"/>
      <c r="C84" s="230"/>
      <c r="D84" s="230"/>
      <c r="E84" s="230"/>
      <c r="F84" s="230"/>
      <c r="G84" s="230"/>
      <c r="H84" s="230"/>
      <c r="I84" s="230"/>
      <c r="J84" s="230"/>
      <c r="K84" s="230"/>
      <c r="L84" s="230"/>
      <c r="M84" s="230"/>
    </row>
    <row r="85">
      <c r="A85" s="230"/>
      <c r="B85" s="230"/>
      <c r="C85" s="230"/>
      <c r="D85" s="230"/>
      <c r="E85" s="230"/>
      <c r="F85" s="230"/>
      <c r="G85" s="230"/>
      <c r="H85" s="230"/>
      <c r="I85" s="230"/>
      <c r="J85" s="230"/>
      <c r="K85" s="230"/>
      <c r="L85" s="230"/>
      <c r="M85" s="230"/>
    </row>
    <row r="86">
      <c r="A86" s="230"/>
      <c r="B86" s="230"/>
      <c r="C86" s="230"/>
      <c r="D86" s="230"/>
      <c r="E86" s="230"/>
      <c r="F86" s="230"/>
      <c r="G86" s="230"/>
      <c r="H86" s="230"/>
      <c r="I86" s="230"/>
      <c r="J86" s="230"/>
      <c r="K86" s="230"/>
      <c r="L86" s="230"/>
      <c r="M86" s="230"/>
    </row>
    <row r="87">
      <c r="A87" s="230"/>
      <c r="B87" s="230"/>
      <c r="C87" s="230"/>
      <c r="D87" s="230"/>
      <c r="E87" s="230"/>
      <c r="F87" s="230"/>
      <c r="G87" s="230"/>
      <c r="H87" s="230"/>
      <c r="I87" s="230"/>
      <c r="J87" s="230"/>
      <c r="K87" s="230"/>
      <c r="L87" s="230"/>
      <c r="M87" s="230"/>
    </row>
    <row r="88">
      <c r="A88" s="230"/>
      <c r="B88" s="230"/>
      <c r="C88" s="230"/>
      <c r="D88" s="230"/>
      <c r="E88" s="230"/>
      <c r="F88" s="230"/>
      <c r="G88" s="230"/>
      <c r="H88" s="230"/>
      <c r="I88" s="230"/>
      <c r="J88" s="230"/>
      <c r="K88" s="230"/>
      <c r="L88" s="230"/>
      <c r="M88" s="230"/>
    </row>
    <row r="89">
      <c r="A89" s="230"/>
      <c r="B89" s="230"/>
      <c r="C89" s="230"/>
      <c r="D89" s="230"/>
      <c r="E89" s="230"/>
      <c r="F89" s="230"/>
      <c r="G89" s="230"/>
      <c r="H89" s="230"/>
      <c r="I89" s="230"/>
      <c r="J89" s="230"/>
      <c r="K89" s="230"/>
      <c r="L89" s="230"/>
      <c r="M89" s="230"/>
    </row>
    <row r="90">
      <c r="A90" s="230"/>
      <c r="B90" s="230"/>
      <c r="C90" s="230"/>
      <c r="D90" s="230"/>
      <c r="E90" s="230"/>
      <c r="F90" s="230"/>
      <c r="G90" s="230"/>
      <c r="H90" s="230"/>
      <c r="I90" s="230"/>
      <c r="J90" s="230"/>
      <c r="K90" s="230"/>
      <c r="L90" s="230"/>
      <c r="M90" s="230"/>
    </row>
    <row r="91">
      <c r="A91" s="230"/>
      <c r="B91" s="230"/>
      <c r="C91" s="230"/>
      <c r="D91" s="230"/>
      <c r="E91" s="230"/>
      <c r="F91" s="230"/>
      <c r="G91" s="230"/>
      <c r="H91" s="230"/>
      <c r="I91" s="230"/>
      <c r="J91" s="230"/>
      <c r="K91" s="230"/>
      <c r="L91" s="230"/>
      <c r="M91" s="230"/>
    </row>
    <row r="92">
      <c r="A92" s="230"/>
      <c r="B92" s="230"/>
      <c r="C92" s="230"/>
      <c r="D92" s="230"/>
      <c r="E92" s="230"/>
      <c r="F92" s="230"/>
      <c r="G92" s="230"/>
      <c r="H92" s="230"/>
      <c r="I92" s="230"/>
      <c r="J92" s="230"/>
      <c r="K92" s="230"/>
      <c r="L92" s="230"/>
      <c r="M92" s="230"/>
    </row>
    <row r="93">
      <c r="A93" s="230"/>
      <c r="B93" s="230"/>
      <c r="C93" s="230"/>
      <c r="D93" s="230"/>
      <c r="E93" s="230"/>
      <c r="F93" s="230"/>
      <c r="G93" s="230"/>
      <c r="H93" s="230"/>
      <c r="I93" s="230"/>
      <c r="J93" s="230"/>
      <c r="K93" s="230"/>
      <c r="L93" s="230"/>
      <c r="M93" s="230"/>
    </row>
    <row r="94">
      <c r="A94" s="230"/>
      <c r="B94" s="230"/>
      <c r="C94" s="230"/>
      <c r="D94" s="230"/>
      <c r="E94" s="230"/>
      <c r="F94" s="230"/>
      <c r="G94" s="230"/>
      <c r="H94" s="230"/>
      <c r="I94" s="230"/>
      <c r="J94" s="230"/>
      <c r="K94" s="230"/>
      <c r="L94" s="230"/>
      <c r="M94" s="230"/>
    </row>
    <row r="95">
      <c r="A95" s="230"/>
      <c r="B95" s="230"/>
      <c r="C95" s="230"/>
      <c r="D95" s="230"/>
      <c r="E95" s="230"/>
      <c r="F95" s="230"/>
      <c r="G95" s="230"/>
      <c r="H95" s="230"/>
      <c r="I95" s="230"/>
      <c r="J95" s="230"/>
      <c r="K95" s="230"/>
      <c r="L95" s="230"/>
      <c r="M95" s="230"/>
    </row>
    <row r="96">
      <c r="A96" s="230"/>
      <c r="B96" s="230"/>
      <c r="C96" s="230"/>
      <c r="D96" s="230"/>
      <c r="E96" s="230"/>
      <c r="F96" s="230"/>
      <c r="G96" s="230"/>
      <c r="H96" s="230"/>
      <c r="I96" s="230"/>
      <c r="J96" s="230"/>
      <c r="K96" s="230"/>
      <c r="L96" s="230"/>
      <c r="M96" s="230"/>
    </row>
    <row r="97">
      <c r="A97" s="230"/>
      <c r="B97" s="230"/>
      <c r="C97" s="230"/>
      <c r="D97" s="230"/>
      <c r="E97" s="230"/>
      <c r="F97" s="230"/>
      <c r="G97" s="230"/>
      <c r="H97" s="230"/>
      <c r="I97" s="230"/>
      <c r="J97" s="230"/>
      <c r="K97" s="230"/>
      <c r="L97" s="230"/>
      <c r="M97" s="230"/>
    </row>
    <row r="98">
      <c r="A98" s="230"/>
      <c r="B98" s="230"/>
      <c r="C98" s="230"/>
      <c r="D98" s="230"/>
      <c r="E98" s="230"/>
      <c r="F98" s="230"/>
      <c r="G98" s="230"/>
      <c r="H98" s="230"/>
      <c r="I98" s="230"/>
      <c r="J98" s="230"/>
      <c r="K98" s="230"/>
      <c r="L98" s="230"/>
      <c r="M98" s="230"/>
    </row>
    <row r="99">
      <c r="A99" s="230"/>
      <c r="B99" s="230"/>
      <c r="C99" s="230"/>
      <c r="D99" s="230"/>
      <c r="E99" s="230"/>
      <c r="F99" s="230"/>
      <c r="G99" s="230"/>
      <c r="H99" s="230"/>
      <c r="I99" s="230"/>
      <c r="J99" s="230"/>
      <c r="K99" s="230"/>
      <c r="L99" s="230"/>
      <c r="M99" s="230"/>
    </row>
    <row r="100">
      <c r="A100" s="230"/>
      <c r="B100" s="230"/>
      <c r="C100" s="230"/>
      <c r="D100" s="230"/>
      <c r="E100" s="230"/>
      <c r="F100" s="230"/>
      <c r="G100" s="230"/>
      <c r="H100" s="230"/>
      <c r="I100" s="230"/>
      <c r="J100" s="230"/>
      <c r="K100" s="230"/>
      <c r="L100" s="230"/>
      <c r="M100" s="230"/>
    </row>
    <row r="101">
      <c r="A101" s="230"/>
      <c r="B101" s="230"/>
      <c r="C101" s="230"/>
      <c r="D101" s="230"/>
      <c r="E101" s="230"/>
      <c r="F101" s="230"/>
      <c r="G101" s="230"/>
      <c r="H101" s="230"/>
      <c r="I101" s="230"/>
      <c r="J101" s="230"/>
      <c r="K101" s="230"/>
      <c r="L101" s="230"/>
      <c r="M101" s="230"/>
    </row>
    <row r="102">
      <c r="A102" s="230"/>
      <c r="B102" s="230"/>
      <c r="C102" s="230"/>
      <c r="D102" s="230"/>
      <c r="E102" s="230"/>
      <c r="F102" s="230"/>
      <c r="G102" s="230"/>
      <c r="H102" s="230"/>
      <c r="I102" s="230"/>
      <c r="J102" s="230"/>
      <c r="K102" s="230"/>
      <c r="L102" s="230"/>
      <c r="M102" s="230"/>
    </row>
    <row r="103">
      <c r="A103" s="230"/>
      <c r="B103" s="230"/>
      <c r="C103" s="230"/>
      <c r="D103" s="230"/>
      <c r="E103" s="230"/>
      <c r="F103" s="230"/>
      <c r="G103" s="230"/>
      <c r="H103" s="230"/>
      <c r="I103" s="230"/>
      <c r="J103" s="230"/>
      <c r="K103" s="230"/>
      <c r="L103" s="230"/>
      <c r="M103" s="230"/>
    </row>
    <row r="104">
      <c r="A104" s="230"/>
      <c r="B104" s="230"/>
      <c r="C104" s="230"/>
      <c r="D104" s="230"/>
      <c r="E104" s="230"/>
      <c r="F104" s="230"/>
      <c r="G104" s="230"/>
      <c r="H104" s="230"/>
      <c r="I104" s="230"/>
      <c r="J104" s="230"/>
      <c r="K104" s="230"/>
      <c r="L104" s="230"/>
      <c r="M104" s="230"/>
    </row>
    <row r="105">
      <c r="A105" s="230"/>
      <c r="B105" s="230"/>
      <c r="C105" s="230"/>
      <c r="D105" s="230"/>
      <c r="E105" s="230"/>
      <c r="F105" s="230"/>
      <c r="G105" s="230"/>
      <c r="H105" s="230"/>
      <c r="I105" s="230"/>
      <c r="J105" s="230"/>
      <c r="K105" s="230"/>
      <c r="L105" s="230"/>
      <c r="M105" s="230"/>
    </row>
    <row r="106">
      <c r="A106" s="230"/>
      <c r="B106" s="230"/>
      <c r="C106" s="230"/>
      <c r="D106" s="230"/>
      <c r="E106" s="230"/>
      <c r="F106" s="230"/>
      <c r="G106" s="230"/>
      <c r="H106" s="230"/>
      <c r="I106" s="230"/>
      <c r="J106" s="230"/>
      <c r="K106" s="230"/>
      <c r="L106" s="230"/>
      <c r="M106" s="230"/>
    </row>
    <row r="107">
      <c r="A107" s="230"/>
      <c r="B107" s="230"/>
      <c r="C107" s="230"/>
      <c r="D107" s="230"/>
      <c r="E107" s="230"/>
      <c r="F107" s="230"/>
      <c r="G107" s="230"/>
      <c r="H107" s="230"/>
      <c r="I107" s="230"/>
      <c r="J107" s="230"/>
      <c r="K107" s="230"/>
      <c r="L107" s="230"/>
      <c r="M107" s="230"/>
    </row>
    <row r="108">
      <c r="A108" s="230"/>
      <c r="B108" s="230"/>
      <c r="C108" s="230"/>
      <c r="D108" s="230"/>
      <c r="E108" s="230"/>
      <c r="F108" s="230"/>
      <c r="G108" s="230"/>
      <c r="H108" s="230"/>
      <c r="I108" s="230"/>
      <c r="J108" s="230"/>
      <c r="K108" s="230"/>
      <c r="L108" s="230"/>
      <c r="M108" s="230"/>
    </row>
    <row r="109">
      <c r="A109" s="230"/>
      <c r="B109" s="230"/>
      <c r="C109" s="230"/>
      <c r="D109" s="230"/>
      <c r="E109" s="230"/>
      <c r="F109" s="230"/>
      <c r="G109" s="230"/>
      <c r="H109" s="230"/>
      <c r="I109" s="230"/>
      <c r="J109" s="230"/>
      <c r="K109" s="230"/>
      <c r="L109" s="230"/>
      <c r="M109" s="230"/>
    </row>
    <row r="110">
      <c r="A110" s="230"/>
      <c r="B110" s="230"/>
      <c r="C110" s="230"/>
      <c r="D110" s="230"/>
      <c r="E110" s="230"/>
      <c r="F110" s="230"/>
      <c r="G110" s="230"/>
      <c r="H110" s="230"/>
      <c r="I110" s="230"/>
      <c r="J110" s="230"/>
      <c r="K110" s="230"/>
      <c r="L110" s="230"/>
      <c r="M110" s="230"/>
    </row>
    <row r="111">
      <c r="A111" s="230"/>
      <c r="B111" s="230"/>
      <c r="C111" s="230"/>
      <c r="D111" s="230"/>
      <c r="E111" s="230"/>
      <c r="F111" s="230"/>
      <c r="G111" s="230"/>
      <c r="H111" s="230"/>
      <c r="I111" s="230"/>
      <c r="J111" s="230"/>
      <c r="K111" s="230"/>
      <c r="L111" s="230"/>
      <c r="M111" s="230"/>
    </row>
    <row r="112">
      <c r="A112" s="230"/>
      <c r="B112" s="230"/>
      <c r="C112" s="230"/>
      <c r="D112" s="230"/>
      <c r="E112" s="230"/>
      <c r="F112" s="230"/>
      <c r="G112" s="230"/>
      <c r="H112" s="230"/>
      <c r="I112" s="230"/>
      <c r="J112" s="230"/>
      <c r="K112" s="230"/>
      <c r="L112" s="230"/>
      <c r="M112" s="230"/>
    </row>
    <row r="113">
      <c r="A113" s="230"/>
      <c r="B113" s="230"/>
      <c r="C113" s="230"/>
      <c r="D113" s="230"/>
      <c r="E113" s="230"/>
      <c r="F113" s="230"/>
      <c r="G113" s="230"/>
      <c r="H113" s="230"/>
      <c r="I113" s="230"/>
      <c r="J113" s="230"/>
      <c r="K113" s="230"/>
      <c r="L113" s="230"/>
      <c r="M113" s="230"/>
    </row>
    <row r="114">
      <c r="A114" s="230"/>
      <c r="B114" s="230"/>
      <c r="C114" s="230"/>
      <c r="D114" s="230"/>
      <c r="E114" s="230"/>
      <c r="F114" s="230"/>
      <c r="G114" s="230"/>
      <c r="H114" s="230"/>
      <c r="I114" s="230"/>
      <c r="J114" s="230"/>
      <c r="K114" s="230"/>
      <c r="L114" s="230"/>
      <c r="M114" s="230"/>
    </row>
    <row r="115">
      <c r="A115" s="230"/>
      <c r="B115" s="230"/>
      <c r="C115" s="230"/>
      <c r="D115" s="230"/>
      <c r="E115" s="230"/>
      <c r="F115" s="230"/>
      <c r="G115" s="230"/>
      <c r="H115" s="230"/>
      <c r="I115" s="230"/>
      <c r="J115" s="230"/>
      <c r="K115" s="230"/>
      <c r="L115" s="230"/>
      <c r="M115" s="230"/>
    </row>
    <row r="116">
      <c r="A116" s="230"/>
      <c r="B116" s="230"/>
      <c r="C116" s="230"/>
      <c r="D116" s="230"/>
      <c r="E116" s="230"/>
      <c r="F116" s="230"/>
      <c r="G116" s="230"/>
      <c r="H116" s="230"/>
      <c r="I116" s="230"/>
      <c r="J116" s="230"/>
      <c r="K116" s="230"/>
      <c r="L116" s="230"/>
      <c r="M116" s="230"/>
    </row>
    <row r="117">
      <c r="A117" s="230"/>
      <c r="B117" s="230"/>
      <c r="C117" s="230"/>
      <c r="D117" s="230"/>
      <c r="E117" s="230"/>
      <c r="F117" s="230"/>
      <c r="G117" s="230"/>
      <c r="H117" s="230"/>
      <c r="I117" s="230"/>
      <c r="J117" s="230"/>
      <c r="K117" s="230"/>
      <c r="L117" s="230"/>
      <c r="M117" s="230"/>
    </row>
    <row r="118">
      <c r="A118" s="230"/>
      <c r="B118" s="230"/>
      <c r="C118" s="230"/>
      <c r="D118" s="230"/>
      <c r="E118" s="230"/>
      <c r="F118" s="230"/>
      <c r="G118" s="230"/>
      <c r="H118" s="230"/>
      <c r="I118" s="230"/>
      <c r="J118" s="230"/>
      <c r="K118" s="230"/>
      <c r="L118" s="230"/>
      <c r="M118" s="230"/>
    </row>
    <row r="119">
      <c r="A119" s="230"/>
      <c r="B119" s="230"/>
      <c r="C119" s="230"/>
      <c r="D119" s="230"/>
      <c r="E119" s="230"/>
      <c r="F119" s="230"/>
      <c r="G119" s="230"/>
      <c r="H119" s="230"/>
      <c r="I119" s="230"/>
      <c r="J119" s="230"/>
      <c r="K119" s="230"/>
      <c r="L119" s="230"/>
      <c r="M119" s="230"/>
    </row>
    <row r="120">
      <c r="A120" s="230"/>
      <c r="B120" s="230"/>
      <c r="C120" s="230"/>
      <c r="D120" s="230"/>
      <c r="E120" s="230"/>
      <c r="F120" s="230"/>
      <c r="G120" s="230"/>
      <c r="H120" s="230"/>
      <c r="I120" s="230"/>
      <c r="J120" s="230"/>
      <c r="K120" s="230"/>
      <c r="L120" s="230"/>
      <c r="M120" s="230"/>
    </row>
    <row r="121">
      <c r="A121" s="230"/>
      <c r="B121" s="230"/>
      <c r="C121" s="230"/>
      <c r="D121" s="230"/>
      <c r="E121" s="230"/>
      <c r="F121" s="230"/>
      <c r="G121" s="230"/>
      <c r="H121" s="230"/>
      <c r="I121" s="230"/>
      <c r="J121" s="230"/>
      <c r="K121" s="230"/>
      <c r="L121" s="230"/>
      <c r="M121" s="230"/>
    </row>
    <row r="122">
      <c r="A122" s="230"/>
      <c r="B122" s="230"/>
      <c r="C122" s="230"/>
      <c r="D122" s="230"/>
      <c r="E122" s="230"/>
      <c r="F122" s="230"/>
      <c r="G122" s="230"/>
      <c r="H122" s="230"/>
      <c r="I122" s="230"/>
      <c r="J122" s="230"/>
      <c r="K122" s="230"/>
      <c r="L122" s="230"/>
      <c r="M122" s="230"/>
    </row>
    <row r="123">
      <c r="A123" s="230"/>
      <c r="B123" s="230"/>
      <c r="C123" s="230"/>
      <c r="D123" s="230"/>
      <c r="E123" s="230"/>
      <c r="F123" s="230"/>
      <c r="G123" s="230"/>
      <c r="H123" s="230"/>
      <c r="I123" s="230"/>
      <c r="J123" s="230"/>
      <c r="K123" s="230"/>
      <c r="L123" s="230"/>
      <c r="M123" s="230"/>
    </row>
    <row r="124">
      <c r="A124" s="230"/>
      <c r="B124" s="230"/>
      <c r="C124" s="230"/>
      <c r="D124" s="230"/>
      <c r="E124" s="230"/>
      <c r="F124" s="230"/>
      <c r="G124" s="230"/>
      <c r="H124" s="230"/>
      <c r="I124" s="230"/>
      <c r="J124" s="230"/>
      <c r="K124" s="230"/>
      <c r="L124" s="230"/>
      <c r="M124" s="230"/>
    </row>
    <row r="125">
      <c r="A125" s="230"/>
      <c r="B125" s="230"/>
      <c r="C125" s="230"/>
      <c r="D125" s="230"/>
      <c r="E125" s="230"/>
      <c r="F125" s="230"/>
      <c r="G125" s="230"/>
      <c r="H125" s="230"/>
      <c r="I125" s="230"/>
      <c r="J125" s="230"/>
      <c r="K125" s="230"/>
      <c r="L125" s="230"/>
      <c r="M125" s="230"/>
    </row>
    <row r="126">
      <c r="A126" s="230"/>
      <c r="B126" s="230"/>
      <c r="C126" s="230"/>
      <c r="D126" s="230"/>
      <c r="E126" s="230"/>
      <c r="F126" s="230"/>
      <c r="G126" s="230"/>
      <c r="H126" s="230"/>
      <c r="I126" s="230"/>
      <c r="J126" s="230"/>
      <c r="K126" s="230"/>
      <c r="L126" s="230"/>
      <c r="M126" s="230"/>
    </row>
    <row r="127">
      <c r="A127" s="230"/>
      <c r="B127" s="230"/>
      <c r="C127" s="230"/>
      <c r="D127" s="230"/>
      <c r="E127" s="230"/>
      <c r="F127" s="230"/>
      <c r="G127" s="230"/>
      <c r="H127" s="230"/>
      <c r="I127" s="230"/>
      <c r="J127" s="230"/>
      <c r="K127" s="230"/>
      <c r="L127" s="230"/>
      <c r="M127" s="230"/>
    </row>
    <row r="128">
      <c r="A128" s="230"/>
      <c r="B128" s="230"/>
      <c r="C128" s="230"/>
      <c r="D128" s="230"/>
      <c r="E128" s="230"/>
      <c r="F128" s="230"/>
      <c r="G128" s="230"/>
      <c r="H128" s="230"/>
      <c r="I128" s="230"/>
      <c r="J128" s="230"/>
      <c r="K128" s="230"/>
      <c r="L128" s="230"/>
      <c r="M128" s="230"/>
    </row>
    <row r="129">
      <c r="A129" s="230"/>
      <c r="B129" s="230"/>
      <c r="C129" s="230"/>
      <c r="D129" s="230"/>
      <c r="E129" s="230"/>
      <c r="F129" s="230"/>
      <c r="G129" s="230"/>
      <c r="H129" s="230"/>
      <c r="I129" s="230"/>
      <c r="J129" s="230"/>
      <c r="K129" s="230"/>
      <c r="L129" s="230"/>
      <c r="M129" s="230"/>
    </row>
    <row r="130">
      <c r="A130" s="230"/>
      <c r="B130" s="230"/>
      <c r="C130" s="230"/>
      <c r="D130" s="230"/>
      <c r="E130" s="230"/>
      <c r="F130" s="230"/>
      <c r="G130" s="230"/>
      <c r="H130" s="230"/>
      <c r="I130" s="230"/>
      <c r="J130" s="230"/>
      <c r="K130" s="230"/>
      <c r="L130" s="230"/>
      <c r="M130" s="230"/>
    </row>
    <row r="131">
      <c r="A131" s="230"/>
      <c r="B131" s="230"/>
      <c r="C131" s="230"/>
      <c r="D131" s="230"/>
      <c r="E131" s="230"/>
      <c r="F131" s="230"/>
      <c r="G131" s="230"/>
      <c r="H131" s="230"/>
      <c r="I131" s="230"/>
      <c r="J131" s="230"/>
      <c r="K131" s="230"/>
      <c r="L131" s="230"/>
      <c r="M131" s="230"/>
    </row>
    <row r="132">
      <c r="A132" s="230"/>
      <c r="B132" s="230"/>
      <c r="C132" s="230"/>
      <c r="D132" s="230"/>
      <c r="E132" s="230"/>
      <c r="F132" s="230"/>
      <c r="G132" s="230"/>
      <c r="H132" s="230"/>
      <c r="I132" s="230"/>
      <c r="J132" s="230"/>
      <c r="K132" s="230"/>
      <c r="L132" s="230"/>
      <c r="M132" s="230"/>
    </row>
    <row r="133">
      <c r="A133" s="230"/>
      <c r="B133" s="230"/>
      <c r="C133" s="230"/>
      <c r="D133" s="230"/>
      <c r="E133" s="230"/>
      <c r="F133" s="230"/>
      <c r="G133" s="230"/>
      <c r="H133" s="230"/>
      <c r="I133" s="230"/>
      <c r="J133" s="230"/>
      <c r="K133" s="230"/>
      <c r="L133" s="230"/>
      <c r="M133" s="230"/>
    </row>
    <row r="134">
      <c r="A134" s="230"/>
      <c r="B134" s="230"/>
      <c r="C134" s="230"/>
      <c r="D134" s="230"/>
      <c r="E134" s="230"/>
      <c r="F134" s="230"/>
      <c r="G134" s="230"/>
      <c r="H134" s="230"/>
      <c r="I134" s="230"/>
      <c r="J134" s="230"/>
      <c r="K134" s="230"/>
      <c r="L134" s="230"/>
      <c r="M134" s="230"/>
    </row>
    <row r="135">
      <c r="A135" s="230"/>
      <c r="B135" s="230"/>
      <c r="C135" s="230"/>
      <c r="D135" s="230"/>
      <c r="E135" s="230"/>
      <c r="F135" s="230"/>
      <c r="G135" s="230"/>
      <c r="H135" s="230"/>
      <c r="I135" s="230"/>
      <c r="J135" s="230"/>
      <c r="K135" s="230"/>
      <c r="L135" s="230"/>
      <c r="M135" s="230"/>
    </row>
    <row r="136">
      <c r="A136" s="230"/>
      <c r="B136" s="230"/>
      <c r="C136" s="230"/>
      <c r="D136" s="230"/>
      <c r="E136" s="230"/>
      <c r="F136" s="230"/>
      <c r="G136" s="230"/>
      <c r="H136" s="230"/>
      <c r="I136" s="230"/>
      <c r="J136" s="230"/>
      <c r="K136" s="230"/>
      <c r="L136" s="230"/>
      <c r="M136" s="230"/>
    </row>
    <row r="137">
      <c r="A137" s="230"/>
      <c r="B137" s="230"/>
      <c r="C137" s="230"/>
      <c r="D137" s="230"/>
      <c r="E137" s="230"/>
      <c r="F137" s="230"/>
      <c r="G137" s="230"/>
      <c r="H137" s="230"/>
      <c r="I137" s="230"/>
      <c r="J137" s="230"/>
      <c r="K137" s="230"/>
      <c r="L137" s="230"/>
      <c r="M137" s="230"/>
    </row>
    <row r="138">
      <c r="A138" s="230"/>
      <c r="B138" s="230"/>
      <c r="C138" s="230"/>
      <c r="D138" s="230"/>
      <c r="E138" s="230"/>
      <c r="F138" s="230"/>
      <c r="G138" s="230"/>
      <c r="H138" s="230"/>
      <c r="I138" s="230"/>
      <c r="J138" s="230"/>
      <c r="K138" s="230"/>
      <c r="L138" s="230"/>
      <c r="M138" s="230"/>
    </row>
    <row r="139">
      <c r="A139" s="230"/>
      <c r="B139" s="230"/>
      <c r="C139" s="230"/>
      <c r="D139" s="230"/>
      <c r="E139" s="230"/>
      <c r="F139" s="230"/>
      <c r="G139" s="230"/>
      <c r="H139" s="230"/>
      <c r="I139" s="230"/>
      <c r="J139" s="230"/>
      <c r="K139" s="230"/>
      <c r="L139" s="230"/>
      <c r="M139" s="230"/>
    </row>
    <row r="140">
      <c r="A140" s="230"/>
      <c r="B140" s="230"/>
      <c r="C140" s="230"/>
      <c r="D140" s="230"/>
      <c r="E140" s="230"/>
      <c r="F140" s="230"/>
      <c r="G140" s="230"/>
      <c r="H140" s="230"/>
      <c r="I140" s="230"/>
      <c r="J140" s="230"/>
      <c r="K140" s="230"/>
      <c r="L140" s="230"/>
      <c r="M140" s="230"/>
    </row>
    <row r="141">
      <c r="A141" s="230"/>
      <c r="B141" s="230"/>
      <c r="C141" s="230"/>
      <c r="D141" s="230"/>
      <c r="E141" s="230"/>
      <c r="F141" s="230"/>
      <c r="G141" s="230"/>
      <c r="H141" s="230"/>
      <c r="I141" s="230"/>
      <c r="J141" s="230"/>
      <c r="K141" s="230"/>
      <c r="L141" s="230"/>
      <c r="M141" s="230"/>
    </row>
    <row r="142">
      <c r="A142" s="230"/>
      <c r="B142" s="230"/>
      <c r="C142" s="230"/>
      <c r="D142" s="230"/>
      <c r="E142" s="230"/>
      <c r="F142" s="230"/>
      <c r="G142" s="230"/>
      <c r="H142" s="230"/>
      <c r="I142" s="230"/>
      <c r="J142" s="230"/>
      <c r="K142" s="230"/>
      <c r="L142" s="230"/>
      <c r="M142" s="230"/>
    </row>
    <row r="143">
      <c r="A143" s="230"/>
      <c r="B143" s="230"/>
      <c r="C143" s="230"/>
      <c r="D143" s="230"/>
      <c r="E143" s="230"/>
      <c r="F143" s="230"/>
      <c r="G143" s="230"/>
      <c r="H143" s="230"/>
      <c r="I143" s="230"/>
      <c r="J143" s="230"/>
      <c r="K143" s="230"/>
      <c r="L143" s="230"/>
      <c r="M143" s="230"/>
    </row>
    <row r="144">
      <c r="A144" s="230"/>
      <c r="B144" s="230"/>
      <c r="C144" s="230"/>
      <c r="D144" s="230"/>
      <c r="E144" s="230"/>
      <c r="F144" s="230"/>
      <c r="G144" s="230"/>
      <c r="H144" s="230"/>
      <c r="I144" s="230"/>
      <c r="J144" s="230"/>
      <c r="K144" s="230"/>
      <c r="L144" s="230"/>
      <c r="M144" s="230"/>
    </row>
    <row r="145">
      <c r="A145" s="230"/>
      <c r="B145" s="230"/>
      <c r="C145" s="230"/>
      <c r="D145" s="230"/>
      <c r="E145" s="230"/>
      <c r="F145" s="230"/>
      <c r="G145" s="230"/>
      <c r="H145" s="230"/>
      <c r="I145" s="230"/>
      <c r="J145" s="230"/>
      <c r="K145" s="230"/>
      <c r="L145" s="230"/>
      <c r="M145" s="230"/>
    </row>
    <row r="146">
      <c r="A146" s="230"/>
      <c r="B146" s="230"/>
      <c r="C146" s="230"/>
      <c r="D146" s="230"/>
      <c r="E146" s="230"/>
      <c r="F146" s="230"/>
      <c r="G146" s="230"/>
      <c r="H146" s="230"/>
      <c r="I146" s="230"/>
      <c r="J146" s="230"/>
      <c r="K146" s="230"/>
      <c r="L146" s="230"/>
      <c r="M146" s="230"/>
    </row>
    <row r="147">
      <c r="A147" s="230"/>
      <c r="B147" s="230"/>
      <c r="C147" s="230"/>
      <c r="D147" s="230"/>
      <c r="E147" s="230"/>
      <c r="F147" s="230"/>
      <c r="G147" s="230"/>
      <c r="H147" s="230"/>
      <c r="I147" s="230"/>
      <c r="J147" s="230"/>
      <c r="K147" s="230"/>
      <c r="L147" s="230"/>
      <c r="M147" s="230"/>
    </row>
    <row r="148">
      <c r="A148" s="230"/>
      <c r="B148" s="230"/>
      <c r="C148" s="230"/>
      <c r="D148" s="230"/>
      <c r="E148" s="230"/>
      <c r="F148" s="230"/>
      <c r="G148" s="230"/>
      <c r="H148" s="230"/>
      <c r="I148" s="230"/>
      <c r="J148" s="230"/>
      <c r="K148" s="230"/>
      <c r="L148" s="230"/>
      <c r="M148" s="230"/>
    </row>
    <row r="149">
      <c r="A149" s="230"/>
      <c r="B149" s="230"/>
      <c r="C149" s="230"/>
      <c r="D149" s="230"/>
      <c r="E149" s="230"/>
      <c r="F149" s="230"/>
      <c r="G149" s="230"/>
      <c r="H149" s="230"/>
      <c r="I149" s="230"/>
      <c r="J149" s="230"/>
      <c r="K149" s="230"/>
      <c r="L149" s="230"/>
      <c r="M149" s="230"/>
    </row>
    <row r="150">
      <c r="A150" s="230"/>
      <c r="B150" s="230"/>
      <c r="C150" s="230"/>
      <c r="D150" s="230"/>
      <c r="E150" s="230"/>
      <c r="F150" s="230"/>
      <c r="G150" s="230"/>
      <c r="H150" s="230"/>
      <c r="I150" s="230"/>
      <c r="J150" s="230"/>
      <c r="K150" s="230"/>
      <c r="L150" s="230"/>
      <c r="M150" s="230"/>
    </row>
    <row r="151">
      <c r="A151" s="230"/>
      <c r="B151" s="230"/>
      <c r="C151" s="230"/>
      <c r="D151" s="230"/>
      <c r="E151" s="230"/>
      <c r="F151" s="230"/>
      <c r="G151" s="230"/>
      <c r="H151" s="230"/>
      <c r="I151" s="230"/>
      <c r="J151" s="230"/>
      <c r="K151" s="230"/>
      <c r="L151" s="230"/>
      <c r="M151" s="230"/>
    </row>
    <row r="152">
      <c r="A152" s="230"/>
      <c r="B152" s="230"/>
      <c r="C152" s="230"/>
      <c r="D152" s="230"/>
      <c r="E152" s="230"/>
      <c r="F152" s="230"/>
      <c r="G152" s="230"/>
      <c r="H152" s="230"/>
      <c r="I152" s="230"/>
      <c r="J152" s="230"/>
      <c r="K152" s="230"/>
      <c r="L152" s="230"/>
      <c r="M152" s="230"/>
    </row>
    <row r="153">
      <c r="A153" s="230"/>
      <c r="B153" s="230"/>
      <c r="C153" s="230"/>
      <c r="D153" s="230"/>
      <c r="E153" s="230"/>
      <c r="F153" s="230"/>
      <c r="G153" s="230"/>
      <c r="H153" s="230"/>
      <c r="I153" s="230"/>
      <c r="J153" s="230"/>
      <c r="K153" s="230"/>
      <c r="L153" s="230"/>
      <c r="M153" s="230"/>
    </row>
    <row r="154">
      <c r="A154" s="230"/>
      <c r="B154" s="230"/>
      <c r="C154" s="230"/>
      <c r="D154" s="230"/>
      <c r="E154" s="230"/>
      <c r="F154" s="230"/>
      <c r="G154" s="230"/>
      <c r="H154" s="230"/>
      <c r="I154" s="230"/>
      <c r="J154" s="230"/>
      <c r="K154" s="230"/>
      <c r="L154" s="230"/>
      <c r="M154" s="230"/>
    </row>
    <row r="155">
      <c r="A155" s="230"/>
      <c r="B155" s="230"/>
      <c r="C155" s="230"/>
      <c r="D155" s="230"/>
      <c r="E155" s="230"/>
      <c r="F155" s="230"/>
      <c r="G155" s="230"/>
      <c r="H155" s="230"/>
      <c r="I155" s="230"/>
      <c r="J155" s="230"/>
      <c r="K155" s="230"/>
      <c r="L155" s="230"/>
      <c r="M155" s="230"/>
    </row>
    <row r="156">
      <c r="A156" s="230"/>
      <c r="B156" s="230"/>
      <c r="C156" s="230"/>
      <c r="D156" s="230"/>
      <c r="E156" s="230"/>
      <c r="F156" s="230"/>
      <c r="G156" s="230"/>
      <c r="H156" s="230"/>
      <c r="I156" s="230"/>
      <c r="J156" s="230"/>
      <c r="K156" s="230"/>
      <c r="L156" s="230"/>
      <c r="M156" s="230"/>
    </row>
    <row r="157">
      <c r="A157" s="230"/>
      <c r="B157" s="230"/>
      <c r="C157" s="230"/>
      <c r="D157" s="230"/>
      <c r="E157" s="230"/>
      <c r="F157" s="230"/>
      <c r="G157" s="230"/>
      <c r="H157" s="230"/>
      <c r="I157" s="230"/>
      <c r="J157" s="230"/>
      <c r="K157" s="230"/>
      <c r="L157" s="230"/>
      <c r="M157" s="230"/>
    </row>
    <row r="158">
      <c r="A158" s="230"/>
      <c r="B158" s="230"/>
      <c r="C158" s="230"/>
      <c r="D158" s="230"/>
      <c r="E158" s="230"/>
      <c r="F158" s="230"/>
      <c r="G158" s="230"/>
      <c r="H158" s="230"/>
      <c r="I158" s="230"/>
      <c r="J158" s="230"/>
      <c r="K158" s="230"/>
      <c r="L158" s="230"/>
      <c r="M158" s="230"/>
    </row>
    <row r="159">
      <c r="A159" s="230"/>
      <c r="B159" s="230"/>
      <c r="C159" s="230"/>
      <c r="D159" s="230"/>
      <c r="E159" s="230"/>
      <c r="F159" s="230"/>
      <c r="G159" s="230"/>
      <c r="H159" s="230"/>
      <c r="I159" s="230"/>
      <c r="J159" s="230"/>
      <c r="K159" s="230"/>
      <c r="L159" s="230"/>
      <c r="M159" s="230"/>
    </row>
    <row r="160">
      <c r="A160" s="230"/>
      <c r="B160" s="230"/>
      <c r="C160" s="230"/>
      <c r="D160" s="230"/>
      <c r="E160" s="230"/>
      <c r="F160" s="230"/>
      <c r="G160" s="230"/>
      <c r="H160" s="230"/>
      <c r="I160" s="230"/>
      <c r="J160" s="230"/>
      <c r="K160" s="230"/>
      <c r="L160" s="230"/>
      <c r="M160" s="230"/>
    </row>
    <row r="161">
      <c r="A161" s="230"/>
      <c r="B161" s="230"/>
      <c r="C161" s="230"/>
      <c r="D161" s="230"/>
      <c r="E161" s="230"/>
      <c r="F161" s="230"/>
      <c r="G161" s="230"/>
      <c r="H161" s="230"/>
      <c r="I161" s="230"/>
      <c r="J161" s="230"/>
      <c r="K161" s="230"/>
      <c r="L161" s="230"/>
      <c r="M161" s="230"/>
    </row>
    <row r="162">
      <c r="A162" s="230"/>
      <c r="B162" s="230"/>
      <c r="C162" s="230"/>
      <c r="D162" s="230"/>
      <c r="E162" s="230"/>
      <c r="F162" s="230"/>
      <c r="G162" s="230"/>
      <c r="H162" s="230"/>
      <c r="I162" s="230"/>
      <c r="J162" s="230"/>
      <c r="K162" s="230"/>
      <c r="L162" s="230"/>
      <c r="M162" s="230"/>
    </row>
    <row r="163">
      <c r="A163" s="230"/>
      <c r="B163" s="230"/>
      <c r="C163" s="230"/>
      <c r="D163" s="230"/>
      <c r="E163" s="230"/>
      <c r="F163" s="230"/>
      <c r="G163" s="230"/>
      <c r="H163" s="230"/>
      <c r="I163" s="230"/>
      <c r="J163" s="230"/>
      <c r="K163" s="230"/>
      <c r="L163" s="230"/>
      <c r="M163" s="230"/>
    </row>
    <row r="164">
      <c r="A164" s="230"/>
      <c r="B164" s="230"/>
      <c r="C164" s="230"/>
      <c r="D164" s="230"/>
      <c r="E164" s="230"/>
      <c r="F164" s="230"/>
      <c r="G164" s="230"/>
      <c r="H164" s="230"/>
      <c r="I164" s="230"/>
      <c r="J164" s="230"/>
      <c r="K164" s="230"/>
      <c r="L164" s="230"/>
      <c r="M164" s="230"/>
    </row>
    <row r="165">
      <c r="A165" s="230"/>
      <c r="B165" s="230"/>
      <c r="C165" s="230"/>
      <c r="D165" s="230"/>
      <c r="E165" s="230"/>
      <c r="F165" s="230"/>
      <c r="G165" s="230"/>
      <c r="H165" s="230"/>
      <c r="I165" s="230"/>
      <c r="J165" s="230"/>
      <c r="K165" s="230"/>
      <c r="L165" s="230"/>
      <c r="M165" s="230"/>
    </row>
    <row r="166">
      <c r="A166" s="230"/>
      <c r="B166" s="230"/>
      <c r="C166" s="230"/>
      <c r="D166" s="230"/>
      <c r="E166" s="230"/>
      <c r="F166" s="230"/>
      <c r="G166" s="230"/>
      <c r="H166" s="230"/>
      <c r="I166" s="230"/>
      <c r="J166" s="230"/>
      <c r="K166" s="230"/>
      <c r="L166" s="230"/>
      <c r="M166" s="230"/>
    </row>
    <row r="167">
      <c r="A167" s="230"/>
      <c r="B167" s="230"/>
      <c r="C167" s="230"/>
      <c r="D167" s="230"/>
      <c r="E167" s="230"/>
      <c r="F167" s="230"/>
      <c r="G167" s="230"/>
      <c r="H167" s="230"/>
      <c r="I167" s="230"/>
      <c r="J167" s="230"/>
      <c r="K167" s="230"/>
      <c r="L167" s="230"/>
      <c r="M167" s="230"/>
    </row>
    <row r="168">
      <c r="A168" s="230"/>
      <c r="B168" s="230"/>
      <c r="C168" s="230"/>
      <c r="D168" s="230"/>
      <c r="E168" s="230"/>
      <c r="F168" s="230"/>
      <c r="G168" s="230"/>
      <c r="H168" s="230"/>
      <c r="I168" s="230"/>
      <c r="J168" s="230"/>
      <c r="K168" s="230"/>
      <c r="L168" s="230"/>
      <c r="M168" s="230"/>
    </row>
    <row r="169">
      <c r="A169" s="230"/>
      <c r="B169" s="230"/>
      <c r="C169" s="230"/>
      <c r="D169" s="230"/>
      <c r="E169" s="230"/>
      <c r="F169" s="230"/>
      <c r="G169" s="230"/>
      <c r="H169" s="230"/>
      <c r="I169" s="230"/>
      <c r="J169" s="230"/>
      <c r="K169" s="230"/>
      <c r="L169" s="230"/>
      <c r="M169" s="230"/>
    </row>
    <row r="170">
      <c r="A170" s="230"/>
      <c r="B170" s="230"/>
      <c r="C170" s="230"/>
      <c r="D170" s="230"/>
      <c r="E170" s="230"/>
      <c r="F170" s="230"/>
      <c r="G170" s="230"/>
      <c r="H170" s="230"/>
      <c r="I170" s="230"/>
      <c r="J170" s="230"/>
      <c r="K170" s="230"/>
      <c r="L170" s="230"/>
      <c r="M170" s="230"/>
    </row>
    <row r="171">
      <c r="A171" s="230"/>
      <c r="B171" s="230"/>
      <c r="C171" s="230"/>
      <c r="D171" s="230"/>
      <c r="E171" s="230"/>
      <c r="F171" s="230"/>
      <c r="G171" s="230"/>
      <c r="H171" s="230"/>
      <c r="I171" s="230"/>
      <c r="J171" s="230"/>
      <c r="K171" s="230"/>
      <c r="L171" s="230"/>
      <c r="M171" s="230"/>
    </row>
    <row r="172">
      <c r="A172" s="230"/>
      <c r="B172" s="230"/>
      <c r="C172" s="230"/>
      <c r="D172" s="230"/>
      <c r="E172" s="230"/>
      <c r="F172" s="230"/>
      <c r="G172" s="230"/>
      <c r="H172" s="230"/>
      <c r="I172" s="230"/>
      <c r="J172" s="230"/>
      <c r="K172" s="230"/>
      <c r="L172" s="230"/>
      <c r="M172" s="230"/>
    </row>
    <row r="173">
      <c r="A173" s="230"/>
      <c r="B173" s="230"/>
      <c r="C173" s="230"/>
      <c r="D173" s="230"/>
      <c r="E173" s="230"/>
      <c r="F173" s="230"/>
      <c r="G173" s="230"/>
      <c r="H173" s="230"/>
      <c r="I173" s="230"/>
      <c r="J173" s="230"/>
      <c r="K173" s="230"/>
      <c r="L173" s="230"/>
      <c r="M173" s="230"/>
    </row>
    <row r="174">
      <c r="A174" s="230"/>
      <c r="B174" s="230"/>
      <c r="C174" s="230"/>
      <c r="D174" s="230"/>
      <c r="E174" s="230"/>
      <c r="F174" s="230"/>
      <c r="G174" s="230"/>
      <c r="H174" s="230"/>
      <c r="I174" s="230"/>
      <c r="J174" s="230"/>
      <c r="K174" s="230"/>
      <c r="L174" s="230"/>
      <c r="M174" s="230"/>
    </row>
    <row r="175">
      <c r="A175" s="230"/>
      <c r="B175" s="230"/>
      <c r="C175" s="230"/>
      <c r="D175" s="230"/>
      <c r="E175" s="230"/>
      <c r="F175" s="230"/>
      <c r="G175" s="230"/>
      <c r="H175" s="230"/>
      <c r="I175" s="230"/>
      <c r="J175" s="230"/>
      <c r="K175" s="230"/>
      <c r="L175" s="230"/>
      <c r="M175" s="230"/>
    </row>
    <row r="176">
      <c r="A176" s="230"/>
      <c r="B176" s="230"/>
      <c r="C176" s="230"/>
      <c r="D176" s="230"/>
      <c r="E176" s="230"/>
      <c r="F176" s="230"/>
      <c r="G176" s="230"/>
      <c r="H176" s="230"/>
      <c r="I176" s="230"/>
      <c r="J176" s="230"/>
      <c r="K176" s="230"/>
      <c r="L176" s="230"/>
      <c r="M176" s="230"/>
    </row>
    <row r="177">
      <c r="A177" s="230"/>
      <c r="B177" s="230"/>
      <c r="C177" s="230"/>
      <c r="D177" s="230"/>
      <c r="E177" s="230"/>
      <c r="F177" s="230"/>
      <c r="G177" s="230"/>
      <c r="H177" s="230"/>
      <c r="I177" s="230"/>
      <c r="J177" s="230"/>
      <c r="K177" s="230"/>
      <c r="L177" s="230"/>
      <c r="M177" s="230"/>
    </row>
    <row r="178">
      <c r="A178" s="230"/>
      <c r="B178" s="230"/>
      <c r="C178" s="230"/>
      <c r="D178" s="230"/>
      <c r="E178" s="230"/>
      <c r="F178" s="230"/>
      <c r="G178" s="230"/>
      <c r="H178" s="230"/>
      <c r="I178" s="230"/>
      <c r="J178" s="230"/>
      <c r="K178" s="230"/>
      <c r="L178" s="230"/>
      <c r="M178" s="230"/>
    </row>
    <row r="179">
      <c r="A179" s="230"/>
      <c r="B179" s="230"/>
      <c r="C179" s="230"/>
      <c r="D179" s="230"/>
      <c r="E179" s="230"/>
      <c r="F179" s="230"/>
      <c r="G179" s="230"/>
      <c r="H179" s="230"/>
      <c r="I179" s="230"/>
      <c r="J179" s="230"/>
      <c r="K179" s="230"/>
      <c r="L179" s="230"/>
      <c r="M179" s="230"/>
    </row>
    <row r="180">
      <c r="A180" s="230"/>
      <c r="B180" s="230"/>
      <c r="C180" s="230"/>
      <c r="D180" s="230"/>
      <c r="E180" s="230"/>
      <c r="F180" s="230"/>
      <c r="G180" s="230"/>
      <c r="H180" s="230"/>
      <c r="I180" s="230"/>
      <c r="J180" s="230"/>
      <c r="K180" s="230"/>
      <c r="L180" s="230"/>
      <c r="M180" s="230"/>
    </row>
    <row r="181">
      <c r="A181" s="230"/>
      <c r="B181" s="230"/>
      <c r="C181" s="230"/>
      <c r="D181" s="230"/>
      <c r="E181" s="230"/>
      <c r="F181" s="230"/>
      <c r="G181" s="230"/>
      <c r="H181" s="230"/>
      <c r="I181" s="230"/>
      <c r="J181" s="230"/>
      <c r="K181" s="230"/>
      <c r="L181" s="230"/>
      <c r="M181" s="230"/>
    </row>
    <row r="182">
      <c r="A182" s="230"/>
      <c r="B182" s="230"/>
      <c r="C182" s="230"/>
      <c r="D182" s="230"/>
      <c r="E182" s="230"/>
      <c r="F182" s="230"/>
      <c r="G182" s="230"/>
      <c r="H182" s="230"/>
      <c r="I182" s="230"/>
      <c r="J182" s="230"/>
      <c r="K182" s="230"/>
      <c r="L182" s="230"/>
      <c r="M182" s="230"/>
    </row>
    <row r="183">
      <c r="A183" s="230"/>
      <c r="B183" s="230"/>
      <c r="C183" s="230"/>
      <c r="D183" s="230"/>
      <c r="E183" s="230"/>
      <c r="F183" s="230"/>
      <c r="G183" s="230"/>
      <c r="H183" s="230"/>
      <c r="I183" s="230"/>
      <c r="J183" s="230"/>
      <c r="K183" s="230"/>
      <c r="L183" s="230"/>
      <c r="M183" s="230"/>
    </row>
    <row r="184">
      <c r="A184" s="230"/>
      <c r="B184" s="230"/>
      <c r="C184" s="230"/>
      <c r="D184" s="230"/>
      <c r="E184" s="230"/>
      <c r="F184" s="230"/>
      <c r="G184" s="230"/>
      <c r="H184" s="230"/>
      <c r="I184" s="230"/>
      <c r="J184" s="230"/>
      <c r="K184" s="230"/>
      <c r="L184" s="230"/>
      <c r="M184" s="230"/>
    </row>
    <row r="185">
      <c r="A185" s="230"/>
      <c r="B185" s="230"/>
      <c r="C185" s="230"/>
      <c r="D185" s="230"/>
      <c r="E185" s="230"/>
      <c r="F185" s="230"/>
      <c r="G185" s="230"/>
      <c r="H185" s="230"/>
      <c r="I185" s="230"/>
      <c r="J185" s="230"/>
      <c r="K185" s="230"/>
      <c r="L185" s="230"/>
      <c r="M185" s="230"/>
    </row>
    <row r="186">
      <c r="A186" s="230"/>
      <c r="B186" s="230"/>
      <c r="C186" s="230"/>
      <c r="D186" s="230"/>
      <c r="E186" s="230"/>
      <c r="F186" s="230"/>
      <c r="G186" s="230"/>
      <c r="H186" s="230"/>
      <c r="I186" s="230"/>
      <c r="J186" s="230"/>
      <c r="K186" s="230"/>
      <c r="L186" s="230"/>
      <c r="M186" s="230"/>
    </row>
    <row r="187">
      <c r="A187" s="230"/>
      <c r="B187" s="230"/>
      <c r="C187" s="230"/>
      <c r="D187" s="230"/>
      <c r="E187" s="230"/>
      <c r="F187" s="230"/>
      <c r="G187" s="230"/>
      <c r="H187" s="230"/>
      <c r="I187" s="230"/>
      <c r="J187" s="230"/>
      <c r="K187" s="230"/>
      <c r="L187" s="230"/>
      <c r="M187" s="230"/>
    </row>
    <row r="188">
      <c r="A188" s="230"/>
      <c r="B188" s="230"/>
      <c r="C188" s="230"/>
      <c r="D188" s="230"/>
      <c r="E188" s="230"/>
      <c r="F188" s="230"/>
      <c r="G188" s="230"/>
      <c r="H188" s="230"/>
      <c r="I188" s="230"/>
      <c r="J188" s="230"/>
      <c r="K188" s="230"/>
      <c r="L188" s="230"/>
      <c r="M188" s="230"/>
    </row>
    <row r="189">
      <c r="A189" s="230"/>
      <c r="B189" s="230"/>
      <c r="C189" s="230"/>
      <c r="D189" s="230"/>
      <c r="E189" s="230"/>
      <c r="F189" s="230"/>
      <c r="G189" s="230"/>
      <c r="H189" s="230"/>
      <c r="I189" s="230"/>
      <c r="J189" s="230"/>
      <c r="K189" s="230"/>
      <c r="L189" s="230"/>
      <c r="M189" s="230"/>
    </row>
    <row r="190">
      <c r="A190" s="230"/>
      <c r="B190" s="230"/>
      <c r="C190" s="230"/>
      <c r="D190" s="230"/>
      <c r="E190" s="230"/>
      <c r="F190" s="230"/>
      <c r="G190" s="230"/>
      <c r="H190" s="230"/>
      <c r="I190" s="230"/>
      <c r="J190" s="230"/>
      <c r="K190" s="230"/>
      <c r="L190" s="230"/>
      <c r="M190" s="230"/>
    </row>
    <row r="191">
      <c r="A191" s="230"/>
      <c r="B191" s="230"/>
      <c r="C191" s="230"/>
      <c r="D191" s="230"/>
      <c r="E191" s="230"/>
      <c r="F191" s="230"/>
      <c r="G191" s="230"/>
      <c r="H191" s="230"/>
      <c r="I191" s="230"/>
      <c r="J191" s="230"/>
      <c r="K191" s="230"/>
      <c r="L191" s="230"/>
      <c r="M191" s="230"/>
    </row>
    <row r="192">
      <c r="A192" s="230"/>
      <c r="B192" s="230"/>
      <c r="C192" s="230"/>
      <c r="D192" s="230"/>
      <c r="E192" s="230"/>
      <c r="F192" s="230"/>
      <c r="G192" s="230"/>
      <c r="H192" s="230"/>
      <c r="I192" s="230"/>
      <c r="J192" s="230"/>
      <c r="K192" s="230"/>
      <c r="L192" s="230"/>
      <c r="M192" s="230"/>
    </row>
    <row r="193">
      <c r="A193" s="230"/>
      <c r="B193" s="230"/>
      <c r="C193" s="230"/>
      <c r="D193" s="230"/>
      <c r="E193" s="230"/>
      <c r="F193" s="230"/>
      <c r="G193" s="230"/>
      <c r="H193" s="230"/>
      <c r="I193" s="230"/>
      <c r="J193" s="230"/>
      <c r="K193" s="230"/>
      <c r="L193" s="230"/>
      <c r="M193" s="230"/>
    </row>
    <row r="194">
      <c r="A194" s="230"/>
      <c r="B194" s="230"/>
      <c r="C194" s="230"/>
      <c r="D194" s="230"/>
      <c r="E194" s="230"/>
      <c r="F194" s="230"/>
      <c r="G194" s="230"/>
      <c r="H194" s="230"/>
      <c r="I194" s="230"/>
      <c r="J194" s="230"/>
      <c r="K194" s="230"/>
      <c r="L194" s="230"/>
      <c r="M194" s="230"/>
    </row>
    <row r="195">
      <c r="A195" s="230"/>
      <c r="B195" s="230"/>
      <c r="C195" s="230"/>
      <c r="D195" s="230"/>
      <c r="E195" s="230"/>
      <c r="F195" s="230"/>
      <c r="G195" s="230"/>
      <c r="H195" s="230"/>
      <c r="I195" s="230"/>
      <c r="J195" s="230"/>
      <c r="K195" s="230"/>
      <c r="L195" s="230"/>
      <c r="M195" s="230"/>
    </row>
    <row r="196">
      <c r="A196" s="230"/>
      <c r="B196" s="230"/>
      <c r="C196" s="230"/>
      <c r="D196" s="230"/>
      <c r="E196" s="230"/>
      <c r="F196" s="230"/>
      <c r="G196" s="230"/>
      <c r="H196" s="230"/>
      <c r="I196" s="230"/>
      <c r="J196" s="230"/>
      <c r="K196" s="230"/>
      <c r="L196" s="230"/>
      <c r="M196" s="230"/>
    </row>
    <row r="197">
      <c r="A197" s="230"/>
      <c r="B197" s="230"/>
      <c r="C197" s="230"/>
      <c r="D197" s="230"/>
      <c r="E197" s="230"/>
      <c r="F197" s="230"/>
      <c r="G197" s="230"/>
      <c r="H197" s="230"/>
      <c r="I197" s="230"/>
      <c r="J197" s="230"/>
      <c r="K197" s="230"/>
      <c r="L197" s="230"/>
      <c r="M197" s="230"/>
    </row>
    <row r="198">
      <c r="A198" s="230"/>
      <c r="B198" s="230"/>
      <c r="C198" s="230"/>
      <c r="D198" s="230"/>
      <c r="E198" s="230"/>
      <c r="F198" s="230"/>
      <c r="G198" s="230"/>
      <c r="H198" s="230"/>
      <c r="I198" s="230"/>
      <c r="J198" s="230"/>
      <c r="K198" s="230"/>
      <c r="L198" s="230"/>
      <c r="M198" s="230"/>
    </row>
    <row r="199">
      <c r="A199" s="230"/>
      <c r="B199" s="230"/>
      <c r="C199" s="230"/>
      <c r="D199" s="230"/>
      <c r="E199" s="230"/>
      <c r="F199" s="230"/>
      <c r="G199" s="230"/>
      <c r="H199" s="230"/>
      <c r="I199" s="230"/>
      <c r="J199" s="230"/>
      <c r="K199" s="230"/>
      <c r="L199" s="230"/>
      <c r="M199" s="230"/>
    </row>
    <row r="200">
      <c r="A200" s="230"/>
      <c r="B200" s="230"/>
      <c r="C200" s="230"/>
      <c r="D200" s="230"/>
      <c r="E200" s="230"/>
      <c r="F200" s="230"/>
      <c r="G200" s="230"/>
      <c r="H200" s="230"/>
      <c r="I200" s="230"/>
      <c r="J200" s="230"/>
      <c r="K200" s="230"/>
      <c r="L200" s="230"/>
      <c r="M200" s="230"/>
    </row>
    <row r="201">
      <c r="A201" s="230"/>
      <c r="B201" s="230"/>
      <c r="C201" s="230"/>
      <c r="D201" s="230"/>
      <c r="E201" s="230"/>
      <c r="F201" s="230"/>
      <c r="G201" s="230"/>
      <c r="H201" s="230"/>
      <c r="I201" s="230"/>
      <c r="J201" s="230"/>
      <c r="K201" s="230"/>
      <c r="L201" s="230"/>
      <c r="M201" s="230"/>
    </row>
    <row r="202">
      <c r="A202" s="230"/>
      <c r="B202" s="230"/>
      <c r="C202" s="230"/>
      <c r="D202" s="230"/>
      <c r="E202" s="230"/>
      <c r="F202" s="230"/>
      <c r="G202" s="230"/>
      <c r="H202" s="230"/>
      <c r="I202" s="230"/>
      <c r="J202" s="230"/>
      <c r="K202" s="230"/>
      <c r="L202" s="230"/>
      <c r="M202" s="230"/>
    </row>
    <row r="203">
      <c r="A203" s="230"/>
      <c r="B203" s="230"/>
      <c r="C203" s="230"/>
      <c r="D203" s="230"/>
      <c r="E203" s="230"/>
      <c r="F203" s="230"/>
      <c r="G203" s="230"/>
      <c r="H203" s="230"/>
      <c r="I203" s="230"/>
      <c r="J203" s="230"/>
      <c r="K203" s="230"/>
      <c r="L203" s="230"/>
      <c r="M203" s="230"/>
    </row>
    <row r="204">
      <c r="A204" s="230"/>
      <c r="B204" s="230"/>
      <c r="C204" s="230"/>
      <c r="D204" s="230"/>
      <c r="E204" s="230"/>
      <c r="F204" s="230"/>
      <c r="G204" s="230"/>
      <c r="H204" s="230"/>
      <c r="I204" s="230"/>
      <c r="J204" s="230"/>
      <c r="K204" s="230"/>
      <c r="L204" s="230"/>
      <c r="M204" s="230"/>
    </row>
    <row r="205">
      <c r="A205" s="230"/>
      <c r="B205" s="230"/>
      <c r="C205" s="230"/>
      <c r="D205" s="230"/>
      <c r="E205" s="230"/>
      <c r="F205" s="230"/>
      <c r="G205" s="230"/>
      <c r="H205" s="230"/>
      <c r="I205" s="230"/>
      <c r="J205" s="230"/>
      <c r="K205" s="230"/>
      <c r="L205" s="230"/>
      <c r="M205" s="230"/>
    </row>
    <row r="206">
      <c r="A206" s="230"/>
      <c r="B206" s="230"/>
      <c r="C206" s="230"/>
      <c r="D206" s="230"/>
      <c r="E206" s="230"/>
      <c r="F206" s="230"/>
      <c r="G206" s="230"/>
      <c r="H206" s="230"/>
      <c r="I206" s="230"/>
      <c r="J206" s="230"/>
      <c r="K206" s="230"/>
      <c r="L206" s="230"/>
      <c r="M206" s="230"/>
    </row>
    <row r="207">
      <c r="A207" s="230"/>
      <c r="B207" s="230"/>
      <c r="C207" s="230"/>
      <c r="D207" s="230"/>
      <c r="E207" s="230"/>
      <c r="F207" s="230"/>
      <c r="G207" s="230"/>
      <c r="H207" s="230"/>
      <c r="I207" s="230"/>
      <c r="J207" s="230"/>
      <c r="K207" s="230"/>
      <c r="L207" s="230"/>
      <c r="M207" s="230"/>
    </row>
    <row r="208">
      <c r="A208" s="230"/>
      <c r="B208" s="230"/>
      <c r="C208" s="230"/>
      <c r="D208" s="230"/>
      <c r="E208" s="230"/>
      <c r="F208" s="230"/>
      <c r="G208" s="230"/>
      <c r="H208" s="230"/>
      <c r="I208" s="230"/>
      <c r="J208" s="230"/>
      <c r="K208" s="230"/>
      <c r="L208" s="230"/>
      <c r="M208" s="230"/>
    </row>
    <row r="209">
      <c r="A209" s="230"/>
      <c r="B209" s="230"/>
      <c r="C209" s="230"/>
      <c r="D209" s="230"/>
      <c r="E209" s="230"/>
      <c r="F209" s="230"/>
      <c r="G209" s="230"/>
      <c r="H209" s="230"/>
      <c r="I209" s="230"/>
      <c r="J209" s="230"/>
      <c r="K209" s="230"/>
      <c r="L209" s="230"/>
      <c r="M209" s="230"/>
    </row>
    <row r="210">
      <c r="A210" s="230"/>
      <c r="B210" s="230"/>
      <c r="C210" s="230"/>
      <c r="D210" s="230"/>
      <c r="E210" s="230"/>
      <c r="F210" s="230"/>
      <c r="G210" s="230"/>
      <c r="H210" s="230"/>
      <c r="I210" s="230"/>
      <c r="J210" s="230"/>
      <c r="K210" s="230"/>
      <c r="L210" s="230"/>
      <c r="M210" s="230"/>
    </row>
    <row r="211">
      <c r="A211" s="230"/>
      <c r="B211" s="230"/>
      <c r="C211" s="230"/>
      <c r="D211" s="230"/>
      <c r="E211" s="230"/>
      <c r="F211" s="230"/>
      <c r="G211" s="230"/>
      <c r="H211" s="230"/>
      <c r="I211" s="230"/>
      <c r="J211" s="230"/>
      <c r="K211" s="230"/>
      <c r="L211" s="230"/>
      <c r="M211" s="230"/>
    </row>
    <row r="212">
      <c r="A212" s="230"/>
      <c r="B212" s="230"/>
      <c r="C212" s="230"/>
      <c r="D212" s="230"/>
      <c r="E212" s="230"/>
      <c r="F212" s="230"/>
      <c r="G212" s="230"/>
      <c r="H212" s="230"/>
      <c r="I212" s="230"/>
      <c r="J212" s="230"/>
      <c r="K212" s="230"/>
      <c r="L212" s="230"/>
      <c r="M212" s="230"/>
    </row>
    <row r="213">
      <c r="A213" s="230"/>
      <c r="B213" s="230"/>
      <c r="C213" s="230"/>
      <c r="D213" s="230"/>
      <c r="E213" s="230"/>
      <c r="F213" s="230"/>
      <c r="G213" s="230"/>
      <c r="H213" s="230"/>
      <c r="I213" s="230"/>
      <c r="J213" s="230"/>
      <c r="K213" s="230"/>
      <c r="L213" s="230"/>
      <c r="M213" s="230"/>
    </row>
    <row r="214">
      <c r="A214" s="230"/>
      <c r="B214" s="230"/>
      <c r="C214" s="230"/>
      <c r="D214" s="230"/>
      <c r="E214" s="230"/>
      <c r="F214" s="230"/>
      <c r="G214" s="230"/>
      <c r="H214" s="230"/>
      <c r="I214" s="230"/>
      <c r="J214" s="230"/>
      <c r="K214" s="230"/>
      <c r="L214" s="230"/>
      <c r="M214" s="230"/>
    </row>
    <row r="215">
      <c r="A215" s="230"/>
      <c r="B215" s="230"/>
      <c r="C215" s="230"/>
      <c r="D215" s="230"/>
      <c r="E215" s="230"/>
      <c r="F215" s="230"/>
      <c r="G215" s="230"/>
      <c r="H215" s="230"/>
      <c r="I215" s="230"/>
      <c r="J215" s="230"/>
      <c r="K215" s="230"/>
      <c r="L215" s="230"/>
      <c r="M215" s="230"/>
    </row>
    <row r="216">
      <c r="A216" s="230"/>
      <c r="B216" s="230"/>
      <c r="C216" s="230"/>
      <c r="D216" s="230"/>
      <c r="E216" s="230"/>
      <c r="F216" s="230"/>
      <c r="G216" s="230"/>
      <c r="H216" s="230"/>
      <c r="I216" s="230"/>
      <c r="J216" s="230"/>
      <c r="K216" s="230"/>
      <c r="L216" s="230"/>
      <c r="M216" s="230"/>
    </row>
    <row r="217">
      <c r="A217" s="230"/>
      <c r="B217" s="230"/>
      <c r="C217" s="230"/>
      <c r="D217" s="230"/>
      <c r="E217" s="230"/>
      <c r="F217" s="230"/>
      <c r="G217" s="230"/>
      <c r="H217" s="230"/>
      <c r="I217" s="230"/>
      <c r="J217" s="230"/>
      <c r="K217" s="230"/>
      <c r="L217" s="230"/>
      <c r="M217" s="230"/>
    </row>
    <row r="218">
      <c r="A218" s="230"/>
      <c r="B218" s="230"/>
      <c r="C218" s="230"/>
      <c r="D218" s="230"/>
      <c r="E218" s="230"/>
      <c r="F218" s="230"/>
      <c r="G218" s="230"/>
      <c r="H218" s="230"/>
      <c r="I218" s="230"/>
      <c r="J218" s="230"/>
      <c r="K218" s="230"/>
      <c r="L218" s="230"/>
      <c r="M218" s="230"/>
    </row>
    <row r="219">
      <c r="A219" s="230"/>
      <c r="B219" s="230"/>
      <c r="C219" s="230"/>
      <c r="D219" s="230"/>
      <c r="E219" s="230"/>
      <c r="F219" s="230"/>
      <c r="G219" s="230"/>
      <c r="H219" s="230"/>
      <c r="I219" s="230"/>
      <c r="J219" s="230"/>
      <c r="K219" s="230"/>
      <c r="L219" s="230"/>
      <c r="M219" s="230"/>
    </row>
    <row r="220">
      <c r="A220" s="230"/>
      <c r="B220" s="230"/>
      <c r="C220" s="230"/>
      <c r="D220" s="230"/>
      <c r="E220" s="230"/>
      <c r="F220" s="230"/>
      <c r="G220" s="230"/>
      <c r="H220" s="230"/>
      <c r="I220" s="230"/>
      <c r="J220" s="230"/>
      <c r="K220" s="230"/>
      <c r="L220" s="230"/>
      <c r="M220" s="230"/>
    </row>
    <row r="221">
      <c r="A221" s="230"/>
      <c r="B221" s="230"/>
      <c r="C221" s="230"/>
      <c r="D221" s="230"/>
      <c r="E221" s="230"/>
      <c r="F221" s="230"/>
      <c r="G221" s="230"/>
      <c r="H221" s="230"/>
      <c r="I221" s="230"/>
      <c r="J221" s="230"/>
      <c r="K221" s="230"/>
      <c r="L221" s="230"/>
      <c r="M221" s="230"/>
    </row>
    <row r="222">
      <c r="A222" s="230"/>
      <c r="B222" s="230"/>
      <c r="C222" s="230"/>
      <c r="D222" s="230"/>
      <c r="E222" s="230"/>
      <c r="F222" s="230"/>
      <c r="G222" s="230"/>
      <c r="H222" s="230"/>
      <c r="I222" s="230"/>
      <c r="J222" s="230"/>
      <c r="K222" s="230"/>
      <c r="L222" s="230"/>
      <c r="M222" s="230"/>
    </row>
    <row r="223">
      <c r="A223" s="230"/>
      <c r="B223" s="230"/>
      <c r="C223" s="230"/>
      <c r="D223" s="230"/>
      <c r="E223" s="230"/>
      <c r="F223" s="230"/>
      <c r="G223" s="230"/>
      <c r="H223" s="230"/>
      <c r="I223" s="230"/>
      <c r="J223" s="230"/>
      <c r="K223" s="230"/>
      <c r="L223" s="230"/>
      <c r="M223" s="230"/>
    </row>
    <row r="224">
      <c r="A224" s="230"/>
      <c r="B224" s="230"/>
      <c r="C224" s="230"/>
      <c r="D224" s="230"/>
      <c r="E224" s="230"/>
      <c r="F224" s="230"/>
      <c r="G224" s="230"/>
      <c r="H224" s="230"/>
      <c r="I224" s="230"/>
      <c r="J224" s="230"/>
      <c r="K224" s="230"/>
      <c r="L224" s="230"/>
      <c r="M224" s="230"/>
    </row>
    <row r="225">
      <c r="A225" s="230"/>
      <c r="B225" s="230"/>
      <c r="C225" s="230"/>
      <c r="D225" s="230"/>
      <c r="E225" s="230"/>
      <c r="F225" s="230"/>
      <c r="G225" s="230"/>
      <c r="H225" s="230"/>
      <c r="I225" s="230"/>
      <c r="J225" s="230"/>
      <c r="K225" s="230"/>
      <c r="L225" s="230"/>
      <c r="M225" s="230"/>
    </row>
    <row r="226">
      <c r="A226" s="230"/>
      <c r="B226" s="230"/>
      <c r="C226" s="230"/>
      <c r="D226" s="230"/>
      <c r="E226" s="230"/>
      <c r="F226" s="230"/>
      <c r="G226" s="230"/>
      <c r="H226" s="230"/>
      <c r="I226" s="230"/>
      <c r="J226" s="230"/>
      <c r="K226" s="230"/>
      <c r="L226" s="230"/>
      <c r="M226" s="230"/>
    </row>
    <row r="227">
      <c r="A227" s="230"/>
      <c r="B227" s="230"/>
      <c r="C227" s="230"/>
      <c r="D227" s="230"/>
      <c r="E227" s="230"/>
      <c r="F227" s="230"/>
      <c r="G227" s="230"/>
      <c r="H227" s="230"/>
      <c r="I227" s="230"/>
      <c r="J227" s="230"/>
      <c r="K227" s="230"/>
      <c r="L227" s="230"/>
      <c r="M227" s="230"/>
    </row>
    <row r="228">
      <c r="A228" s="230"/>
      <c r="B228" s="230"/>
      <c r="C228" s="230"/>
      <c r="D228" s="230"/>
      <c r="E228" s="230"/>
      <c r="F228" s="230"/>
      <c r="G228" s="230"/>
      <c r="H228" s="230"/>
      <c r="I228" s="230"/>
      <c r="J228" s="230"/>
      <c r="K228" s="230"/>
      <c r="L228" s="230"/>
      <c r="M228" s="230"/>
    </row>
    <row r="229">
      <c r="A229" s="230"/>
      <c r="B229" s="230"/>
      <c r="C229" s="230"/>
      <c r="D229" s="230"/>
      <c r="E229" s="230"/>
      <c r="F229" s="230"/>
      <c r="G229" s="230"/>
      <c r="H229" s="230"/>
      <c r="I229" s="230"/>
      <c r="J229" s="230"/>
      <c r="K229" s="230"/>
      <c r="L229" s="230"/>
      <c r="M229" s="230"/>
    </row>
    <row r="230">
      <c r="A230" s="230"/>
      <c r="B230" s="230"/>
      <c r="C230" s="230"/>
      <c r="D230" s="230"/>
      <c r="E230" s="230"/>
      <c r="F230" s="230"/>
      <c r="G230" s="230"/>
      <c r="H230" s="230"/>
      <c r="I230" s="230"/>
      <c r="J230" s="230"/>
      <c r="K230" s="230"/>
      <c r="L230" s="230"/>
      <c r="M230" s="230"/>
    </row>
    <row r="231">
      <c r="A231" s="230"/>
      <c r="B231" s="230"/>
      <c r="C231" s="230"/>
      <c r="D231" s="230"/>
      <c r="E231" s="230"/>
      <c r="F231" s="230"/>
      <c r="G231" s="230"/>
      <c r="H231" s="230"/>
      <c r="I231" s="230"/>
      <c r="J231" s="230"/>
      <c r="K231" s="230"/>
      <c r="L231" s="230"/>
      <c r="M231" s="230"/>
    </row>
    <row r="232">
      <c r="A232" s="230"/>
      <c r="B232" s="230"/>
      <c r="C232" s="230"/>
      <c r="D232" s="230"/>
      <c r="E232" s="230"/>
      <c r="F232" s="230"/>
      <c r="G232" s="230"/>
      <c r="H232" s="230"/>
      <c r="I232" s="230"/>
      <c r="J232" s="230"/>
      <c r="K232" s="230"/>
      <c r="L232" s="230"/>
      <c r="M232" s="230"/>
    </row>
    <row r="233">
      <c r="A233" s="230"/>
      <c r="B233" s="230"/>
      <c r="C233" s="230"/>
      <c r="D233" s="230"/>
      <c r="E233" s="230"/>
      <c r="F233" s="230"/>
      <c r="G233" s="230"/>
      <c r="H233" s="230"/>
      <c r="I233" s="230"/>
      <c r="J233" s="230"/>
      <c r="K233" s="230"/>
      <c r="L233" s="230"/>
      <c r="M233" s="230"/>
    </row>
    <row r="234">
      <c r="A234" s="230"/>
      <c r="B234" s="230"/>
      <c r="C234" s="230"/>
      <c r="D234" s="230"/>
      <c r="E234" s="230"/>
      <c r="F234" s="230"/>
      <c r="G234" s="230"/>
      <c r="H234" s="230"/>
      <c r="I234" s="230"/>
      <c r="J234" s="230"/>
      <c r="K234" s="230"/>
      <c r="L234" s="230"/>
      <c r="M234" s="230"/>
    </row>
    <row r="235">
      <c r="A235" s="230"/>
      <c r="B235" s="230"/>
      <c r="C235" s="230"/>
      <c r="D235" s="230"/>
      <c r="E235" s="230"/>
      <c r="F235" s="230"/>
      <c r="G235" s="230"/>
      <c r="H235" s="230"/>
      <c r="I235" s="230"/>
      <c r="J235" s="230"/>
      <c r="K235" s="230"/>
      <c r="L235" s="230"/>
      <c r="M235" s="230"/>
    </row>
    <row r="236">
      <c r="A236" s="230"/>
      <c r="B236" s="230"/>
      <c r="C236" s="230"/>
      <c r="D236" s="230"/>
      <c r="E236" s="230"/>
      <c r="F236" s="230"/>
      <c r="G236" s="230"/>
      <c r="H236" s="230"/>
      <c r="I236" s="230"/>
      <c r="J236" s="230"/>
      <c r="K236" s="230"/>
      <c r="L236" s="230"/>
      <c r="M236" s="230"/>
    </row>
    <row r="237">
      <c r="A237" s="230"/>
      <c r="B237" s="230"/>
      <c r="C237" s="230"/>
      <c r="D237" s="230"/>
      <c r="E237" s="230"/>
      <c r="F237" s="230"/>
      <c r="G237" s="230"/>
      <c r="H237" s="230"/>
      <c r="I237" s="230"/>
      <c r="J237" s="230"/>
      <c r="K237" s="230"/>
      <c r="L237" s="230"/>
      <c r="M237" s="230"/>
    </row>
    <row r="238">
      <c r="A238" s="230"/>
      <c r="B238" s="230"/>
      <c r="C238" s="230"/>
      <c r="D238" s="230"/>
      <c r="E238" s="230"/>
      <c r="F238" s="230"/>
      <c r="G238" s="230"/>
      <c r="H238" s="230"/>
      <c r="I238" s="230"/>
      <c r="J238" s="230"/>
      <c r="K238" s="230"/>
      <c r="L238" s="230"/>
      <c r="M238" s="230"/>
    </row>
    <row r="239">
      <c r="A239" s="230"/>
      <c r="B239" s="230"/>
      <c r="C239" s="230"/>
      <c r="D239" s="230"/>
      <c r="E239" s="230"/>
      <c r="F239" s="230"/>
      <c r="G239" s="230"/>
      <c r="H239" s="230"/>
      <c r="I239" s="230"/>
      <c r="J239" s="230"/>
      <c r="K239" s="230"/>
      <c r="L239" s="230"/>
      <c r="M239" s="230"/>
    </row>
    <row r="240">
      <c r="A240" s="230"/>
      <c r="B240" s="230"/>
      <c r="C240" s="230"/>
      <c r="D240" s="230"/>
      <c r="E240" s="230"/>
      <c r="F240" s="230"/>
      <c r="G240" s="230"/>
      <c r="H240" s="230"/>
      <c r="I240" s="230"/>
      <c r="J240" s="230"/>
      <c r="K240" s="230"/>
      <c r="L240" s="230"/>
      <c r="M240" s="230"/>
    </row>
    <row r="241">
      <c r="A241" s="230"/>
      <c r="B241" s="230"/>
      <c r="C241" s="230"/>
      <c r="D241" s="230"/>
      <c r="E241" s="230"/>
      <c r="F241" s="230"/>
      <c r="G241" s="230"/>
      <c r="H241" s="230"/>
      <c r="I241" s="230"/>
      <c r="J241" s="230"/>
      <c r="K241" s="230"/>
      <c r="L241" s="230"/>
      <c r="M241" s="230"/>
    </row>
    <row r="242">
      <c r="A242" s="230"/>
      <c r="B242" s="230"/>
      <c r="C242" s="230"/>
      <c r="D242" s="230"/>
      <c r="E242" s="230"/>
      <c r="F242" s="230"/>
      <c r="G242" s="230"/>
      <c r="H242" s="230"/>
      <c r="I242" s="230"/>
      <c r="J242" s="230"/>
      <c r="K242" s="230"/>
      <c r="L242" s="230"/>
      <c r="M242" s="230"/>
    </row>
    <row r="243">
      <c r="A243" s="230"/>
      <c r="B243" s="230"/>
      <c r="C243" s="230"/>
      <c r="D243" s="230"/>
      <c r="E243" s="230"/>
      <c r="F243" s="230"/>
      <c r="G243" s="230"/>
      <c r="H243" s="230"/>
      <c r="I243" s="230"/>
      <c r="J243" s="230"/>
      <c r="K243" s="230"/>
      <c r="L243" s="230"/>
      <c r="M243" s="230"/>
    </row>
    <row r="244">
      <c r="A244" s="230"/>
      <c r="B244" s="230"/>
      <c r="C244" s="230"/>
      <c r="D244" s="230"/>
      <c r="E244" s="230"/>
      <c r="F244" s="230"/>
      <c r="G244" s="230"/>
      <c r="H244" s="230"/>
      <c r="I244" s="230"/>
      <c r="J244" s="230"/>
      <c r="K244" s="230"/>
      <c r="L244" s="230"/>
      <c r="M244" s="230"/>
    </row>
    <row r="245">
      <c r="A245" s="230"/>
      <c r="B245" s="230"/>
      <c r="C245" s="230"/>
      <c r="D245" s="230"/>
      <c r="E245" s="230"/>
      <c r="F245" s="230"/>
      <c r="G245" s="230"/>
      <c r="H245" s="230"/>
      <c r="I245" s="230"/>
      <c r="J245" s="230"/>
      <c r="K245" s="230"/>
      <c r="L245" s="230"/>
      <c r="M245" s="230"/>
    </row>
    <row r="246">
      <c r="A246" s="230"/>
      <c r="B246" s="230"/>
      <c r="C246" s="230"/>
      <c r="D246" s="230"/>
      <c r="E246" s="230"/>
      <c r="F246" s="230"/>
      <c r="G246" s="230"/>
      <c r="H246" s="230"/>
      <c r="I246" s="230"/>
      <c r="J246" s="230"/>
      <c r="K246" s="230"/>
      <c r="L246" s="230"/>
      <c r="M246" s="230"/>
    </row>
    <row r="247">
      <c r="A247" s="230"/>
      <c r="B247" s="230"/>
      <c r="C247" s="230"/>
      <c r="D247" s="230"/>
      <c r="E247" s="230"/>
      <c r="F247" s="230"/>
      <c r="G247" s="230"/>
      <c r="H247" s="230"/>
      <c r="I247" s="230"/>
      <c r="J247" s="230"/>
      <c r="K247" s="230"/>
      <c r="L247" s="230"/>
      <c r="M247" s="230"/>
    </row>
    <row r="248">
      <c r="A248" s="230"/>
      <c r="B248" s="230"/>
      <c r="C248" s="230"/>
      <c r="D248" s="230"/>
      <c r="E248" s="230"/>
      <c r="F248" s="230"/>
      <c r="G248" s="230"/>
      <c r="H248" s="230"/>
      <c r="I248" s="230"/>
      <c r="J248" s="230"/>
      <c r="K248" s="230"/>
      <c r="L248" s="230"/>
      <c r="M248" s="230"/>
    </row>
    <row r="249">
      <c r="A249" s="230"/>
      <c r="B249" s="230"/>
      <c r="C249" s="230"/>
      <c r="D249" s="230"/>
      <c r="E249" s="230"/>
      <c r="F249" s="230"/>
      <c r="G249" s="230"/>
      <c r="H249" s="230"/>
      <c r="I249" s="230"/>
      <c r="J249" s="230"/>
      <c r="K249" s="230"/>
      <c r="L249" s="230"/>
      <c r="M249" s="230"/>
    </row>
    <row r="250">
      <c r="A250" s="230"/>
      <c r="B250" s="230"/>
      <c r="C250" s="230"/>
      <c r="D250" s="230"/>
      <c r="E250" s="230"/>
      <c r="F250" s="230"/>
      <c r="G250" s="230"/>
      <c r="H250" s="230"/>
      <c r="I250" s="230"/>
      <c r="J250" s="230"/>
      <c r="K250" s="230"/>
      <c r="L250" s="230"/>
      <c r="M250" s="230"/>
    </row>
    <row r="251">
      <c r="A251" s="230"/>
      <c r="B251" s="230"/>
      <c r="C251" s="230"/>
      <c r="D251" s="230"/>
      <c r="E251" s="230"/>
      <c r="F251" s="230"/>
      <c r="G251" s="230"/>
      <c r="H251" s="230"/>
      <c r="I251" s="230"/>
      <c r="J251" s="230"/>
      <c r="K251" s="230"/>
      <c r="L251" s="230"/>
      <c r="M251" s="230"/>
    </row>
    <row r="252">
      <c r="A252" s="230"/>
      <c r="B252" s="230"/>
      <c r="C252" s="230"/>
      <c r="D252" s="230"/>
      <c r="E252" s="230"/>
      <c r="F252" s="230"/>
      <c r="G252" s="230"/>
      <c r="H252" s="230"/>
      <c r="I252" s="230"/>
      <c r="J252" s="230"/>
      <c r="K252" s="230"/>
      <c r="L252" s="230"/>
      <c r="M252" s="230"/>
    </row>
    <row r="253">
      <c r="A253" s="230"/>
      <c r="B253" s="230"/>
      <c r="C253" s="230"/>
      <c r="D253" s="230"/>
      <c r="E253" s="230"/>
      <c r="F253" s="230"/>
      <c r="G253" s="230"/>
      <c r="H253" s="230"/>
      <c r="I253" s="230"/>
      <c r="J253" s="230"/>
      <c r="K253" s="230"/>
      <c r="L253" s="230"/>
      <c r="M253" s="230"/>
    </row>
    <row r="254">
      <c r="A254" s="230"/>
      <c r="B254" s="230"/>
      <c r="C254" s="230"/>
      <c r="D254" s="230"/>
      <c r="E254" s="230"/>
      <c r="F254" s="230"/>
      <c r="G254" s="230"/>
      <c r="H254" s="230"/>
      <c r="I254" s="230"/>
      <c r="J254" s="230"/>
      <c r="K254" s="230"/>
      <c r="L254" s="230"/>
      <c r="M254" s="230"/>
    </row>
    <row r="255">
      <c r="A255" s="230"/>
      <c r="B255" s="230"/>
      <c r="C255" s="230"/>
      <c r="D255" s="230"/>
      <c r="E255" s="230"/>
      <c r="F255" s="230"/>
      <c r="G255" s="230"/>
      <c r="H255" s="230"/>
      <c r="I255" s="230"/>
      <c r="J255" s="230"/>
      <c r="K255" s="230"/>
      <c r="L255" s="230"/>
      <c r="M255" s="230"/>
    </row>
    <row r="256">
      <c r="A256" s="230"/>
      <c r="B256" s="230"/>
      <c r="C256" s="230"/>
      <c r="D256" s="230"/>
      <c r="E256" s="230"/>
      <c r="F256" s="230"/>
      <c r="G256" s="230"/>
      <c r="H256" s="230"/>
      <c r="I256" s="230"/>
      <c r="J256" s="230"/>
      <c r="K256" s="230"/>
      <c r="L256" s="230"/>
      <c r="M256" s="230"/>
    </row>
    <row r="257">
      <c r="A257" s="230"/>
      <c r="B257" s="230"/>
      <c r="C257" s="230"/>
      <c r="D257" s="230"/>
      <c r="E257" s="230"/>
      <c r="F257" s="230"/>
      <c r="G257" s="230"/>
      <c r="H257" s="230"/>
      <c r="I257" s="230"/>
      <c r="J257" s="230"/>
      <c r="K257" s="230"/>
      <c r="L257" s="230"/>
      <c r="M257" s="230"/>
    </row>
    <row r="258">
      <c r="A258" s="230"/>
      <c r="B258" s="230"/>
      <c r="C258" s="230"/>
      <c r="D258" s="230"/>
      <c r="E258" s="230"/>
      <c r="F258" s="230"/>
      <c r="G258" s="230"/>
      <c r="H258" s="230"/>
      <c r="I258" s="230"/>
      <c r="J258" s="230"/>
      <c r="K258" s="230"/>
      <c r="L258" s="230"/>
      <c r="M258" s="230"/>
    </row>
    <row r="259">
      <c r="A259" s="230"/>
      <c r="B259" s="230"/>
      <c r="C259" s="230"/>
      <c r="D259" s="230"/>
      <c r="E259" s="230"/>
      <c r="F259" s="230"/>
      <c r="G259" s="230"/>
      <c r="H259" s="230"/>
      <c r="I259" s="230"/>
      <c r="J259" s="230"/>
      <c r="K259" s="230"/>
      <c r="L259" s="230"/>
      <c r="M259" s="230"/>
    </row>
    <row r="260">
      <c r="A260" s="230"/>
      <c r="B260" s="230"/>
      <c r="C260" s="230"/>
      <c r="D260" s="230"/>
      <c r="E260" s="230"/>
      <c r="F260" s="230"/>
      <c r="G260" s="230"/>
      <c r="H260" s="230"/>
      <c r="I260" s="230"/>
      <c r="J260" s="230"/>
      <c r="K260" s="230"/>
      <c r="L260" s="230"/>
      <c r="M260" s="230"/>
    </row>
    <row r="261">
      <c r="A261" s="230"/>
      <c r="B261" s="230"/>
      <c r="C261" s="230"/>
      <c r="D261" s="230"/>
      <c r="E261" s="230"/>
      <c r="F261" s="230"/>
      <c r="G261" s="230"/>
      <c r="H261" s="230"/>
      <c r="I261" s="230"/>
      <c r="J261" s="230"/>
      <c r="K261" s="230"/>
      <c r="L261" s="230"/>
      <c r="M261" s="230"/>
    </row>
    <row r="262">
      <c r="A262" s="230"/>
      <c r="B262" s="230"/>
      <c r="C262" s="230"/>
      <c r="D262" s="230"/>
      <c r="E262" s="230"/>
      <c r="F262" s="230"/>
      <c r="G262" s="230"/>
      <c r="H262" s="230"/>
      <c r="I262" s="230"/>
      <c r="J262" s="230"/>
      <c r="K262" s="230"/>
      <c r="L262" s="230"/>
      <c r="M262" s="230"/>
    </row>
    <row r="263">
      <c r="A263" s="230"/>
      <c r="B263" s="230"/>
      <c r="C263" s="230"/>
      <c r="D263" s="230"/>
      <c r="E263" s="230"/>
      <c r="F263" s="230"/>
      <c r="G263" s="230"/>
      <c r="H263" s="230"/>
      <c r="I263" s="230"/>
      <c r="J263" s="230"/>
      <c r="K263" s="230"/>
      <c r="L263" s="230"/>
      <c r="M263" s="230"/>
    </row>
    <row r="264">
      <c r="A264" s="230"/>
      <c r="B264" s="230"/>
      <c r="C264" s="230"/>
      <c r="D264" s="230"/>
      <c r="E264" s="230"/>
      <c r="F264" s="230"/>
      <c r="G264" s="230"/>
      <c r="H264" s="230"/>
      <c r="I264" s="230"/>
      <c r="J264" s="230"/>
      <c r="K264" s="230"/>
      <c r="L264" s="230"/>
      <c r="M264" s="230"/>
    </row>
    <row r="265">
      <c r="A265" s="230"/>
      <c r="B265" s="230"/>
      <c r="C265" s="230"/>
      <c r="D265" s="230"/>
      <c r="E265" s="230"/>
      <c r="F265" s="230"/>
      <c r="G265" s="230"/>
      <c r="H265" s="230"/>
      <c r="I265" s="230"/>
      <c r="J265" s="230"/>
      <c r="K265" s="230"/>
      <c r="L265" s="230"/>
      <c r="M265" s="230"/>
    </row>
    <row r="266">
      <c r="A266" s="230"/>
      <c r="B266" s="230"/>
      <c r="C266" s="230"/>
      <c r="D266" s="230"/>
      <c r="E266" s="230"/>
      <c r="F266" s="230"/>
      <c r="G266" s="230"/>
      <c r="H266" s="230"/>
      <c r="I266" s="230"/>
      <c r="J266" s="230"/>
      <c r="K266" s="230"/>
      <c r="L266" s="230"/>
      <c r="M266" s="230"/>
    </row>
    <row r="267">
      <c r="A267" s="230"/>
      <c r="B267" s="230"/>
      <c r="C267" s="230"/>
      <c r="D267" s="230"/>
      <c r="E267" s="230"/>
      <c r="F267" s="230"/>
      <c r="G267" s="230"/>
      <c r="H267" s="230"/>
      <c r="I267" s="230"/>
      <c r="J267" s="230"/>
      <c r="K267" s="230"/>
      <c r="L267" s="230"/>
      <c r="M267" s="230"/>
    </row>
    <row r="268">
      <c r="A268" s="230"/>
      <c r="B268" s="230"/>
      <c r="C268" s="230"/>
      <c r="D268" s="230"/>
      <c r="E268" s="230"/>
      <c r="F268" s="230"/>
      <c r="G268" s="230"/>
      <c r="H268" s="230"/>
      <c r="I268" s="230"/>
      <c r="J268" s="230"/>
      <c r="K268" s="230"/>
      <c r="L268" s="230"/>
      <c r="M268" s="230"/>
    </row>
    <row r="269">
      <c r="A269" s="230"/>
      <c r="B269" s="230"/>
      <c r="C269" s="230"/>
      <c r="D269" s="230"/>
      <c r="E269" s="230"/>
      <c r="F269" s="230"/>
      <c r="G269" s="230"/>
      <c r="H269" s="230"/>
      <c r="I269" s="230"/>
      <c r="J269" s="230"/>
      <c r="K269" s="230"/>
      <c r="L269" s="230"/>
      <c r="M269" s="230"/>
    </row>
    <row r="270">
      <c r="A270" s="230"/>
      <c r="B270" s="230"/>
      <c r="C270" s="230"/>
      <c r="D270" s="230"/>
      <c r="E270" s="230"/>
      <c r="F270" s="230"/>
      <c r="G270" s="230"/>
      <c r="H270" s="230"/>
      <c r="I270" s="230"/>
      <c r="J270" s="230"/>
      <c r="K270" s="230"/>
      <c r="L270" s="230"/>
      <c r="M270" s="230"/>
    </row>
    <row r="271">
      <c r="A271" s="230"/>
      <c r="B271" s="230"/>
      <c r="C271" s="230"/>
      <c r="D271" s="230"/>
      <c r="E271" s="230"/>
      <c r="F271" s="230"/>
      <c r="G271" s="230"/>
      <c r="H271" s="230"/>
      <c r="I271" s="230"/>
      <c r="J271" s="230"/>
      <c r="K271" s="230"/>
      <c r="L271" s="230"/>
      <c r="M271" s="230"/>
    </row>
    <row r="272">
      <c r="A272" s="230"/>
      <c r="B272" s="230"/>
      <c r="C272" s="230"/>
      <c r="D272" s="230"/>
      <c r="E272" s="230"/>
      <c r="F272" s="230"/>
      <c r="G272" s="230"/>
      <c r="H272" s="230"/>
      <c r="I272" s="230"/>
      <c r="J272" s="230"/>
      <c r="K272" s="230"/>
      <c r="L272" s="230"/>
      <c r="M272" s="230"/>
    </row>
    <row r="273">
      <c r="A273" s="230"/>
      <c r="B273" s="230"/>
      <c r="C273" s="230"/>
      <c r="D273" s="230"/>
      <c r="E273" s="230"/>
      <c r="F273" s="230"/>
      <c r="G273" s="230"/>
      <c r="H273" s="230"/>
      <c r="I273" s="230"/>
      <c r="J273" s="230"/>
      <c r="K273" s="230"/>
      <c r="L273" s="230"/>
      <c r="M273" s="230"/>
    </row>
    <row r="274">
      <c r="A274" s="230"/>
      <c r="B274" s="230"/>
      <c r="C274" s="230"/>
      <c r="D274" s="230"/>
      <c r="E274" s="230"/>
      <c r="F274" s="230"/>
      <c r="G274" s="230"/>
      <c r="H274" s="230"/>
      <c r="I274" s="230"/>
      <c r="J274" s="230"/>
      <c r="K274" s="230"/>
      <c r="L274" s="230"/>
      <c r="M274" s="230"/>
    </row>
    <row r="275">
      <c r="A275" s="230"/>
      <c r="B275" s="230"/>
      <c r="C275" s="230"/>
      <c r="D275" s="230"/>
      <c r="E275" s="230"/>
      <c r="F275" s="230"/>
      <c r="G275" s="230"/>
      <c r="H275" s="230"/>
      <c r="I275" s="230"/>
      <c r="J275" s="230"/>
      <c r="K275" s="230"/>
      <c r="L275" s="230"/>
      <c r="M275" s="230"/>
    </row>
    <row r="276">
      <c r="A276" s="230"/>
      <c r="B276" s="230"/>
      <c r="C276" s="230"/>
      <c r="D276" s="230"/>
      <c r="E276" s="230"/>
      <c r="F276" s="230"/>
      <c r="G276" s="230"/>
      <c r="H276" s="230"/>
      <c r="I276" s="230"/>
      <c r="J276" s="230"/>
      <c r="K276" s="230"/>
      <c r="L276" s="230"/>
      <c r="M276" s="230"/>
    </row>
    <row r="277">
      <c r="A277" s="230"/>
      <c r="B277" s="230"/>
      <c r="C277" s="230"/>
      <c r="D277" s="230"/>
      <c r="E277" s="230"/>
      <c r="F277" s="230"/>
      <c r="G277" s="230"/>
      <c r="H277" s="230"/>
      <c r="I277" s="230"/>
      <c r="J277" s="230"/>
      <c r="K277" s="230"/>
      <c r="L277" s="230"/>
      <c r="M277" s="230"/>
    </row>
    <row r="278">
      <c r="A278" s="230"/>
      <c r="B278" s="230"/>
      <c r="C278" s="230"/>
      <c r="D278" s="230"/>
      <c r="E278" s="230"/>
      <c r="F278" s="230"/>
      <c r="G278" s="230"/>
      <c r="H278" s="230"/>
      <c r="I278" s="230"/>
      <c r="J278" s="230"/>
      <c r="K278" s="230"/>
      <c r="L278" s="230"/>
      <c r="M278" s="230"/>
    </row>
    <row r="279">
      <c r="A279" s="230"/>
      <c r="B279" s="230"/>
      <c r="C279" s="230"/>
      <c r="D279" s="230"/>
      <c r="E279" s="230"/>
      <c r="F279" s="230"/>
      <c r="G279" s="230"/>
      <c r="H279" s="230"/>
      <c r="I279" s="230"/>
      <c r="J279" s="230"/>
      <c r="K279" s="230"/>
      <c r="L279" s="230"/>
      <c r="M279" s="230"/>
    </row>
    <row r="280">
      <c r="A280" s="230"/>
      <c r="B280" s="230"/>
      <c r="C280" s="230"/>
      <c r="D280" s="230"/>
      <c r="E280" s="230"/>
      <c r="F280" s="230"/>
      <c r="G280" s="230"/>
      <c r="H280" s="230"/>
      <c r="I280" s="230"/>
      <c r="J280" s="230"/>
      <c r="K280" s="230"/>
      <c r="L280" s="230"/>
      <c r="M280" s="230"/>
    </row>
    <row r="281">
      <c r="A281" s="230"/>
      <c r="B281" s="230"/>
      <c r="C281" s="230"/>
      <c r="D281" s="230"/>
      <c r="E281" s="230"/>
      <c r="F281" s="230"/>
      <c r="G281" s="230"/>
      <c r="H281" s="230"/>
      <c r="I281" s="230"/>
      <c r="J281" s="230"/>
      <c r="K281" s="230"/>
      <c r="L281" s="230"/>
      <c r="M281" s="230"/>
    </row>
    <row r="282">
      <c r="A282" s="230"/>
      <c r="B282" s="230"/>
      <c r="C282" s="230"/>
      <c r="D282" s="230"/>
      <c r="E282" s="230"/>
      <c r="F282" s="230"/>
      <c r="G282" s="230"/>
      <c r="H282" s="230"/>
      <c r="I282" s="230"/>
      <c r="J282" s="230"/>
      <c r="K282" s="230"/>
      <c r="L282" s="230"/>
      <c r="M282" s="230"/>
    </row>
    <row r="283">
      <c r="A283" s="230"/>
      <c r="B283" s="230"/>
      <c r="C283" s="230"/>
      <c r="D283" s="230"/>
      <c r="E283" s="230"/>
      <c r="F283" s="230"/>
      <c r="G283" s="230"/>
      <c r="H283" s="230"/>
      <c r="I283" s="230"/>
      <c r="J283" s="230"/>
      <c r="K283" s="230"/>
      <c r="L283" s="230"/>
      <c r="M283" s="230"/>
    </row>
    <row r="284">
      <c r="A284" s="230"/>
      <c r="B284" s="230"/>
      <c r="C284" s="230"/>
      <c r="D284" s="230"/>
      <c r="E284" s="230"/>
      <c r="F284" s="230"/>
      <c r="G284" s="230"/>
      <c r="H284" s="230"/>
      <c r="I284" s="230"/>
      <c r="J284" s="230"/>
      <c r="K284" s="230"/>
      <c r="L284" s="230"/>
      <c r="M284" s="230"/>
    </row>
    <row r="285">
      <c r="A285" s="230"/>
      <c r="B285" s="230"/>
      <c r="C285" s="230"/>
      <c r="D285" s="230"/>
      <c r="E285" s="230"/>
      <c r="F285" s="230"/>
      <c r="G285" s="230"/>
      <c r="H285" s="230"/>
      <c r="I285" s="230"/>
      <c r="J285" s="230"/>
      <c r="K285" s="230"/>
      <c r="L285" s="230"/>
      <c r="M285" s="230"/>
    </row>
    <row r="286">
      <c r="A286" s="230"/>
      <c r="B286" s="230"/>
      <c r="C286" s="230"/>
      <c r="D286" s="230"/>
      <c r="E286" s="230"/>
      <c r="F286" s="230"/>
      <c r="G286" s="230"/>
      <c r="H286" s="230"/>
      <c r="I286" s="230"/>
      <c r="J286" s="230"/>
      <c r="K286" s="230"/>
      <c r="L286" s="230"/>
      <c r="M286" s="230"/>
    </row>
    <row r="287">
      <c r="A287" s="230"/>
      <c r="B287" s="230"/>
      <c r="C287" s="230"/>
      <c r="D287" s="230"/>
      <c r="E287" s="230"/>
      <c r="F287" s="230"/>
      <c r="G287" s="230"/>
      <c r="H287" s="230"/>
      <c r="I287" s="230"/>
      <c r="J287" s="230"/>
      <c r="K287" s="230"/>
      <c r="L287" s="230"/>
      <c r="M287" s="230"/>
    </row>
    <row r="288">
      <c r="A288" s="230"/>
      <c r="B288" s="230"/>
      <c r="C288" s="230"/>
      <c r="D288" s="230"/>
      <c r="E288" s="230"/>
      <c r="F288" s="230"/>
      <c r="G288" s="230"/>
      <c r="H288" s="230"/>
      <c r="I288" s="230"/>
      <c r="J288" s="230"/>
      <c r="K288" s="230"/>
      <c r="L288" s="230"/>
      <c r="M288" s="230"/>
    </row>
    <row r="289">
      <c r="A289" s="230"/>
      <c r="B289" s="230"/>
      <c r="C289" s="230"/>
      <c r="D289" s="230"/>
      <c r="E289" s="230"/>
      <c r="F289" s="230"/>
      <c r="G289" s="230"/>
      <c r="H289" s="230"/>
      <c r="I289" s="230"/>
      <c r="J289" s="230"/>
      <c r="K289" s="230"/>
      <c r="L289" s="230"/>
      <c r="M289" s="230"/>
    </row>
    <row r="290">
      <c r="A290" s="230"/>
      <c r="B290" s="230"/>
      <c r="C290" s="230"/>
      <c r="D290" s="230"/>
      <c r="E290" s="230"/>
      <c r="F290" s="230"/>
      <c r="G290" s="230"/>
      <c r="H290" s="230"/>
      <c r="I290" s="230"/>
      <c r="J290" s="230"/>
      <c r="K290" s="230"/>
      <c r="L290" s="230"/>
      <c r="M290" s="230"/>
    </row>
    <row r="291">
      <c r="A291" s="230"/>
      <c r="B291" s="230"/>
      <c r="C291" s="230"/>
      <c r="D291" s="230"/>
      <c r="E291" s="230"/>
      <c r="F291" s="230"/>
      <c r="G291" s="230"/>
      <c r="H291" s="230"/>
      <c r="I291" s="230"/>
      <c r="J291" s="230"/>
      <c r="K291" s="230"/>
      <c r="L291" s="230"/>
      <c r="M291" s="230"/>
    </row>
    <row r="292">
      <c r="A292" s="230"/>
      <c r="B292" s="230"/>
      <c r="C292" s="230"/>
      <c r="D292" s="230"/>
      <c r="E292" s="230"/>
      <c r="F292" s="230"/>
      <c r="G292" s="230"/>
      <c r="H292" s="230"/>
      <c r="I292" s="230"/>
      <c r="J292" s="230"/>
      <c r="K292" s="230"/>
      <c r="L292" s="230"/>
      <c r="M292" s="230"/>
    </row>
    <row r="293">
      <c r="A293" s="230"/>
      <c r="B293" s="230"/>
      <c r="C293" s="230"/>
      <c r="D293" s="230"/>
      <c r="E293" s="230"/>
      <c r="F293" s="230"/>
      <c r="G293" s="230"/>
      <c r="H293" s="230"/>
      <c r="I293" s="230"/>
      <c r="J293" s="230"/>
      <c r="K293" s="230"/>
      <c r="L293" s="230"/>
      <c r="M293" s="230"/>
    </row>
    <row r="294">
      <c r="A294" s="230"/>
      <c r="B294" s="230"/>
      <c r="C294" s="230"/>
      <c r="D294" s="230"/>
      <c r="E294" s="230"/>
      <c r="F294" s="230"/>
      <c r="G294" s="230"/>
      <c r="H294" s="230"/>
      <c r="I294" s="230"/>
      <c r="J294" s="230"/>
      <c r="K294" s="230"/>
      <c r="L294" s="230"/>
      <c r="M294" s="230"/>
    </row>
    <row r="295">
      <c r="A295" s="230"/>
      <c r="B295" s="230"/>
      <c r="C295" s="230"/>
      <c r="D295" s="230"/>
      <c r="E295" s="230"/>
      <c r="F295" s="230"/>
      <c r="G295" s="230"/>
      <c r="H295" s="230"/>
      <c r="I295" s="230"/>
      <c r="J295" s="230"/>
      <c r="K295" s="230"/>
      <c r="L295" s="230"/>
      <c r="M295" s="230"/>
    </row>
    <row r="296">
      <c r="A296" s="230"/>
      <c r="B296" s="230"/>
      <c r="C296" s="230"/>
      <c r="D296" s="230"/>
      <c r="E296" s="230"/>
      <c r="F296" s="230"/>
      <c r="G296" s="230"/>
      <c r="H296" s="230"/>
      <c r="I296" s="230"/>
      <c r="J296" s="230"/>
      <c r="K296" s="230"/>
      <c r="L296" s="230"/>
      <c r="M296" s="230"/>
    </row>
    <row r="297">
      <c r="A297" s="230"/>
      <c r="B297" s="230"/>
      <c r="C297" s="230"/>
      <c r="D297" s="230"/>
      <c r="E297" s="230"/>
      <c r="F297" s="230"/>
      <c r="G297" s="230"/>
      <c r="H297" s="230"/>
      <c r="I297" s="230"/>
      <c r="J297" s="230"/>
      <c r="K297" s="230"/>
      <c r="L297" s="230"/>
      <c r="M297" s="230"/>
    </row>
    <row r="298">
      <c r="A298" s="230"/>
      <c r="B298" s="230"/>
      <c r="C298" s="230"/>
      <c r="D298" s="230"/>
      <c r="E298" s="230"/>
      <c r="F298" s="230"/>
      <c r="G298" s="230"/>
      <c r="H298" s="230"/>
      <c r="I298" s="230"/>
      <c r="J298" s="230"/>
      <c r="K298" s="230"/>
      <c r="L298" s="230"/>
      <c r="M298" s="230"/>
    </row>
    <row r="299">
      <c r="A299" s="230"/>
      <c r="B299" s="230"/>
      <c r="C299" s="230"/>
      <c r="D299" s="230"/>
      <c r="E299" s="230"/>
      <c r="F299" s="230"/>
      <c r="G299" s="230"/>
      <c r="H299" s="230"/>
      <c r="I299" s="230"/>
      <c r="J299" s="230"/>
      <c r="K299" s="230"/>
      <c r="L299" s="230"/>
      <c r="M299" s="230"/>
    </row>
    <row r="300">
      <c r="A300" s="230"/>
      <c r="B300" s="230"/>
      <c r="C300" s="230"/>
      <c r="D300" s="230"/>
      <c r="E300" s="230"/>
      <c r="F300" s="230"/>
      <c r="G300" s="230"/>
      <c r="H300" s="230"/>
      <c r="I300" s="230"/>
      <c r="J300" s="230"/>
      <c r="K300" s="230"/>
      <c r="L300" s="230"/>
      <c r="M300" s="230"/>
    </row>
    <row r="301">
      <c r="A301" s="230"/>
      <c r="B301" s="230"/>
      <c r="C301" s="230"/>
      <c r="D301" s="230"/>
      <c r="E301" s="230"/>
      <c r="F301" s="230"/>
      <c r="G301" s="230"/>
      <c r="H301" s="230"/>
      <c r="I301" s="230"/>
      <c r="J301" s="230"/>
      <c r="K301" s="230"/>
      <c r="L301" s="230"/>
      <c r="M301" s="230"/>
    </row>
    <row r="302">
      <c r="A302" s="230"/>
      <c r="B302" s="230"/>
      <c r="C302" s="230"/>
      <c r="D302" s="230"/>
      <c r="E302" s="230"/>
      <c r="F302" s="230"/>
      <c r="G302" s="230"/>
      <c r="H302" s="230"/>
      <c r="I302" s="230"/>
      <c r="J302" s="230"/>
      <c r="K302" s="230"/>
      <c r="L302" s="230"/>
      <c r="M302" s="230"/>
    </row>
    <row r="303">
      <c r="A303" s="230"/>
      <c r="B303" s="230"/>
      <c r="C303" s="230"/>
      <c r="D303" s="230"/>
      <c r="E303" s="230"/>
      <c r="F303" s="230"/>
      <c r="G303" s="230"/>
      <c r="H303" s="230"/>
      <c r="I303" s="230"/>
      <c r="J303" s="230"/>
      <c r="K303" s="230"/>
      <c r="L303" s="230"/>
      <c r="M303" s="230"/>
    </row>
    <row r="304">
      <c r="A304" s="230"/>
      <c r="B304" s="230"/>
      <c r="C304" s="230"/>
      <c r="D304" s="230"/>
      <c r="E304" s="230"/>
      <c r="F304" s="230"/>
      <c r="G304" s="230"/>
      <c r="H304" s="230"/>
      <c r="I304" s="230"/>
      <c r="J304" s="230"/>
      <c r="K304" s="230"/>
      <c r="L304" s="230"/>
      <c r="M304" s="230"/>
    </row>
    <row r="305">
      <c r="A305" s="230"/>
      <c r="B305" s="230"/>
      <c r="C305" s="230"/>
      <c r="D305" s="230"/>
      <c r="E305" s="230"/>
      <c r="F305" s="230"/>
      <c r="G305" s="230"/>
      <c r="H305" s="230"/>
      <c r="I305" s="230"/>
      <c r="J305" s="230"/>
      <c r="K305" s="230"/>
      <c r="L305" s="230"/>
      <c r="M305" s="230"/>
    </row>
    <row r="306">
      <c r="A306" s="230"/>
      <c r="B306" s="230"/>
      <c r="C306" s="230"/>
      <c r="D306" s="230"/>
      <c r="E306" s="230"/>
      <c r="F306" s="230"/>
      <c r="G306" s="230"/>
      <c r="H306" s="230"/>
      <c r="I306" s="230"/>
      <c r="J306" s="230"/>
      <c r="K306" s="230"/>
      <c r="L306" s="230"/>
      <c r="M306" s="230"/>
    </row>
    <row r="307">
      <c r="A307" s="230"/>
      <c r="B307" s="230"/>
      <c r="C307" s="230"/>
      <c r="D307" s="230"/>
      <c r="E307" s="230"/>
      <c r="F307" s="230"/>
      <c r="G307" s="230"/>
      <c r="H307" s="230"/>
      <c r="I307" s="230"/>
      <c r="J307" s="230"/>
      <c r="K307" s="230"/>
      <c r="L307" s="230"/>
      <c r="M307" s="230"/>
    </row>
    <row r="308">
      <c r="A308" s="230"/>
      <c r="B308" s="230"/>
      <c r="C308" s="230"/>
      <c r="D308" s="230"/>
      <c r="E308" s="230"/>
      <c r="F308" s="230"/>
      <c r="G308" s="230"/>
      <c r="H308" s="230"/>
      <c r="I308" s="230"/>
      <c r="J308" s="230"/>
      <c r="K308" s="230"/>
      <c r="L308" s="230"/>
      <c r="M308" s="230"/>
    </row>
    <row r="309">
      <c r="A309" s="230"/>
      <c r="B309" s="230"/>
      <c r="C309" s="230"/>
      <c r="D309" s="230"/>
      <c r="E309" s="230"/>
      <c r="F309" s="230"/>
      <c r="G309" s="230"/>
      <c r="H309" s="230"/>
      <c r="I309" s="230"/>
      <c r="J309" s="230"/>
      <c r="K309" s="230"/>
      <c r="L309" s="230"/>
      <c r="M309" s="230"/>
    </row>
    <row r="310">
      <c r="A310" s="230"/>
      <c r="B310" s="230"/>
      <c r="C310" s="230"/>
      <c r="D310" s="230"/>
      <c r="E310" s="230"/>
      <c r="F310" s="230"/>
      <c r="G310" s="230"/>
      <c r="H310" s="230"/>
      <c r="I310" s="230"/>
      <c r="J310" s="230"/>
      <c r="K310" s="230"/>
      <c r="L310" s="230"/>
      <c r="M310" s="230"/>
    </row>
    <row r="311">
      <c r="A311" s="230"/>
      <c r="B311" s="230"/>
      <c r="C311" s="230"/>
      <c r="D311" s="230"/>
      <c r="E311" s="230"/>
      <c r="F311" s="230"/>
      <c r="G311" s="230"/>
      <c r="H311" s="230"/>
      <c r="I311" s="230"/>
      <c r="J311" s="230"/>
      <c r="K311" s="230"/>
      <c r="L311" s="230"/>
      <c r="M311" s="230"/>
    </row>
    <row r="312">
      <c r="A312" s="230"/>
      <c r="B312" s="230"/>
      <c r="C312" s="230"/>
      <c r="D312" s="230"/>
      <c r="E312" s="230"/>
      <c r="F312" s="230"/>
      <c r="G312" s="230"/>
      <c r="H312" s="230"/>
      <c r="I312" s="230"/>
      <c r="J312" s="230"/>
      <c r="K312" s="230"/>
      <c r="L312" s="230"/>
      <c r="M312" s="230"/>
    </row>
    <row r="313">
      <c r="A313" s="230"/>
      <c r="B313" s="230"/>
      <c r="C313" s="230"/>
      <c r="D313" s="230"/>
      <c r="E313" s="230"/>
      <c r="F313" s="230"/>
      <c r="G313" s="230"/>
      <c r="H313" s="230"/>
      <c r="I313" s="230"/>
      <c r="J313" s="230"/>
      <c r="K313" s="230"/>
      <c r="L313" s="230"/>
      <c r="M313" s="230"/>
    </row>
    <row r="314">
      <c r="A314" s="230"/>
      <c r="B314" s="230"/>
      <c r="C314" s="230"/>
      <c r="D314" s="230"/>
      <c r="E314" s="230"/>
      <c r="F314" s="230"/>
      <c r="G314" s="230"/>
      <c r="H314" s="230"/>
      <c r="I314" s="230"/>
      <c r="J314" s="230"/>
      <c r="K314" s="230"/>
      <c r="L314" s="230"/>
      <c r="M314" s="230"/>
    </row>
    <row r="315">
      <c r="A315" s="230"/>
      <c r="B315" s="230"/>
      <c r="C315" s="230"/>
      <c r="D315" s="230"/>
      <c r="E315" s="230"/>
      <c r="F315" s="230"/>
      <c r="G315" s="230"/>
      <c r="H315" s="230"/>
      <c r="I315" s="230"/>
      <c r="J315" s="230"/>
      <c r="K315" s="230"/>
      <c r="L315" s="230"/>
      <c r="M315" s="230"/>
    </row>
    <row r="316">
      <c r="A316" s="230"/>
      <c r="B316" s="230"/>
      <c r="C316" s="230"/>
      <c r="D316" s="230"/>
      <c r="E316" s="230"/>
      <c r="F316" s="230"/>
      <c r="G316" s="230"/>
      <c r="H316" s="230"/>
      <c r="I316" s="230"/>
      <c r="J316" s="230"/>
      <c r="K316" s="230"/>
      <c r="L316" s="230"/>
      <c r="M316" s="230"/>
    </row>
    <row r="317">
      <c r="A317" s="230"/>
      <c r="B317" s="230"/>
      <c r="C317" s="230"/>
      <c r="D317" s="230"/>
      <c r="E317" s="230"/>
      <c r="F317" s="230"/>
      <c r="G317" s="230"/>
      <c r="H317" s="230"/>
      <c r="I317" s="230"/>
      <c r="J317" s="230"/>
      <c r="K317" s="230"/>
      <c r="L317" s="230"/>
      <c r="M317" s="230"/>
    </row>
    <row r="318">
      <c r="A318" s="230"/>
      <c r="B318" s="230"/>
      <c r="C318" s="230"/>
      <c r="D318" s="230"/>
      <c r="E318" s="230"/>
      <c r="F318" s="230"/>
      <c r="G318" s="230"/>
      <c r="H318" s="230"/>
      <c r="I318" s="230"/>
      <c r="J318" s="230"/>
      <c r="K318" s="230"/>
      <c r="L318" s="230"/>
      <c r="M318" s="230"/>
    </row>
    <row r="319">
      <c r="A319" s="230"/>
      <c r="B319" s="230"/>
      <c r="C319" s="230"/>
      <c r="D319" s="230"/>
      <c r="E319" s="230"/>
      <c r="F319" s="230"/>
      <c r="G319" s="230"/>
      <c r="H319" s="230"/>
      <c r="I319" s="230"/>
      <c r="J319" s="230"/>
      <c r="K319" s="230"/>
      <c r="L319" s="230"/>
      <c r="M319" s="230"/>
    </row>
    <row r="320">
      <c r="A320" s="230"/>
      <c r="B320" s="230"/>
      <c r="C320" s="230"/>
      <c r="D320" s="230"/>
      <c r="E320" s="230"/>
      <c r="F320" s="230"/>
      <c r="G320" s="230"/>
      <c r="H320" s="230"/>
      <c r="I320" s="230"/>
      <c r="J320" s="230"/>
      <c r="K320" s="230"/>
      <c r="L320" s="230"/>
      <c r="M320" s="230"/>
    </row>
    <row r="321">
      <c r="A321" s="230"/>
      <c r="B321" s="230"/>
      <c r="C321" s="230"/>
      <c r="D321" s="230"/>
      <c r="E321" s="230"/>
      <c r="F321" s="230"/>
      <c r="G321" s="230"/>
      <c r="H321" s="230"/>
      <c r="I321" s="230"/>
      <c r="J321" s="230"/>
      <c r="K321" s="230"/>
      <c r="L321" s="230"/>
      <c r="M321" s="230"/>
    </row>
    <row r="322">
      <c r="A322" s="230"/>
      <c r="B322" s="230"/>
      <c r="C322" s="230"/>
      <c r="D322" s="230"/>
      <c r="E322" s="230"/>
      <c r="F322" s="230"/>
      <c r="G322" s="230"/>
      <c r="H322" s="230"/>
      <c r="I322" s="230"/>
      <c r="J322" s="230"/>
      <c r="K322" s="230"/>
      <c r="L322" s="230"/>
      <c r="M322" s="230"/>
    </row>
    <row r="323">
      <c r="A323" s="230"/>
      <c r="B323" s="230"/>
      <c r="C323" s="230"/>
      <c r="D323" s="230"/>
      <c r="E323" s="230"/>
      <c r="F323" s="230"/>
      <c r="G323" s="230"/>
      <c r="H323" s="230"/>
      <c r="I323" s="230"/>
      <c r="J323" s="230"/>
      <c r="K323" s="230"/>
      <c r="L323" s="230"/>
      <c r="M323" s="230"/>
    </row>
    <row r="324">
      <c r="A324" s="230"/>
      <c r="B324" s="230"/>
      <c r="C324" s="230"/>
      <c r="D324" s="230"/>
      <c r="E324" s="230"/>
      <c r="F324" s="230"/>
      <c r="G324" s="230"/>
      <c r="H324" s="230"/>
      <c r="I324" s="230"/>
      <c r="J324" s="230"/>
      <c r="K324" s="230"/>
      <c r="L324" s="230"/>
      <c r="M324" s="230"/>
    </row>
    <row r="325">
      <c r="A325" s="230"/>
      <c r="B325" s="230"/>
      <c r="C325" s="230"/>
      <c r="D325" s="230"/>
      <c r="E325" s="230"/>
      <c r="F325" s="230"/>
      <c r="G325" s="230"/>
      <c r="H325" s="230"/>
      <c r="I325" s="230"/>
      <c r="J325" s="230"/>
      <c r="K325" s="230"/>
      <c r="L325" s="230"/>
      <c r="M325" s="230"/>
    </row>
    <row r="326">
      <c r="A326" s="230"/>
      <c r="B326" s="230"/>
      <c r="C326" s="230"/>
      <c r="D326" s="230"/>
      <c r="E326" s="230"/>
      <c r="F326" s="230"/>
      <c r="G326" s="230"/>
      <c r="H326" s="230"/>
      <c r="I326" s="230"/>
      <c r="J326" s="230"/>
      <c r="K326" s="230"/>
      <c r="L326" s="230"/>
      <c r="M326" s="230"/>
    </row>
    <row r="327">
      <c r="A327" s="230"/>
      <c r="B327" s="230"/>
      <c r="C327" s="230"/>
      <c r="D327" s="230"/>
      <c r="E327" s="230"/>
      <c r="F327" s="230"/>
      <c r="G327" s="230"/>
      <c r="H327" s="230"/>
      <c r="I327" s="230"/>
      <c r="J327" s="230"/>
      <c r="K327" s="230"/>
      <c r="L327" s="230"/>
      <c r="M327" s="230"/>
    </row>
    <row r="328">
      <c r="A328" s="230"/>
      <c r="B328" s="230"/>
      <c r="C328" s="230"/>
      <c r="D328" s="230"/>
      <c r="E328" s="230"/>
      <c r="F328" s="230"/>
      <c r="G328" s="230"/>
      <c r="H328" s="230"/>
      <c r="I328" s="230"/>
      <c r="J328" s="230"/>
      <c r="K328" s="230"/>
      <c r="L328" s="230"/>
      <c r="M328" s="230"/>
    </row>
    <row r="329">
      <c r="A329" s="230"/>
      <c r="B329" s="230"/>
      <c r="C329" s="230"/>
      <c r="D329" s="230"/>
      <c r="E329" s="230"/>
      <c r="F329" s="230"/>
      <c r="G329" s="230"/>
      <c r="H329" s="230"/>
      <c r="I329" s="230"/>
      <c r="J329" s="230"/>
      <c r="K329" s="230"/>
      <c r="L329" s="230"/>
      <c r="M329" s="230"/>
    </row>
    <row r="330">
      <c r="A330" s="230"/>
      <c r="B330" s="230"/>
      <c r="C330" s="230"/>
      <c r="D330" s="230"/>
      <c r="E330" s="230"/>
      <c r="F330" s="230"/>
      <c r="G330" s="230"/>
      <c r="H330" s="230"/>
      <c r="I330" s="230"/>
      <c r="J330" s="230"/>
      <c r="K330" s="230"/>
      <c r="L330" s="230"/>
      <c r="M330" s="230"/>
    </row>
    <row r="331">
      <c r="A331" s="230"/>
      <c r="B331" s="230"/>
      <c r="C331" s="230"/>
      <c r="D331" s="230"/>
      <c r="E331" s="230"/>
      <c r="F331" s="230"/>
      <c r="G331" s="230"/>
      <c r="H331" s="230"/>
      <c r="I331" s="230"/>
      <c r="J331" s="230"/>
      <c r="K331" s="230"/>
      <c r="L331" s="230"/>
      <c r="M331" s="230"/>
    </row>
    <row r="332">
      <c r="A332" s="230"/>
      <c r="B332" s="230"/>
      <c r="C332" s="230"/>
      <c r="D332" s="230"/>
      <c r="E332" s="230"/>
      <c r="F332" s="230"/>
      <c r="G332" s="230"/>
      <c r="H332" s="230"/>
      <c r="I332" s="230"/>
      <c r="J332" s="230"/>
      <c r="K332" s="230"/>
      <c r="L332" s="230"/>
      <c r="M332" s="230"/>
    </row>
    <row r="333">
      <c r="A333" s="230"/>
      <c r="B333" s="230"/>
      <c r="C333" s="230"/>
      <c r="D333" s="230"/>
      <c r="E333" s="230"/>
      <c r="F333" s="230"/>
      <c r="G333" s="230"/>
      <c r="H333" s="230"/>
      <c r="I333" s="230"/>
      <c r="J333" s="230"/>
      <c r="K333" s="230"/>
      <c r="L333" s="230"/>
      <c r="M333" s="230"/>
    </row>
    <row r="334">
      <c r="A334" s="230"/>
      <c r="B334" s="230"/>
      <c r="C334" s="230"/>
      <c r="D334" s="230"/>
      <c r="E334" s="230"/>
      <c r="F334" s="230"/>
      <c r="G334" s="230"/>
      <c r="H334" s="230"/>
      <c r="I334" s="230"/>
      <c r="J334" s="230"/>
      <c r="K334" s="230"/>
      <c r="L334" s="230"/>
      <c r="M334" s="230"/>
    </row>
    <row r="335">
      <c r="A335" s="230"/>
      <c r="B335" s="230"/>
      <c r="C335" s="230"/>
      <c r="D335" s="230"/>
      <c r="E335" s="230"/>
      <c r="F335" s="230"/>
      <c r="G335" s="230"/>
      <c r="H335" s="230"/>
      <c r="I335" s="230"/>
      <c r="J335" s="230"/>
      <c r="K335" s="230"/>
      <c r="L335" s="230"/>
      <c r="M335" s="230"/>
    </row>
    <row r="336">
      <c r="A336" s="230"/>
      <c r="B336" s="230"/>
      <c r="C336" s="230"/>
      <c r="D336" s="230"/>
      <c r="E336" s="230"/>
      <c r="F336" s="230"/>
      <c r="G336" s="230"/>
      <c r="H336" s="230"/>
      <c r="I336" s="230"/>
      <c r="J336" s="230"/>
      <c r="K336" s="230"/>
      <c r="L336" s="230"/>
      <c r="M336" s="230"/>
    </row>
    <row r="337">
      <c r="A337" s="230"/>
      <c r="B337" s="230"/>
      <c r="C337" s="230"/>
      <c r="D337" s="230"/>
      <c r="E337" s="230"/>
      <c r="F337" s="230"/>
      <c r="G337" s="230"/>
      <c r="H337" s="230"/>
      <c r="I337" s="230"/>
      <c r="J337" s="230"/>
      <c r="K337" s="230"/>
      <c r="L337" s="230"/>
      <c r="M337" s="230"/>
    </row>
    <row r="338">
      <c r="A338" s="230"/>
      <c r="B338" s="230"/>
      <c r="C338" s="230"/>
      <c r="D338" s="230"/>
      <c r="E338" s="230"/>
      <c r="F338" s="230"/>
      <c r="G338" s="230"/>
      <c r="H338" s="230"/>
      <c r="I338" s="230"/>
      <c r="J338" s="230"/>
      <c r="K338" s="230"/>
      <c r="L338" s="230"/>
      <c r="M338" s="230"/>
    </row>
    <row r="339">
      <c r="A339" s="230"/>
      <c r="B339" s="230"/>
      <c r="C339" s="230"/>
      <c r="D339" s="230"/>
      <c r="E339" s="230"/>
      <c r="F339" s="230"/>
      <c r="G339" s="230"/>
      <c r="H339" s="230"/>
      <c r="I339" s="230"/>
      <c r="J339" s="230"/>
      <c r="K339" s="230"/>
      <c r="L339" s="230"/>
      <c r="M339" s="230"/>
    </row>
    <row r="340">
      <c r="A340" s="230"/>
      <c r="B340" s="230"/>
      <c r="C340" s="230"/>
      <c r="D340" s="230"/>
      <c r="E340" s="230"/>
      <c r="F340" s="230"/>
      <c r="G340" s="230"/>
      <c r="H340" s="230"/>
      <c r="I340" s="230"/>
      <c r="J340" s="230"/>
      <c r="K340" s="230"/>
      <c r="L340" s="230"/>
      <c r="M340" s="230"/>
    </row>
    <row r="341">
      <c r="A341" s="230"/>
      <c r="B341" s="230"/>
      <c r="C341" s="230"/>
      <c r="D341" s="230"/>
      <c r="E341" s="230"/>
      <c r="F341" s="230"/>
      <c r="G341" s="230"/>
      <c r="H341" s="230"/>
      <c r="I341" s="230"/>
      <c r="J341" s="230"/>
      <c r="K341" s="230"/>
      <c r="L341" s="230"/>
      <c r="M341" s="230"/>
    </row>
    <row r="342">
      <c r="A342" s="230"/>
      <c r="B342" s="230"/>
      <c r="C342" s="230"/>
      <c r="D342" s="230"/>
      <c r="E342" s="230"/>
      <c r="F342" s="230"/>
      <c r="G342" s="230"/>
      <c r="H342" s="230"/>
      <c r="I342" s="230"/>
      <c r="J342" s="230"/>
      <c r="K342" s="230"/>
      <c r="L342" s="230"/>
      <c r="M342" s="230"/>
    </row>
    <row r="343">
      <c r="A343" s="230"/>
      <c r="B343" s="230"/>
      <c r="C343" s="230"/>
      <c r="D343" s="230"/>
      <c r="E343" s="230"/>
      <c r="F343" s="230"/>
      <c r="G343" s="230"/>
      <c r="H343" s="230"/>
      <c r="I343" s="230"/>
      <c r="J343" s="230"/>
      <c r="K343" s="230"/>
      <c r="L343" s="230"/>
      <c r="M343" s="230"/>
    </row>
    <row r="344">
      <c r="A344" s="230"/>
      <c r="B344" s="230"/>
      <c r="C344" s="230"/>
      <c r="D344" s="230"/>
      <c r="E344" s="230"/>
      <c r="F344" s="230"/>
      <c r="G344" s="230"/>
      <c r="H344" s="230"/>
      <c r="I344" s="230"/>
      <c r="J344" s="230"/>
      <c r="K344" s="230"/>
      <c r="L344" s="230"/>
      <c r="M344" s="230"/>
    </row>
    <row r="345">
      <c r="A345" s="230"/>
      <c r="B345" s="230"/>
      <c r="C345" s="230"/>
      <c r="D345" s="230"/>
      <c r="E345" s="230"/>
      <c r="F345" s="230"/>
      <c r="G345" s="230"/>
      <c r="H345" s="230"/>
      <c r="I345" s="230"/>
      <c r="J345" s="230"/>
      <c r="K345" s="230"/>
      <c r="L345" s="230"/>
      <c r="M345" s="230"/>
    </row>
    <row r="346">
      <c r="A346" s="230"/>
      <c r="B346" s="230"/>
      <c r="C346" s="230"/>
      <c r="D346" s="230"/>
      <c r="E346" s="230"/>
      <c r="F346" s="230"/>
      <c r="G346" s="230"/>
      <c r="H346" s="230"/>
      <c r="I346" s="230"/>
      <c r="J346" s="230"/>
      <c r="K346" s="230"/>
      <c r="L346" s="230"/>
      <c r="M346" s="230"/>
    </row>
    <row r="347">
      <c r="A347" s="230"/>
      <c r="B347" s="230"/>
      <c r="C347" s="230"/>
      <c r="D347" s="230"/>
      <c r="E347" s="230"/>
      <c r="F347" s="230"/>
      <c r="G347" s="230"/>
      <c r="H347" s="230"/>
      <c r="I347" s="230"/>
      <c r="J347" s="230"/>
      <c r="K347" s="230"/>
      <c r="L347" s="230"/>
      <c r="M347" s="230"/>
    </row>
    <row r="348">
      <c r="A348" s="230"/>
      <c r="B348" s="230"/>
      <c r="C348" s="230"/>
      <c r="D348" s="230"/>
      <c r="E348" s="230"/>
      <c r="F348" s="230"/>
      <c r="G348" s="230"/>
      <c r="H348" s="230"/>
      <c r="I348" s="230"/>
      <c r="J348" s="230"/>
      <c r="K348" s="230"/>
      <c r="L348" s="230"/>
      <c r="M348" s="230"/>
    </row>
    <row r="349">
      <c r="A349" s="230"/>
      <c r="B349" s="230"/>
      <c r="C349" s="230"/>
      <c r="D349" s="230"/>
      <c r="E349" s="230"/>
      <c r="F349" s="230"/>
      <c r="G349" s="230"/>
      <c r="H349" s="230"/>
      <c r="I349" s="230"/>
      <c r="J349" s="230"/>
      <c r="K349" s="230"/>
      <c r="L349" s="230"/>
      <c r="M349" s="230"/>
    </row>
    <row r="350">
      <c r="A350" s="230"/>
      <c r="B350" s="230"/>
      <c r="C350" s="230"/>
      <c r="D350" s="230"/>
      <c r="E350" s="230"/>
      <c r="F350" s="230"/>
      <c r="G350" s="230"/>
      <c r="H350" s="230"/>
      <c r="I350" s="230"/>
      <c r="J350" s="230"/>
      <c r="K350" s="230"/>
      <c r="L350" s="230"/>
      <c r="M350" s="230"/>
    </row>
    <row r="351">
      <c r="A351" s="230"/>
      <c r="B351" s="230"/>
      <c r="C351" s="230"/>
      <c r="D351" s="230"/>
      <c r="E351" s="230"/>
      <c r="F351" s="230"/>
      <c r="G351" s="230"/>
      <c r="H351" s="230"/>
      <c r="I351" s="230"/>
      <c r="J351" s="230"/>
      <c r="K351" s="230"/>
      <c r="L351" s="230"/>
      <c r="M351" s="230"/>
    </row>
    <row r="352">
      <c r="A352" s="230"/>
      <c r="B352" s="230"/>
      <c r="C352" s="230"/>
      <c r="D352" s="230"/>
      <c r="E352" s="230"/>
      <c r="F352" s="230"/>
      <c r="G352" s="230"/>
      <c r="H352" s="230"/>
      <c r="I352" s="230"/>
      <c r="J352" s="230"/>
      <c r="K352" s="230"/>
      <c r="L352" s="230"/>
      <c r="M352" s="230"/>
    </row>
    <row r="353">
      <c r="A353" s="230"/>
      <c r="B353" s="230"/>
      <c r="C353" s="230"/>
      <c r="D353" s="230"/>
      <c r="E353" s="230"/>
      <c r="F353" s="230"/>
      <c r="G353" s="230"/>
      <c r="H353" s="230"/>
      <c r="I353" s="230"/>
      <c r="J353" s="230"/>
      <c r="K353" s="230"/>
      <c r="L353" s="230"/>
      <c r="M353" s="230"/>
    </row>
    <row r="354">
      <c r="A354" s="230"/>
      <c r="B354" s="230"/>
      <c r="C354" s="230"/>
      <c r="D354" s="230"/>
      <c r="E354" s="230"/>
      <c r="F354" s="230"/>
      <c r="G354" s="230"/>
      <c r="H354" s="230"/>
      <c r="I354" s="230"/>
      <c r="J354" s="230"/>
      <c r="K354" s="230"/>
      <c r="L354" s="230"/>
      <c r="M354" s="230"/>
    </row>
    <row r="355">
      <c r="A355" s="230"/>
      <c r="B355" s="230"/>
      <c r="C355" s="230"/>
      <c r="D355" s="230"/>
      <c r="E355" s="230"/>
      <c r="F355" s="230"/>
      <c r="G355" s="230"/>
      <c r="H355" s="230"/>
      <c r="I355" s="230"/>
      <c r="J355" s="230"/>
      <c r="K355" s="230"/>
      <c r="L355" s="230"/>
      <c r="M355" s="230"/>
    </row>
    <row r="356">
      <c r="A356" s="230"/>
      <c r="B356" s="230"/>
      <c r="C356" s="230"/>
      <c r="D356" s="230"/>
      <c r="E356" s="230"/>
      <c r="F356" s="230"/>
      <c r="G356" s="230"/>
      <c r="H356" s="230"/>
      <c r="I356" s="230"/>
      <c r="J356" s="230"/>
      <c r="K356" s="230"/>
      <c r="L356" s="230"/>
      <c r="M356" s="230"/>
    </row>
    <row r="357">
      <c r="A357" s="230"/>
      <c r="B357" s="230"/>
      <c r="C357" s="230"/>
      <c r="D357" s="230"/>
      <c r="E357" s="230"/>
      <c r="F357" s="230"/>
      <c r="G357" s="230"/>
      <c r="H357" s="230"/>
      <c r="I357" s="230"/>
      <c r="J357" s="230"/>
      <c r="K357" s="230"/>
      <c r="L357" s="230"/>
      <c r="M357" s="230"/>
    </row>
    <row r="358">
      <c r="A358" s="230"/>
      <c r="B358" s="230"/>
      <c r="C358" s="230"/>
      <c r="D358" s="230"/>
      <c r="E358" s="230"/>
      <c r="F358" s="230"/>
      <c r="G358" s="230"/>
      <c r="H358" s="230"/>
      <c r="I358" s="230"/>
      <c r="J358" s="230"/>
      <c r="K358" s="230"/>
      <c r="L358" s="230"/>
      <c r="M358" s="230"/>
    </row>
    <row r="359">
      <c r="A359" s="230"/>
      <c r="B359" s="230"/>
      <c r="C359" s="230"/>
      <c r="D359" s="230"/>
      <c r="E359" s="230"/>
      <c r="F359" s="230"/>
      <c r="G359" s="230"/>
      <c r="H359" s="230"/>
      <c r="I359" s="230"/>
      <c r="J359" s="230"/>
      <c r="K359" s="230"/>
      <c r="L359" s="230"/>
      <c r="M359" s="230"/>
    </row>
    <row r="360">
      <c r="A360" s="230"/>
      <c r="B360" s="230"/>
      <c r="C360" s="230"/>
      <c r="D360" s="230"/>
      <c r="E360" s="230"/>
      <c r="F360" s="230"/>
      <c r="G360" s="230"/>
      <c r="H360" s="230"/>
      <c r="I360" s="230"/>
      <c r="J360" s="230"/>
      <c r="K360" s="230"/>
      <c r="L360" s="230"/>
      <c r="M360" s="230"/>
    </row>
    <row r="361">
      <c r="A361" s="230"/>
      <c r="B361" s="230"/>
      <c r="C361" s="230"/>
      <c r="D361" s="230"/>
      <c r="E361" s="230"/>
      <c r="F361" s="230"/>
      <c r="G361" s="230"/>
      <c r="H361" s="230"/>
      <c r="I361" s="230"/>
      <c r="J361" s="230"/>
      <c r="K361" s="230"/>
      <c r="L361" s="230"/>
      <c r="M361" s="230"/>
    </row>
    <row r="362">
      <c r="A362" s="230"/>
      <c r="B362" s="230"/>
      <c r="C362" s="230"/>
      <c r="D362" s="230"/>
      <c r="E362" s="230"/>
      <c r="F362" s="230"/>
      <c r="G362" s="230"/>
      <c r="H362" s="230"/>
      <c r="I362" s="230"/>
      <c r="J362" s="230"/>
      <c r="K362" s="230"/>
      <c r="L362" s="230"/>
      <c r="M362" s="230"/>
    </row>
    <row r="363">
      <c r="A363" s="230"/>
      <c r="B363" s="230"/>
      <c r="C363" s="230"/>
      <c r="D363" s="230"/>
      <c r="E363" s="230"/>
      <c r="F363" s="230"/>
      <c r="G363" s="230"/>
      <c r="H363" s="230"/>
      <c r="I363" s="230"/>
      <c r="J363" s="230"/>
      <c r="K363" s="230"/>
      <c r="L363" s="230"/>
      <c r="M363" s="230"/>
    </row>
    <row r="364">
      <c r="A364" s="230"/>
      <c r="B364" s="230"/>
      <c r="C364" s="230"/>
      <c r="D364" s="230"/>
      <c r="E364" s="230"/>
      <c r="F364" s="230"/>
      <c r="G364" s="230"/>
      <c r="H364" s="230"/>
      <c r="I364" s="230"/>
      <c r="J364" s="230"/>
      <c r="K364" s="230"/>
      <c r="L364" s="230"/>
      <c r="M364" s="230"/>
    </row>
    <row r="365">
      <c r="A365" s="230"/>
      <c r="B365" s="230"/>
      <c r="C365" s="230"/>
      <c r="D365" s="230"/>
      <c r="E365" s="230"/>
      <c r="F365" s="230"/>
      <c r="G365" s="230"/>
      <c r="H365" s="230"/>
      <c r="I365" s="230"/>
      <c r="J365" s="230"/>
      <c r="K365" s="230"/>
      <c r="L365" s="230"/>
      <c r="M365" s="230"/>
    </row>
    <row r="366">
      <c r="A366" s="230"/>
      <c r="B366" s="230"/>
      <c r="C366" s="230"/>
      <c r="D366" s="230"/>
      <c r="E366" s="230"/>
      <c r="F366" s="230"/>
      <c r="G366" s="230"/>
      <c r="H366" s="230"/>
      <c r="I366" s="230"/>
      <c r="J366" s="230"/>
      <c r="K366" s="230"/>
      <c r="L366" s="230"/>
      <c r="M366" s="230"/>
    </row>
    <row r="367">
      <c r="A367" s="230"/>
      <c r="B367" s="230"/>
      <c r="C367" s="230"/>
      <c r="D367" s="230"/>
      <c r="E367" s="230"/>
      <c r="F367" s="230"/>
      <c r="G367" s="230"/>
      <c r="H367" s="230"/>
      <c r="I367" s="230"/>
      <c r="J367" s="230"/>
      <c r="K367" s="230"/>
      <c r="L367" s="230"/>
      <c r="M367" s="230"/>
    </row>
    <row r="368">
      <c r="A368" s="230"/>
      <c r="B368" s="230"/>
      <c r="C368" s="230"/>
      <c r="D368" s="230"/>
      <c r="E368" s="230"/>
      <c r="F368" s="230"/>
      <c r="G368" s="230"/>
      <c r="H368" s="230"/>
      <c r="I368" s="230"/>
      <c r="J368" s="230"/>
      <c r="K368" s="230"/>
      <c r="L368" s="230"/>
      <c r="M368" s="230"/>
    </row>
    <row r="369">
      <c r="A369" s="230"/>
      <c r="B369" s="230"/>
      <c r="C369" s="230"/>
      <c r="D369" s="230"/>
      <c r="E369" s="230"/>
      <c r="F369" s="230"/>
      <c r="G369" s="230"/>
      <c r="H369" s="230"/>
      <c r="I369" s="230"/>
      <c r="J369" s="230"/>
      <c r="K369" s="230"/>
      <c r="L369" s="230"/>
      <c r="M369" s="230"/>
    </row>
    <row r="370">
      <c r="A370" s="230"/>
      <c r="B370" s="230"/>
      <c r="C370" s="230"/>
      <c r="D370" s="230"/>
      <c r="E370" s="230"/>
      <c r="F370" s="230"/>
      <c r="G370" s="230"/>
      <c r="H370" s="230"/>
      <c r="I370" s="230"/>
      <c r="J370" s="230"/>
      <c r="K370" s="230"/>
      <c r="L370" s="230"/>
      <c r="M370" s="230"/>
    </row>
    <row r="371">
      <c r="A371" s="230"/>
      <c r="B371" s="230"/>
      <c r="C371" s="230"/>
      <c r="D371" s="230"/>
      <c r="E371" s="230"/>
      <c r="F371" s="230"/>
      <c r="G371" s="230"/>
      <c r="H371" s="230"/>
      <c r="I371" s="230"/>
      <c r="J371" s="230"/>
      <c r="K371" s="230"/>
      <c r="L371" s="230"/>
      <c r="M371" s="230"/>
    </row>
    <row r="372">
      <c r="A372" s="230"/>
      <c r="B372" s="230"/>
      <c r="C372" s="230"/>
      <c r="D372" s="230"/>
      <c r="E372" s="230"/>
      <c r="F372" s="230"/>
      <c r="G372" s="230"/>
      <c r="H372" s="230"/>
      <c r="I372" s="230"/>
      <c r="J372" s="230"/>
      <c r="K372" s="230"/>
      <c r="L372" s="230"/>
      <c r="M372" s="230"/>
    </row>
    <row r="373">
      <c r="A373" s="230"/>
      <c r="B373" s="230"/>
      <c r="C373" s="230"/>
      <c r="D373" s="230"/>
      <c r="E373" s="230"/>
      <c r="F373" s="230"/>
      <c r="G373" s="230"/>
      <c r="H373" s="230"/>
      <c r="I373" s="230"/>
      <c r="J373" s="230"/>
      <c r="K373" s="230"/>
      <c r="L373" s="230"/>
      <c r="M373" s="230"/>
    </row>
    <row r="374">
      <c r="A374" s="230"/>
      <c r="B374" s="230"/>
      <c r="C374" s="230"/>
      <c r="D374" s="230"/>
      <c r="E374" s="230"/>
      <c r="F374" s="230"/>
      <c r="G374" s="230"/>
      <c r="H374" s="230"/>
      <c r="I374" s="230"/>
      <c r="J374" s="230"/>
      <c r="K374" s="230"/>
      <c r="L374" s="230"/>
      <c r="M374" s="230"/>
    </row>
    <row r="375">
      <c r="A375" s="230"/>
      <c r="B375" s="230"/>
      <c r="C375" s="230"/>
      <c r="D375" s="230"/>
      <c r="E375" s="230"/>
      <c r="F375" s="230"/>
      <c r="G375" s="230"/>
      <c r="H375" s="230"/>
      <c r="I375" s="230"/>
      <c r="J375" s="230"/>
      <c r="K375" s="230"/>
      <c r="L375" s="230"/>
      <c r="M375" s="230"/>
    </row>
    <row r="376">
      <c r="A376" s="230"/>
      <c r="B376" s="230"/>
      <c r="C376" s="230"/>
      <c r="D376" s="230"/>
      <c r="E376" s="230"/>
      <c r="F376" s="230"/>
      <c r="G376" s="230"/>
      <c r="H376" s="230"/>
      <c r="I376" s="230"/>
      <c r="J376" s="230"/>
      <c r="K376" s="230"/>
      <c r="L376" s="230"/>
      <c r="M376" s="230"/>
    </row>
    <row r="377">
      <c r="A377" s="230"/>
      <c r="B377" s="230"/>
      <c r="C377" s="230"/>
      <c r="D377" s="230"/>
      <c r="E377" s="230"/>
      <c r="F377" s="230"/>
      <c r="G377" s="230"/>
      <c r="H377" s="230"/>
      <c r="I377" s="230"/>
      <c r="J377" s="230"/>
      <c r="K377" s="230"/>
      <c r="L377" s="230"/>
      <c r="M377" s="230"/>
    </row>
    <row r="378">
      <c r="A378" s="230"/>
      <c r="B378" s="230"/>
      <c r="C378" s="230"/>
      <c r="D378" s="230"/>
      <c r="E378" s="230"/>
      <c r="F378" s="230"/>
      <c r="G378" s="230"/>
      <c r="H378" s="230"/>
      <c r="I378" s="230"/>
      <c r="J378" s="230"/>
      <c r="K378" s="230"/>
      <c r="L378" s="230"/>
      <c r="M378" s="230"/>
    </row>
    <row r="379">
      <c r="A379" s="230"/>
      <c r="B379" s="230"/>
      <c r="C379" s="230"/>
      <c r="D379" s="230"/>
      <c r="E379" s="230"/>
      <c r="F379" s="230"/>
      <c r="G379" s="230"/>
      <c r="H379" s="230"/>
      <c r="I379" s="230"/>
      <c r="J379" s="230"/>
      <c r="K379" s="230"/>
      <c r="L379" s="230"/>
      <c r="M379" s="230"/>
    </row>
    <row r="380">
      <c r="A380" s="230"/>
      <c r="B380" s="230"/>
      <c r="C380" s="230"/>
      <c r="D380" s="230"/>
      <c r="E380" s="230"/>
      <c r="F380" s="230"/>
      <c r="G380" s="230"/>
      <c r="H380" s="230"/>
      <c r="I380" s="230"/>
      <c r="J380" s="230"/>
      <c r="K380" s="230"/>
      <c r="L380" s="230"/>
      <c r="M380" s="230"/>
    </row>
    <row r="381">
      <c r="A381" s="230"/>
      <c r="B381" s="230"/>
      <c r="C381" s="230"/>
      <c r="D381" s="230"/>
      <c r="E381" s="230"/>
      <c r="F381" s="230"/>
      <c r="G381" s="230"/>
      <c r="H381" s="230"/>
      <c r="I381" s="230"/>
      <c r="J381" s="230"/>
      <c r="K381" s="230"/>
      <c r="L381" s="230"/>
      <c r="M381" s="230"/>
    </row>
    <row r="382">
      <c r="A382" s="230"/>
      <c r="B382" s="230"/>
      <c r="C382" s="230"/>
      <c r="D382" s="230"/>
      <c r="E382" s="230"/>
      <c r="F382" s="230"/>
      <c r="G382" s="230"/>
      <c r="H382" s="230"/>
      <c r="I382" s="230"/>
      <c r="J382" s="230"/>
      <c r="K382" s="230"/>
      <c r="L382" s="230"/>
      <c r="M382" s="230"/>
    </row>
    <row r="383">
      <c r="A383" s="230"/>
      <c r="B383" s="230"/>
      <c r="C383" s="230"/>
      <c r="D383" s="230"/>
      <c r="E383" s="230"/>
      <c r="F383" s="230"/>
      <c r="G383" s="230"/>
      <c r="H383" s="230"/>
      <c r="I383" s="230"/>
      <c r="J383" s="230"/>
      <c r="K383" s="230"/>
      <c r="L383" s="230"/>
      <c r="M383" s="230"/>
    </row>
    <row r="384">
      <c r="A384" s="230"/>
      <c r="B384" s="230"/>
      <c r="C384" s="230"/>
      <c r="D384" s="230"/>
      <c r="E384" s="230"/>
      <c r="F384" s="230"/>
      <c r="G384" s="230"/>
      <c r="H384" s="230"/>
      <c r="I384" s="230"/>
      <c r="J384" s="230"/>
      <c r="K384" s="230"/>
      <c r="L384" s="230"/>
      <c r="M384" s="230"/>
    </row>
    <row r="385">
      <c r="A385" s="230"/>
      <c r="B385" s="230"/>
      <c r="C385" s="230"/>
      <c r="D385" s="230"/>
      <c r="E385" s="230"/>
      <c r="F385" s="230"/>
      <c r="G385" s="230"/>
      <c r="H385" s="230"/>
      <c r="I385" s="230"/>
      <c r="J385" s="230"/>
      <c r="K385" s="230"/>
      <c r="L385" s="230"/>
      <c r="M385" s="230"/>
    </row>
    <row r="386">
      <c r="A386" s="230"/>
      <c r="B386" s="230"/>
      <c r="C386" s="230"/>
      <c r="D386" s="230"/>
      <c r="E386" s="230"/>
      <c r="F386" s="230"/>
      <c r="G386" s="230"/>
      <c r="H386" s="230"/>
      <c r="I386" s="230"/>
      <c r="J386" s="230"/>
      <c r="K386" s="230"/>
      <c r="L386" s="230"/>
      <c r="M386" s="230"/>
    </row>
    <row r="387">
      <c r="A387" s="230"/>
      <c r="B387" s="230"/>
      <c r="C387" s="230"/>
      <c r="D387" s="230"/>
      <c r="E387" s="230"/>
      <c r="F387" s="230"/>
      <c r="G387" s="230"/>
      <c r="H387" s="230"/>
      <c r="I387" s="230"/>
      <c r="J387" s="230"/>
      <c r="K387" s="230"/>
      <c r="L387" s="230"/>
      <c r="M387" s="230"/>
    </row>
    <row r="388">
      <c r="A388" s="230"/>
      <c r="B388" s="230"/>
      <c r="C388" s="230"/>
      <c r="D388" s="230"/>
      <c r="E388" s="230"/>
      <c r="F388" s="230"/>
      <c r="G388" s="230"/>
      <c r="H388" s="230"/>
      <c r="I388" s="230"/>
      <c r="J388" s="230"/>
      <c r="K388" s="230"/>
      <c r="L388" s="230"/>
      <c r="M388" s="230"/>
    </row>
    <row r="389">
      <c r="A389" s="230"/>
      <c r="B389" s="230"/>
      <c r="C389" s="230"/>
      <c r="D389" s="230"/>
      <c r="E389" s="230"/>
      <c r="F389" s="230"/>
      <c r="G389" s="230"/>
      <c r="H389" s="230"/>
      <c r="I389" s="230"/>
      <c r="J389" s="230"/>
      <c r="K389" s="230"/>
      <c r="L389" s="230"/>
      <c r="M389" s="230"/>
    </row>
    <row r="390">
      <c r="A390" s="230"/>
      <c r="B390" s="230"/>
      <c r="C390" s="230"/>
      <c r="D390" s="230"/>
      <c r="E390" s="230"/>
      <c r="F390" s="230"/>
      <c r="G390" s="230"/>
      <c r="H390" s="230"/>
      <c r="I390" s="230"/>
      <c r="J390" s="230"/>
      <c r="K390" s="230"/>
      <c r="L390" s="230"/>
      <c r="M390" s="230"/>
    </row>
    <row r="391">
      <c r="A391" s="230"/>
      <c r="B391" s="230"/>
      <c r="C391" s="230"/>
      <c r="D391" s="230"/>
      <c r="E391" s="230"/>
      <c r="F391" s="230"/>
      <c r="G391" s="230"/>
      <c r="H391" s="230"/>
      <c r="I391" s="230"/>
      <c r="J391" s="230"/>
      <c r="K391" s="230"/>
      <c r="L391" s="230"/>
      <c r="M391" s="230"/>
    </row>
    <row r="392">
      <c r="A392" s="230"/>
      <c r="B392" s="230"/>
      <c r="C392" s="230"/>
      <c r="D392" s="230"/>
      <c r="E392" s="230"/>
      <c r="F392" s="230"/>
      <c r="G392" s="230"/>
      <c r="H392" s="230"/>
      <c r="I392" s="230"/>
      <c r="J392" s="230"/>
      <c r="K392" s="230"/>
      <c r="L392" s="230"/>
      <c r="M392" s="230"/>
    </row>
    <row r="393">
      <c r="A393" s="230"/>
      <c r="B393" s="230"/>
      <c r="C393" s="230"/>
      <c r="D393" s="230"/>
      <c r="E393" s="230"/>
      <c r="F393" s="230"/>
      <c r="G393" s="230"/>
      <c r="H393" s="230"/>
      <c r="I393" s="230"/>
      <c r="J393" s="230"/>
      <c r="K393" s="230"/>
      <c r="L393" s="230"/>
      <c r="M393" s="230"/>
    </row>
    <row r="394">
      <c r="A394" s="230"/>
      <c r="B394" s="230"/>
      <c r="C394" s="230"/>
      <c r="D394" s="230"/>
      <c r="E394" s="230"/>
      <c r="F394" s="230"/>
      <c r="G394" s="230"/>
      <c r="H394" s="230"/>
      <c r="I394" s="230"/>
      <c r="J394" s="230"/>
      <c r="K394" s="230"/>
      <c r="L394" s="230"/>
      <c r="M394" s="230"/>
    </row>
    <row r="395">
      <c r="A395" s="230"/>
      <c r="B395" s="230"/>
      <c r="C395" s="230"/>
      <c r="D395" s="230"/>
      <c r="E395" s="230"/>
      <c r="F395" s="230"/>
      <c r="G395" s="230"/>
      <c r="H395" s="230"/>
      <c r="I395" s="230"/>
      <c r="J395" s="230"/>
      <c r="K395" s="230"/>
      <c r="L395" s="230"/>
      <c r="M395" s="230"/>
    </row>
    <row r="396">
      <c r="A396" s="230"/>
      <c r="B396" s="230"/>
      <c r="C396" s="230"/>
      <c r="D396" s="230"/>
      <c r="E396" s="230"/>
      <c r="F396" s="230"/>
      <c r="G396" s="230"/>
      <c r="H396" s="230"/>
      <c r="I396" s="230"/>
      <c r="J396" s="230"/>
      <c r="K396" s="230"/>
      <c r="L396" s="230"/>
      <c r="M396" s="230"/>
    </row>
    <row r="397">
      <c r="A397" s="230"/>
      <c r="B397" s="230"/>
      <c r="C397" s="230"/>
      <c r="D397" s="230"/>
      <c r="E397" s="230"/>
      <c r="F397" s="230"/>
      <c r="G397" s="230"/>
      <c r="H397" s="230"/>
      <c r="I397" s="230"/>
      <c r="J397" s="230"/>
      <c r="K397" s="230"/>
      <c r="L397" s="230"/>
      <c r="M397" s="230"/>
    </row>
    <row r="398">
      <c r="A398" s="230"/>
      <c r="B398" s="230"/>
      <c r="C398" s="230"/>
      <c r="D398" s="230"/>
      <c r="E398" s="230"/>
      <c r="F398" s="230"/>
      <c r="G398" s="230"/>
      <c r="H398" s="230"/>
      <c r="I398" s="230"/>
      <c r="J398" s="230"/>
      <c r="K398" s="230"/>
      <c r="L398" s="230"/>
      <c r="M398" s="230"/>
    </row>
    <row r="399">
      <c r="A399" s="230"/>
      <c r="B399" s="230"/>
      <c r="C399" s="230"/>
      <c r="D399" s="230"/>
      <c r="E399" s="230"/>
      <c r="F399" s="230"/>
      <c r="G399" s="230"/>
      <c r="H399" s="230"/>
      <c r="I399" s="230"/>
      <c r="J399" s="230"/>
      <c r="K399" s="230"/>
      <c r="L399" s="230"/>
      <c r="M399" s="230"/>
    </row>
    <row r="400">
      <c r="A400" s="230"/>
      <c r="B400" s="230"/>
      <c r="C400" s="230"/>
      <c r="D400" s="230"/>
      <c r="E400" s="230"/>
      <c r="F400" s="230"/>
      <c r="G400" s="230"/>
      <c r="H400" s="230"/>
      <c r="I400" s="230"/>
      <c r="J400" s="230"/>
      <c r="K400" s="230"/>
      <c r="L400" s="230"/>
      <c r="M400" s="230"/>
    </row>
    <row r="401">
      <c r="A401" s="230"/>
      <c r="B401" s="230"/>
      <c r="C401" s="230"/>
      <c r="D401" s="230"/>
      <c r="E401" s="230"/>
      <c r="F401" s="230"/>
      <c r="G401" s="230"/>
      <c r="H401" s="230"/>
      <c r="I401" s="230"/>
      <c r="J401" s="230"/>
      <c r="K401" s="230"/>
      <c r="L401" s="230"/>
      <c r="M401" s="230"/>
    </row>
    <row r="402">
      <c r="A402" s="230"/>
      <c r="B402" s="230"/>
      <c r="C402" s="230"/>
      <c r="D402" s="230"/>
      <c r="E402" s="230"/>
      <c r="F402" s="230"/>
      <c r="G402" s="230"/>
      <c r="H402" s="230"/>
      <c r="I402" s="230"/>
      <c r="J402" s="230"/>
      <c r="K402" s="230"/>
      <c r="L402" s="230"/>
      <c r="M402" s="230"/>
    </row>
    <row r="403">
      <c r="A403" s="230"/>
      <c r="B403" s="230"/>
      <c r="C403" s="230"/>
      <c r="D403" s="230"/>
      <c r="E403" s="230"/>
      <c r="F403" s="230"/>
      <c r="G403" s="230"/>
      <c r="H403" s="230"/>
      <c r="I403" s="230"/>
      <c r="J403" s="230"/>
      <c r="K403" s="230"/>
      <c r="L403" s="230"/>
      <c r="M403" s="230"/>
    </row>
    <row r="404">
      <c r="A404" s="230"/>
      <c r="B404" s="230"/>
      <c r="C404" s="230"/>
      <c r="D404" s="230"/>
      <c r="E404" s="230"/>
      <c r="F404" s="230"/>
      <c r="G404" s="230"/>
      <c r="H404" s="230"/>
      <c r="I404" s="230"/>
      <c r="J404" s="230"/>
      <c r="K404" s="230"/>
      <c r="L404" s="230"/>
      <c r="M404" s="230"/>
    </row>
    <row r="405">
      <c r="A405" s="230"/>
      <c r="B405" s="230"/>
      <c r="C405" s="230"/>
      <c r="D405" s="230"/>
      <c r="E405" s="230"/>
      <c r="F405" s="230"/>
      <c r="G405" s="230"/>
      <c r="H405" s="230"/>
      <c r="I405" s="230"/>
      <c r="J405" s="230"/>
      <c r="K405" s="230"/>
      <c r="L405" s="230"/>
      <c r="M405" s="230"/>
    </row>
    <row r="406">
      <c r="A406" s="230"/>
      <c r="B406" s="230"/>
      <c r="C406" s="230"/>
      <c r="D406" s="230"/>
      <c r="E406" s="230"/>
      <c r="F406" s="230"/>
      <c r="G406" s="230"/>
      <c r="H406" s="230"/>
      <c r="I406" s="230"/>
      <c r="J406" s="230"/>
      <c r="K406" s="230"/>
      <c r="L406" s="230"/>
      <c r="M406" s="230"/>
    </row>
    <row r="407">
      <c r="A407" s="230"/>
      <c r="B407" s="230"/>
      <c r="C407" s="230"/>
      <c r="D407" s="230"/>
      <c r="E407" s="230"/>
      <c r="F407" s="230"/>
      <c r="G407" s="230"/>
      <c r="H407" s="230"/>
      <c r="I407" s="230"/>
      <c r="J407" s="230"/>
      <c r="K407" s="230"/>
      <c r="L407" s="230"/>
      <c r="M407" s="230"/>
    </row>
    <row r="408">
      <c r="A408" s="230"/>
      <c r="B408" s="230"/>
      <c r="C408" s="230"/>
      <c r="D408" s="230"/>
      <c r="E408" s="230"/>
      <c r="F408" s="230"/>
      <c r="G408" s="230"/>
      <c r="H408" s="230"/>
      <c r="I408" s="230"/>
      <c r="J408" s="230"/>
      <c r="K408" s="230"/>
      <c r="L408" s="230"/>
      <c r="M408" s="230"/>
    </row>
    <row r="409">
      <c r="A409" s="230"/>
      <c r="B409" s="230"/>
      <c r="C409" s="230"/>
      <c r="D409" s="230"/>
      <c r="E409" s="230"/>
      <c r="F409" s="230"/>
      <c r="G409" s="230"/>
      <c r="H409" s="230"/>
      <c r="I409" s="230"/>
      <c r="J409" s="230"/>
      <c r="K409" s="230"/>
      <c r="L409" s="230"/>
      <c r="M409" s="230"/>
    </row>
    <row r="410">
      <c r="A410" s="230"/>
      <c r="B410" s="230"/>
      <c r="C410" s="230"/>
      <c r="D410" s="230"/>
      <c r="E410" s="230"/>
      <c r="F410" s="230"/>
      <c r="G410" s="230"/>
      <c r="H410" s="230"/>
      <c r="I410" s="230"/>
      <c r="J410" s="230"/>
      <c r="K410" s="230"/>
      <c r="L410" s="230"/>
      <c r="M410" s="230"/>
    </row>
    <row r="411">
      <c r="A411" s="230"/>
      <c r="B411" s="230"/>
      <c r="C411" s="230"/>
      <c r="D411" s="230"/>
      <c r="E411" s="230"/>
      <c r="F411" s="230"/>
      <c r="G411" s="230"/>
      <c r="H411" s="230"/>
      <c r="I411" s="230"/>
      <c r="J411" s="230"/>
      <c r="K411" s="230"/>
      <c r="L411" s="230"/>
      <c r="M411" s="230"/>
    </row>
    <row r="412">
      <c r="A412" s="230"/>
      <c r="B412" s="230"/>
      <c r="C412" s="230"/>
      <c r="D412" s="230"/>
      <c r="E412" s="230"/>
      <c r="F412" s="230"/>
      <c r="G412" s="230"/>
      <c r="H412" s="230"/>
      <c r="I412" s="230"/>
      <c r="J412" s="230"/>
      <c r="K412" s="230"/>
      <c r="L412" s="230"/>
      <c r="M412" s="230"/>
    </row>
    <row r="413">
      <c r="A413" s="230"/>
      <c r="B413" s="230"/>
      <c r="C413" s="230"/>
      <c r="D413" s="230"/>
      <c r="E413" s="230"/>
      <c r="F413" s="230"/>
      <c r="G413" s="230"/>
      <c r="H413" s="230"/>
      <c r="I413" s="230"/>
      <c r="J413" s="230"/>
      <c r="K413" s="230"/>
      <c r="L413" s="230"/>
      <c r="M413" s="230"/>
    </row>
    <row r="414">
      <c r="A414" s="230"/>
      <c r="B414" s="230"/>
      <c r="C414" s="230"/>
      <c r="D414" s="230"/>
      <c r="E414" s="230"/>
      <c r="F414" s="230"/>
      <c r="G414" s="230"/>
      <c r="H414" s="230"/>
      <c r="I414" s="230"/>
      <c r="J414" s="230"/>
      <c r="K414" s="230"/>
      <c r="L414" s="230"/>
      <c r="M414" s="230"/>
    </row>
    <row r="415">
      <c r="A415" s="230"/>
      <c r="B415" s="230"/>
      <c r="C415" s="230"/>
      <c r="D415" s="230"/>
      <c r="E415" s="230"/>
      <c r="F415" s="230"/>
      <c r="G415" s="230"/>
      <c r="H415" s="230"/>
      <c r="I415" s="230"/>
      <c r="J415" s="230"/>
      <c r="K415" s="230"/>
      <c r="L415" s="230"/>
      <c r="M415" s="230"/>
    </row>
    <row r="416">
      <c r="A416" s="230"/>
      <c r="B416" s="230"/>
      <c r="C416" s="230"/>
      <c r="D416" s="230"/>
      <c r="E416" s="230"/>
      <c r="F416" s="230"/>
      <c r="G416" s="230"/>
      <c r="H416" s="230"/>
      <c r="I416" s="230"/>
      <c r="J416" s="230"/>
      <c r="K416" s="230"/>
      <c r="L416" s="230"/>
      <c r="M416" s="230"/>
    </row>
    <row r="417">
      <c r="A417" s="230"/>
      <c r="B417" s="230"/>
      <c r="C417" s="230"/>
      <c r="D417" s="230"/>
      <c r="E417" s="230"/>
      <c r="F417" s="230"/>
      <c r="G417" s="230"/>
      <c r="H417" s="230"/>
      <c r="I417" s="230"/>
      <c r="J417" s="230"/>
      <c r="K417" s="230"/>
      <c r="L417" s="230"/>
      <c r="M417" s="230"/>
    </row>
    <row r="418">
      <c r="A418" s="230"/>
      <c r="B418" s="230"/>
      <c r="C418" s="230"/>
      <c r="D418" s="230"/>
      <c r="E418" s="230"/>
      <c r="F418" s="230"/>
      <c r="G418" s="230"/>
      <c r="H418" s="230"/>
      <c r="I418" s="230"/>
      <c r="J418" s="230"/>
      <c r="K418" s="230"/>
      <c r="L418" s="230"/>
      <c r="M418" s="230"/>
    </row>
    <row r="419">
      <c r="A419" s="230"/>
      <c r="B419" s="230"/>
      <c r="C419" s="230"/>
      <c r="D419" s="230"/>
      <c r="E419" s="230"/>
      <c r="F419" s="230"/>
      <c r="G419" s="230"/>
      <c r="H419" s="230"/>
      <c r="I419" s="230"/>
      <c r="J419" s="230"/>
      <c r="K419" s="230"/>
      <c r="L419" s="230"/>
      <c r="M419" s="230"/>
    </row>
    <row r="420">
      <c r="A420" s="230"/>
      <c r="B420" s="230"/>
      <c r="C420" s="230"/>
      <c r="D420" s="230"/>
      <c r="E420" s="230"/>
      <c r="F420" s="230"/>
      <c r="G420" s="230"/>
      <c r="H420" s="230"/>
      <c r="I420" s="230"/>
      <c r="J420" s="230"/>
      <c r="K420" s="230"/>
      <c r="L420" s="230"/>
      <c r="M420" s="230"/>
    </row>
    <row r="421">
      <c r="A421" s="230"/>
      <c r="B421" s="230"/>
      <c r="C421" s="230"/>
      <c r="D421" s="230"/>
      <c r="E421" s="230"/>
      <c r="F421" s="230"/>
      <c r="G421" s="230"/>
      <c r="H421" s="230"/>
      <c r="I421" s="230"/>
      <c r="J421" s="230"/>
      <c r="K421" s="230"/>
      <c r="L421" s="230"/>
      <c r="M421" s="230"/>
    </row>
    <row r="422">
      <c r="A422" s="230"/>
      <c r="B422" s="230"/>
      <c r="C422" s="230"/>
      <c r="D422" s="230"/>
      <c r="E422" s="230"/>
      <c r="F422" s="230"/>
      <c r="G422" s="230"/>
      <c r="H422" s="230"/>
      <c r="I422" s="230"/>
      <c r="J422" s="230"/>
      <c r="K422" s="230"/>
      <c r="L422" s="230"/>
      <c r="M422" s="230"/>
    </row>
    <row r="423">
      <c r="A423" s="230"/>
      <c r="B423" s="230"/>
      <c r="C423" s="230"/>
      <c r="D423" s="230"/>
      <c r="E423" s="230"/>
      <c r="F423" s="230"/>
      <c r="G423" s="230"/>
      <c r="H423" s="230"/>
      <c r="I423" s="230"/>
      <c r="J423" s="230"/>
      <c r="K423" s="230"/>
      <c r="L423" s="230"/>
      <c r="M423" s="230"/>
    </row>
    <row r="424">
      <c r="A424" s="230"/>
      <c r="B424" s="230"/>
      <c r="C424" s="230"/>
      <c r="D424" s="230"/>
      <c r="E424" s="230"/>
      <c r="F424" s="230"/>
      <c r="G424" s="230"/>
      <c r="H424" s="230"/>
      <c r="I424" s="230"/>
      <c r="J424" s="230"/>
      <c r="K424" s="230"/>
      <c r="L424" s="230"/>
      <c r="M424" s="230"/>
    </row>
    <row r="425">
      <c r="A425" s="230"/>
      <c r="B425" s="230"/>
      <c r="C425" s="230"/>
      <c r="D425" s="230"/>
      <c r="E425" s="230"/>
      <c r="F425" s="230"/>
      <c r="G425" s="230"/>
      <c r="H425" s="230"/>
      <c r="I425" s="230"/>
      <c r="J425" s="230"/>
      <c r="K425" s="230"/>
      <c r="L425" s="230"/>
      <c r="M425" s="230"/>
    </row>
    <row r="426">
      <c r="A426" s="230"/>
      <c r="B426" s="230"/>
      <c r="C426" s="230"/>
      <c r="D426" s="230"/>
      <c r="E426" s="230"/>
      <c r="F426" s="230"/>
      <c r="G426" s="230"/>
      <c r="H426" s="230"/>
      <c r="I426" s="230"/>
      <c r="J426" s="230"/>
      <c r="K426" s="230"/>
      <c r="L426" s="230"/>
      <c r="M426" s="230"/>
    </row>
    <row r="427">
      <c r="A427" s="230"/>
      <c r="B427" s="230"/>
      <c r="C427" s="230"/>
      <c r="D427" s="230"/>
      <c r="E427" s="230"/>
      <c r="F427" s="230"/>
      <c r="G427" s="230"/>
      <c r="H427" s="230"/>
      <c r="I427" s="230"/>
      <c r="J427" s="230"/>
      <c r="K427" s="230"/>
      <c r="L427" s="230"/>
      <c r="M427" s="230"/>
    </row>
    <row r="428">
      <c r="A428" s="230"/>
      <c r="B428" s="230"/>
      <c r="C428" s="230"/>
      <c r="D428" s="230"/>
      <c r="E428" s="230"/>
      <c r="F428" s="230"/>
      <c r="G428" s="230"/>
      <c r="H428" s="230"/>
      <c r="I428" s="230"/>
      <c r="J428" s="230"/>
      <c r="K428" s="230"/>
      <c r="L428" s="230"/>
      <c r="M428" s="230"/>
    </row>
    <row r="429">
      <c r="A429" s="230"/>
      <c r="B429" s="230"/>
      <c r="C429" s="230"/>
      <c r="D429" s="230"/>
      <c r="E429" s="230"/>
      <c r="F429" s="230"/>
      <c r="G429" s="230"/>
      <c r="H429" s="230"/>
      <c r="I429" s="230"/>
      <c r="J429" s="230"/>
      <c r="K429" s="230"/>
      <c r="L429" s="230"/>
      <c r="M429" s="230"/>
    </row>
    <row r="430">
      <c r="A430" s="230"/>
      <c r="B430" s="230"/>
      <c r="C430" s="230"/>
      <c r="D430" s="230"/>
      <c r="E430" s="230"/>
      <c r="F430" s="230"/>
      <c r="G430" s="230"/>
      <c r="H430" s="230"/>
      <c r="I430" s="230"/>
      <c r="J430" s="230"/>
      <c r="K430" s="230"/>
      <c r="L430" s="230"/>
      <c r="M430" s="230"/>
    </row>
    <row r="431">
      <c r="A431" s="230"/>
      <c r="B431" s="230"/>
      <c r="C431" s="230"/>
      <c r="D431" s="230"/>
      <c r="E431" s="230"/>
      <c r="F431" s="230"/>
      <c r="G431" s="230"/>
      <c r="H431" s="230"/>
      <c r="I431" s="230"/>
      <c r="J431" s="230"/>
      <c r="K431" s="230"/>
      <c r="L431" s="230"/>
      <c r="M431" s="230"/>
    </row>
    <row r="432">
      <c r="A432" s="230"/>
      <c r="B432" s="230"/>
      <c r="C432" s="230"/>
      <c r="D432" s="230"/>
      <c r="E432" s="230"/>
      <c r="F432" s="230"/>
      <c r="G432" s="230"/>
      <c r="H432" s="230"/>
      <c r="I432" s="230"/>
      <c r="J432" s="230"/>
      <c r="K432" s="230"/>
      <c r="L432" s="230"/>
      <c r="M432" s="230"/>
    </row>
    <row r="433">
      <c r="A433" s="230"/>
      <c r="B433" s="230"/>
      <c r="C433" s="230"/>
      <c r="D433" s="230"/>
      <c r="E433" s="230"/>
      <c r="F433" s="230"/>
      <c r="G433" s="230"/>
      <c r="H433" s="230"/>
      <c r="I433" s="230"/>
      <c r="J433" s="230"/>
      <c r="K433" s="230"/>
      <c r="L433" s="230"/>
      <c r="M433" s="230"/>
    </row>
    <row r="434">
      <c r="A434" s="230"/>
      <c r="B434" s="230"/>
      <c r="C434" s="230"/>
      <c r="D434" s="230"/>
      <c r="E434" s="230"/>
      <c r="F434" s="230"/>
      <c r="G434" s="230"/>
      <c r="H434" s="230"/>
      <c r="I434" s="230"/>
      <c r="J434" s="230"/>
      <c r="K434" s="230"/>
      <c r="L434" s="230"/>
      <c r="M434" s="230"/>
    </row>
    <row r="435">
      <c r="A435" s="230"/>
      <c r="B435" s="230"/>
      <c r="C435" s="230"/>
      <c r="D435" s="230"/>
      <c r="E435" s="230"/>
      <c r="F435" s="230"/>
      <c r="G435" s="230"/>
      <c r="H435" s="230"/>
      <c r="I435" s="230"/>
      <c r="J435" s="230"/>
      <c r="K435" s="230"/>
      <c r="L435" s="230"/>
      <c r="M435" s="230"/>
    </row>
    <row r="436">
      <c r="A436" s="230"/>
      <c r="B436" s="230"/>
      <c r="C436" s="230"/>
      <c r="D436" s="230"/>
      <c r="E436" s="230"/>
      <c r="F436" s="230"/>
      <c r="G436" s="230"/>
      <c r="H436" s="230"/>
      <c r="I436" s="230"/>
      <c r="J436" s="230"/>
      <c r="K436" s="230"/>
      <c r="L436" s="230"/>
      <c r="M436" s="230"/>
    </row>
    <row r="437">
      <c r="A437" s="230"/>
      <c r="B437" s="230"/>
      <c r="C437" s="230"/>
      <c r="D437" s="230"/>
      <c r="E437" s="230"/>
      <c r="F437" s="230"/>
      <c r="G437" s="230"/>
      <c r="H437" s="230"/>
      <c r="I437" s="230"/>
      <c r="J437" s="230"/>
      <c r="K437" s="230"/>
      <c r="L437" s="230"/>
      <c r="M437" s="230"/>
    </row>
    <row r="438">
      <c r="A438" s="230"/>
      <c r="B438" s="230"/>
      <c r="C438" s="230"/>
      <c r="D438" s="230"/>
      <c r="E438" s="230"/>
      <c r="F438" s="230"/>
      <c r="G438" s="230"/>
      <c r="H438" s="230"/>
      <c r="I438" s="230"/>
      <c r="J438" s="230"/>
      <c r="K438" s="230"/>
      <c r="L438" s="230"/>
      <c r="M438" s="230"/>
    </row>
    <row r="439">
      <c r="A439" s="230"/>
      <c r="B439" s="230"/>
      <c r="C439" s="230"/>
      <c r="D439" s="230"/>
      <c r="E439" s="230"/>
      <c r="F439" s="230"/>
      <c r="G439" s="230"/>
      <c r="H439" s="230"/>
      <c r="I439" s="230"/>
      <c r="J439" s="230"/>
      <c r="K439" s="230"/>
      <c r="L439" s="230"/>
      <c r="M439" s="230"/>
    </row>
    <row r="440">
      <c r="A440" s="230"/>
      <c r="B440" s="230"/>
      <c r="C440" s="230"/>
      <c r="D440" s="230"/>
      <c r="E440" s="230"/>
      <c r="F440" s="230"/>
      <c r="G440" s="230"/>
      <c r="H440" s="230"/>
      <c r="I440" s="230"/>
      <c r="J440" s="230"/>
      <c r="K440" s="230"/>
      <c r="L440" s="230"/>
      <c r="M440" s="230"/>
    </row>
    <row r="441">
      <c r="A441" s="230"/>
      <c r="B441" s="230"/>
      <c r="C441" s="230"/>
      <c r="D441" s="230"/>
      <c r="E441" s="230"/>
      <c r="F441" s="230"/>
      <c r="G441" s="230"/>
      <c r="H441" s="230"/>
      <c r="I441" s="230"/>
      <c r="J441" s="230"/>
      <c r="K441" s="230"/>
      <c r="L441" s="230"/>
      <c r="M441" s="230"/>
    </row>
    <row r="442">
      <c r="A442" s="230"/>
      <c r="B442" s="230"/>
      <c r="C442" s="230"/>
      <c r="D442" s="230"/>
      <c r="E442" s="230"/>
      <c r="F442" s="230"/>
      <c r="G442" s="230"/>
      <c r="H442" s="230"/>
      <c r="I442" s="230"/>
      <c r="J442" s="230"/>
      <c r="K442" s="230"/>
      <c r="L442" s="230"/>
      <c r="M442" s="230"/>
    </row>
    <row r="443">
      <c r="A443" s="230"/>
      <c r="B443" s="230"/>
      <c r="C443" s="230"/>
      <c r="D443" s="230"/>
      <c r="E443" s="230"/>
      <c r="F443" s="230"/>
      <c r="G443" s="230"/>
      <c r="H443" s="230"/>
      <c r="I443" s="230"/>
      <c r="J443" s="230"/>
      <c r="K443" s="230"/>
      <c r="L443" s="230"/>
      <c r="M443" s="230"/>
    </row>
    <row r="444">
      <c r="A444" s="230"/>
      <c r="B444" s="230"/>
      <c r="C444" s="230"/>
      <c r="D444" s="230"/>
      <c r="E444" s="230"/>
      <c r="F444" s="230"/>
      <c r="G444" s="230"/>
      <c r="H444" s="230"/>
      <c r="I444" s="230"/>
      <c r="J444" s="230"/>
      <c r="K444" s="230"/>
      <c r="L444" s="230"/>
      <c r="M444" s="230"/>
    </row>
    <row r="445">
      <c r="A445" s="230"/>
      <c r="B445" s="230"/>
      <c r="C445" s="230"/>
      <c r="D445" s="230"/>
      <c r="E445" s="230"/>
      <c r="F445" s="230"/>
      <c r="G445" s="230"/>
      <c r="H445" s="230"/>
      <c r="I445" s="230"/>
      <c r="J445" s="230"/>
      <c r="K445" s="230"/>
      <c r="L445" s="230"/>
      <c r="M445" s="230"/>
    </row>
    <row r="446">
      <c r="A446" s="230"/>
      <c r="B446" s="230"/>
      <c r="C446" s="230"/>
      <c r="D446" s="230"/>
      <c r="E446" s="230"/>
      <c r="F446" s="230"/>
      <c r="G446" s="230"/>
      <c r="H446" s="230"/>
      <c r="I446" s="230"/>
      <c r="J446" s="230"/>
      <c r="K446" s="230"/>
      <c r="L446" s="230"/>
      <c r="M446" s="230"/>
    </row>
    <row r="447">
      <c r="A447" s="230"/>
      <c r="B447" s="230"/>
      <c r="C447" s="230"/>
      <c r="D447" s="230"/>
      <c r="E447" s="230"/>
      <c r="F447" s="230"/>
      <c r="G447" s="230"/>
      <c r="H447" s="230"/>
      <c r="I447" s="230"/>
      <c r="J447" s="230"/>
      <c r="K447" s="230"/>
      <c r="L447" s="230"/>
      <c r="M447" s="230"/>
    </row>
    <row r="448">
      <c r="A448" s="230"/>
      <c r="B448" s="230"/>
      <c r="C448" s="230"/>
      <c r="D448" s="230"/>
      <c r="E448" s="230"/>
      <c r="F448" s="230"/>
      <c r="G448" s="230"/>
      <c r="H448" s="230"/>
      <c r="I448" s="230"/>
      <c r="J448" s="230"/>
      <c r="K448" s="230"/>
      <c r="L448" s="230"/>
      <c r="M448" s="230"/>
    </row>
    <row r="449">
      <c r="A449" s="230"/>
      <c r="B449" s="230"/>
      <c r="C449" s="230"/>
      <c r="D449" s="230"/>
      <c r="E449" s="230"/>
      <c r="F449" s="230"/>
      <c r="G449" s="230"/>
      <c r="H449" s="230"/>
      <c r="I449" s="230"/>
      <c r="J449" s="230"/>
      <c r="K449" s="230"/>
      <c r="L449" s="230"/>
      <c r="M449" s="230"/>
    </row>
    <row r="450">
      <c r="A450" s="230"/>
      <c r="B450" s="230"/>
      <c r="C450" s="230"/>
      <c r="D450" s="230"/>
      <c r="E450" s="230"/>
      <c r="F450" s="230"/>
      <c r="G450" s="230"/>
      <c r="H450" s="230"/>
      <c r="I450" s="230"/>
      <c r="J450" s="230"/>
      <c r="K450" s="230"/>
      <c r="L450" s="230"/>
      <c r="M450" s="230"/>
    </row>
    <row r="451">
      <c r="A451" s="230"/>
      <c r="B451" s="230"/>
      <c r="C451" s="230"/>
      <c r="D451" s="230"/>
      <c r="E451" s="230"/>
      <c r="F451" s="230"/>
      <c r="G451" s="230"/>
      <c r="H451" s="230"/>
      <c r="I451" s="230"/>
      <c r="J451" s="230"/>
      <c r="K451" s="230"/>
      <c r="L451" s="230"/>
      <c r="M451" s="230"/>
    </row>
    <row r="452">
      <c r="A452" s="230"/>
      <c r="B452" s="230"/>
      <c r="C452" s="230"/>
      <c r="D452" s="230"/>
      <c r="E452" s="230"/>
      <c r="F452" s="230"/>
      <c r="G452" s="230"/>
      <c r="H452" s="230"/>
      <c r="I452" s="230"/>
      <c r="J452" s="230"/>
      <c r="K452" s="230"/>
      <c r="L452" s="230"/>
      <c r="M452" s="230"/>
    </row>
    <row r="453">
      <c r="A453" s="230"/>
      <c r="B453" s="230"/>
      <c r="C453" s="230"/>
      <c r="D453" s="230"/>
      <c r="E453" s="230"/>
      <c r="F453" s="230"/>
      <c r="G453" s="230"/>
      <c r="H453" s="230"/>
      <c r="I453" s="230"/>
      <c r="J453" s="230"/>
      <c r="K453" s="230"/>
      <c r="L453" s="230"/>
      <c r="M453" s="230"/>
    </row>
    <row r="454">
      <c r="A454" s="230"/>
      <c r="B454" s="230"/>
      <c r="C454" s="230"/>
      <c r="D454" s="230"/>
      <c r="E454" s="230"/>
      <c r="F454" s="230"/>
      <c r="G454" s="230"/>
      <c r="H454" s="230"/>
      <c r="I454" s="230"/>
      <c r="J454" s="230"/>
      <c r="K454" s="230"/>
      <c r="L454" s="230"/>
      <c r="M454" s="230"/>
    </row>
    <row r="455">
      <c r="A455" s="230"/>
      <c r="B455" s="230"/>
      <c r="C455" s="230"/>
      <c r="D455" s="230"/>
      <c r="E455" s="230"/>
      <c r="F455" s="230"/>
      <c r="G455" s="230"/>
      <c r="H455" s="230"/>
      <c r="I455" s="230"/>
      <c r="J455" s="230"/>
      <c r="K455" s="230"/>
      <c r="L455" s="230"/>
      <c r="M455" s="230"/>
    </row>
    <row r="456">
      <c r="A456" s="230"/>
      <c r="B456" s="230"/>
      <c r="C456" s="230"/>
      <c r="D456" s="230"/>
      <c r="E456" s="230"/>
      <c r="F456" s="230"/>
      <c r="G456" s="230"/>
      <c r="H456" s="230"/>
      <c r="I456" s="230"/>
      <c r="J456" s="230"/>
      <c r="K456" s="230"/>
      <c r="L456" s="230"/>
      <c r="M456" s="230"/>
    </row>
    <row r="457">
      <c r="A457" s="230"/>
      <c r="B457" s="230"/>
      <c r="C457" s="230"/>
      <c r="D457" s="230"/>
      <c r="E457" s="230"/>
      <c r="F457" s="230"/>
      <c r="G457" s="230"/>
      <c r="H457" s="230"/>
      <c r="I457" s="230"/>
      <c r="J457" s="230"/>
      <c r="K457" s="230"/>
      <c r="L457" s="230"/>
      <c r="M457" s="230"/>
    </row>
    <row r="458">
      <c r="A458" s="230"/>
      <c r="B458" s="230"/>
      <c r="C458" s="230"/>
      <c r="D458" s="230"/>
      <c r="E458" s="230"/>
      <c r="F458" s="230"/>
      <c r="G458" s="230"/>
      <c r="H458" s="230"/>
      <c r="I458" s="230"/>
      <c r="J458" s="230"/>
      <c r="K458" s="230"/>
      <c r="L458" s="230"/>
      <c r="M458" s="230"/>
    </row>
    <row r="459">
      <c r="A459" s="230"/>
      <c r="B459" s="230"/>
      <c r="C459" s="230"/>
      <c r="D459" s="230"/>
      <c r="E459" s="230"/>
      <c r="F459" s="230"/>
      <c r="G459" s="230"/>
      <c r="H459" s="230"/>
      <c r="I459" s="230"/>
      <c r="J459" s="230"/>
      <c r="K459" s="230"/>
      <c r="L459" s="230"/>
      <c r="M459" s="230"/>
    </row>
    <row r="460">
      <c r="A460" s="230"/>
      <c r="B460" s="230"/>
      <c r="C460" s="230"/>
      <c r="D460" s="230"/>
      <c r="E460" s="230"/>
      <c r="F460" s="230"/>
      <c r="G460" s="230"/>
      <c r="H460" s="230"/>
      <c r="I460" s="230"/>
      <c r="J460" s="230"/>
      <c r="K460" s="230"/>
      <c r="L460" s="230"/>
      <c r="M460" s="230"/>
    </row>
    <row r="461">
      <c r="A461" s="230"/>
      <c r="B461" s="230"/>
      <c r="C461" s="230"/>
      <c r="D461" s="230"/>
      <c r="E461" s="230"/>
      <c r="F461" s="230"/>
      <c r="G461" s="230"/>
      <c r="H461" s="230"/>
      <c r="I461" s="230"/>
      <c r="J461" s="230"/>
      <c r="K461" s="230"/>
      <c r="L461" s="230"/>
      <c r="M461" s="230"/>
    </row>
    <row r="462">
      <c r="A462" s="230"/>
      <c r="B462" s="230"/>
      <c r="C462" s="230"/>
      <c r="D462" s="230"/>
      <c r="E462" s="230"/>
      <c r="F462" s="230"/>
      <c r="G462" s="230"/>
      <c r="H462" s="230"/>
      <c r="I462" s="230"/>
      <c r="J462" s="230"/>
      <c r="K462" s="230"/>
      <c r="L462" s="230"/>
      <c r="M462" s="230"/>
    </row>
    <row r="463">
      <c r="A463" s="230"/>
      <c r="B463" s="230"/>
      <c r="C463" s="230"/>
      <c r="D463" s="230"/>
      <c r="E463" s="230"/>
      <c r="F463" s="230"/>
      <c r="G463" s="230"/>
      <c r="H463" s="230"/>
      <c r="I463" s="230"/>
      <c r="J463" s="230"/>
      <c r="K463" s="230"/>
      <c r="L463" s="230"/>
      <c r="M463" s="230"/>
    </row>
    <row r="464">
      <c r="A464" s="230"/>
      <c r="B464" s="230"/>
      <c r="C464" s="230"/>
      <c r="D464" s="230"/>
      <c r="E464" s="230"/>
      <c r="F464" s="230"/>
      <c r="G464" s="230"/>
      <c r="H464" s="230"/>
      <c r="I464" s="230"/>
      <c r="J464" s="230"/>
      <c r="K464" s="230"/>
      <c r="L464" s="230"/>
      <c r="M464" s="230"/>
    </row>
    <row r="465">
      <c r="A465" s="230"/>
      <c r="B465" s="230"/>
      <c r="C465" s="230"/>
      <c r="D465" s="230"/>
      <c r="E465" s="230"/>
      <c r="F465" s="230"/>
      <c r="G465" s="230"/>
      <c r="H465" s="230"/>
      <c r="I465" s="230"/>
      <c r="J465" s="230"/>
      <c r="K465" s="230"/>
      <c r="L465" s="230"/>
      <c r="M465" s="230"/>
    </row>
    <row r="466">
      <c r="A466" s="230"/>
      <c r="B466" s="230"/>
      <c r="C466" s="230"/>
      <c r="D466" s="230"/>
      <c r="E466" s="230"/>
      <c r="F466" s="230"/>
      <c r="G466" s="230"/>
      <c r="H466" s="230"/>
      <c r="I466" s="230"/>
      <c r="J466" s="230"/>
      <c r="K466" s="230"/>
      <c r="L466" s="230"/>
      <c r="M466" s="230"/>
    </row>
    <row r="467">
      <c r="A467" s="230"/>
      <c r="B467" s="230"/>
      <c r="C467" s="230"/>
      <c r="D467" s="230"/>
      <c r="E467" s="230"/>
      <c r="F467" s="230"/>
      <c r="G467" s="230"/>
      <c r="H467" s="230"/>
      <c r="I467" s="230"/>
      <c r="J467" s="230"/>
      <c r="K467" s="230"/>
      <c r="L467" s="230"/>
      <c r="M467" s="230"/>
    </row>
    <row r="468">
      <c r="A468" s="230"/>
      <c r="B468" s="230"/>
      <c r="C468" s="230"/>
      <c r="D468" s="230"/>
      <c r="E468" s="230"/>
      <c r="F468" s="230"/>
      <c r="G468" s="230"/>
      <c r="H468" s="230"/>
      <c r="I468" s="230"/>
      <c r="J468" s="230"/>
      <c r="K468" s="230"/>
      <c r="L468" s="230"/>
      <c r="M468" s="230"/>
    </row>
    <row r="469">
      <c r="A469" s="230"/>
      <c r="B469" s="230"/>
      <c r="C469" s="230"/>
      <c r="D469" s="230"/>
      <c r="E469" s="230"/>
      <c r="F469" s="230"/>
      <c r="G469" s="230"/>
      <c r="H469" s="230"/>
      <c r="I469" s="230"/>
      <c r="J469" s="230"/>
      <c r="K469" s="230"/>
      <c r="L469" s="230"/>
      <c r="M469" s="230"/>
    </row>
    <row r="470">
      <c r="A470" s="230"/>
      <c r="B470" s="230"/>
      <c r="C470" s="230"/>
      <c r="D470" s="230"/>
      <c r="E470" s="230"/>
      <c r="F470" s="230"/>
      <c r="G470" s="230"/>
      <c r="H470" s="230"/>
      <c r="I470" s="230"/>
      <c r="J470" s="230"/>
      <c r="K470" s="230"/>
      <c r="L470" s="230"/>
      <c r="M470" s="230"/>
    </row>
    <row r="471">
      <c r="A471" s="230"/>
      <c r="B471" s="230"/>
      <c r="C471" s="230"/>
      <c r="D471" s="230"/>
      <c r="E471" s="230"/>
      <c r="F471" s="230"/>
      <c r="G471" s="230"/>
      <c r="H471" s="230"/>
      <c r="I471" s="230"/>
      <c r="J471" s="230"/>
      <c r="K471" s="230"/>
      <c r="L471" s="230"/>
      <c r="M471" s="230"/>
    </row>
    <row r="472">
      <c r="A472" s="230"/>
      <c r="B472" s="230"/>
      <c r="C472" s="230"/>
      <c r="D472" s="230"/>
      <c r="E472" s="230"/>
      <c r="F472" s="230"/>
      <c r="G472" s="230"/>
      <c r="H472" s="230"/>
      <c r="I472" s="230"/>
      <c r="J472" s="230"/>
      <c r="K472" s="230"/>
      <c r="L472" s="230"/>
      <c r="M472" s="230"/>
    </row>
    <row r="473">
      <c r="A473" s="230"/>
      <c r="B473" s="230"/>
      <c r="C473" s="230"/>
      <c r="D473" s="230"/>
      <c r="E473" s="230"/>
      <c r="F473" s="230"/>
      <c r="G473" s="230"/>
      <c r="H473" s="230"/>
      <c r="I473" s="230"/>
      <c r="J473" s="230"/>
      <c r="K473" s="230"/>
      <c r="L473" s="230"/>
      <c r="M473" s="230"/>
    </row>
    <row r="474">
      <c r="A474" s="230"/>
      <c r="B474" s="230"/>
      <c r="C474" s="230"/>
      <c r="D474" s="230"/>
      <c r="E474" s="230"/>
      <c r="F474" s="230"/>
      <c r="G474" s="230"/>
      <c r="H474" s="230"/>
      <c r="I474" s="230"/>
      <c r="J474" s="230"/>
      <c r="K474" s="230"/>
      <c r="L474" s="230"/>
      <c r="M474" s="230"/>
    </row>
    <row r="475">
      <c r="A475" s="230"/>
      <c r="B475" s="230"/>
      <c r="C475" s="230"/>
      <c r="D475" s="230"/>
      <c r="E475" s="230"/>
      <c r="F475" s="230"/>
      <c r="G475" s="230"/>
      <c r="H475" s="230"/>
      <c r="I475" s="230"/>
      <c r="J475" s="230"/>
      <c r="K475" s="230"/>
      <c r="L475" s="230"/>
      <c r="M475" s="230"/>
    </row>
    <row r="476">
      <c r="A476" s="230"/>
      <c r="B476" s="230"/>
      <c r="C476" s="230"/>
      <c r="D476" s="230"/>
      <c r="E476" s="230"/>
      <c r="F476" s="230"/>
      <c r="G476" s="230"/>
      <c r="H476" s="230"/>
      <c r="I476" s="230"/>
      <c r="J476" s="230"/>
      <c r="K476" s="230"/>
      <c r="L476" s="230"/>
      <c r="M476" s="230"/>
    </row>
    <row r="477">
      <c r="A477" s="230"/>
      <c r="B477" s="230"/>
      <c r="C477" s="230"/>
      <c r="D477" s="230"/>
      <c r="E477" s="230"/>
      <c r="F477" s="230"/>
      <c r="G477" s="230"/>
      <c r="H477" s="230"/>
      <c r="I477" s="230"/>
      <c r="J477" s="230"/>
      <c r="K477" s="230"/>
      <c r="L477" s="230"/>
      <c r="M477" s="230"/>
    </row>
    <row r="478">
      <c r="A478" s="230"/>
      <c r="B478" s="230"/>
      <c r="C478" s="230"/>
      <c r="D478" s="230"/>
      <c r="E478" s="230"/>
      <c r="F478" s="230"/>
      <c r="G478" s="230"/>
      <c r="H478" s="230"/>
      <c r="I478" s="230"/>
      <c r="J478" s="230"/>
      <c r="K478" s="230"/>
      <c r="L478" s="230"/>
      <c r="M478" s="230"/>
    </row>
    <row r="479">
      <c r="A479" s="230"/>
      <c r="B479" s="230"/>
      <c r="C479" s="230"/>
      <c r="D479" s="230"/>
      <c r="E479" s="230"/>
      <c r="F479" s="230"/>
      <c r="G479" s="230"/>
      <c r="H479" s="230"/>
      <c r="I479" s="230"/>
      <c r="J479" s="230"/>
      <c r="K479" s="230"/>
      <c r="L479" s="230"/>
      <c r="M479" s="230"/>
    </row>
    <row r="480">
      <c r="A480" s="230"/>
      <c r="B480" s="230"/>
      <c r="C480" s="230"/>
      <c r="D480" s="230"/>
      <c r="E480" s="230"/>
      <c r="F480" s="230"/>
      <c r="G480" s="230"/>
      <c r="H480" s="230"/>
      <c r="I480" s="230"/>
      <c r="J480" s="230"/>
      <c r="K480" s="230"/>
      <c r="L480" s="230"/>
      <c r="M480" s="230"/>
    </row>
    <row r="481">
      <c r="A481" s="230"/>
      <c r="B481" s="230"/>
      <c r="C481" s="230"/>
      <c r="D481" s="230"/>
      <c r="E481" s="230"/>
      <c r="F481" s="230"/>
      <c r="G481" s="230"/>
      <c r="H481" s="230"/>
      <c r="I481" s="230"/>
      <c r="J481" s="230"/>
      <c r="K481" s="230"/>
      <c r="L481" s="230"/>
      <c r="M481" s="230"/>
    </row>
    <row r="482">
      <c r="A482" s="230"/>
      <c r="B482" s="230"/>
      <c r="C482" s="230"/>
      <c r="D482" s="230"/>
      <c r="E482" s="230"/>
      <c r="F482" s="230"/>
      <c r="G482" s="230"/>
      <c r="H482" s="230"/>
      <c r="I482" s="230"/>
      <c r="J482" s="230"/>
      <c r="K482" s="230"/>
      <c r="L482" s="230"/>
      <c r="M482" s="230"/>
    </row>
    <row r="483">
      <c r="A483" s="230"/>
      <c r="B483" s="230"/>
      <c r="C483" s="230"/>
      <c r="D483" s="230"/>
      <c r="E483" s="230"/>
      <c r="F483" s="230"/>
      <c r="G483" s="230"/>
      <c r="H483" s="230"/>
      <c r="I483" s="230"/>
      <c r="J483" s="230"/>
      <c r="K483" s="230"/>
      <c r="L483" s="230"/>
      <c r="M483" s="230"/>
    </row>
    <row r="484">
      <c r="A484" s="230"/>
      <c r="B484" s="230"/>
      <c r="C484" s="230"/>
      <c r="D484" s="230"/>
      <c r="E484" s="230"/>
      <c r="F484" s="230"/>
      <c r="G484" s="230"/>
      <c r="H484" s="230"/>
      <c r="I484" s="230"/>
      <c r="J484" s="230"/>
      <c r="K484" s="230"/>
      <c r="L484" s="230"/>
      <c r="M484" s="230"/>
    </row>
    <row r="485">
      <c r="A485" s="230"/>
      <c r="B485" s="230"/>
      <c r="C485" s="230"/>
      <c r="D485" s="230"/>
      <c r="E485" s="230"/>
      <c r="F485" s="230"/>
      <c r="G485" s="230"/>
      <c r="H485" s="230"/>
      <c r="I485" s="230"/>
      <c r="J485" s="230"/>
      <c r="K485" s="230"/>
      <c r="L485" s="230"/>
      <c r="M485" s="230"/>
    </row>
    <row r="486">
      <c r="A486" s="230"/>
      <c r="B486" s="230"/>
      <c r="C486" s="230"/>
      <c r="D486" s="230"/>
      <c r="E486" s="230"/>
      <c r="F486" s="230"/>
      <c r="G486" s="230"/>
      <c r="H486" s="230"/>
      <c r="I486" s="230"/>
      <c r="J486" s="230"/>
      <c r="K486" s="230"/>
      <c r="L486" s="230"/>
      <c r="M486" s="230"/>
    </row>
    <row r="487">
      <c r="A487" s="230"/>
      <c r="B487" s="230"/>
      <c r="C487" s="230"/>
      <c r="D487" s="230"/>
      <c r="E487" s="230"/>
      <c r="F487" s="230"/>
      <c r="G487" s="230"/>
      <c r="H487" s="230"/>
      <c r="I487" s="230"/>
      <c r="J487" s="230"/>
      <c r="K487" s="230"/>
      <c r="L487" s="230"/>
      <c r="M487" s="230"/>
    </row>
    <row r="488">
      <c r="A488" s="230"/>
      <c r="B488" s="230"/>
      <c r="C488" s="230"/>
      <c r="D488" s="230"/>
      <c r="E488" s="230"/>
      <c r="F488" s="230"/>
      <c r="G488" s="230"/>
      <c r="H488" s="230"/>
      <c r="I488" s="230"/>
      <c r="J488" s="230"/>
      <c r="K488" s="230"/>
      <c r="L488" s="230"/>
      <c r="M488" s="230"/>
    </row>
    <row r="489">
      <c r="A489" s="230"/>
      <c r="B489" s="230"/>
      <c r="C489" s="230"/>
      <c r="D489" s="230"/>
      <c r="E489" s="230"/>
      <c r="F489" s="230"/>
      <c r="G489" s="230"/>
      <c r="H489" s="230"/>
      <c r="I489" s="230"/>
      <c r="J489" s="230"/>
      <c r="K489" s="230"/>
      <c r="L489" s="230"/>
      <c r="M489" s="230"/>
    </row>
    <row r="490">
      <c r="A490" s="230"/>
      <c r="B490" s="230"/>
      <c r="C490" s="230"/>
      <c r="D490" s="230"/>
      <c r="E490" s="230"/>
      <c r="F490" s="230"/>
      <c r="G490" s="230"/>
      <c r="H490" s="230"/>
      <c r="I490" s="230"/>
      <c r="J490" s="230"/>
      <c r="K490" s="230"/>
      <c r="L490" s="230"/>
      <c r="M490" s="230"/>
    </row>
    <row r="491">
      <c r="A491" s="230"/>
      <c r="B491" s="230"/>
      <c r="C491" s="230"/>
      <c r="D491" s="230"/>
      <c r="E491" s="230"/>
      <c r="F491" s="230"/>
      <c r="G491" s="230"/>
      <c r="H491" s="230"/>
      <c r="I491" s="230"/>
      <c r="J491" s="230"/>
      <c r="K491" s="230"/>
      <c r="L491" s="230"/>
      <c r="M491" s="230"/>
    </row>
    <row r="492">
      <c r="A492" s="230"/>
      <c r="B492" s="230"/>
      <c r="C492" s="230"/>
      <c r="D492" s="230"/>
      <c r="E492" s="230"/>
      <c r="F492" s="230"/>
      <c r="G492" s="230"/>
      <c r="H492" s="230"/>
      <c r="I492" s="230"/>
      <c r="J492" s="230"/>
      <c r="K492" s="230"/>
      <c r="L492" s="230"/>
      <c r="M492" s="230"/>
    </row>
    <row r="493">
      <c r="A493" s="230"/>
      <c r="B493" s="230"/>
      <c r="C493" s="230"/>
      <c r="D493" s="230"/>
      <c r="E493" s="230"/>
      <c r="F493" s="230"/>
      <c r="G493" s="230"/>
      <c r="H493" s="230"/>
      <c r="I493" s="230"/>
      <c r="J493" s="230"/>
      <c r="K493" s="230"/>
      <c r="L493" s="230"/>
      <c r="M493" s="230"/>
    </row>
    <row r="494">
      <c r="A494" s="230"/>
      <c r="B494" s="230"/>
      <c r="C494" s="230"/>
      <c r="D494" s="230"/>
      <c r="E494" s="230"/>
      <c r="F494" s="230"/>
      <c r="G494" s="230"/>
      <c r="H494" s="230"/>
      <c r="I494" s="230"/>
      <c r="J494" s="230"/>
      <c r="K494" s="230"/>
      <c r="L494" s="230"/>
      <c r="M494" s="230"/>
    </row>
    <row r="495">
      <c r="A495" s="230"/>
      <c r="B495" s="230"/>
      <c r="C495" s="230"/>
      <c r="D495" s="230"/>
      <c r="E495" s="230"/>
      <c r="F495" s="230"/>
      <c r="G495" s="230"/>
      <c r="H495" s="230"/>
      <c r="I495" s="230"/>
      <c r="J495" s="230"/>
      <c r="K495" s="230"/>
      <c r="L495" s="230"/>
      <c r="M495" s="230"/>
    </row>
    <row r="496">
      <c r="A496" s="230"/>
      <c r="B496" s="230"/>
      <c r="C496" s="230"/>
      <c r="D496" s="230"/>
      <c r="E496" s="230"/>
      <c r="F496" s="230"/>
      <c r="G496" s="230"/>
      <c r="H496" s="230"/>
      <c r="I496" s="230"/>
      <c r="J496" s="230"/>
      <c r="K496" s="230"/>
      <c r="L496" s="230"/>
      <c r="M496" s="230"/>
    </row>
    <row r="497">
      <c r="A497" s="230"/>
      <c r="B497" s="230"/>
      <c r="C497" s="230"/>
      <c r="D497" s="230"/>
      <c r="E497" s="230"/>
      <c r="F497" s="230"/>
      <c r="G497" s="230"/>
      <c r="H497" s="230"/>
      <c r="I497" s="230"/>
      <c r="J497" s="230"/>
      <c r="K497" s="230"/>
      <c r="L497" s="230"/>
      <c r="M497" s="230"/>
    </row>
    <row r="498">
      <c r="A498" s="230"/>
      <c r="B498" s="230"/>
      <c r="C498" s="230"/>
      <c r="D498" s="230"/>
      <c r="E498" s="230"/>
      <c r="F498" s="230"/>
      <c r="G498" s="230"/>
      <c r="H498" s="230"/>
      <c r="I498" s="230"/>
      <c r="J498" s="230"/>
      <c r="K498" s="230"/>
      <c r="L498" s="230"/>
      <c r="M498" s="230"/>
    </row>
    <row r="499">
      <c r="A499" s="230"/>
      <c r="B499" s="230"/>
      <c r="C499" s="230"/>
      <c r="D499" s="230"/>
      <c r="E499" s="230"/>
      <c r="F499" s="230"/>
      <c r="G499" s="230"/>
      <c r="H499" s="230"/>
      <c r="I499" s="230"/>
      <c r="J499" s="230"/>
      <c r="K499" s="230"/>
      <c r="L499" s="230"/>
      <c r="M499" s="230"/>
    </row>
    <row r="500">
      <c r="A500" s="230"/>
      <c r="B500" s="230"/>
      <c r="C500" s="230"/>
      <c r="D500" s="230"/>
      <c r="E500" s="230"/>
      <c r="F500" s="230"/>
      <c r="G500" s="230"/>
      <c r="H500" s="230"/>
      <c r="I500" s="230"/>
      <c r="J500" s="230"/>
      <c r="K500" s="230"/>
      <c r="L500" s="230"/>
      <c r="M500" s="230"/>
    </row>
    <row r="501">
      <c r="A501" s="230"/>
      <c r="B501" s="230"/>
      <c r="C501" s="230"/>
      <c r="D501" s="230"/>
      <c r="E501" s="230"/>
      <c r="F501" s="230"/>
      <c r="G501" s="230"/>
      <c r="H501" s="230"/>
      <c r="I501" s="230"/>
      <c r="J501" s="230"/>
      <c r="K501" s="230"/>
      <c r="L501" s="230"/>
      <c r="M501" s="230"/>
    </row>
    <row r="502">
      <c r="A502" s="230"/>
      <c r="B502" s="230"/>
      <c r="C502" s="230"/>
      <c r="D502" s="230"/>
      <c r="E502" s="230"/>
      <c r="F502" s="230"/>
      <c r="G502" s="230"/>
      <c r="H502" s="230"/>
      <c r="I502" s="230"/>
      <c r="J502" s="230"/>
      <c r="K502" s="230"/>
      <c r="L502" s="230"/>
      <c r="M502" s="230"/>
    </row>
    <row r="503">
      <c r="A503" s="230"/>
      <c r="B503" s="230"/>
      <c r="C503" s="230"/>
      <c r="D503" s="230"/>
      <c r="E503" s="230"/>
      <c r="F503" s="230"/>
      <c r="G503" s="230"/>
      <c r="H503" s="230"/>
      <c r="I503" s="230"/>
      <c r="J503" s="230"/>
      <c r="K503" s="230"/>
      <c r="L503" s="230"/>
      <c r="M503" s="230"/>
    </row>
    <row r="504">
      <c r="A504" s="230"/>
      <c r="B504" s="230"/>
      <c r="C504" s="230"/>
      <c r="D504" s="230"/>
      <c r="E504" s="230"/>
      <c r="F504" s="230"/>
      <c r="G504" s="230"/>
      <c r="H504" s="230"/>
      <c r="I504" s="230"/>
      <c r="J504" s="230"/>
      <c r="K504" s="230"/>
      <c r="L504" s="230"/>
      <c r="M504" s="230"/>
    </row>
    <row r="505">
      <c r="A505" s="230"/>
      <c r="B505" s="230"/>
      <c r="C505" s="230"/>
      <c r="D505" s="230"/>
      <c r="E505" s="230"/>
      <c r="F505" s="230"/>
      <c r="G505" s="230"/>
      <c r="H505" s="230"/>
      <c r="I505" s="230"/>
      <c r="J505" s="230"/>
      <c r="K505" s="230"/>
      <c r="L505" s="230"/>
      <c r="M505" s="230"/>
    </row>
    <row r="506">
      <c r="A506" s="230"/>
      <c r="B506" s="230"/>
      <c r="C506" s="230"/>
      <c r="D506" s="230"/>
      <c r="E506" s="230"/>
      <c r="F506" s="230"/>
      <c r="G506" s="230"/>
      <c r="H506" s="230"/>
      <c r="I506" s="230"/>
      <c r="J506" s="230"/>
      <c r="K506" s="230"/>
      <c r="L506" s="230"/>
      <c r="M506" s="230"/>
    </row>
    <row r="507">
      <c r="A507" s="230"/>
      <c r="B507" s="230"/>
      <c r="C507" s="230"/>
      <c r="D507" s="230"/>
      <c r="E507" s="230"/>
      <c r="F507" s="230"/>
      <c r="G507" s="230"/>
      <c r="H507" s="230"/>
      <c r="I507" s="230"/>
      <c r="J507" s="230"/>
      <c r="K507" s="230"/>
      <c r="L507" s="230"/>
      <c r="M507" s="230"/>
    </row>
    <row r="508">
      <c r="A508" s="230"/>
      <c r="B508" s="230"/>
      <c r="C508" s="230"/>
      <c r="D508" s="230"/>
      <c r="E508" s="230"/>
      <c r="F508" s="230"/>
      <c r="G508" s="230"/>
      <c r="H508" s="230"/>
      <c r="I508" s="230"/>
      <c r="J508" s="230"/>
      <c r="K508" s="230"/>
      <c r="L508" s="230"/>
      <c r="M508" s="230"/>
    </row>
    <row r="509">
      <c r="A509" s="230"/>
      <c r="B509" s="230"/>
      <c r="C509" s="230"/>
      <c r="D509" s="230"/>
      <c r="E509" s="230"/>
      <c r="F509" s="230"/>
      <c r="G509" s="230"/>
      <c r="H509" s="230"/>
      <c r="I509" s="230"/>
      <c r="J509" s="230"/>
      <c r="K509" s="230"/>
      <c r="L509" s="230"/>
      <c r="M509" s="230"/>
    </row>
    <row r="510">
      <c r="A510" s="230"/>
      <c r="B510" s="230"/>
      <c r="C510" s="230"/>
      <c r="D510" s="230"/>
      <c r="E510" s="230"/>
      <c r="F510" s="230"/>
      <c r="G510" s="230"/>
      <c r="H510" s="230"/>
      <c r="I510" s="230"/>
      <c r="J510" s="230"/>
      <c r="K510" s="230"/>
      <c r="L510" s="230"/>
      <c r="M510" s="230"/>
    </row>
    <row r="511">
      <c r="A511" s="230"/>
      <c r="B511" s="230"/>
      <c r="C511" s="230"/>
      <c r="D511" s="230"/>
      <c r="E511" s="230"/>
      <c r="F511" s="230"/>
      <c r="G511" s="230"/>
      <c r="H511" s="230"/>
      <c r="I511" s="230"/>
      <c r="J511" s="230"/>
      <c r="K511" s="230"/>
      <c r="L511" s="230"/>
      <c r="M511" s="230"/>
    </row>
    <row r="512">
      <c r="A512" s="230"/>
      <c r="B512" s="230"/>
      <c r="C512" s="230"/>
      <c r="D512" s="230"/>
      <c r="E512" s="230"/>
      <c r="F512" s="230"/>
      <c r="G512" s="230"/>
      <c r="H512" s="230"/>
      <c r="I512" s="230"/>
      <c r="J512" s="230"/>
      <c r="K512" s="230"/>
      <c r="L512" s="230"/>
      <c r="M512" s="230"/>
    </row>
    <row r="513">
      <c r="A513" s="230"/>
      <c r="B513" s="230"/>
      <c r="C513" s="230"/>
      <c r="D513" s="230"/>
      <c r="E513" s="230"/>
      <c r="F513" s="230"/>
      <c r="G513" s="230"/>
      <c r="H513" s="230"/>
      <c r="I513" s="230"/>
      <c r="J513" s="230"/>
      <c r="K513" s="230"/>
      <c r="L513" s="230"/>
      <c r="M513" s="230"/>
    </row>
    <row r="514">
      <c r="A514" s="230"/>
      <c r="B514" s="230"/>
      <c r="C514" s="230"/>
      <c r="D514" s="230"/>
      <c r="E514" s="230"/>
      <c r="F514" s="230"/>
      <c r="G514" s="230"/>
      <c r="H514" s="230"/>
      <c r="I514" s="230"/>
      <c r="J514" s="230"/>
      <c r="K514" s="230"/>
      <c r="L514" s="230"/>
      <c r="M514" s="230"/>
    </row>
    <row r="515">
      <c r="A515" s="230"/>
      <c r="B515" s="230"/>
      <c r="C515" s="230"/>
      <c r="D515" s="230"/>
      <c r="E515" s="230"/>
      <c r="F515" s="230"/>
      <c r="G515" s="230"/>
      <c r="H515" s="230"/>
      <c r="I515" s="230"/>
      <c r="J515" s="230"/>
      <c r="K515" s="230"/>
      <c r="L515" s="230"/>
      <c r="M515" s="230"/>
    </row>
    <row r="516">
      <c r="A516" s="230"/>
      <c r="B516" s="230"/>
      <c r="C516" s="230"/>
      <c r="D516" s="230"/>
      <c r="E516" s="230"/>
      <c r="F516" s="230"/>
      <c r="G516" s="230"/>
      <c r="H516" s="230"/>
      <c r="I516" s="230"/>
      <c r="J516" s="230"/>
      <c r="K516" s="230"/>
      <c r="L516" s="230"/>
      <c r="M516" s="230"/>
    </row>
    <row r="517">
      <c r="A517" s="230"/>
      <c r="B517" s="230"/>
      <c r="C517" s="230"/>
      <c r="D517" s="230"/>
      <c r="E517" s="230"/>
      <c r="F517" s="230"/>
      <c r="G517" s="230"/>
      <c r="H517" s="230"/>
      <c r="I517" s="230"/>
      <c r="J517" s="230"/>
      <c r="K517" s="230"/>
      <c r="L517" s="230"/>
      <c r="M517" s="230"/>
    </row>
    <row r="518">
      <c r="A518" s="230"/>
      <c r="B518" s="230"/>
      <c r="C518" s="230"/>
      <c r="D518" s="230"/>
      <c r="E518" s="230"/>
      <c r="F518" s="230"/>
      <c r="G518" s="230"/>
      <c r="H518" s="230"/>
      <c r="I518" s="230"/>
      <c r="J518" s="230"/>
      <c r="K518" s="230"/>
      <c r="L518" s="230"/>
      <c r="M518" s="230"/>
    </row>
    <row r="519">
      <c r="A519" s="230"/>
      <c r="B519" s="230"/>
      <c r="C519" s="230"/>
      <c r="D519" s="230"/>
      <c r="E519" s="230"/>
      <c r="F519" s="230"/>
      <c r="G519" s="230"/>
      <c r="H519" s="230"/>
      <c r="I519" s="230"/>
      <c r="J519" s="230"/>
      <c r="K519" s="230"/>
      <c r="L519" s="230"/>
      <c r="M519" s="230"/>
    </row>
    <row r="520">
      <c r="A520" s="230"/>
      <c r="B520" s="230"/>
      <c r="C520" s="230"/>
      <c r="D520" s="230"/>
      <c r="E520" s="230"/>
      <c r="F520" s="230"/>
      <c r="G520" s="230"/>
      <c r="H520" s="230"/>
      <c r="I520" s="230"/>
      <c r="J520" s="230"/>
      <c r="K520" s="230"/>
      <c r="L520" s="230"/>
      <c r="M520" s="230"/>
    </row>
    <row r="521">
      <c r="A521" s="230"/>
      <c r="B521" s="230"/>
      <c r="C521" s="230"/>
      <c r="D521" s="230"/>
      <c r="E521" s="230"/>
      <c r="F521" s="230"/>
      <c r="G521" s="230"/>
      <c r="H521" s="230"/>
      <c r="I521" s="230"/>
      <c r="J521" s="230"/>
      <c r="K521" s="230"/>
      <c r="L521" s="230"/>
      <c r="M521" s="230"/>
    </row>
    <row r="522">
      <c r="A522" s="230"/>
      <c r="B522" s="230"/>
      <c r="C522" s="230"/>
      <c r="D522" s="230"/>
      <c r="E522" s="230"/>
      <c r="F522" s="230"/>
      <c r="G522" s="230"/>
      <c r="H522" s="230"/>
      <c r="I522" s="230"/>
      <c r="J522" s="230"/>
      <c r="K522" s="230"/>
      <c r="L522" s="230"/>
      <c r="M522" s="230"/>
    </row>
    <row r="523">
      <c r="A523" s="230"/>
      <c r="B523" s="230"/>
      <c r="C523" s="230"/>
      <c r="D523" s="230"/>
      <c r="E523" s="230"/>
      <c r="F523" s="230"/>
      <c r="G523" s="230"/>
      <c r="H523" s="230"/>
      <c r="I523" s="230"/>
      <c r="J523" s="230"/>
      <c r="K523" s="230"/>
      <c r="L523" s="230"/>
      <c r="M523" s="230"/>
    </row>
    <row r="524">
      <c r="A524" s="230"/>
      <c r="B524" s="230"/>
      <c r="C524" s="230"/>
      <c r="D524" s="230"/>
      <c r="E524" s="230"/>
      <c r="F524" s="230"/>
      <c r="G524" s="230"/>
      <c r="H524" s="230"/>
      <c r="I524" s="230"/>
      <c r="J524" s="230"/>
      <c r="K524" s="230"/>
      <c r="L524" s="230"/>
      <c r="M524" s="230"/>
    </row>
    <row r="525">
      <c r="A525" s="230"/>
      <c r="B525" s="230"/>
      <c r="C525" s="230"/>
      <c r="D525" s="230"/>
      <c r="E525" s="230"/>
      <c r="F525" s="230"/>
      <c r="G525" s="230"/>
      <c r="H525" s="230"/>
      <c r="I525" s="230"/>
      <c r="J525" s="230"/>
      <c r="K525" s="230"/>
      <c r="L525" s="230"/>
      <c r="M525" s="230"/>
    </row>
    <row r="526">
      <c r="A526" s="230"/>
      <c r="B526" s="230"/>
      <c r="C526" s="230"/>
      <c r="D526" s="230"/>
      <c r="E526" s="230"/>
      <c r="F526" s="230"/>
      <c r="G526" s="230"/>
      <c r="H526" s="230"/>
      <c r="I526" s="230"/>
      <c r="J526" s="230"/>
      <c r="K526" s="230"/>
      <c r="L526" s="230"/>
      <c r="M526" s="230"/>
    </row>
    <row r="527">
      <c r="A527" s="230"/>
      <c r="B527" s="230"/>
      <c r="C527" s="230"/>
      <c r="D527" s="230"/>
      <c r="E527" s="230"/>
      <c r="F527" s="230"/>
      <c r="G527" s="230"/>
      <c r="H527" s="230"/>
      <c r="I527" s="230"/>
      <c r="J527" s="230"/>
      <c r="K527" s="230"/>
      <c r="L527" s="230"/>
      <c r="M527" s="230"/>
    </row>
    <row r="528">
      <c r="A528" s="230"/>
      <c r="B528" s="230"/>
      <c r="C528" s="230"/>
      <c r="D528" s="230"/>
      <c r="E528" s="230"/>
      <c r="F528" s="230"/>
      <c r="G528" s="230"/>
      <c r="H528" s="230"/>
      <c r="I528" s="230"/>
      <c r="J528" s="230"/>
      <c r="K528" s="230"/>
      <c r="L528" s="230"/>
      <c r="M528" s="230"/>
    </row>
    <row r="529">
      <c r="A529" s="230"/>
      <c r="B529" s="230"/>
      <c r="C529" s="230"/>
      <c r="D529" s="230"/>
      <c r="E529" s="230"/>
      <c r="F529" s="230"/>
      <c r="G529" s="230"/>
      <c r="H529" s="230"/>
      <c r="I529" s="230"/>
      <c r="J529" s="230"/>
      <c r="K529" s="230"/>
      <c r="L529" s="230"/>
      <c r="M529" s="230"/>
    </row>
    <row r="530">
      <c r="A530" s="230"/>
      <c r="B530" s="230"/>
      <c r="C530" s="230"/>
      <c r="D530" s="230"/>
      <c r="E530" s="230"/>
      <c r="F530" s="230"/>
      <c r="G530" s="230"/>
      <c r="H530" s="230"/>
      <c r="I530" s="230"/>
      <c r="J530" s="230"/>
      <c r="K530" s="230"/>
      <c r="L530" s="230"/>
      <c r="M530" s="230"/>
    </row>
    <row r="531">
      <c r="A531" s="230"/>
      <c r="B531" s="230"/>
      <c r="C531" s="230"/>
      <c r="D531" s="230"/>
      <c r="E531" s="230"/>
      <c r="F531" s="230"/>
      <c r="G531" s="230"/>
      <c r="H531" s="230"/>
      <c r="I531" s="230"/>
      <c r="J531" s="230"/>
      <c r="K531" s="230"/>
      <c r="L531" s="230"/>
      <c r="M531" s="230"/>
    </row>
    <row r="532">
      <c r="A532" s="230"/>
      <c r="B532" s="230"/>
      <c r="C532" s="230"/>
      <c r="D532" s="230"/>
      <c r="E532" s="230"/>
      <c r="F532" s="230"/>
      <c r="G532" s="230"/>
      <c r="H532" s="230"/>
      <c r="I532" s="230"/>
      <c r="J532" s="230"/>
      <c r="K532" s="230"/>
      <c r="L532" s="230"/>
      <c r="M532" s="230"/>
    </row>
    <row r="533">
      <c r="A533" s="230"/>
      <c r="B533" s="230"/>
      <c r="C533" s="230"/>
      <c r="D533" s="230"/>
      <c r="E533" s="230"/>
      <c r="F533" s="230"/>
      <c r="G533" s="230"/>
      <c r="H533" s="230"/>
      <c r="I533" s="230"/>
      <c r="J533" s="230"/>
      <c r="K533" s="230"/>
      <c r="L533" s="230"/>
      <c r="M533" s="230"/>
    </row>
    <row r="534">
      <c r="A534" s="230"/>
      <c r="B534" s="230"/>
      <c r="C534" s="230"/>
      <c r="D534" s="230"/>
      <c r="E534" s="230"/>
      <c r="F534" s="230"/>
      <c r="G534" s="230"/>
      <c r="H534" s="230"/>
      <c r="I534" s="230"/>
      <c r="J534" s="230"/>
      <c r="K534" s="230"/>
      <c r="L534" s="230"/>
      <c r="M534" s="230"/>
    </row>
    <row r="535">
      <c r="A535" s="230"/>
      <c r="B535" s="230"/>
      <c r="C535" s="230"/>
      <c r="D535" s="230"/>
      <c r="E535" s="230"/>
      <c r="F535" s="230"/>
      <c r="G535" s="230"/>
      <c r="H535" s="230"/>
      <c r="I535" s="230"/>
      <c r="J535" s="230"/>
      <c r="K535" s="230"/>
      <c r="L535" s="230"/>
      <c r="M535" s="230"/>
    </row>
    <row r="536">
      <c r="A536" s="230"/>
      <c r="B536" s="230"/>
      <c r="C536" s="230"/>
      <c r="D536" s="230"/>
      <c r="E536" s="230"/>
      <c r="F536" s="230"/>
      <c r="G536" s="230"/>
      <c r="H536" s="230"/>
      <c r="I536" s="230"/>
      <c r="J536" s="230"/>
      <c r="K536" s="230"/>
      <c r="L536" s="230"/>
      <c r="M536" s="230"/>
    </row>
    <row r="537">
      <c r="A537" s="230"/>
      <c r="B537" s="230"/>
      <c r="C537" s="230"/>
      <c r="D537" s="230"/>
      <c r="E537" s="230"/>
      <c r="F537" s="230"/>
      <c r="G537" s="230"/>
      <c r="H537" s="230"/>
      <c r="I537" s="230"/>
      <c r="J537" s="230"/>
      <c r="K537" s="230"/>
      <c r="L537" s="230"/>
      <c r="M537" s="230"/>
    </row>
    <row r="538">
      <c r="A538" s="230"/>
      <c r="B538" s="230"/>
      <c r="C538" s="230"/>
      <c r="D538" s="230"/>
      <c r="E538" s="230"/>
      <c r="F538" s="230"/>
      <c r="G538" s="230"/>
      <c r="H538" s="230"/>
      <c r="I538" s="230"/>
      <c r="J538" s="230"/>
      <c r="K538" s="230"/>
      <c r="L538" s="230"/>
      <c r="M538" s="230"/>
    </row>
    <row r="539">
      <c r="A539" s="230"/>
      <c r="B539" s="230"/>
      <c r="C539" s="230"/>
      <c r="D539" s="230"/>
      <c r="E539" s="230"/>
      <c r="F539" s="230"/>
      <c r="G539" s="230"/>
      <c r="H539" s="230"/>
      <c r="I539" s="230"/>
      <c r="J539" s="230"/>
      <c r="K539" s="230"/>
      <c r="L539" s="230"/>
      <c r="M539" s="230"/>
    </row>
    <row r="540">
      <c r="A540" s="230"/>
      <c r="B540" s="230"/>
      <c r="C540" s="230"/>
      <c r="D540" s="230"/>
      <c r="E540" s="230"/>
      <c r="F540" s="230"/>
      <c r="G540" s="230"/>
      <c r="H540" s="230"/>
      <c r="I540" s="230"/>
      <c r="J540" s="230"/>
      <c r="K540" s="230"/>
      <c r="L540" s="230"/>
      <c r="M540" s="230"/>
    </row>
    <row r="541">
      <c r="A541" s="230"/>
      <c r="B541" s="230"/>
      <c r="C541" s="230"/>
      <c r="D541" s="230"/>
      <c r="E541" s="230"/>
      <c r="F541" s="230"/>
      <c r="G541" s="230"/>
      <c r="H541" s="230"/>
      <c r="I541" s="230"/>
      <c r="J541" s="230"/>
      <c r="K541" s="230"/>
      <c r="L541" s="230"/>
      <c r="M541" s="230"/>
    </row>
    <row r="542">
      <c r="A542" s="230"/>
      <c r="B542" s="230"/>
      <c r="C542" s="230"/>
      <c r="D542" s="230"/>
      <c r="E542" s="230"/>
      <c r="F542" s="230"/>
      <c r="G542" s="230"/>
      <c r="H542" s="230"/>
      <c r="I542" s="230"/>
      <c r="J542" s="230"/>
      <c r="K542" s="230"/>
      <c r="L542" s="230"/>
      <c r="M542" s="230"/>
    </row>
    <row r="543">
      <c r="A543" s="230"/>
      <c r="B543" s="230"/>
      <c r="C543" s="230"/>
      <c r="D543" s="230"/>
      <c r="E543" s="230"/>
      <c r="F543" s="230"/>
      <c r="G543" s="230"/>
      <c r="H543" s="230"/>
      <c r="I543" s="230"/>
      <c r="J543" s="230"/>
      <c r="K543" s="230"/>
      <c r="L543" s="230"/>
      <c r="M543" s="230"/>
    </row>
    <row r="544">
      <c r="A544" s="230"/>
      <c r="B544" s="230"/>
      <c r="C544" s="230"/>
      <c r="D544" s="230"/>
      <c r="E544" s="230"/>
      <c r="F544" s="230"/>
      <c r="G544" s="230"/>
      <c r="H544" s="230"/>
      <c r="I544" s="230"/>
      <c r="J544" s="230"/>
      <c r="K544" s="230"/>
      <c r="L544" s="230"/>
      <c r="M544" s="230"/>
    </row>
    <row r="545">
      <c r="A545" s="230"/>
      <c r="B545" s="230"/>
      <c r="C545" s="230"/>
      <c r="D545" s="230"/>
      <c r="E545" s="230"/>
      <c r="F545" s="230"/>
      <c r="G545" s="230"/>
      <c r="H545" s="230"/>
      <c r="I545" s="230"/>
      <c r="J545" s="230"/>
      <c r="K545" s="230"/>
      <c r="L545" s="230"/>
      <c r="M545" s="230"/>
    </row>
    <row r="546">
      <c r="A546" s="230"/>
      <c r="B546" s="230"/>
      <c r="C546" s="230"/>
      <c r="D546" s="230"/>
      <c r="E546" s="230"/>
      <c r="F546" s="230"/>
      <c r="G546" s="230"/>
      <c r="H546" s="230"/>
      <c r="I546" s="230"/>
      <c r="J546" s="230"/>
      <c r="K546" s="230"/>
      <c r="L546" s="230"/>
      <c r="M546" s="230"/>
    </row>
    <row r="547">
      <c r="A547" s="230"/>
      <c r="B547" s="230"/>
      <c r="C547" s="230"/>
      <c r="D547" s="230"/>
      <c r="E547" s="230"/>
      <c r="F547" s="230"/>
      <c r="G547" s="230"/>
      <c r="H547" s="230"/>
      <c r="I547" s="230"/>
      <c r="J547" s="230"/>
      <c r="K547" s="230"/>
      <c r="L547" s="230"/>
      <c r="M547" s="230"/>
    </row>
    <row r="548">
      <c r="A548" s="230"/>
      <c r="B548" s="230"/>
      <c r="C548" s="230"/>
      <c r="D548" s="230"/>
      <c r="E548" s="230"/>
      <c r="F548" s="230"/>
      <c r="G548" s="230"/>
      <c r="H548" s="230"/>
      <c r="I548" s="230"/>
      <c r="J548" s="230"/>
      <c r="K548" s="230"/>
      <c r="L548" s="230"/>
      <c r="M548" s="230"/>
    </row>
    <row r="549">
      <c r="A549" s="230"/>
      <c r="B549" s="230"/>
      <c r="C549" s="230"/>
      <c r="D549" s="230"/>
      <c r="E549" s="230"/>
      <c r="F549" s="230"/>
      <c r="G549" s="230"/>
      <c r="H549" s="230"/>
      <c r="I549" s="230"/>
      <c r="J549" s="230"/>
      <c r="K549" s="230"/>
      <c r="L549" s="230"/>
      <c r="M549" s="230"/>
    </row>
    <row r="550">
      <c r="A550" s="230"/>
      <c r="B550" s="230"/>
      <c r="C550" s="230"/>
      <c r="D550" s="230"/>
      <c r="E550" s="230"/>
      <c r="F550" s="230"/>
      <c r="G550" s="230"/>
      <c r="H550" s="230"/>
      <c r="I550" s="230"/>
      <c r="J550" s="230"/>
      <c r="K550" s="230"/>
      <c r="L550" s="230"/>
      <c r="M550" s="230"/>
    </row>
    <row r="551">
      <c r="A551" s="230"/>
      <c r="B551" s="230"/>
      <c r="C551" s="230"/>
      <c r="D551" s="230"/>
      <c r="E551" s="230"/>
      <c r="F551" s="230"/>
      <c r="G551" s="230"/>
      <c r="H551" s="230"/>
      <c r="I551" s="230"/>
      <c r="J551" s="230"/>
      <c r="K551" s="230"/>
      <c r="L551" s="230"/>
      <c r="M551" s="230"/>
    </row>
    <row r="552">
      <c r="A552" s="230"/>
      <c r="B552" s="230"/>
      <c r="C552" s="230"/>
      <c r="D552" s="230"/>
      <c r="E552" s="230"/>
      <c r="F552" s="230"/>
      <c r="G552" s="230"/>
      <c r="H552" s="230"/>
      <c r="I552" s="230"/>
      <c r="J552" s="230"/>
      <c r="K552" s="230"/>
      <c r="L552" s="230"/>
      <c r="M552" s="230"/>
    </row>
    <row r="553">
      <c r="A553" s="230"/>
      <c r="B553" s="230"/>
      <c r="C553" s="230"/>
      <c r="D553" s="230"/>
      <c r="E553" s="230"/>
      <c r="F553" s="230"/>
      <c r="G553" s="230"/>
      <c r="H553" s="230"/>
      <c r="I553" s="230"/>
      <c r="J553" s="230"/>
      <c r="K553" s="230"/>
      <c r="L553" s="230"/>
      <c r="M553" s="230"/>
    </row>
    <row r="554">
      <c r="A554" s="230"/>
      <c r="B554" s="230"/>
      <c r="C554" s="230"/>
      <c r="D554" s="230"/>
      <c r="E554" s="230"/>
      <c r="F554" s="230"/>
      <c r="G554" s="230"/>
      <c r="H554" s="230"/>
      <c r="I554" s="230"/>
      <c r="J554" s="230"/>
      <c r="K554" s="230"/>
      <c r="L554" s="230"/>
      <c r="M554" s="230"/>
    </row>
    <row r="555">
      <c r="A555" s="230"/>
      <c r="B555" s="230"/>
      <c r="C555" s="230"/>
      <c r="D555" s="230"/>
      <c r="E555" s="230"/>
      <c r="F555" s="230"/>
      <c r="G555" s="230"/>
      <c r="H555" s="230"/>
      <c r="I555" s="230"/>
      <c r="J555" s="230"/>
      <c r="K555" s="230"/>
      <c r="L555" s="230"/>
      <c r="M555" s="230"/>
    </row>
    <row r="556">
      <c r="A556" s="230"/>
      <c r="B556" s="230"/>
      <c r="C556" s="230"/>
      <c r="D556" s="230"/>
      <c r="E556" s="230"/>
      <c r="F556" s="230"/>
      <c r="G556" s="230"/>
      <c r="H556" s="230"/>
      <c r="I556" s="230"/>
      <c r="J556" s="230"/>
      <c r="K556" s="230"/>
      <c r="L556" s="230"/>
      <c r="M556" s="230"/>
    </row>
    <row r="557">
      <c r="A557" s="230"/>
      <c r="B557" s="230"/>
      <c r="C557" s="230"/>
      <c r="D557" s="230"/>
      <c r="E557" s="230"/>
      <c r="F557" s="230"/>
      <c r="G557" s="230"/>
      <c r="H557" s="230"/>
      <c r="I557" s="230"/>
      <c r="J557" s="230"/>
      <c r="K557" s="230"/>
      <c r="L557" s="230"/>
      <c r="M557" s="230"/>
    </row>
    <row r="558">
      <c r="A558" s="230"/>
      <c r="B558" s="230"/>
      <c r="C558" s="230"/>
      <c r="D558" s="230"/>
      <c r="E558" s="230"/>
      <c r="F558" s="230"/>
      <c r="G558" s="230"/>
      <c r="H558" s="230"/>
      <c r="I558" s="230"/>
      <c r="J558" s="230"/>
      <c r="K558" s="230"/>
      <c r="L558" s="230"/>
      <c r="M558" s="230"/>
    </row>
    <row r="559">
      <c r="A559" s="230"/>
      <c r="B559" s="230"/>
      <c r="C559" s="230"/>
      <c r="D559" s="230"/>
      <c r="E559" s="230"/>
      <c r="F559" s="230"/>
      <c r="G559" s="230"/>
      <c r="H559" s="230"/>
      <c r="I559" s="230"/>
      <c r="J559" s="230"/>
      <c r="K559" s="230"/>
      <c r="L559" s="230"/>
      <c r="M559" s="230"/>
    </row>
    <row r="560">
      <c r="A560" s="230"/>
      <c r="B560" s="230"/>
      <c r="C560" s="230"/>
      <c r="D560" s="230"/>
      <c r="E560" s="230"/>
      <c r="F560" s="230"/>
      <c r="G560" s="230"/>
      <c r="H560" s="230"/>
      <c r="I560" s="230"/>
      <c r="J560" s="230"/>
      <c r="K560" s="230"/>
      <c r="L560" s="230"/>
      <c r="M560" s="230"/>
    </row>
    <row r="561">
      <c r="A561" s="230"/>
      <c r="B561" s="230"/>
      <c r="C561" s="230"/>
      <c r="D561" s="230"/>
      <c r="E561" s="230"/>
      <c r="F561" s="230"/>
      <c r="G561" s="230"/>
      <c r="H561" s="230"/>
      <c r="I561" s="230"/>
      <c r="J561" s="230"/>
      <c r="K561" s="230"/>
      <c r="L561" s="230"/>
      <c r="M561" s="230"/>
    </row>
    <row r="562">
      <c r="A562" s="230"/>
      <c r="B562" s="230"/>
      <c r="C562" s="230"/>
      <c r="D562" s="230"/>
      <c r="E562" s="230"/>
      <c r="F562" s="230"/>
      <c r="G562" s="230"/>
      <c r="H562" s="230"/>
      <c r="I562" s="230"/>
      <c r="J562" s="230"/>
      <c r="K562" s="230"/>
      <c r="L562" s="230"/>
      <c r="M562" s="230"/>
    </row>
    <row r="563">
      <c r="A563" s="230"/>
      <c r="B563" s="230"/>
      <c r="C563" s="230"/>
      <c r="D563" s="230"/>
      <c r="E563" s="230"/>
      <c r="F563" s="230"/>
      <c r="G563" s="230"/>
      <c r="H563" s="230"/>
      <c r="I563" s="230"/>
      <c r="J563" s="230"/>
      <c r="K563" s="230"/>
      <c r="L563" s="230"/>
      <c r="M563" s="230"/>
    </row>
    <row r="564">
      <c r="A564" s="230"/>
      <c r="B564" s="230"/>
      <c r="C564" s="230"/>
      <c r="D564" s="230"/>
      <c r="E564" s="230"/>
      <c r="F564" s="230"/>
      <c r="G564" s="230"/>
      <c r="H564" s="230"/>
      <c r="I564" s="230"/>
      <c r="J564" s="230"/>
      <c r="K564" s="230"/>
      <c r="L564" s="230"/>
      <c r="M564" s="230"/>
    </row>
    <row r="565">
      <c r="A565" s="230"/>
      <c r="B565" s="230"/>
      <c r="C565" s="230"/>
      <c r="D565" s="230"/>
      <c r="E565" s="230"/>
      <c r="F565" s="230"/>
      <c r="G565" s="230"/>
      <c r="H565" s="230"/>
      <c r="I565" s="230"/>
      <c r="J565" s="230"/>
      <c r="K565" s="230"/>
      <c r="L565" s="230"/>
      <c r="M565" s="230"/>
    </row>
    <row r="566">
      <c r="A566" s="230"/>
      <c r="B566" s="230"/>
      <c r="C566" s="230"/>
      <c r="D566" s="230"/>
      <c r="E566" s="230"/>
      <c r="F566" s="230"/>
      <c r="G566" s="230"/>
      <c r="H566" s="230"/>
      <c r="I566" s="230"/>
      <c r="J566" s="230"/>
      <c r="K566" s="230"/>
      <c r="L566" s="230"/>
      <c r="M566" s="230"/>
    </row>
    <row r="567">
      <c r="A567" s="230"/>
      <c r="B567" s="230"/>
      <c r="C567" s="230"/>
      <c r="D567" s="230"/>
      <c r="E567" s="230"/>
      <c r="F567" s="230"/>
      <c r="G567" s="230"/>
      <c r="H567" s="230"/>
      <c r="I567" s="230"/>
      <c r="J567" s="230"/>
      <c r="K567" s="230"/>
      <c r="L567" s="230"/>
      <c r="M567" s="230"/>
    </row>
    <row r="568">
      <c r="A568" s="230"/>
      <c r="B568" s="230"/>
      <c r="C568" s="230"/>
      <c r="D568" s="230"/>
      <c r="E568" s="230"/>
      <c r="F568" s="230"/>
      <c r="G568" s="230"/>
      <c r="H568" s="230"/>
      <c r="I568" s="230"/>
      <c r="J568" s="230"/>
      <c r="K568" s="230"/>
      <c r="L568" s="230"/>
      <c r="M568" s="230"/>
    </row>
    <row r="569">
      <c r="A569" s="230"/>
      <c r="B569" s="230"/>
      <c r="C569" s="230"/>
      <c r="D569" s="230"/>
      <c r="E569" s="230"/>
      <c r="F569" s="230"/>
      <c r="G569" s="230"/>
      <c r="H569" s="230"/>
      <c r="I569" s="230"/>
      <c r="J569" s="230"/>
      <c r="K569" s="230"/>
      <c r="L569" s="230"/>
      <c r="M569" s="230"/>
    </row>
    <row r="570">
      <c r="A570" s="230"/>
      <c r="B570" s="230"/>
      <c r="C570" s="230"/>
      <c r="D570" s="230"/>
      <c r="E570" s="230"/>
      <c r="F570" s="230"/>
      <c r="G570" s="230"/>
      <c r="H570" s="230"/>
      <c r="I570" s="230"/>
      <c r="J570" s="230"/>
      <c r="K570" s="230"/>
      <c r="L570" s="230"/>
      <c r="M570" s="230"/>
    </row>
    <row r="571">
      <c r="A571" s="230"/>
      <c r="B571" s="230"/>
      <c r="C571" s="230"/>
      <c r="D571" s="230"/>
      <c r="E571" s="230"/>
      <c r="F571" s="230"/>
      <c r="G571" s="230"/>
      <c r="H571" s="230"/>
      <c r="I571" s="230"/>
      <c r="J571" s="230"/>
      <c r="K571" s="230"/>
      <c r="L571" s="230"/>
      <c r="M571" s="230"/>
    </row>
    <row r="572">
      <c r="A572" s="230"/>
      <c r="B572" s="230"/>
      <c r="C572" s="230"/>
      <c r="D572" s="230"/>
      <c r="E572" s="230"/>
      <c r="F572" s="230"/>
      <c r="G572" s="230"/>
      <c r="H572" s="230"/>
      <c r="I572" s="230"/>
      <c r="J572" s="230"/>
      <c r="K572" s="230"/>
      <c r="L572" s="230"/>
      <c r="M572" s="230"/>
    </row>
    <row r="573">
      <c r="A573" s="230"/>
      <c r="B573" s="230"/>
      <c r="C573" s="230"/>
      <c r="D573" s="230"/>
      <c r="E573" s="230"/>
      <c r="F573" s="230"/>
      <c r="G573" s="230"/>
      <c r="H573" s="230"/>
      <c r="I573" s="230"/>
      <c r="J573" s="230"/>
      <c r="K573" s="230"/>
      <c r="L573" s="230"/>
      <c r="M573" s="230"/>
    </row>
    <row r="574">
      <c r="A574" s="230"/>
      <c r="B574" s="230"/>
      <c r="C574" s="230"/>
      <c r="D574" s="230"/>
      <c r="E574" s="230"/>
      <c r="F574" s="230"/>
      <c r="G574" s="230"/>
      <c r="H574" s="230"/>
      <c r="I574" s="230"/>
      <c r="J574" s="230"/>
      <c r="K574" s="230"/>
      <c r="L574" s="230"/>
      <c r="M574" s="230"/>
    </row>
    <row r="575">
      <c r="A575" s="230"/>
      <c r="B575" s="230"/>
      <c r="C575" s="230"/>
      <c r="D575" s="230"/>
      <c r="E575" s="230"/>
      <c r="F575" s="230"/>
      <c r="G575" s="230"/>
      <c r="H575" s="230"/>
      <c r="I575" s="230"/>
      <c r="J575" s="230"/>
      <c r="K575" s="230"/>
      <c r="L575" s="230"/>
      <c r="M575" s="230"/>
    </row>
    <row r="576">
      <c r="A576" s="230"/>
      <c r="B576" s="230"/>
      <c r="C576" s="230"/>
      <c r="D576" s="230"/>
      <c r="E576" s="230"/>
      <c r="F576" s="230"/>
      <c r="G576" s="230"/>
      <c r="H576" s="230"/>
      <c r="I576" s="230"/>
      <c r="J576" s="230"/>
      <c r="K576" s="230"/>
      <c r="L576" s="230"/>
      <c r="M576" s="230"/>
    </row>
    <row r="577">
      <c r="A577" s="230"/>
      <c r="B577" s="230"/>
      <c r="C577" s="230"/>
      <c r="D577" s="230"/>
      <c r="E577" s="230"/>
      <c r="F577" s="230"/>
      <c r="G577" s="230"/>
      <c r="H577" s="230"/>
      <c r="I577" s="230"/>
      <c r="J577" s="230"/>
      <c r="K577" s="230"/>
      <c r="L577" s="230"/>
      <c r="M577" s="230"/>
    </row>
    <row r="578">
      <c r="A578" s="230"/>
      <c r="B578" s="230"/>
      <c r="C578" s="230"/>
      <c r="D578" s="230"/>
      <c r="E578" s="230"/>
      <c r="F578" s="230"/>
      <c r="G578" s="230"/>
      <c r="H578" s="230"/>
      <c r="I578" s="230"/>
      <c r="J578" s="230"/>
      <c r="K578" s="230"/>
      <c r="L578" s="230"/>
      <c r="M578" s="230"/>
    </row>
    <row r="579">
      <c r="A579" s="230"/>
      <c r="B579" s="230"/>
      <c r="C579" s="230"/>
      <c r="D579" s="230"/>
      <c r="E579" s="230"/>
      <c r="F579" s="230"/>
      <c r="G579" s="230"/>
      <c r="H579" s="230"/>
      <c r="I579" s="230"/>
      <c r="J579" s="230"/>
      <c r="K579" s="230"/>
      <c r="L579" s="230"/>
      <c r="M579" s="230"/>
    </row>
    <row r="580">
      <c r="A580" s="230"/>
      <c r="B580" s="230"/>
      <c r="C580" s="230"/>
      <c r="D580" s="230"/>
      <c r="E580" s="230"/>
      <c r="F580" s="230"/>
      <c r="G580" s="230"/>
      <c r="H580" s="230"/>
      <c r="I580" s="230"/>
      <c r="J580" s="230"/>
      <c r="K580" s="230"/>
      <c r="L580" s="230"/>
      <c r="M580" s="230"/>
    </row>
    <row r="581">
      <c r="A581" s="230"/>
      <c r="B581" s="230"/>
      <c r="C581" s="230"/>
      <c r="D581" s="230"/>
      <c r="E581" s="230"/>
      <c r="F581" s="230"/>
      <c r="G581" s="230"/>
      <c r="H581" s="230"/>
      <c r="I581" s="230"/>
      <c r="J581" s="230"/>
      <c r="K581" s="230"/>
      <c r="L581" s="230"/>
      <c r="M581" s="230"/>
    </row>
    <row r="582">
      <c r="A582" s="230"/>
      <c r="B582" s="230"/>
      <c r="C582" s="230"/>
      <c r="D582" s="230"/>
      <c r="E582" s="230"/>
      <c r="F582" s="230"/>
      <c r="G582" s="230"/>
      <c r="H582" s="230"/>
      <c r="I582" s="230"/>
      <c r="J582" s="230"/>
      <c r="K582" s="230"/>
      <c r="L582" s="230"/>
      <c r="M582" s="230"/>
    </row>
    <row r="583">
      <c r="A583" s="230"/>
      <c r="B583" s="230"/>
      <c r="C583" s="230"/>
      <c r="D583" s="230"/>
      <c r="E583" s="230"/>
      <c r="F583" s="230"/>
      <c r="G583" s="230"/>
      <c r="H583" s="230"/>
      <c r="I583" s="230"/>
      <c r="J583" s="230"/>
      <c r="K583" s="230"/>
      <c r="L583" s="230"/>
      <c r="M583" s="230"/>
    </row>
    <row r="584">
      <c r="A584" s="230"/>
      <c r="B584" s="230"/>
      <c r="C584" s="230"/>
      <c r="D584" s="230"/>
      <c r="E584" s="230"/>
      <c r="F584" s="230"/>
      <c r="G584" s="230"/>
      <c r="H584" s="230"/>
      <c r="I584" s="230"/>
      <c r="J584" s="230"/>
      <c r="K584" s="230"/>
      <c r="L584" s="230"/>
      <c r="M584" s="230"/>
    </row>
    <row r="585">
      <c r="A585" s="230"/>
      <c r="B585" s="230"/>
      <c r="C585" s="230"/>
      <c r="D585" s="230"/>
      <c r="E585" s="230"/>
      <c r="F585" s="230"/>
      <c r="G585" s="230"/>
      <c r="H585" s="230"/>
      <c r="I585" s="230"/>
      <c r="J585" s="230"/>
      <c r="K585" s="230"/>
      <c r="L585" s="230"/>
      <c r="M585" s="230"/>
    </row>
    <row r="586">
      <c r="A586" s="230"/>
      <c r="B586" s="230"/>
      <c r="C586" s="230"/>
      <c r="D586" s="230"/>
      <c r="E586" s="230"/>
      <c r="F586" s="230"/>
      <c r="G586" s="230"/>
      <c r="H586" s="230"/>
      <c r="I586" s="230"/>
      <c r="J586" s="230"/>
      <c r="K586" s="230"/>
      <c r="L586" s="230"/>
      <c r="M586" s="230"/>
    </row>
    <row r="587">
      <c r="A587" s="230"/>
      <c r="B587" s="230"/>
      <c r="C587" s="230"/>
      <c r="D587" s="230"/>
      <c r="E587" s="230"/>
      <c r="F587" s="230"/>
      <c r="G587" s="230"/>
      <c r="H587" s="230"/>
      <c r="I587" s="230"/>
      <c r="J587" s="230"/>
      <c r="K587" s="230"/>
      <c r="L587" s="230"/>
      <c r="M587" s="230"/>
    </row>
    <row r="588">
      <c r="A588" s="230"/>
      <c r="B588" s="230"/>
      <c r="C588" s="230"/>
      <c r="D588" s="230"/>
      <c r="E588" s="230"/>
      <c r="F588" s="230"/>
      <c r="G588" s="230"/>
      <c r="H588" s="230"/>
      <c r="I588" s="230"/>
      <c r="J588" s="230"/>
      <c r="K588" s="230"/>
      <c r="L588" s="230"/>
      <c r="M588" s="230"/>
    </row>
    <row r="589">
      <c r="A589" s="230"/>
      <c r="B589" s="230"/>
      <c r="C589" s="230"/>
      <c r="D589" s="230"/>
      <c r="E589" s="230"/>
      <c r="F589" s="230"/>
      <c r="G589" s="230"/>
      <c r="H589" s="230"/>
      <c r="I589" s="230"/>
      <c r="J589" s="230"/>
      <c r="K589" s="230"/>
      <c r="L589" s="230"/>
      <c r="M589" s="230"/>
    </row>
    <row r="590">
      <c r="A590" s="230"/>
      <c r="B590" s="230"/>
      <c r="C590" s="230"/>
      <c r="D590" s="230"/>
      <c r="E590" s="230"/>
      <c r="F590" s="230"/>
      <c r="G590" s="230"/>
      <c r="H590" s="230"/>
      <c r="I590" s="230"/>
      <c r="J590" s="230"/>
      <c r="K590" s="230"/>
      <c r="L590" s="230"/>
      <c r="M590" s="230"/>
    </row>
    <row r="591">
      <c r="A591" s="230"/>
      <c r="B591" s="230"/>
      <c r="C591" s="230"/>
      <c r="D591" s="230"/>
      <c r="E591" s="230"/>
      <c r="F591" s="230"/>
      <c r="G591" s="230"/>
      <c r="H591" s="230"/>
      <c r="I591" s="230"/>
      <c r="J591" s="230"/>
      <c r="K591" s="230"/>
      <c r="L591" s="230"/>
      <c r="M591" s="230"/>
    </row>
    <row r="592">
      <c r="A592" s="230"/>
      <c r="B592" s="230"/>
      <c r="C592" s="230"/>
      <c r="D592" s="230"/>
      <c r="E592" s="230"/>
      <c r="F592" s="230"/>
      <c r="G592" s="230"/>
      <c r="H592" s="230"/>
      <c r="I592" s="230"/>
      <c r="J592" s="230"/>
      <c r="K592" s="230"/>
      <c r="L592" s="230"/>
      <c r="M592" s="230"/>
    </row>
    <row r="593">
      <c r="A593" s="230"/>
      <c r="B593" s="230"/>
      <c r="C593" s="230"/>
      <c r="D593" s="230"/>
      <c r="E593" s="230"/>
      <c r="F593" s="230"/>
      <c r="G593" s="230"/>
      <c r="H593" s="230"/>
      <c r="I593" s="230"/>
      <c r="J593" s="230"/>
      <c r="K593" s="230"/>
      <c r="L593" s="230"/>
      <c r="M593" s="230"/>
    </row>
    <row r="594">
      <c r="A594" s="230"/>
      <c r="B594" s="230"/>
      <c r="C594" s="230"/>
      <c r="D594" s="230"/>
      <c r="E594" s="230"/>
      <c r="F594" s="230"/>
      <c r="G594" s="230"/>
      <c r="H594" s="230"/>
      <c r="I594" s="230"/>
      <c r="J594" s="230"/>
      <c r="K594" s="230"/>
      <c r="L594" s="230"/>
      <c r="M594" s="230"/>
    </row>
    <row r="595">
      <c r="A595" s="230"/>
      <c r="B595" s="230"/>
      <c r="C595" s="230"/>
      <c r="D595" s="230"/>
      <c r="E595" s="230"/>
      <c r="F595" s="230"/>
      <c r="G595" s="230"/>
      <c r="H595" s="230"/>
      <c r="I595" s="230"/>
      <c r="J595" s="230"/>
      <c r="K595" s="230"/>
      <c r="L595" s="230"/>
      <c r="M595" s="230"/>
    </row>
    <row r="596">
      <c r="A596" s="230"/>
      <c r="B596" s="230"/>
      <c r="C596" s="230"/>
      <c r="D596" s="230"/>
      <c r="E596" s="230"/>
      <c r="F596" s="230"/>
      <c r="G596" s="230"/>
      <c r="H596" s="230"/>
      <c r="I596" s="230"/>
      <c r="J596" s="230"/>
      <c r="K596" s="230"/>
      <c r="L596" s="230"/>
      <c r="M596" s="230"/>
    </row>
    <row r="597">
      <c r="A597" s="230"/>
      <c r="B597" s="230"/>
      <c r="C597" s="230"/>
      <c r="D597" s="230"/>
      <c r="E597" s="230"/>
      <c r="F597" s="230"/>
      <c r="G597" s="230"/>
      <c r="H597" s="230"/>
      <c r="I597" s="230"/>
      <c r="J597" s="230"/>
      <c r="K597" s="230"/>
      <c r="L597" s="230"/>
      <c r="M597" s="230"/>
    </row>
    <row r="598">
      <c r="A598" s="230"/>
      <c r="B598" s="230"/>
      <c r="C598" s="230"/>
      <c r="D598" s="230"/>
      <c r="E598" s="230"/>
      <c r="F598" s="230"/>
      <c r="G598" s="230"/>
      <c r="H598" s="230"/>
      <c r="I598" s="230"/>
      <c r="J598" s="230"/>
      <c r="K598" s="230"/>
      <c r="L598" s="230"/>
      <c r="M598" s="230"/>
    </row>
    <row r="599">
      <c r="A599" s="230"/>
      <c r="B599" s="230"/>
      <c r="C599" s="230"/>
      <c r="D599" s="230"/>
      <c r="E599" s="230"/>
      <c r="F599" s="230"/>
      <c r="G599" s="230"/>
      <c r="H599" s="230"/>
      <c r="I599" s="230"/>
      <c r="J599" s="230"/>
      <c r="K599" s="230"/>
      <c r="L599" s="230"/>
      <c r="M599" s="230"/>
    </row>
    <row r="600">
      <c r="A600" s="230"/>
      <c r="B600" s="230"/>
      <c r="C600" s="230"/>
      <c r="D600" s="230"/>
      <c r="E600" s="230"/>
      <c r="F600" s="230"/>
      <c r="G600" s="230"/>
      <c r="H600" s="230"/>
      <c r="I600" s="230"/>
      <c r="J600" s="230"/>
      <c r="K600" s="230"/>
      <c r="L600" s="230"/>
      <c r="M600" s="230"/>
    </row>
    <row r="601">
      <c r="A601" s="230"/>
      <c r="B601" s="230"/>
      <c r="C601" s="230"/>
      <c r="D601" s="230"/>
      <c r="E601" s="230"/>
      <c r="F601" s="230"/>
      <c r="G601" s="230"/>
      <c r="H601" s="230"/>
      <c r="I601" s="230"/>
      <c r="J601" s="230"/>
      <c r="K601" s="230"/>
      <c r="L601" s="230"/>
      <c r="M601" s="230"/>
    </row>
    <row r="602">
      <c r="A602" s="230"/>
      <c r="B602" s="230"/>
      <c r="C602" s="230"/>
      <c r="D602" s="230"/>
      <c r="E602" s="230"/>
      <c r="F602" s="230"/>
      <c r="G602" s="230"/>
      <c r="H602" s="230"/>
      <c r="I602" s="230"/>
      <c r="J602" s="230"/>
      <c r="K602" s="230"/>
      <c r="L602" s="230"/>
      <c r="M602" s="230"/>
    </row>
    <row r="603">
      <c r="A603" s="230"/>
      <c r="B603" s="230"/>
      <c r="C603" s="230"/>
      <c r="D603" s="230"/>
      <c r="E603" s="230"/>
      <c r="F603" s="230"/>
      <c r="G603" s="230"/>
      <c r="H603" s="230"/>
      <c r="I603" s="230"/>
      <c r="J603" s="230"/>
      <c r="K603" s="230"/>
      <c r="L603" s="230"/>
      <c r="M603" s="230"/>
    </row>
    <row r="604">
      <c r="A604" s="230"/>
      <c r="B604" s="230"/>
      <c r="C604" s="230"/>
      <c r="D604" s="230"/>
      <c r="E604" s="230"/>
      <c r="F604" s="230"/>
      <c r="G604" s="230"/>
      <c r="H604" s="230"/>
      <c r="I604" s="230"/>
      <c r="J604" s="230"/>
      <c r="K604" s="230"/>
      <c r="L604" s="230"/>
      <c r="M604" s="230"/>
    </row>
    <row r="605">
      <c r="A605" s="230"/>
      <c r="B605" s="230"/>
      <c r="C605" s="230"/>
      <c r="D605" s="230"/>
      <c r="E605" s="230"/>
      <c r="F605" s="230"/>
      <c r="G605" s="230"/>
      <c r="H605" s="230"/>
      <c r="I605" s="230"/>
      <c r="J605" s="230"/>
      <c r="K605" s="230"/>
      <c r="L605" s="230"/>
      <c r="M605" s="230"/>
    </row>
    <row r="606">
      <c r="A606" s="230"/>
      <c r="B606" s="230"/>
      <c r="C606" s="230"/>
      <c r="D606" s="230"/>
      <c r="E606" s="230"/>
      <c r="F606" s="230"/>
      <c r="G606" s="230"/>
      <c r="H606" s="230"/>
      <c r="I606" s="230"/>
      <c r="J606" s="230"/>
      <c r="K606" s="230"/>
      <c r="L606" s="230"/>
      <c r="M606" s="230"/>
    </row>
    <row r="607">
      <c r="A607" s="230"/>
      <c r="B607" s="230"/>
      <c r="C607" s="230"/>
      <c r="D607" s="230"/>
      <c r="E607" s="230"/>
      <c r="F607" s="230"/>
      <c r="G607" s="230"/>
      <c r="H607" s="230"/>
      <c r="I607" s="230"/>
      <c r="J607" s="230"/>
      <c r="K607" s="230"/>
      <c r="L607" s="230"/>
      <c r="M607" s="230"/>
    </row>
    <row r="608">
      <c r="A608" s="230"/>
      <c r="B608" s="230"/>
      <c r="C608" s="230"/>
      <c r="D608" s="230"/>
      <c r="E608" s="230"/>
      <c r="F608" s="230"/>
      <c r="G608" s="230"/>
      <c r="H608" s="230"/>
      <c r="I608" s="230"/>
      <c r="J608" s="230"/>
      <c r="K608" s="230"/>
      <c r="L608" s="230"/>
      <c r="M608" s="230"/>
    </row>
    <row r="609">
      <c r="A609" s="230"/>
      <c r="B609" s="230"/>
      <c r="C609" s="230"/>
      <c r="D609" s="230"/>
      <c r="E609" s="230"/>
      <c r="F609" s="230"/>
      <c r="G609" s="230"/>
      <c r="H609" s="230"/>
      <c r="I609" s="230"/>
      <c r="J609" s="230"/>
      <c r="K609" s="230"/>
      <c r="L609" s="230"/>
      <c r="M609" s="230"/>
    </row>
    <row r="610">
      <c r="A610" s="230"/>
      <c r="B610" s="230"/>
      <c r="C610" s="230"/>
      <c r="D610" s="230"/>
      <c r="E610" s="230"/>
      <c r="F610" s="230"/>
      <c r="G610" s="230"/>
      <c r="H610" s="230"/>
      <c r="I610" s="230"/>
      <c r="J610" s="230"/>
      <c r="K610" s="230"/>
      <c r="L610" s="230"/>
      <c r="M610" s="230"/>
    </row>
    <row r="611">
      <c r="A611" s="230"/>
      <c r="B611" s="230"/>
      <c r="C611" s="230"/>
      <c r="D611" s="230"/>
      <c r="E611" s="230"/>
      <c r="F611" s="230"/>
      <c r="G611" s="230"/>
      <c r="H611" s="230"/>
      <c r="I611" s="230"/>
      <c r="J611" s="230"/>
      <c r="K611" s="230"/>
      <c r="L611" s="230"/>
      <c r="M611" s="230"/>
    </row>
    <row r="612">
      <c r="A612" s="230"/>
      <c r="B612" s="230"/>
      <c r="C612" s="230"/>
      <c r="D612" s="230"/>
      <c r="E612" s="230"/>
      <c r="F612" s="230"/>
      <c r="G612" s="230"/>
      <c r="H612" s="230"/>
      <c r="I612" s="230"/>
      <c r="J612" s="230"/>
      <c r="K612" s="230"/>
      <c r="L612" s="230"/>
      <c r="M612" s="230"/>
    </row>
    <row r="613">
      <c r="A613" s="230"/>
      <c r="B613" s="230"/>
      <c r="C613" s="230"/>
      <c r="D613" s="230"/>
      <c r="E613" s="230"/>
      <c r="F613" s="230"/>
      <c r="G613" s="230"/>
      <c r="H613" s="230"/>
      <c r="I613" s="230"/>
      <c r="J613" s="230"/>
      <c r="K613" s="230"/>
      <c r="L613" s="230"/>
      <c r="M613" s="230"/>
    </row>
    <row r="614">
      <c r="A614" s="230"/>
      <c r="B614" s="230"/>
      <c r="C614" s="230"/>
      <c r="D614" s="230"/>
      <c r="E614" s="230"/>
      <c r="F614" s="230"/>
      <c r="G614" s="230"/>
      <c r="H614" s="230"/>
      <c r="I614" s="230"/>
      <c r="J614" s="230"/>
      <c r="K614" s="230"/>
      <c r="L614" s="230"/>
      <c r="M614" s="230"/>
    </row>
    <row r="615">
      <c r="A615" s="230"/>
      <c r="B615" s="230"/>
      <c r="C615" s="230"/>
      <c r="D615" s="230"/>
      <c r="E615" s="230"/>
      <c r="F615" s="230"/>
      <c r="G615" s="230"/>
      <c r="H615" s="230"/>
      <c r="I615" s="230"/>
      <c r="J615" s="230"/>
      <c r="K615" s="230"/>
      <c r="L615" s="230"/>
      <c r="M615" s="230"/>
    </row>
    <row r="616">
      <c r="A616" s="230"/>
      <c r="B616" s="230"/>
      <c r="C616" s="230"/>
      <c r="D616" s="230"/>
      <c r="E616" s="230"/>
      <c r="F616" s="230"/>
      <c r="G616" s="230"/>
      <c r="H616" s="230"/>
      <c r="I616" s="230"/>
      <c r="J616" s="230"/>
      <c r="K616" s="230"/>
      <c r="L616" s="230"/>
      <c r="M616" s="230"/>
    </row>
    <row r="617">
      <c r="A617" s="230"/>
      <c r="B617" s="230"/>
      <c r="C617" s="230"/>
      <c r="D617" s="230"/>
      <c r="E617" s="230"/>
      <c r="F617" s="230"/>
      <c r="G617" s="230"/>
      <c r="H617" s="230"/>
      <c r="I617" s="230"/>
      <c r="J617" s="230"/>
      <c r="K617" s="230"/>
      <c r="L617" s="230"/>
      <c r="M617" s="230"/>
    </row>
    <row r="618">
      <c r="A618" s="230"/>
      <c r="B618" s="230"/>
      <c r="C618" s="230"/>
      <c r="D618" s="230"/>
      <c r="E618" s="230"/>
      <c r="F618" s="230"/>
      <c r="G618" s="230"/>
      <c r="H618" s="230"/>
      <c r="I618" s="230"/>
      <c r="J618" s="230"/>
      <c r="K618" s="230"/>
      <c r="L618" s="230"/>
      <c r="M618" s="230"/>
    </row>
    <row r="619">
      <c r="A619" s="230"/>
      <c r="B619" s="230"/>
      <c r="C619" s="230"/>
      <c r="D619" s="230"/>
      <c r="E619" s="230"/>
      <c r="F619" s="230"/>
      <c r="G619" s="230"/>
      <c r="H619" s="230"/>
      <c r="I619" s="230"/>
      <c r="J619" s="230"/>
      <c r="K619" s="230"/>
      <c r="L619" s="230"/>
      <c r="M619" s="230"/>
    </row>
    <row r="620">
      <c r="A620" s="230"/>
      <c r="B620" s="230"/>
      <c r="C620" s="230"/>
      <c r="D620" s="230"/>
      <c r="E620" s="230"/>
      <c r="F620" s="230"/>
      <c r="G620" s="230"/>
      <c r="H620" s="230"/>
      <c r="I620" s="230"/>
      <c r="J620" s="230"/>
      <c r="K620" s="230"/>
      <c r="L620" s="230"/>
      <c r="M620" s="230"/>
    </row>
    <row r="621">
      <c r="A621" s="230"/>
      <c r="B621" s="230"/>
      <c r="C621" s="230"/>
      <c r="D621" s="230"/>
      <c r="E621" s="230"/>
      <c r="F621" s="230"/>
      <c r="G621" s="230"/>
      <c r="H621" s="230"/>
      <c r="I621" s="230"/>
      <c r="J621" s="230"/>
      <c r="K621" s="230"/>
      <c r="L621" s="230"/>
      <c r="M621" s="230"/>
    </row>
    <row r="622">
      <c r="A622" s="230"/>
      <c r="B622" s="230"/>
      <c r="C622" s="230"/>
      <c r="D622" s="230"/>
      <c r="E622" s="230"/>
      <c r="F622" s="230"/>
      <c r="G622" s="230"/>
      <c r="H622" s="230"/>
      <c r="I622" s="230"/>
      <c r="J622" s="230"/>
      <c r="K622" s="230"/>
      <c r="L622" s="230"/>
      <c r="M622" s="230"/>
    </row>
    <row r="623">
      <c r="A623" s="230"/>
      <c r="B623" s="230"/>
      <c r="C623" s="230"/>
      <c r="D623" s="230"/>
      <c r="E623" s="230"/>
      <c r="F623" s="230"/>
      <c r="G623" s="230"/>
      <c r="H623" s="230"/>
      <c r="I623" s="230"/>
      <c r="J623" s="230"/>
      <c r="K623" s="230"/>
      <c r="L623" s="230"/>
      <c r="M623" s="230"/>
    </row>
    <row r="624">
      <c r="A624" s="230"/>
      <c r="B624" s="230"/>
      <c r="C624" s="230"/>
      <c r="D624" s="230"/>
      <c r="E624" s="230"/>
      <c r="F624" s="230"/>
      <c r="G624" s="230"/>
      <c r="H624" s="230"/>
      <c r="I624" s="230"/>
      <c r="J624" s="230"/>
      <c r="K624" s="230"/>
      <c r="L624" s="230"/>
      <c r="M624" s="230"/>
    </row>
    <row r="625">
      <c r="A625" s="230"/>
      <c r="B625" s="230"/>
      <c r="C625" s="230"/>
      <c r="D625" s="230"/>
      <c r="E625" s="230"/>
      <c r="F625" s="230"/>
      <c r="G625" s="230"/>
      <c r="H625" s="230"/>
      <c r="I625" s="230"/>
      <c r="J625" s="230"/>
      <c r="K625" s="230"/>
      <c r="L625" s="230"/>
      <c r="M625" s="230"/>
    </row>
    <row r="626">
      <c r="A626" s="230"/>
      <c r="B626" s="230"/>
      <c r="C626" s="230"/>
      <c r="D626" s="230"/>
      <c r="E626" s="230"/>
      <c r="F626" s="230"/>
      <c r="G626" s="230"/>
      <c r="H626" s="230"/>
      <c r="I626" s="230"/>
      <c r="J626" s="230"/>
      <c r="K626" s="230"/>
      <c r="L626" s="230"/>
      <c r="M626" s="230"/>
    </row>
    <row r="627">
      <c r="A627" s="230"/>
      <c r="B627" s="230"/>
      <c r="C627" s="230"/>
      <c r="D627" s="230"/>
      <c r="E627" s="230"/>
      <c r="F627" s="230"/>
      <c r="G627" s="230"/>
      <c r="H627" s="230"/>
      <c r="I627" s="230"/>
      <c r="J627" s="230"/>
      <c r="K627" s="230"/>
      <c r="L627" s="230"/>
      <c r="M627" s="230"/>
    </row>
    <row r="628">
      <c r="A628" s="230"/>
      <c r="B628" s="230"/>
      <c r="C628" s="230"/>
      <c r="D628" s="230"/>
      <c r="E628" s="230"/>
      <c r="F628" s="230"/>
      <c r="G628" s="230"/>
      <c r="H628" s="230"/>
      <c r="I628" s="230"/>
      <c r="J628" s="230"/>
      <c r="K628" s="230"/>
      <c r="L628" s="230"/>
      <c r="M628" s="230"/>
    </row>
    <row r="629">
      <c r="A629" s="230"/>
      <c r="B629" s="230"/>
      <c r="C629" s="230"/>
      <c r="D629" s="230"/>
      <c r="E629" s="230"/>
      <c r="F629" s="230"/>
      <c r="G629" s="230"/>
      <c r="H629" s="230"/>
      <c r="I629" s="230"/>
      <c r="J629" s="230"/>
      <c r="K629" s="230"/>
      <c r="L629" s="230"/>
      <c r="M629" s="230"/>
    </row>
    <row r="630">
      <c r="A630" s="230"/>
      <c r="B630" s="230"/>
      <c r="C630" s="230"/>
      <c r="D630" s="230"/>
      <c r="E630" s="230"/>
      <c r="F630" s="230"/>
      <c r="G630" s="230"/>
      <c r="H630" s="230"/>
      <c r="I630" s="230"/>
      <c r="J630" s="230"/>
      <c r="K630" s="230"/>
      <c r="L630" s="230"/>
      <c r="M630" s="230"/>
    </row>
    <row r="631">
      <c r="A631" s="230"/>
      <c r="B631" s="230"/>
      <c r="C631" s="230"/>
      <c r="D631" s="230"/>
      <c r="E631" s="230"/>
      <c r="F631" s="230"/>
      <c r="G631" s="230"/>
      <c r="H631" s="230"/>
      <c r="I631" s="230"/>
      <c r="J631" s="230"/>
      <c r="K631" s="230"/>
      <c r="L631" s="230"/>
      <c r="M631" s="230"/>
    </row>
    <row r="632">
      <c r="A632" s="230"/>
      <c r="B632" s="230"/>
      <c r="C632" s="230"/>
      <c r="D632" s="230"/>
      <c r="E632" s="230"/>
      <c r="F632" s="230"/>
      <c r="G632" s="230"/>
      <c r="H632" s="230"/>
      <c r="I632" s="230"/>
      <c r="J632" s="230"/>
      <c r="K632" s="230"/>
      <c r="L632" s="230"/>
      <c r="M632" s="230"/>
    </row>
    <row r="633">
      <c r="A633" s="230"/>
      <c r="B633" s="230"/>
      <c r="C633" s="230"/>
      <c r="D633" s="230"/>
      <c r="E633" s="230"/>
      <c r="F633" s="230"/>
      <c r="G633" s="230"/>
      <c r="H633" s="230"/>
      <c r="I633" s="230"/>
      <c r="J633" s="230"/>
      <c r="K633" s="230"/>
      <c r="L633" s="230"/>
      <c r="M633" s="230"/>
    </row>
    <row r="634">
      <c r="A634" s="230"/>
      <c r="B634" s="230"/>
      <c r="C634" s="230"/>
      <c r="D634" s="230"/>
      <c r="E634" s="230"/>
      <c r="F634" s="230"/>
      <c r="G634" s="230"/>
      <c r="H634" s="230"/>
      <c r="I634" s="230"/>
      <c r="J634" s="230"/>
      <c r="K634" s="230"/>
      <c r="L634" s="230"/>
      <c r="M634" s="230"/>
    </row>
    <row r="635">
      <c r="A635" s="230"/>
      <c r="B635" s="230"/>
      <c r="C635" s="230"/>
      <c r="D635" s="230"/>
      <c r="E635" s="230"/>
      <c r="F635" s="230"/>
      <c r="G635" s="230"/>
      <c r="H635" s="230"/>
      <c r="I635" s="230"/>
      <c r="J635" s="230"/>
      <c r="K635" s="230"/>
      <c r="L635" s="230"/>
      <c r="M635" s="230"/>
    </row>
    <row r="636">
      <c r="A636" s="230"/>
      <c r="B636" s="230"/>
      <c r="C636" s="230"/>
      <c r="D636" s="230"/>
      <c r="E636" s="230"/>
      <c r="F636" s="230"/>
      <c r="G636" s="230"/>
      <c r="H636" s="230"/>
      <c r="I636" s="230"/>
      <c r="J636" s="230"/>
      <c r="K636" s="230"/>
      <c r="L636" s="230"/>
      <c r="M636" s="230"/>
    </row>
    <row r="637">
      <c r="A637" s="230"/>
      <c r="B637" s="230"/>
      <c r="C637" s="230"/>
      <c r="D637" s="230"/>
      <c r="E637" s="230"/>
      <c r="F637" s="230"/>
      <c r="G637" s="230"/>
      <c r="H637" s="230"/>
      <c r="I637" s="230"/>
      <c r="J637" s="230"/>
      <c r="K637" s="230"/>
      <c r="L637" s="230"/>
      <c r="M637" s="230"/>
    </row>
    <row r="638">
      <c r="A638" s="230"/>
      <c r="B638" s="230"/>
      <c r="C638" s="230"/>
      <c r="D638" s="230"/>
      <c r="E638" s="230"/>
      <c r="F638" s="230"/>
      <c r="G638" s="230"/>
      <c r="H638" s="230"/>
      <c r="I638" s="230"/>
      <c r="J638" s="230"/>
      <c r="K638" s="230"/>
      <c r="L638" s="230"/>
      <c r="M638" s="230"/>
    </row>
    <row r="639">
      <c r="A639" s="230"/>
      <c r="B639" s="230"/>
      <c r="C639" s="230"/>
      <c r="D639" s="230"/>
      <c r="E639" s="230"/>
      <c r="F639" s="230"/>
      <c r="G639" s="230"/>
      <c r="H639" s="230"/>
      <c r="I639" s="230"/>
      <c r="J639" s="230"/>
      <c r="K639" s="230"/>
      <c r="L639" s="230"/>
      <c r="M639" s="230"/>
    </row>
    <row r="640">
      <c r="A640" s="230"/>
      <c r="B640" s="230"/>
      <c r="C640" s="230"/>
      <c r="D640" s="230"/>
      <c r="E640" s="230"/>
      <c r="F640" s="230"/>
      <c r="G640" s="230"/>
      <c r="H640" s="230"/>
      <c r="I640" s="230"/>
      <c r="J640" s="230"/>
      <c r="K640" s="230"/>
      <c r="L640" s="230"/>
      <c r="M640" s="230"/>
    </row>
    <row r="641">
      <c r="A641" s="230"/>
      <c r="B641" s="230"/>
      <c r="C641" s="230"/>
      <c r="D641" s="230"/>
      <c r="E641" s="230"/>
      <c r="F641" s="230"/>
      <c r="G641" s="230"/>
      <c r="H641" s="230"/>
      <c r="I641" s="230"/>
      <c r="J641" s="230"/>
      <c r="K641" s="230"/>
      <c r="L641" s="230"/>
      <c r="M641" s="230"/>
    </row>
    <row r="642">
      <c r="A642" s="230"/>
      <c r="B642" s="230"/>
      <c r="C642" s="230"/>
      <c r="D642" s="230"/>
      <c r="E642" s="230"/>
      <c r="F642" s="230"/>
      <c r="G642" s="230"/>
      <c r="H642" s="230"/>
      <c r="I642" s="230"/>
      <c r="J642" s="230"/>
      <c r="K642" s="230"/>
      <c r="L642" s="230"/>
      <c r="M642" s="230"/>
    </row>
    <row r="643">
      <c r="A643" s="230"/>
      <c r="B643" s="230"/>
      <c r="C643" s="230"/>
      <c r="D643" s="230"/>
      <c r="E643" s="230"/>
      <c r="F643" s="230"/>
      <c r="G643" s="230"/>
      <c r="H643" s="230"/>
      <c r="I643" s="230"/>
      <c r="J643" s="230"/>
      <c r="K643" s="230"/>
      <c r="L643" s="230"/>
      <c r="M643" s="230"/>
    </row>
    <row r="644">
      <c r="A644" s="230"/>
      <c r="B644" s="230"/>
      <c r="C644" s="230"/>
      <c r="D644" s="230"/>
      <c r="E644" s="230"/>
      <c r="F644" s="230"/>
      <c r="G644" s="230"/>
      <c r="H644" s="230"/>
      <c r="I644" s="230"/>
      <c r="J644" s="230"/>
      <c r="K644" s="230"/>
      <c r="L644" s="230"/>
      <c r="M644" s="230"/>
    </row>
    <row r="645">
      <c r="A645" s="230"/>
      <c r="B645" s="230"/>
      <c r="C645" s="230"/>
      <c r="D645" s="230"/>
      <c r="E645" s="230"/>
      <c r="F645" s="230"/>
      <c r="G645" s="230"/>
      <c r="H645" s="230"/>
      <c r="I645" s="230"/>
      <c r="J645" s="230"/>
      <c r="K645" s="230"/>
      <c r="L645" s="230"/>
      <c r="M645" s="230"/>
    </row>
    <row r="646">
      <c r="A646" s="230"/>
      <c r="B646" s="230"/>
      <c r="C646" s="230"/>
      <c r="D646" s="230"/>
      <c r="E646" s="230"/>
      <c r="F646" s="230"/>
      <c r="G646" s="230"/>
      <c r="H646" s="230"/>
      <c r="I646" s="230"/>
      <c r="J646" s="230"/>
      <c r="K646" s="230"/>
      <c r="L646" s="230"/>
      <c r="M646" s="230"/>
    </row>
    <row r="647">
      <c r="A647" s="230"/>
      <c r="B647" s="230"/>
      <c r="C647" s="230"/>
      <c r="D647" s="230"/>
      <c r="E647" s="230"/>
      <c r="F647" s="230"/>
      <c r="G647" s="230"/>
      <c r="H647" s="230"/>
      <c r="I647" s="230"/>
      <c r="J647" s="230"/>
      <c r="K647" s="230"/>
      <c r="L647" s="230"/>
      <c r="M647" s="230"/>
    </row>
    <row r="648">
      <c r="A648" s="230"/>
      <c r="B648" s="230"/>
      <c r="C648" s="230"/>
      <c r="D648" s="230"/>
      <c r="E648" s="230"/>
      <c r="F648" s="230"/>
      <c r="G648" s="230"/>
      <c r="H648" s="230"/>
      <c r="I648" s="230"/>
      <c r="J648" s="230"/>
      <c r="K648" s="230"/>
      <c r="L648" s="230"/>
      <c r="M648" s="230"/>
    </row>
    <row r="649">
      <c r="A649" s="230"/>
      <c r="B649" s="230"/>
      <c r="C649" s="230"/>
      <c r="D649" s="230"/>
      <c r="E649" s="230"/>
      <c r="F649" s="230"/>
      <c r="G649" s="230"/>
      <c r="H649" s="230"/>
      <c r="I649" s="230"/>
      <c r="J649" s="230"/>
      <c r="K649" s="230"/>
      <c r="L649" s="230"/>
      <c r="M649" s="230"/>
    </row>
    <row r="650">
      <c r="A650" s="230"/>
      <c r="B650" s="230"/>
      <c r="C650" s="230"/>
      <c r="D650" s="230"/>
      <c r="E650" s="230"/>
      <c r="F650" s="230"/>
      <c r="G650" s="230"/>
      <c r="H650" s="230"/>
      <c r="I650" s="230"/>
      <c r="J650" s="230"/>
      <c r="K650" s="230"/>
      <c r="L650" s="230"/>
      <c r="M650" s="230"/>
    </row>
    <row r="651">
      <c r="A651" s="230"/>
      <c r="B651" s="230"/>
      <c r="C651" s="230"/>
      <c r="D651" s="230"/>
      <c r="E651" s="230"/>
      <c r="F651" s="230"/>
      <c r="G651" s="230"/>
      <c r="H651" s="230"/>
      <c r="I651" s="230"/>
      <c r="J651" s="230"/>
      <c r="K651" s="230"/>
      <c r="L651" s="230"/>
      <c r="M651" s="230"/>
    </row>
    <row r="652">
      <c r="A652" s="230"/>
      <c r="B652" s="230"/>
      <c r="C652" s="230"/>
      <c r="D652" s="230"/>
      <c r="E652" s="230"/>
      <c r="F652" s="230"/>
      <c r="G652" s="230"/>
      <c r="H652" s="230"/>
      <c r="I652" s="230"/>
      <c r="J652" s="230"/>
      <c r="K652" s="230"/>
      <c r="L652" s="230"/>
      <c r="M652" s="230"/>
    </row>
    <row r="653">
      <c r="A653" s="230"/>
      <c r="B653" s="230"/>
      <c r="C653" s="230"/>
      <c r="D653" s="230"/>
      <c r="E653" s="230"/>
      <c r="F653" s="230"/>
      <c r="G653" s="230"/>
      <c r="H653" s="230"/>
      <c r="I653" s="230"/>
      <c r="J653" s="230"/>
      <c r="K653" s="230"/>
      <c r="L653" s="230"/>
      <c r="M653" s="230"/>
    </row>
    <row r="654">
      <c r="A654" s="230"/>
      <c r="B654" s="230"/>
      <c r="C654" s="230"/>
      <c r="D654" s="230"/>
      <c r="E654" s="230"/>
      <c r="F654" s="230"/>
      <c r="G654" s="230"/>
      <c r="H654" s="230"/>
      <c r="I654" s="230"/>
      <c r="J654" s="230"/>
      <c r="K654" s="230"/>
      <c r="L654" s="230"/>
      <c r="M654" s="230"/>
    </row>
    <row r="655">
      <c r="A655" s="230"/>
      <c r="B655" s="230"/>
      <c r="C655" s="230"/>
      <c r="D655" s="230"/>
      <c r="E655" s="230"/>
      <c r="F655" s="230"/>
      <c r="G655" s="230"/>
      <c r="H655" s="230"/>
      <c r="I655" s="230"/>
      <c r="J655" s="230"/>
      <c r="K655" s="230"/>
      <c r="L655" s="230"/>
      <c r="M655" s="230"/>
    </row>
    <row r="656">
      <c r="A656" s="230"/>
      <c r="B656" s="230"/>
      <c r="C656" s="230"/>
      <c r="D656" s="230"/>
      <c r="E656" s="230"/>
      <c r="F656" s="230"/>
      <c r="G656" s="230"/>
      <c r="H656" s="230"/>
      <c r="I656" s="230"/>
      <c r="J656" s="230"/>
      <c r="K656" s="230"/>
      <c r="L656" s="230"/>
      <c r="M656" s="230"/>
    </row>
    <row r="657">
      <c r="A657" s="230"/>
      <c r="B657" s="230"/>
      <c r="C657" s="230"/>
      <c r="D657" s="230"/>
      <c r="E657" s="230"/>
      <c r="F657" s="230"/>
      <c r="G657" s="230"/>
      <c r="H657" s="230"/>
      <c r="I657" s="230"/>
      <c r="J657" s="230"/>
      <c r="K657" s="230"/>
      <c r="L657" s="230"/>
      <c r="M657" s="230"/>
    </row>
    <row r="658">
      <c r="A658" s="230"/>
      <c r="B658" s="230"/>
      <c r="C658" s="230"/>
      <c r="D658" s="230"/>
      <c r="E658" s="230"/>
      <c r="F658" s="230"/>
      <c r="G658" s="230"/>
      <c r="H658" s="230"/>
      <c r="I658" s="230"/>
      <c r="J658" s="230"/>
      <c r="K658" s="230"/>
      <c r="L658" s="230"/>
      <c r="M658" s="230"/>
    </row>
    <row r="659">
      <c r="A659" s="230"/>
      <c r="B659" s="230"/>
      <c r="C659" s="230"/>
      <c r="D659" s="230"/>
      <c r="E659" s="230"/>
      <c r="F659" s="230"/>
      <c r="G659" s="230"/>
      <c r="H659" s="230"/>
      <c r="I659" s="230"/>
      <c r="J659" s="230"/>
      <c r="K659" s="230"/>
      <c r="L659" s="230"/>
      <c r="M659" s="230"/>
    </row>
    <row r="660">
      <c r="A660" s="230"/>
      <c r="B660" s="230"/>
      <c r="C660" s="230"/>
      <c r="D660" s="230"/>
      <c r="E660" s="230"/>
      <c r="F660" s="230"/>
      <c r="G660" s="230"/>
      <c r="H660" s="230"/>
      <c r="I660" s="230"/>
      <c r="J660" s="230"/>
      <c r="K660" s="230"/>
      <c r="L660" s="230"/>
      <c r="M660" s="230"/>
    </row>
    <row r="661">
      <c r="A661" s="230"/>
      <c r="B661" s="230"/>
      <c r="C661" s="230"/>
      <c r="D661" s="230"/>
      <c r="E661" s="230"/>
      <c r="F661" s="230"/>
      <c r="G661" s="230"/>
      <c r="H661" s="230"/>
      <c r="I661" s="230"/>
      <c r="J661" s="230"/>
      <c r="K661" s="230"/>
      <c r="L661" s="230"/>
      <c r="M661" s="230"/>
    </row>
    <row r="662">
      <c r="A662" s="230"/>
      <c r="B662" s="230"/>
      <c r="C662" s="230"/>
      <c r="D662" s="230"/>
      <c r="E662" s="230"/>
      <c r="F662" s="230"/>
      <c r="G662" s="230"/>
      <c r="H662" s="230"/>
      <c r="I662" s="230"/>
      <c r="J662" s="230"/>
      <c r="K662" s="230"/>
      <c r="L662" s="230"/>
      <c r="M662" s="230"/>
    </row>
    <row r="663">
      <c r="A663" s="230"/>
      <c r="B663" s="230"/>
      <c r="C663" s="230"/>
      <c r="D663" s="230"/>
      <c r="E663" s="230"/>
      <c r="F663" s="230"/>
      <c r="G663" s="230"/>
      <c r="H663" s="230"/>
      <c r="I663" s="230"/>
      <c r="J663" s="230"/>
      <c r="K663" s="230"/>
      <c r="L663" s="230"/>
      <c r="M663" s="230"/>
    </row>
    <row r="664">
      <c r="A664" s="230"/>
      <c r="B664" s="230"/>
      <c r="C664" s="230"/>
      <c r="D664" s="230"/>
      <c r="E664" s="230"/>
      <c r="F664" s="230"/>
      <c r="G664" s="230"/>
      <c r="H664" s="230"/>
      <c r="I664" s="230"/>
      <c r="J664" s="230"/>
      <c r="K664" s="230"/>
      <c r="L664" s="230"/>
      <c r="M664" s="230"/>
    </row>
    <row r="665">
      <c r="A665" s="230"/>
      <c r="B665" s="230"/>
      <c r="C665" s="230"/>
      <c r="D665" s="230"/>
      <c r="E665" s="230"/>
      <c r="F665" s="230"/>
      <c r="G665" s="230"/>
      <c r="H665" s="230"/>
      <c r="I665" s="230"/>
      <c r="J665" s="230"/>
      <c r="K665" s="230"/>
      <c r="L665" s="230"/>
      <c r="M665" s="230"/>
    </row>
    <row r="666">
      <c r="A666" s="230"/>
      <c r="B666" s="230"/>
      <c r="C666" s="230"/>
      <c r="D666" s="230"/>
      <c r="E666" s="230"/>
      <c r="F666" s="230"/>
      <c r="G666" s="230"/>
      <c r="H666" s="230"/>
      <c r="I666" s="230"/>
      <c r="J666" s="230"/>
      <c r="K666" s="230"/>
      <c r="L666" s="230"/>
      <c r="M666" s="230"/>
    </row>
    <row r="667">
      <c r="A667" s="230"/>
      <c r="B667" s="230"/>
      <c r="C667" s="230"/>
      <c r="D667" s="230"/>
      <c r="E667" s="230"/>
      <c r="F667" s="230"/>
      <c r="G667" s="230"/>
      <c r="H667" s="230"/>
      <c r="I667" s="230"/>
      <c r="J667" s="230"/>
      <c r="K667" s="230"/>
      <c r="L667" s="230"/>
      <c r="M667" s="230"/>
    </row>
    <row r="668">
      <c r="A668" s="230"/>
      <c r="B668" s="230"/>
      <c r="C668" s="230"/>
      <c r="D668" s="230"/>
      <c r="E668" s="230"/>
      <c r="F668" s="230"/>
      <c r="G668" s="230"/>
      <c r="H668" s="230"/>
      <c r="I668" s="230"/>
      <c r="J668" s="230"/>
      <c r="K668" s="230"/>
      <c r="L668" s="230"/>
      <c r="M668" s="230"/>
    </row>
    <row r="669">
      <c r="A669" s="230"/>
      <c r="B669" s="230"/>
      <c r="C669" s="230"/>
      <c r="D669" s="230"/>
      <c r="E669" s="230"/>
      <c r="F669" s="230"/>
      <c r="G669" s="230"/>
      <c r="H669" s="230"/>
      <c r="I669" s="230"/>
      <c r="J669" s="230"/>
      <c r="K669" s="230"/>
      <c r="L669" s="230"/>
      <c r="M669" s="230"/>
    </row>
    <row r="670">
      <c r="A670" s="230"/>
      <c r="B670" s="230"/>
      <c r="C670" s="230"/>
      <c r="D670" s="230"/>
      <c r="E670" s="230"/>
      <c r="F670" s="230"/>
      <c r="G670" s="230"/>
      <c r="H670" s="230"/>
      <c r="I670" s="230"/>
      <c r="J670" s="230"/>
      <c r="K670" s="230"/>
      <c r="L670" s="230"/>
      <c r="M670" s="230"/>
    </row>
    <row r="671">
      <c r="A671" s="230"/>
      <c r="B671" s="230"/>
      <c r="C671" s="230"/>
      <c r="D671" s="230"/>
      <c r="E671" s="230"/>
      <c r="F671" s="230"/>
      <c r="G671" s="230"/>
      <c r="H671" s="230"/>
      <c r="I671" s="230"/>
      <c r="J671" s="230"/>
      <c r="K671" s="230"/>
      <c r="L671" s="230"/>
      <c r="M671" s="230"/>
    </row>
    <row r="672">
      <c r="A672" s="230"/>
      <c r="B672" s="230"/>
      <c r="C672" s="230"/>
      <c r="D672" s="230"/>
      <c r="E672" s="230"/>
      <c r="F672" s="230"/>
      <c r="G672" s="230"/>
      <c r="H672" s="230"/>
      <c r="I672" s="230"/>
      <c r="J672" s="230"/>
      <c r="K672" s="230"/>
      <c r="L672" s="230"/>
      <c r="M672" s="230"/>
    </row>
    <row r="673">
      <c r="A673" s="230"/>
      <c r="B673" s="230"/>
      <c r="C673" s="230"/>
      <c r="D673" s="230"/>
      <c r="E673" s="230"/>
      <c r="F673" s="230"/>
      <c r="G673" s="230"/>
      <c r="H673" s="230"/>
      <c r="I673" s="230"/>
      <c r="J673" s="230"/>
      <c r="K673" s="230"/>
      <c r="L673" s="230"/>
      <c r="M673" s="230"/>
    </row>
    <row r="674">
      <c r="A674" s="230"/>
      <c r="B674" s="230"/>
      <c r="C674" s="230"/>
      <c r="D674" s="230"/>
      <c r="E674" s="230"/>
      <c r="F674" s="230"/>
      <c r="G674" s="230"/>
      <c r="H674" s="230"/>
      <c r="I674" s="230"/>
      <c r="J674" s="230"/>
      <c r="K674" s="230"/>
      <c r="L674" s="230"/>
      <c r="M674" s="230"/>
    </row>
    <row r="675">
      <c r="A675" s="230"/>
      <c r="B675" s="230"/>
      <c r="C675" s="230"/>
      <c r="D675" s="230"/>
      <c r="E675" s="230"/>
      <c r="F675" s="230"/>
      <c r="G675" s="230"/>
      <c r="H675" s="230"/>
      <c r="I675" s="230"/>
      <c r="J675" s="230"/>
      <c r="K675" s="230"/>
      <c r="L675" s="230"/>
      <c r="M675" s="230"/>
    </row>
    <row r="676">
      <c r="A676" s="230"/>
      <c r="B676" s="230"/>
      <c r="C676" s="230"/>
      <c r="D676" s="230"/>
      <c r="E676" s="230"/>
      <c r="F676" s="230"/>
      <c r="G676" s="230"/>
      <c r="H676" s="230"/>
      <c r="I676" s="230"/>
      <c r="J676" s="230"/>
      <c r="K676" s="230"/>
      <c r="L676" s="230"/>
      <c r="M676" s="230"/>
    </row>
    <row r="677">
      <c r="A677" s="230"/>
      <c r="B677" s="230"/>
      <c r="C677" s="230"/>
      <c r="D677" s="230"/>
      <c r="E677" s="230"/>
      <c r="F677" s="230"/>
      <c r="G677" s="230"/>
      <c r="H677" s="230"/>
      <c r="I677" s="230"/>
      <c r="J677" s="230"/>
      <c r="K677" s="230"/>
      <c r="L677" s="230"/>
      <c r="M677" s="230"/>
    </row>
    <row r="678">
      <c r="A678" s="230"/>
      <c r="B678" s="230"/>
      <c r="C678" s="230"/>
      <c r="D678" s="230"/>
      <c r="E678" s="230"/>
      <c r="F678" s="230"/>
      <c r="G678" s="230"/>
      <c r="H678" s="230"/>
      <c r="I678" s="230"/>
      <c r="J678" s="230"/>
      <c r="K678" s="230"/>
      <c r="L678" s="230"/>
      <c r="M678" s="230"/>
    </row>
    <row r="679">
      <c r="A679" s="230"/>
      <c r="B679" s="230"/>
      <c r="C679" s="230"/>
      <c r="D679" s="230"/>
      <c r="E679" s="230"/>
      <c r="F679" s="230"/>
      <c r="G679" s="230"/>
      <c r="H679" s="230"/>
      <c r="I679" s="230"/>
      <c r="J679" s="230"/>
      <c r="K679" s="230"/>
      <c r="L679" s="230"/>
      <c r="M679" s="230"/>
    </row>
    <row r="680">
      <c r="A680" s="230"/>
      <c r="B680" s="230"/>
      <c r="C680" s="230"/>
      <c r="D680" s="230"/>
      <c r="E680" s="230"/>
      <c r="F680" s="230"/>
      <c r="G680" s="230"/>
      <c r="H680" s="230"/>
      <c r="I680" s="230"/>
      <c r="J680" s="230"/>
      <c r="K680" s="230"/>
      <c r="L680" s="230"/>
      <c r="M680" s="230"/>
    </row>
    <row r="681">
      <c r="A681" s="230"/>
      <c r="B681" s="230"/>
      <c r="C681" s="230"/>
      <c r="D681" s="230"/>
      <c r="E681" s="230"/>
      <c r="F681" s="230"/>
      <c r="G681" s="230"/>
      <c r="H681" s="230"/>
      <c r="I681" s="230"/>
      <c r="J681" s="230"/>
      <c r="K681" s="230"/>
      <c r="L681" s="230"/>
      <c r="M681" s="230"/>
    </row>
    <row r="682">
      <c r="A682" s="230"/>
      <c r="B682" s="230"/>
      <c r="C682" s="230"/>
      <c r="D682" s="230"/>
      <c r="E682" s="230"/>
      <c r="F682" s="230"/>
      <c r="G682" s="230"/>
      <c r="H682" s="230"/>
      <c r="I682" s="230"/>
      <c r="J682" s="230"/>
      <c r="K682" s="230"/>
      <c r="L682" s="230"/>
      <c r="M682" s="230"/>
    </row>
    <row r="683">
      <c r="A683" s="230"/>
      <c r="B683" s="230"/>
      <c r="C683" s="230"/>
      <c r="D683" s="230"/>
      <c r="E683" s="230"/>
      <c r="F683" s="230"/>
      <c r="G683" s="230"/>
      <c r="H683" s="230"/>
      <c r="I683" s="230"/>
      <c r="J683" s="230"/>
      <c r="K683" s="230"/>
      <c r="L683" s="230"/>
      <c r="M683" s="230"/>
    </row>
    <row r="684">
      <c r="A684" s="230"/>
      <c r="B684" s="230"/>
      <c r="C684" s="230"/>
      <c r="D684" s="230"/>
      <c r="E684" s="230"/>
      <c r="F684" s="230"/>
      <c r="G684" s="230"/>
      <c r="H684" s="230"/>
      <c r="I684" s="230"/>
      <c r="J684" s="230"/>
      <c r="K684" s="230"/>
      <c r="L684" s="230"/>
      <c r="M684" s="230"/>
    </row>
    <row r="685">
      <c r="A685" s="230"/>
      <c r="B685" s="230"/>
      <c r="C685" s="230"/>
      <c r="D685" s="230"/>
      <c r="E685" s="230"/>
      <c r="F685" s="230"/>
      <c r="G685" s="230"/>
      <c r="H685" s="230"/>
      <c r="I685" s="230"/>
      <c r="J685" s="230"/>
      <c r="K685" s="230"/>
      <c r="L685" s="230"/>
      <c r="M685" s="230"/>
    </row>
    <row r="686">
      <c r="A686" s="230"/>
      <c r="B686" s="230"/>
      <c r="C686" s="230"/>
      <c r="D686" s="230"/>
      <c r="E686" s="230"/>
      <c r="F686" s="230"/>
      <c r="G686" s="230"/>
      <c r="H686" s="230"/>
      <c r="I686" s="230"/>
      <c r="J686" s="230"/>
      <c r="K686" s="230"/>
      <c r="L686" s="230"/>
      <c r="M686" s="230"/>
    </row>
    <row r="687">
      <c r="A687" s="230"/>
      <c r="B687" s="230"/>
      <c r="C687" s="230"/>
      <c r="D687" s="230"/>
      <c r="E687" s="230"/>
      <c r="F687" s="230"/>
      <c r="G687" s="230"/>
      <c r="H687" s="230"/>
      <c r="I687" s="230"/>
      <c r="J687" s="230"/>
      <c r="K687" s="230"/>
      <c r="L687" s="230"/>
      <c r="M687" s="230"/>
    </row>
    <row r="688">
      <c r="A688" s="230"/>
      <c r="B688" s="230"/>
      <c r="C688" s="230"/>
      <c r="D688" s="230"/>
      <c r="E688" s="230"/>
      <c r="F688" s="230"/>
      <c r="G688" s="230"/>
      <c r="H688" s="230"/>
      <c r="I688" s="230"/>
      <c r="J688" s="230"/>
      <c r="K688" s="230"/>
      <c r="L688" s="230"/>
      <c r="M688" s="230"/>
    </row>
    <row r="689">
      <c r="A689" s="230"/>
      <c r="B689" s="230"/>
      <c r="C689" s="230"/>
      <c r="D689" s="230"/>
      <c r="E689" s="230"/>
      <c r="F689" s="230"/>
      <c r="G689" s="230"/>
      <c r="H689" s="230"/>
      <c r="I689" s="230"/>
      <c r="J689" s="230"/>
      <c r="K689" s="230"/>
      <c r="L689" s="230"/>
      <c r="M689" s="230"/>
    </row>
    <row r="690">
      <c r="A690" s="230"/>
      <c r="B690" s="230"/>
      <c r="C690" s="230"/>
      <c r="D690" s="230"/>
      <c r="E690" s="230"/>
      <c r="F690" s="230"/>
      <c r="G690" s="230"/>
      <c r="H690" s="230"/>
      <c r="I690" s="230"/>
      <c r="J690" s="230"/>
      <c r="K690" s="230"/>
      <c r="L690" s="230"/>
      <c r="M690" s="230"/>
    </row>
    <row r="691">
      <c r="A691" s="230"/>
      <c r="B691" s="230"/>
      <c r="C691" s="230"/>
      <c r="D691" s="230"/>
      <c r="E691" s="230"/>
      <c r="F691" s="230"/>
      <c r="G691" s="230"/>
      <c r="H691" s="230"/>
      <c r="I691" s="230"/>
      <c r="J691" s="230"/>
      <c r="K691" s="230"/>
      <c r="L691" s="230"/>
      <c r="M691" s="230"/>
    </row>
    <row r="692">
      <c r="A692" s="230"/>
      <c r="B692" s="230"/>
      <c r="C692" s="230"/>
      <c r="D692" s="230"/>
      <c r="E692" s="230"/>
      <c r="F692" s="230"/>
      <c r="G692" s="230"/>
      <c r="H692" s="230"/>
      <c r="I692" s="230"/>
      <c r="J692" s="230"/>
      <c r="K692" s="230"/>
      <c r="L692" s="230"/>
      <c r="M692" s="230"/>
    </row>
    <row r="693">
      <c r="A693" s="230"/>
      <c r="B693" s="230"/>
      <c r="C693" s="230"/>
      <c r="D693" s="230"/>
      <c r="E693" s="230"/>
      <c r="F693" s="230"/>
      <c r="G693" s="230"/>
      <c r="H693" s="230"/>
      <c r="I693" s="230"/>
      <c r="J693" s="230"/>
      <c r="K693" s="230"/>
      <c r="L693" s="230"/>
      <c r="M693" s="230"/>
    </row>
    <row r="694">
      <c r="A694" s="230"/>
      <c r="B694" s="230"/>
      <c r="C694" s="230"/>
      <c r="D694" s="230"/>
      <c r="E694" s="230"/>
      <c r="F694" s="230"/>
      <c r="G694" s="230"/>
      <c r="H694" s="230"/>
      <c r="I694" s="230"/>
      <c r="J694" s="230"/>
      <c r="K694" s="230"/>
      <c r="L694" s="230"/>
      <c r="M694" s="230"/>
    </row>
    <row r="695">
      <c r="A695" s="230"/>
      <c r="B695" s="230"/>
      <c r="C695" s="230"/>
      <c r="D695" s="230"/>
      <c r="E695" s="230"/>
      <c r="F695" s="230"/>
      <c r="G695" s="230"/>
      <c r="H695" s="230"/>
      <c r="I695" s="230"/>
      <c r="J695" s="230"/>
      <c r="K695" s="230"/>
      <c r="L695" s="230"/>
      <c r="M695" s="230"/>
    </row>
    <row r="696">
      <c r="A696" s="230"/>
      <c r="B696" s="230"/>
      <c r="C696" s="230"/>
      <c r="D696" s="230"/>
      <c r="E696" s="230"/>
      <c r="F696" s="230"/>
      <c r="G696" s="230"/>
      <c r="H696" s="230"/>
      <c r="I696" s="230"/>
      <c r="J696" s="230"/>
      <c r="K696" s="230"/>
      <c r="L696" s="230"/>
      <c r="M696" s="230"/>
    </row>
    <row r="697">
      <c r="A697" s="230"/>
      <c r="B697" s="230"/>
      <c r="C697" s="230"/>
      <c r="D697" s="230"/>
      <c r="E697" s="230"/>
      <c r="F697" s="230"/>
      <c r="G697" s="230"/>
      <c r="H697" s="230"/>
      <c r="I697" s="230"/>
      <c r="J697" s="230"/>
      <c r="K697" s="230"/>
      <c r="L697" s="230"/>
      <c r="M697" s="230"/>
    </row>
    <row r="698">
      <c r="A698" s="230"/>
      <c r="B698" s="230"/>
      <c r="C698" s="230"/>
      <c r="D698" s="230"/>
      <c r="E698" s="230"/>
      <c r="F698" s="230"/>
      <c r="G698" s="230"/>
      <c r="H698" s="230"/>
      <c r="I698" s="230"/>
      <c r="J698" s="230"/>
      <c r="K698" s="230"/>
      <c r="L698" s="230"/>
      <c r="M698" s="230"/>
    </row>
    <row r="699">
      <c r="A699" s="230"/>
      <c r="B699" s="230"/>
      <c r="C699" s="230"/>
      <c r="D699" s="230"/>
      <c r="E699" s="230"/>
      <c r="F699" s="230"/>
      <c r="G699" s="230"/>
      <c r="H699" s="230"/>
      <c r="I699" s="230"/>
      <c r="J699" s="230"/>
      <c r="K699" s="230"/>
      <c r="L699" s="230"/>
      <c r="M699" s="230"/>
    </row>
    <row r="700">
      <c r="A700" s="230"/>
      <c r="B700" s="230"/>
      <c r="C700" s="230"/>
      <c r="D700" s="230"/>
      <c r="E700" s="230"/>
      <c r="F700" s="230"/>
      <c r="G700" s="230"/>
      <c r="H700" s="230"/>
      <c r="I700" s="230"/>
      <c r="J700" s="230"/>
      <c r="K700" s="230"/>
      <c r="L700" s="230"/>
      <c r="M700" s="230"/>
    </row>
    <row r="701">
      <c r="A701" s="230"/>
      <c r="B701" s="230"/>
      <c r="C701" s="230"/>
      <c r="D701" s="230"/>
      <c r="E701" s="230"/>
      <c r="F701" s="230"/>
      <c r="G701" s="230"/>
      <c r="H701" s="230"/>
      <c r="I701" s="230"/>
      <c r="J701" s="230"/>
      <c r="K701" s="230"/>
      <c r="L701" s="230"/>
      <c r="M701" s="230"/>
    </row>
    <row r="702">
      <c r="A702" s="230"/>
      <c r="B702" s="230"/>
      <c r="C702" s="230"/>
      <c r="D702" s="230"/>
      <c r="E702" s="230"/>
      <c r="F702" s="230"/>
      <c r="G702" s="230"/>
      <c r="H702" s="230"/>
      <c r="I702" s="230"/>
      <c r="J702" s="230"/>
      <c r="K702" s="230"/>
      <c r="L702" s="230"/>
      <c r="M702" s="230"/>
    </row>
    <row r="703">
      <c r="A703" s="230"/>
      <c r="B703" s="230"/>
      <c r="C703" s="230"/>
      <c r="D703" s="230"/>
      <c r="E703" s="230"/>
      <c r="F703" s="230"/>
      <c r="G703" s="230"/>
      <c r="H703" s="230"/>
      <c r="I703" s="230"/>
      <c r="J703" s="230"/>
      <c r="K703" s="230"/>
      <c r="L703" s="230"/>
      <c r="M703" s="230"/>
    </row>
    <row r="704">
      <c r="A704" s="230"/>
      <c r="B704" s="230"/>
      <c r="C704" s="230"/>
      <c r="D704" s="230"/>
      <c r="E704" s="230"/>
      <c r="F704" s="230"/>
      <c r="G704" s="230"/>
      <c r="H704" s="230"/>
      <c r="I704" s="230"/>
      <c r="J704" s="230"/>
      <c r="K704" s="230"/>
      <c r="L704" s="230"/>
      <c r="M704" s="230"/>
    </row>
    <row r="705">
      <c r="A705" s="230"/>
      <c r="B705" s="230"/>
      <c r="C705" s="230"/>
      <c r="D705" s="230"/>
      <c r="E705" s="230"/>
      <c r="F705" s="230"/>
      <c r="G705" s="230"/>
      <c r="H705" s="230"/>
      <c r="I705" s="230"/>
      <c r="J705" s="230"/>
      <c r="K705" s="230"/>
      <c r="L705" s="230"/>
      <c r="M705" s="230"/>
    </row>
    <row r="706">
      <c r="A706" s="230"/>
      <c r="B706" s="230"/>
      <c r="C706" s="230"/>
      <c r="D706" s="230"/>
      <c r="E706" s="230"/>
      <c r="F706" s="230"/>
      <c r="G706" s="230"/>
      <c r="H706" s="230"/>
      <c r="I706" s="230"/>
      <c r="J706" s="230"/>
      <c r="K706" s="230"/>
      <c r="L706" s="230"/>
      <c r="M706" s="230"/>
    </row>
    <row r="707">
      <c r="A707" s="230"/>
      <c r="B707" s="230"/>
      <c r="C707" s="230"/>
      <c r="D707" s="230"/>
      <c r="E707" s="230"/>
      <c r="F707" s="230"/>
      <c r="G707" s="230"/>
      <c r="H707" s="230"/>
      <c r="I707" s="230"/>
      <c r="J707" s="230"/>
      <c r="K707" s="230"/>
      <c r="L707" s="230"/>
      <c r="M707" s="230"/>
    </row>
    <row r="708">
      <c r="A708" s="230"/>
      <c r="B708" s="230"/>
      <c r="C708" s="230"/>
      <c r="D708" s="230"/>
      <c r="E708" s="230"/>
      <c r="F708" s="230"/>
      <c r="G708" s="230"/>
      <c r="H708" s="230"/>
      <c r="I708" s="230"/>
      <c r="J708" s="230"/>
      <c r="K708" s="230"/>
      <c r="L708" s="230"/>
      <c r="M708" s="230"/>
    </row>
    <row r="709">
      <c r="A709" s="230"/>
      <c r="B709" s="230"/>
      <c r="C709" s="230"/>
      <c r="D709" s="230"/>
      <c r="E709" s="230"/>
      <c r="F709" s="230"/>
      <c r="G709" s="230"/>
      <c r="H709" s="230"/>
      <c r="I709" s="230"/>
      <c r="J709" s="230"/>
      <c r="K709" s="230"/>
      <c r="L709" s="230"/>
      <c r="M709" s="230"/>
    </row>
    <row r="710">
      <c r="A710" s="230"/>
      <c r="B710" s="230"/>
      <c r="C710" s="230"/>
      <c r="D710" s="230"/>
      <c r="E710" s="230"/>
      <c r="F710" s="230"/>
      <c r="G710" s="230"/>
      <c r="H710" s="230"/>
      <c r="I710" s="230"/>
      <c r="J710" s="230"/>
      <c r="K710" s="230"/>
      <c r="L710" s="230"/>
      <c r="M710" s="230"/>
    </row>
    <row r="711">
      <c r="A711" s="230"/>
      <c r="B711" s="230"/>
      <c r="C711" s="230"/>
      <c r="D711" s="230"/>
      <c r="E711" s="230"/>
      <c r="F711" s="230"/>
      <c r="G711" s="230"/>
      <c r="H711" s="230"/>
      <c r="I711" s="230"/>
      <c r="J711" s="230"/>
      <c r="K711" s="230"/>
      <c r="L711" s="230"/>
      <c r="M711" s="230"/>
    </row>
    <row r="712">
      <c r="A712" s="230"/>
      <c r="B712" s="230"/>
      <c r="C712" s="230"/>
      <c r="D712" s="230"/>
      <c r="E712" s="230"/>
      <c r="F712" s="230"/>
      <c r="G712" s="230"/>
      <c r="H712" s="230"/>
      <c r="I712" s="230"/>
      <c r="J712" s="230"/>
      <c r="K712" s="230"/>
      <c r="L712" s="230"/>
      <c r="M712" s="230"/>
    </row>
    <row r="713">
      <c r="A713" s="230"/>
      <c r="B713" s="230"/>
      <c r="C713" s="230"/>
      <c r="D713" s="230"/>
      <c r="E713" s="230"/>
      <c r="F713" s="230"/>
      <c r="G713" s="230"/>
      <c r="H713" s="230"/>
      <c r="I713" s="230"/>
      <c r="J713" s="230"/>
      <c r="K713" s="230"/>
      <c r="L713" s="230"/>
      <c r="M713" s="230"/>
    </row>
    <row r="714">
      <c r="A714" s="230"/>
      <c r="B714" s="230"/>
      <c r="C714" s="230"/>
      <c r="D714" s="230"/>
      <c r="E714" s="230"/>
      <c r="F714" s="230"/>
      <c r="G714" s="230"/>
      <c r="H714" s="230"/>
      <c r="I714" s="230"/>
      <c r="J714" s="230"/>
      <c r="K714" s="230"/>
      <c r="L714" s="230"/>
      <c r="M714" s="230"/>
    </row>
    <row r="715">
      <c r="A715" s="230"/>
      <c r="B715" s="230"/>
      <c r="C715" s="230"/>
      <c r="D715" s="230"/>
      <c r="E715" s="230"/>
      <c r="F715" s="230"/>
      <c r="G715" s="230"/>
      <c r="H715" s="230"/>
      <c r="I715" s="230"/>
      <c r="J715" s="230"/>
      <c r="K715" s="230"/>
      <c r="L715" s="230"/>
      <c r="M715" s="230"/>
    </row>
    <row r="716">
      <c r="A716" s="230"/>
      <c r="B716" s="230"/>
      <c r="C716" s="230"/>
      <c r="D716" s="230"/>
      <c r="E716" s="230"/>
      <c r="F716" s="230"/>
      <c r="G716" s="230"/>
      <c r="H716" s="230"/>
      <c r="I716" s="230"/>
      <c r="J716" s="230"/>
      <c r="K716" s="230"/>
      <c r="L716" s="230"/>
      <c r="M716" s="230"/>
    </row>
    <row r="717">
      <c r="A717" s="230"/>
      <c r="B717" s="230"/>
      <c r="C717" s="230"/>
      <c r="D717" s="230"/>
      <c r="E717" s="230"/>
      <c r="F717" s="230"/>
      <c r="G717" s="230"/>
      <c r="H717" s="230"/>
      <c r="I717" s="230"/>
      <c r="J717" s="230"/>
      <c r="K717" s="230"/>
      <c r="L717" s="230"/>
      <c r="M717" s="230"/>
    </row>
    <row r="718">
      <c r="A718" s="230"/>
      <c r="B718" s="230"/>
      <c r="C718" s="230"/>
      <c r="D718" s="230"/>
      <c r="E718" s="230"/>
      <c r="F718" s="230"/>
      <c r="G718" s="230"/>
      <c r="H718" s="230"/>
      <c r="I718" s="230"/>
      <c r="J718" s="230"/>
      <c r="K718" s="230"/>
      <c r="L718" s="230"/>
      <c r="M718" s="230"/>
    </row>
    <row r="719">
      <c r="A719" s="230"/>
      <c r="B719" s="230"/>
      <c r="C719" s="230"/>
      <c r="D719" s="230"/>
      <c r="E719" s="230"/>
      <c r="F719" s="230"/>
      <c r="G719" s="230"/>
      <c r="H719" s="230"/>
      <c r="I719" s="230"/>
      <c r="J719" s="230"/>
      <c r="K719" s="230"/>
      <c r="L719" s="230"/>
      <c r="M719" s="230"/>
    </row>
    <row r="720">
      <c r="A720" s="230"/>
      <c r="B720" s="230"/>
      <c r="C720" s="230"/>
      <c r="D720" s="230"/>
      <c r="E720" s="230"/>
      <c r="F720" s="230"/>
      <c r="G720" s="230"/>
      <c r="H720" s="230"/>
      <c r="I720" s="230"/>
      <c r="J720" s="230"/>
      <c r="K720" s="230"/>
      <c r="L720" s="230"/>
      <c r="M720" s="230"/>
    </row>
    <row r="721">
      <c r="A721" s="230"/>
      <c r="B721" s="230"/>
      <c r="C721" s="230"/>
      <c r="D721" s="230"/>
      <c r="E721" s="230"/>
      <c r="F721" s="230"/>
      <c r="G721" s="230"/>
      <c r="H721" s="230"/>
      <c r="I721" s="230"/>
      <c r="J721" s="230"/>
      <c r="K721" s="230"/>
      <c r="L721" s="230"/>
      <c r="M721" s="230"/>
    </row>
    <row r="722">
      <c r="A722" s="230"/>
      <c r="B722" s="230"/>
      <c r="C722" s="230"/>
      <c r="D722" s="230"/>
      <c r="E722" s="230"/>
      <c r="F722" s="230"/>
      <c r="G722" s="230"/>
      <c r="H722" s="230"/>
      <c r="I722" s="230"/>
      <c r="J722" s="230"/>
      <c r="K722" s="230"/>
      <c r="L722" s="230"/>
      <c r="M722" s="230"/>
    </row>
    <row r="723">
      <c r="A723" s="230"/>
      <c r="B723" s="230"/>
      <c r="C723" s="230"/>
      <c r="D723" s="230"/>
      <c r="E723" s="230"/>
      <c r="F723" s="230"/>
      <c r="G723" s="230"/>
      <c r="H723" s="230"/>
      <c r="I723" s="230"/>
      <c r="J723" s="230"/>
      <c r="K723" s="230"/>
      <c r="L723" s="230"/>
      <c r="M723" s="230"/>
    </row>
    <row r="724">
      <c r="A724" s="230"/>
      <c r="B724" s="230"/>
      <c r="C724" s="230"/>
      <c r="D724" s="230"/>
      <c r="E724" s="230"/>
      <c r="F724" s="230"/>
      <c r="G724" s="230"/>
      <c r="H724" s="230"/>
      <c r="I724" s="230"/>
      <c r="J724" s="230"/>
      <c r="K724" s="230"/>
      <c r="L724" s="230"/>
      <c r="M724" s="230"/>
    </row>
    <row r="725">
      <c r="A725" s="230"/>
      <c r="B725" s="230"/>
      <c r="C725" s="230"/>
      <c r="D725" s="230"/>
      <c r="E725" s="230"/>
      <c r="F725" s="230"/>
      <c r="G725" s="230"/>
      <c r="H725" s="230"/>
      <c r="I725" s="230"/>
      <c r="J725" s="230"/>
      <c r="K725" s="230"/>
      <c r="L725" s="230"/>
      <c r="M725" s="230"/>
    </row>
    <row r="726">
      <c r="A726" s="230"/>
      <c r="B726" s="230"/>
      <c r="C726" s="230"/>
      <c r="D726" s="230"/>
      <c r="E726" s="230"/>
      <c r="F726" s="230"/>
      <c r="G726" s="230"/>
      <c r="H726" s="230"/>
      <c r="I726" s="230"/>
      <c r="J726" s="230"/>
      <c r="K726" s="230"/>
      <c r="L726" s="230"/>
      <c r="M726" s="230"/>
    </row>
    <row r="727">
      <c r="A727" s="230"/>
      <c r="B727" s="230"/>
      <c r="C727" s="230"/>
      <c r="D727" s="230"/>
      <c r="E727" s="230"/>
      <c r="F727" s="230"/>
      <c r="G727" s="230"/>
      <c r="H727" s="230"/>
      <c r="I727" s="230"/>
      <c r="J727" s="230"/>
      <c r="K727" s="230"/>
      <c r="L727" s="230"/>
      <c r="M727" s="230"/>
    </row>
    <row r="728">
      <c r="A728" s="230"/>
      <c r="B728" s="230"/>
      <c r="C728" s="230"/>
      <c r="D728" s="230"/>
      <c r="E728" s="230"/>
      <c r="F728" s="230"/>
      <c r="G728" s="230"/>
      <c r="H728" s="230"/>
      <c r="I728" s="230"/>
      <c r="J728" s="230"/>
      <c r="K728" s="230"/>
      <c r="L728" s="230"/>
      <c r="M728" s="230"/>
    </row>
    <row r="729">
      <c r="A729" s="230"/>
      <c r="B729" s="230"/>
      <c r="C729" s="230"/>
      <c r="D729" s="230"/>
      <c r="E729" s="230"/>
      <c r="F729" s="230"/>
      <c r="G729" s="230"/>
      <c r="H729" s="230"/>
      <c r="I729" s="230"/>
      <c r="J729" s="230"/>
      <c r="K729" s="230"/>
      <c r="L729" s="230"/>
      <c r="M729" s="230"/>
    </row>
    <row r="730">
      <c r="A730" s="230"/>
      <c r="B730" s="230"/>
      <c r="C730" s="230"/>
      <c r="D730" s="230"/>
      <c r="E730" s="230"/>
      <c r="F730" s="230"/>
      <c r="G730" s="230"/>
      <c r="H730" s="230"/>
      <c r="I730" s="230"/>
      <c r="J730" s="230"/>
      <c r="K730" s="230"/>
      <c r="L730" s="230"/>
      <c r="M730" s="230"/>
    </row>
    <row r="731">
      <c r="A731" s="230"/>
      <c r="B731" s="230"/>
      <c r="C731" s="230"/>
      <c r="D731" s="230"/>
      <c r="E731" s="230"/>
      <c r="F731" s="230"/>
      <c r="G731" s="230"/>
      <c r="H731" s="230"/>
      <c r="I731" s="230"/>
      <c r="J731" s="230"/>
      <c r="K731" s="230"/>
      <c r="L731" s="230"/>
      <c r="M731" s="230"/>
    </row>
    <row r="732">
      <c r="A732" s="230"/>
      <c r="B732" s="230"/>
      <c r="C732" s="230"/>
      <c r="D732" s="230"/>
      <c r="E732" s="230"/>
      <c r="F732" s="230"/>
      <c r="G732" s="230"/>
      <c r="H732" s="230"/>
      <c r="I732" s="230"/>
      <c r="J732" s="230"/>
      <c r="K732" s="230"/>
      <c r="L732" s="230"/>
      <c r="M732" s="230"/>
    </row>
    <row r="733">
      <c r="A733" s="230"/>
      <c r="B733" s="230"/>
      <c r="C733" s="230"/>
      <c r="D733" s="230"/>
      <c r="E733" s="230"/>
      <c r="F733" s="230"/>
      <c r="G733" s="230"/>
      <c r="H733" s="230"/>
      <c r="I733" s="230"/>
      <c r="J733" s="230"/>
      <c r="K733" s="230"/>
      <c r="L733" s="230"/>
      <c r="M733" s="230"/>
    </row>
    <row r="734">
      <c r="A734" s="230"/>
      <c r="B734" s="230"/>
      <c r="C734" s="230"/>
      <c r="D734" s="230"/>
      <c r="E734" s="230"/>
      <c r="F734" s="230"/>
      <c r="G734" s="230"/>
      <c r="H734" s="230"/>
      <c r="I734" s="230"/>
      <c r="J734" s="230"/>
      <c r="K734" s="230"/>
      <c r="L734" s="230"/>
      <c r="M734" s="230"/>
    </row>
    <row r="735">
      <c r="A735" s="230"/>
      <c r="B735" s="230"/>
      <c r="C735" s="230"/>
      <c r="D735" s="230"/>
      <c r="E735" s="230"/>
      <c r="F735" s="230"/>
      <c r="G735" s="230"/>
      <c r="H735" s="230"/>
      <c r="I735" s="230"/>
      <c r="J735" s="230"/>
      <c r="K735" s="230"/>
      <c r="L735" s="230"/>
      <c r="M735" s="230"/>
    </row>
    <row r="736">
      <c r="A736" s="230"/>
      <c r="B736" s="230"/>
      <c r="C736" s="230"/>
      <c r="D736" s="230"/>
      <c r="E736" s="230"/>
      <c r="F736" s="230"/>
      <c r="G736" s="230"/>
      <c r="H736" s="230"/>
      <c r="I736" s="230"/>
      <c r="J736" s="230"/>
      <c r="K736" s="230"/>
      <c r="L736" s="230"/>
      <c r="M736" s="230"/>
    </row>
    <row r="737">
      <c r="A737" s="230"/>
      <c r="B737" s="230"/>
      <c r="C737" s="230"/>
      <c r="D737" s="230"/>
      <c r="E737" s="230"/>
      <c r="F737" s="230"/>
      <c r="G737" s="230"/>
      <c r="H737" s="230"/>
      <c r="I737" s="230"/>
      <c r="J737" s="230"/>
      <c r="K737" s="230"/>
      <c r="L737" s="230"/>
      <c r="M737" s="230"/>
    </row>
    <row r="738">
      <c r="A738" s="230"/>
      <c r="B738" s="230"/>
      <c r="C738" s="230"/>
      <c r="D738" s="230"/>
      <c r="E738" s="230"/>
      <c r="F738" s="230"/>
      <c r="G738" s="230"/>
      <c r="H738" s="230"/>
      <c r="I738" s="230"/>
      <c r="J738" s="230"/>
      <c r="K738" s="230"/>
      <c r="L738" s="230"/>
      <c r="M738" s="230"/>
    </row>
    <row r="739">
      <c r="A739" s="230"/>
      <c r="B739" s="230"/>
      <c r="C739" s="230"/>
      <c r="D739" s="230"/>
      <c r="E739" s="230"/>
      <c r="F739" s="230"/>
      <c r="G739" s="230"/>
      <c r="H739" s="230"/>
      <c r="I739" s="230"/>
      <c r="J739" s="230"/>
      <c r="K739" s="230"/>
      <c r="L739" s="230"/>
      <c r="M739" s="230"/>
    </row>
    <row r="740">
      <c r="A740" s="230"/>
      <c r="B740" s="230"/>
      <c r="C740" s="230"/>
      <c r="D740" s="230"/>
      <c r="E740" s="230"/>
      <c r="F740" s="230"/>
      <c r="G740" s="230"/>
      <c r="H740" s="230"/>
      <c r="I740" s="230"/>
      <c r="J740" s="230"/>
      <c r="K740" s="230"/>
      <c r="L740" s="230"/>
      <c r="M740" s="230"/>
    </row>
    <row r="741">
      <c r="A741" s="230"/>
      <c r="B741" s="230"/>
      <c r="C741" s="230"/>
      <c r="D741" s="230"/>
      <c r="E741" s="230"/>
      <c r="F741" s="230"/>
      <c r="G741" s="230"/>
      <c r="H741" s="230"/>
      <c r="I741" s="230"/>
      <c r="J741" s="230"/>
      <c r="K741" s="230"/>
      <c r="L741" s="230"/>
      <c r="M741" s="230"/>
    </row>
    <row r="742">
      <c r="A742" s="230"/>
      <c r="B742" s="230"/>
      <c r="C742" s="230"/>
      <c r="D742" s="230"/>
      <c r="E742" s="230"/>
      <c r="F742" s="230"/>
      <c r="G742" s="230"/>
      <c r="H742" s="230"/>
      <c r="I742" s="230"/>
      <c r="J742" s="230"/>
      <c r="K742" s="230"/>
      <c r="L742" s="230"/>
      <c r="M742" s="230"/>
    </row>
    <row r="743">
      <c r="A743" s="230"/>
      <c r="B743" s="230"/>
      <c r="C743" s="230"/>
      <c r="D743" s="230"/>
      <c r="E743" s="230"/>
      <c r="F743" s="230"/>
      <c r="G743" s="230"/>
      <c r="H743" s="230"/>
      <c r="I743" s="230"/>
      <c r="J743" s="230"/>
      <c r="K743" s="230"/>
      <c r="L743" s="230"/>
      <c r="M743" s="230"/>
    </row>
    <row r="744">
      <c r="A744" s="230"/>
      <c r="B744" s="230"/>
      <c r="C744" s="230"/>
      <c r="D744" s="230"/>
      <c r="E744" s="230"/>
      <c r="F744" s="230"/>
      <c r="G744" s="230"/>
      <c r="H744" s="230"/>
      <c r="I744" s="230"/>
      <c r="J744" s="230"/>
      <c r="K744" s="230"/>
      <c r="L744" s="230"/>
      <c r="M744" s="230"/>
    </row>
    <row r="745">
      <c r="A745" s="230"/>
      <c r="B745" s="230"/>
      <c r="C745" s="230"/>
      <c r="D745" s="230"/>
      <c r="E745" s="230"/>
      <c r="F745" s="230"/>
      <c r="G745" s="230"/>
      <c r="H745" s="230"/>
      <c r="I745" s="230"/>
      <c r="J745" s="230"/>
      <c r="K745" s="230"/>
      <c r="L745" s="230"/>
      <c r="M745" s="230"/>
    </row>
    <row r="746">
      <c r="A746" s="230"/>
      <c r="B746" s="230"/>
      <c r="C746" s="230"/>
      <c r="D746" s="230"/>
      <c r="E746" s="230"/>
      <c r="F746" s="230"/>
      <c r="G746" s="230"/>
      <c r="H746" s="230"/>
      <c r="I746" s="230"/>
      <c r="J746" s="230"/>
      <c r="K746" s="230"/>
      <c r="L746" s="230"/>
      <c r="M746" s="230"/>
    </row>
    <row r="747">
      <c r="A747" s="230"/>
      <c r="B747" s="230"/>
      <c r="C747" s="230"/>
      <c r="D747" s="230"/>
      <c r="E747" s="230"/>
      <c r="F747" s="230"/>
      <c r="G747" s="230"/>
      <c r="H747" s="230"/>
      <c r="I747" s="230"/>
      <c r="J747" s="230"/>
      <c r="K747" s="230"/>
      <c r="L747" s="230"/>
      <c r="M747" s="230"/>
    </row>
    <row r="748">
      <c r="A748" s="230"/>
      <c r="B748" s="230"/>
      <c r="C748" s="230"/>
      <c r="D748" s="230"/>
      <c r="E748" s="230"/>
      <c r="F748" s="230"/>
      <c r="G748" s="230"/>
      <c r="H748" s="230"/>
      <c r="I748" s="230"/>
      <c r="J748" s="230"/>
      <c r="K748" s="230"/>
      <c r="L748" s="230"/>
      <c r="M748" s="230"/>
    </row>
    <row r="749">
      <c r="A749" s="230"/>
      <c r="B749" s="230"/>
      <c r="C749" s="230"/>
      <c r="D749" s="230"/>
      <c r="E749" s="230"/>
      <c r="F749" s="230"/>
      <c r="G749" s="230"/>
      <c r="H749" s="230"/>
      <c r="I749" s="230"/>
      <c r="J749" s="230"/>
      <c r="K749" s="230"/>
      <c r="L749" s="230"/>
      <c r="M749" s="230"/>
    </row>
    <row r="750">
      <c r="A750" s="230"/>
      <c r="B750" s="230"/>
      <c r="C750" s="230"/>
      <c r="D750" s="230"/>
      <c r="E750" s="230"/>
      <c r="F750" s="230"/>
      <c r="G750" s="230"/>
      <c r="H750" s="230"/>
      <c r="I750" s="230"/>
      <c r="J750" s="230"/>
      <c r="K750" s="230"/>
      <c r="L750" s="230"/>
      <c r="M750" s="230"/>
    </row>
    <row r="751">
      <c r="A751" s="230"/>
      <c r="B751" s="230"/>
      <c r="C751" s="230"/>
      <c r="D751" s="230"/>
      <c r="E751" s="230"/>
      <c r="F751" s="230"/>
      <c r="G751" s="230"/>
      <c r="H751" s="230"/>
      <c r="I751" s="230"/>
      <c r="J751" s="230"/>
      <c r="K751" s="230"/>
      <c r="L751" s="230"/>
      <c r="M751" s="230"/>
    </row>
    <row r="752">
      <c r="A752" s="230"/>
      <c r="B752" s="230"/>
      <c r="C752" s="230"/>
      <c r="D752" s="230"/>
      <c r="E752" s="230"/>
      <c r="F752" s="230"/>
      <c r="G752" s="230"/>
      <c r="H752" s="230"/>
      <c r="I752" s="230"/>
      <c r="J752" s="230"/>
      <c r="K752" s="230"/>
      <c r="L752" s="230"/>
      <c r="M752" s="230"/>
    </row>
    <row r="753">
      <c r="A753" s="230"/>
      <c r="B753" s="230"/>
      <c r="C753" s="230"/>
      <c r="D753" s="230"/>
      <c r="E753" s="230"/>
      <c r="F753" s="230"/>
      <c r="G753" s="230"/>
      <c r="H753" s="230"/>
      <c r="I753" s="230"/>
      <c r="J753" s="230"/>
      <c r="K753" s="230"/>
      <c r="L753" s="230"/>
      <c r="M753" s="230"/>
    </row>
    <row r="754">
      <c r="A754" s="230"/>
      <c r="B754" s="230"/>
      <c r="C754" s="230"/>
      <c r="D754" s="230"/>
      <c r="E754" s="230"/>
      <c r="F754" s="230"/>
      <c r="G754" s="230"/>
      <c r="H754" s="230"/>
      <c r="I754" s="230"/>
      <c r="J754" s="230"/>
      <c r="K754" s="230"/>
      <c r="L754" s="230"/>
      <c r="M754" s="230"/>
    </row>
    <row r="755">
      <c r="A755" s="230"/>
      <c r="B755" s="230"/>
      <c r="C755" s="230"/>
      <c r="D755" s="230"/>
      <c r="E755" s="230"/>
      <c r="F755" s="230"/>
      <c r="G755" s="230"/>
      <c r="H755" s="230"/>
      <c r="I755" s="230"/>
      <c r="J755" s="230"/>
      <c r="K755" s="230"/>
      <c r="L755" s="230"/>
      <c r="M755" s="230"/>
    </row>
    <row r="756">
      <c r="A756" s="230"/>
      <c r="B756" s="230"/>
      <c r="C756" s="230"/>
      <c r="D756" s="230"/>
      <c r="E756" s="230"/>
      <c r="F756" s="230"/>
      <c r="G756" s="230"/>
      <c r="H756" s="230"/>
      <c r="I756" s="230"/>
      <c r="J756" s="230"/>
      <c r="K756" s="230"/>
      <c r="L756" s="230"/>
      <c r="M756" s="230"/>
    </row>
    <row r="757">
      <c r="A757" s="230"/>
      <c r="B757" s="230"/>
      <c r="C757" s="230"/>
      <c r="D757" s="230"/>
      <c r="E757" s="230"/>
      <c r="F757" s="230"/>
      <c r="G757" s="230"/>
      <c r="H757" s="230"/>
      <c r="I757" s="230"/>
      <c r="J757" s="230"/>
      <c r="K757" s="230"/>
      <c r="L757" s="230"/>
      <c r="M757" s="230"/>
    </row>
    <row r="758">
      <c r="A758" s="230"/>
      <c r="B758" s="230"/>
      <c r="C758" s="230"/>
      <c r="D758" s="230"/>
      <c r="E758" s="230"/>
      <c r="F758" s="230"/>
      <c r="G758" s="230"/>
      <c r="H758" s="230"/>
      <c r="I758" s="230"/>
      <c r="J758" s="230"/>
      <c r="K758" s="230"/>
      <c r="L758" s="230"/>
      <c r="M758" s="230"/>
    </row>
    <row r="759">
      <c r="A759" s="230"/>
      <c r="B759" s="230"/>
      <c r="C759" s="230"/>
      <c r="D759" s="230"/>
      <c r="E759" s="230"/>
      <c r="F759" s="230"/>
      <c r="G759" s="230"/>
      <c r="H759" s="230"/>
      <c r="I759" s="230"/>
      <c r="J759" s="230"/>
      <c r="K759" s="230"/>
      <c r="L759" s="230"/>
      <c r="M759" s="230"/>
    </row>
    <row r="760">
      <c r="A760" s="230"/>
      <c r="B760" s="230"/>
      <c r="C760" s="230"/>
      <c r="D760" s="230"/>
      <c r="E760" s="230"/>
      <c r="F760" s="230"/>
      <c r="G760" s="230"/>
      <c r="H760" s="230"/>
      <c r="I760" s="230"/>
      <c r="J760" s="230"/>
      <c r="K760" s="230"/>
      <c r="L760" s="230"/>
      <c r="M760" s="230"/>
    </row>
    <row r="761">
      <c r="A761" s="230"/>
      <c r="B761" s="230"/>
      <c r="C761" s="230"/>
      <c r="D761" s="230"/>
      <c r="E761" s="230"/>
      <c r="F761" s="230"/>
      <c r="G761" s="230"/>
      <c r="H761" s="230"/>
      <c r="I761" s="230"/>
      <c r="J761" s="230"/>
      <c r="K761" s="230"/>
      <c r="L761" s="230"/>
      <c r="M761" s="230"/>
    </row>
    <row r="762">
      <c r="A762" s="230"/>
      <c r="B762" s="230"/>
      <c r="C762" s="230"/>
      <c r="D762" s="230"/>
      <c r="E762" s="230"/>
      <c r="F762" s="230"/>
      <c r="G762" s="230"/>
      <c r="H762" s="230"/>
      <c r="I762" s="230"/>
      <c r="J762" s="230"/>
      <c r="K762" s="230"/>
      <c r="L762" s="230"/>
      <c r="M762" s="230"/>
    </row>
    <row r="763">
      <c r="A763" s="230"/>
      <c r="B763" s="230"/>
      <c r="C763" s="230"/>
      <c r="D763" s="230"/>
      <c r="E763" s="230"/>
      <c r="F763" s="230"/>
      <c r="G763" s="230"/>
      <c r="H763" s="230"/>
      <c r="I763" s="230"/>
      <c r="J763" s="230"/>
      <c r="K763" s="230"/>
      <c r="L763" s="230"/>
      <c r="M763" s="230"/>
    </row>
    <row r="764">
      <c r="A764" s="230"/>
      <c r="B764" s="230"/>
      <c r="C764" s="230"/>
      <c r="D764" s="230"/>
      <c r="E764" s="230"/>
      <c r="F764" s="230"/>
      <c r="G764" s="230"/>
      <c r="H764" s="230"/>
      <c r="I764" s="230"/>
      <c r="J764" s="230"/>
      <c r="K764" s="230"/>
      <c r="L764" s="230"/>
      <c r="M764" s="230"/>
    </row>
    <row r="765">
      <c r="A765" s="230"/>
      <c r="B765" s="230"/>
      <c r="C765" s="230"/>
      <c r="D765" s="230"/>
      <c r="E765" s="230"/>
      <c r="F765" s="230"/>
      <c r="G765" s="230"/>
      <c r="H765" s="230"/>
      <c r="I765" s="230"/>
      <c r="J765" s="230"/>
      <c r="K765" s="230"/>
      <c r="L765" s="230"/>
      <c r="M765" s="230"/>
    </row>
    <row r="766">
      <c r="A766" s="230"/>
      <c r="B766" s="230"/>
      <c r="C766" s="230"/>
      <c r="D766" s="230"/>
      <c r="E766" s="230"/>
      <c r="F766" s="230"/>
      <c r="G766" s="230"/>
      <c r="H766" s="230"/>
      <c r="I766" s="230"/>
      <c r="J766" s="230"/>
      <c r="K766" s="230"/>
      <c r="L766" s="230"/>
      <c r="M766" s="230"/>
    </row>
    <row r="767">
      <c r="A767" s="230"/>
      <c r="B767" s="230"/>
      <c r="C767" s="230"/>
      <c r="D767" s="230"/>
      <c r="E767" s="230"/>
      <c r="F767" s="230"/>
      <c r="G767" s="230"/>
      <c r="H767" s="230"/>
      <c r="I767" s="230"/>
      <c r="J767" s="230"/>
      <c r="K767" s="230"/>
      <c r="L767" s="230"/>
      <c r="M767" s="230"/>
    </row>
    <row r="768">
      <c r="A768" s="230"/>
      <c r="B768" s="230"/>
      <c r="C768" s="230"/>
      <c r="D768" s="230"/>
      <c r="E768" s="230"/>
      <c r="F768" s="230"/>
      <c r="G768" s="230"/>
      <c r="H768" s="230"/>
      <c r="I768" s="230"/>
      <c r="J768" s="230"/>
      <c r="K768" s="230"/>
      <c r="L768" s="230"/>
      <c r="M768" s="230"/>
    </row>
    <row r="769">
      <c r="A769" s="230"/>
      <c r="B769" s="230"/>
      <c r="C769" s="230"/>
      <c r="D769" s="230"/>
      <c r="E769" s="230"/>
      <c r="F769" s="230"/>
      <c r="G769" s="230"/>
      <c r="H769" s="230"/>
      <c r="I769" s="230"/>
      <c r="J769" s="230"/>
      <c r="K769" s="230"/>
      <c r="L769" s="230"/>
      <c r="M769" s="230"/>
    </row>
    <row r="770">
      <c r="A770" s="230"/>
      <c r="B770" s="230"/>
      <c r="C770" s="230"/>
      <c r="D770" s="230"/>
      <c r="E770" s="230"/>
      <c r="F770" s="230"/>
      <c r="G770" s="230"/>
      <c r="H770" s="230"/>
      <c r="I770" s="230"/>
      <c r="J770" s="230"/>
      <c r="K770" s="230"/>
      <c r="L770" s="230"/>
      <c r="M770" s="230"/>
    </row>
    <row r="771">
      <c r="A771" s="230"/>
      <c r="B771" s="230"/>
      <c r="C771" s="230"/>
      <c r="D771" s="230"/>
      <c r="E771" s="230"/>
      <c r="F771" s="230"/>
      <c r="G771" s="230"/>
      <c r="H771" s="230"/>
      <c r="I771" s="230"/>
      <c r="J771" s="230"/>
      <c r="K771" s="230"/>
      <c r="L771" s="230"/>
      <c r="M771" s="230"/>
    </row>
    <row r="772">
      <c r="A772" s="230"/>
      <c r="B772" s="230"/>
      <c r="C772" s="230"/>
      <c r="D772" s="230"/>
      <c r="E772" s="230"/>
      <c r="F772" s="230"/>
      <c r="G772" s="230"/>
      <c r="H772" s="230"/>
      <c r="I772" s="230"/>
      <c r="J772" s="230"/>
      <c r="K772" s="230"/>
      <c r="L772" s="230"/>
      <c r="M772" s="230"/>
    </row>
    <row r="773">
      <c r="A773" s="230"/>
      <c r="B773" s="230"/>
      <c r="C773" s="230"/>
      <c r="D773" s="230"/>
      <c r="E773" s="230"/>
      <c r="F773" s="230"/>
      <c r="G773" s="230"/>
      <c r="H773" s="230"/>
      <c r="I773" s="230"/>
      <c r="J773" s="230"/>
      <c r="K773" s="230"/>
      <c r="L773" s="230"/>
      <c r="M773" s="230"/>
    </row>
    <row r="774">
      <c r="A774" s="230"/>
      <c r="B774" s="230"/>
      <c r="C774" s="230"/>
      <c r="D774" s="230"/>
      <c r="E774" s="230"/>
      <c r="F774" s="230"/>
      <c r="G774" s="230"/>
      <c r="H774" s="230"/>
      <c r="I774" s="230"/>
      <c r="J774" s="230"/>
      <c r="K774" s="230"/>
      <c r="L774" s="230"/>
      <c r="M774" s="230"/>
    </row>
    <row r="775">
      <c r="A775" s="230"/>
      <c r="B775" s="230"/>
      <c r="C775" s="230"/>
      <c r="D775" s="230"/>
      <c r="E775" s="230"/>
      <c r="F775" s="230"/>
      <c r="G775" s="230"/>
      <c r="H775" s="230"/>
      <c r="I775" s="230"/>
      <c r="J775" s="230"/>
      <c r="K775" s="230"/>
      <c r="L775" s="230"/>
      <c r="M775" s="230"/>
    </row>
    <row r="776">
      <c r="A776" s="230"/>
      <c r="B776" s="230"/>
      <c r="C776" s="230"/>
      <c r="D776" s="230"/>
      <c r="E776" s="230"/>
      <c r="F776" s="230"/>
      <c r="G776" s="230"/>
      <c r="H776" s="230"/>
      <c r="I776" s="230"/>
      <c r="J776" s="230"/>
      <c r="K776" s="230"/>
      <c r="L776" s="230"/>
      <c r="M776" s="230"/>
    </row>
    <row r="777">
      <c r="A777" s="230"/>
      <c r="B777" s="230"/>
      <c r="C777" s="230"/>
      <c r="D777" s="230"/>
      <c r="E777" s="230"/>
      <c r="F777" s="230"/>
      <c r="G777" s="230"/>
      <c r="H777" s="230"/>
      <c r="I777" s="230"/>
      <c r="J777" s="230"/>
      <c r="K777" s="230"/>
      <c r="L777" s="230"/>
      <c r="M777" s="230"/>
    </row>
    <row r="778">
      <c r="A778" s="230"/>
      <c r="B778" s="230"/>
      <c r="C778" s="230"/>
      <c r="D778" s="230"/>
      <c r="E778" s="230"/>
      <c r="F778" s="230"/>
      <c r="G778" s="230"/>
      <c r="H778" s="230"/>
      <c r="I778" s="230"/>
      <c r="J778" s="230"/>
      <c r="K778" s="230"/>
      <c r="L778" s="230"/>
      <c r="M778" s="230"/>
    </row>
    <row r="779">
      <c r="A779" s="230"/>
      <c r="B779" s="230"/>
      <c r="C779" s="230"/>
      <c r="D779" s="230"/>
      <c r="E779" s="230"/>
      <c r="F779" s="230"/>
      <c r="G779" s="230"/>
      <c r="H779" s="230"/>
      <c r="I779" s="230"/>
      <c r="J779" s="230"/>
      <c r="K779" s="230"/>
      <c r="L779" s="230"/>
      <c r="M779" s="230"/>
    </row>
    <row r="780">
      <c r="A780" s="230"/>
      <c r="B780" s="230"/>
      <c r="C780" s="230"/>
      <c r="D780" s="230"/>
      <c r="E780" s="230"/>
      <c r="F780" s="230"/>
      <c r="G780" s="230"/>
      <c r="H780" s="230"/>
      <c r="I780" s="230"/>
      <c r="J780" s="230"/>
      <c r="K780" s="230"/>
      <c r="L780" s="230"/>
      <c r="M780" s="230"/>
    </row>
    <row r="781">
      <c r="A781" s="230"/>
      <c r="B781" s="230"/>
      <c r="C781" s="230"/>
      <c r="D781" s="230"/>
      <c r="E781" s="230"/>
      <c r="F781" s="230"/>
      <c r="G781" s="230"/>
      <c r="H781" s="230"/>
      <c r="I781" s="230"/>
      <c r="J781" s="230"/>
      <c r="K781" s="230"/>
      <c r="L781" s="230"/>
      <c r="M781" s="230"/>
    </row>
    <row r="782">
      <c r="A782" s="230"/>
      <c r="B782" s="230"/>
      <c r="C782" s="230"/>
      <c r="D782" s="230"/>
      <c r="E782" s="230"/>
      <c r="F782" s="230"/>
      <c r="G782" s="230"/>
      <c r="H782" s="230"/>
      <c r="I782" s="230"/>
      <c r="J782" s="230"/>
      <c r="K782" s="230"/>
      <c r="L782" s="230"/>
      <c r="M782" s="230"/>
    </row>
    <row r="783">
      <c r="A783" s="230"/>
      <c r="B783" s="230"/>
      <c r="C783" s="230"/>
      <c r="D783" s="230"/>
      <c r="E783" s="230"/>
      <c r="F783" s="230"/>
      <c r="G783" s="230"/>
      <c r="H783" s="230"/>
      <c r="I783" s="230"/>
      <c r="J783" s="230"/>
      <c r="K783" s="230"/>
      <c r="L783" s="230"/>
      <c r="M783" s="230"/>
    </row>
    <row r="784">
      <c r="A784" s="230"/>
      <c r="B784" s="230"/>
      <c r="C784" s="230"/>
      <c r="D784" s="230"/>
      <c r="E784" s="230"/>
      <c r="F784" s="230"/>
      <c r="G784" s="230"/>
      <c r="H784" s="230"/>
      <c r="I784" s="230"/>
      <c r="J784" s="230"/>
      <c r="K784" s="230"/>
      <c r="L784" s="230"/>
      <c r="M784" s="230"/>
    </row>
    <row r="785">
      <c r="A785" s="230"/>
      <c r="B785" s="230"/>
      <c r="C785" s="230"/>
      <c r="D785" s="230"/>
      <c r="E785" s="230"/>
      <c r="F785" s="230"/>
      <c r="G785" s="230"/>
      <c r="H785" s="230"/>
      <c r="I785" s="230"/>
      <c r="J785" s="230"/>
      <c r="K785" s="230"/>
      <c r="L785" s="230"/>
      <c r="M785" s="230"/>
    </row>
    <row r="786">
      <c r="A786" s="230"/>
      <c r="B786" s="230"/>
      <c r="C786" s="230"/>
      <c r="D786" s="230"/>
      <c r="E786" s="230"/>
      <c r="F786" s="230"/>
      <c r="G786" s="230"/>
      <c r="H786" s="230"/>
      <c r="I786" s="230"/>
      <c r="J786" s="230"/>
      <c r="K786" s="230"/>
      <c r="L786" s="230"/>
      <c r="M786" s="230"/>
    </row>
    <row r="787">
      <c r="A787" s="230"/>
      <c r="B787" s="230"/>
      <c r="C787" s="230"/>
      <c r="D787" s="230"/>
      <c r="E787" s="230"/>
      <c r="F787" s="230"/>
      <c r="G787" s="230"/>
      <c r="H787" s="230"/>
      <c r="I787" s="230"/>
      <c r="J787" s="230"/>
      <c r="K787" s="230"/>
      <c r="L787" s="230"/>
      <c r="M787" s="230"/>
    </row>
    <row r="788">
      <c r="A788" s="230"/>
      <c r="B788" s="230"/>
      <c r="C788" s="230"/>
      <c r="D788" s="230"/>
      <c r="E788" s="230"/>
      <c r="F788" s="230"/>
      <c r="G788" s="230"/>
      <c r="H788" s="230"/>
      <c r="I788" s="230"/>
      <c r="J788" s="230"/>
      <c r="K788" s="230"/>
      <c r="L788" s="230"/>
      <c r="M788" s="230"/>
    </row>
    <row r="789">
      <c r="A789" s="230"/>
      <c r="B789" s="230"/>
      <c r="C789" s="230"/>
      <c r="D789" s="230"/>
      <c r="E789" s="230"/>
      <c r="F789" s="230"/>
      <c r="G789" s="230"/>
      <c r="H789" s="230"/>
      <c r="I789" s="230"/>
      <c r="J789" s="230"/>
      <c r="K789" s="230"/>
      <c r="L789" s="230"/>
      <c r="M789" s="230"/>
    </row>
    <row r="790">
      <c r="A790" s="230"/>
      <c r="B790" s="230"/>
      <c r="C790" s="230"/>
      <c r="D790" s="230"/>
      <c r="E790" s="230"/>
      <c r="F790" s="230"/>
      <c r="G790" s="230"/>
      <c r="H790" s="230"/>
      <c r="I790" s="230"/>
      <c r="J790" s="230"/>
      <c r="K790" s="230"/>
      <c r="L790" s="230"/>
      <c r="M790" s="230"/>
    </row>
    <row r="791">
      <c r="A791" s="230"/>
      <c r="B791" s="230"/>
      <c r="C791" s="230"/>
      <c r="D791" s="230"/>
      <c r="E791" s="230"/>
      <c r="F791" s="230"/>
      <c r="G791" s="230"/>
      <c r="H791" s="230"/>
      <c r="I791" s="230"/>
      <c r="J791" s="230"/>
      <c r="K791" s="230"/>
      <c r="L791" s="230"/>
      <c r="M791" s="230"/>
    </row>
    <row r="792">
      <c r="A792" s="230"/>
      <c r="B792" s="230"/>
      <c r="C792" s="230"/>
      <c r="D792" s="230"/>
      <c r="E792" s="230"/>
      <c r="F792" s="230"/>
      <c r="G792" s="230"/>
      <c r="H792" s="230"/>
      <c r="I792" s="230"/>
      <c r="J792" s="230"/>
      <c r="K792" s="230"/>
      <c r="L792" s="230"/>
      <c r="M792" s="230"/>
    </row>
    <row r="793">
      <c r="A793" s="230"/>
      <c r="B793" s="230"/>
      <c r="C793" s="230"/>
      <c r="D793" s="230"/>
      <c r="E793" s="230"/>
      <c r="F793" s="230"/>
      <c r="G793" s="230"/>
      <c r="H793" s="230"/>
      <c r="I793" s="230"/>
      <c r="J793" s="230"/>
      <c r="K793" s="230"/>
      <c r="L793" s="230"/>
      <c r="M793" s="230"/>
    </row>
    <row r="794">
      <c r="A794" s="230"/>
      <c r="B794" s="230"/>
      <c r="C794" s="230"/>
      <c r="D794" s="230"/>
      <c r="E794" s="230"/>
      <c r="F794" s="230"/>
      <c r="G794" s="230"/>
      <c r="H794" s="230"/>
      <c r="I794" s="230"/>
      <c r="J794" s="230"/>
      <c r="K794" s="230"/>
      <c r="L794" s="230"/>
      <c r="M794" s="230"/>
    </row>
    <row r="795">
      <c r="A795" s="230"/>
      <c r="B795" s="230"/>
      <c r="C795" s="230"/>
      <c r="D795" s="230"/>
      <c r="E795" s="230"/>
      <c r="F795" s="230"/>
      <c r="G795" s="230"/>
      <c r="H795" s="230"/>
      <c r="I795" s="230"/>
      <c r="J795" s="230"/>
      <c r="K795" s="230"/>
      <c r="L795" s="230"/>
      <c r="M795" s="230"/>
    </row>
    <row r="796">
      <c r="A796" s="230"/>
      <c r="B796" s="230"/>
      <c r="C796" s="230"/>
      <c r="D796" s="230"/>
      <c r="E796" s="230"/>
      <c r="F796" s="230"/>
      <c r="G796" s="230"/>
      <c r="H796" s="230"/>
      <c r="I796" s="230"/>
      <c r="J796" s="230"/>
      <c r="K796" s="230"/>
      <c r="L796" s="230"/>
      <c r="M796" s="230"/>
    </row>
    <row r="797">
      <c r="A797" s="230"/>
      <c r="B797" s="230"/>
      <c r="C797" s="230"/>
      <c r="D797" s="230"/>
      <c r="E797" s="230"/>
      <c r="F797" s="230"/>
      <c r="G797" s="230"/>
      <c r="H797" s="230"/>
      <c r="I797" s="230"/>
      <c r="J797" s="230"/>
      <c r="K797" s="230"/>
      <c r="L797" s="230"/>
      <c r="M797" s="230"/>
    </row>
    <row r="798">
      <c r="A798" s="230"/>
      <c r="B798" s="230"/>
      <c r="C798" s="230"/>
      <c r="D798" s="230"/>
      <c r="E798" s="230"/>
      <c r="F798" s="230"/>
      <c r="G798" s="230"/>
      <c r="H798" s="230"/>
      <c r="I798" s="230"/>
      <c r="J798" s="230"/>
      <c r="K798" s="230"/>
      <c r="L798" s="230"/>
      <c r="M798" s="230"/>
    </row>
    <row r="799">
      <c r="A799" s="230"/>
      <c r="B799" s="230"/>
      <c r="C799" s="230"/>
      <c r="D799" s="230"/>
      <c r="E799" s="230"/>
      <c r="F799" s="230"/>
      <c r="G799" s="230"/>
      <c r="H799" s="230"/>
      <c r="I799" s="230"/>
      <c r="J799" s="230"/>
      <c r="K799" s="230"/>
      <c r="L799" s="230"/>
      <c r="M799" s="230"/>
    </row>
    <row r="800">
      <c r="A800" s="230"/>
      <c r="B800" s="230"/>
      <c r="C800" s="230"/>
      <c r="D800" s="230"/>
      <c r="E800" s="230"/>
      <c r="F800" s="230"/>
      <c r="G800" s="230"/>
      <c r="H800" s="230"/>
      <c r="I800" s="230"/>
      <c r="J800" s="230"/>
      <c r="K800" s="230"/>
      <c r="L800" s="230"/>
      <c r="M800" s="230"/>
    </row>
    <row r="801">
      <c r="A801" s="230"/>
      <c r="B801" s="230"/>
      <c r="C801" s="230"/>
      <c r="D801" s="230"/>
      <c r="E801" s="230"/>
      <c r="F801" s="230"/>
      <c r="G801" s="230"/>
      <c r="H801" s="230"/>
      <c r="I801" s="230"/>
      <c r="J801" s="230"/>
      <c r="K801" s="230"/>
      <c r="L801" s="230"/>
      <c r="M801" s="230"/>
    </row>
    <row r="802">
      <c r="A802" s="230"/>
      <c r="B802" s="230"/>
      <c r="C802" s="230"/>
      <c r="D802" s="230"/>
      <c r="E802" s="230"/>
      <c r="F802" s="230"/>
      <c r="G802" s="230"/>
      <c r="H802" s="230"/>
      <c r="I802" s="230"/>
      <c r="J802" s="230"/>
      <c r="K802" s="230"/>
      <c r="L802" s="230"/>
      <c r="M802" s="230"/>
    </row>
    <row r="803">
      <c r="A803" s="230"/>
      <c r="B803" s="230"/>
      <c r="C803" s="230"/>
      <c r="D803" s="230"/>
      <c r="E803" s="230"/>
      <c r="F803" s="230"/>
      <c r="G803" s="230"/>
      <c r="H803" s="230"/>
      <c r="I803" s="230"/>
      <c r="J803" s="230"/>
      <c r="K803" s="230"/>
      <c r="L803" s="230"/>
      <c r="M803" s="230"/>
    </row>
    <row r="804">
      <c r="A804" s="230"/>
      <c r="B804" s="230"/>
      <c r="C804" s="230"/>
      <c r="D804" s="230"/>
      <c r="E804" s="230"/>
      <c r="F804" s="230"/>
      <c r="G804" s="230"/>
      <c r="H804" s="230"/>
      <c r="I804" s="230"/>
      <c r="J804" s="230"/>
      <c r="K804" s="230"/>
      <c r="L804" s="230"/>
      <c r="M804" s="230"/>
    </row>
    <row r="805">
      <c r="A805" s="230"/>
      <c r="B805" s="230"/>
      <c r="C805" s="230"/>
      <c r="D805" s="230"/>
      <c r="E805" s="230"/>
      <c r="F805" s="230"/>
      <c r="G805" s="230"/>
      <c r="H805" s="230"/>
      <c r="I805" s="230"/>
      <c r="J805" s="230"/>
      <c r="K805" s="230"/>
      <c r="L805" s="230"/>
      <c r="M805" s="230"/>
    </row>
    <row r="806">
      <c r="A806" s="230"/>
      <c r="B806" s="230"/>
      <c r="C806" s="230"/>
      <c r="D806" s="230"/>
      <c r="E806" s="230"/>
      <c r="F806" s="230"/>
      <c r="G806" s="230"/>
      <c r="H806" s="230"/>
      <c r="I806" s="230"/>
      <c r="J806" s="230"/>
      <c r="K806" s="230"/>
      <c r="L806" s="230"/>
      <c r="M806" s="230"/>
    </row>
    <row r="807">
      <c r="A807" s="230"/>
      <c r="B807" s="230"/>
      <c r="C807" s="230"/>
      <c r="D807" s="230"/>
      <c r="E807" s="230"/>
      <c r="F807" s="230"/>
      <c r="G807" s="230"/>
      <c r="H807" s="230"/>
      <c r="I807" s="230"/>
      <c r="J807" s="230"/>
      <c r="K807" s="230"/>
      <c r="L807" s="230"/>
      <c r="M807" s="230"/>
    </row>
    <row r="808">
      <c r="A808" s="230"/>
      <c r="B808" s="230"/>
      <c r="C808" s="230"/>
      <c r="D808" s="230"/>
      <c r="E808" s="230"/>
      <c r="F808" s="230"/>
      <c r="G808" s="230"/>
      <c r="H808" s="230"/>
      <c r="I808" s="230"/>
      <c r="J808" s="230"/>
      <c r="K808" s="230"/>
      <c r="L808" s="230"/>
      <c r="M808" s="230"/>
    </row>
    <row r="809">
      <c r="A809" s="230"/>
      <c r="B809" s="230"/>
      <c r="C809" s="230"/>
      <c r="D809" s="230"/>
      <c r="E809" s="230"/>
      <c r="F809" s="230"/>
      <c r="G809" s="230"/>
      <c r="H809" s="230"/>
      <c r="I809" s="230"/>
      <c r="J809" s="230"/>
      <c r="K809" s="230"/>
      <c r="L809" s="230"/>
      <c r="M809" s="230"/>
    </row>
    <row r="810">
      <c r="A810" s="230"/>
      <c r="B810" s="230"/>
      <c r="C810" s="230"/>
      <c r="D810" s="230"/>
      <c r="E810" s="230"/>
      <c r="F810" s="230"/>
      <c r="G810" s="230"/>
      <c r="H810" s="230"/>
      <c r="I810" s="230"/>
      <c r="J810" s="230"/>
      <c r="K810" s="230"/>
      <c r="L810" s="230"/>
      <c r="M810" s="230"/>
    </row>
    <row r="811">
      <c r="A811" s="230"/>
      <c r="B811" s="230"/>
      <c r="C811" s="230"/>
      <c r="D811" s="230"/>
      <c r="E811" s="230"/>
      <c r="F811" s="230"/>
      <c r="G811" s="230"/>
      <c r="H811" s="230"/>
      <c r="I811" s="230"/>
      <c r="J811" s="230"/>
      <c r="K811" s="230"/>
      <c r="L811" s="230"/>
      <c r="M811" s="230"/>
    </row>
    <row r="812">
      <c r="A812" s="230"/>
      <c r="B812" s="230"/>
      <c r="C812" s="230"/>
      <c r="D812" s="230"/>
      <c r="E812" s="230"/>
      <c r="F812" s="230"/>
      <c r="G812" s="230"/>
      <c r="H812" s="230"/>
      <c r="I812" s="230"/>
      <c r="J812" s="230"/>
      <c r="K812" s="230"/>
      <c r="L812" s="230"/>
      <c r="M812" s="230"/>
    </row>
    <row r="813">
      <c r="A813" s="230"/>
      <c r="B813" s="230"/>
      <c r="C813" s="230"/>
      <c r="D813" s="230"/>
      <c r="E813" s="230"/>
      <c r="F813" s="230"/>
      <c r="G813" s="230"/>
      <c r="H813" s="230"/>
      <c r="I813" s="230"/>
      <c r="J813" s="230"/>
      <c r="K813" s="230"/>
      <c r="L813" s="230"/>
      <c r="M813" s="230"/>
    </row>
    <row r="814">
      <c r="A814" s="230"/>
      <c r="B814" s="230"/>
      <c r="C814" s="230"/>
      <c r="D814" s="230"/>
      <c r="E814" s="230"/>
      <c r="F814" s="230"/>
      <c r="G814" s="230"/>
      <c r="H814" s="230"/>
      <c r="I814" s="230"/>
      <c r="J814" s="230"/>
      <c r="K814" s="230"/>
      <c r="L814" s="230"/>
      <c r="M814" s="230"/>
    </row>
    <row r="815">
      <c r="A815" s="230"/>
      <c r="B815" s="230"/>
      <c r="C815" s="230"/>
      <c r="D815" s="230"/>
      <c r="E815" s="230"/>
      <c r="F815" s="230"/>
      <c r="G815" s="230"/>
      <c r="H815" s="230"/>
      <c r="I815" s="230"/>
      <c r="J815" s="230"/>
      <c r="K815" s="230"/>
      <c r="L815" s="230"/>
      <c r="M815" s="230"/>
    </row>
    <row r="816">
      <c r="A816" s="230"/>
      <c r="B816" s="230"/>
      <c r="C816" s="230"/>
      <c r="D816" s="230"/>
      <c r="E816" s="230"/>
      <c r="F816" s="230"/>
      <c r="G816" s="230"/>
      <c r="H816" s="230"/>
      <c r="I816" s="230"/>
      <c r="J816" s="230"/>
      <c r="K816" s="230"/>
      <c r="L816" s="230"/>
      <c r="M816" s="230"/>
    </row>
    <row r="817">
      <c r="A817" s="230"/>
      <c r="B817" s="230"/>
      <c r="C817" s="230"/>
      <c r="D817" s="230"/>
      <c r="E817" s="230"/>
      <c r="F817" s="230"/>
      <c r="G817" s="230"/>
      <c r="H817" s="230"/>
      <c r="I817" s="230"/>
      <c r="J817" s="230"/>
      <c r="K817" s="230"/>
      <c r="L817" s="230"/>
      <c r="M817" s="230"/>
    </row>
    <row r="818">
      <c r="A818" s="230"/>
      <c r="B818" s="230"/>
      <c r="C818" s="230"/>
      <c r="D818" s="230"/>
      <c r="E818" s="230"/>
      <c r="F818" s="230"/>
      <c r="G818" s="230"/>
      <c r="H818" s="230"/>
      <c r="I818" s="230"/>
      <c r="J818" s="230"/>
      <c r="K818" s="230"/>
      <c r="L818" s="230"/>
      <c r="M818" s="230"/>
    </row>
    <row r="819">
      <c r="A819" s="230"/>
      <c r="B819" s="230"/>
      <c r="C819" s="230"/>
      <c r="D819" s="230"/>
      <c r="E819" s="230"/>
      <c r="F819" s="230"/>
      <c r="G819" s="230"/>
      <c r="H819" s="230"/>
      <c r="I819" s="230"/>
      <c r="J819" s="230"/>
      <c r="K819" s="230"/>
      <c r="L819" s="230"/>
      <c r="M819" s="230"/>
    </row>
    <row r="820">
      <c r="A820" s="230"/>
      <c r="B820" s="230"/>
      <c r="C820" s="230"/>
      <c r="D820" s="230"/>
      <c r="E820" s="230"/>
      <c r="F820" s="230"/>
      <c r="G820" s="230"/>
      <c r="H820" s="230"/>
      <c r="I820" s="230"/>
      <c r="J820" s="230"/>
      <c r="K820" s="230"/>
      <c r="L820" s="230"/>
      <c r="M820" s="230"/>
    </row>
    <row r="821">
      <c r="A821" s="230"/>
      <c r="B821" s="230"/>
      <c r="C821" s="230"/>
      <c r="D821" s="230"/>
      <c r="E821" s="230"/>
      <c r="F821" s="230"/>
      <c r="G821" s="230"/>
      <c r="H821" s="230"/>
      <c r="I821" s="230"/>
      <c r="J821" s="230"/>
      <c r="K821" s="230"/>
      <c r="L821" s="230"/>
      <c r="M821" s="230"/>
    </row>
    <row r="822">
      <c r="A822" s="230"/>
      <c r="B822" s="230"/>
      <c r="C822" s="230"/>
      <c r="D822" s="230"/>
      <c r="E822" s="230"/>
      <c r="F822" s="230"/>
      <c r="G822" s="230"/>
      <c r="H822" s="230"/>
      <c r="I822" s="230"/>
      <c r="J822" s="230"/>
      <c r="K822" s="230"/>
      <c r="L822" s="230"/>
      <c r="M822" s="230"/>
    </row>
    <row r="823">
      <c r="A823" s="230"/>
      <c r="B823" s="230"/>
      <c r="C823" s="230"/>
      <c r="D823" s="230"/>
      <c r="E823" s="230"/>
      <c r="F823" s="230"/>
      <c r="G823" s="230"/>
      <c r="H823" s="230"/>
      <c r="I823" s="230"/>
      <c r="J823" s="230"/>
      <c r="K823" s="230"/>
      <c r="L823" s="230"/>
      <c r="M823" s="230"/>
    </row>
    <row r="824">
      <c r="A824" s="230"/>
      <c r="B824" s="230"/>
      <c r="C824" s="230"/>
      <c r="D824" s="230"/>
      <c r="E824" s="230"/>
      <c r="F824" s="230"/>
      <c r="G824" s="230"/>
      <c r="H824" s="230"/>
      <c r="I824" s="230"/>
      <c r="J824" s="230"/>
      <c r="K824" s="230"/>
      <c r="L824" s="230"/>
      <c r="M824" s="230"/>
    </row>
    <row r="825">
      <c r="A825" s="230"/>
      <c r="B825" s="230"/>
      <c r="C825" s="230"/>
      <c r="D825" s="230"/>
      <c r="E825" s="230"/>
      <c r="F825" s="230"/>
      <c r="G825" s="230"/>
      <c r="H825" s="230"/>
      <c r="I825" s="230"/>
      <c r="J825" s="230"/>
      <c r="K825" s="230"/>
      <c r="L825" s="230"/>
      <c r="M825" s="230"/>
    </row>
    <row r="826">
      <c r="A826" s="230"/>
      <c r="B826" s="230"/>
      <c r="C826" s="230"/>
      <c r="D826" s="230"/>
      <c r="E826" s="230"/>
      <c r="F826" s="230"/>
      <c r="G826" s="230"/>
      <c r="H826" s="230"/>
      <c r="I826" s="230"/>
      <c r="J826" s="230"/>
      <c r="K826" s="230"/>
      <c r="L826" s="230"/>
      <c r="M826" s="230"/>
    </row>
    <row r="827">
      <c r="A827" s="230"/>
      <c r="B827" s="230"/>
      <c r="C827" s="230"/>
      <c r="D827" s="230"/>
      <c r="E827" s="230"/>
      <c r="F827" s="230"/>
      <c r="G827" s="230"/>
      <c r="H827" s="230"/>
      <c r="I827" s="230"/>
      <c r="J827" s="230"/>
      <c r="K827" s="230"/>
      <c r="L827" s="230"/>
      <c r="M827" s="230"/>
    </row>
    <row r="828">
      <c r="A828" s="230"/>
      <c r="B828" s="230"/>
      <c r="C828" s="230"/>
      <c r="D828" s="230"/>
      <c r="E828" s="230"/>
      <c r="F828" s="230"/>
      <c r="G828" s="230"/>
      <c r="H828" s="230"/>
      <c r="I828" s="230"/>
      <c r="J828" s="230"/>
      <c r="K828" s="230"/>
      <c r="L828" s="230"/>
      <c r="M828" s="230"/>
    </row>
    <row r="829">
      <c r="A829" s="230"/>
      <c r="B829" s="230"/>
      <c r="C829" s="230"/>
      <c r="D829" s="230"/>
      <c r="E829" s="230"/>
      <c r="F829" s="230"/>
      <c r="G829" s="230"/>
      <c r="H829" s="230"/>
      <c r="I829" s="230"/>
      <c r="J829" s="230"/>
      <c r="K829" s="230"/>
      <c r="L829" s="230"/>
      <c r="M829" s="230"/>
    </row>
    <row r="830">
      <c r="A830" s="230"/>
      <c r="B830" s="230"/>
      <c r="C830" s="230"/>
      <c r="D830" s="230"/>
      <c r="E830" s="230"/>
      <c r="F830" s="230"/>
      <c r="G830" s="230"/>
      <c r="H830" s="230"/>
      <c r="I830" s="230"/>
      <c r="J830" s="230"/>
      <c r="K830" s="230"/>
      <c r="L830" s="230"/>
      <c r="M830" s="230"/>
    </row>
    <row r="831">
      <c r="A831" s="230"/>
      <c r="B831" s="230"/>
      <c r="C831" s="230"/>
      <c r="D831" s="230"/>
      <c r="E831" s="230"/>
      <c r="F831" s="230"/>
      <c r="G831" s="230"/>
      <c r="H831" s="230"/>
      <c r="I831" s="230"/>
      <c r="J831" s="230"/>
      <c r="K831" s="230"/>
      <c r="L831" s="230"/>
      <c r="M831" s="230"/>
    </row>
    <row r="832">
      <c r="A832" s="230"/>
      <c r="B832" s="230"/>
      <c r="C832" s="230"/>
      <c r="D832" s="230"/>
      <c r="E832" s="230"/>
      <c r="F832" s="230"/>
      <c r="G832" s="230"/>
      <c r="H832" s="230"/>
      <c r="I832" s="230"/>
      <c r="J832" s="230"/>
      <c r="K832" s="230"/>
      <c r="L832" s="230"/>
      <c r="M832" s="230"/>
    </row>
    <row r="833">
      <c r="A833" s="230"/>
      <c r="B833" s="230"/>
      <c r="C833" s="230"/>
      <c r="D833" s="230"/>
      <c r="E833" s="230"/>
      <c r="F833" s="230"/>
      <c r="G833" s="230"/>
      <c r="H833" s="230"/>
      <c r="I833" s="230"/>
      <c r="J833" s="230"/>
      <c r="K833" s="230"/>
      <c r="L833" s="230"/>
      <c r="M833" s="230"/>
    </row>
    <row r="834">
      <c r="A834" s="230"/>
      <c r="B834" s="230"/>
      <c r="C834" s="230"/>
      <c r="D834" s="230"/>
      <c r="E834" s="230"/>
      <c r="F834" s="230"/>
      <c r="G834" s="230"/>
      <c r="H834" s="230"/>
      <c r="I834" s="230"/>
      <c r="J834" s="230"/>
      <c r="K834" s="230"/>
      <c r="L834" s="230"/>
      <c r="M834" s="230"/>
    </row>
    <row r="835">
      <c r="A835" s="230"/>
      <c r="B835" s="230"/>
      <c r="C835" s="230"/>
      <c r="D835" s="230"/>
      <c r="E835" s="230"/>
      <c r="F835" s="230"/>
      <c r="G835" s="230"/>
      <c r="H835" s="230"/>
      <c r="I835" s="230"/>
      <c r="J835" s="230"/>
      <c r="K835" s="230"/>
      <c r="L835" s="230"/>
      <c r="M835" s="230"/>
    </row>
    <row r="836">
      <c r="A836" s="230"/>
      <c r="B836" s="230"/>
      <c r="C836" s="230"/>
      <c r="D836" s="230"/>
      <c r="E836" s="230"/>
      <c r="F836" s="230"/>
      <c r="G836" s="230"/>
      <c r="H836" s="230"/>
      <c r="I836" s="230"/>
      <c r="J836" s="230"/>
      <c r="K836" s="230"/>
      <c r="L836" s="230"/>
      <c r="M836" s="230"/>
    </row>
    <row r="837">
      <c r="A837" s="230"/>
      <c r="B837" s="230"/>
      <c r="C837" s="230"/>
      <c r="D837" s="230"/>
      <c r="E837" s="230"/>
      <c r="F837" s="230"/>
      <c r="G837" s="230"/>
      <c r="H837" s="230"/>
      <c r="I837" s="230"/>
      <c r="J837" s="230"/>
      <c r="K837" s="230"/>
      <c r="L837" s="230"/>
      <c r="M837" s="230"/>
    </row>
    <row r="838">
      <c r="A838" s="230"/>
      <c r="B838" s="230"/>
      <c r="C838" s="230"/>
      <c r="D838" s="230"/>
      <c r="E838" s="230"/>
      <c r="F838" s="230"/>
      <c r="G838" s="230"/>
      <c r="H838" s="230"/>
      <c r="I838" s="230"/>
      <c r="J838" s="230"/>
      <c r="K838" s="230"/>
      <c r="L838" s="230"/>
      <c r="M838" s="230"/>
    </row>
    <row r="839">
      <c r="A839" s="230"/>
      <c r="B839" s="230"/>
      <c r="C839" s="230"/>
      <c r="D839" s="230"/>
      <c r="E839" s="230"/>
      <c r="F839" s="230"/>
      <c r="G839" s="230"/>
      <c r="H839" s="230"/>
      <c r="I839" s="230"/>
      <c r="J839" s="230"/>
      <c r="K839" s="230"/>
      <c r="L839" s="230"/>
      <c r="M839" s="230"/>
    </row>
    <row r="840">
      <c r="A840" s="230"/>
      <c r="B840" s="230"/>
      <c r="C840" s="230"/>
      <c r="D840" s="230"/>
      <c r="E840" s="230"/>
      <c r="F840" s="230"/>
      <c r="G840" s="230"/>
      <c r="H840" s="230"/>
      <c r="I840" s="230"/>
      <c r="J840" s="230"/>
      <c r="K840" s="230"/>
      <c r="L840" s="230"/>
      <c r="M840" s="230"/>
    </row>
    <row r="841">
      <c r="A841" s="230"/>
      <c r="B841" s="230"/>
      <c r="C841" s="230"/>
      <c r="D841" s="230"/>
      <c r="E841" s="230"/>
      <c r="F841" s="230"/>
      <c r="G841" s="230"/>
      <c r="H841" s="230"/>
      <c r="I841" s="230"/>
      <c r="J841" s="230"/>
      <c r="K841" s="230"/>
      <c r="L841" s="230"/>
      <c r="M841" s="230"/>
    </row>
    <row r="842">
      <c r="A842" s="230"/>
      <c r="B842" s="230"/>
      <c r="C842" s="230"/>
      <c r="D842" s="230"/>
      <c r="E842" s="230"/>
      <c r="F842" s="230"/>
      <c r="G842" s="230"/>
      <c r="H842" s="230"/>
      <c r="I842" s="230"/>
      <c r="J842" s="230"/>
      <c r="K842" s="230"/>
      <c r="L842" s="230"/>
      <c r="M842" s="230"/>
    </row>
    <row r="843">
      <c r="A843" s="230"/>
      <c r="B843" s="230"/>
      <c r="C843" s="230"/>
      <c r="D843" s="230"/>
      <c r="E843" s="230"/>
      <c r="F843" s="230"/>
      <c r="G843" s="230"/>
      <c r="H843" s="230"/>
      <c r="I843" s="230"/>
      <c r="J843" s="230"/>
      <c r="K843" s="230"/>
      <c r="L843" s="230"/>
      <c r="M843" s="230"/>
    </row>
    <row r="844">
      <c r="A844" s="230"/>
      <c r="B844" s="230"/>
      <c r="C844" s="230"/>
      <c r="D844" s="230"/>
      <c r="E844" s="230"/>
      <c r="F844" s="230"/>
      <c r="G844" s="230"/>
      <c r="H844" s="230"/>
      <c r="I844" s="230"/>
      <c r="J844" s="230"/>
      <c r="K844" s="230"/>
      <c r="L844" s="230"/>
      <c r="M844" s="230"/>
    </row>
    <row r="845">
      <c r="A845" s="230"/>
      <c r="B845" s="230"/>
      <c r="C845" s="230"/>
      <c r="D845" s="230"/>
      <c r="E845" s="230"/>
      <c r="F845" s="230"/>
      <c r="G845" s="230"/>
      <c r="H845" s="230"/>
      <c r="I845" s="230"/>
      <c r="J845" s="230"/>
      <c r="K845" s="230"/>
      <c r="L845" s="230"/>
      <c r="M845" s="230"/>
    </row>
    <row r="846">
      <c r="A846" s="230"/>
      <c r="B846" s="230"/>
      <c r="C846" s="230"/>
      <c r="D846" s="230"/>
      <c r="E846" s="230"/>
      <c r="F846" s="230"/>
      <c r="G846" s="230"/>
      <c r="H846" s="230"/>
      <c r="I846" s="230"/>
      <c r="J846" s="230"/>
      <c r="K846" s="230"/>
      <c r="L846" s="230"/>
      <c r="M846" s="230"/>
    </row>
    <row r="847">
      <c r="A847" s="230"/>
      <c r="B847" s="230"/>
      <c r="C847" s="230"/>
      <c r="D847" s="230"/>
      <c r="E847" s="230"/>
      <c r="F847" s="230"/>
      <c r="G847" s="230"/>
      <c r="H847" s="230"/>
      <c r="I847" s="230"/>
      <c r="J847" s="230"/>
      <c r="K847" s="230"/>
      <c r="L847" s="230"/>
      <c r="M847" s="230"/>
    </row>
    <row r="848">
      <c r="A848" s="230"/>
      <c r="B848" s="230"/>
      <c r="C848" s="230"/>
      <c r="D848" s="230"/>
      <c r="E848" s="230"/>
      <c r="F848" s="230"/>
      <c r="G848" s="230"/>
      <c r="H848" s="230"/>
      <c r="I848" s="230"/>
      <c r="J848" s="230"/>
      <c r="K848" s="230"/>
      <c r="L848" s="230"/>
      <c r="M848" s="230"/>
    </row>
    <row r="849">
      <c r="A849" s="230"/>
      <c r="B849" s="230"/>
      <c r="C849" s="230"/>
      <c r="D849" s="230"/>
      <c r="E849" s="230"/>
      <c r="F849" s="230"/>
      <c r="G849" s="230"/>
      <c r="H849" s="230"/>
      <c r="I849" s="230"/>
      <c r="J849" s="230"/>
      <c r="K849" s="230"/>
      <c r="L849" s="230"/>
      <c r="M849" s="230"/>
    </row>
    <row r="850">
      <c r="A850" s="230"/>
      <c r="B850" s="230"/>
      <c r="C850" s="230"/>
      <c r="D850" s="230"/>
      <c r="E850" s="230"/>
      <c r="F850" s="230"/>
      <c r="G850" s="230"/>
      <c r="H850" s="230"/>
      <c r="I850" s="230"/>
      <c r="J850" s="230"/>
      <c r="K850" s="230"/>
      <c r="L850" s="230"/>
      <c r="M850" s="230"/>
    </row>
    <row r="851">
      <c r="A851" s="230"/>
      <c r="B851" s="230"/>
      <c r="C851" s="230"/>
      <c r="D851" s="230"/>
      <c r="E851" s="230"/>
      <c r="F851" s="230"/>
      <c r="G851" s="230"/>
      <c r="H851" s="230"/>
      <c r="I851" s="230"/>
      <c r="J851" s="230"/>
      <c r="K851" s="230"/>
      <c r="L851" s="230"/>
      <c r="M851" s="230"/>
    </row>
    <row r="852">
      <c r="A852" s="230"/>
      <c r="B852" s="230"/>
      <c r="C852" s="230"/>
      <c r="D852" s="230"/>
      <c r="E852" s="230"/>
      <c r="F852" s="230"/>
      <c r="G852" s="230"/>
      <c r="H852" s="230"/>
      <c r="I852" s="230"/>
      <c r="J852" s="230"/>
      <c r="K852" s="230"/>
      <c r="L852" s="230"/>
      <c r="M852" s="230"/>
    </row>
    <row r="853">
      <c r="A853" s="230"/>
      <c r="B853" s="230"/>
      <c r="C853" s="230"/>
      <c r="D853" s="230"/>
      <c r="E853" s="230"/>
      <c r="F853" s="230"/>
      <c r="G853" s="230"/>
      <c r="H853" s="230"/>
      <c r="I853" s="230"/>
      <c r="J853" s="230"/>
      <c r="K853" s="230"/>
      <c r="L853" s="230"/>
      <c r="M853" s="230"/>
    </row>
    <row r="854">
      <c r="A854" s="230"/>
      <c r="B854" s="230"/>
      <c r="C854" s="230"/>
      <c r="D854" s="230"/>
      <c r="E854" s="230"/>
      <c r="F854" s="230"/>
      <c r="G854" s="230"/>
      <c r="H854" s="230"/>
      <c r="I854" s="230"/>
      <c r="J854" s="230"/>
      <c r="K854" s="230"/>
      <c r="L854" s="230"/>
      <c r="M854" s="230"/>
    </row>
    <row r="855">
      <c r="A855" s="230"/>
      <c r="B855" s="230"/>
      <c r="C855" s="230"/>
      <c r="D855" s="230"/>
      <c r="E855" s="230"/>
      <c r="F855" s="230"/>
      <c r="G855" s="230"/>
      <c r="H855" s="230"/>
      <c r="I855" s="230"/>
      <c r="J855" s="230"/>
      <c r="K855" s="230"/>
      <c r="L855" s="230"/>
      <c r="M855" s="230"/>
    </row>
    <row r="856">
      <c r="A856" s="230"/>
      <c r="B856" s="230"/>
      <c r="C856" s="230"/>
      <c r="D856" s="230"/>
      <c r="E856" s="230"/>
      <c r="F856" s="230"/>
      <c r="G856" s="230"/>
      <c r="H856" s="230"/>
      <c r="I856" s="230"/>
      <c r="J856" s="230"/>
      <c r="K856" s="230"/>
      <c r="L856" s="230"/>
      <c r="M856" s="230"/>
    </row>
    <row r="857">
      <c r="A857" s="230"/>
      <c r="B857" s="230"/>
      <c r="C857" s="230"/>
      <c r="D857" s="230"/>
      <c r="E857" s="230"/>
      <c r="F857" s="230"/>
      <c r="G857" s="230"/>
      <c r="H857" s="230"/>
      <c r="I857" s="230"/>
      <c r="J857" s="230"/>
      <c r="K857" s="230"/>
      <c r="L857" s="230"/>
      <c r="M857" s="230"/>
    </row>
    <row r="858">
      <c r="A858" s="230"/>
      <c r="B858" s="230"/>
      <c r="C858" s="230"/>
      <c r="D858" s="230"/>
      <c r="E858" s="230"/>
      <c r="F858" s="230"/>
      <c r="G858" s="230"/>
      <c r="H858" s="230"/>
      <c r="I858" s="230"/>
      <c r="J858" s="230"/>
      <c r="K858" s="230"/>
      <c r="L858" s="230"/>
      <c r="M858" s="230"/>
    </row>
    <row r="859">
      <c r="A859" s="230"/>
      <c r="B859" s="230"/>
      <c r="C859" s="230"/>
      <c r="D859" s="230"/>
      <c r="E859" s="230"/>
      <c r="F859" s="230"/>
      <c r="G859" s="230"/>
      <c r="H859" s="230"/>
      <c r="I859" s="230"/>
      <c r="J859" s="230"/>
      <c r="K859" s="230"/>
      <c r="L859" s="230"/>
      <c r="M859" s="230"/>
    </row>
    <row r="860">
      <c r="A860" s="230"/>
      <c r="B860" s="230"/>
      <c r="C860" s="230"/>
      <c r="D860" s="230"/>
      <c r="E860" s="230"/>
      <c r="F860" s="230"/>
      <c r="G860" s="230"/>
      <c r="H860" s="230"/>
      <c r="I860" s="230"/>
      <c r="J860" s="230"/>
      <c r="K860" s="230"/>
      <c r="L860" s="230"/>
      <c r="M860" s="230"/>
    </row>
    <row r="861">
      <c r="A861" s="230"/>
      <c r="B861" s="230"/>
      <c r="C861" s="230"/>
      <c r="D861" s="230"/>
      <c r="E861" s="230"/>
      <c r="F861" s="230"/>
      <c r="G861" s="230"/>
      <c r="H861" s="230"/>
      <c r="I861" s="230"/>
      <c r="J861" s="230"/>
      <c r="K861" s="230"/>
      <c r="L861" s="230"/>
      <c r="M861" s="230"/>
    </row>
    <row r="862">
      <c r="A862" s="230"/>
      <c r="B862" s="230"/>
      <c r="C862" s="230"/>
      <c r="D862" s="230"/>
      <c r="E862" s="230"/>
      <c r="F862" s="230"/>
      <c r="G862" s="230"/>
      <c r="H862" s="230"/>
      <c r="I862" s="230"/>
      <c r="J862" s="230"/>
      <c r="K862" s="230"/>
      <c r="L862" s="230"/>
      <c r="M862" s="230"/>
    </row>
    <row r="863">
      <c r="A863" s="230"/>
      <c r="B863" s="230"/>
      <c r="C863" s="230"/>
      <c r="D863" s="230"/>
      <c r="E863" s="230"/>
      <c r="F863" s="230"/>
      <c r="G863" s="230"/>
      <c r="H863" s="230"/>
      <c r="I863" s="230"/>
      <c r="J863" s="230"/>
      <c r="K863" s="230"/>
      <c r="L863" s="230"/>
      <c r="M863" s="230"/>
    </row>
    <row r="864">
      <c r="A864" s="230"/>
      <c r="B864" s="230"/>
      <c r="C864" s="230"/>
      <c r="D864" s="230"/>
      <c r="E864" s="230"/>
      <c r="F864" s="230"/>
      <c r="G864" s="230"/>
      <c r="H864" s="230"/>
      <c r="I864" s="230"/>
      <c r="J864" s="230"/>
      <c r="K864" s="230"/>
      <c r="L864" s="230"/>
      <c r="M864" s="230"/>
    </row>
    <row r="865">
      <c r="A865" s="230"/>
      <c r="B865" s="230"/>
      <c r="C865" s="230"/>
      <c r="D865" s="230"/>
      <c r="E865" s="230"/>
      <c r="F865" s="230"/>
      <c r="G865" s="230"/>
      <c r="H865" s="230"/>
      <c r="I865" s="230"/>
      <c r="J865" s="230"/>
      <c r="K865" s="230"/>
      <c r="L865" s="230"/>
      <c r="M865" s="230"/>
    </row>
    <row r="866">
      <c r="A866" s="230"/>
      <c r="B866" s="230"/>
      <c r="C866" s="230"/>
      <c r="D866" s="230"/>
      <c r="E866" s="230"/>
      <c r="F866" s="230"/>
      <c r="G866" s="230"/>
      <c r="H866" s="230"/>
      <c r="I866" s="230"/>
      <c r="J866" s="230"/>
      <c r="K866" s="230"/>
      <c r="L866" s="230"/>
      <c r="M866" s="230"/>
    </row>
    <row r="867">
      <c r="A867" s="230"/>
      <c r="B867" s="230"/>
      <c r="C867" s="230"/>
      <c r="D867" s="230"/>
      <c r="E867" s="230"/>
      <c r="F867" s="230"/>
      <c r="G867" s="230"/>
      <c r="H867" s="230"/>
      <c r="I867" s="230"/>
      <c r="J867" s="230"/>
      <c r="K867" s="230"/>
      <c r="L867" s="230"/>
      <c r="M867" s="230"/>
    </row>
    <row r="868">
      <c r="A868" s="230"/>
      <c r="B868" s="230"/>
      <c r="C868" s="230"/>
      <c r="D868" s="230"/>
      <c r="E868" s="230"/>
      <c r="F868" s="230"/>
      <c r="G868" s="230"/>
      <c r="H868" s="230"/>
      <c r="I868" s="230"/>
      <c r="J868" s="230"/>
      <c r="K868" s="230"/>
      <c r="L868" s="230"/>
      <c r="M868" s="230"/>
    </row>
    <row r="869">
      <c r="A869" s="230"/>
      <c r="B869" s="230"/>
      <c r="C869" s="230"/>
      <c r="D869" s="230"/>
      <c r="E869" s="230"/>
      <c r="F869" s="230"/>
      <c r="G869" s="230"/>
      <c r="H869" s="230"/>
      <c r="I869" s="230"/>
      <c r="J869" s="230"/>
      <c r="K869" s="230"/>
      <c r="L869" s="230"/>
      <c r="M869" s="230"/>
    </row>
    <row r="870">
      <c r="A870" s="230"/>
      <c r="B870" s="230"/>
      <c r="C870" s="230"/>
      <c r="D870" s="230"/>
      <c r="E870" s="230"/>
      <c r="F870" s="230"/>
      <c r="G870" s="230"/>
      <c r="H870" s="230"/>
      <c r="I870" s="230"/>
      <c r="J870" s="230"/>
      <c r="K870" s="230"/>
      <c r="L870" s="230"/>
      <c r="M870" s="230"/>
    </row>
    <row r="871">
      <c r="A871" s="230"/>
      <c r="B871" s="230"/>
      <c r="C871" s="230"/>
      <c r="D871" s="230"/>
      <c r="E871" s="230"/>
      <c r="F871" s="230"/>
      <c r="G871" s="230"/>
      <c r="H871" s="230"/>
      <c r="I871" s="230"/>
      <c r="J871" s="230"/>
      <c r="K871" s="230"/>
      <c r="L871" s="230"/>
      <c r="M871" s="230"/>
    </row>
    <row r="872">
      <c r="A872" s="230"/>
      <c r="B872" s="230"/>
      <c r="C872" s="230"/>
      <c r="D872" s="230"/>
      <c r="E872" s="230"/>
      <c r="F872" s="230"/>
      <c r="G872" s="230"/>
      <c r="H872" s="230"/>
      <c r="I872" s="230"/>
      <c r="J872" s="230"/>
      <c r="K872" s="230"/>
      <c r="L872" s="230"/>
      <c r="M872" s="230"/>
    </row>
    <row r="873">
      <c r="A873" s="230"/>
      <c r="B873" s="230"/>
      <c r="C873" s="230"/>
      <c r="D873" s="230"/>
      <c r="E873" s="230"/>
      <c r="F873" s="230"/>
      <c r="G873" s="230"/>
      <c r="H873" s="230"/>
      <c r="I873" s="230"/>
      <c r="J873" s="230"/>
      <c r="K873" s="230"/>
      <c r="L873" s="230"/>
      <c r="M873" s="230"/>
    </row>
    <row r="874">
      <c r="A874" s="230"/>
      <c r="B874" s="230"/>
      <c r="C874" s="230"/>
      <c r="D874" s="230"/>
      <c r="E874" s="230"/>
      <c r="F874" s="230"/>
      <c r="G874" s="230"/>
      <c r="H874" s="230"/>
      <c r="I874" s="230"/>
      <c r="J874" s="230"/>
      <c r="K874" s="230"/>
      <c r="L874" s="230"/>
      <c r="M874" s="230"/>
    </row>
    <row r="875">
      <c r="A875" s="230"/>
      <c r="B875" s="230"/>
      <c r="C875" s="230"/>
      <c r="D875" s="230"/>
      <c r="E875" s="230"/>
      <c r="F875" s="230"/>
      <c r="G875" s="230"/>
      <c r="H875" s="230"/>
      <c r="I875" s="230"/>
      <c r="J875" s="230"/>
      <c r="K875" s="230"/>
      <c r="L875" s="230"/>
      <c r="M875" s="230"/>
    </row>
    <row r="876">
      <c r="A876" s="230"/>
      <c r="B876" s="230"/>
      <c r="C876" s="230"/>
      <c r="D876" s="230"/>
      <c r="E876" s="230"/>
      <c r="F876" s="230"/>
      <c r="G876" s="230"/>
      <c r="H876" s="230"/>
      <c r="I876" s="230"/>
      <c r="J876" s="230"/>
      <c r="K876" s="230"/>
      <c r="L876" s="230"/>
      <c r="M876" s="230"/>
    </row>
    <row r="877">
      <c r="A877" s="230"/>
      <c r="B877" s="230"/>
      <c r="C877" s="230"/>
      <c r="D877" s="230"/>
      <c r="E877" s="230"/>
      <c r="F877" s="230"/>
      <c r="G877" s="230"/>
      <c r="H877" s="230"/>
      <c r="I877" s="230"/>
      <c r="J877" s="230"/>
      <c r="K877" s="230"/>
      <c r="L877" s="230"/>
      <c r="M877" s="230"/>
    </row>
    <row r="878">
      <c r="A878" s="230"/>
      <c r="B878" s="230"/>
      <c r="C878" s="230"/>
      <c r="D878" s="230"/>
      <c r="E878" s="230"/>
      <c r="F878" s="230"/>
      <c r="G878" s="230"/>
      <c r="H878" s="230"/>
      <c r="I878" s="230"/>
      <c r="J878" s="230"/>
      <c r="K878" s="230"/>
      <c r="L878" s="230"/>
      <c r="M878" s="230"/>
    </row>
    <row r="879">
      <c r="A879" s="230"/>
      <c r="B879" s="230"/>
      <c r="C879" s="230"/>
      <c r="D879" s="230"/>
      <c r="E879" s="230"/>
      <c r="F879" s="230"/>
      <c r="G879" s="230"/>
      <c r="H879" s="230"/>
      <c r="I879" s="230"/>
      <c r="J879" s="230"/>
      <c r="K879" s="230"/>
      <c r="L879" s="230"/>
      <c r="M879" s="230"/>
    </row>
    <row r="880">
      <c r="A880" s="230"/>
      <c r="B880" s="230"/>
      <c r="C880" s="230"/>
      <c r="D880" s="230"/>
      <c r="E880" s="230"/>
      <c r="F880" s="230"/>
      <c r="G880" s="230"/>
      <c r="H880" s="230"/>
      <c r="I880" s="230"/>
      <c r="J880" s="230"/>
      <c r="K880" s="230"/>
      <c r="L880" s="230"/>
      <c r="M880" s="230"/>
    </row>
    <row r="881">
      <c r="A881" s="230"/>
      <c r="B881" s="230"/>
      <c r="C881" s="230"/>
      <c r="D881" s="230"/>
      <c r="E881" s="230"/>
      <c r="F881" s="230"/>
      <c r="G881" s="230"/>
      <c r="H881" s="230"/>
      <c r="I881" s="230"/>
      <c r="J881" s="230"/>
      <c r="K881" s="230"/>
      <c r="L881" s="230"/>
      <c r="M881" s="230"/>
    </row>
    <row r="882">
      <c r="A882" s="230"/>
      <c r="B882" s="230"/>
      <c r="C882" s="230"/>
      <c r="D882" s="230"/>
      <c r="E882" s="230"/>
      <c r="F882" s="230"/>
      <c r="G882" s="230"/>
      <c r="H882" s="230"/>
      <c r="I882" s="230"/>
      <c r="J882" s="230"/>
      <c r="K882" s="230"/>
      <c r="L882" s="230"/>
      <c r="M882" s="230"/>
    </row>
    <row r="883">
      <c r="A883" s="230"/>
      <c r="B883" s="230"/>
      <c r="C883" s="230"/>
      <c r="D883" s="230"/>
      <c r="E883" s="230"/>
      <c r="F883" s="230"/>
      <c r="G883" s="230"/>
      <c r="H883" s="230"/>
      <c r="I883" s="230"/>
      <c r="J883" s="230"/>
      <c r="K883" s="230"/>
      <c r="L883" s="230"/>
      <c r="M883" s="230"/>
    </row>
    <row r="884">
      <c r="A884" s="230"/>
      <c r="B884" s="230"/>
      <c r="C884" s="230"/>
      <c r="D884" s="230"/>
      <c r="E884" s="230"/>
      <c r="F884" s="230"/>
      <c r="G884" s="230"/>
      <c r="H884" s="230"/>
      <c r="I884" s="230"/>
      <c r="J884" s="230"/>
      <c r="K884" s="230"/>
      <c r="L884" s="230"/>
      <c r="M884" s="230"/>
    </row>
    <row r="885">
      <c r="A885" s="230"/>
      <c r="B885" s="230"/>
      <c r="C885" s="230"/>
      <c r="D885" s="230"/>
      <c r="E885" s="230"/>
      <c r="F885" s="230"/>
      <c r="G885" s="230"/>
      <c r="H885" s="230"/>
      <c r="I885" s="230"/>
      <c r="J885" s="230"/>
      <c r="K885" s="230"/>
      <c r="L885" s="230"/>
      <c r="M885" s="230"/>
    </row>
    <row r="886">
      <c r="A886" s="230"/>
      <c r="B886" s="230"/>
      <c r="C886" s="230"/>
      <c r="D886" s="230"/>
      <c r="E886" s="230"/>
      <c r="F886" s="230"/>
      <c r="G886" s="230"/>
      <c r="H886" s="230"/>
      <c r="I886" s="230"/>
      <c r="J886" s="230"/>
      <c r="K886" s="230"/>
      <c r="L886" s="230"/>
      <c r="M886" s="230"/>
    </row>
    <row r="887">
      <c r="A887" s="230"/>
      <c r="B887" s="230"/>
      <c r="C887" s="230"/>
      <c r="D887" s="230"/>
      <c r="E887" s="230"/>
      <c r="F887" s="230"/>
      <c r="G887" s="230"/>
      <c r="H887" s="230"/>
      <c r="I887" s="230"/>
      <c r="J887" s="230"/>
      <c r="K887" s="230"/>
      <c r="L887" s="230"/>
      <c r="M887" s="230"/>
    </row>
    <row r="888">
      <c r="A888" s="230"/>
      <c r="B888" s="230"/>
      <c r="C888" s="230"/>
      <c r="D888" s="230"/>
      <c r="E888" s="230"/>
      <c r="F888" s="230"/>
      <c r="G888" s="230"/>
      <c r="H888" s="230"/>
      <c r="I888" s="230"/>
      <c r="J888" s="230"/>
      <c r="K888" s="230"/>
      <c r="L888" s="230"/>
      <c r="M888" s="230"/>
    </row>
    <row r="889">
      <c r="A889" s="230"/>
      <c r="B889" s="230"/>
      <c r="C889" s="230"/>
      <c r="D889" s="230"/>
      <c r="E889" s="230"/>
      <c r="F889" s="230"/>
      <c r="G889" s="230"/>
      <c r="H889" s="230"/>
      <c r="I889" s="230"/>
      <c r="J889" s="230"/>
      <c r="K889" s="230"/>
      <c r="L889" s="230"/>
      <c r="M889" s="230"/>
    </row>
    <row r="890">
      <c r="A890" s="230"/>
      <c r="B890" s="230"/>
      <c r="C890" s="230"/>
      <c r="D890" s="230"/>
      <c r="E890" s="230"/>
      <c r="F890" s="230"/>
      <c r="G890" s="230"/>
      <c r="H890" s="230"/>
      <c r="I890" s="230"/>
      <c r="J890" s="230"/>
      <c r="K890" s="230"/>
      <c r="L890" s="230"/>
      <c r="M890" s="230"/>
    </row>
    <row r="891">
      <c r="A891" s="230"/>
      <c r="B891" s="230"/>
      <c r="C891" s="230"/>
      <c r="D891" s="230"/>
      <c r="E891" s="230"/>
      <c r="F891" s="230"/>
      <c r="G891" s="230"/>
      <c r="H891" s="230"/>
      <c r="I891" s="230"/>
      <c r="J891" s="230"/>
      <c r="K891" s="230"/>
      <c r="L891" s="230"/>
      <c r="M891" s="230"/>
    </row>
    <row r="892">
      <c r="A892" s="230"/>
      <c r="B892" s="230"/>
      <c r="C892" s="230"/>
      <c r="D892" s="230"/>
      <c r="E892" s="230"/>
      <c r="F892" s="230"/>
      <c r="G892" s="230"/>
      <c r="H892" s="230"/>
      <c r="I892" s="230"/>
      <c r="J892" s="230"/>
      <c r="K892" s="230"/>
      <c r="L892" s="230"/>
      <c r="M892" s="230"/>
    </row>
    <row r="893">
      <c r="A893" s="230"/>
      <c r="B893" s="230"/>
      <c r="C893" s="230"/>
      <c r="D893" s="230"/>
      <c r="E893" s="230"/>
      <c r="F893" s="230"/>
      <c r="G893" s="230"/>
      <c r="H893" s="230"/>
      <c r="I893" s="230"/>
      <c r="J893" s="230"/>
      <c r="K893" s="230"/>
      <c r="L893" s="230"/>
      <c r="M893" s="230"/>
    </row>
    <row r="894">
      <c r="A894" s="230"/>
      <c r="B894" s="230"/>
      <c r="C894" s="230"/>
      <c r="D894" s="230"/>
      <c r="E894" s="230"/>
      <c r="F894" s="230"/>
      <c r="G894" s="230"/>
      <c r="H894" s="230"/>
      <c r="I894" s="230"/>
      <c r="J894" s="230"/>
      <c r="K894" s="230"/>
      <c r="L894" s="230"/>
      <c r="M894" s="230"/>
    </row>
    <row r="895">
      <c r="A895" s="230"/>
      <c r="B895" s="230"/>
      <c r="C895" s="230"/>
      <c r="D895" s="230"/>
      <c r="E895" s="230"/>
      <c r="F895" s="230"/>
      <c r="G895" s="230"/>
      <c r="H895" s="230"/>
      <c r="I895" s="230"/>
      <c r="J895" s="230"/>
      <c r="K895" s="230"/>
      <c r="L895" s="230"/>
      <c r="M895" s="230"/>
    </row>
    <row r="896">
      <c r="A896" s="230"/>
      <c r="B896" s="230"/>
      <c r="C896" s="230"/>
      <c r="D896" s="230"/>
      <c r="E896" s="230"/>
      <c r="F896" s="230"/>
      <c r="G896" s="230"/>
      <c r="H896" s="230"/>
      <c r="I896" s="230"/>
      <c r="J896" s="230"/>
      <c r="K896" s="230"/>
      <c r="L896" s="230"/>
      <c r="M896" s="230"/>
    </row>
    <row r="897">
      <c r="A897" s="230"/>
      <c r="B897" s="230"/>
      <c r="C897" s="230"/>
      <c r="D897" s="230"/>
      <c r="E897" s="230"/>
      <c r="F897" s="230"/>
      <c r="G897" s="230"/>
      <c r="H897" s="230"/>
      <c r="I897" s="230"/>
      <c r="J897" s="230"/>
      <c r="K897" s="230"/>
      <c r="L897" s="230"/>
      <c r="M897" s="230"/>
    </row>
    <row r="898">
      <c r="A898" s="230"/>
      <c r="B898" s="230"/>
      <c r="C898" s="230"/>
      <c r="D898" s="230"/>
      <c r="E898" s="230"/>
      <c r="F898" s="230"/>
      <c r="G898" s="230"/>
      <c r="H898" s="230"/>
      <c r="I898" s="230"/>
      <c r="J898" s="230"/>
      <c r="K898" s="230"/>
      <c r="L898" s="230"/>
      <c r="M898" s="230"/>
    </row>
    <row r="899">
      <c r="A899" s="230"/>
      <c r="B899" s="230"/>
      <c r="C899" s="230"/>
      <c r="D899" s="230"/>
      <c r="E899" s="230"/>
      <c r="F899" s="230"/>
      <c r="G899" s="230"/>
      <c r="H899" s="230"/>
      <c r="I899" s="230"/>
      <c r="J899" s="230"/>
      <c r="K899" s="230"/>
      <c r="L899" s="230"/>
      <c r="M899" s="230"/>
    </row>
    <row r="900">
      <c r="A900" s="230"/>
      <c r="B900" s="230"/>
      <c r="C900" s="230"/>
      <c r="D900" s="230"/>
      <c r="E900" s="230"/>
      <c r="F900" s="230"/>
      <c r="G900" s="230"/>
      <c r="H900" s="230"/>
      <c r="I900" s="230"/>
      <c r="J900" s="230"/>
      <c r="K900" s="230"/>
      <c r="L900" s="230"/>
      <c r="M900" s="230"/>
    </row>
    <row r="901">
      <c r="A901" s="230"/>
      <c r="B901" s="230"/>
      <c r="C901" s="230"/>
      <c r="D901" s="230"/>
      <c r="E901" s="230"/>
      <c r="F901" s="230"/>
      <c r="G901" s="230"/>
      <c r="H901" s="230"/>
      <c r="I901" s="230"/>
      <c r="J901" s="230"/>
      <c r="K901" s="230"/>
      <c r="L901" s="230"/>
      <c r="M901" s="230"/>
    </row>
    <row r="902">
      <c r="A902" s="230"/>
      <c r="B902" s="230"/>
      <c r="C902" s="230"/>
      <c r="D902" s="230"/>
      <c r="E902" s="230"/>
      <c r="F902" s="230"/>
      <c r="G902" s="230"/>
      <c r="H902" s="230"/>
      <c r="I902" s="230"/>
      <c r="J902" s="230"/>
      <c r="K902" s="230"/>
      <c r="L902" s="230"/>
      <c r="M902" s="230"/>
    </row>
    <row r="903">
      <c r="A903" s="230"/>
      <c r="B903" s="230"/>
      <c r="C903" s="230"/>
      <c r="D903" s="230"/>
      <c r="E903" s="230"/>
      <c r="F903" s="230"/>
      <c r="G903" s="230"/>
      <c r="H903" s="230"/>
      <c r="I903" s="230"/>
      <c r="J903" s="230"/>
      <c r="K903" s="230"/>
      <c r="L903" s="230"/>
      <c r="M903" s="230"/>
    </row>
    <row r="904">
      <c r="A904" s="230"/>
      <c r="B904" s="230"/>
      <c r="C904" s="230"/>
      <c r="D904" s="230"/>
      <c r="E904" s="230"/>
      <c r="F904" s="230"/>
      <c r="G904" s="230"/>
      <c r="H904" s="230"/>
      <c r="I904" s="230"/>
      <c r="J904" s="230"/>
      <c r="K904" s="230"/>
      <c r="L904" s="230"/>
      <c r="M904" s="230"/>
    </row>
    <row r="905">
      <c r="A905" s="230"/>
      <c r="B905" s="230"/>
      <c r="C905" s="230"/>
      <c r="D905" s="230"/>
      <c r="E905" s="230"/>
      <c r="F905" s="230"/>
      <c r="G905" s="230"/>
      <c r="H905" s="230"/>
      <c r="I905" s="230"/>
      <c r="J905" s="230"/>
      <c r="K905" s="230"/>
      <c r="L905" s="230"/>
      <c r="M905" s="230"/>
    </row>
    <row r="906">
      <c r="A906" s="230"/>
      <c r="B906" s="230"/>
      <c r="C906" s="230"/>
      <c r="D906" s="230"/>
      <c r="E906" s="230"/>
      <c r="F906" s="230"/>
      <c r="G906" s="230"/>
      <c r="H906" s="230"/>
      <c r="I906" s="230"/>
      <c r="J906" s="230"/>
      <c r="K906" s="230"/>
      <c r="L906" s="230"/>
      <c r="M906" s="230"/>
    </row>
    <row r="907">
      <c r="A907" s="230"/>
      <c r="B907" s="230"/>
      <c r="C907" s="230"/>
      <c r="D907" s="230"/>
      <c r="E907" s="230"/>
      <c r="F907" s="230"/>
      <c r="G907" s="230"/>
      <c r="H907" s="230"/>
      <c r="I907" s="230"/>
      <c r="J907" s="230"/>
      <c r="K907" s="230"/>
      <c r="L907" s="230"/>
      <c r="M907" s="230"/>
    </row>
    <row r="908">
      <c r="A908" s="230"/>
      <c r="B908" s="230"/>
      <c r="C908" s="230"/>
      <c r="D908" s="230"/>
      <c r="E908" s="230"/>
      <c r="F908" s="230"/>
      <c r="G908" s="230"/>
      <c r="H908" s="230"/>
      <c r="I908" s="230"/>
      <c r="J908" s="230"/>
      <c r="K908" s="230"/>
      <c r="L908" s="230"/>
      <c r="M908" s="230"/>
    </row>
    <row r="909">
      <c r="A909" s="230"/>
      <c r="B909" s="230"/>
      <c r="C909" s="230"/>
      <c r="D909" s="230"/>
      <c r="E909" s="230"/>
      <c r="F909" s="230"/>
      <c r="G909" s="230"/>
      <c r="H909" s="230"/>
      <c r="I909" s="230"/>
      <c r="J909" s="230"/>
      <c r="K909" s="230"/>
      <c r="L909" s="230"/>
      <c r="M909" s="230"/>
    </row>
    <row r="910">
      <c r="A910" s="230"/>
      <c r="B910" s="230"/>
      <c r="C910" s="230"/>
      <c r="D910" s="230"/>
      <c r="E910" s="230"/>
      <c r="F910" s="230"/>
      <c r="G910" s="230"/>
      <c r="H910" s="230"/>
      <c r="I910" s="230"/>
      <c r="J910" s="230"/>
      <c r="K910" s="230"/>
      <c r="L910" s="230"/>
      <c r="M910" s="230"/>
    </row>
    <row r="911">
      <c r="A911" s="230"/>
      <c r="B911" s="230"/>
      <c r="C911" s="230"/>
      <c r="D911" s="230"/>
      <c r="E911" s="230"/>
      <c r="F911" s="230"/>
      <c r="G911" s="230"/>
      <c r="H911" s="230"/>
      <c r="I911" s="230"/>
      <c r="J911" s="230"/>
      <c r="K911" s="230"/>
      <c r="L911" s="230"/>
      <c r="M911" s="230"/>
    </row>
    <row r="912">
      <c r="A912" s="230"/>
      <c r="B912" s="230"/>
      <c r="C912" s="230"/>
      <c r="D912" s="230"/>
      <c r="E912" s="230"/>
      <c r="F912" s="230"/>
      <c r="G912" s="230"/>
      <c r="H912" s="230"/>
      <c r="I912" s="230"/>
      <c r="J912" s="230"/>
      <c r="K912" s="230"/>
      <c r="L912" s="230"/>
      <c r="M912" s="230"/>
    </row>
    <row r="913">
      <c r="A913" s="230"/>
      <c r="B913" s="230"/>
      <c r="C913" s="230"/>
      <c r="D913" s="230"/>
      <c r="E913" s="230"/>
      <c r="F913" s="230"/>
      <c r="G913" s="230"/>
      <c r="H913" s="230"/>
      <c r="I913" s="230"/>
      <c r="J913" s="230"/>
      <c r="K913" s="230"/>
      <c r="L913" s="230"/>
      <c r="M913" s="230"/>
    </row>
    <row r="914">
      <c r="A914" s="230"/>
      <c r="B914" s="230"/>
      <c r="C914" s="230"/>
      <c r="D914" s="230"/>
      <c r="E914" s="230"/>
      <c r="F914" s="230"/>
      <c r="G914" s="230"/>
      <c r="H914" s="230"/>
      <c r="I914" s="230"/>
      <c r="J914" s="230"/>
      <c r="K914" s="230"/>
      <c r="L914" s="230"/>
      <c r="M914" s="230"/>
    </row>
    <row r="915">
      <c r="A915" s="230"/>
      <c r="B915" s="230"/>
      <c r="C915" s="230"/>
      <c r="D915" s="230"/>
      <c r="E915" s="230"/>
      <c r="F915" s="230"/>
      <c r="G915" s="230"/>
      <c r="H915" s="230"/>
      <c r="I915" s="230"/>
      <c r="J915" s="230"/>
      <c r="K915" s="230"/>
      <c r="L915" s="230"/>
      <c r="M915" s="230"/>
    </row>
    <row r="916">
      <c r="A916" s="230"/>
      <c r="B916" s="230"/>
      <c r="C916" s="230"/>
      <c r="D916" s="230"/>
      <c r="E916" s="230"/>
      <c r="F916" s="230"/>
      <c r="G916" s="230"/>
      <c r="H916" s="230"/>
      <c r="I916" s="230"/>
      <c r="J916" s="230"/>
      <c r="K916" s="230"/>
      <c r="L916" s="230"/>
      <c r="M916" s="230"/>
    </row>
    <row r="917">
      <c r="A917" s="230"/>
      <c r="B917" s="230"/>
      <c r="C917" s="230"/>
      <c r="D917" s="230"/>
      <c r="E917" s="230"/>
      <c r="F917" s="230"/>
      <c r="G917" s="230"/>
      <c r="H917" s="230"/>
      <c r="I917" s="230"/>
      <c r="J917" s="230"/>
      <c r="K917" s="230"/>
      <c r="L917" s="230"/>
      <c r="M917" s="230"/>
    </row>
    <row r="918">
      <c r="A918" s="230"/>
      <c r="B918" s="230"/>
      <c r="C918" s="230"/>
      <c r="D918" s="230"/>
      <c r="E918" s="230"/>
      <c r="F918" s="230"/>
      <c r="G918" s="230"/>
      <c r="H918" s="230"/>
      <c r="I918" s="230"/>
      <c r="J918" s="230"/>
      <c r="K918" s="230"/>
      <c r="L918" s="230"/>
      <c r="M918" s="230"/>
    </row>
    <row r="919">
      <c r="A919" s="230"/>
      <c r="B919" s="230"/>
      <c r="C919" s="230"/>
      <c r="D919" s="230"/>
      <c r="E919" s="230"/>
      <c r="F919" s="230"/>
      <c r="G919" s="230"/>
      <c r="H919" s="230"/>
      <c r="I919" s="230"/>
      <c r="J919" s="230"/>
      <c r="K919" s="230"/>
      <c r="L919" s="230"/>
      <c r="M919" s="230"/>
    </row>
    <row r="920">
      <c r="A920" s="230"/>
      <c r="B920" s="230"/>
      <c r="C920" s="230"/>
      <c r="D920" s="230"/>
      <c r="E920" s="230"/>
      <c r="F920" s="230"/>
      <c r="G920" s="230"/>
      <c r="H920" s="230"/>
      <c r="I920" s="230"/>
      <c r="J920" s="230"/>
      <c r="K920" s="230"/>
      <c r="L920" s="230"/>
      <c r="M920" s="230"/>
    </row>
    <row r="921">
      <c r="A921" s="230"/>
      <c r="B921" s="230"/>
      <c r="C921" s="230"/>
      <c r="D921" s="230"/>
      <c r="E921" s="230"/>
      <c r="F921" s="230"/>
      <c r="G921" s="230"/>
      <c r="H921" s="230"/>
      <c r="I921" s="230"/>
      <c r="J921" s="230"/>
      <c r="K921" s="230"/>
      <c r="L921" s="230"/>
      <c r="M921" s="230"/>
    </row>
    <row r="922">
      <c r="A922" s="230"/>
      <c r="B922" s="230"/>
      <c r="C922" s="230"/>
      <c r="D922" s="230"/>
      <c r="E922" s="230"/>
      <c r="F922" s="230"/>
      <c r="G922" s="230"/>
      <c r="H922" s="230"/>
      <c r="I922" s="230"/>
      <c r="J922" s="230"/>
      <c r="K922" s="230"/>
      <c r="L922" s="230"/>
      <c r="M922" s="230"/>
    </row>
    <row r="923">
      <c r="A923" s="230"/>
      <c r="B923" s="230"/>
      <c r="C923" s="230"/>
      <c r="D923" s="230"/>
      <c r="E923" s="230"/>
      <c r="F923" s="230"/>
      <c r="G923" s="230"/>
      <c r="H923" s="230"/>
      <c r="I923" s="230"/>
      <c r="J923" s="230"/>
      <c r="K923" s="230"/>
      <c r="L923" s="230"/>
      <c r="M923" s="230"/>
    </row>
    <row r="924">
      <c r="A924" s="230"/>
      <c r="B924" s="230"/>
      <c r="C924" s="230"/>
      <c r="D924" s="230"/>
      <c r="E924" s="230"/>
      <c r="F924" s="230"/>
      <c r="G924" s="230"/>
      <c r="H924" s="230"/>
      <c r="I924" s="230"/>
      <c r="J924" s="230"/>
      <c r="K924" s="230"/>
      <c r="L924" s="230"/>
      <c r="M924" s="230"/>
    </row>
    <row r="925">
      <c r="A925" s="230"/>
      <c r="B925" s="230"/>
      <c r="C925" s="230"/>
      <c r="D925" s="230"/>
      <c r="E925" s="230"/>
      <c r="F925" s="230"/>
      <c r="G925" s="230"/>
      <c r="H925" s="230"/>
      <c r="I925" s="230"/>
      <c r="J925" s="230"/>
      <c r="K925" s="230"/>
      <c r="L925" s="230"/>
      <c r="M925" s="230"/>
    </row>
    <row r="926">
      <c r="A926" s="230"/>
      <c r="B926" s="230"/>
      <c r="C926" s="230"/>
      <c r="D926" s="230"/>
      <c r="E926" s="230"/>
      <c r="F926" s="230"/>
      <c r="G926" s="230"/>
      <c r="H926" s="230"/>
      <c r="I926" s="230"/>
      <c r="J926" s="230"/>
      <c r="K926" s="230"/>
      <c r="L926" s="230"/>
      <c r="M926" s="230"/>
    </row>
    <row r="927">
      <c r="A927" s="230"/>
      <c r="B927" s="230"/>
      <c r="C927" s="230"/>
      <c r="D927" s="230"/>
      <c r="E927" s="230"/>
      <c r="F927" s="230"/>
      <c r="G927" s="230"/>
      <c r="H927" s="230"/>
      <c r="I927" s="230"/>
      <c r="J927" s="230"/>
      <c r="K927" s="230"/>
      <c r="L927" s="230"/>
      <c r="M927" s="230"/>
    </row>
    <row r="928">
      <c r="A928" s="230"/>
      <c r="B928" s="230"/>
      <c r="C928" s="230"/>
      <c r="D928" s="230"/>
      <c r="E928" s="230"/>
      <c r="F928" s="230"/>
      <c r="G928" s="230"/>
      <c r="H928" s="230"/>
      <c r="I928" s="230"/>
      <c r="J928" s="230"/>
      <c r="K928" s="230"/>
      <c r="L928" s="230"/>
      <c r="M928" s="230"/>
    </row>
    <row r="929">
      <c r="A929" s="230"/>
      <c r="B929" s="230"/>
      <c r="C929" s="230"/>
      <c r="D929" s="230"/>
      <c r="E929" s="230"/>
      <c r="F929" s="230"/>
      <c r="G929" s="230"/>
      <c r="H929" s="230"/>
      <c r="I929" s="230"/>
      <c r="J929" s="230"/>
      <c r="K929" s="230"/>
      <c r="L929" s="230"/>
      <c r="M929" s="230"/>
    </row>
    <row r="930">
      <c r="A930" s="230"/>
      <c r="B930" s="230"/>
      <c r="C930" s="230"/>
      <c r="D930" s="230"/>
      <c r="E930" s="230"/>
      <c r="F930" s="230"/>
      <c r="G930" s="230"/>
      <c r="H930" s="230"/>
      <c r="I930" s="230"/>
      <c r="J930" s="230"/>
      <c r="K930" s="230"/>
      <c r="L930" s="230"/>
      <c r="M930" s="230"/>
    </row>
    <row r="931">
      <c r="A931" s="230"/>
      <c r="B931" s="230"/>
      <c r="C931" s="230"/>
      <c r="D931" s="230"/>
      <c r="E931" s="230"/>
      <c r="F931" s="230"/>
      <c r="G931" s="230"/>
      <c r="H931" s="230"/>
      <c r="I931" s="230"/>
      <c r="J931" s="230"/>
      <c r="K931" s="230"/>
      <c r="L931" s="230"/>
      <c r="M931" s="230"/>
    </row>
    <row r="932">
      <c r="A932" s="230"/>
      <c r="B932" s="230"/>
      <c r="C932" s="230"/>
      <c r="D932" s="230"/>
      <c r="E932" s="230"/>
      <c r="F932" s="230"/>
      <c r="G932" s="230"/>
      <c r="H932" s="230"/>
      <c r="I932" s="230"/>
      <c r="J932" s="230"/>
      <c r="K932" s="230"/>
      <c r="L932" s="230"/>
      <c r="M932" s="230"/>
    </row>
    <row r="933">
      <c r="A933" s="230"/>
      <c r="B933" s="230"/>
      <c r="C933" s="230"/>
      <c r="D933" s="230"/>
      <c r="E933" s="230"/>
      <c r="F933" s="230"/>
      <c r="G933" s="230"/>
      <c r="H933" s="230"/>
      <c r="I933" s="230"/>
      <c r="J933" s="230"/>
      <c r="K933" s="230"/>
      <c r="L933" s="230"/>
      <c r="M933" s="230"/>
    </row>
    <row r="934">
      <c r="A934" s="230"/>
      <c r="B934" s="230"/>
      <c r="C934" s="230"/>
      <c r="D934" s="230"/>
      <c r="E934" s="230"/>
      <c r="F934" s="230"/>
      <c r="G934" s="230"/>
      <c r="H934" s="230"/>
      <c r="I934" s="230"/>
      <c r="J934" s="230"/>
      <c r="K934" s="230"/>
      <c r="L934" s="230"/>
      <c r="M934" s="230"/>
    </row>
    <row r="935">
      <c r="A935" s="230"/>
      <c r="B935" s="230"/>
      <c r="C935" s="230"/>
      <c r="D935" s="230"/>
      <c r="E935" s="230"/>
      <c r="F935" s="230"/>
      <c r="G935" s="230"/>
      <c r="H935" s="230"/>
      <c r="I935" s="230"/>
      <c r="J935" s="230"/>
      <c r="K935" s="230"/>
      <c r="L935" s="230"/>
      <c r="M935" s="230"/>
    </row>
    <row r="936">
      <c r="A936" s="230"/>
      <c r="B936" s="230"/>
      <c r="C936" s="230"/>
      <c r="D936" s="230"/>
      <c r="E936" s="230"/>
      <c r="F936" s="230"/>
      <c r="G936" s="230"/>
      <c r="H936" s="230"/>
      <c r="I936" s="230"/>
      <c r="J936" s="230"/>
      <c r="K936" s="230"/>
      <c r="L936" s="230"/>
      <c r="M936" s="230"/>
    </row>
    <row r="937">
      <c r="A937" s="230"/>
      <c r="B937" s="230"/>
      <c r="C937" s="230"/>
      <c r="D937" s="230"/>
      <c r="E937" s="230"/>
      <c r="F937" s="230"/>
      <c r="G937" s="230"/>
      <c r="H937" s="230"/>
      <c r="I937" s="230"/>
      <c r="J937" s="230"/>
      <c r="K937" s="230"/>
      <c r="L937" s="230"/>
      <c r="M937" s="230"/>
    </row>
    <row r="938">
      <c r="A938" s="230"/>
      <c r="B938" s="230"/>
      <c r="C938" s="230"/>
      <c r="D938" s="230"/>
      <c r="E938" s="230"/>
      <c r="F938" s="230"/>
      <c r="G938" s="230"/>
      <c r="H938" s="230"/>
      <c r="I938" s="230"/>
      <c r="J938" s="230"/>
      <c r="K938" s="230"/>
      <c r="L938" s="230"/>
      <c r="M938" s="230"/>
    </row>
    <row r="939">
      <c r="A939" s="230"/>
      <c r="B939" s="230"/>
      <c r="C939" s="230"/>
      <c r="D939" s="230"/>
      <c r="E939" s="230"/>
      <c r="F939" s="230"/>
      <c r="G939" s="230"/>
      <c r="H939" s="230"/>
      <c r="I939" s="230"/>
      <c r="J939" s="230"/>
      <c r="K939" s="230"/>
      <c r="L939" s="230"/>
      <c r="M939" s="230"/>
    </row>
    <row r="940">
      <c r="A940" s="230"/>
      <c r="B940" s="230"/>
      <c r="C940" s="230"/>
      <c r="D940" s="230"/>
      <c r="E940" s="230"/>
      <c r="F940" s="230"/>
      <c r="G940" s="230"/>
      <c r="H940" s="230"/>
      <c r="I940" s="230"/>
      <c r="J940" s="230"/>
      <c r="K940" s="230"/>
      <c r="L940" s="230"/>
      <c r="M940" s="230"/>
    </row>
    <row r="941">
      <c r="A941" s="230"/>
      <c r="B941" s="230"/>
      <c r="C941" s="230"/>
      <c r="D941" s="230"/>
      <c r="E941" s="230"/>
      <c r="F941" s="230"/>
      <c r="G941" s="230"/>
      <c r="H941" s="230"/>
      <c r="I941" s="230"/>
      <c r="J941" s="230"/>
      <c r="K941" s="230"/>
      <c r="L941" s="230"/>
      <c r="M941" s="230"/>
    </row>
    <row r="942">
      <c r="A942" s="230"/>
      <c r="B942" s="230"/>
      <c r="C942" s="230"/>
      <c r="D942" s="230"/>
      <c r="E942" s="230"/>
      <c r="F942" s="230"/>
      <c r="G942" s="230"/>
      <c r="H942" s="230"/>
      <c r="I942" s="230"/>
      <c r="J942" s="230"/>
      <c r="K942" s="230"/>
      <c r="L942" s="230"/>
      <c r="M942" s="230"/>
    </row>
    <row r="943">
      <c r="A943" s="230"/>
      <c r="B943" s="230"/>
      <c r="C943" s="230"/>
      <c r="D943" s="230"/>
      <c r="E943" s="230"/>
      <c r="F943" s="230"/>
      <c r="G943" s="230"/>
      <c r="H943" s="230"/>
      <c r="I943" s="230"/>
      <c r="J943" s="230"/>
      <c r="K943" s="230"/>
      <c r="L943" s="230"/>
      <c r="M943" s="230"/>
    </row>
    <row r="944">
      <c r="A944" s="230"/>
      <c r="B944" s="230"/>
      <c r="C944" s="230"/>
      <c r="D944" s="230"/>
      <c r="E944" s="230"/>
      <c r="F944" s="230"/>
      <c r="G944" s="230"/>
      <c r="H944" s="230"/>
      <c r="I944" s="230"/>
      <c r="J944" s="230"/>
      <c r="K944" s="230"/>
      <c r="L944" s="230"/>
      <c r="M944" s="230"/>
    </row>
    <row r="945">
      <c r="A945" s="230"/>
      <c r="B945" s="230"/>
      <c r="C945" s="230"/>
      <c r="D945" s="230"/>
      <c r="E945" s="230"/>
      <c r="F945" s="230"/>
      <c r="G945" s="230"/>
      <c r="H945" s="230"/>
      <c r="I945" s="230"/>
      <c r="J945" s="230"/>
      <c r="K945" s="230"/>
      <c r="L945" s="230"/>
      <c r="M945" s="230"/>
    </row>
    <row r="946">
      <c r="A946" s="230"/>
      <c r="B946" s="230"/>
      <c r="C946" s="230"/>
      <c r="D946" s="230"/>
      <c r="E946" s="230"/>
      <c r="F946" s="230"/>
      <c r="G946" s="230"/>
      <c r="H946" s="230"/>
      <c r="I946" s="230"/>
      <c r="J946" s="230"/>
      <c r="K946" s="230"/>
      <c r="L946" s="230"/>
      <c r="M946" s="230"/>
    </row>
    <row r="947">
      <c r="A947" s="230"/>
      <c r="B947" s="230"/>
      <c r="C947" s="230"/>
      <c r="D947" s="230"/>
      <c r="E947" s="230"/>
      <c r="F947" s="230"/>
      <c r="G947" s="230"/>
      <c r="H947" s="230"/>
      <c r="I947" s="230"/>
      <c r="J947" s="230"/>
      <c r="K947" s="230"/>
      <c r="L947" s="230"/>
      <c r="M947" s="230"/>
    </row>
    <row r="948">
      <c r="A948" s="230"/>
      <c r="B948" s="230"/>
      <c r="C948" s="230"/>
      <c r="D948" s="230"/>
      <c r="E948" s="230"/>
      <c r="F948" s="230"/>
      <c r="G948" s="230"/>
      <c r="H948" s="230"/>
      <c r="I948" s="230"/>
      <c r="J948" s="230"/>
      <c r="K948" s="230"/>
      <c r="L948" s="230"/>
      <c r="M948" s="230"/>
    </row>
    <row r="949">
      <c r="A949" s="230"/>
      <c r="B949" s="230"/>
      <c r="C949" s="230"/>
      <c r="D949" s="230"/>
      <c r="E949" s="230"/>
      <c r="F949" s="230"/>
      <c r="G949" s="230"/>
      <c r="H949" s="230"/>
      <c r="I949" s="230"/>
      <c r="J949" s="230"/>
      <c r="K949" s="230"/>
      <c r="L949" s="230"/>
      <c r="M949" s="230"/>
    </row>
    <row r="950">
      <c r="A950" s="230"/>
      <c r="B950" s="230"/>
      <c r="C950" s="230"/>
      <c r="D950" s="230"/>
      <c r="E950" s="230"/>
      <c r="F950" s="230"/>
      <c r="G950" s="230"/>
      <c r="H950" s="230"/>
      <c r="I950" s="230"/>
      <c r="J950" s="230"/>
      <c r="K950" s="230"/>
      <c r="L950" s="230"/>
      <c r="M950" s="230"/>
    </row>
    <row r="951">
      <c r="A951" s="230"/>
      <c r="B951" s="230"/>
      <c r="C951" s="230"/>
      <c r="D951" s="230"/>
      <c r="E951" s="230"/>
      <c r="F951" s="230"/>
      <c r="G951" s="230"/>
      <c r="H951" s="230"/>
      <c r="I951" s="230"/>
      <c r="J951" s="230"/>
      <c r="K951" s="230"/>
      <c r="L951" s="230"/>
      <c r="M951" s="230"/>
    </row>
    <row r="952">
      <c r="A952" s="230"/>
      <c r="B952" s="230"/>
      <c r="C952" s="230"/>
      <c r="D952" s="230"/>
      <c r="E952" s="230"/>
      <c r="F952" s="230"/>
      <c r="G952" s="230"/>
      <c r="H952" s="230"/>
      <c r="I952" s="230"/>
      <c r="J952" s="230"/>
      <c r="K952" s="230"/>
      <c r="L952" s="230"/>
      <c r="M952" s="230"/>
    </row>
    <row r="953">
      <c r="A953" s="230"/>
      <c r="B953" s="230"/>
      <c r="C953" s="230"/>
      <c r="D953" s="230"/>
      <c r="E953" s="230"/>
      <c r="F953" s="230"/>
      <c r="G953" s="230"/>
      <c r="H953" s="230"/>
      <c r="I953" s="230"/>
      <c r="J953" s="230"/>
      <c r="K953" s="230"/>
      <c r="L953" s="230"/>
      <c r="M953" s="230"/>
    </row>
    <row r="954">
      <c r="A954" s="230"/>
      <c r="B954" s="230"/>
      <c r="C954" s="230"/>
      <c r="D954" s="230"/>
      <c r="E954" s="230"/>
      <c r="F954" s="230"/>
      <c r="G954" s="230"/>
      <c r="H954" s="230"/>
      <c r="I954" s="230"/>
      <c r="J954" s="230"/>
      <c r="K954" s="230"/>
      <c r="L954" s="230"/>
      <c r="M954" s="230"/>
    </row>
    <row r="955">
      <c r="A955" s="230"/>
      <c r="B955" s="230"/>
      <c r="C955" s="230"/>
      <c r="D955" s="230"/>
      <c r="E955" s="230"/>
      <c r="F955" s="230"/>
      <c r="G955" s="230"/>
      <c r="H955" s="230"/>
      <c r="I955" s="230"/>
      <c r="J955" s="230"/>
      <c r="K955" s="230"/>
      <c r="L955" s="230"/>
      <c r="M955" s="230"/>
    </row>
    <row r="956">
      <c r="A956" s="230"/>
      <c r="B956" s="230"/>
      <c r="C956" s="230"/>
      <c r="D956" s="230"/>
      <c r="E956" s="230"/>
      <c r="F956" s="230"/>
      <c r="G956" s="230"/>
      <c r="H956" s="230"/>
      <c r="I956" s="230"/>
      <c r="J956" s="230"/>
      <c r="K956" s="230"/>
      <c r="L956" s="230"/>
      <c r="M956" s="230"/>
    </row>
    <row r="957">
      <c r="A957" s="230"/>
      <c r="B957" s="230"/>
      <c r="C957" s="230"/>
      <c r="D957" s="230"/>
      <c r="E957" s="230"/>
      <c r="F957" s="230"/>
      <c r="G957" s="230"/>
      <c r="H957" s="230"/>
      <c r="I957" s="230"/>
      <c r="J957" s="230"/>
      <c r="K957" s="230"/>
      <c r="L957" s="230"/>
      <c r="M957" s="230"/>
    </row>
    <row r="958">
      <c r="A958" s="230"/>
      <c r="B958" s="230"/>
      <c r="C958" s="230"/>
      <c r="D958" s="230"/>
      <c r="E958" s="230"/>
      <c r="F958" s="230"/>
      <c r="G958" s="230"/>
      <c r="H958" s="230"/>
      <c r="I958" s="230"/>
      <c r="J958" s="230"/>
      <c r="K958" s="230"/>
      <c r="L958" s="230"/>
      <c r="M958" s="230"/>
    </row>
    <row r="959">
      <c r="A959" s="230"/>
      <c r="B959" s="230"/>
      <c r="C959" s="230"/>
      <c r="D959" s="230"/>
      <c r="E959" s="230"/>
      <c r="F959" s="230"/>
      <c r="G959" s="230"/>
      <c r="H959" s="230"/>
      <c r="I959" s="230"/>
      <c r="J959" s="230"/>
      <c r="K959" s="230"/>
      <c r="L959" s="230"/>
      <c r="M959" s="230"/>
    </row>
    <row r="960">
      <c r="A960" s="230"/>
      <c r="B960" s="230"/>
      <c r="C960" s="230"/>
      <c r="D960" s="230"/>
      <c r="E960" s="230"/>
      <c r="F960" s="230"/>
      <c r="G960" s="230"/>
      <c r="H960" s="230"/>
      <c r="I960" s="230"/>
      <c r="J960" s="230"/>
      <c r="K960" s="230"/>
      <c r="L960" s="230"/>
      <c r="M960" s="230"/>
    </row>
    <row r="961">
      <c r="A961" s="230"/>
      <c r="B961" s="230"/>
      <c r="C961" s="230"/>
      <c r="D961" s="230"/>
      <c r="E961" s="230"/>
      <c r="F961" s="230"/>
      <c r="G961" s="230"/>
      <c r="H961" s="230"/>
      <c r="I961" s="230"/>
      <c r="J961" s="230"/>
      <c r="K961" s="230"/>
      <c r="L961" s="230"/>
      <c r="M961" s="230"/>
    </row>
    <row r="962">
      <c r="A962" s="230"/>
      <c r="B962" s="230"/>
      <c r="C962" s="230"/>
      <c r="D962" s="230"/>
      <c r="E962" s="230"/>
      <c r="F962" s="230"/>
      <c r="G962" s="230"/>
      <c r="H962" s="230"/>
      <c r="I962" s="230"/>
      <c r="J962" s="230"/>
      <c r="K962" s="230"/>
      <c r="L962" s="230"/>
      <c r="M962" s="230"/>
    </row>
    <row r="963">
      <c r="A963" s="230"/>
      <c r="B963" s="230"/>
      <c r="C963" s="230"/>
      <c r="D963" s="230"/>
      <c r="E963" s="230"/>
      <c r="F963" s="230"/>
      <c r="G963" s="230"/>
      <c r="H963" s="230"/>
      <c r="I963" s="230"/>
      <c r="J963" s="230"/>
      <c r="K963" s="230"/>
      <c r="L963" s="230"/>
      <c r="M963" s="230"/>
    </row>
    <row r="964">
      <c r="A964" s="230"/>
      <c r="B964" s="230"/>
      <c r="C964" s="230"/>
      <c r="D964" s="230"/>
      <c r="E964" s="230"/>
      <c r="F964" s="230"/>
      <c r="G964" s="230"/>
      <c r="H964" s="230"/>
      <c r="I964" s="230"/>
      <c r="J964" s="230"/>
      <c r="K964" s="230"/>
      <c r="L964" s="230"/>
      <c r="M964" s="230"/>
    </row>
    <row r="965">
      <c r="A965" s="230"/>
      <c r="B965" s="230"/>
      <c r="C965" s="230"/>
      <c r="D965" s="230"/>
      <c r="E965" s="230"/>
      <c r="F965" s="230"/>
      <c r="G965" s="230"/>
      <c r="H965" s="230"/>
      <c r="I965" s="230"/>
      <c r="J965" s="230"/>
      <c r="K965" s="230"/>
      <c r="L965" s="230"/>
      <c r="M965" s="230"/>
    </row>
    <row r="966">
      <c r="A966" s="230"/>
      <c r="B966" s="230"/>
      <c r="C966" s="230"/>
      <c r="D966" s="230"/>
      <c r="E966" s="230"/>
      <c r="F966" s="230"/>
      <c r="G966" s="230"/>
      <c r="H966" s="230"/>
      <c r="I966" s="230"/>
      <c r="J966" s="230"/>
      <c r="K966" s="230"/>
      <c r="L966" s="230"/>
      <c r="M966" s="230"/>
    </row>
    <row r="967">
      <c r="A967" s="230"/>
      <c r="B967" s="230"/>
      <c r="C967" s="230"/>
      <c r="D967" s="230"/>
      <c r="E967" s="230"/>
      <c r="F967" s="230"/>
      <c r="G967" s="230"/>
      <c r="H967" s="230"/>
      <c r="I967" s="230"/>
      <c r="J967" s="230"/>
      <c r="K967" s="230"/>
      <c r="L967" s="230"/>
      <c r="M967" s="230"/>
    </row>
    <row r="968">
      <c r="A968" s="230"/>
      <c r="B968" s="230"/>
      <c r="C968" s="230"/>
      <c r="D968" s="230"/>
      <c r="E968" s="230"/>
      <c r="F968" s="230"/>
      <c r="G968" s="230"/>
      <c r="H968" s="230"/>
      <c r="I968" s="230"/>
      <c r="J968" s="230"/>
      <c r="K968" s="230"/>
      <c r="L968" s="230"/>
      <c r="M968" s="230"/>
    </row>
    <row r="969">
      <c r="A969" s="230"/>
      <c r="B969" s="230"/>
      <c r="C969" s="230"/>
      <c r="D969" s="230"/>
      <c r="E969" s="230"/>
      <c r="F969" s="230"/>
      <c r="G969" s="230"/>
      <c r="H969" s="230"/>
      <c r="I969" s="230"/>
      <c r="J969" s="230"/>
      <c r="K969" s="230"/>
      <c r="L969" s="230"/>
      <c r="M969" s="230"/>
    </row>
    <row r="970">
      <c r="A970" s="230"/>
      <c r="B970" s="230"/>
      <c r="C970" s="230"/>
      <c r="D970" s="230"/>
      <c r="E970" s="230"/>
      <c r="F970" s="230"/>
      <c r="G970" s="230"/>
      <c r="H970" s="230"/>
      <c r="I970" s="230"/>
      <c r="J970" s="230"/>
      <c r="K970" s="230"/>
      <c r="L970" s="230"/>
      <c r="M970" s="230"/>
    </row>
    <row r="971">
      <c r="A971" s="230"/>
      <c r="B971" s="230"/>
      <c r="C971" s="230"/>
      <c r="D971" s="230"/>
      <c r="E971" s="230"/>
      <c r="F971" s="230"/>
      <c r="G971" s="230"/>
      <c r="H971" s="230"/>
      <c r="I971" s="230"/>
      <c r="J971" s="230"/>
      <c r="K971" s="230"/>
      <c r="L971" s="230"/>
      <c r="M971" s="230"/>
    </row>
    <row r="972">
      <c r="A972" s="230"/>
      <c r="B972" s="230"/>
      <c r="C972" s="230"/>
      <c r="D972" s="230"/>
      <c r="E972" s="230"/>
      <c r="F972" s="230"/>
      <c r="G972" s="230"/>
      <c r="H972" s="230"/>
      <c r="I972" s="230"/>
      <c r="J972" s="230"/>
      <c r="K972" s="230"/>
      <c r="L972" s="230"/>
      <c r="M972" s="230"/>
    </row>
    <row r="973">
      <c r="A973" s="230"/>
      <c r="B973" s="230"/>
      <c r="C973" s="230"/>
      <c r="D973" s="230"/>
      <c r="E973" s="230"/>
      <c r="F973" s="230"/>
      <c r="G973" s="230"/>
      <c r="H973" s="230"/>
      <c r="I973" s="230"/>
      <c r="J973" s="230"/>
      <c r="K973" s="230"/>
      <c r="L973" s="230"/>
      <c r="M973" s="230"/>
    </row>
    <row r="974">
      <c r="A974" s="230"/>
      <c r="B974" s="230"/>
      <c r="C974" s="230"/>
      <c r="D974" s="230"/>
      <c r="E974" s="230"/>
      <c r="F974" s="230"/>
      <c r="G974" s="230"/>
      <c r="H974" s="230"/>
      <c r="I974" s="230"/>
      <c r="J974" s="230"/>
      <c r="K974" s="230"/>
      <c r="L974" s="230"/>
      <c r="M974" s="230"/>
    </row>
    <row r="975">
      <c r="A975" s="230"/>
      <c r="B975" s="230"/>
      <c r="C975" s="230"/>
      <c r="D975" s="230"/>
      <c r="E975" s="230"/>
      <c r="F975" s="230"/>
      <c r="G975" s="230"/>
      <c r="H975" s="230"/>
      <c r="I975" s="230"/>
      <c r="J975" s="230"/>
      <c r="K975" s="230"/>
      <c r="L975" s="230"/>
      <c r="M975" s="230"/>
    </row>
    <row r="976">
      <c r="A976" s="230"/>
      <c r="B976" s="230"/>
      <c r="C976" s="230"/>
      <c r="D976" s="230"/>
      <c r="E976" s="230"/>
      <c r="F976" s="230"/>
      <c r="G976" s="230"/>
      <c r="H976" s="230"/>
      <c r="I976" s="230"/>
      <c r="J976" s="230"/>
      <c r="K976" s="230"/>
      <c r="L976" s="230"/>
      <c r="M976" s="230"/>
    </row>
    <row r="977">
      <c r="A977" s="230"/>
      <c r="B977" s="230"/>
      <c r="C977" s="230"/>
      <c r="D977" s="230"/>
      <c r="E977" s="230"/>
      <c r="F977" s="230"/>
      <c r="G977" s="230"/>
      <c r="H977" s="230"/>
      <c r="I977" s="230"/>
      <c r="J977" s="230"/>
      <c r="K977" s="230"/>
      <c r="L977" s="230"/>
      <c r="M977" s="230"/>
    </row>
    <row r="978">
      <c r="A978" s="230"/>
      <c r="B978" s="230"/>
      <c r="C978" s="230"/>
      <c r="D978" s="230"/>
      <c r="E978" s="230"/>
      <c r="F978" s="230"/>
      <c r="G978" s="230"/>
      <c r="H978" s="230"/>
      <c r="I978" s="230"/>
      <c r="J978" s="230"/>
      <c r="K978" s="230"/>
      <c r="L978" s="230"/>
      <c r="M978" s="230"/>
    </row>
    <row r="979">
      <c r="A979" s="230"/>
      <c r="B979" s="230"/>
      <c r="C979" s="230"/>
      <c r="D979" s="230"/>
      <c r="E979" s="230"/>
      <c r="F979" s="230"/>
      <c r="G979" s="230"/>
      <c r="H979" s="230"/>
      <c r="I979" s="230"/>
      <c r="J979" s="230"/>
      <c r="K979" s="230"/>
      <c r="L979" s="230"/>
      <c r="M979" s="230"/>
    </row>
    <row r="980">
      <c r="A980" s="230"/>
      <c r="B980" s="230"/>
      <c r="C980" s="230"/>
      <c r="D980" s="230"/>
      <c r="E980" s="230"/>
      <c r="F980" s="230"/>
      <c r="G980" s="230"/>
      <c r="H980" s="230"/>
      <c r="I980" s="230"/>
      <c r="J980" s="230"/>
      <c r="K980" s="230"/>
      <c r="L980" s="230"/>
      <c r="M980" s="230"/>
    </row>
    <row r="981">
      <c r="A981" s="230"/>
      <c r="B981" s="230"/>
      <c r="C981" s="230"/>
      <c r="D981" s="230"/>
      <c r="E981" s="230"/>
      <c r="F981" s="230"/>
      <c r="G981" s="230"/>
      <c r="H981" s="230"/>
      <c r="I981" s="230"/>
      <c r="J981" s="230"/>
      <c r="K981" s="230"/>
      <c r="L981" s="230"/>
      <c r="M981" s="230"/>
    </row>
    <row r="982">
      <c r="A982" s="230"/>
      <c r="B982" s="230"/>
      <c r="C982" s="230"/>
      <c r="D982" s="230"/>
      <c r="E982" s="230"/>
      <c r="F982" s="230"/>
      <c r="G982" s="230"/>
      <c r="H982" s="230"/>
      <c r="I982" s="230"/>
      <c r="J982" s="230"/>
      <c r="K982" s="230"/>
      <c r="L982" s="230"/>
      <c r="M982" s="230"/>
    </row>
    <row r="983">
      <c r="A983" s="230"/>
      <c r="B983" s="230"/>
      <c r="C983" s="230"/>
      <c r="D983" s="230"/>
      <c r="E983" s="230"/>
      <c r="F983" s="230"/>
      <c r="G983" s="230"/>
      <c r="H983" s="230"/>
      <c r="I983" s="230"/>
      <c r="J983" s="230"/>
      <c r="K983" s="230"/>
      <c r="L983" s="230"/>
      <c r="M983" s="230"/>
    </row>
    <row r="984">
      <c r="A984" s="230"/>
      <c r="B984" s="230"/>
      <c r="C984" s="230"/>
      <c r="D984" s="230"/>
      <c r="E984" s="230"/>
      <c r="F984" s="230"/>
      <c r="G984" s="230"/>
      <c r="H984" s="230"/>
      <c r="I984" s="230"/>
      <c r="J984" s="230"/>
      <c r="K984" s="230"/>
      <c r="L984" s="230"/>
      <c r="M984" s="230"/>
    </row>
    <row r="985">
      <c r="A985" s="230"/>
      <c r="B985" s="230"/>
      <c r="C985" s="230"/>
      <c r="D985" s="230"/>
      <c r="E985" s="230"/>
      <c r="F985" s="230"/>
      <c r="G985" s="230"/>
      <c r="H985" s="230"/>
      <c r="I985" s="230"/>
      <c r="J985" s="230"/>
      <c r="K985" s="230"/>
      <c r="L985" s="230"/>
      <c r="M985" s="230"/>
    </row>
    <row r="986">
      <c r="A986" s="230"/>
      <c r="B986" s="230"/>
      <c r="C986" s="230"/>
      <c r="D986" s="230"/>
      <c r="E986" s="230"/>
      <c r="F986" s="230"/>
      <c r="G986" s="230"/>
      <c r="H986" s="230"/>
      <c r="I986" s="230"/>
      <c r="J986" s="230"/>
      <c r="K986" s="230"/>
      <c r="L986" s="230"/>
      <c r="M986" s="230"/>
    </row>
    <row r="987">
      <c r="A987" s="230"/>
      <c r="B987" s="230"/>
      <c r="C987" s="230"/>
      <c r="D987" s="230"/>
      <c r="E987" s="230"/>
      <c r="F987" s="230"/>
      <c r="G987" s="230"/>
      <c r="H987" s="230"/>
      <c r="I987" s="230"/>
      <c r="J987" s="230"/>
      <c r="K987" s="230"/>
      <c r="L987" s="230"/>
      <c r="M987" s="230"/>
    </row>
    <row r="988">
      <c r="A988" s="230"/>
      <c r="B988" s="230"/>
      <c r="C988" s="230"/>
      <c r="D988" s="230"/>
      <c r="E988" s="230"/>
      <c r="F988" s="230"/>
      <c r="G988" s="230"/>
      <c r="H988" s="230"/>
      <c r="I988" s="230"/>
      <c r="J988" s="230"/>
      <c r="K988" s="230"/>
      <c r="L988" s="230"/>
      <c r="M988" s="230"/>
    </row>
    <row r="989">
      <c r="A989" s="230"/>
      <c r="B989" s="230"/>
      <c r="C989" s="230"/>
      <c r="D989" s="230"/>
      <c r="E989" s="230"/>
      <c r="F989" s="230"/>
      <c r="G989" s="230"/>
      <c r="H989" s="230"/>
      <c r="I989" s="230"/>
      <c r="J989" s="230"/>
      <c r="K989" s="230"/>
      <c r="L989" s="230"/>
      <c r="M989" s="230"/>
    </row>
    <row r="990">
      <c r="A990" s="230"/>
      <c r="B990" s="230"/>
      <c r="C990" s="230"/>
      <c r="D990" s="230"/>
      <c r="E990" s="230"/>
      <c r="F990" s="230"/>
      <c r="G990" s="230"/>
      <c r="H990" s="230"/>
      <c r="I990" s="230"/>
      <c r="J990" s="230"/>
      <c r="K990" s="230"/>
      <c r="L990" s="230"/>
      <c r="M990" s="230"/>
    </row>
    <row r="991">
      <c r="A991" s="230"/>
      <c r="B991" s="230"/>
      <c r="C991" s="230"/>
      <c r="D991" s="230"/>
      <c r="E991" s="230"/>
      <c r="F991" s="230"/>
      <c r="G991" s="230"/>
      <c r="H991" s="230"/>
      <c r="I991" s="230"/>
      <c r="J991" s="230"/>
      <c r="K991" s="230"/>
      <c r="L991" s="230"/>
      <c r="M991" s="230"/>
    </row>
    <row r="992">
      <c r="A992" s="230"/>
      <c r="B992" s="230"/>
      <c r="C992" s="230"/>
      <c r="D992" s="230"/>
      <c r="E992" s="230"/>
      <c r="F992" s="230"/>
      <c r="G992" s="230"/>
      <c r="H992" s="230"/>
      <c r="I992" s="230"/>
      <c r="J992" s="230"/>
      <c r="K992" s="230"/>
      <c r="L992" s="230"/>
      <c r="M992" s="230"/>
    </row>
    <row r="993">
      <c r="A993" s="230"/>
      <c r="B993" s="230"/>
      <c r="C993" s="230"/>
      <c r="D993" s="230"/>
      <c r="E993" s="230"/>
      <c r="F993" s="230"/>
      <c r="G993" s="230"/>
      <c r="H993" s="230"/>
      <c r="I993" s="230"/>
      <c r="J993" s="230"/>
      <c r="K993" s="230"/>
      <c r="L993" s="230"/>
      <c r="M993" s="230"/>
    </row>
    <row r="994">
      <c r="A994" s="230"/>
      <c r="B994" s="230"/>
      <c r="C994" s="230"/>
      <c r="D994" s="230"/>
      <c r="E994" s="230"/>
      <c r="F994" s="230"/>
      <c r="G994" s="230"/>
      <c r="H994" s="230"/>
      <c r="I994" s="230"/>
      <c r="J994" s="230"/>
      <c r="K994" s="230"/>
      <c r="L994" s="230"/>
      <c r="M994" s="230"/>
    </row>
    <row r="995">
      <c r="A995" s="230"/>
      <c r="B995" s="230"/>
      <c r="C995" s="230"/>
      <c r="D995" s="230"/>
      <c r="E995" s="230"/>
      <c r="F995" s="230"/>
      <c r="G995" s="230"/>
      <c r="H995" s="230"/>
      <c r="I995" s="230"/>
      <c r="J995" s="230"/>
      <c r="K995" s="230"/>
      <c r="L995" s="230"/>
      <c r="M995" s="230"/>
    </row>
    <row r="996">
      <c r="A996" s="230"/>
      <c r="B996" s="230"/>
      <c r="C996" s="230"/>
      <c r="D996" s="230"/>
      <c r="E996" s="230"/>
      <c r="F996" s="230"/>
      <c r="G996" s="230"/>
      <c r="H996" s="230"/>
      <c r="I996" s="230"/>
      <c r="J996" s="230"/>
      <c r="K996" s="230"/>
      <c r="L996" s="230"/>
      <c r="M996" s="230"/>
    </row>
    <row r="997">
      <c r="A997" s="230"/>
      <c r="B997" s="230"/>
      <c r="C997" s="230"/>
      <c r="D997" s="230"/>
      <c r="E997" s="230"/>
      <c r="F997" s="230"/>
      <c r="G997" s="230"/>
      <c r="H997" s="230"/>
      <c r="I997" s="230"/>
      <c r="J997" s="230"/>
      <c r="K997" s="230"/>
      <c r="L997" s="230"/>
      <c r="M997" s="230"/>
    </row>
    <row r="998">
      <c r="A998" s="230"/>
      <c r="B998" s="230"/>
      <c r="C998" s="230"/>
      <c r="D998" s="230"/>
      <c r="E998" s="230"/>
      <c r="F998" s="230"/>
      <c r="G998" s="230"/>
      <c r="H998" s="230"/>
      <c r="I998" s="230"/>
      <c r="J998" s="230"/>
      <c r="K998" s="230"/>
      <c r="L998" s="230"/>
      <c r="M998" s="230"/>
    </row>
    <row r="999">
      <c r="A999" s="230"/>
      <c r="B999" s="230"/>
      <c r="C999" s="230"/>
      <c r="D999" s="230"/>
      <c r="E999" s="230"/>
      <c r="F999" s="230"/>
      <c r="G999" s="230"/>
      <c r="H999" s="230"/>
      <c r="I999" s="230"/>
      <c r="J999" s="230"/>
      <c r="K999" s="230"/>
      <c r="L999" s="230"/>
      <c r="M999" s="230"/>
    </row>
    <row r="1000">
      <c r="A1000" s="230"/>
      <c r="B1000" s="230"/>
      <c r="C1000" s="230"/>
      <c r="D1000" s="230"/>
      <c r="E1000" s="230"/>
      <c r="F1000" s="230"/>
      <c r="G1000" s="230"/>
      <c r="H1000" s="230"/>
      <c r="I1000" s="230"/>
      <c r="J1000" s="230"/>
      <c r="K1000" s="230"/>
      <c r="L1000" s="230"/>
      <c r="M1000" s="230"/>
    </row>
    <row r="1001">
      <c r="A1001" s="230"/>
      <c r="B1001" s="230"/>
      <c r="C1001" s="230"/>
      <c r="D1001" s="230"/>
      <c r="E1001" s="230"/>
      <c r="F1001" s="230"/>
      <c r="G1001" s="230"/>
      <c r="H1001" s="230"/>
      <c r="I1001" s="230"/>
      <c r="J1001" s="230"/>
      <c r="K1001" s="230"/>
      <c r="L1001" s="230"/>
      <c r="M1001" s="230"/>
    </row>
    <row r="1002">
      <c r="A1002" s="230"/>
      <c r="B1002" s="230"/>
      <c r="C1002" s="230"/>
      <c r="D1002" s="230"/>
      <c r="E1002" s="230"/>
      <c r="F1002" s="230"/>
      <c r="G1002" s="230"/>
      <c r="H1002" s="230"/>
      <c r="I1002" s="230"/>
      <c r="J1002" s="230"/>
      <c r="K1002" s="230"/>
      <c r="L1002" s="230"/>
      <c r="M1002" s="230"/>
    </row>
    <row r="1003">
      <c r="A1003" s="230"/>
      <c r="B1003" s="230"/>
      <c r="C1003" s="230"/>
      <c r="D1003" s="230"/>
      <c r="E1003" s="230"/>
      <c r="F1003" s="230"/>
      <c r="G1003" s="230"/>
      <c r="H1003" s="230"/>
      <c r="I1003" s="230"/>
      <c r="J1003" s="230"/>
      <c r="K1003" s="230"/>
      <c r="L1003" s="230"/>
      <c r="M1003" s="230"/>
    </row>
    <row r="1004">
      <c r="A1004" s="230"/>
      <c r="B1004" s="230"/>
      <c r="C1004" s="230"/>
      <c r="D1004" s="230"/>
      <c r="E1004" s="230"/>
      <c r="F1004" s="230"/>
      <c r="G1004" s="230"/>
      <c r="H1004" s="230"/>
      <c r="I1004" s="230"/>
      <c r="J1004" s="230"/>
      <c r="K1004" s="230"/>
      <c r="L1004" s="230"/>
      <c r="M1004" s="230"/>
    </row>
    <row r="1005">
      <c r="A1005" s="230"/>
      <c r="B1005" s="230"/>
      <c r="C1005" s="230"/>
      <c r="D1005" s="230"/>
      <c r="E1005" s="230"/>
      <c r="F1005" s="230"/>
      <c r="G1005" s="230"/>
      <c r="H1005" s="230"/>
      <c r="I1005" s="230"/>
      <c r="J1005" s="230"/>
      <c r="K1005" s="230"/>
      <c r="L1005" s="230"/>
      <c r="M1005" s="230"/>
    </row>
    <row r="1006">
      <c r="A1006" s="230"/>
      <c r="B1006" s="230"/>
      <c r="C1006" s="230"/>
      <c r="D1006" s="230"/>
      <c r="E1006" s="230"/>
      <c r="F1006" s="230"/>
      <c r="G1006" s="230"/>
      <c r="H1006" s="230"/>
      <c r="I1006" s="230"/>
      <c r="J1006" s="230"/>
      <c r="K1006" s="230"/>
      <c r="L1006" s="230"/>
      <c r="M1006" s="230"/>
    </row>
  </sheetData>
  <mergeCells count="27">
    <mergeCell ref="B1:E2"/>
    <mergeCell ref="J1:L1"/>
    <mergeCell ref="J2:L2"/>
    <mergeCell ref="B3:E4"/>
    <mergeCell ref="K3:L3"/>
    <mergeCell ref="K4:L4"/>
    <mergeCell ref="I17:L17"/>
    <mergeCell ref="B20:D20"/>
    <mergeCell ref="B21:D21"/>
    <mergeCell ref="B19:D19"/>
    <mergeCell ref="B22:D22"/>
    <mergeCell ref="B38:E43"/>
    <mergeCell ref="F38:I38"/>
    <mergeCell ref="J38:L38"/>
    <mergeCell ref="F43:I43"/>
    <mergeCell ref="J43:L43"/>
    <mergeCell ref="F22:H22"/>
    <mergeCell ref="B23:D23"/>
    <mergeCell ref="F23:H23"/>
    <mergeCell ref="B17:H17"/>
    <mergeCell ref="B18:D18"/>
    <mergeCell ref="F18:H18"/>
    <mergeCell ref="I18:L23"/>
    <mergeCell ref="F19:H19"/>
    <mergeCell ref="F20:H20"/>
    <mergeCell ref="F21:H21"/>
    <mergeCell ref="B25:L25"/>
  </mergeCells>
  <printOptions horizontalCentered="1" verticalCentered="1"/>
  <pageMargins bottom="0.6299212598425197" footer="0.0" header="0.0" left="0.3011854800581358" right="0.984251968503937" top="0.6299212598425197"/>
  <pageSetup cellComments="atEnd" orientation="portrait" pageOrder="overThenDown" paperHeight="11.023622047244093in" paperWidth="9.448818897637794i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pageSetUpPr fitToPage="1"/>
  </sheetPr>
  <sheetViews>
    <sheetView workbookViewId="0"/>
  </sheetViews>
  <sheetFormatPr customHeight="1" defaultColWidth="14.43" defaultRowHeight="15.0"/>
  <cols>
    <col customWidth="1" min="1" max="1" width="5.86"/>
    <col customWidth="1" min="2" max="2" width="14.86"/>
    <col customWidth="1" min="3" max="3" width="6.57"/>
    <col customWidth="1" min="4" max="4" width="3.57"/>
    <col customWidth="1" min="5" max="5" width="6.57"/>
    <col customWidth="1" min="6" max="6" width="26.57"/>
    <col customWidth="1" min="9" max="9" width="2.71"/>
    <col customWidth="1" min="10" max="10" width="22.0"/>
    <col customWidth="1" min="11" max="11" width="5.86"/>
  </cols>
  <sheetData>
    <row r="1" ht="17.25" customHeight="1">
      <c r="A1" s="277"/>
      <c r="B1" s="43"/>
      <c r="E1" s="2"/>
      <c r="F1" s="2"/>
      <c r="G1" s="2"/>
      <c r="H1" s="2"/>
      <c r="I1" s="2"/>
      <c r="J1" s="2"/>
      <c r="K1" s="2"/>
    </row>
    <row r="2" ht="24.75" customHeight="1">
      <c r="A2" s="277"/>
      <c r="E2" s="2"/>
      <c r="F2" s="2"/>
      <c r="G2" s="2"/>
      <c r="H2" s="278" t="s">
        <v>88</v>
      </c>
      <c r="K2" s="2"/>
    </row>
    <row r="3" ht="16.5" customHeight="1">
      <c r="A3" s="277"/>
      <c r="B3" s="279" t="s">
        <v>111</v>
      </c>
      <c r="E3" s="2"/>
      <c r="F3" s="2"/>
      <c r="G3" s="2"/>
      <c r="K3" s="2"/>
    </row>
    <row r="4" ht="17.25" customHeight="1">
      <c r="A4" s="277"/>
      <c r="E4" s="2"/>
      <c r="F4" s="2"/>
      <c r="G4" s="2"/>
      <c r="H4" s="2"/>
      <c r="I4" s="2"/>
      <c r="J4" s="2"/>
      <c r="K4" s="2"/>
    </row>
    <row r="5">
      <c r="A5" s="277"/>
      <c r="B5" s="2"/>
      <c r="C5" s="2"/>
      <c r="D5" s="2"/>
      <c r="E5" s="2"/>
      <c r="F5" s="2"/>
      <c r="G5" s="2"/>
      <c r="H5" s="2"/>
      <c r="I5" s="2"/>
      <c r="J5" s="2"/>
      <c r="K5" s="2"/>
    </row>
    <row r="6" ht="22.5" customHeight="1">
      <c r="A6" s="280"/>
      <c r="B6" s="281" t="s">
        <v>89</v>
      </c>
      <c r="C6" s="281"/>
      <c r="D6" s="282" t="s">
        <v>84</v>
      </c>
      <c r="E6" s="283" t="s">
        <v>112</v>
      </c>
      <c r="K6" s="198"/>
    </row>
    <row r="7" ht="26.25" customHeight="1">
      <c r="A7" s="280"/>
      <c r="B7" s="281" t="s">
        <v>90</v>
      </c>
      <c r="C7" s="281"/>
      <c r="D7" s="282" t="s">
        <v>84</v>
      </c>
      <c r="E7" s="284" t="str">
        <f>TERBILANG(B16)</f>
        <v> Delapan Puluh Satu Juta Lima Ratus   Ribu </v>
      </c>
      <c r="F7" s="200"/>
      <c r="G7" s="200"/>
      <c r="H7" s="200"/>
      <c r="I7" s="200"/>
      <c r="J7" s="200"/>
      <c r="K7" s="198"/>
    </row>
    <row r="8">
      <c r="A8" s="280"/>
      <c r="B8" s="281" t="s">
        <v>91</v>
      </c>
      <c r="C8" s="281"/>
      <c r="D8" s="282" t="s">
        <v>84</v>
      </c>
      <c r="E8" s="285" t="s">
        <v>113</v>
      </c>
      <c r="F8" s="286"/>
      <c r="G8" s="286"/>
      <c r="H8" s="286"/>
      <c r="I8" s="286"/>
      <c r="J8" s="286"/>
      <c r="K8" s="198"/>
    </row>
    <row r="9" ht="22.5" customHeight="1">
      <c r="A9" s="280"/>
      <c r="B9" s="197"/>
      <c r="C9" s="197"/>
      <c r="D9" s="197"/>
      <c r="E9" s="197"/>
      <c r="F9" s="197"/>
      <c r="G9" s="197"/>
      <c r="H9" s="197"/>
      <c r="I9" s="197"/>
      <c r="J9" s="197"/>
      <c r="K9" s="198"/>
    </row>
    <row r="10" ht="22.5" customHeight="1">
      <c r="A10" s="280"/>
      <c r="B10" s="197"/>
      <c r="C10" s="197"/>
      <c r="D10" s="197"/>
      <c r="E10" s="197"/>
      <c r="F10" s="197"/>
      <c r="G10" s="197"/>
      <c r="H10" s="197"/>
      <c r="I10" s="197"/>
      <c r="J10" s="197"/>
      <c r="K10" s="198"/>
    </row>
    <row r="11">
      <c r="A11" s="280"/>
      <c r="B11" s="287"/>
      <c r="C11" s="287"/>
      <c r="D11" s="287"/>
      <c r="E11" s="287"/>
      <c r="F11" s="287"/>
      <c r="G11" s="287"/>
      <c r="H11" s="288" t="s">
        <v>114</v>
      </c>
      <c r="J11" s="289">
        <f>NOW()</f>
        <v>46129.54915</v>
      </c>
      <c r="K11" s="14"/>
    </row>
    <row r="12">
      <c r="A12" s="277"/>
      <c r="B12" s="2"/>
      <c r="C12" s="2"/>
      <c r="D12" s="290"/>
      <c r="E12" s="290"/>
      <c r="F12" s="290"/>
      <c r="G12" s="290"/>
      <c r="H12" s="290"/>
      <c r="I12" s="290"/>
      <c r="J12" s="290"/>
      <c r="K12" s="2"/>
    </row>
    <row r="13">
      <c r="A13" s="277"/>
      <c r="B13" s="290"/>
      <c r="C13" s="290"/>
      <c r="D13" s="290"/>
      <c r="E13" s="290"/>
      <c r="F13" s="290"/>
      <c r="G13" s="290"/>
      <c r="H13" s="290"/>
      <c r="I13" s="290"/>
      <c r="J13" s="290"/>
      <c r="K13" s="2"/>
    </row>
    <row r="14">
      <c r="A14" s="277"/>
      <c r="B14" s="290"/>
      <c r="C14" s="290"/>
      <c r="D14" s="290"/>
      <c r="E14" s="290"/>
      <c r="F14" s="290"/>
      <c r="G14" s="290"/>
      <c r="H14" s="290"/>
      <c r="I14" s="290"/>
      <c r="J14" s="290"/>
      <c r="K14" s="2"/>
    </row>
    <row r="15">
      <c r="A15" s="277"/>
      <c r="B15" s="2"/>
      <c r="C15" s="2"/>
      <c r="D15" s="2"/>
      <c r="E15" s="2"/>
      <c r="F15" s="2"/>
      <c r="G15" s="2"/>
      <c r="H15" s="2"/>
      <c r="I15" s="2"/>
      <c r="J15" s="2"/>
      <c r="K15" s="2"/>
    </row>
    <row r="16">
      <c r="A16" s="277"/>
      <c r="B16" s="291">
        <v>8.15E7</v>
      </c>
      <c r="C16" s="292"/>
      <c r="D16" s="2"/>
      <c r="E16" s="2"/>
      <c r="F16" s="2"/>
      <c r="G16" s="2"/>
      <c r="H16" s="293" t="s">
        <v>24</v>
      </c>
      <c r="K16" s="2"/>
    </row>
    <row r="17">
      <c r="A17" s="2"/>
      <c r="B17" s="2"/>
      <c r="C17" s="2"/>
      <c r="D17" s="2"/>
      <c r="E17" s="2"/>
      <c r="F17" s="2"/>
      <c r="G17" s="2"/>
      <c r="H17" s="2"/>
      <c r="I17" s="2"/>
      <c r="J17" s="2"/>
      <c r="K17" s="2"/>
    </row>
    <row r="18">
      <c r="A18" s="2"/>
      <c r="B18" s="2"/>
      <c r="C18" s="2"/>
      <c r="D18" s="2"/>
      <c r="E18" s="2"/>
      <c r="F18" s="2"/>
      <c r="G18" s="2"/>
      <c r="H18" s="2"/>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c r="A21" s="2"/>
      <c r="K21" s="2"/>
    </row>
    <row r="22" ht="23.25" customHeight="1">
      <c r="A22" s="2"/>
      <c r="K22" s="2"/>
    </row>
    <row r="23">
      <c r="A23" s="2"/>
      <c r="K23" s="2"/>
    </row>
    <row r="24">
      <c r="A24" s="2"/>
      <c r="K24" s="2"/>
    </row>
    <row r="25">
      <c r="A25" s="2"/>
      <c r="B25" s="43"/>
      <c r="E25" s="2"/>
      <c r="F25" s="2"/>
      <c r="G25" s="2"/>
      <c r="H25" s="278" t="s">
        <v>80</v>
      </c>
      <c r="K25" s="2"/>
    </row>
    <row r="26">
      <c r="A26" s="2"/>
      <c r="E26" s="2"/>
      <c r="F26" s="2"/>
      <c r="G26" s="2"/>
      <c r="K26" s="2"/>
    </row>
    <row r="27" ht="18.75" customHeight="1">
      <c r="A27" s="2"/>
      <c r="B27" s="279" t="s">
        <v>111</v>
      </c>
      <c r="E27" s="2"/>
      <c r="F27" s="2"/>
      <c r="G27" s="2"/>
      <c r="H27" s="294" t="s">
        <v>115</v>
      </c>
      <c r="I27" s="294"/>
      <c r="J27" s="177" t="str">
        <f>TEXT(Faktur!F12,"TT00000000")</f>
        <v>TT4261063117</v>
      </c>
      <c r="K27" s="2"/>
    </row>
    <row r="28" ht="18.75" customHeight="1">
      <c r="A28" s="2"/>
      <c r="E28" s="2"/>
      <c r="F28" s="2"/>
      <c r="G28" s="2"/>
      <c r="H28" s="2"/>
      <c r="I28" s="2"/>
      <c r="J28" s="2"/>
      <c r="K28" s="2"/>
    </row>
    <row r="29">
      <c r="A29" s="2"/>
      <c r="B29" s="2"/>
      <c r="C29" s="2"/>
      <c r="D29" s="2"/>
      <c r="E29" s="2"/>
      <c r="F29" s="2"/>
      <c r="G29" s="2"/>
      <c r="H29" s="2"/>
      <c r="I29" s="2"/>
      <c r="J29" s="2"/>
      <c r="K29" s="2"/>
    </row>
    <row r="30">
      <c r="A30" s="2"/>
      <c r="B30" s="295" t="s">
        <v>116</v>
      </c>
      <c r="C30" s="295"/>
      <c r="D30" s="192" t="s">
        <v>84</v>
      </c>
      <c r="E30" s="296" t="str">
        <f>Faktur!F4</f>
        <v>Bengkel Las Bpk. Ari</v>
      </c>
      <c r="F30" s="297"/>
      <c r="G30" s="2"/>
      <c r="H30" s="189" t="s">
        <v>36</v>
      </c>
      <c r="I30" s="192" t="s">
        <v>84</v>
      </c>
      <c r="J30" s="298">
        <f>J11</f>
        <v>46129.54915</v>
      </c>
      <c r="K30" s="2"/>
    </row>
    <row r="31">
      <c r="A31" s="2"/>
      <c r="B31" s="2"/>
      <c r="C31" s="2"/>
      <c r="D31" s="2"/>
      <c r="E31" s="299" t="str">
        <f>Faktur!F5</f>
        <v>Sumber Kembar, Wonodadi, Kec. Kutorejo, Kabupaten Mojokerto, Jawa Timur</v>
      </c>
      <c r="G31" s="2"/>
      <c r="H31" s="189" t="s">
        <v>117</v>
      </c>
      <c r="I31" s="192" t="s">
        <v>84</v>
      </c>
      <c r="J31" s="300">
        <f>I41</f>
        <v>480000</v>
      </c>
      <c r="K31" s="2"/>
    </row>
    <row r="32">
      <c r="A32" s="2"/>
      <c r="B32" s="2"/>
      <c r="C32" s="2"/>
      <c r="D32" s="2"/>
      <c r="G32" s="2"/>
      <c r="H32" s="177"/>
      <c r="I32" s="177"/>
      <c r="J32" s="177"/>
      <c r="K32" s="2"/>
    </row>
    <row r="33">
      <c r="A33" s="2"/>
      <c r="B33" s="2"/>
      <c r="C33" s="2"/>
      <c r="D33" s="2"/>
      <c r="G33" s="2"/>
      <c r="H33" s="2"/>
      <c r="I33" s="2"/>
      <c r="J33" s="2"/>
      <c r="K33" s="2"/>
    </row>
    <row r="34">
      <c r="A34" s="2"/>
      <c r="B34" s="2"/>
      <c r="C34" s="2"/>
      <c r="D34" s="2"/>
      <c r="G34" s="2"/>
      <c r="H34" s="2"/>
      <c r="I34" s="2"/>
      <c r="J34" s="2"/>
      <c r="K34" s="2"/>
    </row>
    <row r="35">
      <c r="A35" s="2"/>
      <c r="B35" s="2"/>
      <c r="C35" s="2"/>
      <c r="D35" s="2"/>
      <c r="E35" s="301"/>
      <c r="F35" s="301"/>
      <c r="G35" s="2"/>
      <c r="H35" s="2"/>
      <c r="I35" s="2"/>
      <c r="J35" s="2"/>
      <c r="K35" s="2"/>
    </row>
    <row r="36">
      <c r="A36" s="2"/>
      <c r="B36" s="302" t="s">
        <v>118</v>
      </c>
      <c r="C36" s="302" t="s">
        <v>119</v>
      </c>
      <c r="D36" s="303"/>
      <c r="E36" s="303"/>
      <c r="F36" s="302" t="s">
        <v>120</v>
      </c>
      <c r="G36" s="302" t="s">
        <v>121</v>
      </c>
      <c r="H36" s="303"/>
      <c r="I36" s="302" t="s">
        <v>122</v>
      </c>
      <c r="J36" s="303"/>
      <c r="K36" s="2"/>
    </row>
    <row r="37">
      <c r="A37" s="2"/>
      <c r="B37" s="304" t="str">
        <f>Faktur!F12</f>
        <v>04261063117</v>
      </c>
      <c r="C37" s="305">
        <f>J11</f>
        <v>46129.54915</v>
      </c>
      <c r="F37" s="305">
        <f>C37 + 30</f>
        <v>46159.54915</v>
      </c>
      <c r="G37" s="192" t="s">
        <v>123</v>
      </c>
      <c r="I37" s="306">
        <f>Faktur!G28</f>
        <v>480000</v>
      </c>
      <c r="K37" s="2"/>
    </row>
    <row r="38">
      <c r="A38" s="2"/>
      <c r="B38" s="192"/>
      <c r="C38" s="307"/>
      <c r="F38" s="308"/>
      <c r="G38" s="192"/>
      <c r="I38" s="309"/>
      <c r="K38" s="2"/>
    </row>
    <row r="39">
      <c r="A39" s="2"/>
      <c r="B39" s="308"/>
      <c r="C39" s="308"/>
      <c r="F39" s="308"/>
      <c r="G39" s="308"/>
      <c r="I39" s="308"/>
      <c r="K39" s="2"/>
    </row>
    <row r="40">
      <c r="A40" s="2"/>
      <c r="B40" s="2"/>
      <c r="C40" s="2"/>
      <c r="D40" s="2"/>
      <c r="E40" s="2"/>
      <c r="F40" s="2"/>
      <c r="G40" s="2"/>
      <c r="H40" s="2"/>
      <c r="I40" s="2"/>
      <c r="J40" s="2"/>
      <c r="K40" s="2"/>
    </row>
    <row r="41">
      <c r="A41" s="2"/>
      <c r="B41" s="2"/>
      <c r="C41" s="2"/>
      <c r="D41" s="2"/>
      <c r="E41" s="2"/>
      <c r="F41" s="2"/>
      <c r="G41" s="2"/>
      <c r="H41" s="310" t="s">
        <v>124</v>
      </c>
      <c r="I41" s="311">
        <f>SUM(I37:J40)</f>
        <v>480000</v>
      </c>
      <c r="K41" s="2"/>
    </row>
    <row r="42">
      <c r="A42" s="2"/>
      <c r="B42" s="2"/>
      <c r="C42" s="2"/>
      <c r="D42" s="2"/>
      <c r="E42" s="2"/>
      <c r="F42" s="2"/>
      <c r="G42" s="2"/>
      <c r="H42" s="2"/>
      <c r="I42" s="2"/>
      <c r="J42" s="2"/>
      <c r="K42" s="2"/>
    </row>
    <row r="43">
      <c r="A43" s="2"/>
      <c r="B43" s="2"/>
      <c r="C43" s="2"/>
      <c r="D43" s="2"/>
      <c r="E43" s="2"/>
      <c r="F43" s="2"/>
      <c r="G43" s="2"/>
      <c r="H43" s="312" t="s">
        <v>87</v>
      </c>
      <c r="K43" s="2"/>
    </row>
    <row r="44">
      <c r="A44" s="2"/>
      <c r="B44" s="2"/>
      <c r="C44" s="2"/>
      <c r="D44" s="2"/>
      <c r="E44" s="2"/>
      <c r="F44" s="2"/>
      <c r="G44" s="2"/>
      <c r="H44" s="2"/>
      <c r="I44" s="2"/>
      <c r="J44" s="2"/>
      <c r="K44" s="2"/>
    </row>
    <row r="45">
      <c r="A45" s="2"/>
      <c r="B45" s="2"/>
      <c r="C45" s="2"/>
      <c r="D45" s="2"/>
      <c r="E45" s="2"/>
      <c r="F45" s="2"/>
      <c r="G45" s="2"/>
      <c r="H45" s="2"/>
      <c r="I45" s="2"/>
      <c r="J45" s="2"/>
      <c r="K45" s="2"/>
    </row>
    <row r="46">
      <c r="A46" s="2"/>
      <c r="B46" s="2"/>
      <c r="C46" s="2"/>
      <c r="D46" s="2"/>
      <c r="E46" s="2"/>
      <c r="F46" s="2"/>
      <c r="G46" s="2"/>
      <c r="H46" s="2"/>
      <c r="I46" s="2"/>
      <c r="J46" s="2"/>
      <c r="K46" s="2"/>
    </row>
    <row r="47">
      <c r="A47" s="2"/>
      <c r="B47" s="2"/>
      <c r="C47" s="2"/>
      <c r="D47" s="2"/>
      <c r="E47" s="2"/>
      <c r="F47" s="2"/>
      <c r="G47" s="2"/>
      <c r="H47" s="313"/>
      <c r="I47" s="313"/>
      <c r="J47" s="313"/>
      <c r="K47" s="2"/>
    </row>
    <row r="48">
      <c r="A48" s="2"/>
      <c r="K48" s="2"/>
    </row>
    <row r="49">
      <c r="A49" s="2"/>
      <c r="B49" s="2"/>
      <c r="C49" s="2"/>
      <c r="D49" s="2"/>
      <c r="E49" s="2"/>
      <c r="F49" s="2"/>
      <c r="G49" s="2"/>
      <c r="H49" s="2"/>
      <c r="I49" s="2"/>
      <c r="J49" s="2"/>
      <c r="K49" s="2"/>
    </row>
    <row r="50">
      <c r="A50" s="2"/>
      <c r="B50" s="2"/>
      <c r="C50" s="2"/>
      <c r="D50" s="2"/>
      <c r="E50" s="2"/>
      <c r="F50" s="2"/>
      <c r="G50" s="2"/>
      <c r="H50" s="2"/>
      <c r="I50" s="2"/>
      <c r="J50" s="2"/>
      <c r="K50" s="2"/>
    </row>
    <row r="51">
      <c r="A51" s="2"/>
      <c r="B51" s="2"/>
      <c r="C51" s="2"/>
      <c r="D51" s="2"/>
      <c r="E51" s="2"/>
      <c r="F51" s="2"/>
      <c r="G51" s="2"/>
      <c r="H51" s="2"/>
      <c r="I51" s="2"/>
      <c r="J51" s="2"/>
      <c r="K51" s="2"/>
    </row>
    <row r="52">
      <c r="A52" s="2"/>
      <c r="B52" s="2"/>
      <c r="C52" s="2"/>
      <c r="D52" s="2"/>
      <c r="E52" s="2"/>
      <c r="F52" s="2"/>
      <c r="G52" s="2"/>
      <c r="H52" s="2"/>
      <c r="I52" s="2"/>
      <c r="J52" s="2"/>
      <c r="K52" s="2"/>
    </row>
    <row r="53">
      <c r="A53" s="2"/>
      <c r="B53" s="2"/>
      <c r="C53" s="2"/>
      <c r="D53" s="2"/>
      <c r="E53" s="2"/>
      <c r="F53" s="2"/>
      <c r="G53" s="2"/>
      <c r="H53" s="2"/>
      <c r="I53" s="2"/>
      <c r="J53" s="2"/>
      <c r="K53" s="2"/>
    </row>
    <row r="54">
      <c r="A54" s="2"/>
      <c r="B54" s="2"/>
      <c r="C54" s="2"/>
      <c r="D54" s="2"/>
      <c r="E54" s="2"/>
      <c r="F54" s="2"/>
      <c r="G54" s="2"/>
      <c r="H54" s="2"/>
      <c r="I54" s="2"/>
      <c r="J54" s="2"/>
      <c r="K54" s="2"/>
    </row>
    <row r="55">
      <c r="A55" s="2"/>
      <c r="B55" s="2"/>
      <c r="C55" s="2"/>
      <c r="D55" s="2"/>
      <c r="E55" s="2"/>
      <c r="F55" s="2"/>
      <c r="G55" s="2"/>
      <c r="H55" s="2"/>
      <c r="I55" s="2"/>
      <c r="J55" s="2"/>
      <c r="K55" s="2"/>
    </row>
    <row r="56">
      <c r="A56" s="2"/>
      <c r="B56" s="2"/>
      <c r="C56" s="2"/>
      <c r="D56" s="2"/>
      <c r="E56" s="2"/>
      <c r="F56" s="2"/>
      <c r="G56" s="2"/>
      <c r="H56" s="2"/>
      <c r="I56" s="2"/>
      <c r="J56" s="2"/>
      <c r="K56" s="2"/>
    </row>
    <row r="57">
      <c r="A57" s="2"/>
      <c r="B57" s="2"/>
      <c r="C57" s="2"/>
      <c r="D57" s="2"/>
      <c r="E57" s="2"/>
      <c r="F57" s="2"/>
      <c r="G57" s="2"/>
      <c r="H57" s="2"/>
      <c r="I57" s="2"/>
      <c r="J57" s="2"/>
      <c r="K57" s="2"/>
    </row>
    <row r="58">
      <c r="A58" s="2"/>
      <c r="B58" s="2"/>
      <c r="C58" s="2"/>
      <c r="D58" s="2"/>
      <c r="E58" s="2"/>
      <c r="F58" s="2"/>
      <c r="G58" s="2"/>
      <c r="H58" s="2"/>
      <c r="I58" s="2"/>
      <c r="J58" s="2"/>
      <c r="K58" s="2"/>
    </row>
    <row r="59">
      <c r="A59" s="2"/>
      <c r="B59" s="2"/>
      <c r="C59" s="2"/>
      <c r="D59" s="2"/>
      <c r="E59" s="2"/>
      <c r="F59" s="2"/>
      <c r="G59" s="2"/>
      <c r="H59" s="2"/>
      <c r="I59" s="2"/>
      <c r="J59" s="2"/>
      <c r="K59" s="2"/>
    </row>
    <row r="60">
      <c r="A60" s="2"/>
      <c r="B60" s="2"/>
      <c r="C60" s="2"/>
      <c r="D60" s="2"/>
      <c r="E60" s="2"/>
      <c r="F60" s="2"/>
      <c r="G60" s="2"/>
      <c r="H60" s="2"/>
      <c r="I60" s="2"/>
      <c r="J60" s="2"/>
      <c r="K60" s="2"/>
    </row>
    <row r="61">
      <c r="A61" s="2"/>
      <c r="B61" s="2"/>
      <c r="C61" s="2"/>
      <c r="D61" s="2"/>
      <c r="E61" s="2"/>
      <c r="F61" s="2"/>
      <c r="G61" s="2"/>
      <c r="H61" s="2"/>
      <c r="I61" s="2"/>
      <c r="J61" s="2"/>
      <c r="K61" s="2"/>
    </row>
    <row r="62">
      <c r="A62" s="2"/>
      <c r="B62" s="2"/>
      <c r="C62" s="2"/>
      <c r="D62" s="2"/>
      <c r="E62" s="2"/>
      <c r="F62" s="2"/>
      <c r="G62" s="2"/>
      <c r="H62" s="2"/>
      <c r="I62" s="2"/>
      <c r="J62" s="2"/>
      <c r="K62" s="2"/>
    </row>
    <row r="63">
      <c r="A63" s="2"/>
      <c r="B63" s="2"/>
      <c r="C63" s="2"/>
      <c r="D63" s="2"/>
      <c r="E63" s="2"/>
      <c r="F63" s="2"/>
      <c r="G63" s="2"/>
      <c r="H63" s="2"/>
      <c r="I63" s="2"/>
      <c r="J63" s="2"/>
      <c r="K63" s="2"/>
    </row>
    <row r="64">
      <c r="A64" s="2"/>
      <c r="B64" s="2"/>
      <c r="C64" s="2"/>
      <c r="D64" s="2"/>
      <c r="E64" s="2"/>
      <c r="F64" s="2"/>
      <c r="G64" s="2"/>
      <c r="H64" s="2"/>
      <c r="I64" s="2"/>
      <c r="J64" s="2"/>
      <c r="K64" s="2"/>
    </row>
    <row r="65">
      <c r="A65" s="2"/>
      <c r="B65" s="2"/>
      <c r="C65" s="2"/>
      <c r="D65" s="2"/>
      <c r="E65" s="2"/>
      <c r="F65" s="2"/>
      <c r="G65" s="2"/>
      <c r="H65" s="2"/>
      <c r="I65" s="2"/>
      <c r="J65" s="2"/>
      <c r="K65" s="2"/>
    </row>
    <row r="66">
      <c r="A66" s="2"/>
      <c r="B66" s="2"/>
      <c r="C66" s="2"/>
      <c r="D66" s="2"/>
      <c r="E66" s="2"/>
      <c r="F66" s="2"/>
      <c r="G66" s="2"/>
      <c r="H66" s="2"/>
      <c r="I66" s="2"/>
      <c r="J66" s="2"/>
      <c r="K66" s="2"/>
    </row>
    <row r="67">
      <c r="A67" s="2"/>
      <c r="B67" s="2"/>
      <c r="C67" s="2"/>
      <c r="D67" s="2"/>
      <c r="E67" s="2"/>
      <c r="F67" s="2"/>
      <c r="G67" s="2"/>
      <c r="H67" s="2"/>
      <c r="I67" s="2"/>
      <c r="J67" s="2"/>
      <c r="K67" s="2"/>
    </row>
    <row r="68">
      <c r="A68" s="2"/>
      <c r="B68" s="2"/>
      <c r="C68" s="2"/>
      <c r="D68" s="2"/>
      <c r="E68" s="2"/>
      <c r="F68" s="2"/>
      <c r="G68" s="2"/>
      <c r="H68" s="2"/>
      <c r="I68" s="2"/>
      <c r="J68" s="2"/>
      <c r="K68" s="2"/>
    </row>
    <row r="69">
      <c r="A69" s="2"/>
      <c r="B69" s="2"/>
      <c r="C69" s="2"/>
      <c r="D69" s="2"/>
      <c r="E69" s="2"/>
      <c r="F69" s="2"/>
      <c r="G69" s="2"/>
      <c r="H69" s="2"/>
      <c r="I69" s="2"/>
      <c r="J69" s="2"/>
      <c r="K69" s="2"/>
    </row>
    <row r="70">
      <c r="A70" s="2"/>
      <c r="B70" s="2"/>
      <c r="C70" s="2"/>
      <c r="D70" s="2"/>
      <c r="E70" s="2"/>
      <c r="F70" s="2"/>
      <c r="G70" s="2"/>
      <c r="H70" s="2"/>
      <c r="I70" s="2"/>
      <c r="J70" s="2"/>
      <c r="K70" s="2"/>
    </row>
    <row r="71">
      <c r="A71" s="2"/>
      <c r="B71" s="2"/>
      <c r="C71" s="2"/>
      <c r="D71" s="2"/>
      <c r="E71" s="2"/>
      <c r="F71" s="2"/>
      <c r="G71" s="2"/>
      <c r="H71" s="2"/>
      <c r="I71" s="2"/>
      <c r="J71" s="2"/>
      <c r="K71" s="2"/>
    </row>
    <row r="72">
      <c r="A72" s="2"/>
      <c r="B72" s="2"/>
      <c r="C72" s="2"/>
      <c r="D72" s="2"/>
      <c r="E72" s="2"/>
      <c r="F72" s="2"/>
      <c r="G72" s="2"/>
      <c r="H72" s="2"/>
      <c r="I72" s="2"/>
      <c r="J72" s="2"/>
      <c r="K72" s="2"/>
    </row>
    <row r="73">
      <c r="A73" s="2"/>
      <c r="B73" s="2"/>
      <c r="C73" s="2"/>
      <c r="D73" s="2"/>
      <c r="E73" s="2"/>
      <c r="F73" s="2"/>
      <c r="G73" s="2"/>
      <c r="H73" s="2"/>
      <c r="I73" s="2"/>
      <c r="J73" s="2"/>
      <c r="K73" s="2"/>
    </row>
    <row r="74">
      <c r="A74" s="2"/>
      <c r="B74" s="2"/>
      <c r="C74" s="2"/>
      <c r="D74" s="2"/>
      <c r="E74" s="2"/>
      <c r="F74" s="2"/>
      <c r="G74" s="2"/>
      <c r="H74" s="2"/>
      <c r="I74" s="2"/>
      <c r="J74" s="2"/>
      <c r="K74" s="2"/>
    </row>
    <row r="75">
      <c r="A75" s="2"/>
      <c r="B75" s="2"/>
      <c r="C75" s="2"/>
      <c r="D75" s="2"/>
      <c r="E75" s="2"/>
      <c r="F75" s="2"/>
      <c r="G75" s="2"/>
      <c r="H75" s="2"/>
      <c r="I75" s="2"/>
      <c r="J75" s="2"/>
      <c r="K75" s="2"/>
    </row>
    <row r="76">
      <c r="A76" s="2"/>
      <c r="B76" s="2"/>
      <c r="C76" s="2"/>
      <c r="D76" s="2"/>
      <c r="E76" s="2"/>
      <c r="F76" s="2"/>
      <c r="G76" s="2"/>
      <c r="H76" s="2"/>
      <c r="I76" s="2"/>
      <c r="J76" s="2"/>
      <c r="K76" s="2"/>
    </row>
    <row r="77">
      <c r="A77" s="2"/>
      <c r="B77" s="2"/>
      <c r="C77" s="2"/>
      <c r="D77" s="2"/>
      <c r="E77" s="2"/>
      <c r="F77" s="2"/>
      <c r="G77" s="2"/>
      <c r="H77" s="2"/>
      <c r="I77" s="2"/>
      <c r="J77" s="2"/>
      <c r="K77" s="2"/>
    </row>
    <row r="78">
      <c r="A78" s="2"/>
      <c r="B78" s="2"/>
      <c r="C78" s="2"/>
      <c r="D78" s="2"/>
      <c r="E78" s="2"/>
      <c r="F78" s="2"/>
      <c r="G78" s="2"/>
      <c r="H78" s="2"/>
      <c r="I78" s="2"/>
      <c r="J78" s="2"/>
      <c r="K78" s="2"/>
    </row>
    <row r="79">
      <c r="A79" s="2"/>
      <c r="B79" s="2"/>
      <c r="C79" s="2"/>
      <c r="D79" s="2"/>
      <c r="E79" s="2"/>
      <c r="F79" s="2"/>
      <c r="G79" s="2"/>
      <c r="H79" s="2"/>
      <c r="I79" s="2"/>
      <c r="J79" s="2"/>
      <c r="K79" s="2"/>
    </row>
    <row r="80">
      <c r="A80" s="2"/>
      <c r="B80" s="2"/>
      <c r="C80" s="2"/>
      <c r="D80" s="2"/>
      <c r="E80" s="2"/>
      <c r="F80" s="2"/>
      <c r="G80" s="2"/>
      <c r="H80" s="2"/>
      <c r="I80" s="2"/>
      <c r="J80" s="2"/>
      <c r="K80" s="2"/>
    </row>
    <row r="81">
      <c r="A81" s="2"/>
      <c r="B81" s="2"/>
      <c r="C81" s="2"/>
      <c r="D81" s="2"/>
      <c r="E81" s="2"/>
      <c r="F81" s="2"/>
      <c r="G81" s="2"/>
      <c r="H81" s="2"/>
      <c r="I81" s="2"/>
      <c r="J81" s="2"/>
      <c r="K81" s="2"/>
    </row>
    <row r="82">
      <c r="A82" s="2"/>
      <c r="B82" s="2"/>
      <c r="C82" s="2"/>
      <c r="D82" s="2"/>
      <c r="E82" s="2"/>
      <c r="F82" s="2"/>
      <c r="G82" s="2"/>
      <c r="H82" s="2"/>
      <c r="I82" s="2"/>
      <c r="J82" s="2"/>
      <c r="K82" s="2"/>
    </row>
    <row r="83">
      <c r="A83" s="2"/>
      <c r="B83" s="2"/>
      <c r="C83" s="2"/>
      <c r="D83" s="2"/>
      <c r="E83" s="2"/>
      <c r="F83" s="2"/>
      <c r="G83" s="2"/>
      <c r="H83" s="2"/>
      <c r="I83" s="2"/>
      <c r="J83" s="2"/>
      <c r="K83" s="2"/>
    </row>
    <row r="84">
      <c r="A84" s="2"/>
      <c r="B84" s="2"/>
      <c r="C84" s="2"/>
      <c r="D84" s="2"/>
      <c r="E84" s="2"/>
      <c r="F84" s="2"/>
      <c r="G84" s="2"/>
      <c r="H84" s="2"/>
      <c r="I84" s="2"/>
      <c r="J84" s="2"/>
      <c r="K84" s="2"/>
    </row>
    <row r="85">
      <c r="A85" s="2"/>
      <c r="B85" s="2"/>
      <c r="C85" s="2"/>
      <c r="D85" s="2"/>
      <c r="E85" s="2"/>
      <c r="F85" s="2"/>
      <c r="G85" s="2"/>
      <c r="H85" s="2"/>
      <c r="I85" s="2"/>
      <c r="J85" s="2"/>
      <c r="K85" s="2"/>
    </row>
    <row r="86">
      <c r="A86" s="2"/>
      <c r="B86" s="2"/>
      <c r="C86" s="2"/>
      <c r="D86" s="2"/>
      <c r="E86" s="2"/>
      <c r="F86" s="2"/>
      <c r="G86" s="2"/>
      <c r="H86" s="2"/>
      <c r="I86" s="2"/>
      <c r="J86" s="2"/>
      <c r="K86" s="2"/>
    </row>
    <row r="87">
      <c r="A87" s="2"/>
      <c r="B87" s="2"/>
      <c r="C87" s="2"/>
      <c r="D87" s="2"/>
      <c r="E87" s="2"/>
      <c r="F87" s="2"/>
      <c r="G87" s="2"/>
      <c r="H87" s="2"/>
      <c r="I87" s="2"/>
      <c r="J87" s="2"/>
      <c r="K87" s="2"/>
    </row>
    <row r="88">
      <c r="A88" s="2"/>
      <c r="B88" s="2"/>
      <c r="C88" s="2"/>
      <c r="D88" s="2"/>
      <c r="E88" s="2"/>
      <c r="F88" s="2"/>
      <c r="G88" s="2"/>
      <c r="H88" s="2"/>
      <c r="I88" s="2"/>
      <c r="J88" s="2"/>
      <c r="K88" s="2"/>
    </row>
    <row r="89">
      <c r="A89" s="2"/>
      <c r="B89" s="2"/>
      <c r="C89" s="2"/>
      <c r="D89" s="2"/>
      <c r="E89" s="2"/>
      <c r="F89" s="2"/>
      <c r="G89" s="2"/>
      <c r="H89" s="2"/>
      <c r="I89" s="2"/>
      <c r="J89" s="2"/>
      <c r="K89" s="2"/>
    </row>
    <row r="90">
      <c r="A90" s="2"/>
      <c r="B90" s="2"/>
      <c r="C90" s="2"/>
      <c r="D90" s="2"/>
      <c r="E90" s="2"/>
      <c r="F90" s="2"/>
      <c r="G90" s="2"/>
      <c r="H90" s="2"/>
      <c r="I90" s="2"/>
      <c r="J90" s="2"/>
      <c r="K90" s="2"/>
    </row>
    <row r="91">
      <c r="A91" s="2"/>
      <c r="B91" s="2"/>
      <c r="C91" s="2"/>
      <c r="D91" s="2"/>
      <c r="E91" s="2"/>
      <c r="F91" s="2"/>
      <c r="G91" s="2"/>
      <c r="H91" s="2"/>
      <c r="I91" s="2"/>
      <c r="J91" s="2"/>
      <c r="K91" s="2"/>
    </row>
    <row r="92">
      <c r="A92" s="2"/>
      <c r="B92" s="2"/>
      <c r="C92" s="2"/>
      <c r="D92" s="2"/>
      <c r="E92" s="2"/>
      <c r="F92" s="2"/>
      <c r="G92" s="2"/>
      <c r="H92" s="2"/>
      <c r="I92" s="2"/>
      <c r="J92" s="2"/>
      <c r="K92" s="2"/>
    </row>
    <row r="93">
      <c r="A93" s="2"/>
      <c r="B93" s="2"/>
      <c r="C93" s="2"/>
      <c r="D93" s="2"/>
      <c r="E93" s="2"/>
      <c r="F93" s="2"/>
      <c r="G93" s="2"/>
      <c r="H93" s="2"/>
      <c r="I93" s="2"/>
      <c r="J93" s="2"/>
      <c r="K93" s="2"/>
    </row>
    <row r="94">
      <c r="A94" s="2"/>
      <c r="B94" s="2"/>
      <c r="C94" s="2"/>
      <c r="D94" s="2"/>
      <c r="E94" s="2"/>
      <c r="F94" s="2"/>
      <c r="G94" s="2"/>
      <c r="H94" s="2"/>
      <c r="I94" s="2"/>
      <c r="J94" s="2"/>
      <c r="K94" s="2"/>
    </row>
    <row r="95">
      <c r="A95" s="2"/>
      <c r="B95" s="2"/>
      <c r="C95" s="2"/>
      <c r="D95" s="2"/>
      <c r="E95" s="2"/>
      <c r="F95" s="2"/>
      <c r="G95" s="2"/>
      <c r="H95" s="2"/>
      <c r="I95" s="2"/>
      <c r="J95" s="2"/>
      <c r="K95" s="2"/>
    </row>
    <row r="96">
      <c r="A96" s="2"/>
      <c r="B96" s="2"/>
      <c r="C96" s="2"/>
      <c r="D96" s="2"/>
      <c r="E96" s="2"/>
      <c r="F96" s="2"/>
      <c r="G96" s="2"/>
      <c r="H96" s="2"/>
      <c r="I96" s="2"/>
      <c r="J96" s="2"/>
      <c r="K96" s="2"/>
    </row>
    <row r="97">
      <c r="A97" s="2"/>
      <c r="B97" s="2"/>
      <c r="C97" s="2"/>
      <c r="D97" s="2"/>
      <c r="E97" s="2"/>
      <c r="F97" s="2"/>
      <c r="G97" s="2"/>
      <c r="H97" s="2"/>
      <c r="I97" s="2"/>
      <c r="J97" s="2"/>
      <c r="K97" s="2"/>
    </row>
    <row r="98">
      <c r="A98" s="2"/>
      <c r="B98" s="2"/>
      <c r="C98" s="2"/>
      <c r="D98" s="2"/>
      <c r="E98" s="2"/>
      <c r="F98" s="2"/>
      <c r="G98" s="2"/>
      <c r="H98" s="2"/>
      <c r="I98" s="2"/>
      <c r="J98" s="2"/>
      <c r="K98" s="2"/>
    </row>
    <row r="99">
      <c r="A99" s="2"/>
      <c r="B99" s="2"/>
      <c r="C99" s="2"/>
      <c r="D99" s="2"/>
      <c r="E99" s="2"/>
      <c r="F99" s="2"/>
      <c r="G99" s="2"/>
      <c r="H99" s="2"/>
      <c r="I99" s="2"/>
      <c r="J99" s="2"/>
      <c r="K99" s="2"/>
    </row>
    <row r="100">
      <c r="A100" s="2"/>
      <c r="B100" s="2"/>
      <c r="C100" s="2"/>
      <c r="D100" s="2"/>
      <c r="E100" s="2"/>
      <c r="F100" s="2"/>
      <c r="G100" s="2"/>
      <c r="H100" s="2"/>
      <c r="I100" s="2"/>
      <c r="J100" s="2"/>
      <c r="K100" s="2"/>
    </row>
    <row r="101">
      <c r="A101" s="2"/>
      <c r="B101" s="2"/>
      <c r="C101" s="2"/>
      <c r="D101" s="2"/>
      <c r="E101" s="2"/>
      <c r="F101" s="2"/>
      <c r="G101" s="2"/>
      <c r="H101" s="2"/>
      <c r="I101" s="2"/>
      <c r="J101" s="2"/>
      <c r="K101" s="2"/>
    </row>
    <row r="102">
      <c r="A102" s="2"/>
      <c r="B102" s="2"/>
      <c r="C102" s="2"/>
      <c r="D102" s="2"/>
      <c r="E102" s="2"/>
      <c r="F102" s="2"/>
      <c r="G102" s="2"/>
      <c r="H102" s="2"/>
      <c r="I102" s="2"/>
      <c r="J102" s="2"/>
      <c r="K102" s="2"/>
    </row>
    <row r="103">
      <c r="A103" s="2"/>
      <c r="B103" s="2"/>
      <c r="C103" s="2"/>
      <c r="D103" s="2"/>
      <c r="E103" s="2"/>
      <c r="F103" s="2"/>
      <c r="G103" s="2"/>
      <c r="H103" s="2"/>
      <c r="I103" s="2"/>
      <c r="J103" s="2"/>
      <c r="K103" s="2"/>
    </row>
    <row r="104">
      <c r="A104" s="2"/>
      <c r="B104" s="2"/>
      <c r="C104" s="2"/>
      <c r="D104" s="2"/>
      <c r="E104" s="2"/>
      <c r="F104" s="2"/>
      <c r="G104" s="2"/>
      <c r="H104" s="2"/>
      <c r="I104" s="2"/>
      <c r="J104" s="2"/>
      <c r="K104" s="2"/>
    </row>
    <row r="105">
      <c r="A105" s="2"/>
      <c r="B105" s="2"/>
      <c r="C105" s="2"/>
      <c r="D105" s="2"/>
      <c r="E105" s="2"/>
      <c r="F105" s="2"/>
      <c r="G105" s="2"/>
      <c r="H105" s="2"/>
      <c r="I105" s="2"/>
      <c r="J105" s="2"/>
      <c r="K105" s="2"/>
    </row>
    <row r="106">
      <c r="A106" s="2"/>
      <c r="B106" s="2"/>
      <c r="C106" s="2"/>
      <c r="D106" s="2"/>
      <c r="E106" s="2"/>
      <c r="F106" s="2"/>
      <c r="G106" s="2"/>
      <c r="H106" s="2"/>
      <c r="I106" s="2"/>
      <c r="J106" s="2"/>
      <c r="K106" s="2"/>
    </row>
    <row r="107">
      <c r="A107" s="2"/>
      <c r="B107" s="2"/>
      <c r="C107" s="2"/>
      <c r="D107" s="2"/>
      <c r="E107" s="2"/>
      <c r="F107" s="2"/>
      <c r="G107" s="2"/>
      <c r="H107" s="2"/>
      <c r="I107" s="2"/>
      <c r="J107" s="2"/>
      <c r="K107" s="2"/>
    </row>
    <row r="108">
      <c r="A108" s="2"/>
      <c r="B108" s="2"/>
      <c r="C108" s="2"/>
      <c r="D108" s="2"/>
      <c r="E108" s="2"/>
      <c r="F108" s="2"/>
      <c r="G108" s="2"/>
      <c r="H108" s="2"/>
      <c r="I108" s="2"/>
      <c r="J108" s="2"/>
      <c r="K108" s="2"/>
    </row>
    <row r="109">
      <c r="A109" s="2"/>
      <c r="B109" s="2"/>
      <c r="C109" s="2"/>
      <c r="D109" s="2"/>
      <c r="E109" s="2"/>
      <c r="F109" s="2"/>
      <c r="G109" s="2"/>
      <c r="H109" s="2"/>
      <c r="I109" s="2"/>
      <c r="J109" s="2"/>
      <c r="K109" s="2"/>
    </row>
    <row r="110">
      <c r="A110" s="2"/>
      <c r="B110" s="2"/>
      <c r="C110" s="2"/>
      <c r="D110" s="2"/>
      <c r="E110" s="2"/>
      <c r="F110" s="2"/>
      <c r="G110" s="2"/>
      <c r="H110" s="2"/>
      <c r="I110" s="2"/>
      <c r="J110" s="2"/>
      <c r="K110" s="2"/>
    </row>
    <row r="111">
      <c r="A111" s="2"/>
      <c r="B111" s="2"/>
      <c r="C111" s="2"/>
      <c r="D111" s="2"/>
      <c r="E111" s="2"/>
      <c r="F111" s="2"/>
      <c r="G111" s="2"/>
      <c r="H111" s="2"/>
      <c r="I111" s="2"/>
      <c r="J111" s="2"/>
      <c r="K111" s="2"/>
    </row>
    <row r="112">
      <c r="A112" s="2"/>
      <c r="B112" s="2"/>
      <c r="C112" s="2"/>
      <c r="D112" s="2"/>
      <c r="E112" s="2"/>
      <c r="F112" s="2"/>
      <c r="G112" s="2"/>
      <c r="H112" s="2"/>
      <c r="I112" s="2"/>
      <c r="J112" s="2"/>
      <c r="K112" s="2"/>
    </row>
    <row r="113">
      <c r="A113" s="2"/>
      <c r="B113" s="2"/>
      <c r="C113" s="2"/>
      <c r="D113" s="2"/>
      <c r="E113" s="2"/>
      <c r="F113" s="2"/>
      <c r="G113" s="2"/>
      <c r="H113" s="2"/>
      <c r="I113" s="2"/>
      <c r="J113" s="2"/>
      <c r="K113" s="2"/>
    </row>
    <row r="114">
      <c r="A114" s="2"/>
      <c r="B114" s="2"/>
      <c r="C114" s="2"/>
      <c r="D114" s="2"/>
      <c r="E114" s="2"/>
      <c r="F114" s="2"/>
      <c r="G114" s="2"/>
      <c r="H114" s="2"/>
      <c r="I114" s="2"/>
      <c r="J114" s="2"/>
      <c r="K114" s="2"/>
    </row>
    <row r="115">
      <c r="A115" s="2"/>
      <c r="B115" s="2"/>
      <c r="C115" s="2"/>
      <c r="D115" s="2"/>
      <c r="E115" s="2"/>
      <c r="F115" s="2"/>
      <c r="G115" s="2"/>
      <c r="H115" s="2"/>
      <c r="I115" s="2"/>
      <c r="J115" s="2"/>
      <c r="K115" s="2"/>
    </row>
    <row r="116">
      <c r="A116" s="2"/>
      <c r="B116" s="2"/>
      <c r="C116" s="2"/>
      <c r="D116" s="2"/>
      <c r="E116" s="2"/>
      <c r="F116" s="2"/>
      <c r="G116" s="2"/>
      <c r="H116" s="2"/>
      <c r="I116" s="2"/>
      <c r="J116" s="2"/>
      <c r="K116" s="2"/>
    </row>
    <row r="117">
      <c r="A117" s="2"/>
      <c r="B117" s="2"/>
      <c r="C117" s="2"/>
      <c r="D117" s="2"/>
      <c r="E117" s="2"/>
      <c r="F117" s="2"/>
      <c r="G117" s="2"/>
      <c r="H117" s="2"/>
      <c r="I117" s="2"/>
      <c r="J117" s="2"/>
      <c r="K117" s="2"/>
    </row>
    <row r="118">
      <c r="A118" s="2"/>
      <c r="B118" s="2"/>
      <c r="C118" s="2"/>
      <c r="D118" s="2"/>
      <c r="E118" s="2"/>
      <c r="F118" s="2"/>
      <c r="G118" s="2"/>
      <c r="H118" s="2"/>
      <c r="I118" s="2"/>
      <c r="J118" s="2"/>
      <c r="K118" s="2"/>
    </row>
    <row r="119">
      <c r="A119" s="2"/>
      <c r="B119" s="2"/>
      <c r="C119" s="2"/>
      <c r="D119" s="2"/>
      <c r="E119" s="2"/>
      <c r="F119" s="2"/>
      <c r="G119" s="2"/>
      <c r="H119" s="2"/>
      <c r="I119" s="2"/>
      <c r="J119" s="2"/>
      <c r="K119" s="2"/>
    </row>
    <row r="120">
      <c r="A120" s="2"/>
      <c r="B120" s="2"/>
      <c r="C120" s="2"/>
      <c r="D120" s="2"/>
      <c r="E120" s="2"/>
      <c r="F120" s="2"/>
      <c r="G120" s="2"/>
      <c r="H120" s="2"/>
      <c r="I120" s="2"/>
      <c r="J120" s="2"/>
      <c r="K120" s="2"/>
    </row>
    <row r="121">
      <c r="A121" s="2"/>
      <c r="B121" s="2"/>
      <c r="C121" s="2"/>
      <c r="D121" s="2"/>
      <c r="E121" s="2"/>
      <c r="F121" s="2"/>
      <c r="G121" s="2"/>
      <c r="H121" s="2"/>
      <c r="I121" s="2"/>
      <c r="J121" s="2"/>
      <c r="K121" s="2"/>
    </row>
    <row r="122">
      <c r="A122" s="2"/>
      <c r="B122" s="2"/>
      <c r="C122" s="2"/>
      <c r="D122" s="2"/>
      <c r="E122" s="2"/>
      <c r="F122" s="2"/>
      <c r="G122" s="2"/>
      <c r="H122" s="2"/>
      <c r="I122" s="2"/>
      <c r="J122" s="2"/>
      <c r="K122" s="2"/>
    </row>
    <row r="123">
      <c r="A123" s="2"/>
      <c r="B123" s="2"/>
      <c r="C123" s="2"/>
      <c r="D123" s="2"/>
      <c r="E123" s="2"/>
      <c r="F123" s="2"/>
      <c r="G123" s="2"/>
      <c r="H123" s="2"/>
      <c r="I123" s="2"/>
      <c r="J123" s="2"/>
      <c r="K123" s="2"/>
    </row>
    <row r="124">
      <c r="A124" s="2"/>
      <c r="B124" s="2"/>
      <c r="C124" s="2"/>
      <c r="D124" s="2"/>
      <c r="E124" s="2"/>
      <c r="F124" s="2"/>
      <c r="G124" s="2"/>
      <c r="H124" s="2"/>
      <c r="I124" s="2"/>
      <c r="J124" s="2"/>
      <c r="K124" s="2"/>
    </row>
    <row r="125">
      <c r="A125" s="2"/>
      <c r="B125" s="2"/>
      <c r="C125" s="2"/>
      <c r="D125" s="2"/>
      <c r="E125" s="2"/>
      <c r="F125" s="2"/>
      <c r="G125" s="2"/>
      <c r="H125" s="2"/>
      <c r="I125" s="2"/>
      <c r="J125" s="2"/>
      <c r="K125" s="2"/>
    </row>
    <row r="126">
      <c r="A126" s="2"/>
      <c r="B126" s="2"/>
      <c r="C126" s="2"/>
      <c r="D126" s="2"/>
      <c r="E126" s="2"/>
      <c r="F126" s="2"/>
      <c r="G126" s="2"/>
      <c r="H126" s="2"/>
      <c r="I126" s="2"/>
      <c r="J126" s="2"/>
      <c r="K126" s="2"/>
    </row>
    <row r="127">
      <c r="A127" s="2"/>
      <c r="B127" s="2"/>
      <c r="C127" s="2"/>
      <c r="D127" s="2"/>
      <c r="E127" s="2"/>
      <c r="F127" s="2"/>
      <c r="G127" s="2"/>
      <c r="H127" s="2"/>
      <c r="I127" s="2"/>
      <c r="J127" s="2"/>
      <c r="K127" s="2"/>
    </row>
    <row r="128">
      <c r="A128" s="2"/>
      <c r="B128" s="2"/>
      <c r="C128" s="2"/>
      <c r="D128" s="2"/>
      <c r="E128" s="2"/>
      <c r="F128" s="2"/>
      <c r="G128" s="2"/>
      <c r="H128" s="2"/>
      <c r="I128" s="2"/>
      <c r="J128" s="2"/>
      <c r="K128" s="2"/>
    </row>
    <row r="129">
      <c r="A129" s="2"/>
      <c r="B129" s="2"/>
      <c r="C129" s="2"/>
      <c r="D129" s="2"/>
      <c r="E129" s="2"/>
      <c r="F129" s="2"/>
      <c r="G129" s="2"/>
      <c r="H129" s="2"/>
      <c r="I129" s="2"/>
      <c r="J129" s="2"/>
      <c r="K129" s="2"/>
    </row>
    <row r="130">
      <c r="A130" s="2"/>
      <c r="B130" s="2"/>
      <c r="C130" s="2"/>
      <c r="D130" s="2"/>
      <c r="E130" s="2"/>
      <c r="F130" s="2"/>
      <c r="G130" s="2"/>
      <c r="H130" s="2"/>
      <c r="I130" s="2"/>
      <c r="J130" s="2"/>
      <c r="K130" s="2"/>
    </row>
    <row r="131">
      <c r="A131" s="2"/>
      <c r="B131" s="2"/>
      <c r="C131" s="2"/>
      <c r="D131" s="2"/>
      <c r="E131" s="2"/>
      <c r="F131" s="2"/>
      <c r="G131" s="2"/>
      <c r="H131" s="2"/>
      <c r="I131" s="2"/>
      <c r="J131" s="2"/>
      <c r="K131" s="2"/>
    </row>
    <row r="132">
      <c r="A132" s="2"/>
      <c r="B132" s="2"/>
      <c r="C132" s="2"/>
      <c r="D132" s="2"/>
      <c r="E132" s="2"/>
      <c r="F132" s="2"/>
      <c r="G132" s="2"/>
      <c r="H132" s="2"/>
      <c r="I132" s="2"/>
      <c r="J132" s="2"/>
      <c r="K132" s="2"/>
    </row>
    <row r="133">
      <c r="A133" s="2"/>
      <c r="B133" s="2"/>
      <c r="C133" s="2"/>
      <c r="D133" s="2"/>
      <c r="E133" s="2"/>
      <c r="F133" s="2"/>
      <c r="G133" s="2"/>
      <c r="H133" s="2"/>
      <c r="I133" s="2"/>
      <c r="J133" s="2"/>
      <c r="K133" s="2"/>
    </row>
    <row r="134">
      <c r="A134" s="2"/>
      <c r="B134" s="2"/>
      <c r="C134" s="2"/>
      <c r="D134" s="2"/>
      <c r="E134" s="2"/>
      <c r="F134" s="2"/>
      <c r="G134" s="2"/>
      <c r="H134" s="2"/>
      <c r="I134" s="2"/>
      <c r="J134" s="2"/>
      <c r="K134" s="2"/>
    </row>
    <row r="135">
      <c r="A135" s="2"/>
      <c r="B135" s="2"/>
      <c r="C135" s="2"/>
      <c r="D135" s="2"/>
      <c r="E135" s="2"/>
      <c r="F135" s="2"/>
      <c r="G135" s="2"/>
      <c r="H135" s="2"/>
      <c r="I135" s="2"/>
      <c r="J135" s="2"/>
      <c r="K135" s="2"/>
    </row>
    <row r="136">
      <c r="A136" s="2"/>
      <c r="B136" s="2"/>
      <c r="C136" s="2"/>
      <c r="D136" s="2"/>
      <c r="E136" s="2"/>
      <c r="F136" s="2"/>
      <c r="G136" s="2"/>
      <c r="H136" s="2"/>
      <c r="I136" s="2"/>
      <c r="J136" s="2"/>
      <c r="K136" s="2"/>
    </row>
    <row r="137">
      <c r="A137" s="2"/>
      <c r="B137" s="2"/>
      <c r="C137" s="2"/>
      <c r="D137" s="2"/>
      <c r="E137" s="2"/>
      <c r="F137" s="2"/>
      <c r="G137" s="2"/>
      <c r="H137" s="2"/>
      <c r="I137" s="2"/>
      <c r="J137" s="2"/>
      <c r="K137" s="2"/>
    </row>
    <row r="138">
      <c r="A138" s="2"/>
      <c r="B138" s="2"/>
      <c r="C138" s="2"/>
      <c r="D138" s="2"/>
      <c r="E138" s="2"/>
      <c r="F138" s="2"/>
      <c r="G138" s="2"/>
      <c r="H138" s="2"/>
      <c r="I138" s="2"/>
      <c r="J138" s="2"/>
      <c r="K138" s="2"/>
    </row>
    <row r="139">
      <c r="A139" s="2"/>
      <c r="B139" s="2"/>
      <c r="C139" s="2"/>
      <c r="D139" s="2"/>
      <c r="E139" s="2"/>
      <c r="F139" s="2"/>
      <c r="G139" s="2"/>
      <c r="H139" s="2"/>
      <c r="I139" s="2"/>
      <c r="J139" s="2"/>
      <c r="K139" s="2"/>
    </row>
    <row r="140">
      <c r="A140" s="2"/>
      <c r="B140" s="2"/>
      <c r="C140" s="2"/>
      <c r="D140" s="2"/>
      <c r="E140" s="2"/>
      <c r="F140" s="2"/>
      <c r="G140" s="2"/>
      <c r="H140" s="2"/>
      <c r="I140" s="2"/>
      <c r="J140" s="2"/>
      <c r="K140" s="2"/>
    </row>
    <row r="141">
      <c r="A141" s="2"/>
      <c r="B141" s="2"/>
      <c r="C141" s="2"/>
      <c r="D141" s="2"/>
      <c r="E141" s="2"/>
      <c r="F141" s="2"/>
      <c r="G141" s="2"/>
      <c r="H141" s="2"/>
      <c r="I141" s="2"/>
      <c r="J141" s="2"/>
      <c r="K141" s="2"/>
    </row>
    <row r="142">
      <c r="A142" s="2"/>
      <c r="B142" s="2"/>
      <c r="C142" s="2"/>
      <c r="D142" s="2"/>
      <c r="E142" s="2"/>
      <c r="F142" s="2"/>
      <c r="G142" s="2"/>
      <c r="H142" s="2"/>
      <c r="I142" s="2"/>
      <c r="J142" s="2"/>
      <c r="K142" s="2"/>
    </row>
    <row r="143">
      <c r="A143" s="2"/>
      <c r="B143" s="2"/>
      <c r="C143" s="2"/>
      <c r="D143" s="2"/>
      <c r="E143" s="2"/>
      <c r="F143" s="2"/>
      <c r="G143" s="2"/>
      <c r="H143" s="2"/>
      <c r="I143" s="2"/>
      <c r="J143" s="2"/>
      <c r="K143" s="2"/>
    </row>
    <row r="144">
      <c r="A144" s="2"/>
      <c r="B144" s="2"/>
      <c r="C144" s="2"/>
      <c r="D144" s="2"/>
      <c r="E144" s="2"/>
      <c r="F144" s="2"/>
      <c r="G144" s="2"/>
      <c r="H144" s="2"/>
      <c r="I144" s="2"/>
      <c r="J144" s="2"/>
      <c r="K144" s="2"/>
    </row>
    <row r="145">
      <c r="A145" s="2"/>
      <c r="B145" s="2"/>
      <c r="C145" s="2"/>
      <c r="D145" s="2"/>
      <c r="E145" s="2"/>
      <c r="F145" s="2"/>
      <c r="G145" s="2"/>
      <c r="H145" s="2"/>
      <c r="I145" s="2"/>
      <c r="J145" s="2"/>
      <c r="K145" s="2"/>
    </row>
    <row r="146">
      <c r="A146" s="2"/>
      <c r="B146" s="2"/>
      <c r="C146" s="2"/>
      <c r="D146" s="2"/>
      <c r="E146" s="2"/>
      <c r="F146" s="2"/>
      <c r="G146" s="2"/>
      <c r="H146" s="2"/>
      <c r="I146" s="2"/>
      <c r="J146" s="2"/>
      <c r="K146" s="2"/>
    </row>
    <row r="147">
      <c r="A147" s="2"/>
      <c r="B147" s="2"/>
      <c r="C147" s="2"/>
      <c r="D147" s="2"/>
      <c r="E147" s="2"/>
      <c r="F147" s="2"/>
      <c r="G147" s="2"/>
      <c r="H147" s="2"/>
      <c r="I147" s="2"/>
      <c r="J147" s="2"/>
      <c r="K147" s="2"/>
    </row>
    <row r="148">
      <c r="A148" s="2"/>
      <c r="B148" s="2"/>
      <c r="C148" s="2"/>
      <c r="D148" s="2"/>
      <c r="E148" s="2"/>
      <c r="F148" s="2"/>
      <c r="G148" s="2"/>
      <c r="H148" s="2"/>
      <c r="I148" s="2"/>
      <c r="J148" s="2"/>
      <c r="K148" s="2"/>
    </row>
    <row r="149">
      <c r="A149" s="2"/>
      <c r="B149" s="2"/>
      <c r="C149" s="2"/>
      <c r="D149" s="2"/>
      <c r="E149" s="2"/>
      <c r="F149" s="2"/>
      <c r="G149" s="2"/>
      <c r="H149" s="2"/>
      <c r="I149" s="2"/>
      <c r="J149" s="2"/>
      <c r="K149" s="2"/>
    </row>
    <row r="150">
      <c r="A150" s="2"/>
      <c r="B150" s="2"/>
      <c r="C150" s="2"/>
      <c r="D150" s="2"/>
      <c r="E150" s="2"/>
      <c r="F150" s="2"/>
      <c r="G150" s="2"/>
      <c r="H150" s="2"/>
      <c r="I150" s="2"/>
      <c r="J150" s="2"/>
      <c r="K150" s="2"/>
    </row>
    <row r="151">
      <c r="A151" s="2"/>
      <c r="B151" s="2"/>
      <c r="C151" s="2"/>
      <c r="D151" s="2"/>
      <c r="E151" s="2"/>
      <c r="F151" s="2"/>
      <c r="G151" s="2"/>
      <c r="H151" s="2"/>
      <c r="I151" s="2"/>
      <c r="J151" s="2"/>
      <c r="K151" s="2"/>
    </row>
    <row r="152">
      <c r="A152" s="2"/>
      <c r="B152" s="2"/>
      <c r="C152" s="2"/>
      <c r="D152" s="2"/>
      <c r="E152" s="2"/>
      <c r="F152" s="2"/>
      <c r="G152" s="2"/>
      <c r="H152" s="2"/>
      <c r="I152" s="2"/>
      <c r="J152" s="2"/>
      <c r="K152" s="2"/>
    </row>
    <row r="153">
      <c r="A153" s="2"/>
      <c r="B153" s="2"/>
      <c r="C153" s="2"/>
      <c r="D153" s="2"/>
      <c r="E153" s="2"/>
      <c r="F153" s="2"/>
      <c r="G153" s="2"/>
      <c r="H153" s="2"/>
      <c r="I153" s="2"/>
      <c r="J153" s="2"/>
      <c r="K153" s="2"/>
    </row>
    <row r="154">
      <c r="A154" s="2"/>
      <c r="B154" s="2"/>
      <c r="C154" s="2"/>
      <c r="D154" s="2"/>
      <c r="E154" s="2"/>
      <c r="F154" s="2"/>
      <c r="G154" s="2"/>
      <c r="H154" s="2"/>
      <c r="I154" s="2"/>
      <c r="J154" s="2"/>
      <c r="K154" s="2"/>
    </row>
    <row r="155">
      <c r="A155" s="2"/>
      <c r="B155" s="2"/>
      <c r="C155" s="2"/>
      <c r="D155" s="2"/>
      <c r="E155" s="2"/>
      <c r="F155" s="2"/>
      <c r="G155" s="2"/>
      <c r="H155" s="2"/>
      <c r="I155" s="2"/>
      <c r="J155" s="2"/>
      <c r="K155" s="2"/>
    </row>
    <row r="156">
      <c r="A156" s="2"/>
      <c r="B156" s="2"/>
      <c r="C156" s="2"/>
      <c r="D156" s="2"/>
      <c r="E156" s="2"/>
      <c r="F156" s="2"/>
      <c r="G156" s="2"/>
      <c r="H156" s="2"/>
      <c r="I156" s="2"/>
      <c r="J156" s="2"/>
      <c r="K156" s="2"/>
    </row>
    <row r="157">
      <c r="A157" s="2"/>
      <c r="B157" s="2"/>
      <c r="C157" s="2"/>
      <c r="D157" s="2"/>
      <c r="E157" s="2"/>
      <c r="F157" s="2"/>
      <c r="G157" s="2"/>
      <c r="H157" s="2"/>
      <c r="I157" s="2"/>
      <c r="J157" s="2"/>
      <c r="K157" s="2"/>
    </row>
    <row r="158">
      <c r="A158" s="2"/>
      <c r="B158" s="2"/>
      <c r="C158" s="2"/>
      <c r="D158" s="2"/>
      <c r="E158" s="2"/>
      <c r="F158" s="2"/>
      <c r="G158" s="2"/>
      <c r="H158" s="2"/>
      <c r="I158" s="2"/>
      <c r="J158" s="2"/>
      <c r="K158" s="2"/>
    </row>
    <row r="159">
      <c r="A159" s="2"/>
      <c r="B159" s="2"/>
      <c r="C159" s="2"/>
      <c r="D159" s="2"/>
      <c r="E159" s="2"/>
      <c r="F159" s="2"/>
      <c r="G159" s="2"/>
      <c r="H159" s="2"/>
      <c r="I159" s="2"/>
      <c r="J159" s="2"/>
      <c r="K159" s="2"/>
    </row>
    <row r="160">
      <c r="A160" s="2"/>
      <c r="B160" s="2"/>
      <c r="C160" s="2"/>
      <c r="D160" s="2"/>
      <c r="E160" s="2"/>
      <c r="F160" s="2"/>
      <c r="G160" s="2"/>
      <c r="H160" s="2"/>
      <c r="I160" s="2"/>
      <c r="J160" s="2"/>
      <c r="K160" s="2"/>
    </row>
    <row r="161">
      <c r="A161" s="2"/>
      <c r="B161" s="2"/>
      <c r="C161" s="2"/>
      <c r="D161" s="2"/>
      <c r="E161" s="2"/>
      <c r="F161" s="2"/>
      <c r="G161" s="2"/>
      <c r="H161" s="2"/>
      <c r="I161" s="2"/>
      <c r="J161" s="2"/>
      <c r="K161" s="2"/>
    </row>
    <row r="162">
      <c r="A162" s="2"/>
      <c r="B162" s="2"/>
      <c r="C162" s="2"/>
      <c r="D162" s="2"/>
      <c r="E162" s="2"/>
      <c r="F162" s="2"/>
      <c r="G162" s="2"/>
      <c r="H162" s="2"/>
      <c r="I162" s="2"/>
      <c r="J162" s="2"/>
      <c r="K162" s="2"/>
    </row>
    <row r="163">
      <c r="A163" s="2"/>
      <c r="B163" s="2"/>
      <c r="C163" s="2"/>
      <c r="D163" s="2"/>
      <c r="E163" s="2"/>
      <c r="F163" s="2"/>
      <c r="G163" s="2"/>
      <c r="H163" s="2"/>
      <c r="I163" s="2"/>
      <c r="J163" s="2"/>
      <c r="K163" s="2"/>
    </row>
    <row r="164">
      <c r="A164" s="2"/>
      <c r="B164" s="2"/>
      <c r="C164" s="2"/>
      <c r="D164" s="2"/>
      <c r="E164" s="2"/>
      <c r="F164" s="2"/>
      <c r="G164" s="2"/>
      <c r="H164" s="2"/>
      <c r="I164" s="2"/>
      <c r="J164" s="2"/>
      <c r="K164" s="2"/>
    </row>
    <row r="165">
      <c r="A165" s="2"/>
      <c r="B165" s="2"/>
      <c r="C165" s="2"/>
      <c r="D165" s="2"/>
      <c r="E165" s="2"/>
      <c r="F165" s="2"/>
      <c r="G165" s="2"/>
      <c r="H165" s="2"/>
      <c r="I165" s="2"/>
      <c r="J165" s="2"/>
      <c r="K165" s="2"/>
    </row>
    <row r="166">
      <c r="A166" s="2"/>
      <c r="B166" s="2"/>
      <c r="C166" s="2"/>
      <c r="D166" s="2"/>
      <c r="E166" s="2"/>
      <c r="F166" s="2"/>
      <c r="G166" s="2"/>
      <c r="H166" s="2"/>
      <c r="I166" s="2"/>
      <c r="J166" s="2"/>
      <c r="K166" s="2"/>
    </row>
    <row r="167">
      <c r="A167" s="2"/>
      <c r="B167" s="2"/>
      <c r="C167" s="2"/>
      <c r="D167" s="2"/>
      <c r="E167" s="2"/>
      <c r="F167" s="2"/>
      <c r="G167" s="2"/>
      <c r="H167" s="2"/>
      <c r="I167" s="2"/>
      <c r="J167" s="2"/>
      <c r="K167" s="2"/>
    </row>
    <row r="168">
      <c r="A168" s="2"/>
      <c r="B168" s="2"/>
      <c r="C168" s="2"/>
      <c r="D168" s="2"/>
      <c r="E168" s="2"/>
      <c r="F168" s="2"/>
      <c r="G168" s="2"/>
      <c r="H168" s="2"/>
      <c r="I168" s="2"/>
      <c r="J168" s="2"/>
      <c r="K168" s="2"/>
    </row>
    <row r="169">
      <c r="A169" s="2"/>
      <c r="B169" s="2"/>
      <c r="C169" s="2"/>
      <c r="D169" s="2"/>
      <c r="E169" s="2"/>
      <c r="F169" s="2"/>
      <c r="G169" s="2"/>
      <c r="H169" s="2"/>
      <c r="I169" s="2"/>
      <c r="J169" s="2"/>
      <c r="K169" s="2"/>
    </row>
    <row r="170">
      <c r="A170" s="2"/>
      <c r="B170" s="2"/>
      <c r="C170" s="2"/>
      <c r="D170" s="2"/>
      <c r="E170" s="2"/>
      <c r="F170" s="2"/>
      <c r="G170" s="2"/>
      <c r="H170" s="2"/>
      <c r="I170" s="2"/>
      <c r="J170" s="2"/>
      <c r="K170" s="2"/>
    </row>
    <row r="171">
      <c r="A171" s="2"/>
      <c r="B171" s="2"/>
      <c r="C171" s="2"/>
      <c r="D171" s="2"/>
      <c r="E171" s="2"/>
      <c r="F171" s="2"/>
      <c r="G171" s="2"/>
      <c r="H171" s="2"/>
      <c r="I171" s="2"/>
      <c r="J171" s="2"/>
      <c r="K171" s="2"/>
    </row>
    <row r="172">
      <c r="A172" s="2"/>
      <c r="B172" s="2"/>
      <c r="C172" s="2"/>
      <c r="D172" s="2"/>
      <c r="E172" s="2"/>
      <c r="F172" s="2"/>
      <c r="G172" s="2"/>
      <c r="H172" s="2"/>
      <c r="I172" s="2"/>
      <c r="J172" s="2"/>
      <c r="K172" s="2"/>
    </row>
    <row r="173">
      <c r="A173" s="2"/>
      <c r="B173" s="2"/>
      <c r="C173" s="2"/>
      <c r="D173" s="2"/>
      <c r="E173" s="2"/>
      <c r="F173" s="2"/>
      <c r="G173" s="2"/>
      <c r="H173" s="2"/>
      <c r="I173" s="2"/>
      <c r="J173" s="2"/>
      <c r="K173" s="2"/>
    </row>
    <row r="174">
      <c r="A174" s="2"/>
      <c r="B174" s="2"/>
      <c r="C174" s="2"/>
      <c r="D174" s="2"/>
      <c r="E174" s="2"/>
      <c r="F174" s="2"/>
      <c r="G174" s="2"/>
      <c r="H174" s="2"/>
      <c r="I174" s="2"/>
      <c r="J174" s="2"/>
      <c r="K174" s="2"/>
    </row>
    <row r="175">
      <c r="A175" s="2"/>
      <c r="B175" s="2"/>
      <c r="C175" s="2"/>
      <c r="D175" s="2"/>
      <c r="E175" s="2"/>
      <c r="F175" s="2"/>
      <c r="G175" s="2"/>
      <c r="H175" s="2"/>
      <c r="I175" s="2"/>
      <c r="J175" s="2"/>
      <c r="K175" s="2"/>
    </row>
    <row r="176">
      <c r="A176" s="2"/>
      <c r="B176" s="2"/>
      <c r="C176" s="2"/>
      <c r="D176" s="2"/>
      <c r="E176" s="2"/>
      <c r="F176" s="2"/>
      <c r="G176" s="2"/>
      <c r="H176" s="2"/>
      <c r="I176" s="2"/>
      <c r="J176" s="2"/>
      <c r="K176" s="2"/>
    </row>
    <row r="177">
      <c r="A177" s="2"/>
      <c r="B177" s="2"/>
      <c r="C177" s="2"/>
      <c r="D177" s="2"/>
      <c r="E177" s="2"/>
      <c r="F177" s="2"/>
      <c r="G177" s="2"/>
      <c r="H177" s="2"/>
      <c r="I177" s="2"/>
      <c r="J177" s="2"/>
      <c r="K177" s="2"/>
    </row>
    <row r="178">
      <c r="A178" s="2"/>
      <c r="B178" s="2"/>
      <c r="C178" s="2"/>
      <c r="D178" s="2"/>
      <c r="E178" s="2"/>
      <c r="F178" s="2"/>
      <c r="G178" s="2"/>
      <c r="H178" s="2"/>
      <c r="I178" s="2"/>
      <c r="J178" s="2"/>
      <c r="K178" s="2"/>
    </row>
    <row r="179">
      <c r="A179" s="2"/>
      <c r="B179" s="2"/>
      <c r="C179" s="2"/>
      <c r="D179" s="2"/>
      <c r="E179" s="2"/>
      <c r="F179" s="2"/>
      <c r="G179" s="2"/>
      <c r="H179" s="2"/>
      <c r="I179" s="2"/>
      <c r="J179" s="2"/>
      <c r="K179" s="2"/>
    </row>
    <row r="180">
      <c r="A180" s="2"/>
      <c r="B180" s="2"/>
      <c r="C180" s="2"/>
      <c r="D180" s="2"/>
      <c r="E180" s="2"/>
      <c r="F180" s="2"/>
      <c r="G180" s="2"/>
      <c r="H180" s="2"/>
      <c r="I180" s="2"/>
      <c r="J180" s="2"/>
      <c r="K180" s="2"/>
    </row>
    <row r="181">
      <c r="A181" s="2"/>
      <c r="B181" s="2"/>
      <c r="C181" s="2"/>
      <c r="D181" s="2"/>
      <c r="E181" s="2"/>
      <c r="F181" s="2"/>
      <c r="G181" s="2"/>
      <c r="H181" s="2"/>
      <c r="I181" s="2"/>
      <c r="J181" s="2"/>
      <c r="K181" s="2"/>
    </row>
    <row r="182">
      <c r="A182" s="2"/>
      <c r="B182" s="2"/>
      <c r="C182" s="2"/>
      <c r="D182" s="2"/>
      <c r="E182" s="2"/>
      <c r="F182" s="2"/>
      <c r="G182" s="2"/>
      <c r="H182" s="2"/>
      <c r="I182" s="2"/>
      <c r="J182" s="2"/>
      <c r="K182" s="2"/>
    </row>
    <row r="183">
      <c r="A183" s="2"/>
      <c r="B183" s="2"/>
      <c r="C183" s="2"/>
      <c r="D183" s="2"/>
      <c r="E183" s="2"/>
      <c r="F183" s="2"/>
      <c r="G183" s="2"/>
      <c r="H183" s="2"/>
      <c r="I183" s="2"/>
      <c r="J183" s="2"/>
      <c r="K183" s="2"/>
    </row>
    <row r="184">
      <c r="A184" s="2"/>
      <c r="B184" s="2"/>
      <c r="C184" s="2"/>
      <c r="D184" s="2"/>
      <c r="E184" s="2"/>
      <c r="F184" s="2"/>
      <c r="G184" s="2"/>
      <c r="H184" s="2"/>
      <c r="I184" s="2"/>
      <c r="J184" s="2"/>
      <c r="K184" s="2"/>
    </row>
    <row r="185">
      <c r="A185" s="2"/>
      <c r="B185" s="2"/>
      <c r="C185" s="2"/>
      <c r="D185" s="2"/>
      <c r="E185" s="2"/>
      <c r="F185" s="2"/>
      <c r="G185" s="2"/>
      <c r="H185" s="2"/>
      <c r="I185" s="2"/>
      <c r="J185" s="2"/>
      <c r="K185" s="2"/>
    </row>
    <row r="186">
      <c r="A186" s="2"/>
      <c r="B186" s="2"/>
      <c r="C186" s="2"/>
      <c r="D186" s="2"/>
      <c r="E186" s="2"/>
      <c r="F186" s="2"/>
      <c r="G186" s="2"/>
      <c r="H186" s="2"/>
      <c r="I186" s="2"/>
      <c r="J186" s="2"/>
      <c r="K186" s="2"/>
    </row>
    <row r="187">
      <c r="A187" s="2"/>
      <c r="B187" s="2"/>
      <c r="C187" s="2"/>
      <c r="D187" s="2"/>
      <c r="E187" s="2"/>
      <c r="F187" s="2"/>
      <c r="G187" s="2"/>
      <c r="H187" s="2"/>
      <c r="I187" s="2"/>
      <c r="J187" s="2"/>
      <c r="K187" s="2"/>
    </row>
    <row r="188">
      <c r="A188" s="2"/>
      <c r="B188" s="2"/>
      <c r="C188" s="2"/>
      <c r="D188" s="2"/>
      <c r="E188" s="2"/>
      <c r="F188" s="2"/>
      <c r="G188" s="2"/>
      <c r="H188" s="2"/>
      <c r="I188" s="2"/>
      <c r="J188" s="2"/>
      <c r="K188" s="2"/>
    </row>
    <row r="189">
      <c r="A189" s="2"/>
      <c r="B189" s="2"/>
      <c r="C189" s="2"/>
      <c r="D189" s="2"/>
      <c r="E189" s="2"/>
      <c r="F189" s="2"/>
      <c r="G189" s="2"/>
      <c r="H189" s="2"/>
      <c r="I189" s="2"/>
      <c r="J189" s="2"/>
      <c r="K189" s="2"/>
    </row>
    <row r="190">
      <c r="A190" s="2"/>
      <c r="B190" s="2"/>
      <c r="C190" s="2"/>
      <c r="D190" s="2"/>
      <c r="E190" s="2"/>
      <c r="F190" s="2"/>
      <c r="G190" s="2"/>
      <c r="H190" s="2"/>
      <c r="I190" s="2"/>
      <c r="J190" s="2"/>
      <c r="K190" s="2"/>
    </row>
    <row r="191">
      <c r="A191" s="2"/>
      <c r="B191" s="2"/>
      <c r="C191" s="2"/>
      <c r="D191" s="2"/>
      <c r="E191" s="2"/>
      <c r="F191" s="2"/>
      <c r="G191" s="2"/>
      <c r="H191" s="2"/>
      <c r="I191" s="2"/>
      <c r="J191" s="2"/>
      <c r="K191" s="2"/>
    </row>
    <row r="192">
      <c r="A192" s="2"/>
      <c r="B192" s="2"/>
      <c r="C192" s="2"/>
      <c r="D192" s="2"/>
      <c r="E192" s="2"/>
      <c r="F192" s="2"/>
      <c r="G192" s="2"/>
      <c r="H192" s="2"/>
      <c r="I192" s="2"/>
      <c r="J192" s="2"/>
      <c r="K192" s="2"/>
    </row>
    <row r="193">
      <c r="A193" s="2"/>
      <c r="B193" s="2"/>
      <c r="C193" s="2"/>
      <c r="D193" s="2"/>
      <c r="E193" s="2"/>
      <c r="F193" s="2"/>
      <c r="G193" s="2"/>
      <c r="H193" s="2"/>
      <c r="I193" s="2"/>
      <c r="J193" s="2"/>
      <c r="K193" s="2"/>
    </row>
    <row r="194">
      <c r="A194" s="2"/>
      <c r="B194" s="2"/>
      <c r="C194" s="2"/>
      <c r="D194" s="2"/>
      <c r="E194" s="2"/>
      <c r="F194" s="2"/>
      <c r="G194" s="2"/>
      <c r="H194" s="2"/>
      <c r="I194" s="2"/>
      <c r="J194" s="2"/>
      <c r="K194" s="2"/>
    </row>
    <row r="195">
      <c r="A195" s="2"/>
      <c r="B195" s="2"/>
      <c r="C195" s="2"/>
      <c r="D195" s="2"/>
      <c r="E195" s="2"/>
      <c r="F195" s="2"/>
      <c r="G195" s="2"/>
      <c r="H195" s="2"/>
      <c r="I195" s="2"/>
      <c r="J195" s="2"/>
      <c r="K195" s="2"/>
    </row>
    <row r="196">
      <c r="A196" s="2"/>
      <c r="B196" s="2"/>
      <c r="C196" s="2"/>
      <c r="D196" s="2"/>
      <c r="E196" s="2"/>
      <c r="F196" s="2"/>
      <c r="G196" s="2"/>
      <c r="H196" s="2"/>
      <c r="I196" s="2"/>
      <c r="J196" s="2"/>
      <c r="K196" s="2"/>
    </row>
    <row r="197">
      <c r="A197" s="2"/>
      <c r="B197" s="2"/>
      <c r="C197" s="2"/>
      <c r="D197" s="2"/>
      <c r="E197" s="2"/>
      <c r="F197" s="2"/>
      <c r="G197" s="2"/>
      <c r="H197" s="2"/>
      <c r="I197" s="2"/>
      <c r="J197" s="2"/>
      <c r="K197" s="2"/>
    </row>
    <row r="198">
      <c r="A198" s="2"/>
      <c r="B198" s="2"/>
      <c r="C198" s="2"/>
      <c r="D198" s="2"/>
      <c r="E198" s="2"/>
      <c r="F198" s="2"/>
      <c r="G198" s="2"/>
      <c r="H198" s="2"/>
      <c r="I198" s="2"/>
      <c r="J198" s="2"/>
      <c r="K198" s="2"/>
    </row>
    <row r="199">
      <c r="A199" s="2"/>
      <c r="B199" s="2"/>
      <c r="C199" s="2"/>
      <c r="D199" s="2"/>
      <c r="E199" s="2"/>
      <c r="F199" s="2"/>
      <c r="G199" s="2"/>
      <c r="H199" s="2"/>
      <c r="I199" s="2"/>
      <c r="J199" s="2"/>
      <c r="K199" s="2"/>
    </row>
    <row r="200">
      <c r="A200" s="2"/>
      <c r="B200" s="2"/>
      <c r="C200" s="2"/>
      <c r="D200" s="2"/>
      <c r="E200" s="2"/>
      <c r="F200" s="2"/>
      <c r="G200" s="2"/>
      <c r="H200" s="2"/>
      <c r="I200" s="2"/>
      <c r="J200" s="2"/>
      <c r="K200" s="2"/>
    </row>
    <row r="201">
      <c r="A201" s="2"/>
      <c r="B201" s="2"/>
      <c r="C201" s="2"/>
      <c r="D201" s="2"/>
      <c r="E201" s="2"/>
      <c r="F201" s="2"/>
      <c r="G201" s="2"/>
      <c r="H201" s="2"/>
      <c r="I201" s="2"/>
      <c r="J201" s="2"/>
      <c r="K201" s="2"/>
    </row>
    <row r="202">
      <c r="A202" s="2"/>
      <c r="B202" s="2"/>
      <c r="C202" s="2"/>
      <c r="D202" s="2"/>
      <c r="E202" s="2"/>
      <c r="F202" s="2"/>
      <c r="G202" s="2"/>
      <c r="H202" s="2"/>
      <c r="I202" s="2"/>
      <c r="J202" s="2"/>
      <c r="K202" s="2"/>
    </row>
    <row r="203">
      <c r="A203" s="2"/>
      <c r="B203" s="2"/>
      <c r="C203" s="2"/>
      <c r="D203" s="2"/>
      <c r="E203" s="2"/>
      <c r="F203" s="2"/>
      <c r="G203" s="2"/>
      <c r="H203" s="2"/>
      <c r="I203" s="2"/>
      <c r="J203" s="2"/>
      <c r="K203" s="2"/>
    </row>
    <row r="204">
      <c r="A204" s="2"/>
      <c r="B204" s="2"/>
      <c r="C204" s="2"/>
      <c r="D204" s="2"/>
      <c r="E204" s="2"/>
      <c r="F204" s="2"/>
      <c r="G204" s="2"/>
      <c r="H204" s="2"/>
      <c r="I204" s="2"/>
      <c r="J204" s="2"/>
      <c r="K204" s="2"/>
    </row>
    <row r="205">
      <c r="A205" s="2"/>
      <c r="B205" s="2"/>
      <c r="C205" s="2"/>
      <c r="D205" s="2"/>
      <c r="E205" s="2"/>
      <c r="F205" s="2"/>
      <c r="G205" s="2"/>
      <c r="H205" s="2"/>
      <c r="I205" s="2"/>
      <c r="J205" s="2"/>
      <c r="K205" s="2"/>
    </row>
    <row r="206">
      <c r="A206" s="2"/>
      <c r="B206" s="2"/>
      <c r="C206" s="2"/>
      <c r="D206" s="2"/>
      <c r="E206" s="2"/>
      <c r="F206" s="2"/>
      <c r="G206" s="2"/>
      <c r="H206" s="2"/>
      <c r="I206" s="2"/>
      <c r="J206" s="2"/>
      <c r="K206" s="2"/>
    </row>
    <row r="207">
      <c r="A207" s="2"/>
      <c r="B207" s="2"/>
      <c r="C207" s="2"/>
      <c r="D207" s="2"/>
      <c r="E207" s="2"/>
      <c r="F207" s="2"/>
      <c r="G207" s="2"/>
      <c r="H207" s="2"/>
      <c r="I207" s="2"/>
      <c r="J207" s="2"/>
      <c r="K207" s="2"/>
    </row>
    <row r="208">
      <c r="A208" s="2"/>
      <c r="B208" s="2"/>
      <c r="C208" s="2"/>
      <c r="D208" s="2"/>
      <c r="E208" s="2"/>
      <c r="F208" s="2"/>
      <c r="G208" s="2"/>
      <c r="H208" s="2"/>
      <c r="I208" s="2"/>
      <c r="J208" s="2"/>
      <c r="K208" s="2"/>
    </row>
    <row r="209">
      <c r="A209" s="2"/>
      <c r="B209" s="2"/>
      <c r="C209" s="2"/>
      <c r="D209" s="2"/>
      <c r="E209" s="2"/>
      <c r="F209" s="2"/>
      <c r="G209" s="2"/>
      <c r="H209" s="2"/>
      <c r="I209" s="2"/>
      <c r="J209" s="2"/>
      <c r="K209" s="2"/>
    </row>
    <row r="210">
      <c r="A210" s="2"/>
      <c r="B210" s="2"/>
      <c r="C210" s="2"/>
      <c r="D210" s="2"/>
      <c r="E210" s="2"/>
      <c r="F210" s="2"/>
      <c r="G210" s="2"/>
      <c r="H210" s="2"/>
      <c r="I210" s="2"/>
      <c r="J210" s="2"/>
      <c r="K210" s="2"/>
    </row>
    <row r="211">
      <c r="A211" s="2"/>
      <c r="B211" s="2"/>
      <c r="C211" s="2"/>
      <c r="D211" s="2"/>
      <c r="E211" s="2"/>
      <c r="F211" s="2"/>
      <c r="G211" s="2"/>
      <c r="H211" s="2"/>
      <c r="I211" s="2"/>
      <c r="J211" s="2"/>
      <c r="K211" s="2"/>
    </row>
    <row r="212">
      <c r="A212" s="2"/>
      <c r="B212" s="2"/>
      <c r="C212" s="2"/>
      <c r="D212" s="2"/>
      <c r="E212" s="2"/>
      <c r="F212" s="2"/>
      <c r="G212" s="2"/>
      <c r="H212" s="2"/>
      <c r="I212" s="2"/>
      <c r="J212" s="2"/>
      <c r="K212" s="2"/>
    </row>
    <row r="213">
      <c r="A213" s="2"/>
      <c r="B213" s="2"/>
      <c r="C213" s="2"/>
      <c r="D213" s="2"/>
      <c r="E213" s="2"/>
      <c r="F213" s="2"/>
      <c r="G213" s="2"/>
      <c r="H213" s="2"/>
      <c r="I213" s="2"/>
      <c r="J213" s="2"/>
      <c r="K213" s="2"/>
    </row>
    <row r="214">
      <c r="A214" s="2"/>
      <c r="B214" s="2"/>
      <c r="C214" s="2"/>
      <c r="D214" s="2"/>
      <c r="E214" s="2"/>
      <c r="F214" s="2"/>
      <c r="G214" s="2"/>
      <c r="H214" s="2"/>
      <c r="I214" s="2"/>
      <c r="J214" s="2"/>
      <c r="K214" s="2"/>
    </row>
    <row r="215">
      <c r="A215" s="2"/>
      <c r="B215" s="2"/>
      <c r="C215" s="2"/>
      <c r="D215" s="2"/>
      <c r="E215" s="2"/>
      <c r="F215" s="2"/>
      <c r="G215" s="2"/>
      <c r="H215" s="2"/>
      <c r="I215" s="2"/>
      <c r="J215" s="2"/>
      <c r="K215" s="2"/>
    </row>
    <row r="216">
      <c r="A216" s="2"/>
      <c r="B216" s="2"/>
      <c r="C216" s="2"/>
      <c r="D216" s="2"/>
      <c r="E216" s="2"/>
      <c r="F216" s="2"/>
      <c r="G216" s="2"/>
      <c r="H216" s="2"/>
      <c r="I216" s="2"/>
      <c r="J216" s="2"/>
      <c r="K216" s="2"/>
    </row>
    <row r="217">
      <c r="A217" s="2"/>
      <c r="B217" s="2"/>
      <c r="C217" s="2"/>
      <c r="D217" s="2"/>
      <c r="E217" s="2"/>
      <c r="F217" s="2"/>
      <c r="G217" s="2"/>
      <c r="H217" s="2"/>
      <c r="I217" s="2"/>
      <c r="J217" s="2"/>
      <c r="K217" s="2"/>
    </row>
    <row r="218">
      <c r="A218" s="2"/>
      <c r="B218" s="2"/>
      <c r="C218" s="2"/>
      <c r="D218" s="2"/>
      <c r="E218" s="2"/>
      <c r="F218" s="2"/>
      <c r="G218" s="2"/>
      <c r="H218" s="2"/>
      <c r="I218" s="2"/>
      <c r="J218" s="2"/>
      <c r="K218" s="2"/>
    </row>
    <row r="219">
      <c r="A219" s="2"/>
      <c r="B219" s="2"/>
      <c r="C219" s="2"/>
      <c r="D219" s="2"/>
      <c r="E219" s="2"/>
      <c r="F219" s="2"/>
      <c r="G219" s="2"/>
      <c r="H219" s="2"/>
      <c r="I219" s="2"/>
      <c r="J219" s="2"/>
      <c r="K219" s="2"/>
    </row>
    <row r="220">
      <c r="A220" s="2"/>
      <c r="B220" s="2"/>
      <c r="C220" s="2"/>
      <c r="D220" s="2"/>
      <c r="E220" s="2"/>
      <c r="F220" s="2"/>
      <c r="G220" s="2"/>
      <c r="H220" s="2"/>
      <c r="I220" s="2"/>
      <c r="J220" s="2"/>
      <c r="K220" s="2"/>
    </row>
    <row r="221">
      <c r="A221" s="2"/>
      <c r="B221" s="2"/>
      <c r="C221" s="2"/>
      <c r="D221" s="2"/>
      <c r="E221" s="2"/>
      <c r="F221" s="2"/>
      <c r="G221" s="2"/>
      <c r="H221" s="2"/>
      <c r="I221" s="2"/>
      <c r="J221" s="2"/>
      <c r="K221" s="2"/>
    </row>
    <row r="222">
      <c r="A222" s="2"/>
      <c r="B222" s="2"/>
      <c r="C222" s="2"/>
      <c r="D222" s="2"/>
      <c r="E222" s="2"/>
      <c r="F222" s="2"/>
      <c r="G222" s="2"/>
      <c r="H222" s="2"/>
      <c r="I222" s="2"/>
      <c r="J222" s="2"/>
      <c r="K222" s="2"/>
    </row>
    <row r="223">
      <c r="A223" s="2"/>
      <c r="B223" s="2"/>
      <c r="C223" s="2"/>
      <c r="D223" s="2"/>
      <c r="E223" s="2"/>
      <c r="F223" s="2"/>
      <c r="G223" s="2"/>
      <c r="H223" s="2"/>
      <c r="I223" s="2"/>
      <c r="J223" s="2"/>
      <c r="K223" s="2"/>
    </row>
    <row r="224">
      <c r="A224" s="2"/>
      <c r="B224" s="2"/>
      <c r="C224" s="2"/>
      <c r="D224" s="2"/>
      <c r="E224" s="2"/>
      <c r="F224" s="2"/>
      <c r="G224" s="2"/>
      <c r="H224" s="2"/>
      <c r="I224" s="2"/>
      <c r="J224" s="2"/>
      <c r="K224" s="2"/>
    </row>
    <row r="225">
      <c r="A225" s="2"/>
      <c r="B225" s="2"/>
      <c r="C225" s="2"/>
      <c r="D225" s="2"/>
      <c r="E225" s="2"/>
      <c r="F225" s="2"/>
      <c r="G225" s="2"/>
      <c r="H225" s="2"/>
      <c r="I225" s="2"/>
      <c r="J225" s="2"/>
      <c r="K225" s="2"/>
    </row>
    <row r="226">
      <c r="A226" s="2"/>
      <c r="B226" s="2"/>
      <c r="C226" s="2"/>
      <c r="D226" s="2"/>
      <c r="E226" s="2"/>
      <c r="F226" s="2"/>
      <c r="G226" s="2"/>
      <c r="H226" s="2"/>
      <c r="I226" s="2"/>
      <c r="J226" s="2"/>
      <c r="K226" s="2"/>
    </row>
    <row r="227">
      <c r="A227" s="2"/>
      <c r="B227" s="2"/>
      <c r="C227" s="2"/>
      <c r="D227" s="2"/>
      <c r="E227" s="2"/>
      <c r="F227" s="2"/>
      <c r="G227" s="2"/>
      <c r="H227" s="2"/>
      <c r="I227" s="2"/>
      <c r="J227" s="2"/>
      <c r="K227" s="2"/>
    </row>
    <row r="228">
      <c r="A228" s="2"/>
      <c r="B228" s="2"/>
      <c r="C228" s="2"/>
      <c r="D228" s="2"/>
      <c r="E228" s="2"/>
      <c r="F228" s="2"/>
      <c r="G228" s="2"/>
      <c r="H228" s="2"/>
      <c r="I228" s="2"/>
      <c r="J228" s="2"/>
      <c r="K228" s="2"/>
    </row>
    <row r="229">
      <c r="A229" s="2"/>
      <c r="B229" s="2"/>
      <c r="C229" s="2"/>
      <c r="D229" s="2"/>
      <c r="E229" s="2"/>
      <c r="F229" s="2"/>
      <c r="G229" s="2"/>
      <c r="H229" s="2"/>
      <c r="I229" s="2"/>
      <c r="J229" s="2"/>
      <c r="K229" s="2"/>
    </row>
    <row r="230">
      <c r="A230" s="2"/>
      <c r="B230" s="2"/>
      <c r="C230" s="2"/>
      <c r="D230" s="2"/>
      <c r="E230" s="2"/>
      <c r="F230" s="2"/>
      <c r="G230" s="2"/>
      <c r="H230" s="2"/>
      <c r="I230" s="2"/>
      <c r="J230" s="2"/>
      <c r="K230" s="2"/>
    </row>
    <row r="231">
      <c r="A231" s="2"/>
      <c r="B231" s="2"/>
      <c r="C231" s="2"/>
      <c r="D231" s="2"/>
      <c r="E231" s="2"/>
      <c r="F231" s="2"/>
      <c r="G231" s="2"/>
      <c r="H231" s="2"/>
      <c r="I231" s="2"/>
      <c r="J231" s="2"/>
      <c r="K231" s="2"/>
    </row>
    <row r="232">
      <c r="A232" s="2"/>
      <c r="B232" s="2"/>
      <c r="C232" s="2"/>
      <c r="D232" s="2"/>
      <c r="E232" s="2"/>
      <c r="F232" s="2"/>
      <c r="G232" s="2"/>
      <c r="H232" s="2"/>
      <c r="I232" s="2"/>
      <c r="J232" s="2"/>
      <c r="K232" s="2"/>
    </row>
    <row r="233">
      <c r="A233" s="2"/>
      <c r="B233" s="2"/>
      <c r="C233" s="2"/>
      <c r="D233" s="2"/>
      <c r="E233" s="2"/>
      <c r="F233" s="2"/>
      <c r="G233" s="2"/>
      <c r="H233" s="2"/>
      <c r="I233" s="2"/>
      <c r="J233" s="2"/>
      <c r="K233" s="2"/>
    </row>
    <row r="234">
      <c r="A234" s="2"/>
      <c r="B234" s="2"/>
      <c r="C234" s="2"/>
      <c r="D234" s="2"/>
      <c r="E234" s="2"/>
      <c r="F234" s="2"/>
      <c r="G234" s="2"/>
      <c r="H234" s="2"/>
      <c r="I234" s="2"/>
      <c r="J234" s="2"/>
      <c r="K234" s="2"/>
    </row>
    <row r="235">
      <c r="A235" s="2"/>
      <c r="B235" s="2"/>
      <c r="C235" s="2"/>
      <c r="D235" s="2"/>
      <c r="E235" s="2"/>
      <c r="F235" s="2"/>
      <c r="G235" s="2"/>
      <c r="H235" s="2"/>
      <c r="I235" s="2"/>
      <c r="J235" s="2"/>
      <c r="K235" s="2"/>
    </row>
    <row r="236">
      <c r="A236" s="2"/>
      <c r="B236" s="2"/>
      <c r="C236" s="2"/>
      <c r="D236" s="2"/>
      <c r="E236" s="2"/>
      <c r="F236" s="2"/>
      <c r="G236" s="2"/>
      <c r="H236" s="2"/>
      <c r="I236" s="2"/>
      <c r="J236" s="2"/>
      <c r="K236" s="2"/>
    </row>
    <row r="237">
      <c r="A237" s="2"/>
      <c r="B237" s="2"/>
      <c r="C237" s="2"/>
      <c r="D237" s="2"/>
      <c r="E237" s="2"/>
      <c r="F237" s="2"/>
      <c r="G237" s="2"/>
      <c r="H237" s="2"/>
      <c r="I237" s="2"/>
      <c r="J237" s="2"/>
      <c r="K237" s="2"/>
    </row>
    <row r="238">
      <c r="A238" s="2"/>
      <c r="B238" s="2"/>
      <c r="C238" s="2"/>
      <c r="D238" s="2"/>
      <c r="E238" s="2"/>
      <c r="F238" s="2"/>
      <c r="G238" s="2"/>
      <c r="H238" s="2"/>
      <c r="I238" s="2"/>
      <c r="J238" s="2"/>
      <c r="K238" s="2"/>
    </row>
    <row r="239">
      <c r="A239" s="2"/>
      <c r="B239" s="2"/>
      <c r="C239" s="2"/>
      <c r="D239" s="2"/>
      <c r="E239" s="2"/>
      <c r="F239" s="2"/>
      <c r="G239" s="2"/>
      <c r="H239" s="2"/>
      <c r="I239" s="2"/>
      <c r="J239" s="2"/>
      <c r="K239" s="2"/>
    </row>
    <row r="240">
      <c r="A240" s="2"/>
      <c r="B240" s="2"/>
      <c r="C240" s="2"/>
      <c r="D240" s="2"/>
      <c r="E240" s="2"/>
      <c r="F240" s="2"/>
      <c r="G240" s="2"/>
      <c r="H240" s="2"/>
      <c r="I240" s="2"/>
      <c r="J240" s="2"/>
      <c r="K240" s="2"/>
    </row>
    <row r="241">
      <c r="A241" s="2"/>
      <c r="B241" s="2"/>
      <c r="C241" s="2"/>
      <c r="D241" s="2"/>
      <c r="E241" s="2"/>
      <c r="F241" s="2"/>
      <c r="G241" s="2"/>
      <c r="H241" s="2"/>
      <c r="I241" s="2"/>
      <c r="J241" s="2"/>
      <c r="K241" s="2"/>
    </row>
    <row r="242">
      <c r="A242" s="2"/>
      <c r="B242" s="2"/>
      <c r="C242" s="2"/>
      <c r="D242" s="2"/>
      <c r="E242" s="2"/>
      <c r="F242" s="2"/>
      <c r="G242" s="2"/>
      <c r="H242" s="2"/>
      <c r="I242" s="2"/>
      <c r="J242" s="2"/>
      <c r="K242" s="2"/>
    </row>
    <row r="243">
      <c r="A243" s="2"/>
      <c r="B243" s="2"/>
      <c r="C243" s="2"/>
      <c r="D243" s="2"/>
      <c r="E243" s="2"/>
      <c r="F243" s="2"/>
      <c r="G243" s="2"/>
      <c r="H243" s="2"/>
      <c r="I243" s="2"/>
      <c r="J243" s="2"/>
      <c r="K243" s="2"/>
    </row>
    <row r="244">
      <c r="A244" s="2"/>
      <c r="B244" s="2"/>
      <c r="C244" s="2"/>
      <c r="D244" s="2"/>
      <c r="E244" s="2"/>
      <c r="F244" s="2"/>
      <c r="G244" s="2"/>
      <c r="H244" s="2"/>
      <c r="I244" s="2"/>
      <c r="J244" s="2"/>
      <c r="K244" s="2"/>
    </row>
    <row r="245">
      <c r="A245" s="2"/>
      <c r="B245" s="2"/>
      <c r="C245" s="2"/>
      <c r="D245" s="2"/>
      <c r="E245" s="2"/>
      <c r="F245" s="2"/>
      <c r="G245" s="2"/>
      <c r="H245" s="2"/>
      <c r="I245" s="2"/>
      <c r="J245" s="2"/>
      <c r="K245" s="2"/>
    </row>
    <row r="246">
      <c r="A246" s="2"/>
      <c r="B246" s="2"/>
      <c r="C246" s="2"/>
      <c r="D246" s="2"/>
      <c r="E246" s="2"/>
      <c r="F246" s="2"/>
      <c r="G246" s="2"/>
      <c r="H246" s="2"/>
      <c r="I246" s="2"/>
      <c r="J246" s="2"/>
      <c r="K246" s="2"/>
    </row>
    <row r="247">
      <c r="A247" s="2"/>
      <c r="B247" s="2"/>
      <c r="C247" s="2"/>
      <c r="D247" s="2"/>
      <c r="E247" s="2"/>
      <c r="F247" s="2"/>
      <c r="G247" s="2"/>
      <c r="H247" s="2"/>
      <c r="I247" s="2"/>
      <c r="J247" s="2"/>
      <c r="K247" s="2"/>
    </row>
    <row r="248">
      <c r="A248" s="2"/>
      <c r="B248" s="2"/>
      <c r="C248" s="2"/>
      <c r="D248" s="2"/>
      <c r="E248" s="2"/>
      <c r="F248" s="2"/>
      <c r="G248" s="2"/>
      <c r="H248" s="2"/>
      <c r="I248" s="2"/>
      <c r="J248" s="2"/>
      <c r="K248" s="2"/>
    </row>
    <row r="249">
      <c r="A249" s="2"/>
      <c r="B249" s="2"/>
      <c r="C249" s="2"/>
      <c r="D249" s="2"/>
      <c r="E249" s="2"/>
      <c r="F249" s="2"/>
      <c r="G249" s="2"/>
      <c r="H249" s="2"/>
      <c r="I249" s="2"/>
      <c r="J249" s="2"/>
      <c r="K249" s="2"/>
    </row>
    <row r="250">
      <c r="A250" s="2"/>
      <c r="B250" s="2"/>
      <c r="C250" s="2"/>
      <c r="D250" s="2"/>
      <c r="E250" s="2"/>
      <c r="F250" s="2"/>
      <c r="G250" s="2"/>
      <c r="H250" s="2"/>
      <c r="I250" s="2"/>
      <c r="J250" s="2"/>
      <c r="K250" s="2"/>
    </row>
    <row r="251">
      <c r="A251" s="2"/>
      <c r="B251" s="2"/>
      <c r="C251" s="2"/>
      <c r="D251" s="2"/>
      <c r="E251" s="2"/>
      <c r="F251" s="2"/>
      <c r="G251" s="2"/>
      <c r="H251" s="2"/>
      <c r="I251" s="2"/>
      <c r="J251" s="2"/>
      <c r="K251" s="2"/>
    </row>
    <row r="252">
      <c r="A252" s="2"/>
      <c r="B252" s="2"/>
      <c r="C252" s="2"/>
      <c r="D252" s="2"/>
      <c r="E252" s="2"/>
      <c r="F252" s="2"/>
      <c r="G252" s="2"/>
      <c r="H252" s="2"/>
      <c r="I252" s="2"/>
      <c r="J252" s="2"/>
      <c r="K252" s="2"/>
    </row>
    <row r="253">
      <c r="A253" s="2"/>
      <c r="B253" s="2"/>
      <c r="C253" s="2"/>
      <c r="D253" s="2"/>
      <c r="E253" s="2"/>
      <c r="F253" s="2"/>
      <c r="G253" s="2"/>
      <c r="H253" s="2"/>
      <c r="I253" s="2"/>
      <c r="J253" s="2"/>
      <c r="K253" s="2"/>
    </row>
    <row r="254">
      <c r="A254" s="2"/>
      <c r="B254" s="2"/>
      <c r="C254" s="2"/>
      <c r="D254" s="2"/>
      <c r="E254" s="2"/>
      <c r="F254" s="2"/>
      <c r="G254" s="2"/>
      <c r="H254" s="2"/>
      <c r="I254" s="2"/>
      <c r="J254" s="2"/>
      <c r="K254" s="2"/>
    </row>
    <row r="255">
      <c r="A255" s="2"/>
      <c r="B255" s="2"/>
      <c r="C255" s="2"/>
      <c r="D255" s="2"/>
      <c r="E255" s="2"/>
      <c r="F255" s="2"/>
      <c r="G255" s="2"/>
      <c r="H255" s="2"/>
      <c r="I255" s="2"/>
      <c r="J255" s="2"/>
      <c r="K255" s="2"/>
    </row>
    <row r="256">
      <c r="A256" s="2"/>
      <c r="B256" s="2"/>
      <c r="C256" s="2"/>
      <c r="D256" s="2"/>
      <c r="E256" s="2"/>
      <c r="F256" s="2"/>
      <c r="G256" s="2"/>
      <c r="H256" s="2"/>
      <c r="I256" s="2"/>
      <c r="J256" s="2"/>
      <c r="K256" s="2"/>
    </row>
    <row r="257">
      <c r="A257" s="2"/>
      <c r="B257" s="2"/>
      <c r="C257" s="2"/>
      <c r="D257" s="2"/>
      <c r="E257" s="2"/>
      <c r="F257" s="2"/>
      <c r="G257" s="2"/>
      <c r="H257" s="2"/>
      <c r="I257" s="2"/>
      <c r="J257" s="2"/>
      <c r="K257" s="2"/>
    </row>
    <row r="258">
      <c r="A258" s="2"/>
      <c r="B258" s="2"/>
      <c r="C258" s="2"/>
      <c r="D258" s="2"/>
      <c r="E258" s="2"/>
      <c r="F258" s="2"/>
      <c r="G258" s="2"/>
      <c r="H258" s="2"/>
      <c r="I258" s="2"/>
      <c r="J258" s="2"/>
      <c r="K258" s="2"/>
    </row>
    <row r="259">
      <c r="A259" s="2"/>
      <c r="B259" s="2"/>
      <c r="C259" s="2"/>
      <c r="D259" s="2"/>
      <c r="E259" s="2"/>
      <c r="F259" s="2"/>
      <c r="G259" s="2"/>
      <c r="H259" s="2"/>
      <c r="I259" s="2"/>
      <c r="J259" s="2"/>
      <c r="K259" s="2"/>
    </row>
    <row r="260">
      <c r="A260" s="2"/>
      <c r="B260" s="2"/>
      <c r="C260" s="2"/>
      <c r="D260" s="2"/>
      <c r="E260" s="2"/>
      <c r="F260" s="2"/>
      <c r="G260" s="2"/>
      <c r="H260" s="2"/>
      <c r="I260" s="2"/>
      <c r="J260" s="2"/>
      <c r="K260" s="2"/>
    </row>
    <row r="261">
      <c r="A261" s="2"/>
      <c r="B261" s="2"/>
      <c r="C261" s="2"/>
      <c r="D261" s="2"/>
      <c r="E261" s="2"/>
      <c r="F261" s="2"/>
      <c r="G261" s="2"/>
      <c r="H261" s="2"/>
      <c r="I261" s="2"/>
      <c r="J261" s="2"/>
      <c r="K261" s="2"/>
    </row>
    <row r="262">
      <c r="A262" s="2"/>
      <c r="B262" s="2"/>
      <c r="C262" s="2"/>
      <c r="D262" s="2"/>
      <c r="E262" s="2"/>
      <c r="F262" s="2"/>
      <c r="G262" s="2"/>
      <c r="H262" s="2"/>
      <c r="I262" s="2"/>
      <c r="J262" s="2"/>
      <c r="K262" s="2"/>
    </row>
    <row r="263">
      <c r="A263" s="2"/>
      <c r="B263" s="2"/>
      <c r="C263" s="2"/>
      <c r="D263" s="2"/>
      <c r="E263" s="2"/>
      <c r="F263" s="2"/>
      <c r="G263" s="2"/>
      <c r="H263" s="2"/>
      <c r="I263" s="2"/>
      <c r="J263" s="2"/>
      <c r="K263" s="2"/>
    </row>
    <row r="264">
      <c r="A264" s="2"/>
      <c r="B264" s="2"/>
      <c r="C264" s="2"/>
      <c r="D264" s="2"/>
      <c r="E264" s="2"/>
      <c r="F264" s="2"/>
      <c r="G264" s="2"/>
      <c r="H264" s="2"/>
      <c r="I264" s="2"/>
      <c r="J264" s="2"/>
      <c r="K264" s="2"/>
    </row>
    <row r="265">
      <c r="A265" s="2"/>
      <c r="B265" s="2"/>
      <c r="C265" s="2"/>
      <c r="D265" s="2"/>
      <c r="E265" s="2"/>
      <c r="F265" s="2"/>
      <c r="G265" s="2"/>
      <c r="H265" s="2"/>
      <c r="I265" s="2"/>
      <c r="J265" s="2"/>
      <c r="K265" s="2"/>
    </row>
    <row r="266">
      <c r="A266" s="2"/>
      <c r="B266" s="2"/>
      <c r="C266" s="2"/>
      <c r="D266" s="2"/>
      <c r="E266" s="2"/>
      <c r="F266" s="2"/>
      <c r="G266" s="2"/>
      <c r="H266" s="2"/>
      <c r="I266" s="2"/>
      <c r="J266" s="2"/>
      <c r="K266" s="2"/>
    </row>
    <row r="267">
      <c r="A267" s="2"/>
      <c r="B267" s="2"/>
      <c r="C267" s="2"/>
      <c r="D267" s="2"/>
      <c r="E267" s="2"/>
      <c r="F267" s="2"/>
      <c r="G267" s="2"/>
      <c r="H267" s="2"/>
      <c r="I267" s="2"/>
      <c r="J267" s="2"/>
      <c r="K267" s="2"/>
    </row>
    <row r="268">
      <c r="A268" s="2"/>
      <c r="B268" s="2"/>
      <c r="C268" s="2"/>
      <c r="D268" s="2"/>
      <c r="E268" s="2"/>
      <c r="F268" s="2"/>
      <c r="G268" s="2"/>
      <c r="H268" s="2"/>
      <c r="I268" s="2"/>
      <c r="J268" s="2"/>
      <c r="K268" s="2"/>
    </row>
    <row r="269">
      <c r="A269" s="2"/>
      <c r="B269" s="2"/>
      <c r="C269" s="2"/>
      <c r="D269" s="2"/>
      <c r="E269" s="2"/>
      <c r="F269" s="2"/>
      <c r="G269" s="2"/>
      <c r="H269" s="2"/>
      <c r="I269" s="2"/>
      <c r="J269" s="2"/>
      <c r="K269" s="2"/>
    </row>
    <row r="270">
      <c r="A270" s="2"/>
      <c r="B270" s="2"/>
      <c r="C270" s="2"/>
      <c r="D270" s="2"/>
      <c r="E270" s="2"/>
      <c r="F270" s="2"/>
      <c r="G270" s="2"/>
      <c r="H270" s="2"/>
      <c r="I270" s="2"/>
      <c r="J270" s="2"/>
      <c r="K270" s="2"/>
    </row>
    <row r="271">
      <c r="A271" s="2"/>
      <c r="B271" s="2"/>
      <c r="C271" s="2"/>
      <c r="D271" s="2"/>
      <c r="E271" s="2"/>
      <c r="F271" s="2"/>
      <c r="G271" s="2"/>
      <c r="H271" s="2"/>
      <c r="I271" s="2"/>
      <c r="J271" s="2"/>
      <c r="K271" s="2"/>
    </row>
    <row r="272">
      <c r="A272" s="2"/>
      <c r="B272" s="2"/>
      <c r="C272" s="2"/>
      <c r="D272" s="2"/>
      <c r="E272" s="2"/>
      <c r="F272" s="2"/>
      <c r="G272" s="2"/>
      <c r="H272" s="2"/>
      <c r="I272" s="2"/>
      <c r="J272" s="2"/>
      <c r="K272" s="2"/>
    </row>
    <row r="273">
      <c r="A273" s="2"/>
      <c r="B273" s="2"/>
      <c r="C273" s="2"/>
      <c r="D273" s="2"/>
      <c r="E273" s="2"/>
      <c r="F273" s="2"/>
      <c r="G273" s="2"/>
      <c r="H273" s="2"/>
      <c r="I273" s="2"/>
      <c r="J273" s="2"/>
      <c r="K273" s="2"/>
    </row>
    <row r="274">
      <c r="A274" s="2"/>
      <c r="B274" s="2"/>
      <c r="C274" s="2"/>
      <c r="D274" s="2"/>
      <c r="E274" s="2"/>
      <c r="F274" s="2"/>
      <c r="G274" s="2"/>
      <c r="H274" s="2"/>
      <c r="I274" s="2"/>
      <c r="J274" s="2"/>
      <c r="K274" s="2"/>
    </row>
    <row r="275">
      <c r="A275" s="2"/>
      <c r="B275" s="2"/>
      <c r="C275" s="2"/>
      <c r="D275" s="2"/>
      <c r="E275" s="2"/>
      <c r="F275" s="2"/>
      <c r="G275" s="2"/>
      <c r="H275" s="2"/>
      <c r="I275" s="2"/>
      <c r="J275" s="2"/>
      <c r="K275" s="2"/>
    </row>
    <row r="276">
      <c r="A276" s="2"/>
      <c r="B276" s="2"/>
      <c r="C276" s="2"/>
      <c r="D276" s="2"/>
      <c r="E276" s="2"/>
      <c r="F276" s="2"/>
      <c r="G276" s="2"/>
      <c r="H276" s="2"/>
      <c r="I276" s="2"/>
      <c r="J276" s="2"/>
      <c r="K276" s="2"/>
    </row>
    <row r="277">
      <c r="A277" s="2"/>
      <c r="B277" s="2"/>
      <c r="C277" s="2"/>
      <c r="D277" s="2"/>
      <c r="E277" s="2"/>
      <c r="F277" s="2"/>
      <c r="G277" s="2"/>
      <c r="H277" s="2"/>
      <c r="I277" s="2"/>
      <c r="J277" s="2"/>
      <c r="K277" s="2"/>
    </row>
    <row r="278">
      <c r="A278" s="2"/>
      <c r="B278" s="2"/>
      <c r="C278" s="2"/>
      <c r="D278" s="2"/>
      <c r="E278" s="2"/>
      <c r="F278" s="2"/>
      <c r="G278" s="2"/>
      <c r="H278" s="2"/>
      <c r="I278" s="2"/>
      <c r="J278" s="2"/>
      <c r="K278" s="2"/>
    </row>
    <row r="279">
      <c r="A279" s="2"/>
      <c r="B279" s="2"/>
      <c r="C279" s="2"/>
      <c r="D279" s="2"/>
      <c r="E279" s="2"/>
      <c r="F279" s="2"/>
      <c r="G279" s="2"/>
      <c r="H279" s="2"/>
      <c r="I279" s="2"/>
      <c r="J279" s="2"/>
      <c r="K279" s="2"/>
    </row>
    <row r="280">
      <c r="A280" s="2"/>
      <c r="B280" s="2"/>
      <c r="C280" s="2"/>
      <c r="D280" s="2"/>
      <c r="E280" s="2"/>
      <c r="F280" s="2"/>
      <c r="G280" s="2"/>
      <c r="H280" s="2"/>
      <c r="I280" s="2"/>
      <c r="J280" s="2"/>
      <c r="K280" s="2"/>
    </row>
    <row r="281">
      <c r="A281" s="2"/>
      <c r="B281" s="2"/>
      <c r="C281" s="2"/>
      <c r="D281" s="2"/>
      <c r="E281" s="2"/>
      <c r="F281" s="2"/>
      <c r="G281" s="2"/>
      <c r="H281" s="2"/>
      <c r="I281" s="2"/>
      <c r="J281" s="2"/>
      <c r="K281" s="2"/>
    </row>
    <row r="282">
      <c r="A282" s="2"/>
      <c r="B282" s="2"/>
      <c r="C282" s="2"/>
      <c r="D282" s="2"/>
      <c r="E282" s="2"/>
      <c r="F282" s="2"/>
      <c r="G282" s="2"/>
      <c r="H282" s="2"/>
      <c r="I282" s="2"/>
      <c r="J282" s="2"/>
      <c r="K282" s="2"/>
    </row>
    <row r="283">
      <c r="A283" s="2"/>
      <c r="B283" s="2"/>
      <c r="C283" s="2"/>
      <c r="D283" s="2"/>
      <c r="E283" s="2"/>
      <c r="F283" s="2"/>
      <c r="G283" s="2"/>
      <c r="H283" s="2"/>
      <c r="I283" s="2"/>
      <c r="J283" s="2"/>
      <c r="K283" s="2"/>
    </row>
    <row r="284">
      <c r="A284" s="2"/>
      <c r="B284" s="2"/>
      <c r="C284" s="2"/>
      <c r="D284" s="2"/>
      <c r="E284" s="2"/>
      <c r="F284" s="2"/>
      <c r="G284" s="2"/>
      <c r="H284" s="2"/>
      <c r="I284" s="2"/>
      <c r="J284" s="2"/>
      <c r="K284" s="2"/>
    </row>
    <row r="285">
      <c r="A285" s="2"/>
      <c r="B285" s="2"/>
      <c r="C285" s="2"/>
      <c r="D285" s="2"/>
      <c r="E285" s="2"/>
      <c r="F285" s="2"/>
      <c r="G285" s="2"/>
      <c r="H285" s="2"/>
      <c r="I285" s="2"/>
      <c r="J285" s="2"/>
      <c r="K285" s="2"/>
    </row>
    <row r="286">
      <c r="A286" s="2"/>
      <c r="B286" s="2"/>
      <c r="C286" s="2"/>
      <c r="D286" s="2"/>
      <c r="E286" s="2"/>
      <c r="F286" s="2"/>
      <c r="G286" s="2"/>
      <c r="H286" s="2"/>
      <c r="I286" s="2"/>
      <c r="J286" s="2"/>
      <c r="K286" s="2"/>
    </row>
    <row r="287">
      <c r="A287" s="2"/>
      <c r="B287" s="2"/>
      <c r="C287" s="2"/>
      <c r="D287" s="2"/>
      <c r="E287" s="2"/>
      <c r="F287" s="2"/>
      <c r="G287" s="2"/>
      <c r="H287" s="2"/>
      <c r="I287" s="2"/>
      <c r="J287" s="2"/>
      <c r="K287" s="2"/>
    </row>
    <row r="288">
      <c r="A288" s="2"/>
      <c r="B288" s="2"/>
      <c r="C288" s="2"/>
      <c r="D288" s="2"/>
      <c r="E288" s="2"/>
      <c r="F288" s="2"/>
      <c r="G288" s="2"/>
      <c r="H288" s="2"/>
      <c r="I288" s="2"/>
      <c r="J288" s="2"/>
      <c r="K288" s="2"/>
    </row>
    <row r="289">
      <c r="A289" s="2"/>
      <c r="B289" s="2"/>
      <c r="C289" s="2"/>
      <c r="D289" s="2"/>
      <c r="E289" s="2"/>
      <c r="F289" s="2"/>
      <c r="G289" s="2"/>
      <c r="H289" s="2"/>
      <c r="I289" s="2"/>
      <c r="J289" s="2"/>
      <c r="K289" s="2"/>
    </row>
    <row r="290">
      <c r="A290" s="2"/>
      <c r="B290" s="2"/>
      <c r="C290" s="2"/>
      <c r="D290" s="2"/>
      <c r="E290" s="2"/>
      <c r="F290" s="2"/>
      <c r="G290" s="2"/>
      <c r="H290" s="2"/>
      <c r="I290" s="2"/>
      <c r="J290" s="2"/>
      <c r="K290" s="2"/>
    </row>
    <row r="291">
      <c r="A291" s="2"/>
      <c r="B291" s="2"/>
      <c r="C291" s="2"/>
      <c r="D291" s="2"/>
      <c r="E291" s="2"/>
      <c r="F291" s="2"/>
      <c r="G291" s="2"/>
      <c r="H291" s="2"/>
      <c r="I291" s="2"/>
      <c r="J291" s="2"/>
      <c r="K291" s="2"/>
    </row>
    <row r="292">
      <c r="A292" s="2"/>
      <c r="B292" s="2"/>
      <c r="C292" s="2"/>
      <c r="D292" s="2"/>
      <c r="E292" s="2"/>
      <c r="F292" s="2"/>
      <c r="G292" s="2"/>
      <c r="H292" s="2"/>
      <c r="I292" s="2"/>
      <c r="J292" s="2"/>
      <c r="K292" s="2"/>
    </row>
    <row r="293">
      <c r="A293" s="2"/>
      <c r="B293" s="2"/>
      <c r="C293" s="2"/>
      <c r="D293" s="2"/>
      <c r="E293" s="2"/>
      <c r="F293" s="2"/>
      <c r="G293" s="2"/>
      <c r="H293" s="2"/>
      <c r="I293" s="2"/>
      <c r="J293" s="2"/>
      <c r="K293" s="2"/>
    </row>
    <row r="294">
      <c r="A294" s="2"/>
      <c r="B294" s="2"/>
      <c r="C294" s="2"/>
      <c r="D294" s="2"/>
      <c r="E294" s="2"/>
      <c r="F294" s="2"/>
      <c r="G294" s="2"/>
      <c r="H294" s="2"/>
      <c r="I294" s="2"/>
      <c r="J294" s="2"/>
      <c r="K294" s="2"/>
    </row>
    <row r="295">
      <c r="A295" s="2"/>
      <c r="B295" s="2"/>
      <c r="C295" s="2"/>
      <c r="D295" s="2"/>
      <c r="E295" s="2"/>
      <c r="F295" s="2"/>
      <c r="G295" s="2"/>
      <c r="H295" s="2"/>
      <c r="I295" s="2"/>
      <c r="J295" s="2"/>
      <c r="K295" s="2"/>
    </row>
    <row r="296">
      <c r="A296" s="2"/>
      <c r="B296" s="2"/>
      <c r="C296" s="2"/>
      <c r="D296" s="2"/>
      <c r="E296" s="2"/>
      <c r="F296" s="2"/>
      <c r="G296" s="2"/>
      <c r="H296" s="2"/>
      <c r="I296" s="2"/>
      <c r="J296" s="2"/>
      <c r="K296" s="2"/>
    </row>
    <row r="297">
      <c r="A297" s="2"/>
      <c r="B297" s="2"/>
      <c r="C297" s="2"/>
      <c r="D297" s="2"/>
      <c r="E297" s="2"/>
      <c r="F297" s="2"/>
      <c r="G297" s="2"/>
      <c r="H297" s="2"/>
      <c r="I297" s="2"/>
      <c r="J297" s="2"/>
      <c r="K297" s="2"/>
    </row>
    <row r="298">
      <c r="A298" s="2"/>
      <c r="B298" s="2"/>
      <c r="C298" s="2"/>
      <c r="D298" s="2"/>
      <c r="E298" s="2"/>
      <c r="F298" s="2"/>
      <c r="G298" s="2"/>
      <c r="H298" s="2"/>
      <c r="I298" s="2"/>
      <c r="J298" s="2"/>
      <c r="K298" s="2"/>
    </row>
    <row r="299">
      <c r="A299" s="2"/>
      <c r="B299" s="2"/>
      <c r="C299" s="2"/>
      <c r="D299" s="2"/>
      <c r="E299" s="2"/>
      <c r="F299" s="2"/>
      <c r="G299" s="2"/>
      <c r="H299" s="2"/>
      <c r="I299" s="2"/>
      <c r="J299" s="2"/>
      <c r="K299" s="2"/>
    </row>
    <row r="300">
      <c r="A300" s="2"/>
      <c r="B300" s="2"/>
      <c r="C300" s="2"/>
      <c r="D300" s="2"/>
      <c r="E300" s="2"/>
      <c r="F300" s="2"/>
      <c r="G300" s="2"/>
      <c r="H300" s="2"/>
      <c r="I300" s="2"/>
      <c r="J300" s="2"/>
      <c r="K300" s="2"/>
    </row>
    <row r="301">
      <c r="A301" s="2"/>
      <c r="B301" s="2"/>
      <c r="C301" s="2"/>
      <c r="D301" s="2"/>
      <c r="E301" s="2"/>
      <c r="F301" s="2"/>
      <c r="G301" s="2"/>
      <c r="H301" s="2"/>
      <c r="I301" s="2"/>
      <c r="J301" s="2"/>
      <c r="K301" s="2"/>
    </row>
    <row r="302">
      <c r="A302" s="2"/>
      <c r="B302" s="2"/>
      <c r="C302" s="2"/>
      <c r="D302" s="2"/>
      <c r="E302" s="2"/>
      <c r="F302" s="2"/>
      <c r="G302" s="2"/>
      <c r="H302" s="2"/>
      <c r="I302" s="2"/>
      <c r="J302" s="2"/>
      <c r="K302" s="2"/>
    </row>
    <row r="303">
      <c r="A303" s="2"/>
      <c r="B303" s="2"/>
      <c r="C303" s="2"/>
      <c r="D303" s="2"/>
      <c r="E303" s="2"/>
      <c r="F303" s="2"/>
      <c r="G303" s="2"/>
      <c r="H303" s="2"/>
      <c r="I303" s="2"/>
      <c r="J303" s="2"/>
      <c r="K303" s="2"/>
    </row>
    <row r="304">
      <c r="A304" s="2"/>
      <c r="B304" s="2"/>
      <c r="C304" s="2"/>
      <c r="D304" s="2"/>
      <c r="E304" s="2"/>
      <c r="F304" s="2"/>
      <c r="G304" s="2"/>
      <c r="H304" s="2"/>
      <c r="I304" s="2"/>
      <c r="J304" s="2"/>
      <c r="K304" s="2"/>
    </row>
    <row r="305">
      <c r="A305" s="2"/>
      <c r="B305" s="2"/>
      <c r="C305" s="2"/>
      <c r="D305" s="2"/>
      <c r="E305" s="2"/>
      <c r="F305" s="2"/>
      <c r="G305" s="2"/>
      <c r="H305" s="2"/>
      <c r="I305" s="2"/>
      <c r="J305" s="2"/>
      <c r="K305" s="2"/>
    </row>
    <row r="306">
      <c r="A306" s="2"/>
      <c r="B306" s="2"/>
      <c r="C306" s="2"/>
      <c r="D306" s="2"/>
      <c r="E306" s="2"/>
      <c r="F306" s="2"/>
      <c r="G306" s="2"/>
      <c r="H306" s="2"/>
      <c r="I306" s="2"/>
      <c r="J306" s="2"/>
      <c r="K306" s="2"/>
    </row>
    <row r="307">
      <c r="A307" s="2"/>
      <c r="B307" s="2"/>
      <c r="C307" s="2"/>
      <c r="D307" s="2"/>
      <c r="E307" s="2"/>
      <c r="F307" s="2"/>
      <c r="G307" s="2"/>
      <c r="H307" s="2"/>
      <c r="I307" s="2"/>
      <c r="J307" s="2"/>
      <c r="K307" s="2"/>
    </row>
    <row r="308">
      <c r="A308" s="2"/>
      <c r="B308" s="2"/>
      <c r="C308" s="2"/>
      <c r="D308" s="2"/>
      <c r="E308" s="2"/>
      <c r="F308" s="2"/>
      <c r="G308" s="2"/>
      <c r="H308" s="2"/>
      <c r="I308" s="2"/>
      <c r="J308" s="2"/>
      <c r="K308" s="2"/>
    </row>
    <row r="309">
      <c r="A309" s="2"/>
      <c r="B309" s="2"/>
      <c r="C309" s="2"/>
      <c r="D309" s="2"/>
      <c r="E309" s="2"/>
      <c r="F309" s="2"/>
      <c r="G309" s="2"/>
      <c r="H309" s="2"/>
      <c r="I309" s="2"/>
      <c r="J309" s="2"/>
      <c r="K309" s="2"/>
    </row>
    <row r="310">
      <c r="A310" s="2"/>
      <c r="B310" s="2"/>
      <c r="C310" s="2"/>
      <c r="D310" s="2"/>
      <c r="E310" s="2"/>
      <c r="F310" s="2"/>
      <c r="G310" s="2"/>
      <c r="H310" s="2"/>
      <c r="I310" s="2"/>
      <c r="J310" s="2"/>
      <c r="K310" s="2"/>
    </row>
    <row r="311">
      <c r="A311" s="2"/>
      <c r="B311" s="2"/>
      <c r="C311" s="2"/>
      <c r="D311" s="2"/>
      <c r="E311" s="2"/>
      <c r="F311" s="2"/>
      <c r="G311" s="2"/>
      <c r="H311" s="2"/>
      <c r="I311" s="2"/>
      <c r="J311" s="2"/>
      <c r="K311" s="2"/>
    </row>
    <row r="312">
      <c r="A312" s="2"/>
      <c r="B312" s="2"/>
      <c r="C312" s="2"/>
      <c r="D312" s="2"/>
      <c r="E312" s="2"/>
      <c r="F312" s="2"/>
      <c r="G312" s="2"/>
      <c r="H312" s="2"/>
      <c r="I312" s="2"/>
      <c r="J312" s="2"/>
      <c r="K312" s="2"/>
    </row>
    <row r="313">
      <c r="A313" s="2"/>
      <c r="B313" s="2"/>
      <c r="C313" s="2"/>
      <c r="D313" s="2"/>
      <c r="E313" s="2"/>
      <c r="F313" s="2"/>
      <c r="G313" s="2"/>
      <c r="H313" s="2"/>
      <c r="I313" s="2"/>
      <c r="J313" s="2"/>
      <c r="K313" s="2"/>
    </row>
    <row r="314">
      <c r="A314" s="2"/>
      <c r="B314" s="2"/>
      <c r="C314" s="2"/>
      <c r="D314" s="2"/>
      <c r="E314" s="2"/>
      <c r="F314" s="2"/>
      <c r="G314" s="2"/>
      <c r="H314" s="2"/>
      <c r="I314" s="2"/>
      <c r="J314" s="2"/>
      <c r="K314" s="2"/>
    </row>
    <row r="315">
      <c r="A315" s="2"/>
      <c r="B315" s="2"/>
      <c r="C315" s="2"/>
      <c r="D315" s="2"/>
      <c r="E315" s="2"/>
      <c r="F315" s="2"/>
      <c r="G315" s="2"/>
      <c r="H315" s="2"/>
      <c r="I315" s="2"/>
      <c r="J315" s="2"/>
      <c r="K315" s="2"/>
    </row>
    <row r="316">
      <c r="A316" s="2"/>
      <c r="B316" s="2"/>
      <c r="C316" s="2"/>
      <c r="D316" s="2"/>
      <c r="E316" s="2"/>
      <c r="F316" s="2"/>
      <c r="G316" s="2"/>
      <c r="H316" s="2"/>
      <c r="I316" s="2"/>
      <c r="J316" s="2"/>
      <c r="K316" s="2"/>
    </row>
    <row r="317">
      <c r="A317" s="2"/>
      <c r="B317" s="2"/>
      <c r="C317" s="2"/>
      <c r="D317" s="2"/>
      <c r="E317" s="2"/>
      <c r="F317" s="2"/>
      <c r="G317" s="2"/>
      <c r="H317" s="2"/>
      <c r="I317" s="2"/>
      <c r="J317" s="2"/>
      <c r="K317" s="2"/>
    </row>
    <row r="318">
      <c r="A318" s="2"/>
      <c r="B318" s="2"/>
      <c r="C318" s="2"/>
      <c r="D318" s="2"/>
      <c r="E318" s="2"/>
      <c r="F318" s="2"/>
      <c r="G318" s="2"/>
      <c r="H318" s="2"/>
      <c r="I318" s="2"/>
      <c r="J318" s="2"/>
      <c r="K318" s="2"/>
    </row>
    <row r="319">
      <c r="A319" s="2"/>
      <c r="B319" s="2"/>
      <c r="C319" s="2"/>
      <c r="D319" s="2"/>
      <c r="E319" s="2"/>
      <c r="F319" s="2"/>
      <c r="G319" s="2"/>
      <c r="H319" s="2"/>
      <c r="I319" s="2"/>
      <c r="J319" s="2"/>
      <c r="K319" s="2"/>
    </row>
    <row r="320">
      <c r="A320" s="2"/>
      <c r="B320" s="2"/>
      <c r="C320" s="2"/>
      <c r="D320" s="2"/>
      <c r="E320" s="2"/>
      <c r="F320" s="2"/>
      <c r="G320" s="2"/>
      <c r="H320" s="2"/>
      <c r="I320" s="2"/>
      <c r="J320" s="2"/>
      <c r="K320" s="2"/>
    </row>
    <row r="321">
      <c r="A321" s="2"/>
      <c r="B321" s="2"/>
      <c r="C321" s="2"/>
      <c r="D321" s="2"/>
      <c r="E321" s="2"/>
      <c r="F321" s="2"/>
      <c r="G321" s="2"/>
      <c r="H321" s="2"/>
      <c r="I321" s="2"/>
      <c r="J321" s="2"/>
      <c r="K321" s="2"/>
    </row>
    <row r="322">
      <c r="A322" s="2"/>
      <c r="B322" s="2"/>
      <c r="C322" s="2"/>
      <c r="D322" s="2"/>
      <c r="E322" s="2"/>
      <c r="F322" s="2"/>
      <c r="G322" s="2"/>
      <c r="H322" s="2"/>
      <c r="I322" s="2"/>
      <c r="J322" s="2"/>
      <c r="K322" s="2"/>
    </row>
    <row r="323">
      <c r="A323" s="2"/>
      <c r="B323" s="2"/>
      <c r="C323" s="2"/>
      <c r="D323" s="2"/>
      <c r="E323" s="2"/>
      <c r="F323" s="2"/>
      <c r="G323" s="2"/>
      <c r="H323" s="2"/>
      <c r="I323" s="2"/>
      <c r="J323" s="2"/>
      <c r="K323" s="2"/>
    </row>
    <row r="324">
      <c r="A324" s="2"/>
      <c r="B324" s="2"/>
      <c r="C324" s="2"/>
      <c r="D324" s="2"/>
      <c r="E324" s="2"/>
      <c r="F324" s="2"/>
      <c r="G324" s="2"/>
      <c r="H324" s="2"/>
      <c r="I324" s="2"/>
      <c r="J324" s="2"/>
      <c r="K324" s="2"/>
    </row>
    <row r="325">
      <c r="A325" s="2"/>
      <c r="B325" s="2"/>
      <c r="C325" s="2"/>
      <c r="D325" s="2"/>
      <c r="E325" s="2"/>
      <c r="F325" s="2"/>
      <c r="G325" s="2"/>
      <c r="H325" s="2"/>
      <c r="I325" s="2"/>
      <c r="J325" s="2"/>
      <c r="K325" s="2"/>
    </row>
    <row r="326">
      <c r="A326" s="2"/>
      <c r="B326" s="2"/>
      <c r="C326" s="2"/>
      <c r="D326" s="2"/>
      <c r="E326" s="2"/>
      <c r="F326" s="2"/>
      <c r="G326" s="2"/>
      <c r="H326" s="2"/>
      <c r="I326" s="2"/>
      <c r="J326" s="2"/>
      <c r="K326" s="2"/>
    </row>
    <row r="327">
      <c r="A327" s="2"/>
      <c r="B327" s="2"/>
      <c r="C327" s="2"/>
      <c r="D327" s="2"/>
      <c r="E327" s="2"/>
      <c r="F327" s="2"/>
      <c r="G327" s="2"/>
      <c r="H327" s="2"/>
      <c r="I327" s="2"/>
      <c r="J327" s="2"/>
      <c r="K327" s="2"/>
    </row>
    <row r="328">
      <c r="A328" s="2"/>
      <c r="B328" s="2"/>
      <c r="C328" s="2"/>
      <c r="D328" s="2"/>
      <c r="E328" s="2"/>
      <c r="F328" s="2"/>
      <c r="G328" s="2"/>
      <c r="H328" s="2"/>
      <c r="I328" s="2"/>
      <c r="J328" s="2"/>
      <c r="K328" s="2"/>
    </row>
    <row r="329">
      <c r="A329" s="2"/>
      <c r="B329" s="2"/>
      <c r="C329" s="2"/>
      <c r="D329" s="2"/>
      <c r="E329" s="2"/>
      <c r="F329" s="2"/>
      <c r="G329" s="2"/>
      <c r="H329" s="2"/>
      <c r="I329" s="2"/>
      <c r="J329" s="2"/>
      <c r="K329" s="2"/>
    </row>
    <row r="330">
      <c r="A330" s="2"/>
      <c r="B330" s="2"/>
      <c r="C330" s="2"/>
      <c r="D330" s="2"/>
      <c r="E330" s="2"/>
      <c r="F330" s="2"/>
      <c r="G330" s="2"/>
      <c r="H330" s="2"/>
      <c r="I330" s="2"/>
      <c r="J330" s="2"/>
      <c r="K330" s="2"/>
    </row>
    <row r="331">
      <c r="A331" s="2"/>
      <c r="B331" s="2"/>
      <c r="C331" s="2"/>
      <c r="D331" s="2"/>
      <c r="E331" s="2"/>
      <c r="F331" s="2"/>
      <c r="G331" s="2"/>
      <c r="H331" s="2"/>
      <c r="I331" s="2"/>
      <c r="J331" s="2"/>
      <c r="K331" s="2"/>
    </row>
    <row r="332">
      <c r="A332" s="2"/>
      <c r="B332" s="2"/>
      <c r="C332" s="2"/>
      <c r="D332" s="2"/>
      <c r="E332" s="2"/>
      <c r="F332" s="2"/>
      <c r="G332" s="2"/>
      <c r="H332" s="2"/>
      <c r="I332" s="2"/>
      <c r="J332" s="2"/>
      <c r="K332" s="2"/>
    </row>
    <row r="333">
      <c r="A333" s="2"/>
      <c r="B333" s="2"/>
      <c r="C333" s="2"/>
      <c r="D333" s="2"/>
      <c r="E333" s="2"/>
      <c r="F333" s="2"/>
      <c r="G333" s="2"/>
      <c r="H333" s="2"/>
      <c r="I333" s="2"/>
      <c r="J333" s="2"/>
      <c r="K333" s="2"/>
    </row>
    <row r="334">
      <c r="A334" s="2"/>
      <c r="B334" s="2"/>
      <c r="C334" s="2"/>
      <c r="D334" s="2"/>
      <c r="E334" s="2"/>
      <c r="F334" s="2"/>
      <c r="G334" s="2"/>
      <c r="H334" s="2"/>
      <c r="I334" s="2"/>
      <c r="J334" s="2"/>
      <c r="K334" s="2"/>
    </row>
    <row r="335">
      <c r="A335" s="2"/>
      <c r="B335" s="2"/>
      <c r="C335" s="2"/>
      <c r="D335" s="2"/>
      <c r="E335" s="2"/>
      <c r="F335" s="2"/>
      <c r="G335" s="2"/>
      <c r="H335" s="2"/>
      <c r="I335" s="2"/>
      <c r="J335" s="2"/>
      <c r="K335" s="2"/>
    </row>
    <row r="336">
      <c r="A336" s="2"/>
      <c r="B336" s="2"/>
      <c r="C336" s="2"/>
      <c r="D336" s="2"/>
      <c r="E336" s="2"/>
      <c r="F336" s="2"/>
      <c r="G336" s="2"/>
      <c r="H336" s="2"/>
      <c r="I336" s="2"/>
      <c r="J336" s="2"/>
      <c r="K336" s="2"/>
    </row>
    <row r="337">
      <c r="A337" s="2"/>
      <c r="B337" s="2"/>
      <c r="C337" s="2"/>
      <c r="D337" s="2"/>
      <c r="E337" s="2"/>
      <c r="F337" s="2"/>
      <c r="G337" s="2"/>
      <c r="H337" s="2"/>
      <c r="I337" s="2"/>
      <c r="J337" s="2"/>
      <c r="K337" s="2"/>
    </row>
    <row r="338">
      <c r="A338" s="2"/>
      <c r="B338" s="2"/>
      <c r="C338" s="2"/>
      <c r="D338" s="2"/>
      <c r="E338" s="2"/>
      <c r="F338" s="2"/>
      <c r="G338" s="2"/>
      <c r="H338" s="2"/>
      <c r="I338" s="2"/>
      <c r="J338" s="2"/>
      <c r="K338" s="2"/>
    </row>
    <row r="339">
      <c r="A339" s="2"/>
      <c r="B339" s="2"/>
      <c r="C339" s="2"/>
      <c r="D339" s="2"/>
      <c r="E339" s="2"/>
      <c r="F339" s="2"/>
      <c r="G339" s="2"/>
      <c r="H339" s="2"/>
      <c r="I339" s="2"/>
      <c r="J339" s="2"/>
      <c r="K339" s="2"/>
    </row>
    <row r="340">
      <c r="A340" s="2"/>
      <c r="B340" s="2"/>
      <c r="C340" s="2"/>
      <c r="D340" s="2"/>
      <c r="E340" s="2"/>
      <c r="F340" s="2"/>
      <c r="G340" s="2"/>
      <c r="H340" s="2"/>
      <c r="I340" s="2"/>
      <c r="J340" s="2"/>
      <c r="K340" s="2"/>
    </row>
    <row r="341">
      <c r="A341" s="2"/>
      <c r="B341" s="2"/>
      <c r="C341" s="2"/>
      <c r="D341" s="2"/>
      <c r="E341" s="2"/>
      <c r="F341" s="2"/>
      <c r="G341" s="2"/>
      <c r="H341" s="2"/>
      <c r="I341" s="2"/>
      <c r="J341" s="2"/>
      <c r="K341" s="2"/>
    </row>
    <row r="342">
      <c r="A342" s="2"/>
      <c r="B342" s="2"/>
      <c r="C342" s="2"/>
      <c r="D342" s="2"/>
      <c r="E342" s="2"/>
      <c r="F342" s="2"/>
      <c r="G342" s="2"/>
      <c r="H342" s="2"/>
      <c r="I342" s="2"/>
      <c r="J342" s="2"/>
      <c r="K342" s="2"/>
    </row>
    <row r="343">
      <c r="A343" s="2"/>
      <c r="B343" s="2"/>
      <c r="C343" s="2"/>
      <c r="D343" s="2"/>
      <c r="E343" s="2"/>
      <c r="F343" s="2"/>
      <c r="G343" s="2"/>
      <c r="H343" s="2"/>
      <c r="I343" s="2"/>
      <c r="J343" s="2"/>
      <c r="K343" s="2"/>
    </row>
    <row r="344">
      <c r="A344" s="2"/>
      <c r="B344" s="2"/>
      <c r="C344" s="2"/>
      <c r="D344" s="2"/>
      <c r="E344" s="2"/>
      <c r="F344" s="2"/>
      <c r="G344" s="2"/>
      <c r="H344" s="2"/>
      <c r="I344" s="2"/>
      <c r="J344" s="2"/>
      <c r="K344" s="2"/>
    </row>
    <row r="345">
      <c r="A345" s="2"/>
      <c r="B345" s="2"/>
      <c r="C345" s="2"/>
      <c r="D345" s="2"/>
      <c r="E345" s="2"/>
      <c r="F345" s="2"/>
      <c r="G345" s="2"/>
      <c r="H345" s="2"/>
      <c r="I345" s="2"/>
      <c r="J345" s="2"/>
      <c r="K345" s="2"/>
    </row>
    <row r="346">
      <c r="A346" s="2"/>
      <c r="B346" s="2"/>
      <c r="C346" s="2"/>
      <c r="D346" s="2"/>
      <c r="E346" s="2"/>
      <c r="F346" s="2"/>
      <c r="G346" s="2"/>
      <c r="H346" s="2"/>
      <c r="I346" s="2"/>
      <c r="J346" s="2"/>
      <c r="K346" s="2"/>
    </row>
    <row r="347">
      <c r="A347" s="2"/>
      <c r="B347" s="2"/>
      <c r="C347" s="2"/>
      <c r="D347" s="2"/>
      <c r="E347" s="2"/>
      <c r="F347" s="2"/>
      <c r="G347" s="2"/>
      <c r="H347" s="2"/>
      <c r="I347" s="2"/>
      <c r="J347" s="2"/>
      <c r="K347" s="2"/>
    </row>
    <row r="348">
      <c r="A348" s="2"/>
      <c r="B348" s="2"/>
      <c r="C348" s="2"/>
      <c r="D348" s="2"/>
      <c r="E348" s="2"/>
      <c r="F348" s="2"/>
      <c r="G348" s="2"/>
      <c r="H348" s="2"/>
      <c r="I348" s="2"/>
      <c r="J348" s="2"/>
      <c r="K348" s="2"/>
    </row>
    <row r="349">
      <c r="A349" s="2"/>
      <c r="B349" s="2"/>
      <c r="C349" s="2"/>
      <c r="D349" s="2"/>
      <c r="E349" s="2"/>
      <c r="F349" s="2"/>
      <c r="G349" s="2"/>
      <c r="H349" s="2"/>
      <c r="I349" s="2"/>
      <c r="J349" s="2"/>
      <c r="K349" s="2"/>
    </row>
    <row r="350">
      <c r="A350" s="2"/>
      <c r="B350" s="2"/>
      <c r="C350" s="2"/>
      <c r="D350" s="2"/>
      <c r="E350" s="2"/>
      <c r="F350" s="2"/>
      <c r="G350" s="2"/>
      <c r="H350" s="2"/>
      <c r="I350" s="2"/>
      <c r="J350" s="2"/>
      <c r="K350" s="2"/>
    </row>
    <row r="351">
      <c r="A351" s="2"/>
      <c r="B351" s="2"/>
      <c r="C351" s="2"/>
      <c r="D351" s="2"/>
      <c r="E351" s="2"/>
      <c r="F351" s="2"/>
      <c r="G351" s="2"/>
      <c r="H351" s="2"/>
      <c r="I351" s="2"/>
      <c r="J351" s="2"/>
      <c r="K351" s="2"/>
    </row>
    <row r="352">
      <c r="A352" s="2"/>
      <c r="B352" s="2"/>
      <c r="C352" s="2"/>
      <c r="D352" s="2"/>
      <c r="E352" s="2"/>
      <c r="F352" s="2"/>
      <c r="G352" s="2"/>
      <c r="H352" s="2"/>
      <c r="I352" s="2"/>
      <c r="J352" s="2"/>
      <c r="K352" s="2"/>
    </row>
    <row r="353">
      <c r="A353" s="2"/>
      <c r="B353" s="2"/>
      <c r="C353" s="2"/>
      <c r="D353" s="2"/>
      <c r="E353" s="2"/>
      <c r="F353" s="2"/>
      <c r="G353" s="2"/>
      <c r="H353" s="2"/>
      <c r="I353" s="2"/>
      <c r="J353" s="2"/>
      <c r="K353" s="2"/>
    </row>
    <row r="354">
      <c r="A354" s="2"/>
      <c r="B354" s="2"/>
      <c r="C354" s="2"/>
      <c r="D354" s="2"/>
      <c r="E354" s="2"/>
      <c r="F354" s="2"/>
      <c r="G354" s="2"/>
      <c r="H354" s="2"/>
      <c r="I354" s="2"/>
      <c r="J354" s="2"/>
      <c r="K354" s="2"/>
    </row>
    <row r="355">
      <c r="A355" s="2"/>
      <c r="B355" s="2"/>
      <c r="C355" s="2"/>
      <c r="D355" s="2"/>
      <c r="E355" s="2"/>
      <c r="F355" s="2"/>
      <c r="G355" s="2"/>
      <c r="H355" s="2"/>
      <c r="I355" s="2"/>
      <c r="J355" s="2"/>
      <c r="K355" s="2"/>
    </row>
    <row r="356">
      <c r="A356" s="2"/>
      <c r="B356" s="2"/>
      <c r="C356" s="2"/>
      <c r="D356" s="2"/>
      <c r="E356" s="2"/>
      <c r="F356" s="2"/>
      <c r="G356" s="2"/>
      <c r="H356" s="2"/>
      <c r="I356" s="2"/>
      <c r="J356" s="2"/>
      <c r="K356" s="2"/>
    </row>
    <row r="357">
      <c r="A357" s="2"/>
      <c r="B357" s="2"/>
      <c r="C357" s="2"/>
      <c r="D357" s="2"/>
      <c r="E357" s="2"/>
      <c r="F357" s="2"/>
      <c r="G357" s="2"/>
      <c r="H357" s="2"/>
      <c r="I357" s="2"/>
      <c r="J357" s="2"/>
      <c r="K357" s="2"/>
    </row>
    <row r="358">
      <c r="A358" s="2"/>
      <c r="B358" s="2"/>
      <c r="C358" s="2"/>
      <c r="D358" s="2"/>
      <c r="E358" s="2"/>
      <c r="F358" s="2"/>
      <c r="G358" s="2"/>
      <c r="H358" s="2"/>
      <c r="I358" s="2"/>
      <c r="J358" s="2"/>
      <c r="K358" s="2"/>
    </row>
    <row r="359">
      <c r="A359" s="2"/>
      <c r="B359" s="2"/>
      <c r="C359" s="2"/>
      <c r="D359" s="2"/>
      <c r="E359" s="2"/>
      <c r="F359" s="2"/>
      <c r="G359" s="2"/>
      <c r="H359" s="2"/>
      <c r="I359" s="2"/>
      <c r="J359" s="2"/>
      <c r="K359" s="2"/>
    </row>
    <row r="360">
      <c r="A360" s="2"/>
      <c r="B360" s="2"/>
      <c r="C360" s="2"/>
      <c r="D360" s="2"/>
      <c r="E360" s="2"/>
      <c r="F360" s="2"/>
      <c r="G360" s="2"/>
      <c r="H360" s="2"/>
      <c r="I360" s="2"/>
      <c r="J360" s="2"/>
      <c r="K360" s="2"/>
    </row>
    <row r="361">
      <c r="A361" s="2"/>
      <c r="B361" s="2"/>
      <c r="C361" s="2"/>
      <c r="D361" s="2"/>
      <c r="E361" s="2"/>
      <c r="F361" s="2"/>
      <c r="G361" s="2"/>
      <c r="H361" s="2"/>
      <c r="I361" s="2"/>
      <c r="J361" s="2"/>
      <c r="K361" s="2"/>
    </row>
    <row r="362">
      <c r="A362" s="2"/>
      <c r="B362" s="2"/>
      <c r="C362" s="2"/>
      <c r="D362" s="2"/>
      <c r="E362" s="2"/>
      <c r="F362" s="2"/>
      <c r="G362" s="2"/>
      <c r="H362" s="2"/>
      <c r="I362" s="2"/>
      <c r="J362" s="2"/>
      <c r="K362" s="2"/>
    </row>
    <row r="363">
      <c r="A363" s="2"/>
      <c r="B363" s="2"/>
      <c r="C363" s="2"/>
      <c r="D363" s="2"/>
      <c r="E363" s="2"/>
      <c r="F363" s="2"/>
      <c r="G363" s="2"/>
      <c r="H363" s="2"/>
      <c r="I363" s="2"/>
      <c r="J363" s="2"/>
      <c r="K363" s="2"/>
    </row>
    <row r="364">
      <c r="A364" s="2"/>
      <c r="B364" s="2"/>
      <c r="C364" s="2"/>
      <c r="D364" s="2"/>
      <c r="E364" s="2"/>
      <c r="F364" s="2"/>
      <c r="G364" s="2"/>
      <c r="H364" s="2"/>
      <c r="I364" s="2"/>
      <c r="J364" s="2"/>
      <c r="K364" s="2"/>
    </row>
    <row r="365">
      <c r="A365" s="2"/>
      <c r="B365" s="2"/>
      <c r="C365" s="2"/>
      <c r="D365" s="2"/>
      <c r="E365" s="2"/>
      <c r="F365" s="2"/>
      <c r="G365" s="2"/>
      <c r="H365" s="2"/>
      <c r="I365" s="2"/>
      <c r="J365" s="2"/>
      <c r="K365" s="2"/>
    </row>
    <row r="366">
      <c r="A366" s="2"/>
      <c r="B366" s="2"/>
      <c r="C366" s="2"/>
      <c r="D366" s="2"/>
      <c r="E366" s="2"/>
      <c r="F366" s="2"/>
      <c r="G366" s="2"/>
      <c r="H366" s="2"/>
      <c r="I366" s="2"/>
      <c r="J366" s="2"/>
      <c r="K366" s="2"/>
    </row>
    <row r="367">
      <c r="A367" s="2"/>
      <c r="B367" s="2"/>
      <c r="C367" s="2"/>
      <c r="D367" s="2"/>
      <c r="E367" s="2"/>
      <c r="F367" s="2"/>
      <c r="G367" s="2"/>
      <c r="H367" s="2"/>
      <c r="I367" s="2"/>
      <c r="J367" s="2"/>
      <c r="K367" s="2"/>
    </row>
    <row r="368">
      <c r="A368" s="2"/>
      <c r="B368" s="2"/>
      <c r="C368" s="2"/>
      <c r="D368" s="2"/>
      <c r="E368" s="2"/>
      <c r="F368" s="2"/>
      <c r="G368" s="2"/>
      <c r="H368" s="2"/>
      <c r="I368" s="2"/>
      <c r="J368" s="2"/>
      <c r="K368" s="2"/>
    </row>
    <row r="369">
      <c r="A369" s="2"/>
      <c r="B369" s="2"/>
      <c r="C369" s="2"/>
      <c r="D369" s="2"/>
      <c r="E369" s="2"/>
      <c r="F369" s="2"/>
      <c r="G369" s="2"/>
      <c r="H369" s="2"/>
      <c r="I369" s="2"/>
      <c r="J369" s="2"/>
      <c r="K369" s="2"/>
    </row>
    <row r="370">
      <c r="A370" s="2"/>
      <c r="B370" s="2"/>
      <c r="C370" s="2"/>
      <c r="D370" s="2"/>
      <c r="E370" s="2"/>
      <c r="F370" s="2"/>
      <c r="G370" s="2"/>
      <c r="H370" s="2"/>
      <c r="I370" s="2"/>
      <c r="J370" s="2"/>
      <c r="K370" s="2"/>
    </row>
    <row r="371">
      <c r="A371" s="2"/>
      <c r="B371" s="2"/>
      <c r="C371" s="2"/>
      <c r="D371" s="2"/>
      <c r="E371" s="2"/>
      <c r="F371" s="2"/>
      <c r="G371" s="2"/>
      <c r="H371" s="2"/>
      <c r="I371" s="2"/>
      <c r="J371" s="2"/>
      <c r="K371" s="2"/>
    </row>
    <row r="372">
      <c r="A372" s="2"/>
      <c r="B372" s="2"/>
      <c r="C372" s="2"/>
      <c r="D372" s="2"/>
      <c r="E372" s="2"/>
      <c r="F372" s="2"/>
      <c r="G372" s="2"/>
      <c r="H372" s="2"/>
      <c r="I372" s="2"/>
      <c r="J372" s="2"/>
      <c r="K372" s="2"/>
    </row>
    <row r="373">
      <c r="A373" s="2"/>
      <c r="B373" s="2"/>
      <c r="C373" s="2"/>
      <c r="D373" s="2"/>
      <c r="E373" s="2"/>
      <c r="F373" s="2"/>
      <c r="G373" s="2"/>
      <c r="H373" s="2"/>
      <c r="I373" s="2"/>
      <c r="J373" s="2"/>
      <c r="K373" s="2"/>
    </row>
    <row r="374">
      <c r="A374" s="2"/>
      <c r="B374" s="2"/>
      <c r="C374" s="2"/>
      <c r="D374" s="2"/>
      <c r="E374" s="2"/>
      <c r="F374" s="2"/>
      <c r="G374" s="2"/>
      <c r="H374" s="2"/>
      <c r="I374" s="2"/>
      <c r="J374" s="2"/>
      <c r="K374" s="2"/>
    </row>
    <row r="375">
      <c r="A375" s="2"/>
      <c r="B375" s="2"/>
      <c r="C375" s="2"/>
      <c r="D375" s="2"/>
      <c r="E375" s="2"/>
      <c r="F375" s="2"/>
      <c r="G375" s="2"/>
      <c r="H375" s="2"/>
      <c r="I375" s="2"/>
      <c r="J375" s="2"/>
      <c r="K375" s="2"/>
    </row>
    <row r="376">
      <c r="A376" s="2"/>
      <c r="B376" s="2"/>
      <c r="C376" s="2"/>
      <c r="D376" s="2"/>
      <c r="E376" s="2"/>
      <c r="F376" s="2"/>
      <c r="G376" s="2"/>
      <c r="H376" s="2"/>
      <c r="I376" s="2"/>
      <c r="J376" s="2"/>
      <c r="K376" s="2"/>
    </row>
    <row r="377">
      <c r="A377" s="2"/>
      <c r="B377" s="2"/>
      <c r="C377" s="2"/>
      <c r="D377" s="2"/>
      <c r="E377" s="2"/>
      <c r="F377" s="2"/>
      <c r="G377" s="2"/>
      <c r="H377" s="2"/>
      <c r="I377" s="2"/>
      <c r="J377" s="2"/>
      <c r="K377" s="2"/>
    </row>
    <row r="378">
      <c r="A378" s="2"/>
      <c r="B378" s="2"/>
      <c r="C378" s="2"/>
      <c r="D378" s="2"/>
      <c r="E378" s="2"/>
      <c r="F378" s="2"/>
      <c r="G378" s="2"/>
      <c r="H378" s="2"/>
      <c r="I378" s="2"/>
      <c r="J378" s="2"/>
      <c r="K378" s="2"/>
    </row>
    <row r="379">
      <c r="A379" s="2"/>
      <c r="B379" s="2"/>
      <c r="C379" s="2"/>
      <c r="D379" s="2"/>
      <c r="E379" s="2"/>
      <c r="F379" s="2"/>
      <c r="G379" s="2"/>
      <c r="H379" s="2"/>
      <c r="I379" s="2"/>
      <c r="J379" s="2"/>
      <c r="K379" s="2"/>
    </row>
    <row r="380">
      <c r="A380" s="2"/>
      <c r="B380" s="2"/>
      <c r="C380" s="2"/>
      <c r="D380" s="2"/>
      <c r="E380" s="2"/>
      <c r="F380" s="2"/>
      <c r="G380" s="2"/>
      <c r="H380" s="2"/>
      <c r="I380" s="2"/>
      <c r="J380" s="2"/>
      <c r="K380" s="2"/>
    </row>
    <row r="381">
      <c r="A381" s="2"/>
      <c r="B381" s="2"/>
      <c r="C381" s="2"/>
      <c r="D381" s="2"/>
      <c r="E381" s="2"/>
      <c r="F381" s="2"/>
      <c r="G381" s="2"/>
      <c r="H381" s="2"/>
      <c r="I381" s="2"/>
      <c r="J381" s="2"/>
      <c r="K381" s="2"/>
    </row>
    <row r="382">
      <c r="A382" s="2"/>
      <c r="B382" s="2"/>
      <c r="C382" s="2"/>
      <c r="D382" s="2"/>
      <c r="E382" s="2"/>
      <c r="F382" s="2"/>
      <c r="G382" s="2"/>
      <c r="H382" s="2"/>
      <c r="I382" s="2"/>
      <c r="J382" s="2"/>
      <c r="K382" s="2"/>
    </row>
    <row r="383">
      <c r="A383" s="2"/>
      <c r="B383" s="2"/>
      <c r="C383" s="2"/>
      <c r="D383" s="2"/>
      <c r="E383" s="2"/>
      <c r="F383" s="2"/>
      <c r="G383" s="2"/>
      <c r="H383" s="2"/>
      <c r="I383" s="2"/>
      <c r="J383" s="2"/>
      <c r="K383" s="2"/>
    </row>
    <row r="384">
      <c r="A384" s="2"/>
      <c r="B384" s="2"/>
      <c r="C384" s="2"/>
      <c r="D384" s="2"/>
      <c r="E384" s="2"/>
      <c r="F384" s="2"/>
      <c r="G384" s="2"/>
      <c r="H384" s="2"/>
      <c r="I384" s="2"/>
      <c r="J384" s="2"/>
      <c r="K384" s="2"/>
    </row>
    <row r="385">
      <c r="A385" s="2"/>
      <c r="B385" s="2"/>
      <c r="C385" s="2"/>
      <c r="D385" s="2"/>
      <c r="E385" s="2"/>
      <c r="F385" s="2"/>
      <c r="G385" s="2"/>
      <c r="H385" s="2"/>
      <c r="I385" s="2"/>
      <c r="J385" s="2"/>
      <c r="K385" s="2"/>
    </row>
    <row r="386">
      <c r="A386" s="2"/>
      <c r="B386" s="2"/>
      <c r="C386" s="2"/>
      <c r="D386" s="2"/>
      <c r="E386" s="2"/>
      <c r="F386" s="2"/>
      <c r="G386" s="2"/>
      <c r="H386" s="2"/>
      <c r="I386" s="2"/>
      <c r="J386" s="2"/>
      <c r="K386" s="2"/>
    </row>
    <row r="387">
      <c r="A387" s="2"/>
      <c r="B387" s="2"/>
      <c r="C387" s="2"/>
      <c r="D387" s="2"/>
      <c r="E387" s="2"/>
      <c r="F387" s="2"/>
      <c r="G387" s="2"/>
      <c r="H387" s="2"/>
      <c r="I387" s="2"/>
      <c r="J387" s="2"/>
      <c r="K387" s="2"/>
    </row>
    <row r="388">
      <c r="A388" s="2"/>
      <c r="B388" s="2"/>
      <c r="C388" s="2"/>
      <c r="D388" s="2"/>
      <c r="E388" s="2"/>
      <c r="F388" s="2"/>
      <c r="G388" s="2"/>
      <c r="H388" s="2"/>
      <c r="I388" s="2"/>
      <c r="J388" s="2"/>
      <c r="K388" s="2"/>
    </row>
    <row r="389">
      <c r="A389" s="2"/>
      <c r="B389" s="2"/>
      <c r="C389" s="2"/>
      <c r="D389" s="2"/>
      <c r="E389" s="2"/>
      <c r="F389" s="2"/>
      <c r="G389" s="2"/>
      <c r="H389" s="2"/>
      <c r="I389" s="2"/>
      <c r="J389" s="2"/>
      <c r="K389" s="2"/>
    </row>
    <row r="390">
      <c r="A390" s="2"/>
      <c r="B390" s="2"/>
      <c r="C390" s="2"/>
      <c r="D390" s="2"/>
      <c r="E390" s="2"/>
      <c r="F390" s="2"/>
      <c r="G390" s="2"/>
      <c r="H390" s="2"/>
      <c r="I390" s="2"/>
      <c r="J390" s="2"/>
      <c r="K390" s="2"/>
    </row>
    <row r="391">
      <c r="A391" s="2"/>
      <c r="B391" s="2"/>
      <c r="C391" s="2"/>
      <c r="D391" s="2"/>
      <c r="E391" s="2"/>
      <c r="F391" s="2"/>
      <c r="G391" s="2"/>
      <c r="H391" s="2"/>
      <c r="I391" s="2"/>
      <c r="J391" s="2"/>
      <c r="K391" s="2"/>
    </row>
    <row r="392">
      <c r="A392" s="2"/>
      <c r="B392" s="2"/>
      <c r="C392" s="2"/>
      <c r="D392" s="2"/>
      <c r="E392" s="2"/>
      <c r="F392" s="2"/>
      <c r="G392" s="2"/>
      <c r="H392" s="2"/>
      <c r="I392" s="2"/>
      <c r="J392" s="2"/>
      <c r="K392" s="2"/>
    </row>
    <row r="393">
      <c r="A393" s="2"/>
      <c r="B393" s="2"/>
      <c r="C393" s="2"/>
      <c r="D393" s="2"/>
      <c r="E393" s="2"/>
      <c r="F393" s="2"/>
      <c r="G393" s="2"/>
      <c r="H393" s="2"/>
      <c r="I393" s="2"/>
      <c r="J393" s="2"/>
      <c r="K393" s="2"/>
    </row>
    <row r="394">
      <c r="A394" s="2"/>
      <c r="B394" s="2"/>
      <c r="C394" s="2"/>
      <c r="D394" s="2"/>
      <c r="E394" s="2"/>
      <c r="F394" s="2"/>
      <c r="G394" s="2"/>
      <c r="H394" s="2"/>
      <c r="I394" s="2"/>
      <c r="J394" s="2"/>
      <c r="K394" s="2"/>
    </row>
    <row r="395">
      <c r="A395" s="2"/>
      <c r="B395" s="2"/>
      <c r="C395" s="2"/>
      <c r="D395" s="2"/>
      <c r="E395" s="2"/>
      <c r="F395" s="2"/>
      <c r="G395" s="2"/>
      <c r="H395" s="2"/>
      <c r="I395" s="2"/>
      <c r="J395" s="2"/>
      <c r="K395" s="2"/>
    </row>
    <row r="396">
      <c r="A396" s="2"/>
      <c r="B396" s="2"/>
      <c r="C396" s="2"/>
      <c r="D396" s="2"/>
      <c r="E396" s="2"/>
      <c r="F396" s="2"/>
      <c r="G396" s="2"/>
      <c r="H396" s="2"/>
      <c r="I396" s="2"/>
      <c r="J396" s="2"/>
      <c r="K396" s="2"/>
    </row>
    <row r="397">
      <c r="A397" s="2"/>
      <c r="B397" s="2"/>
      <c r="C397" s="2"/>
      <c r="D397" s="2"/>
      <c r="E397" s="2"/>
      <c r="F397" s="2"/>
      <c r="G397" s="2"/>
      <c r="H397" s="2"/>
      <c r="I397" s="2"/>
      <c r="J397" s="2"/>
      <c r="K397" s="2"/>
    </row>
    <row r="398">
      <c r="A398" s="2"/>
      <c r="B398" s="2"/>
      <c r="C398" s="2"/>
      <c r="D398" s="2"/>
      <c r="E398" s="2"/>
      <c r="F398" s="2"/>
      <c r="G398" s="2"/>
      <c r="H398" s="2"/>
      <c r="I398" s="2"/>
      <c r="J398" s="2"/>
      <c r="K398" s="2"/>
    </row>
    <row r="399">
      <c r="A399" s="2"/>
      <c r="B399" s="2"/>
      <c r="C399" s="2"/>
      <c r="D399" s="2"/>
      <c r="E399" s="2"/>
      <c r="F399" s="2"/>
      <c r="G399" s="2"/>
      <c r="H399" s="2"/>
      <c r="I399" s="2"/>
      <c r="J399" s="2"/>
      <c r="K399" s="2"/>
    </row>
    <row r="400">
      <c r="A400" s="2"/>
      <c r="B400" s="2"/>
      <c r="C400" s="2"/>
      <c r="D400" s="2"/>
      <c r="E400" s="2"/>
      <c r="F400" s="2"/>
      <c r="G400" s="2"/>
      <c r="H400" s="2"/>
      <c r="I400" s="2"/>
      <c r="J400" s="2"/>
      <c r="K400" s="2"/>
    </row>
    <row r="401">
      <c r="A401" s="2"/>
      <c r="B401" s="2"/>
      <c r="C401" s="2"/>
      <c r="D401" s="2"/>
      <c r="E401" s="2"/>
      <c r="F401" s="2"/>
      <c r="G401" s="2"/>
      <c r="H401" s="2"/>
      <c r="I401" s="2"/>
      <c r="J401" s="2"/>
      <c r="K401" s="2"/>
    </row>
    <row r="402">
      <c r="A402" s="2"/>
      <c r="B402" s="2"/>
      <c r="C402" s="2"/>
      <c r="D402" s="2"/>
      <c r="E402" s="2"/>
      <c r="F402" s="2"/>
      <c r="G402" s="2"/>
      <c r="H402" s="2"/>
      <c r="I402" s="2"/>
      <c r="J402" s="2"/>
      <c r="K402" s="2"/>
    </row>
    <row r="403">
      <c r="A403" s="2"/>
      <c r="B403" s="2"/>
      <c r="C403" s="2"/>
      <c r="D403" s="2"/>
      <c r="E403" s="2"/>
      <c r="F403" s="2"/>
      <c r="G403" s="2"/>
      <c r="H403" s="2"/>
      <c r="I403" s="2"/>
      <c r="J403" s="2"/>
      <c r="K403" s="2"/>
    </row>
    <row r="404">
      <c r="A404" s="2"/>
      <c r="B404" s="2"/>
      <c r="C404" s="2"/>
      <c r="D404" s="2"/>
      <c r="E404" s="2"/>
      <c r="F404" s="2"/>
      <c r="G404" s="2"/>
      <c r="H404" s="2"/>
      <c r="I404" s="2"/>
      <c r="J404" s="2"/>
      <c r="K404" s="2"/>
    </row>
    <row r="405">
      <c r="A405" s="2"/>
      <c r="B405" s="2"/>
      <c r="C405" s="2"/>
      <c r="D405" s="2"/>
      <c r="E405" s="2"/>
      <c r="F405" s="2"/>
      <c r="G405" s="2"/>
      <c r="H405" s="2"/>
      <c r="I405" s="2"/>
      <c r="J405" s="2"/>
      <c r="K405" s="2"/>
    </row>
    <row r="406">
      <c r="A406" s="2"/>
      <c r="B406" s="2"/>
      <c r="C406" s="2"/>
      <c r="D406" s="2"/>
      <c r="E406" s="2"/>
      <c r="F406" s="2"/>
      <c r="G406" s="2"/>
      <c r="H406" s="2"/>
      <c r="I406" s="2"/>
      <c r="J406" s="2"/>
      <c r="K406" s="2"/>
    </row>
    <row r="407">
      <c r="A407" s="2"/>
      <c r="B407" s="2"/>
      <c r="C407" s="2"/>
      <c r="D407" s="2"/>
      <c r="E407" s="2"/>
      <c r="F407" s="2"/>
      <c r="G407" s="2"/>
      <c r="H407" s="2"/>
      <c r="I407" s="2"/>
      <c r="J407" s="2"/>
      <c r="K407" s="2"/>
    </row>
    <row r="408">
      <c r="A408" s="2"/>
      <c r="B408" s="2"/>
      <c r="C408" s="2"/>
      <c r="D408" s="2"/>
      <c r="E408" s="2"/>
      <c r="F408" s="2"/>
      <c r="G408" s="2"/>
      <c r="H408" s="2"/>
      <c r="I408" s="2"/>
      <c r="J408" s="2"/>
      <c r="K408" s="2"/>
    </row>
    <row r="409">
      <c r="A409" s="2"/>
      <c r="B409" s="2"/>
      <c r="C409" s="2"/>
      <c r="D409" s="2"/>
      <c r="E409" s="2"/>
      <c r="F409" s="2"/>
      <c r="G409" s="2"/>
      <c r="H409" s="2"/>
      <c r="I409" s="2"/>
      <c r="J409" s="2"/>
      <c r="K409" s="2"/>
    </row>
    <row r="410">
      <c r="A410" s="2"/>
      <c r="B410" s="2"/>
      <c r="C410" s="2"/>
      <c r="D410" s="2"/>
      <c r="E410" s="2"/>
      <c r="F410" s="2"/>
      <c r="G410" s="2"/>
      <c r="H410" s="2"/>
      <c r="I410" s="2"/>
      <c r="J410" s="2"/>
      <c r="K410" s="2"/>
    </row>
    <row r="411">
      <c r="A411" s="2"/>
      <c r="B411" s="2"/>
      <c r="C411" s="2"/>
      <c r="D411" s="2"/>
      <c r="E411" s="2"/>
      <c r="F411" s="2"/>
      <c r="G411" s="2"/>
      <c r="H411" s="2"/>
      <c r="I411" s="2"/>
      <c r="J411" s="2"/>
      <c r="K411" s="2"/>
    </row>
    <row r="412">
      <c r="A412" s="2"/>
      <c r="B412" s="2"/>
      <c r="C412" s="2"/>
      <c r="D412" s="2"/>
      <c r="E412" s="2"/>
      <c r="F412" s="2"/>
      <c r="G412" s="2"/>
      <c r="H412" s="2"/>
      <c r="I412" s="2"/>
      <c r="J412" s="2"/>
      <c r="K412" s="2"/>
    </row>
    <row r="413">
      <c r="A413" s="2"/>
      <c r="B413" s="2"/>
      <c r="C413" s="2"/>
      <c r="D413" s="2"/>
      <c r="E413" s="2"/>
      <c r="F413" s="2"/>
      <c r="G413" s="2"/>
      <c r="H413" s="2"/>
      <c r="I413" s="2"/>
      <c r="J413" s="2"/>
      <c r="K413" s="2"/>
    </row>
    <row r="414">
      <c r="A414" s="2"/>
      <c r="B414" s="2"/>
      <c r="C414" s="2"/>
      <c r="D414" s="2"/>
      <c r="E414" s="2"/>
      <c r="F414" s="2"/>
      <c r="G414" s="2"/>
      <c r="H414" s="2"/>
      <c r="I414" s="2"/>
      <c r="J414" s="2"/>
      <c r="K414" s="2"/>
    </row>
    <row r="415">
      <c r="A415" s="2"/>
      <c r="B415" s="2"/>
      <c r="C415" s="2"/>
      <c r="D415" s="2"/>
      <c r="E415" s="2"/>
      <c r="F415" s="2"/>
      <c r="G415" s="2"/>
      <c r="H415" s="2"/>
      <c r="I415" s="2"/>
      <c r="J415" s="2"/>
      <c r="K415" s="2"/>
    </row>
    <row r="416">
      <c r="A416" s="2"/>
      <c r="B416" s="2"/>
      <c r="C416" s="2"/>
      <c r="D416" s="2"/>
      <c r="E416" s="2"/>
      <c r="F416" s="2"/>
      <c r="G416" s="2"/>
      <c r="H416" s="2"/>
      <c r="I416" s="2"/>
      <c r="J416" s="2"/>
      <c r="K416" s="2"/>
    </row>
    <row r="417">
      <c r="A417" s="2"/>
      <c r="B417" s="2"/>
      <c r="C417" s="2"/>
      <c r="D417" s="2"/>
      <c r="E417" s="2"/>
      <c r="F417" s="2"/>
      <c r="G417" s="2"/>
      <c r="H417" s="2"/>
      <c r="I417" s="2"/>
      <c r="J417" s="2"/>
      <c r="K417" s="2"/>
    </row>
    <row r="418">
      <c r="A418" s="2"/>
      <c r="B418" s="2"/>
      <c r="C418" s="2"/>
      <c r="D418" s="2"/>
      <c r="E418" s="2"/>
      <c r="F418" s="2"/>
      <c r="G418" s="2"/>
      <c r="H418" s="2"/>
      <c r="I418" s="2"/>
      <c r="J418" s="2"/>
      <c r="K418" s="2"/>
    </row>
    <row r="419">
      <c r="A419" s="2"/>
      <c r="B419" s="2"/>
      <c r="C419" s="2"/>
      <c r="D419" s="2"/>
      <c r="E419" s="2"/>
      <c r="F419" s="2"/>
      <c r="G419" s="2"/>
      <c r="H419" s="2"/>
      <c r="I419" s="2"/>
      <c r="J419" s="2"/>
      <c r="K419" s="2"/>
    </row>
    <row r="420">
      <c r="A420" s="2"/>
      <c r="B420" s="2"/>
      <c r="C420" s="2"/>
      <c r="D420" s="2"/>
      <c r="E420" s="2"/>
      <c r="F420" s="2"/>
      <c r="G420" s="2"/>
      <c r="H420" s="2"/>
      <c r="I420" s="2"/>
      <c r="J420" s="2"/>
      <c r="K420" s="2"/>
    </row>
    <row r="421">
      <c r="A421" s="2"/>
      <c r="B421" s="2"/>
      <c r="C421" s="2"/>
      <c r="D421" s="2"/>
      <c r="E421" s="2"/>
      <c r="F421" s="2"/>
      <c r="G421" s="2"/>
      <c r="H421" s="2"/>
      <c r="I421" s="2"/>
      <c r="J421" s="2"/>
      <c r="K421" s="2"/>
    </row>
    <row r="422">
      <c r="A422" s="2"/>
      <c r="B422" s="2"/>
      <c r="C422" s="2"/>
      <c r="D422" s="2"/>
      <c r="E422" s="2"/>
      <c r="F422" s="2"/>
      <c r="G422" s="2"/>
      <c r="H422" s="2"/>
      <c r="I422" s="2"/>
      <c r="J422" s="2"/>
      <c r="K422" s="2"/>
    </row>
    <row r="423">
      <c r="A423" s="2"/>
      <c r="B423" s="2"/>
      <c r="C423" s="2"/>
      <c r="D423" s="2"/>
      <c r="E423" s="2"/>
      <c r="F423" s="2"/>
      <c r="G423" s="2"/>
      <c r="H423" s="2"/>
      <c r="I423" s="2"/>
      <c r="J423" s="2"/>
      <c r="K423" s="2"/>
    </row>
    <row r="424">
      <c r="A424" s="2"/>
      <c r="B424" s="2"/>
      <c r="C424" s="2"/>
      <c r="D424" s="2"/>
      <c r="E424" s="2"/>
      <c r="F424" s="2"/>
      <c r="G424" s="2"/>
      <c r="H424" s="2"/>
      <c r="I424" s="2"/>
      <c r="J424" s="2"/>
      <c r="K424" s="2"/>
    </row>
    <row r="425">
      <c r="A425" s="2"/>
      <c r="B425" s="2"/>
      <c r="C425" s="2"/>
      <c r="D425" s="2"/>
      <c r="E425" s="2"/>
      <c r="F425" s="2"/>
      <c r="G425" s="2"/>
      <c r="H425" s="2"/>
      <c r="I425" s="2"/>
      <c r="J425" s="2"/>
      <c r="K425" s="2"/>
    </row>
    <row r="426">
      <c r="A426" s="2"/>
      <c r="B426" s="2"/>
      <c r="C426" s="2"/>
      <c r="D426" s="2"/>
      <c r="E426" s="2"/>
      <c r="F426" s="2"/>
      <c r="G426" s="2"/>
      <c r="H426" s="2"/>
      <c r="I426" s="2"/>
      <c r="J426" s="2"/>
      <c r="K426" s="2"/>
    </row>
    <row r="427">
      <c r="A427" s="2"/>
      <c r="B427" s="2"/>
      <c r="C427" s="2"/>
      <c r="D427" s="2"/>
      <c r="E427" s="2"/>
      <c r="F427" s="2"/>
      <c r="G427" s="2"/>
      <c r="H427" s="2"/>
      <c r="I427" s="2"/>
      <c r="J427" s="2"/>
      <c r="K427" s="2"/>
    </row>
    <row r="428">
      <c r="A428" s="2"/>
      <c r="B428" s="2"/>
      <c r="C428" s="2"/>
      <c r="D428" s="2"/>
      <c r="E428" s="2"/>
      <c r="F428" s="2"/>
      <c r="G428" s="2"/>
      <c r="H428" s="2"/>
      <c r="I428" s="2"/>
      <c r="J428" s="2"/>
      <c r="K428" s="2"/>
    </row>
    <row r="429">
      <c r="A429" s="2"/>
      <c r="B429" s="2"/>
      <c r="C429" s="2"/>
      <c r="D429" s="2"/>
      <c r="E429" s="2"/>
      <c r="F429" s="2"/>
      <c r="G429" s="2"/>
      <c r="H429" s="2"/>
      <c r="I429" s="2"/>
      <c r="J429" s="2"/>
      <c r="K429" s="2"/>
    </row>
    <row r="430">
      <c r="A430" s="2"/>
      <c r="B430" s="2"/>
      <c r="C430" s="2"/>
      <c r="D430" s="2"/>
      <c r="E430" s="2"/>
      <c r="F430" s="2"/>
      <c r="G430" s="2"/>
      <c r="H430" s="2"/>
      <c r="I430" s="2"/>
      <c r="J430" s="2"/>
      <c r="K430" s="2"/>
    </row>
    <row r="431">
      <c r="A431" s="2"/>
      <c r="B431" s="2"/>
      <c r="C431" s="2"/>
      <c r="D431" s="2"/>
      <c r="E431" s="2"/>
      <c r="F431" s="2"/>
      <c r="G431" s="2"/>
      <c r="H431" s="2"/>
      <c r="I431" s="2"/>
      <c r="J431" s="2"/>
      <c r="K431" s="2"/>
    </row>
    <row r="432">
      <c r="A432" s="2"/>
      <c r="B432" s="2"/>
      <c r="C432" s="2"/>
      <c r="D432" s="2"/>
      <c r="E432" s="2"/>
      <c r="F432" s="2"/>
      <c r="G432" s="2"/>
      <c r="H432" s="2"/>
      <c r="I432" s="2"/>
      <c r="J432" s="2"/>
      <c r="K432" s="2"/>
    </row>
    <row r="433">
      <c r="A433" s="2"/>
      <c r="B433" s="2"/>
      <c r="C433" s="2"/>
      <c r="D433" s="2"/>
      <c r="E433" s="2"/>
      <c r="F433" s="2"/>
      <c r="G433" s="2"/>
      <c r="H433" s="2"/>
      <c r="I433" s="2"/>
      <c r="J433" s="2"/>
      <c r="K433" s="2"/>
    </row>
    <row r="434">
      <c r="A434" s="2"/>
      <c r="B434" s="2"/>
      <c r="C434" s="2"/>
      <c r="D434" s="2"/>
      <c r="E434" s="2"/>
      <c r="F434" s="2"/>
      <c r="G434" s="2"/>
      <c r="H434" s="2"/>
      <c r="I434" s="2"/>
      <c r="J434" s="2"/>
      <c r="K434" s="2"/>
    </row>
    <row r="435">
      <c r="A435" s="2"/>
      <c r="B435" s="2"/>
      <c r="C435" s="2"/>
      <c r="D435" s="2"/>
      <c r="E435" s="2"/>
      <c r="F435" s="2"/>
      <c r="G435" s="2"/>
      <c r="H435" s="2"/>
      <c r="I435" s="2"/>
      <c r="J435" s="2"/>
      <c r="K435" s="2"/>
    </row>
    <row r="436">
      <c r="A436" s="2"/>
      <c r="B436" s="2"/>
      <c r="C436" s="2"/>
      <c r="D436" s="2"/>
      <c r="E436" s="2"/>
      <c r="F436" s="2"/>
      <c r="G436" s="2"/>
      <c r="H436" s="2"/>
      <c r="I436" s="2"/>
      <c r="J436" s="2"/>
      <c r="K436" s="2"/>
    </row>
    <row r="437">
      <c r="A437" s="2"/>
      <c r="B437" s="2"/>
      <c r="C437" s="2"/>
      <c r="D437" s="2"/>
      <c r="E437" s="2"/>
      <c r="F437" s="2"/>
      <c r="G437" s="2"/>
      <c r="H437" s="2"/>
      <c r="I437" s="2"/>
      <c r="J437" s="2"/>
      <c r="K437" s="2"/>
    </row>
    <row r="438">
      <c r="A438" s="2"/>
      <c r="B438" s="2"/>
      <c r="C438" s="2"/>
      <c r="D438" s="2"/>
      <c r="E438" s="2"/>
      <c r="F438" s="2"/>
      <c r="G438" s="2"/>
      <c r="H438" s="2"/>
      <c r="I438" s="2"/>
      <c r="J438" s="2"/>
      <c r="K438" s="2"/>
    </row>
    <row r="439">
      <c r="A439" s="2"/>
      <c r="B439" s="2"/>
      <c r="C439" s="2"/>
      <c r="D439" s="2"/>
      <c r="E439" s="2"/>
      <c r="F439" s="2"/>
      <c r="G439" s="2"/>
      <c r="H439" s="2"/>
      <c r="I439" s="2"/>
      <c r="J439" s="2"/>
      <c r="K439" s="2"/>
    </row>
    <row r="440">
      <c r="A440" s="2"/>
      <c r="B440" s="2"/>
      <c r="C440" s="2"/>
      <c r="D440" s="2"/>
      <c r="E440" s="2"/>
      <c r="F440" s="2"/>
      <c r="G440" s="2"/>
      <c r="H440" s="2"/>
      <c r="I440" s="2"/>
      <c r="J440" s="2"/>
      <c r="K440" s="2"/>
    </row>
    <row r="441">
      <c r="A441" s="2"/>
      <c r="B441" s="2"/>
      <c r="C441" s="2"/>
      <c r="D441" s="2"/>
      <c r="E441" s="2"/>
      <c r="F441" s="2"/>
      <c r="G441" s="2"/>
      <c r="H441" s="2"/>
      <c r="I441" s="2"/>
      <c r="J441" s="2"/>
      <c r="K441" s="2"/>
    </row>
    <row r="442">
      <c r="A442" s="2"/>
      <c r="B442" s="2"/>
      <c r="C442" s="2"/>
      <c r="D442" s="2"/>
      <c r="E442" s="2"/>
      <c r="F442" s="2"/>
      <c r="G442" s="2"/>
      <c r="H442" s="2"/>
      <c r="I442" s="2"/>
      <c r="J442" s="2"/>
      <c r="K442" s="2"/>
    </row>
    <row r="443">
      <c r="A443" s="2"/>
      <c r="B443" s="2"/>
      <c r="C443" s="2"/>
      <c r="D443" s="2"/>
      <c r="E443" s="2"/>
      <c r="F443" s="2"/>
      <c r="G443" s="2"/>
      <c r="H443" s="2"/>
      <c r="I443" s="2"/>
      <c r="J443" s="2"/>
      <c r="K443" s="2"/>
    </row>
    <row r="444">
      <c r="A444" s="2"/>
      <c r="B444" s="2"/>
      <c r="C444" s="2"/>
      <c r="D444" s="2"/>
      <c r="E444" s="2"/>
      <c r="F444" s="2"/>
      <c r="G444" s="2"/>
      <c r="H444" s="2"/>
      <c r="I444" s="2"/>
      <c r="J444" s="2"/>
      <c r="K444" s="2"/>
    </row>
    <row r="445">
      <c r="A445" s="2"/>
      <c r="B445" s="2"/>
      <c r="C445" s="2"/>
      <c r="D445" s="2"/>
      <c r="E445" s="2"/>
      <c r="F445" s="2"/>
      <c r="G445" s="2"/>
      <c r="H445" s="2"/>
      <c r="I445" s="2"/>
      <c r="J445" s="2"/>
      <c r="K445" s="2"/>
    </row>
    <row r="446">
      <c r="A446" s="2"/>
      <c r="B446" s="2"/>
      <c r="C446" s="2"/>
      <c r="D446" s="2"/>
      <c r="E446" s="2"/>
      <c r="F446" s="2"/>
      <c r="G446" s="2"/>
      <c r="H446" s="2"/>
      <c r="I446" s="2"/>
      <c r="J446" s="2"/>
      <c r="K446" s="2"/>
    </row>
    <row r="447">
      <c r="A447" s="2"/>
      <c r="B447" s="2"/>
      <c r="C447" s="2"/>
      <c r="D447" s="2"/>
      <c r="E447" s="2"/>
      <c r="F447" s="2"/>
      <c r="G447" s="2"/>
      <c r="H447" s="2"/>
      <c r="I447" s="2"/>
      <c r="J447" s="2"/>
      <c r="K447" s="2"/>
    </row>
    <row r="448">
      <c r="A448" s="2"/>
      <c r="B448" s="2"/>
      <c r="C448" s="2"/>
      <c r="D448" s="2"/>
      <c r="E448" s="2"/>
      <c r="F448" s="2"/>
      <c r="G448" s="2"/>
      <c r="H448" s="2"/>
      <c r="I448" s="2"/>
      <c r="J448" s="2"/>
      <c r="K448" s="2"/>
    </row>
    <row r="449">
      <c r="A449" s="2"/>
      <c r="B449" s="2"/>
      <c r="C449" s="2"/>
      <c r="D449" s="2"/>
      <c r="E449" s="2"/>
      <c r="F449" s="2"/>
      <c r="G449" s="2"/>
      <c r="H449" s="2"/>
      <c r="I449" s="2"/>
      <c r="J449" s="2"/>
      <c r="K449" s="2"/>
    </row>
    <row r="450">
      <c r="A450" s="2"/>
      <c r="B450" s="2"/>
      <c r="C450" s="2"/>
      <c r="D450" s="2"/>
      <c r="E450" s="2"/>
      <c r="F450" s="2"/>
      <c r="G450" s="2"/>
      <c r="H450" s="2"/>
      <c r="I450" s="2"/>
      <c r="J450" s="2"/>
      <c r="K450" s="2"/>
    </row>
    <row r="451">
      <c r="A451" s="2"/>
      <c r="B451" s="2"/>
      <c r="C451" s="2"/>
      <c r="D451" s="2"/>
      <c r="E451" s="2"/>
      <c r="F451" s="2"/>
      <c r="G451" s="2"/>
      <c r="H451" s="2"/>
      <c r="I451" s="2"/>
      <c r="J451" s="2"/>
      <c r="K451" s="2"/>
    </row>
    <row r="452">
      <c r="A452" s="2"/>
      <c r="B452" s="2"/>
      <c r="C452" s="2"/>
      <c r="D452" s="2"/>
      <c r="E452" s="2"/>
      <c r="F452" s="2"/>
      <c r="G452" s="2"/>
      <c r="H452" s="2"/>
      <c r="I452" s="2"/>
      <c r="J452" s="2"/>
      <c r="K452" s="2"/>
    </row>
    <row r="453">
      <c r="A453" s="2"/>
      <c r="B453" s="2"/>
      <c r="C453" s="2"/>
      <c r="D453" s="2"/>
      <c r="E453" s="2"/>
      <c r="F453" s="2"/>
      <c r="G453" s="2"/>
      <c r="H453" s="2"/>
      <c r="I453" s="2"/>
      <c r="J453" s="2"/>
      <c r="K453" s="2"/>
    </row>
    <row r="454">
      <c r="A454" s="2"/>
      <c r="B454" s="2"/>
      <c r="C454" s="2"/>
      <c r="D454" s="2"/>
      <c r="E454" s="2"/>
      <c r="F454" s="2"/>
      <c r="G454" s="2"/>
      <c r="H454" s="2"/>
      <c r="I454" s="2"/>
      <c r="J454" s="2"/>
      <c r="K454" s="2"/>
    </row>
    <row r="455">
      <c r="A455" s="2"/>
      <c r="B455" s="2"/>
      <c r="C455" s="2"/>
      <c r="D455" s="2"/>
      <c r="E455" s="2"/>
      <c r="F455" s="2"/>
      <c r="G455" s="2"/>
      <c r="H455" s="2"/>
      <c r="I455" s="2"/>
      <c r="J455" s="2"/>
      <c r="K455" s="2"/>
    </row>
    <row r="456">
      <c r="A456" s="2"/>
      <c r="B456" s="2"/>
      <c r="C456" s="2"/>
      <c r="D456" s="2"/>
      <c r="E456" s="2"/>
      <c r="F456" s="2"/>
      <c r="G456" s="2"/>
      <c r="H456" s="2"/>
      <c r="I456" s="2"/>
      <c r="J456" s="2"/>
      <c r="K456" s="2"/>
    </row>
    <row r="457">
      <c r="A457" s="2"/>
      <c r="B457" s="2"/>
      <c r="C457" s="2"/>
      <c r="D457" s="2"/>
      <c r="E457" s="2"/>
      <c r="F457" s="2"/>
      <c r="G457" s="2"/>
      <c r="H457" s="2"/>
      <c r="I457" s="2"/>
      <c r="J457" s="2"/>
      <c r="K457" s="2"/>
    </row>
    <row r="458">
      <c r="A458" s="2"/>
      <c r="B458" s="2"/>
      <c r="C458" s="2"/>
      <c r="D458" s="2"/>
      <c r="E458" s="2"/>
      <c r="F458" s="2"/>
      <c r="G458" s="2"/>
      <c r="H458" s="2"/>
      <c r="I458" s="2"/>
      <c r="J458" s="2"/>
      <c r="K458" s="2"/>
    </row>
    <row r="459">
      <c r="A459" s="2"/>
      <c r="B459" s="2"/>
      <c r="C459" s="2"/>
      <c r="D459" s="2"/>
      <c r="E459" s="2"/>
      <c r="F459" s="2"/>
      <c r="G459" s="2"/>
      <c r="H459" s="2"/>
      <c r="I459" s="2"/>
      <c r="J459" s="2"/>
      <c r="K459" s="2"/>
    </row>
    <row r="460">
      <c r="A460" s="2"/>
      <c r="B460" s="2"/>
      <c r="C460" s="2"/>
      <c r="D460" s="2"/>
      <c r="E460" s="2"/>
      <c r="F460" s="2"/>
      <c r="G460" s="2"/>
      <c r="H460" s="2"/>
      <c r="I460" s="2"/>
      <c r="J460" s="2"/>
      <c r="K460" s="2"/>
    </row>
    <row r="461">
      <c r="A461" s="2"/>
      <c r="B461" s="2"/>
      <c r="C461" s="2"/>
      <c r="D461" s="2"/>
      <c r="E461" s="2"/>
      <c r="F461" s="2"/>
      <c r="G461" s="2"/>
      <c r="H461" s="2"/>
      <c r="I461" s="2"/>
      <c r="J461" s="2"/>
      <c r="K461" s="2"/>
    </row>
    <row r="462">
      <c r="A462" s="2"/>
      <c r="B462" s="2"/>
      <c r="C462" s="2"/>
      <c r="D462" s="2"/>
      <c r="E462" s="2"/>
      <c r="F462" s="2"/>
      <c r="G462" s="2"/>
      <c r="H462" s="2"/>
      <c r="I462" s="2"/>
      <c r="J462" s="2"/>
      <c r="K462" s="2"/>
    </row>
    <row r="463">
      <c r="A463" s="2"/>
      <c r="B463" s="2"/>
      <c r="C463" s="2"/>
      <c r="D463" s="2"/>
      <c r="E463" s="2"/>
      <c r="F463" s="2"/>
      <c r="G463" s="2"/>
      <c r="H463" s="2"/>
      <c r="I463" s="2"/>
      <c r="J463" s="2"/>
      <c r="K463" s="2"/>
    </row>
    <row r="464">
      <c r="A464" s="2"/>
      <c r="B464" s="2"/>
      <c r="C464" s="2"/>
      <c r="D464" s="2"/>
      <c r="E464" s="2"/>
      <c r="F464" s="2"/>
      <c r="G464" s="2"/>
      <c r="H464" s="2"/>
      <c r="I464" s="2"/>
      <c r="J464" s="2"/>
      <c r="K464" s="2"/>
    </row>
    <row r="465">
      <c r="A465" s="2"/>
      <c r="B465" s="2"/>
      <c r="C465" s="2"/>
      <c r="D465" s="2"/>
      <c r="E465" s="2"/>
      <c r="F465" s="2"/>
      <c r="G465" s="2"/>
      <c r="H465" s="2"/>
      <c r="I465" s="2"/>
      <c r="J465" s="2"/>
      <c r="K465" s="2"/>
    </row>
    <row r="466">
      <c r="A466" s="2"/>
      <c r="B466" s="2"/>
      <c r="C466" s="2"/>
      <c r="D466" s="2"/>
      <c r="E466" s="2"/>
      <c r="F466" s="2"/>
      <c r="G466" s="2"/>
      <c r="H466" s="2"/>
      <c r="I466" s="2"/>
      <c r="J466" s="2"/>
      <c r="K466" s="2"/>
    </row>
    <row r="467">
      <c r="A467" s="2"/>
      <c r="B467" s="2"/>
      <c r="C467" s="2"/>
      <c r="D467" s="2"/>
      <c r="E467" s="2"/>
      <c r="F467" s="2"/>
      <c r="G467" s="2"/>
      <c r="H467" s="2"/>
      <c r="I467" s="2"/>
      <c r="J467" s="2"/>
      <c r="K467" s="2"/>
    </row>
    <row r="468">
      <c r="A468" s="2"/>
      <c r="B468" s="2"/>
      <c r="C468" s="2"/>
      <c r="D468" s="2"/>
      <c r="E468" s="2"/>
      <c r="F468" s="2"/>
      <c r="G468" s="2"/>
      <c r="H468" s="2"/>
      <c r="I468" s="2"/>
      <c r="J468" s="2"/>
      <c r="K468" s="2"/>
    </row>
    <row r="469">
      <c r="A469" s="2"/>
      <c r="B469" s="2"/>
      <c r="C469" s="2"/>
      <c r="D469" s="2"/>
      <c r="E469" s="2"/>
      <c r="F469" s="2"/>
      <c r="G469" s="2"/>
      <c r="H469" s="2"/>
      <c r="I469" s="2"/>
      <c r="J469" s="2"/>
      <c r="K469" s="2"/>
    </row>
    <row r="470">
      <c r="A470" s="2"/>
      <c r="B470" s="2"/>
      <c r="C470" s="2"/>
      <c r="D470" s="2"/>
      <c r="E470" s="2"/>
      <c r="F470" s="2"/>
      <c r="G470" s="2"/>
      <c r="H470" s="2"/>
      <c r="I470" s="2"/>
      <c r="J470" s="2"/>
      <c r="K470" s="2"/>
    </row>
    <row r="471">
      <c r="A471" s="2"/>
      <c r="B471" s="2"/>
      <c r="C471" s="2"/>
      <c r="D471" s="2"/>
      <c r="E471" s="2"/>
      <c r="F471" s="2"/>
      <c r="G471" s="2"/>
      <c r="H471" s="2"/>
      <c r="I471" s="2"/>
      <c r="J471" s="2"/>
      <c r="K471" s="2"/>
    </row>
    <row r="472">
      <c r="A472" s="2"/>
      <c r="B472" s="2"/>
      <c r="C472" s="2"/>
      <c r="D472" s="2"/>
      <c r="E472" s="2"/>
      <c r="F472" s="2"/>
      <c r="G472" s="2"/>
      <c r="H472" s="2"/>
      <c r="I472" s="2"/>
      <c r="J472" s="2"/>
      <c r="K472" s="2"/>
    </row>
    <row r="473">
      <c r="A473" s="2"/>
      <c r="B473" s="2"/>
      <c r="C473" s="2"/>
      <c r="D473" s="2"/>
      <c r="E473" s="2"/>
      <c r="F473" s="2"/>
      <c r="G473" s="2"/>
      <c r="H473" s="2"/>
      <c r="I473" s="2"/>
      <c r="J473" s="2"/>
      <c r="K473" s="2"/>
    </row>
    <row r="474">
      <c r="A474" s="2"/>
      <c r="B474" s="2"/>
      <c r="C474" s="2"/>
      <c r="D474" s="2"/>
      <c r="E474" s="2"/>
      <c r="F474" s="2"/>
      <c r="G474" s="2"/>
      <c r="H474" s="2"/>
      <c r="I474" s="2"/>
      <c r="J474" s="2"/>
      <c r="K474" s="2"/>
    </row>
    <row r="475">
      <c r="A475" s="2"/>
      <c r="B475" s="2"/>
      <c r="C475" s="2"/>
      <c r="D475" s="2"/>
      <c r="E475" s="2"/>
      <c r="F475" s="2"/>
      <c r="G475" s="2"/>
      <c r="H475" s="2"/>
      <c r="I475" s="2"/>
      <c r="J475" s="2"/>
      <c r="K475" s="2"/>
    </row>
    <row r="476">
      <c r="A476" s="2"/>
      <c r="B476" s="2"/>
      <c r="C476" s="2"/>
      <c r="D476" s="2"/>
      <c r="E476" s="2"/>
      <c r="F476" s="2"/>
      <c r="G476" s="2"/>
      <c r="H476" s="2"/>
      <c r="I476" s="2"/>
      <c r="J476" s="2"/>
      <c r="K476" s="2"/>
    </row>
    <row r="477">
      <c r="A477" s="2"/>
      <c r="B477" s="2"/>
      <c r="C477" s="2"/>
      <c r="D477" s="2"/>
      <c r="E477" s="2"/>
      <c r="F477" s="2"/>
      <c r="G477" s="2"/>
      <c r="H477" s="2"/>
      <c r="I477" s="2"/>
      <c r="J477" s="2"/>
      <c r="K477" s="2"/>
    </row>
    <row r="478">
      <c r="A478" s="2"/>
      <c r="B478" s="2"/>
      <c r="C478" s="2"/>
      <c r="D478" s="2"/>
      <c r="E478" s="2"/>
      <c r="F478" s="2"/>
      <c r="G478" s="2"/>
      <c r="H478" s="2"/>
      <c r="I478" s="2"/>
      <c r="J478" s="2"/>
      <c r="K478" s="2"/>
    </row>
    <row r="479">
      <c r="A479" s="2"/>
      <c r="B479" s="2"/>
      <c r="C479" s="2"/>
      <c r="D479" s="2"/>
      <c r="E479" s="2"/>
      <c r="F479" s="2"/>
      <c r="G479" s="2"/>
      <c r="H479" s="2"/>
      <c r="I479" s="2"/>
      <c r="J479" s="2"/>
      <c r="K479" s="2"/>
    </row>
    <row r="480">
      <c r="A480" s="2"/>
      <c r="B480" s="2"/>
      <c r="C480" s="2"/>
      <c r="D480" s="2"/>
      <c r="E480" s="2"/>
      <c r="F480" s="2"/>
      <c r="G480" s="2"/>
      <c r="H480" s="2"/>
      <c r="I480" s="2"/>
      <c r="J480" s="2"/>
      <c r="K480" s="2"/>
    </row>
    <row r="481">
      <c r="A481" s="2"/>
      <c r="B481" s="2"/>
      <c r="C481" s="2"/>
      <c r="D481" s="2"/>
      <c r="E481" s="2"/>
      <c r="F481" s="2"/>
      <c r="G481" s="2"/>
      <c r="H481" s="2"/>
      <c r="I481" s="2"/>
      <c r="J481" s="2"/>
      <c r="K481" s="2"/>
    </row>
    <row r="482">
      <c r="A482" s="2"/>
      <c r="B482" s="2"/>
      <c r="C482" s="2"/>
      <c r="D482" s="2"/>
      <c r="E482" s="2"/>
      <c r="F482" s="2"/>
      <c r="G482" s="2"/>
      <c r="H482" s="2"/>
      <c r="I482" s="2"/>
      <c r="J482" s="2"/>
      <c r="K482" s="2"/>
    </row>
    <row r="483">
      <c r="A483" s="2"/>
      <c r="B483" s="2"/>
      <c r="C483" s="2"/>
      <c r="D483" s="2"/>
      <c r="E483" s="2"/>
      <c r="F483" s="2"/>
      <c r="G483" s="2"/>
      <c r="H483" s="2"/>
      <c r="I483" s="2"/>
      <c r="J483" s="2"/>
      <c r="K483" s="2"/>
    </row>
    <row r="484">
      <c r="A484" s="2"/>
      <c r="B484" s="2"/>
      <c r="C484" s="2"/>
      <c r="D484" s="2"/>
      <c r="E484" s="2"/>
      <c r="F484" s="2"/>
      <c r="G484" s="2"/>
      <c r="H484" s="2"/>
      <c r="I484" s="2"/>
      <c r="J484" s="2"/>
      <c r="K484" s="2"/>
    </row>
    <row r="485">
      <c r="A485" s="2"/>
      <c r="B485" s="2"/>
      <c r="C485" s="2"/>
      <c r="D485" s="2"/>
      <c r="E485" s="2"/>
      <c r="F485" s="2"/>
      <c r="G485" s="2"/>
      <c r="H485" s="2"/>
      <c r="I485" s="2"/>
      <c r="J485" s="2"/>
      <c r="K485" s="2"/>
    </row>
    <row r="486">
      <c r="A486" s="2"/>
      <c r="B486" s="2"/>
      <c r="C486" s="2"/>
      <c r="D486" s="2"/>
      <c r="E486" s="2"/>
      <c r="F486" s="2"/>
      <c r="G486" s="2"/>
      <c r="H486" s="2"/>
      <c r="I486" s="2"/>
      <c r="J486" s="2"/>
      <c r="K486" s="2"/>
    </row>
    <row r="487">
      <c r="A487" s="2"/>
      <c r="B487" s="2"/>
      <c r="C487" s="2"/>
      <c r="D487" s="2"/>
      <c r="E487" s="2"/>
      <c r="F487" s="2"/>
      <c r="G487" s="2"/>
      <c r="H487" s="2"/>
      <c r="I487" s="2"/>
      <c r="J487" s="2"/>
      <c r="K487" s="2"/>
    </row>
    <row r="488">
      <c r="A488" s="2"/>
      <c r="B488" s="2"/>
      <c r="C488" s="2"/>
      <c r="D488" s="2"/>
      <c r="E488" s="2"/>
      <c r="F488" s="2"/>
      <c r="G488" s="2"/>
      <c r="H488" s="2"/>
      <c r="I488" s="2"/>
      <c r="J488" s="2"/>
      <c r="K488" s="2"/>
    </row>
    <row r="489">
      <c r="A489" s="2"/>
      <c r="B489" s="2"/>
      <c r="C489" s="2"/>
      <c r="D489" s="2"/>
      <c r="E489" s="2"/>
      <c r="F489" s="2"/>
      <c r="G489" s="2"/>
      <c r="H489" s="2"/>
      <c r="I489" s="2"/>
      <c r="J489" s="2"/>
      <c r="K489" s="2"/>
    </row>
    <row r="490">
      <c r="A490" s="2"/>
      <c r="B490" s="2"/>
      <c r="C490" s="2"/>
      <c r="D490" s="2"/>
      <c r="E490" s="2"/>
      <c r="F490" s="2"/>
      <c r="G490" s="2"/>
      <c r="H490" s="2"/>
      <c r="I490" s="2"/>
      <c r="J490" s="2"/>
      <c r="K490" s="2"/>
    </row>
    <row r="491">
      <c r="A491" s="2"/>
      <c r="B491" s="2"/>
      <c r="C491" s="2"/>
      <c r="D491" s="2"/>
      <c r="E491" s="2"/>
      <c r="F491" s="2"/>
      <c r="G491" s="2"/>
      <c r="H491" s="2"/>
      <c r="I491" s="2"/>
      <c r="J491" s="2"/>
      <c r="K491" s="2"/>
    </row>
    <row r="492">
      <c r="A492" s="2"/>
      <c r="B492" s="2"/>
      <c r="C492" s="2"/>
      <c r="D492" s="2"/>
      <c r="E492" s="2"/>
      <c r="F492" s="2"/>
      <c r="G492" s="2"/>
      <c r="H492" s="2"/>
      <c r="I492" s="2"/>
      <c r="J492" s="2"/>
      <c r="K492" s="2"/>
    </row>
    <row r="493">
      <c r="A493" s="2"/>
      <c r="B493" s="2"/>
      <c r="C493" s="2"/>
      <c r="D493" s="2"/>
      <c r="E493" s="2"/>
      <c r="F493" s="2"/>
      <c r="G493" s="2"/>
      <c r="H493" s="2"/>
      <c r="I493" s="2"/>
      <c r="J493" s="2"/>
      <c r="K493" s="2"/>
    </row>
    <row r="494">
      <c r="A494" s="2"/>
      <c r="B494" s="2"/>
      <c r="C494" s="2"/>
      <c r="D494" s="2"/>
      <c r="E494" s="2"/>
      <c r="F494" s="2"/>
      <c r="G494" s="2"/>
      <c r="H494" s="2"/>
      <c r="I494" s="2"/>
      <c r="J494" s="2"/>
      <c r="K494" s="2"/>
    </row>
    <row r="495">
      <c r="A495" s="2"/>
      <c r="B495" s="2"/>
      <c r="C495" s="2"/>
      <c r="D495" s="2"/>
      <c r="E495" s="2"/>
      <c r="F495" s="2"/>
      <c r="G495" s="2"/>
      <c r="H495" s="2"/>
      <c r="I495" s="2"/>
      <c r="J495" s="2"/>
      <c r="K495" s="2"/>
    </row>
    <row r="496">
      <c r="A496" s="2"/>
      <c r="B496" s="2"/>
      <c r="C496" s="2"/>
      <c r="D496" s="2"/>
      <c r="E496" s="2"/>
      <c r="F496" s="2"/>
      <c r="G496" s="2"/>
      <c r="H496" s="2"/>
      <c r="I496" s="2"/>
      <c r="J496" s="2"/>
      <c r="K496" s="2"/>
    </row>
    <row r="497">
      <c r="A497" s="2"/>
      <c r="B497" s="2"/>
      <c r="C497" s="2"/>
      <c r="D497" s="2"/>
      <c r="E497" s="2"/>
      <c r="F497" s="2"/>
      <c r="G497" s="2"/>
      <c r="H497" s="2"/>
      <c r="I497" s="2"/>
      <c r="J497" s="2"/>
      <c r="K497" s="2"/>
    </row>
    <row r="498">
      <c r="A498" s="2"/>
      <c r="B498" s="2"/>
      <c r="C498" s="2"/>
      <c r="D498" s="2"/>
      <c r="E498" s="2"/>
      <c r="F498" s="2"/>
      <c r="G498" s="2"/>
      <c r="H498" s="2"/>
      <c r="I498" s="2"/>
      <c r="J498" s="2"/>
      <c r="K498" s="2"/>
    </row>
    <row r="499">
      <c r="A499" s="2"/>
      <c r="B499" s="2"/>
      <c r="C499" s="2"/>
      <c r="D499" s="2"/>
      <c r="E499" s="2"/>
      <c r="F499" s="2"/>
      <c r="G499" s="2"/>
      <c r="H499" s="2"/>
      <c r="I499" s="2"/>
      <c r="J499" s="2"/>
      <c r="K499" s="2"/>
    </row>
    <row r="500">
      <c r="A500" s="2"/>
      <c r="B500" s="2"/>
      <c r="C500" s="2"/>
      <c r="D500" s="2"/>
      <c r="E500" s="2"/>
      <c r="F500" s="2"/>
      <c r="G500" s="2"/>
      <c r="H500" s="2"/>
      <c r="I500" s="2"/>
      <c r="J500" s="2"/>
      <c r="K500" s="2"/>
    </row>
    <row r="501">
      <c r="A501" s="2"/>
      <c r="B501" s="2"/>
      <c r="C501" s="2"/>
      <c r="D501" s="2"/>
      <c r="E501" s="2"/>
      <c r="F501" s="2"/>
      <c r="G501" s="2"/>
      <c r="H501" s="2"/>
      <c r="I501" s="2"/>
      <c r="J501" s="2"/>
      <c r="K501" s="2"/>
    </row>
    <row r="502">
      <c r="A502" s="2"/>
      <c r="B502" s="2"/>
      <c r="C502" s="2"/>
      <c r="D502" s="2"/>
      <c r="E502" s="2"/>
      <c r="F502" s="2"/>
      <c r="G502" s="2"/>
      <c r="H502" s="2"/>
      <c r="I502" s="2"/>
      <c r="J502" s="2"/>
      <c r="K502" s="2"/>
    </row>
    <row r="503">
      <c r="A503" s="2"/>
      <c r="B503" s="2"/>
      <c r="C503" s="2"/>
      <c r="D503" s="2"/>
      <c r="E503" s="2"/>
      <c r="F503" s="2"/>
      <c r="G503" s="2"/>
      <c r="H503" s="2"/>
      <c r="I503" s="2"/>
      <c r="J503" s="2"/>
      <c r="K503" s="2"/>
    </row>
    <row r="504">
      <c r="A504" s="2"/>
      <c r="B504" s="2"/>
      <c r="C504" s="2"/>
      <c r="D504" s="2"/>
      <c r="E504" s="2"/>
      <c r="F504" s="2"/>
      <c r="G504" s="2"/>
      <c r="H504" s="2"/>
      <c r="I504" s="2"/>
      <c r="J504" s="2"/>
      <c r="K504" s="2"/>
    </row>
    <row r="505">
      <c r="A505" s="2"/>
      <c r="B505" s="2"/>
      <c r="C505" s="2"/>
      <c r="D505" s="2"/>
      <c r="E505" s="2"/>
      <c r="F505" s="2"/>
      <c r="G505" s="2"/>
      <c r="H505" s="2"/>
      <c r="I505" s="2"/>
      <c r="J505" s="2"/>
      <c r="K505" s="2"/>
    </row>
    <row r="506">
      <c r="A506" s="2"/>
      <c r="B506" s="2"/>
      <c r="C506" s="2"/>
      <c r="D506" s="2"/>
      <c r="E506" s="2"/>
      <c r="F506" s="2"/>
      <c r="G506" s="2"/>
      <c r="H506" s="2"/>
      <c r="I506" s="2"/>
      <c r="J506" s="2"/>
      <c r="K506" s="2"/>
    </row>
    <row r="507">
      <c r="A507" s="2"/>
      <c r="B507" s="2"/>
      <c r="C507" s="2"/>
      <c r="D507" s="2"/>
      <c r="E507" s="2"/>
      <c r="F507" s="2"/>
      <c r="G507" s="2"/>
      <c r="H507" s="2"/>
      <c r="I507" s="2"/>
      <c r="J507" s="2"/>
      <c r="K507" s="2"/>
    </row>
    <row r="508">
      <c r="A508" s="2"/>
      <c r="B508" s="2"/>
      <c r="C508" s="2"/>
      <c r="D508" s="2"/>
      <c r="E508" s="2"/>
      <c r="F508" s="2"/>
      <c r="G508" s="2"/>
      <c r="H508" s="2"/>
      <c r="I508" s="2"/>
      <c r="J508" s="2"/>
      <c r="K508" s="2"/>
    </row>
    <row r="509">
      <c r="A509" s="2"/>
      <c r="B509" s="2"/>
      <c r="C509" s="2"/>
      <c r="D509" s="2"/>
      <c r="E509" s="2"/>
      <c r="F509" s="2"/>
      <c r="G509" s="2"/>
      <c r="H509" s="2"/>
      <c r="I509" s="2"/>
      <c r="J509" s="2"/>
      <c r="K509" s="2"/>
    </row>
    <row r="510">
      <c r="A510" s="2"/>
      <c r="B510" s="2"/>
      <c r="C510" s="2"/>
      <c r="D510" s="2"/>
      <c r="E510" s="2"/>
      <c r="F510" s="2"/>
      <c r="G510" s="2"/>
      <c r="H510" s="2"/>
      <c r="I510" s="2"/>
      <c r="J510" s="2"/>
      <c r="K510" s="2"/>
    </row>
    <row r="511">
      <c r="A511" s="2"/>
      <c r="B511" s="2"/>
      <c r="C511" s="2"/>
      <c r="D511" s="2"/>
      <c r="E511" s="2"/>
      <c r="F511" s="2"/>
      <c r="G511" s="2"/>
      <c r="H511" s="2"/>
      <c r="I511" s="2"/>
      <c r="J511" s="2"/>
      <c r="K511" s="2"/>
    </row>
    <row r="512">
      <c r="A512" s="2"/>
      <c r="B512" s="2"/>
      <c r="C512" s="2"/>
      <c r="D512" s="2"/>
      <c r="E512" s="2"/>
      <c r="F512" s="2"/>
      <c r="G512" s="2"/>
      <c r="H512" s="2"/>
      <c r="I512" s="2"/>
      <c r="J512" s="2"/>
      <c r="K512" s="2"/>
    </row>
    <row r="513">
      <c r="A513" s="2"/>
      <c r="B513" s="2"/>
      <c r="C513" s="2"/>
      <c r="D513" s="2"/>
      <c r="E513" s="2"/>
      <c r="F513" s="2"/>
      <c r="G513" s="2"/>
      <c r="H513" s="2"/>
      <c r="I513" s="2"/>
      <c r="J513" s="2"/>
      <c r="K513" s="2"/>
    </row>
    <row r="514">
      <c r="A514" s="2"/>
      <c r="B514" s="2"/>
      <c r="C514" s="2"/>
      <c r="D514" s="2"/>
      <c r="E514" s="2"/>
      <c r="F514" s="2"/>
      <c r="G514" s="2"/>
      <c r="H514" s="2"/>
      <c r="I514" s="2"/>
      <c r="J514" s="2"/>
      <c r="K514" s="2"/>
    </row>
    <row r="515">
      <c r="A515" s="2"/>
      <c r="B515" s="2"/>
      <c r="C515" s="2"/>
      <c r="D515" s="2"/>
      <c r="E515" s="2"/>
      <c r="F515" s="2"/>
      <c r="G515" s="2"/>
      <c r="H515" s="2"/>
      <c r="I515" s="2"/>
      <c r="J515" s="2"/>
      <c r="K515" s="2"/>
    </row>
    <row r="516">
      <c r="A516" s="2"/>
      <c r="B516" s="2"/>
      <c r="C516" s="2"/>
      <c r="D516" s="2"/>
      <c r="E516" s="2"/>
      <c r="F516" s="2"/>
      <c r="G516" s="2"/>
      <c r="H516" s="2"/>
      <c r="I516" s="2"/>
      <c r="J516" s="2"/>
      <c r="K516" s="2"/>
    </row>
    <row r="517">
      <c r="A517" s="2"/>
      <c r="B517" s="2"/>
      <c r="C517" s="2"/>
      <c r="D517" s="2"/>
      <c r="E517" s="2"/>
      <c r="F517" s="2"/>
      <c r="G517" s="2"/>
      <c r="H517" s="2"/>
      <c r="I517" s="2"/>
      <c r="J517" s="2"/>
      <c r="K517" s="2"/>
    </row>
    <row r="518">
      <c r="A518" s="2"/>
      <c r="B518" s="2"/>
      <c r="C518" s="2"/>
      <c r="D518" s="2"/>
      <c r="E518" s="2"/>
      <c r="F518" s="2"/>
      <c r="G518" s="2"/>
      <c r="H518" s="2"/>
      <c r="I518" s="2"/>
      <c r="J518" s="2"/>
      <c r="K518" s="2"/>
    </row>
    <row r="519">
      <c r="A519" s="2"/>
      <c r="B519" s="2"/>
      <c r="C519" s="2"/>
      <c r="D519" s="2"/>
      <c r="E519" s="2"/>
      <c r="F519" s="2"/>
      <c r="G519" s="2"/>
      <c r="H519" s="2"/>
      <c r="I519" s="2"/>
      <c r="J519" s="2"/>
      <c r="K519" s="2"/>
    </row>
    <row r="520">
      <c r="A520" s="2"/>
      <c r="B520" s="2"/>
      <c r="C520" s="2"/>
      <c r="D520" s="2"/>
      <c r="E520" s="2"/>
      <c r="F520" s="2"/>
      <c r="G520" s="2"/>
      <c r="H520" s="2"/>
      <c r="I520" s="2"/>
      <c r="J520" s="2"/>
      <c r="K520" s="2"/>
    </row>
    <row r="521">
      <c r="A521" s="2"/>
      <c r="B521" s="2"/>
      <c r="C521" s="2"/>
      <c r="D521" s="2"/>
      <c r="E521" s="2"/>
      <c r="F521" s="2"/>
      <c r="G521" s="2"/>
      <c r="H521" s="2"/>
      <c r="I521" s="2"/>
      <c r="J521" s="2"/>
      <c r="K521" s="2"/>
    </row>
    <row r="522">
      <c r="A522" s="2"/>
      <c r="B522" s="2"/>
      <c r="C522" s="2"/>
      <c r="D522" s="2"/>
      <c r="E522" s="2"/>
      <c r="F522" s="2"/>
      <c r="G522" s="2"/>
      <c r="H522" s="2"/>
      <c r="I522" s="2"/>
      <c r="J522" s="2"/>
      <c r="K522" s="2"/>
    </row>
    <row r="523">
      <c r="A523" s="2"/>
      <c r="B523" s="2"/>
      <c r="C523" s="2"/>
      <c r="D523" s="2"/>
      <c r="E523" s="2"/>
      <c r="F523" s="2"/>
      <c r="G523" s="2"/>
      <c r="H523" s="2"/>
      <c r="I523" s="2"/>
      <c r="J523" s="2"/>
      <c r="K523" s="2"/>
    </row>
    <row r="524">
      <c r="A524" s="2"/>
      <c r="B524" s="2"/>
      <c r="C524" s="2"/>
      <c r="D524" s="2"/>
      <c r="E524" s="2"/>
      <c r="F524" s="2"/>
      <c r="G524" s="2"/>
      <c r="H524" s="2"/>
      <c r="I524" s="2"/>
      <c r="J524" s="2"/>
      <c r="K524" s="2"/>
    </row>
    <row r="525">
      <c r="A525" s="2"/>
      <c r="B525" s="2"/>
      <c r="C525" s="2"/>
      <c r="D525" s="2"/>
      <c r="E525" s="2"/>
      <c r="F525" s="2"/>
      <c r="G525" s="2"/>
      <c r="H525" s="2"/>
      <c r="I525" s="2"/>
      <c r="J525" s="2"/>
      <c r="K525" s="2"/>
    </row>
    <row r="526">
      <c r="A526" s="2"/>
      <c r="B526" s="2"/>
      <c r="C526" s="2"/>
      <c r="D526" s="2"/>
      <c r="E526" s="2"/>
      <c r="F526" s="2"/>
      <c r="G526" s="2"/>
      <c r="H526" s="2"/>
      <c r="I526" s="2"/>
      <c r="J526" s="2"/>
      <c r="K526" s="2"/>
    </row>
    <row r="527">
      <c r="A527" s="2"/>
      <c r="B527" s="2"/>
      <c r="C527" s="2"/>
      <c r="D527" s="2"/>
      <c r="E527" s="2"/>
      <c r="F527" s="2"/>
      <c r="G527" s="2"/>
      <c r="H527" s="2"/>
      <c r="I527" s="2"/>
      <c r="J527" s="2"/>
      <c r="K527" s="2"/>
    </row>
    <row r="528">
      <c r="A528" s="2"/>
      <c r="B528" s="2"/>
      <c r="C528" s="2"/>
      <c r="D528" s="2"/>
      <c r="E528" s="2"/>
      <c r="F528" s="2"/>
      <c r="G528" s="2"/>
      <c r="H528" s="2"/>
      <c r="I528" s="2"/>
      <c r="J528" s="2"/>
      <c r="K528" s="2"/>
    </row>
    <row r="529">
      <c r="A529" s="2"/>
      <c r="B529" s="2"/>
      <c r="C529" s="2"/>
      <c r="D529" s="2"/>
      <c r="E529" s="2"/>
      <c r="F529" s="2"/>
      <c r="G529" s="2"/>
      <c r="H529" s="2"/>
      <c r="I529" s="2"/>
      <c r="J529" s="2"/>
      <c r="K529" s="2"/>
    </row>
    <row r="530">
      <c r="A530" s="2"/>
      <c r="B530" s="2"/>
      <c r="C530" s="2"/>
      <c r="D530" s="2"/>
      <c r="E530" s="2"/>
      <c r="F530" s="2"/>
      <c r="G530" s="2"/>
      <c r="H530" s="2"/>
      <c r="I530" s="2"/>
      <c r="J530" s="2"/>
      <c r="K530" s="2"/>
    </row>
    <row r="531">
      <c r="A531" s="2"/>
      <c r="B531" s="2"/>
      <c r="C531" s="2"/>
      <c r="D531" s="2"/>
      <c r="E531" s="2"/>
      <c r="F531" s="2"/>
      <c r="G531" s="2"/>
      <c r="H531" s="2"/>
      <c r="I531" s="2"/>
      <c r="J531" s="2"/>
      <c r="K531" s="2"/>
    </row>
    <row r="532">
      <c r="A532" s="2"/>
      <c r="B532" s="2"/>
      <c r="C532" s="2"/>
      <c r="D532" s="2"/>
      <c r="E532" s="2"/>
      <c r="F532" s="2"/>
      <c r="G532" s="2"/>
      <c r="H532" s="2"/>
      <c r="I532" s="2"/>
      <c r="J532" s="2"/>
      <c r="K532" s="2"/>
    </row>
    <row r="533">
      <c r="A533" s="2"/>
      <c r="B533" s="2"/>
      <c r="C533" s="2"/>
      <c r="D533" s="2"/>
      <c r="E533" s="2"/>
      <c r="F533" s="2"/>
      <c r="G533" s="2"/>
      <c r="H533" s="2"/>
      <c r="I533" s="2"/>
      <c r="J533" s="2"/>
      <c r="K533" s="2"/>
    </row>
    <row r="534">
      <c r="A534" s="2"/>
      <c r="B534" s="2"/>
      <c r="C534" s="2"/>
      <c r="D534" s="2"/>
      <c r="E534" s="2"/>
      <c r="F534" s="2"/>
      <c r="G534" s="2"/>
      <c r="H534" s="2"/>
      <c r="I534" s="2"/>
      <c r="J534" s="2"/>
      <c r="K534" s="2"/>
    </row>
    <row r="535">
      <c r="A535" s="2"/>
      <c r="B535" s="2"/>
      <c r="C535" s="2"/>
      <c r="D535" s="2"/>
      <c r="E535" s="2"/>
      <c r="F535" s="2"/>
      <c r="G535" s="2"/>
      <c r="H535" s="2"/>
      <c r="I535" s="2"/>
      <c r="J535" s="2"/>
      <c r="K535" s="2"/>
    </row>
    <row r="536">
      <c r="A536" s="2"/>
      <c r="B536" s="2"/>
      <c r="C536" s="2"/>
      <c r="D536" s="2"/>
      <c r="E536" s="2"/>
      <c r="F536" s="2"/>
      <c r="G536" s="2"/>
      <c r="H536" s="2"/>
      <c r="I536" s="2"/>
      <c r="J536" s="2"/>
      <c r="K536" s="2"/>
    </row>
    <row r="537">
      <c r="A537" s="2"/>
      <c r="B537" s="2"/>
      <c r="C537" s="2"/>
      <c r="D537" s="2"/>
      <c r="E537" s="2"/>
      <c r="F537" s="2"/>
      <c r="G537" s="2"/>
      <c r="H537" s="2"/>
      <c r="I537" s="2"/>
      <c r="J537" s="2"/>
      <c r="K537" s="2"/>
    </row>
    <row r="538">
      <c r="A538" s="2"/>
      <c r="B538" s="2"/>
      <c r="C538" s="2"/>
      <c r="D538" s="2"/>
      <c r="E538" s="2"/>
      <c r="F538" s="2"/>
      <c r="G538" s="2"/>
      <c r="H538" s="2"/>
      <c r="I538" s="2"/>
      <c r="J538" s="2"/>
      <c r="K538" s="2"/>
    </row>
    <row r="539">
      <c r="A539" s="2"/>
      <c r="B539" s="2"/>
      <c r="C539" s="2"/>
      <c r="D539" s="2"/>
      <c r="E539" s="2"/>
      <c r="F539" s="2"/>
      <c r="G539" s="2"/>
      <c r="H539" s="2"/>
      <c r="I539" s="2"/>
      <c r="J539" s="2"/>
      <c r="K539" s="2"/>
    </row>
    <row r="540">
      <c r="A540" s="2"/>
      <c r="B540" s="2"/>
      <c r="C540" s="2"/>
      <c r="D540" s="2"/>
      <c r="E540" s="2"/>
      <c r="F540" s="2"/>
      <c r="G540" s="2"/>
      <c r="H540" s="2"/>
      <c r="I540" s="2"/>
      <c r="J540" s="2"/>
      <c r="K540" s="2"/>
    </row>
    <row r="541">
      <c r="A541" s="2"/>
      <c r="B541" s="2"/>
      <c r="C541" s="2"/>
      <c r="D541" s="2"/>
      <c r="E541" s="2"/>
      <c r="F541" s="2"/>
      <c r="G541" s="2"/>
      <c r="H541" s="2"/>
      <c r="I541" s="2"/>
      <c r="J541" s="2"/>
      <c r="K541" s="2"/>
    </row>
    <row r="542">
      <c r="A542" s="2"/>
      <c r="B542" s="2"/>
      <c r="C542" s="2"/>
      <c r="D542" s="2"/>
      <c r="E542" s="2"/>
      <c r="F542" s="2"/>
      <c r="G542" s="2"/>
      <c r="H542" s="2"/>
      <c r="I542" s="2"/>
      <c r="J542" s="2"/>
      <c r="K542" s="2"/>
    </row>
    <row r="543">
      <c r="A543" s="2"/>
      <c r="B543" s="2"/>
      <c r="C543" s="2"/>
      <c r="D543" s="2"/>
      <c r="E543" s="2"/>
      <c r="F543" s="2"/>
      <c r="G543" s="2"/>
      <c r="H543" s="2"/>
      <c r="I543" s="2"/>
      <c r="J543" s="2"/>
      <c r="K543" s="2"/>
    </row>
    <row r="544">
      <c r="A544" s="2"/>
      <c r="B544" s="2"/>
      <c r="C544" s="2"/>
      <c r="D544" s="2"/>
      <c r="E544" s="2"/>
      <c r="F544" s="2"/>
      <c r="G544" s="2"/>
      <c r="H544" s="2"/>
      <c r="I544" s="2"/>
      <c r="J544" s="2"/>
      <c r="K544" s="2"/>
    </row>
    <row r="545">
      <c r="A545" s="2"/>
      <c r="B545" s="2"/>
      <c r="C545" s="2"/>
      <c r="D545" s="2"/>
      <c r="E545" s="2"/>
      <c r="F545" s="2"/>
      <c r="G545" s="2"/>
      <c r="H545" s="2"/>
      <c r="I545" s="2"/>
      <c r="J545" s="2"/>
      <c r="K545" s="2"/>
    </row>
    <row r="546">
      <c r="A546" s="2"/>
      <c r="B546" s="2"/>
      <c r="C546" s="2"/>
      <c r="D546" s="2"/>
      <c r="E546" s="2"/>
      <c r="F546" s="2"/>
      <c r="G546" s="2"/>
      <c r="H546" s="2"/>
      <c r="I546" s="2"/>
      <c r="J546" s="2"/>
      <c r="K546" s="2"/>
    </row>
    <row r="547">
      <c r="A547" s="2"/>
      <c r="B547" s="2"/>
      <c r="C547" s="2"/>
      <c r="D547" s="2"/>
      <c r="E547" s="2"/>
      <c r="F547" s="2"/>
      <c r="G547" s="2"/>
      <c r="H547" s="2"/>
      <c r="I547" s="2"/>
      <c r="J547" s="2"/>
      <c r="K547" s="2"/>
    </row>
    <row r="548">
      <c r="A548" s="2"/>
      <c r="B548" s="2"/>
      <c r="C548" s="2"/>
      <c r="D548" s="2"/>
      <c r="E548" s="2"/>
      <c r="F548" s="2"/>
      <c r="G548" s="2"/>
      <c r="H548" s="2"/>
      <c r="I548" s="2"/>
      <c r="J548" s="2"/>
      <c r="K548" s="2"/>
    </row>
    <row r="549">
      <c r="A549" s="2"/>
      <c r="B549" s="2"/>
      <c r="C549" s="2"/>
      <c r="D549" s="2"/>
      <c r="E549" s="2"/>
      <c r="F549" s="2"/>
      <c r="G549" s="2"/>
      <c r="H549" s="2"/>
      <c r="I549" s="2"/>
      <c r="J549" s="2"/>
      <c r="K549" s="2"/>
    </row>
    <row r="550">
      <c r="A550" s="2"/>
      <c r="B550" s="2"/>
      <c r="C550" s="2"/>
      <c r="D550" s="2"/>
      <c r="E550" s="2"/>
      <c r="F550" s="2"/>
      <c r="G550" s="2"/>
      <c r="H550" s="2"/>
      <c r="I550" s="2"/>
      <c r="J550" s="2"/>
      <c r="K550" s="2"/>
    </row>
    <row r="551">
      <c r="A551" s="2"/>
      <c r="B551" s="2"/>
      <c r="C551" s="2"/>
      <c r="D551" s="2"/>
      <c r="E551" s="2"/>
      <c r="F551" s="2"/>
      <c r="G551" s="2"/>
      <c r="H551" s="2"/>
      <c r="I551" s="2"/>
      <c r="J551" s="2"/>
      <c r="K551" s="2"/>
    </row>
    <row r="552">
      <c r="A552" s="2"/>
      <c r="B552" s="2"/>
      <c r="C552" s="2"/>
      <c r="D552" s="2"/>
      <c r="E552" s="2"/>
      <c r="F552" s="2"/>
      <c r="G552" s="2"/>
      <c r="H552" s="2"/>
      <c r="I552" s="2"/>
      <c r="J552" s="2"/>
      <c r="K552" s="2"/>
    </row>
    <row r="553">
      <c r="A553" s="2"/>
      <c r="B553" s="2"/>
      <c r="C553" s="2"/>
      <c r="D553" s="2"/>
      <c r="E553" s="2"/>
      <c r="F553" s="2"/>
      <c r="G553" s="2"/>
      <c r="H553" s="2"/>
      <c r="I553" s="2"/>
      <c r="J553" s="2"/>
      <c r="K553" s="2"/>
    </row>
    <row r="554">
      <c r="A554" s="2"/>
      <c r="B554" s="2"/>
      <c r="C554" s="2"/>
      <c r="D554" s="2"/>
      <c r="E554" s="2"/>
      <c r="F554" s="2"/>
      <c r="G554" s="2"/>
      <c r="H554" s="2"/>
      <c r="I554" s="2"/>
      <c r="J554" s="2"/>
      <c r="K554" s="2"/>
    </row>
    <row r="555">
      <c r="A555" s="2"/>
      <c r="B555" s="2"/>
      <c r="C555" s="2"/>
      <c r="D555" s="2"/>
      <c r="E555" s="2"/>
      <c r="F555" s="2"/>
      <c r="G555" s="2"/>
      <c r="H555" s="2"/>
      <c r="I555" s="2"/>
      <c r="J555" s="2"/>
      <c r="K555" s="2"/>
    </row>
    <row r="556">
      <c r="A556" s="2"/>
      <c r="B556" s="2"/>
      <c r="C556" s="2"/>
      <c r="D556" s="2"/>
      <c r="E556" s="2"/>
      <c r="F556" s="2"/>
      <c r="G556" s="2"/>
      <c r="H556" s="2"/>
      <c r="I556" s="2"/>
      <c r="J556" s="2"/>
      <c r="K556" s="2"/>
    </row>
    <row r="557">
      <c r="A557" s="2"/>
      <c r="B557" s="2"/>
      <c r="C557" s="2"/>
      <c r="D557" s="2"/>
      <c r="E557" s="2"/>
      <c r="F557" s="2"/>
      <c r="G557" s="2"/>
      <c r="H557" s="2"/>
      <c r="I557" s="2"/>
      <c r="J557" s="2"/>
      <c r="K557" s="2"/>
    </row>
    <row r="558">
      <c r="A558" s="2"/>
      <c r="B558" s="2"/>
      <c r="C558" s="2"/>
      <c r="D558" s="2"/>
      <c r="E558" s="2"/>
      <c r="F558" s="2"/>
      <c r="G558" s="2"/>
      <c r="H558" s="2"/>
      <c r="I558" s="2"/>
      <c r="J558" s="2"/>
      <c r="K558" s="2"/>
    </row>
    <row r="559">
      <c r="A559" s="2"/>
      <c r="B559" s="2"/>
      <c r="C559" s="2"/>
      <c r="D559" s="2"/>
      <c r="E559" s="2"/>
      <c r="F559" s="2"/>
      <c r="G559" s="2"/>
      <c r="H559" s="2"/>
      <c r="I559" s="2"/>
      <c r="J559" s="2"/>
      <c r="K559" s="2"/>
    </row>
    <row r="560">
      <c r="A560" s="2"/>
      <c r="B560" s="2"/>
      <c r="C560" s="2"/>
      <c r="D560" s="2"/>
      <c r="E560" s="2"/>
      <c r="F560" s="2"/>
      <c r="G560" s="2"/>
      <c r="H560" s="2"/>
      <c r="I560" s="2"/>
      <c r="J560" s="2"/>
      <c r="K560" s="2"/>
    </row>
    <row r="561">
      <c r="A561" s="2"/>
      <c r="B561" s="2"/>
      <c r="C561" s="2"/>
      <c r="D561" s="2"/>
      <c r="E561" s="2"/>
      <c r="F561" s="2"/>
      <c r="G561" s="2"/>
      <c r="H561" s="2"/>
      <c r="I561" s="2"/>
      <c r="J561" s="2"/>
      <c r="K561" s="2"/>
    </row>
    <row r="562">
      <c r="A562" s="2"/>
      <c r="B562" s="2"/>
      <c r="C562" s="2"/>
      <c r="D562" s="2"/>
      <c r="E562" s="2"/>
      <c r="F562" s="2"/>
      <c r="G562" s="2"/>
      <c r="H562" s="2"/>
      <c r="I562" s="2"/>
      <c r="J562" s="2"/>
      <c r="K562" s="2"/>
    </row>
    <row r="563">
      <c r="A563" s="2"/>
      <c r="B563" s="2"/>
      <c r="C563" s="2"/>
      <c r="D563" s="2"/>
      <c r="E563" s="2"/>
      <c r="F563" s="2"/>
      <c r="G563" s="2"/>
      <c r="H563" s="2"/>
      <c r="I563" s="2"/>
      <c r="J563" s="2"/>
      <c r="K563" s="2"/>
    </row>
    <row r="564">
      <c r="A564" s="2"/>
      <c r="B564" s="2"/>
      <c r="C564" s="2"/>
      <c r="D564" s="2"/>
      <c r="E564" s="2"/>
      <c r="F564" s="2"/>
      <c r="G564" s="2"/>
      <c r="H564" s="2"/>
      <c r="I564" s="2"/>
      <c r="J564" s="2"/>
      <c r="K564" s="2"/>
    </row>
    <row r="565">
      <c r="A565" s="2"/>
      <c r="B565" s="2"/>
      <c r="C565" s="2"/>
      <c r="D565" s="2"/>
      <c r="E565" s="2"/>
      <c r="F565" s="2"/>
      <c r="G565" s="2"/>
      <c r="H565" s="2"/>
      <c r="I565" s="2"/>
      <c r="J565" s="2"/>
      <c r="K565" s="2"/>
    </row>
    <row r="566">
      <c r="A566" s="2"/>
      <c r="B566" s="2"/>
      <c r="C566" s="2"/>
      <c r="D566" s="2"/>
      <c r="E566" s="2"/>
      <c r="F566" s="2"/>
      <c r="G566" s="2"/>
      <c r="H566" s="2"/>
      <c r="I566" s="2"/>
      <c r="J566" s="2"/>
      <c r="K566" s="2"/>
    </row>
    <row r="567">
      <c r="A567" s="2"/>
      <c r="B567" s="2"/>
      <c r="C567" s="2"/>
      <c r="D567" s="2"/>
      <c r="E567" s="2"/>
      <c r="F567" s="2"/>
      <c r="G567" s="2"/>
      <c r="H567" s="2"/>
      <c r="I567" s="2"/>
      <c r="J567" s="2"/>
      <c r="K567" s="2"/>
    </row>
    <row r="568">
      <c r="A568" s="2"/>
      <c r="B568" s="2"/>
      <c r="C568" s="2"/>
      <c r="D568" s="2"/>
      <c r="E568" s="2"/>
      <c r="F568" s="2"/>
      <c r="G568" s="2"/>
      <c r="H568" s="2"/>
      <c r="I568" s="2"/>
      <c r="J568" s="2"/>
      <c r="K568" s="2"/>
    </row>
    <row r="569">
      <c r="A569" s="2"/>
      <c r="B569" s="2"/>
      <c r="C569" s="2"/>
      <c r="D569" s="2"/>
      <c r="E569" s="2"/>
      <c r="F569" s="2"/>
      <c r="G569" s="2"/>
      <c r="H569" s="2"/>
      <c r="I569" s="2"/>
      <c r="J569" s="2"/>
      <c r="K569" s="2"/>
    </row>
    <row r="570">
      <c r="A570" s="2"/>
      <c r="B570" s="2"/>
      <c r="C570" s="2"/>
      <c r="D570" s="2"/>
      <c r="E570" s="2"/>
      <c r="F570" s="2"/>
      <c r="G570" s="2"/>
      <c r="H570" s="2"/>
      <c r="I570" s="2"/>
      <c r="J570" s="2"/>
      <c r="K570" s="2"/>
    </row>
    <row r="571">
      <c r="A571" s="2"/>
      <c r="B571" s="2"/>
      <c r="C571" s="2"/>
      <c r="D571" s="2"/>
      <c r="E571" s="2"/>
      <c r="F571" s="2"/>
      <c r="G571" s="2"/>
      <c r="H571" s="2"/>
      <c r="I571" s="2"/>
      <c r="J571" s="2"/>
      <c r="K571" s="2"/>
    </row>
    <row r="572">
      <c r="A572" s="2"/>
      <c r="B572" s="2"/>
      <c r="C572" s="2"/>
      <c r="D572" s="2"/>
      <c r="E572" s="2"/>
      <c r="F572" s="2"/>
      <c r="G572" s="2"/>
      <c r="H572" s="2"/>
      <c r="I572" s="2"/>
      <c r="J572" s="2"/>
      <c r="K572" s="2"/>
    </row>
    <row r="573">
      <c r="A573" s="2"/>
      <c r="B573" s="2"/>
      <c r="C573" s="2"/>
      <c r="D573" s="2"/>
      <c r="E573" s="2"/>
      <c r="F573" s="2"/>
      <c r="G573" s="2"/>
      <c r="H573" s="2"/>
      <c r="I573" s="2"/>
      <c r="J573" s="2"/>
      <c r="K573" s="2"/>
    </row>
    <row r="574">
      <c r="A574" s="2"/>
      <c r="B574" s="2"/>
      <c r="C574" s="2"/>
      <c r="D574" s="2"/>
      <c r="E574" s="2"/>
      <c r="F574" s="2"/>
      <c r="G574" s="2"/>
      <c r="H574" s="2"/>
      <c r="I574" s="2"/>
      <c r="J574" s="2"/>
      <c r="K574" s="2"/>
    </row>
    <row r="575">
      <c r="A575" s="2"/>
      <c r="B575" s="2"/>
      <c r="C575" s="2"/>
      <c r="D575" s="2"/>
      <c r="E575" s="2"/>
      <c r="F575" s="2"/>
      <c r="G575" s="2"/>
      <c r="H575" s="2"/>
      <c r="I575" s="2"/>
      <c r="J575" s="2"/>
      <c r="K575" s="2"/>
    </row>
    <row r="576">
      <c r="A576" s="2"/>
      <c r="B576" s="2"/>
      <c r="C576" s="2"/>
      <c r="D576" s="2"/>
      <c r="E576" s="2"/>
      <c r="F576" s="2"/>
      <c r="G576" s="2"/>
      <c r="H576" s="2"/>
      <c r="I576" s="2"/>
      <c r="J576" s="2"/>
      <c r="K576" s="2"/>
    </row>
    <row r="577">
      <c r="A577" s="2"/>
      <c r="B577" s="2"/>
      <c r="C577" s="2"/>
      <c r="D577" s="2"/>
      <c r="E577" s="2"/>
      <c r="F577" s="2"/>
      <c r="G577" s="2"/>
      <c r="H577" s="2"/>
      <c r="I577" s="2"/>
      <c r="J577" s="2"/>
      <c r="K577" s="2"/>
    </row>
    <row r="578">
      <c r="A578" s="2"/>
      <c r="B578" s="2"/>
      <c r="C578" s="2"/>
      <c r="D578" s="2"/>
      <c r="E578" s="2"/>
      <c r="F578" s="2"/>
      <c r="G578" s="2"/>
      <c r="H578" s="2"/>
      <c r="I578" s="2"/>
      <c r="J578" s="2"/>
      <c r="K578" s="2"/>
    </row>
    <row r="579">
      <c r="A579" s="2"/>
      <c r="B579" s="2"/>
      <c r="C579" s="2"/>
      <c r="D579" s="2"/>
      <c r="E579" s="2"/>
      <c r="F579" s="2"/>
      <c r="G579" s="2"/>
      <c r="H579" s="2"/>
      <c r="I579" s="2"/>
      <c r="J579" s="2"/>
      <c r="K579" s="2"/>
    </row>
    <row r="580">
      <c r="A580" s="2"/>
      <c r="B580" s="2"/>
      <c r="C580" s="2"/>
      <c r="D580" s="2"/>
      <c r="E580" s="2"/>
      <c r="F580" s="2"/>
      <c r="G580" s="2"/>
      <c r="H580" s="2"/>
      <c r="I580" s="2"/>
      <c r="J580" s="2"/>
      <c r="K580" s="2"/>
    </row>
    <row r="581">
      <c r="A581" s="2"/>
      <c r="B581" s="2"/>
      <c r="C581" s="2"/>
      <c r="D581" s="2"/>
      <c r="E581" s="2"/>
      <c r="F581" s="2"/>
      <c r="G581" s="2"/>
      <c r="H581" s="2"/>
      <c r="I581" s="2"/>
      <c r="J581" s="2"/>
      <c r="K581" s="2"/>
    </row>
    <row r="582">
      <c r="A582" s="2"/>
      <c r="B582" s="2"/>
      <c r="C582" s="2"/>
      <c r="D582" s="2"/>
      <c r="E582" s="2"/>
      <c r="F582" s="2"/>
      <c r="G582" s="2"/>
      <c r="H582" s="2"/>
      <c r="I582" s="2"/>
      <c r="J582" s="2"/>
      <c r="K582" s="2"/>
    </row>
    <row r="583">
      <c r="A583" s="2"/>
      <c r="B583" s="2"/>
      <c r="C583" s="2"/>
      <c r="D583" s="2"/>
      <c r="E583" s="2"/>
      <c r="F583" s="2"/>
      <c r="G583" s="2"/>
      <c r="H583" s="2"/>
      <c r="I583" s="2"/>
      <c r="J583" s="2"/>
      <c r="K583" s="2"/>
    </row>
    <row r="584">
      <c r="A584" s="2"/>
      <c r="B584" s="2"/>
      <c r="C584" s="2"/>
      <c r="D584" s="2"/>
      <c r="E584" s="2"/>
      <c r="F584" s="2"/>
      <c r="G584" s="2"/>
      <c r="H584" s="2"/>
      <c r="I584" s="2"/>
      <c r="J584" s="2"/>
      <c r="K584" s="2"/>
    </row>
    <row r="585">
      <c r="A585" s="2"/>
      <c r="B585" s="2"/>
      <c r="C585" s="2"/>
      <c r="D585" s="2"/>
      <c r="E585" s="2"/>
      <c r="F585" s="2"/>
      <c r="G585" s="2"/>
      <c r="H585" s="2"/>
      <c r="I585" s="2"/>
      <c r="J585" s="2"/>
      <c r="K585" s="2"/>
    </row>
    <row r="586">
      <c r="A586" s="2"/>
      <c r="B586" s="2"/>
      <c r="C586" s="2"/>
      <c r="D586" s="2"/>
      <c r="E586" s="2"/>
      <c r="F586" s="2"/>
      <c r="G586" s="2"/>
      <c r="H586" s="2"/>
      <c r="I586" s="2"/>
      <c r="J586" s="2"/>
      <c r="K586" s="2"/>
    </row>
    <row r="587">
      <c r="A587" s="2"/>
      <c r="B587" s="2"/>
      <c r="C587" s="2"/>
      <c r="D587" s="2"/>
      <c r="E587" s="2"/>
      <c r="F587" s="2"/>
      <c r="G587" s="2"/>
      <c r="H587" s="2"/>
      <c r="I587" s="2"/>
      <c r="J587" s="2"/>
      <c r="K587" s="2"/>
    </row>
    <row r="588">
      <c r="A588" s="2"/>
      <c r="B588" s="2"/>
      <c r="C588" s="2"/>
      <c r="D588" s="2"/>
      <c r="E588" s="2"/>
      <c r="F588" s="2"/>
      <c r="G588" s="2"/>
      <c r="H588" s="2"/>
      <c r="I588" s="2"/>
      <c r="J588" s="2"/>
      <c r="K588" s="2"/>
    </row>
    <row r="589">
      <c r="A589" s="2"/>
      <c r="B589" s="2"/>
      <c r="C589" s="2"/>
      <c r="D589" s="2"/>
      <c r="E589" s="2"/>
      <c r="F589" s="2"/>
      <c r="G589" s="2"/>
      <c r="H589" s="2"/>
      <c r="I589" s="2"/>
      <c r="J589" s="2"/>
      <c r="K589" s="2"/>
    </row>
    <row r="590">
      <c r="A590" s="2"/>
      <c r="B590" s="2"/>
      <c r="C590" s="2"/>
      <c r="D590" s="2"/>
      <c r="E590" s="2"/>
      <c r="F590" s="2"/>
      <c r="G590" s="2"/>
      <c r="H590" s="2"/>
      <c r="I590" s="2"/>
      <c r="J590" s="2"/>
      <c r="K590" s="2"/>
    </row>
    <row r="591">
      <c r="A591" s="2"/>
      <c r="B591" s="2"/>
      <c r="C591" s="2"/>
      <c r="D591" s="2"/>
      <c r="E591" s="2"/>
      <c r="F591" s="2"/>
      <c r="G591" s="2"/>
      <c r="H591" s="2"/>
      <c r="I591" s="2"/>
      <c r="J591" s="2"/>
      <c r="K591" s="2"/>
    </row>
    <row r="592">
      <c r="A592" s="2"/>
      <c r="B592" s="2"/>
      <c r="C592" s="2"/>
      <c r="D592" s="2"/>
      <c r="E592" s="2"/>
      <c r="F592" s="2"/>
      <c r="G592" s="2"/>
      <c r="H592" s="2"/>
      <c r="I592" s="2"/>
      <c r="J592" s="2"/>
      <c r="K592" s="2"/>
    </row>
    <row r="593">
      <c r="A593" s="2"/>
      <c r="B593" s="2"/>
      <c r="C593" s="2"/>
      <c r="D593" s="2"/>
      <c r="E593" s="2"/>
      <c r="F593" s="2"/>
      <c r="G593" s="2"/>
      <c r="H593" s="2"/>
      <c r="I593" s="2"/>
      <c r="J593" s="2"/>
      <c r="K593" s="2"/>
    </row>
    <row r="594">
      <c r="A594" s="2"/>
      <c r="B594" s="2"/>
      <c r="C594" s="2"/>
      <c r="D594" s="2"/>
      <c r="E594" s="2"/>
      <c r="F594" s="2"/>
      <c r="G594" s="2"/>
      <c r="H594" s="2"/>
      <c r="I594" s="2"/>
      <c r="J594" s="2"/>
      <c r="K594" s="2"/>
    </row>
    <row r="595">
      <c r="A595" s="2"/>
      <c r="B595" s="2"/>
      <c r="C595" s="2"/>
      <c r="D595" s="2"/>
      <c r="E595" s="2"/>
      <c r="F595" s="2"/>
      <c r="G595" s="2"/>
      <c r="H595" s="2"/>
      <c r="I595" s="2"/>
      <c r="J595" s="2"/>
      <c r="K595" s="2"/>
    </row>
    <row r="596">
      <c r="A596" s="2"/>
      <c r="B596" s="2"/>
      <c r="C596" s="2"/>
      <c r="D596" s="2"/>
      <c r="E596" s="2"/>
      <c r="F596" s="2"/>
      <c r="G596" s="2"/>
      <c r="H596" s="2"/>
      <c r="I596" s="2"/>
      <c r="J596" s="2"/>
      <c r="K596" s="2"/>
    </row>
    <row r="597">
      <c r="A597" s="2"/>
      <c r="B597" s="2"/>
      <c r="C597" s="2"/>
      <c r="D597" s="2"/>
      <c r="E597" s="2"/>
      <c r="F597" s="2"/>
      <c r="G597" s="2"/>
      <c r="H597" s="2"/>
      <c r="I597" s="2"/>
      <c r="J597" s="2"/>
      <c r="K597" s="2"/>
    </row>
    <row r="598">
      <c r="A598" s="2"/>
      <c r="B598" s="2"/>
      <c r="C598" s="2"/>
      <c r="D598" s="2"/>
      <c r="E598" s="2"/>
      <c r="F598" s="2"/>
      <c r="G598" s="2"/>
      <c r="H598" s="2"/>
      <c r="I598" s="2"/>
      <c r="J598" s="2"/>
      <c r="K598" s="2"/>
    </row>
    <row r="599">
      <c r="A599" s="2"/>
      <c r="B599" s="2"/>
      <c r="C599" s="2"/>
      <c r="D599" s="2"/>
      <c r="E599" s="2"/>
      <c r="F599" s="2"/>
      <c r="G599" s="2"/>
      <c r="H599" s="2"/>
      <c r="I599" s="2"/>
      <c r="J599" s="2"/>
      <c r="K599" s="2"/>
    </row>
    <row r="600">
      <c r="A600" s="2"/>
      <c r="B600" s="2"/>
      <c r="C600" s="2"/>
      <c r="D600" s="2"/>
      <c r="E600" s="2"/>
      <c r="F600" s="2"/>
      <c r="G600" s="2"/>
      <c r="H600" s="2"/>
      <c r="I600" s="2"/>
      <c r="J600" s="2"/>
      <c r="K600" s="2"/>
    </row>
    <row r="601">
      <c r="A601" s="2"/>
      <c r="B601" s="2"/>
      <c r="C601" s="2"/>
      <c r="D601" s="2"/>
      <c r="E601" s="2"/>
      <c r="F601" s="2"/>
      <c r="G601" s="2"/>
      <c r="H601" s="2"/>
      <c r="I601" s="2"/>
      <c r="J601" s="2"/>
      <c r="K601" s="2"/>
    </row>
    <row r="602">
      <c r="A602" s="2"/>
      <c r="B602" s="2"/>
      <c r="C602" s="2"/>
      <c r="D602" s="2"/>
      <c r="E602" s="2"/>
      <c r="F602" s="2"/>
      <c r="G602" s="2"/>
      <c r="H602" s="2"/>
      <c r="I602" s="2"/>
      <c r="J602" s="2"/>
      <c r="K602" s="2"/>
    </row>
    <row r="603">
      <c r="A603" s="2"/>
      <c r="B603" s="2"/>
      <c r="C603" s="2"/>
      <c r="D603" s="2"/>
      <c r="E603" s="2"/>
      <c r="F603" s="2"/>
      <c r="G603" s="2"/>
      <c r="H603" s="2"/>
      <c r="I603" s="2"/>
      <c r="J603" s="2"/>
      <c r="K603" s="2"/>
    </row>
    <row r="604">
      <c r="A604" s="2"/>
      <c r="B604" s="2"/>
      <c r="C604" s="2"/>
      <c r="D604" s="2"/>
      <c r="E604" s="2"/>
      <c r="F604" s="2"/>
      <c r="G604" s="2"/>
      <c r="H604" s="2"/>
      <c r="I604" s="2"/>
      <c r="J604" s="2"/>
      <c r="K604" s="2"/>
    </row>
    <row r="605">
      <c r="A605" s="2"/>
      <c r="B605" s="2"/>
      <c r="C605" s="2"/>
      <c r="D605" s="2"/>
      <c r="E605" s="2"/>
      <c r="F605" s="2"/>
      <c r="G605" s="2"/>
      <c r="H605" s="2"/>
      <c r="I605" s="2"/>
      <c r="J605" s="2"/>
      <c r="K605" s="2"/>
    </row>
    <row r="606">
      <c r="A606" s="2"/>
      <c r="B606" s="2"/>
      <c r="C606" s="2"/>
      <c r="D606" s="2"/>
      <c r="E606" s="2"/>
      <c r="F606" s="2"/>
      <c r="G606" s="2"/>
      <c r="H606" s="2"/>
      <c r="I606" s="2"/>
      <c r="J606" s="2"/>
      <c r="K606" s="2"/>
    </row>
    <row r="607">
      <c r="A607" s="2"/>
      <c r="B607" s="2"/>
      <c r="C607" s="2"/>
      <c r="D607" s="2"/>
      <c r="E607" s="2"/>
      <c r="F607" s="2"/>
      <c r="G607" s="2"/>
      <c r="H607" s="2"/>
      <c r="I607" s="2"/>
      <c r="J607" s="2"/>
      <c r="K607" s="2"/>
    </row>
    <row r="608">
      <c r="A608" s="2"/>
      <c r="B608" s="2"/>
      <c r="C608" s="2"/>
      <c r="D608" s="2"/>
      <c r="E608" s="2"/>
      <c r="F608" s="2"/>
      <c r="G608" s="2"/>
      <c r="H608" s="2"/>
      <c r="I608" s="2"/>
      <c r="J608" s="2"/>
      <c r="K608" s="2"/>
    </row>
    <row r="609">
      <c r="A609" s="2"/>
      <c r="B609" s="2"/>
      <c r="C609" s="2"/>
      <c r="D609" s="2"/>
      <c r="E609" s="2"/>
      <c r="F609" s="2"/>
      <c r="G609" s="2"/>
      <c r="H609" s="2"/>
      <c r="I609" s="2"/>
      <c r="J609" s="2"/>
      <c r="K609" s="2"/>
    </row>
    <row r="610">
      <c r="A610" s="2"/>
      <c r="B610" s="2"/>
      <c r="C610" s="2"/>
      <c r="D610" s="2"/>
      <c r="E610" s="2"/>
      <c r="F610" s="2"/>
      <c r="G610" s="2"/>
      <c r="H610" s="2"/>
      <c r="I610" s="2"/>
      <c r="J610" s="2"/>
      <c r="K610" s="2"/>
    </row>
    <row r="611">
      <c r="A611" s="2"/>
      <c r="B611" s="2"/>
      <c r="C611" s="2"/>
      <c r="D611" s="2"/>
      <c r="E611" s="2"/>
      <c r="F611" s="2"/>
      <c r="G611" s="2"/>
      <c r="H611" s="2"/>
      <c r="I611" s="2"/>
      <c r="J611" s="2"/>
      <c r="K611" s="2"/>
    </row>
    <row r="612">
      <c r="A612" s="2"/>
      <c r="B612" s="2"/>
      <c r="C612" s="2"/>
      <c r="D612" s="2"/>
      <c r="E612" s="2"/>
      <c r="F612" s="2"/>
      <c r="G612" s="2"/>
      <c r="H612" s="2"/>
      <c r="I612" s="2"/>
      <c r="J612" s="2"/>
      <c r="K612" s="2"/>
    </row>
    <row r="613">
      <c r="A613" s="2"/>
      <c r="B613" s="2"/>
      <c r="C613" s="2"/>
      <c r="D613" s="2"/>
      <c r="E613" s="2"/>
      <c r="F613" s="2"/>
      <c r="G613" s="2"/>
      <c r="H613" s="2"/>
      <c r="I613" s="2"/>
      <c r="J613" s="2"/>
      <c r="K613" s="2"/>
    </row>
    <row r="614">
      <c r="A614" s="2"/>
      <c r="B614" s="2"/>
      <c r="C614" s="2"/>
      <c r="D614" s="2"/>
      <c r="E614" s="2"/>
      <c r="F614" s="2"/>
      <c r="G614" s="2"/>
      <c r="H614" s="2"/>
      <c r="I614" s="2"/>
      <c r="J614" s="2"/>
      <c r="K614" s="2"/>
    </row>
    <row r="615">
      <c r="A615" s="2"/>
      <c r="B615" s="2"/>
      <c r="C615" s="2"/>
      <c r="D615" s="2"/>
      <c r="E615" s="2"/>
      <c r="F615" s="2"/>
      <c r="G615" s="2"/>
      <c r="H615" s="2"/>
      <c r="I615" s="2"/>
      <c r="J615" s="2"/>
      <c r="K615" s="2"/>
    </row>
    <row r="616">
      <c r="A616" s="2"/>
      <c r="B616" s="2"/>
      <c r="C616" s="2"/>
      <c r="D616" s="2"/>
      <c r="E616" s="2"/>
      <c r="F616" s="2"/>
      <c r="G616" s="2"/>
      <c r="H616" s="2"/>
      <c r="I616" s="2"/>
      <c r="J616" s="2"/>
      <c r="K616" s="2"/>
    </row>
    <row r="617">
      <c r="A617" s="2"/>
      <c r="B617" s="2"/>
      <c r="C617" s="2"/>
      <c r="D617" s="2"/>
      <c r="E617" s="2"/>
      <c r="F617" s="2"/>
      <c r="G617" s="2"/>
      <c r="H617" s="2"/>
      <c r="I617" s="2"/>
      <c r="J617" s="2"/>
      <c r="K617" s="2"/>
    </row>
    <row r="618">
      <c r="A618" s="2"/>
      <c r="B618" s="2"/>
      <c r="C618" s="2"/>
      <c r="D618" s="2"/>
      <c r="E618" s="2"/>
      <c r="F618" s="2"/>
      <c r="G618" s="2"/>
      <c r="H618" s="2"/>
      <c r="I618" s="2"/>
      <c r="J618" s="2"/>
      <c r="K618" s="2"/>
    </row>
    <row r="619">
      <c r="A619" s="2"/>
      <c r="B619" s="2"/>
      <c r="C619" s="2"/>
      <c r="D619" s="2"/>
      <c r="E619" s="2"/>
      <c r="F619" s="2"/>
      <c r="G619" s="2"/>
      <c r="H619" s="2"/>
      <c r="I619" s="2"/>
      <c r="J619" s="2"/>
      <c r="K619" s="2"/>
    </row>
    <row r="620">
      <c r="A620" s="2"/>
      <c r="B620" s="2"/>
      <c r="C620" s="2"/>
      <c r="D620" s="2"/>
      <c r="E620" s="2"/>
      <c r="F620" s="2"/>
      <c r="G620" s="2"/>
      <c r="H620" s="2"/>
      <c r="I620" s="2"/>
      <c r="J620" s="2"/>
      <c r="K620" s="2"/>
    </row>
    <row r="621">
      <c r="A621" s="2"/>
      <c r="B621" s="2"/>
      <c r="C621" s="2"/>
      <c r="D621" s="2"/>
      <c r="E621" s="2"/>
      <c r="F621" s="2"/>
      <c r="G621" s="2"/>
      <c r="H621" s="2"/>
      <c r="I621" s="2"/>
      <c r="J621" s="2"/>
      <c r="K621" s="2"/>
    </row>
    <row r="622">
      <c r="A622" s="2"/>
      <c r="B622" s="2"/>
      <c r="C622" s="2"/>
      <c r="D622" s="2"/>
      <c r="E622" s="2"/>
      <c r="F622" s="2"/>
      <c r="G622" s="2"/>
      <c r="H622" s="2"/>
      <c r="I622" s="2"/>
      <c r="J622" s="2"/>
      <c r="K622" s="2"/>
    </row>
    <row r="623">
      <c r="A623" s="2"/>
      <c r="B623" s="2"/>
      <c r="C623" s="2"/>
      <c r="D623" s="2"/>
      <c r="E623" s="2"/>
      <c r="F623" s="2"/>
      <c r="G623" s="2"/>
      <c r="H623" s="2"/>
      <c r="I623" s="2"/>
      <c r="J623" s="2"/>
      <c r="K623" s="2"/>
    </row>
    <row r="624">
      <c r="A624" s="2"/>
      <c r="B624" s="2"/>
      <c r="C624" s="2"/>
      <c r="D624" s="2"/>
      <c r="E624" s="2"/>
      <c r="F624" s="2"/>
      <c r="G624" s="2"/>
      <c r="H624" s="2"/>
      <c r="I624" s="2"/>
      <c r="J624" s="2"/>
      <c r="K624" s="2"/>
    </row>
    <row r="625">
      <c r="A625" s="2"/>
      <c r="B625" s="2"/>
      <c r="C625" s="2"/>
      <c r="D625" s="2"/>
      <c r="E625" s="2"/>
      <c r="F625" s="2"/>
      <c r="G625" s="2"/>
      <c r="H625" s="2"/>
      <c r="I625" s="2"/>
      <c r="J625" s="2"/>
      <c r="K625" s="2"/>
    </row>
    <row r="626">
      <c r="A626" s="2"/>
      <c r="B626" s="2"/>
      <c r="C626" s="2"/>
      <c r="D626" s="2"/>
      <c r="E626" s="2"/>
      <c r="F626" s="2"/>
      <c r="G626" s="2"/>
      <c r="H626" s="2"/>
      <c r="I626" s="2"/>
      <c r="J626" s="2"/>
      <c r="K626" s="2"/>
    </row>
    <row r="627">
      <c r="A627" s="2"/>
      <c r="B627" s="2"/>
      <c r="C627" s="2"/>
      <c r="D627" s="2"/>
      <c r="E627" s="2"/>
      <c r="F627" s="2"/>
      <c r="G627" s="2"/>
      <c r="H627" s="2"/>
      <c r="I627" s="2"/>
      <c r="J627" s="2"/>
      <c r="K627" s="2"/>
    </row>
    <row r="628">
      <c r="A628" s="2"/>
      <c r="B628" s="2"/>
      <c r="C628" s="2"/>
      <c r="D628" s="2"/>
      <c r="E628" s="2"/>
      <c r="F628" s="2"/>
      <c r="G628" s="2"/>
      <c r="H628" s="2"/>
      <c r="I628" s="2"/>
      <c r="J628" s="2"/>
      <c r="K628" s="2"/>
    </row>
    <row r="629">
      <c r="A629" s="2"/>
      <c r="B629" s="2"/>
      <c r="C629" s="2"/>
      <c r="D629" s="2"/>
      <c r="E629" s="2"/>
      <c r="F629" s="2"/>
      <c r="G629" s="2"/>
      <c r="H629" s="2"/>
      <c r="I629" s="2"/>
      <c r="J629" s="2"/>
      <c r="K629" s="2"/>
    </row>
    <row r="630">
      <c r="A630" s="2"/>
      <c r="B630" s="2"/>
      <c r="C630" s="2"/>
      <c r="D630" s="2"/>
      <c r="E630" s="2"/>
      <c r="F630" s="2"/>
      <c r="G630" s="2"/>
      <c r="H630" s="2"/>
      <c r="I630" s="2"/>
      <c r="J630" s="2"/>
      <c r="K630" s="2"/>
    </row>
    <row r="631">
      <c r="A631" s="2"/>
      <c r="B631" s="2"/>
      <c r="C631" s="2"/>
      <c r="D631" s="2"/>
      <c r="E631" s="2"/>
      <c r="F631" s="2"/>
      <c r="G631" s="2"/>
      <c r="H631" s="2"/>
      <c r="I631" s="2"/>
      <c r="J631" s="2"/>
      <c r="K631" s="2"/>
    </row>
    <row r="632">
      <c r="A632" s="2"/>
      <c r="B632" s="2"/>
      <c r="C632" s="2"/>
      <c r="D632" s="2"/>
      <c r="E632" s="2"/>
      <c r="F632" s="2"/>
      <c r="G632" s="2"/>
      <c r="H632" s="2"/>
      <c r="I632" s="2"/>
      <c r="J632" s="2"/>
      <c r="K632" s="2"/>
    </row>
    <row r="633">
      <c r="A633" s="2"/>
      <c r="B633" s="2"/>
      <c r="C633" s="2"/>
      <c r="D633" s="2"/>
      <c r="E633" s="2"/>
      <c r="F633" s="2"/>
      <c r="G633" s="2"/>
      <c r="H633" s="2"/>
      <c r="I633" s="2"/>
      <c r="J633" s="2"/>
      <c r="K633" s="2"/>
    </row>
    <row r="634">
      <c r="A634" s="2"/>
      <c r="B634" s="2"/>
      <c r="C634" s="2"/>
      <c r="D634" s="2"/>
      <c r="E634" s="2"/>
      <c r="F634" s="2"/>
      <c r="G634" s="2"/>
      <c r="H634" s="2"/>
      <c r="I634" s="2"/>
      <c r="J634" s="2"/>
      <c r="K634" s="2"/>
    </row>
    <row r="635">
      <c r="A635" s="2"/>
      <c r="B635" s="2"/>
      <c r="C635" s="2"/>
      <c r="D635" s="2"/>
      <c r="E635" s="2"/>
      <c r="F635" s="2"/>
      <c r="G635" s="2"/>
      <c r="H635" s="2"/>
      <c r="I635" s="2"/>
      <c r="J635" s="2"/>
      <c r="K635" s="2"/>
    </row>
    <row r="636">
      <c r="A636" s="2"/>
      <c r="B636" s="2"/>
      <c r="C636" s="2"/>
      <c r="D636" s="2"/>
      <c r="E636" s="2"/>
      <c r="F636" s="2"/>
      <c r="G636" s="2"/>
      <c r="H636" s="2"/>
      <c r="I636" s="2"/>
      <c r="J636" s="2"/>
      <c r="K636" s="2"/>
    </row>
    <row r="637">
      <c r="A637" s="2"/>
      <c r="B637" s="2"/>
      <c r="C637" s="2"/>
      <c r="D637" s="2"/>
      <c r="E637" s="2"/>
      <c r="F637" s="2"/>
      <c r="G637" s="2"/>
      <c r="H637" s="2"/>
      <c r="I637" s="2"/>
      <c r="J637" s="2"/>
      <c r="K637" s="2"/>
    </row>
    <row r="638">
      <c r="A638" s="2"/>
      <c r="B638" s="2"/>
      <c r="C638" s="2"/>
      <c r="D638" s="2"/>
      <c r="E638" s="2"/>
      <c r="F638" s="2"/>
      <c r="G638" s="2"/>
      <c r="H638" s="2"/>
      <c r="I638" s="2"/>
      <c r="J638" s="2"/>
      <c r="K638" s="2"/>
    </row>
    <row r="639">
      <c r="A639" s="2"/>
      <c r="B639" s="2"/>
      <c r="C639" s="2"/>
      <c r="D639" s="2"/>
      <c r="E639" s="2"/>
      <c r="F639" s="2"/>
      <c r="G639" s="2"/>
      <c r="H639" s="2"/>
      <c r="I639" s="2"/>
      <c r="J639" s="2"/>
      <c r="K639" s="2"/>
    </row>
    <row r="640">
      <c r="A640" s="2"/>
      <c r="B640" s="2"/>
      <c r="C640" s="2"/>
      <c r="D640" s="2"/>
      <c r="E640" s="2"/>
      <c r="F640" s="2"/>
      <c r="G640" s="2"/>
      <c r="H640" s="2"/>
      <c r="I640" s="2"/>
      <c r="J640" s="2"/>
      <c r="K640" s="2"/>
    </row>
    <row r="641">
      <c r="A641" s="2"/>
      <c r="B641" s="2"/>
      <c r="C641" s="2"/>
      <c r="D641" s="2"/>
      <c r="E641" s="2"/>
      <c r="F641" s="2"/>
      <c r="G641" s="2"/>
      <c r="H641" s="2"/>
      <c r="I641" s="2"/>
      <c r="J641" s="2"/>
      <c r="K641" s="2"/>
    </row>
    <row r="642">
      <c r="A642" s="2"/>
      <c r="B642" s="2"/>
      <c r="C642" s="2"/>
      <c r="D642" s="2"/>
      <c r="E642" s="2"/>
      <c r="F642" s="2"/>
      <c r="G642" s="2"/>
      <c r="H642" s="2"/>
      <c r="I642" s="2"/>
      <c r="J642" s="2"/>
      <c r="K642" s="2"/>
    </row>
    <row r="643">
      <c r="A643" s="2"/>
      <c r="B643" s="2"/>
      <c r="C643" s="2"/>
      <c r="D643" s="2"/>
      <c r="E643" s="2"/>
      <c r="F643" s="2"/>
      <c r="G643" s="2"/>
      <c r="H643" s="2"/>
      <c r="I643" s="2"/>
      <c r="J643" s="2"/>
      <c r="K643" s="2"/>
    </row>
    <row r="644">
      <c r="A644" s="2"/>
      <c r="B644" s="2"/>
      <c r="C644" s="2"/>
      <c r="D644" s="2"/>
      <c r="E644" s="2"/>
      <c r="F644" s="2"/>
      <c r="G644" s="2"/>
      <c r="H644" s="2"/>
      <c r="I644" s="2"/>
      <c r="J644" s="2"/>
      <c r="K644" s="2"/>
    </row>
    <row r="645">
      <c r="A645" s="2"/>
      <c r="B645" s="2"/>
      <c r="C645" s="2"/>
      <c r="D645" s="2"/>
      <c r="E645" s="2"/>
      <c r="F645" s="2"/>
      <c r="G645" s="2"/>
      <c r="H645" s="2"/>
      <c r="I645" s="2"/>
      <c r="J645" s="2"/>
      <c r="K645" s="2"/>
    </row>
    <row r="646">
      <c r="A646" s="2"/>
      <c r="B646" s="2"/>
      <c r="C646" s="2"/>
      <c r="D646" s="2"/>
      <c r="E646" s="2"/>
      <c r="F646" s="2"/>
      <c r="G646" s="2"/>
      <c r="H646" s="2"/>
      <c r="I646" s="2"/>
      <c r="J646" s="2"/>
      <c r="K646" s="2"/>
    </row>
    <row r="647">
      <c r="A647" s="2"/>
      <c r="B647" s="2"/>
      <c r="C647" s="2"/>
      <c r="D647" s="2"/>
      <c r="E647" s="2"/>
      <c r="F647" s="2"/>
      <c r="G647" s="2"/>
      <c r="H647" s="2"/>
      <c r="I647" s="2"/>
      <c r="J647" s="2"/>
      <c r="K647" s="2"/>
    </row>
    <row r="648">
      <c r="A648" s="2"/>
      <c r="B648" s="2"/>
      <c r="C648" s="2"/>
      <c r="D648" s="2"/>
      <c r="E648" s="2"/>
      <c r="F648" s="2"/>
      <c r="G648" s="2"/>
      <c r="H648" s="2"/>
      <c r="I648" s="2"/>
      <c r="J648" s="2"/>
      <c r="K648" s="2"/>
    </row>
    <row r="649">
      <c r="A649" s="2"/>
      <c r="B649" s="2"/>
      <c r="C649" s="2"/>
      <c r="D649" s="2"/>
      <c r="E649" s="2"/>
      <c r="F649" s="2"/>
      <c r="G649" s="2"/>
      <c r="H649" s="2"/>
      <c r="I649" s="2"/>
      <c r="J649" s="2"/>
      <c r="K649" s="2"/>
    </row>
    <row r="650">
      <c r="A650" s="2"/>
      <c r="B650" s="2"/>
      <c r="C650" s="2"/>
      <c r="D650" s="2"/>
      <c r="E650" s="2"/>
      <c r="F650" s="2"/>
      <c r="G650" s="2"/>
      <c r="H650" s="2"/>
      <c r="I650" s="2"/>
      <c r="J650" s="2"/>
      <c r="K650" s="2"/>
    </row>
    <row r="651">
      <c r="A651" s="2"/>
      <c r="B651" s="2"/>
      <c r="C651" s="2"/>
      <c r="D651" s="2"/>
      <c r="E651" s="2"/>
      <c r="F651" s="2"/>
      <c r="G651" s="2"/>
      <c r="H651" s="2"/>
      <c r="I651" s="2"/>
      <c r="J651" s="2"/>
      <c r="K651" s="2"/>
    </row>
    <row r="652">
      <c r="A652" s="2"/>
      <c r="B652" s="2"/>
      <c r="C652" s="2"/>
      <c r="D652" s="2"/>
      <c r="E652" s="2"/>
      <c r="F652" s="2"/>
      <c r="G652" s="2"/>
      <c r="H652" s="2"/>
      <c r="I652" s="2"/>
      <c r="J652" s="2"/>
      <c r="K652" s="2"/>
    </row>
    <row r="653">
      <c r="A653" s="2"/>
      <c r="B653" s="2"/>
      <c r="C653" s="2"/>
      <c r="D653" s="2"/>
      <c r="E653" s="2"/>
      <c r="F653" s="2"/>
      <c r="G653" s="2"/>
      <c r="H653" s="2"/>
      <c r="I653" s="2"/>
      <c r="J653" s="2"/>
      <c r="K653" s="2"/>
    </row>
    <row r="654">
      <c r="A654" s="2"/>
      <c r="B654" s="2"/>
      <c r="C654" s="2"/>
      <c r="D654" s="2"/>
      <c r="E654" s="2"/>
      <c r="F654" s="2"/>
      <c r="G654" s="2"/>
      <c r="H654" s="2"/>
      <c r="I654" s="2"/>
      <c r="J654" s="2"/>
      <c r="K654" s="2"/>
    </row>
    <row r="655">
      <c r="A655" s="2"/>
      <c r="B655" s="2"/>
      <c r="C655" s="2"/>
      <c r="D655" s="2"/>
      <c r="E655" s="2"/>
      <c r="F655" s="2"/>
      <c r="G655" s="2"/>
      <c r="H655" s="2"/>
      <c r="I655" s="2"/>
      <c r="J655" s="2"/>
      <c r="K655" s="2"/>
    </row>
    <row r="656">
      <c r="A656" s="2"/>
      <c r="B656" s="2"/>
      <c r="C656" s="2"/>
      <c r="D656" s="2"/>
      <c r="E656" s="2"/>
      <c r="F656" s="2"/>
      <c r="G656" s="2"/>
      <c r="H656" s="2"/>
      <c r="I656" s="2"/>
      <c r="J656" s="2"/>
      <c r="K656" s="2"/>
    </row>
    <row r="657">
      <c r="A657" s="2"/>
      <c r="B657" s="2"/>
      <c r="C657" s="2"/>
      <c r="D657" s="2"/>
      <c r="E657" s="2"/>
      <c r="F657" s="2"/>
      <c r="G657" s="2"/>
      <c r="H657" s="2"/>
      <c r="I657" s="2"/>
      <c r="J657" s="2"/>
      <c r="K657" s="2"/>
    </row>
    <row r="658">
      <c r="A658" s="2"/>
      <c r="B658" s="2"/>
      <c r="C658" s="2"/>
      <c r="D658" s="2"/>
      <c r="E658" s="2"/>
      <c r="F658" s="2"/>
      <c r="G658" s="2"/>
      <c r="H658" s="2"/>
      <c r="I658" s="2"/>
      <c r="J658" s="2"/>
      <c r="K658" s="2"/>
    </row>
    <row r="659">
      <c r="A659" s="2"/>
      <c r="B659" s="2"/>
      <c r="C659" s="2"/>
      <c r="D659" s="2"/>
      <c r="E659" s="2"/>
      <c r="F659" s="2"/>
      <c r="G659" s="2"/>
      <c r="H659" s="2"/>
      <c r="I659" s="2"/>
      <c r="J659" s="2"/>
      <c r="K659" s="2"/>
    </row>
    <row r="660">
      <c r="A660" s="2"/>
      <c r="B660" s="2"/>
      <c r="C660" s="2"/>
      <c r="D660" s="2"/>
      <c r="E660" s="2"/>
      <c r="F660" s="2"/>
      <c r="G660" s="2"/>
      <c r="H660" s="2"/>
      <c r="I660" s="2"/>
      <c r="J660" s="2"/>
      <c r="K660" s="2"/>
    </row>
    <row r="661">
      <c r="A661" s="2"/>
      <c r="B661" s="2"/>
      <c r="C661" s="2"/>
      <c r="D661" s="2"/>
      <c r="E661" s="2"/>
      <c r="F661" s="2"/>
      <c r="G661" s="2"/>
      <c r="H661" s="2"/>
      <c r="I661" s="2"/>
      <c r="J661" s="2"/>
      <c r="K661" s="2"/>
    </row>
    <row r="662">
      <c r="A662" s="2"/>
      <c r="B662" s="2"/>
      <c r="C662" s="2"/>
      <c r="D662" s="2"/>
      <c r="E662" s="2"/>
      <c r="F662" s="2"/>
      <c r="G662" s="2"/>
      <c r="H662" s="2"/>
      <c r="I662" s="2"/>
      <c r="J662" s="2"/>
      <c r="K662" s="2"/>
    </row>
    <row r="663">
      <c r="A663" s="2"/>
      <c r="B663" s="2"/>
      <c r="C663" s="2"/>
      <c r="D663" s="2"/>
      <c r="E663" s="2"/>
      <c r="F663" s="2"/>
      <c r="G663" s="2"/>
      <c r="H663" s="2"/>
      <c r="I663" s="2"/>
      <c r="J663" s="2"/>
      <c r="K663" s="2"/>
    </row>
    <row r="664">
      <c r="A664" s="2"/>
      <c r="B664" s="2"/>
      <c r="C664" s="2"/>
      <c r="D664" s="2"/>
      <c r="E664" s="2"/>
      <c r="F664" s="2"/>
      <c r="G664" s="2"/>
      <c r="H664" s="2"/>
      <c r="I664" s="2"/>
      <c r="J664" s="2"/>
      <c r="K664" s="2"/>
    </row>
    <row r="665">
      <c r="A665" s="2"/>
      <c r="B665" s="2"/>
      <c r="C665" s="2"/>
      <c r="D665" s="2"/>
      <c r="E665" s="2"/>
      <c r="F665" s="2"/>
      <c r="G665" s="2"/>
      <c r="H665" s="2"/>
      <c r="I665" s="2"/>
      <c r="J665" s="2"/>
      <c r="K665" s="2"/>
    </row>
    <row r="666">
      <c r="A666" s="2"/>
      <c r="B666" s="2"/>
      <c r="C666" s="2"/>
      <c r="D666" s="2"/>
      <c r="E666" s="2"/>
      <c r="F666" s="2"/>
      <c r="G666" s="2"/>
      <c r="H666" s="2"/>
      <c r="I666" s="2"/>
      <c r="J666" s="2"/>
      <c r="K666" s="2"/>
    </row>
    <row r="667">
      <c r="A667" s="2"/>
      <c r="B667" s="2"/>
      <c r="C667" s="2"/>
      <c r="D667" s="2"/>
      <c r="E667" s="2"/>
      <c r="F667" s="2"/>
      <c r="G667" s="2"/>
      <c r="H667" s="2"/>
      <c r="I667" s="2"/>
      <c r="J667" s="2"/>
      <c r="K667" s="2"/>
    </row>
    <row r="668">
      <c r="A668" s="2"/>
      <c r="B668" s="2"/>
      <c r="C668" s="2"/>
      <c r="D668" s="2"/>
      <c r="E668" s="2"/>
      <c r="F668" s="2"/>
      <c r="G668" s="2"/>
      <c r="H668" s="2"/>
      <c r="I668" s="2"/>
      <c r="J668" s="2"/>
      <c r="K668" s="2"/>
    </row>
    <row r="669">
      <c r="A669" s="2"/>
      <c r="B669" s="2"/>
      <c r="C669" s="2"/>
      <c r="D669" s="2"/>
      <c r="E669" s="2"/>
      <c r="F669" s="2"/>
      <c r="G669" s="2"/>
      <c r="H669" s="2"/>
      <c r="I669" s="2"/>
      <c r="J669" s="2"/>
      <c r="K669" s="2"/>
    </row>
    <row r="670">
      <c r="A670" s="2"/>
      <c r="B670" s="2"/>
      <c r="C670" s="2"/>
      <c r="D670" s="2"/>
      <c r="E670" s="2"/>
      <c r="F670" s="2"/>
      <c r="G670" s="2"/>
      <c r="H670" s="2"/>
      <c r="I670" s="2"/>
      <c r="J670" s="2"/>
      <c r="K670" s="2"/>
    </row>
    <row r="671">
      <c r="A671" s="2"/>
      <c r="B671" s="2"/>
      <c r="C671" s="2"/>
      <c r="D671" s="2"/>
      <c r="E671" s="2"/>
      <c r="F671" s="2"/>
      <c r="G671" s="2"/>
      <c r="H671" s="2"/>
      <c r="I671" s="2"/>
      <c r="J671" s="2"/>
      <c r="K671" s="2"/>
    </row>
    <row r="672">
      <c r="A672" s="2"/>
      <c r="B672" s="2"/>
      <c r="C672" s="2"/>
      <c r="D672" s="2"/>
      <c r="E672" s="2"/>
      <c r="F672" s="2"/>
      <c r="G672" s="2"/>
      <c r="H672" s="2"/>
      <c r="I672" s="2"/>
      <c r="J672" s="2"/>
      <c r="K672" s="2"/>
    </row>
    <row r="673">
      <c r="A673" s="2"/>
      <c r="B673" s="2"/>
      <c r="C673" s="2"/>
      <c r="D673" s="2"/>
      <c r="E673" s="2"/>
      <c r="F673" s="2"/>
      <c r="G673" s="2"/>
      <c r="H673" s="2"/>
      <c r="I673" s="2"/>
      <c r="J673" s="2"/>
      <c r="K673" s="2"/>
    </row>
    <row r="674">
      <c r="A674" s="2"/>
      <c r="B674" s="2"/>
      <c r="C674" s="2"/>
      <c r="D674" s="2"/>
      <c r="E674" s="2"/>
      <c r="F674" s="2"/>
      <c r="G674" s="2"/>
      <c r="H674" s="2"/>
      <c r="I674" s="2"/>
      <c r="J674" s="2"/>
      <c r="K674" s="2"/>
    </row>
    <row r="675">
      <c r="A675" s="2"/>
      <c r="B675" s="2"/>
      <c r="C675" s="2"/>
      <c r="D675" s="2"/>
      <c r="E675" s="2"/>
      <c r="F675" s="2"/>
      <c r="G675" s="2"/>
      <c r="H675" s="2"/>
      <c r="I675" s="2"/>
      <c r="J675" s="2"/>
      <c r="K675" s="2"/>
    </row>
    <row r="676">
      <c r="A676" s="2"/>
      <c r="B676" s="2"/>
      <c r="C676" s="2"/>
      <c r="D676" s="2"/>
      <c r="E676" s="2"/>
      <c r="F676" s="2"/>
      <c r="G676" s="2"/>
      <c r="H676" s="2"/>
      <c r="I676" s="2"/>
      <c r="J676" s="2"/>
      <c r="K676" s="2"/>
    </row>
    <row r="677">
      <c r="A677" s="2"/>
      <c r="B677" s="2"/>
      <c r="C677" s="2"/>
      <c r="D677" s="2"/>
      <c r="E677" s="2"/>
      <c r="F677" s="2"/>
      <c r="G677" s="2"/>
      <c r="H677" s="2"/>
      <c r="I677" s="2"/>
      <c r="J677" s="2"/>
      <c r="K677" s="2"/>
    </row>
    <row r="678">
      <c r="A678" s="2"/>
      <c r="B678" s="2"/>
      <c r="C678" s="2"/>
      <c r="D678" s="2"/>
      <c r="E678" s="2"/>
      <c r="F678" s="2"/>
      <c r="G678" s="2"/>
      <c r="H678" s="2"/>
      <c r="I678" s="2"/>
      <c r="J678" s="2"/>
      <c r="K678" s="2"/>
    </row>
    <row r="679">
      <c r="A679" s="2"/>
      <c r="B679" s="2"/>
      <c r="C679" s="2"/>
      <c r="D679" s="2"/>
      <c r="E679" s="2"/>
      <c r="F679" s="2"/>
      <c r="G679" s="2"/>
      <c r="H679" s="2"/>
      <c r="I679" s="2"/>
      <c r="J679" s="2"/>
      <c r="K679" s="2"/>
    </row>
    <row r="680">
      <c r="A680" s="2"/>
      <c r="B680" s="2"/>
      <c r="C680" s="2"/>
      <c r="D680" s="2"/>
      <c r="E680" s="2"/>
      <c r="F680" s="2"/>
      <c r="G680" s="2"/>
      <c r="H680" s="2"/>
      <c r="I680" s="2"/>
      <c r="J680" s="2"/>
      <c r="K680" s="2"/>
    </row>
    <row r="681">
      <c r="A681" s="2"/>
      <c r="B681" s="2"/>
      <c r="C681" s="2"/>
      <c r="D681" s="2"/>
      <c r="E681" s="2"/>
      <c r="F681" s="2"/>
      <c r="G681" s="2"/>
      <c r="H681" s="2"/>
      <c r="I681" s="2"/>
      <c r="J681" s="2"/>
      <c r="K681" s="2"/>
    </row>
    <row r="682">
      <c r="A682" s="2"/>
      <c r="B682" s="2"/>
      <c r="C682" s="2"/>
      <c r="D682" s="2"/>
      <c r="E682" s="2"/>
      <c r="F682" s="2"/>
      <c r="G682" s="2"/>
      <c r="H682" s="2"/>
      <c r="I682" s="2"/>
      <c r="J682" s="2"/>
      <c r="K682" s="2"/>
    </row>
    <row r="683">
      <c r="A683" s="2"/>
      <c r="B683" s="2"/>
      <c r="C683" s="2"/>
      <c r="D683" s="2"/>
      <c r="E683" s="2"/>
      <c r="F683" s="2"/>
      <c r="G683" s="2"/>
      <c r="H683" s="2"/>
      <c r="I683" s="2"/>
      <c r="J683" s="2"/>
      <c r="K683" s="2"/>
    </row>
    <row r="684">
      <c r="A684" s="2"/>
      <c r="B684" s="2"/>
      <c r="C684" s="2"/>
      <c r="D684" s="2"/>
      <c r="E684" s="2"/>
      <c r="F684" s="2"/>
      <c r="G684" s="2"/>
      <c r="H684" s="2"/>
      <c r="I684" s="2"/>
      <c r="J684" s="2"/>
      <c r="K684" s="2"/>
    </row>
    <row r="685">
      <c r="A685" s="2"/>
      <c r="B685" s="2"/>
      <c r="C685" s="2"/>
      <c r="D685" s="2"/>
      <c r="E685" s="2"/>
      <c r="F685" s="2"/>
      <c r="G685" s="2"/>
      <c r="H685" s="2"/>
      <c r="I685" s="2"/>
      <c r="J685" s="2"/>
      <c r="K685" s="2"/>
    </row>
    <row r="686">
      <c r="A686" s="2"/>
      <c r="B686" s="2"/>
      <c r="C686" s="2"/>
      <c r="D686" s="2"/>
      <c r="E686" s="2"/>
      <c r="F686" s="2"/>
      <c r="G686" s="2"/>
      <c r="H686" s="2"/>
      <c r="I686" s="2"/>
      <c r="J686" s="2"/>
      <c r="K686" s="2"/>
    </row>
    <row r="687">
      <c r="A687" s="2"/>
      <c r="B687" s="2"/>
      <c r="C687" s="2"/>
      <c r="D687" s="2"/>
      <c r="E687" s="2"/>
      <c r="F687" s="2"/>
      <c r="G687" s="2"/>
      <c r="H687" s="2"/>
      <c r="I687" s="2"/>
      <c r="J687" s="2"/>
      <c r="K687" s="2"/>
    </row>
    <row r="688">
      <c r="A688" s="2"/>
      <c r="B688" s="2"/>
      <c r="C688" s="2"/>
      <c r="D688" s="2"/>
      <c r="E688" s="2"/>
      <c r="F688" s="2"/>
      <c r="G688" s="2"/>
      <c r="H688" s="2"/>
      <c r="I688" s="2"/>
      <c r="J688" s="2"/>
      <c r="K688" s="2"/>
    </row>
    <row r="689">
      <c r="A689" s="2"/>
      <c r="B689" s="2"/>
      <c r="C689" s="2"/>
      <c r="D689" s="2"/>
      <c r="E689" s="2"/>
      <c r="F689" s="2"/>
      <c r="G689" s="2"/>
      <c r="H689" s="2"/>
      <c r="I689" s="2"/>
      <c r="J689" s="2"/>
      <c r="K689" s="2"/>
    </row>
    <row r="690">
      <c r="A690" s="2"/>
      <c r="B690" s="2"/>
      <c r="C690" s="2"/>
      <c r="D690" s="2"/>
      <c r="E690" s="2"/>
      <c r="F690" s="2"/>
      <c r="G690" s="2"/>
      <c r="H690" s="2"/>
      <c r="I690" s="2"/>
      <c r="J690" s="2"/>
      <c r="K690" s="2"/>
    </row>
    <row r="691">
      <c r="A691" s="2"/>
      <c r="B691" s="2"/>
      <c r="C691" s="2"/>
      <c r="D691" s="2"/>
      <c r="E691" s="2"/>
      <c r="F691" s="2"/>
      <c r="G691" s="2"/>
      <c r="H691" s="2"/>
      <c r="I691" s="2"/>
      <c r="J691" s="2"/>
      <c r="K691" s="2"/>
    </row>
    <row r="692">
      <c r="A692" s="2"/>
      <c r="B692" s="2"/>
      <c r="C692" s="2"/>
      <c r="D692" s="2"/>
      <c r="E692" s="2"/>
      <c r="F692" s="2"/>
      <c r="G692" s="2"/>
      <c r="H692" s="2"/>
      <c r="I692" s="2"/>
      <c r="J692" s="2"/>
      <c r="K692" s="2"/>
    </row>
    <row r="693">
      <c r="A693" s="2"/>
      <c r="B693" s="2"/>
      <c r="C693" s="2"/>
      <c r="D693" s="2"/>
      <c r="E693" s="2"/>
      <c r="F693" s="2"/>
      <c r="G693" s="2"/>
      <c r="H693" s="2"/>
      <c r="I693" s="2"/>
      <c r="J693" s="2"/>
      <c r="K693" s="2"/>
    </row>
    <row r="694">
      <c r="A694" s="2"/>
      <c r="B694" s="2"/>
      <c r="C694" s="2"/>
      <c r="D694" s="2"/>
      <c r="E694" s="2"/>
      <c r="F694" s="2"/>
      <c r="G694" s="2"/>
      <c r="H694" s="2"/>
      <c r="I694" s="2"/>
      <c r="J694" s="2"/>
      <c r="K694" s="2"/>
    </row>
    <row r="695">
      <c r="A695" s="2"/>
      <c r="B695" s="2"/>
      <c r="C695" s="2"/>
      <c r="D695" s="2"/>
      <c r="E695" s="2"/>
      <c r="F695" s="2"/>
      <c r="G695" s="2"/>
      <c r="H695" s="2"/>
      <c r="I695" s="2"/>
      <c r="J695" s="2"/>
      <c r="K695" s="2"/>
    </row>
    <row r="696">
      <c r="A696" s="2"/>
      <c r="B696" s="2"/>
      <c r="C696" s="2"/>
      <c r="D696" s="2"/>
      <c r="E696" s="2"/>
      <c r="F696" s="2"/>
      <c r="G696" s="2"/>
      <c r="H696" s="2"/>
      <c r="I696" s="2"/>
      <c r="J696" s="2"/>
      <c r="K696" s="2"/>
    </row>
    <row r="697">
      <c r="A697" s="2"/>
      <c r="B697" s="2"/>
      <c r="C697" s="2"/>
      <c r="D697" s="2"/>
      <c r="E697" s="2"/>
      <c r="F697" s="2"/>
      <c r="G697" s="2"/>
      <c r="H697" s="2"/>
      <c r="I697" s="2"/>
      <c r="J697" s="2"/>
      <c r="K697" s="2"/>
    </row>
    <row r="698">
      <c r="A698" s="2"/>
      <c r="B698" s="2"/>
      <c r="C698" s="2"/>
      <c r="D698" s="2"/>
      <c r="E698" s="2"/>
      <c r="F698" s="2"/>
      <c r="G698" s="2"/>
      <c r="H698" s="2"/>
      <c r="I698" s="2"/>
      <c r="J698" s="2"/>
      <c r="K698" s="2"/>
    </row>
    <row r="699">
      <c r="A699" s="2"/>
      <c r="B699" s="2"/>
      <c r="C699" s="2"/>
      <c r="D699" s="2"/>
      <c r="E699" s="2"/>
      <c r="F699" s="2"/>
      <c r="G699" s="2"/>
      <c r="H699" s="2"/>
      <c r="I699" s="2"/>
      <c r="J699" s="2"/>
      <c r="K699" s="2"/>
    </row>
    <row r="700">
      <c r="A700" s="2"/>
      <c r="B700" s="2"/>
      <c r="C700" s="2"/>
      <c r="D700" s="2"/>
      <c r="E700" s="2"/>
      <c r="F700" s="2"/>
      <c r="G700" s="2"/>
      <c r="H700" s="2"/>
      <c r="I700" s="2"/>
      <c r="J700" s="2"/>
      <c r="K700" s="2"/>
    </row>
    <row r="701">
      <c r="A701" s="2"/>
      <c r="B701" s="2"/>
      <c r="C701" s="2"/>
      <c r="D701" s="2"/>
      <c r="E701" s="2"/>
      <c r="F701" s="2"/>
      <c r="G701" s="2"/>
      <c r="H701" s="2"/>
      <c r="I701" s="2"/>
      <c r="J701" s="2"/>
      <c r="K701" s="2"/>
    </row>
    <row r="702">
      <c r="A702" s="2"/>
      <c r="B702" s="2"/>
      <c r="C702" s="2"/>
      <c r="D702" s="2"/>
      <c r="E702" s="2"/>
      <c r="F702" s="2"/>
      <c r="G702" s="2"/>
      <c r="H702" s="2"/>
      <c r="I702" s="2"/>
      <c r="J702" s="2"/>
      <c r="K702" s="2"/>
    </row>
    <row r="703">
      <c r="A703" s="2"/>
      <c r="B703" s="2"/>
      <c r="C703" s="2"/>
      <c r="D703" s="2"/>
      <c r="E703" s="2"/>
      <c r="F703" s="2"/>
      <c r="G703" s="2"/>
      <c r="H703" s="2"/>
      <c r="I703" s="2"/>
      <c r="J703" s="2"/>
      <c r="K703" s="2"/>
    </row>
    <row r="704">
      <c r="A704" s="2"/>
      <c r="B704" s="2"/>
      <c r="C704" s="2"/>
      <c r="D704" s="2"/>
      <c r="E704" s="2"/>
      <c r="F704" s="2"/>
      <c r="G704" s="2"/>
      <c r="H704" s="2"/>
      <c r="I704" s="2"/>
      <c r="J704" s="2"/>
      <c r="K704" s="2"/>
    </row>
    <row r="705">
      <c r="A705" s="2"/>
      <c r="B705" s="2"/>
      <c r="C705" s="2"/>
      <c r="D705" s="2"/>
      <c r="E705" s="2"/>
      <c r="F705" s="2"/>
      <c r="G705" s="2"/>
      <c r="H705" s="2"/>
      <c r="I705" s="2"/>
      <c r="J705" s="2"/>
      <c r="K705" s="2"/>
    </row>
    <row r="706">
      <c r="A706" s="2"/>
      <c r="B706" s="2"/>
      <c r="C706" s="2"/>
      <c r="D706" s="2"/>
      <c r="E706" s="2"/>
      <c r="F706" s="2"/>
      <c r="G706" s="2"/>
      <c r="H706" s="2"/>
      <c r="I706" s="2"/>
      <c r="J706" s="2"/>
      <c r="K706" s="2"/>
    </row>
    <row r="707">
      <c r="A707" s="2"/>
      <c r="B707" s="2"/>
      <c r="C707" s="2"/>
      <c r="D707" s="2"/>
      <c r="E707" s="2"/>
      <c r="F707" s="2"/>
      <c r="G707" s="2"/>
      <c r="H707" s="2"/>
      <c r="I707" s="2"/>
      <c r="J707" s="2"/>
      <c r="K707" s="2"/>
    </row>
    <row r="708">
      <c r="A708" s="2"/>
      <c r="B708" s="2"/>
      <c r="C708" s="2"/>
      <c r="D708" s="2"/>
      <c r="E708" s="2"/>
      <c r="F708" s="2"/>
      <c r="G708" s="2"/>
      <c r="H708" s="2"/>
      <c r="I708" s="2"/>
      <c r="J708" s="2"/>
      <c r="K708" s="2"/>
    </row>
    <row r="709">
      <c r="A709" s="2"/>
      <c r="B709" s="2"/>
      <c r="C709" s="2"/>
      <c r="D709" s="2"/>
      <c r="E709" s="2"/>
      <c r="F709" s="2"/>
      <c r="G709" s="2"/>
      <c r="H709" s="2"/>
      <c r="I709" s="2"/>
      <c r="J709" s="2"/>
      <c r="K709" s="2"/>
    </row>
    <row r="710">
      <c r="A710" s="2"/>
      <c r="B710" s="2"/>
      <c r="C710" s="2"/>
      <c r="D710" s="2"/>
      <c r="E710" s="2"/>
      <c r="F710" s="2"/>
      <c r="G710" s="2"/>
      <c r="H710" s="2"/>
      <c r="I710" s="2"/>
      <c r="J710" s="2"/>
      <c r="K710" s="2"/>
    </row>
    <row r="711">
      <c r="A711" s="2"/>
      <c r="B711" s="2"/>
      <c r="C711" s="2"/>
      <c r="D711" s="2"/>
      <c r="E711" s="2"/>
      <c r="F711" s="2"/>
      <c r="G711" s="2"/>
      <c r="H711" s="2"/>
      <c r="I711" s="2"/>
      <c r="J711" s="2"/>
      <c r="K711" s="2"/>
    </row>
    <row r="712">
      <c r="A712" s="2"/>
      <c r="B712" s="2"/>
      <c r="C712" s="2"/>
      <c r="D712" s="2"/>
      <c r="E712" s="2"/>
      <c r="F712" s="2"/>
      <c r="G712" s="2"/>
      <c r="H712" s="2"/>
      <c r="I712" s="2"/>
      <c r="J712" s="2"/>
      <c r="K712" s="2"/>
    </row>
    <row r="713">
      <c r="A713" s="2"/>
      <c r="B713" s="2"/>
      <c r="C713" s="2"/>
      <c r="D713" s="2"/>
      <c r="E713" s="2"/>
      <c r="F713" s="2"/>
      <c r="G713" s="2"/>
      <c r="H713" s="2"/>
      <c r="I713" s="2"/>
      <c r="J713" s="2"/>
      <c r="K713" s="2"/>
    </row>
    <row r="714">
      <c r="A714" s="2"/>
      <c r="B714" s="2"/>
      <c r="C714" s="2"/>
      <c r="D714" s="2"/>
      <c r="E714" s="2"/>
      <c r="F714" s="2"/>
      <c r="G714" s="2"/>
      <c r="H714" s="2"/>
      <c r="I714" s="2"/>
      <c r="J714" s="2"/>
      <c r="K714" s="2"/>
    </row>
    <row r="715">
      <c r="A715" s="2"/>
      <c r="B715" s="2"/>
      <c r="C715" s="2"/>
      <c r="D715" s="2"/>
      <c r="E715" s="2"/>
      <c r="F715" s="2"/>
      <c r="G715" s="2"/>
      <c r="H715" s="2"/>
      <c r="I715" s="2"/>
      <c r="J715" s="2"/>
      <c r="K715" s="2"/>
    </row>
    <row r="716">
      <c r="A716" s="2"/>
      <c r="B716" s="2"/>
      <c r="C716" s="2"/>
      <c r="D716" s="2"/>
      <c r="E716" s="2"/>
      <c r="F716" s="2"/>
      <c r="G716" s="2"/>
      <c r="H716" s="2"/>
      <c r="I716" s="2"/>
      <c r="J716" s="2"/>
      <c r="K716" s="2"/>
    </row>
    <row r="717">
      <c r="A717" s="2"/>
      <c r="B717" s="2"/>
      <c r="C717" s="2"/>
      <c r="D717" s="2"/>
      <c r="E717" s="2"/>
      <c r="F717" s="2"/>
      <c r="G717" s="2"/>
      <c r="H717" s="2"/>
      <c r="I717" s="2"/>
      <c r="J717" s="2"/>
      <c r="K717" s="2"/>
    </row>
    <row r="718">
      <c r="A718" s="2"/>
      <c r="B718" s="2"/>
      <c r="C718" s="2"/>
      <c r="D718" s="2"/>
      <c r="E718" s="2"/>
      <c r="F718" s="2"/>
      <c r="G718" s="2"/>
      <c r="H718" s="2"/>
      <c r="I718" s="2"/>
      <c r="J718" s="2"/>
      <c r="K718" s="2"/>
    </row>
    <row r="719">
      <c r="A719" s="2"/>
      <c r="B719" s="2"/>
      <c r="C719" s="2"/>
      <c r="D719" s="2"/>
      <c r="E719" s="2"/>
      <c r="F719" s="2"/>
      <c r="G719" s="2"/>
      <c r="H719" s="2"/>
      <c r="I719" s="2"/>
      <c r="J719" s="2"/>
      <c r="K719" s="2"/>
    </row>
    <row r="720">
      <c r="A720" s="2"/>
      <c r="B720" s="2"/>
      <c r="C720" s="2"/>
      <c r="D720" s="2"/>
      <c r="E720" s="2"/>
      <c r="F720" s="2"/>
      <c r="G720" s="2"/>
      <c r="H720" s="2"/>
      <c r="I720" s="2"/>
      <c r="J720" s="2"/>
      <c r="K720" s="2"/>
    </row>
    <row r="721">
      <c r="A721" s="2"/>
      <c r="B721" s="2"/>
      <c r="C721" s="2"/>
      <c r="D721" s="2"/>
      <c r="E721" s="2"/>
      <c r="F721" s="2"/>
      <c r="G721" s="2"/>
      <c r="H721" s="2"/>
      <c r="I721" s="2"/>
      <c r="J721" s="2"/>
      <c r="K721" s="2"/>
    </row>
    <row r="722">
      <c r="A722" s="2"/>
      <c r="B722" s="2"/>
      <c r="C722" s="2"/>
      <c r="D722" s="2"/>
      <c r="E722" s="2"/>
      <c r="F722" s="2"/>
      <c r="G722" s="2"/>
      <c r="H722" s="2"/>
      <c r="I722" s="2"/>
      <c r="J722" s="2"/>
      <c r="K722" s="2"/>
    </row>
    <row r="723">
      <c r="A723" s="2"/>
      <c r="B723" s="2"/>
      <c r="C723" s="2"/>
      <c r="D723" s="2"/>
      <c r="E723" s="2"/>
      <c r="F723" s="2"/>
      <c r="G723" s="2"/>
      <c r="H723" s="2"/>
      <c r="I723" s="2"/>
      <c r="J723" s="2"/>
      <c r="K723" s="2"/>
    </row>
    <row r="724">
      <c r="A724" s="2"/>
      <c r="B724" s="2"/>
      <c r="C724" s="2"/>
      <c r="D724" s="2"/>
      <c r="E724" s="2"/>
      <c r="F724" s="2"/>
      <c r="G724" s="2"/>
      <c r="H724" s="2"/>
      <c r="I724" s="2"/>
      <c r="J724" s="2"/>
      <c r="K724" s="2"/>
    </row>
    <row r="725">
      <c r="A725" s="2"/>
      <c r="B725" s="2"/>
      <c r="C725" s="2"/>
      <c r="D725" s="2"/>
      <c r="E725" s="2"/>
      <c r="F725" s="2"/>
      <c r="G725" s="2"/>
      <c r="H725" s="2"/>
      <c r="I725" s="2"/>
      <c r="J725" s="2"/>
      <c r="K725" s="2"/>
    </row>
    <row r="726">
      <c r="A726" s="2"/>
      <c r="B726" s="2"/>
      <c r="C726" s="2"/>
      <c r="D726" s="2"/>
      <c r="E726" s="2"/>
      <c r="F726" s="2"/>
      <c r="G726" s="2"/>
      <c r="H726" s="2"/>
      <c r="I726" s="2"/>
      <c r="J726" s="2"/>
      <c r="K726" s="2"/>
    </row>
    <row r="727">
      <c r="A727" s="2"/>
      <c r="B727" s="2"/>
      <c r="C727" s="2"/>
      <c r="D727" s="2"/>
      <c r="E727" s="2"/>
      <c r="F727" s="2"/>
      <c r="G727" s="2"/>
      <c r="H727" s="2"/>
      <c r="I727" s="2"/>
      <c r="J727" s="2"/>
      <c r="K727" s="2"/>
    </row>
    <row r="728">
      <c r="A728" s="2"/>
      <c r="B728" s="2"/>
      <c r="C728" s="2"/>
      <c r="D728" s="2"/>
      <c r="E728" s="2"/>
      <c r="F728" s="2"/>
      <c r="G728" s="2"/>
      <c r="H728" s="2"/>
      <c r="I728" s="2"/>
      <c r="J728" s="2"/>
      <c r="K728" s="2"/>
    </row>
    <row r="729">
      <c r="A729" s="2"/>
      <c r="B729" s="2"/>
      <c r="C729" s="2"/>
      <c r="D729" s="2"/>
      <c r="E729" s="2"/>
      <c r="F729" s="2"/>
      <c r="G729" s="2"/>
      <c r="H729" s="2"/>
      <c r="I729" s="2"/>
      <c r="J729" s="2"/>
      <c r="K729" s="2"/>
    </row>
    <row r="730">
      <c r="A730" s="2"/>
      <c r="B730" s="2"/>
      <c r="C730" s="2"/>
      <c r="D730" s="2"/>
      <c r="E730" s="2"/>
      <c r="F730" s="2"/>
      <c r="G730" s="2"/>
      <c r="H730" s="2"/>
      <c r="I730" s="2"/>
      <c r="J730" s="2"/>
      <c r="K730" s="2"/>
    </row>
    <row r="731">
      <c r="A731" s="2"/>
      <c r="B731" s="2"/>
      <c r="C731" s="2"/>
      <c r="D731" s="2"/>
      <c r="E731" s="2"/>
      <c r="F731" s="2"/>
      <c r="G731" s="2"/>
      <c r="H731" s="2"/>
      <c r="I731" s="2"/>
      <c r="J731" s="2"/>
      <c r="K731" s="2"/>
    </row>
    <row r="732">
      <c r="A732" s="2"/>
      <c r="B732" s="2"/>
      <c r="C732" s="2"/>
      <c r="D732" s="2"/>
      <c r="E732" s="2"/>
      <c r="F732" s="2"/>
      <c r="G732" s="2"/>
      <c r="H732" s="2"/>
      <c r="I732" s="2"/>
      <c r="J732" s="2"/>
      <c r="K732" s="2"/>
    </row>
    <row r="733">
      <c r="A733" s="2"/>
      <c r="B733" s="2"/>
      <c r="C733" s="2"/>
      <c r="D733" s="2"/>
      <c r="E733" s="2"/>
      <c r="F733" s="2"/>
      <c r="G733" s="2"/>
      <c r="H733" s="2"/>
      <c r="I733" s="2"/>
      <c r="J733" s="2"/>
      <c r="K733" s="2"/>
    </row>
    <row r="734">
      <c r="A734" s="2"/>
      <c r="B734" s="2"/>
      <c r="C734" s="2"/>
      <c r="D734" s="2"/>
      <c r="E734" s="2"/>
      <c r="F734" s="2"/>
      <c r="G734" s="2"/>
      <c r="H734" s="2"/>
      <c r="I734" s="2"/>
      <c r="J734" s="2"/>
      <c r="K734" s="2"/>
    </row>
    <row r="735">
      <c r="A735" s="2"/>
      <c r="B735" s="2"/>
      <c r="C735" s="2"/>
      <c r="D735" s="2"/>
      <c r="E735" s="2"/>
      <c r="F735" s="2"/>
      <c r="G735" s="2"/>
      <c r="H735" s="2"/>
      <c r="I735" s="2"/>
      <c r="J735" s="2"/>
      <c r="K735" s="2"/>
    </row>
    <row r="736">
      <c r="A736" s="2"/>
      <c r="B736" s="2"/>
      <c r="C736" s="2"/>
      <c r="D736" s="2"/>
      <c r="E736" s="2"/>
      <c r="F736" s="2"/>
      <c r="G736" s="2"/>
      <c r="H736" s="2"/>
      <c r="I736" s="2"/>
      <c r="J736" s="2"/>
      <c r="K736" s="2"/>
    </row>
    <row r="737">
      <c r="A737" s="2"/>
      <c r="B737" s="2"/>
      <c r="C737" s="2"/>
      <c r="D737" s="2"/>
      <c r="E737" s="2"/>
      <c r="F737" s="2"/>
      <c r="G737" s="2"/>
      <c r="H737" s="2"/>
      <c r="I737" s="2"/>
      <c r="J737" s="2"/>
      <c r="K737" s="2"/>
    </row>
    <row r="738">
      <c r="A738" s="2"/>
      <c r="B738" s="2"/>
      <c r="C738" s="2"/>
      <c r="D738" s="2"/>
      <c r="E738" s="2"/>
      <c r="F738" s="2"/>
      <c r="G738" s="2"/>
      <c r="H738" s="2"/>
      <c r="I738" s="2"/>
      <c r="J738" s="2"/>
      <c r="K738" s="2"/>
    </row>
    <row r="739">
      <c r="A739" s="2"/>
      <c r="B739" s="2"/>
      <c r="C739" s="2"/>
      <c r="D739" s="2"/>
      <c r="E739" s="2"/>
      <c r="F739" s="2"/>
      <c r="G739" s="2"/>
      <c r="H739" s="2"/>
      <c r="I739" s="2"/>
      <c r="J739" s="2"/>
      <c r="K739" s="2"/>
    </row>
    <row r="740">
      <c r="A740" s="2"/>
      <c r="B740" s="2"/>
      <c r="C740" s="2"/>
      <c r="D740" s="2"/>
      <c r="E740" s="2"/>
      <c r="F740" s="2"/>
      <c r="G740" s="2"/>
      <c r="H740" s="2"/>
      <c r="I740" s="2"/>
      <c r="J740" s="2"/>
      <c r="K740" s="2"/>
    </row>
    <row r="741">
      <c r="A741" s="2"/>
      <c r="B741" s="2"/>
      <c r="C741" s="2"/>
      <c r="D741" s="2"/>
      <c r="E741" s="2"/>
      <c r="F741" s="2"/>
      <c r="G741" s="2"/>
      <c r="H741" s="2"/>
      <c r="I741" s="2"/>
      <c r="J741" s="2"/>
      <c r="K741" s="2"/>
    </row>
    <row r="742">
      <c r="A742" s="2"/>
      <c r="B742" s="2"/>
      <c r="C742" s="2"/>
      <c r="D742" s="2"/>
      <c r="E742" s="2"/>
      <c r="F742" s="2"/>
      <c r="G742" s="2"/>
      <c r="H742" s="2"/>
      <c r="I742" s="2"/>
      <c r="J742" s="2"/>
      <c r="K742" s="2"/>
    </row>
    <row r="743">
      <c r="A743" s="2"/>
      <c r="B743" s="2"/>
      <c r="C743" s="2"/>
      <c r="D743" s="2"/>
      <c r="E743" s="2"/>
      <c r="F743" s="2"/>
      <c r="G743" s="2"/>
      <c r="H743" s="2"/>
      <c r="I743" s="2"/>
      <c r="J743" s="2"/>
      <c r="K743" s="2"/>
    </row>
    <row r="744">
      <c r="A744" s="2"/>
      <c r="B744" s="2"/>
      <c r="C744" s="2"/>
      <c r="D744" s="2"/>
      <c r="E744" s="2"/>
      <c r="F744" s="2"/>
      <c r="G744" s="2"/>
      <c r="H744" s="2"/>
      <c r="I744" s="2"/>
      <c r="J744" s="2"/>
      <c r="K744" s="2"/>
    </row>
    <row r="745">
      <c r="A745" s="2"/>
      <c r="B745" s="2"/>
      <c r="C745" s="2"/>
      <c r="D745" s="2"/>
      <c r="E745" s="2"/>
      <c r="F745" s="2"/>
      <c r="G745" s="2"/>
      <c r="H745" s="2"/>
      <c r="I745" s="2"/>
      <c r="J745" s="2"/>
      <c r="K745" s="2"/>
    </row>
    <row r="746">
      <c r="A746" s="2"/>
      <c r="B746" s="2"/>
      <c r="C746" s="2"/>
      <c r="D746" s="2"/>
      <c r="E746" s="2"/>
      <c r="F746" s="2"/>
      <c r="G746" s="2"/>
      <c r="H746" s="2"/>
      <c r="I746" s="2"/>
      <c r="J746" s="2"/>
      <c r="K746" s="2"/>
    </row>
    <row r="747">
      <c r="A747" s="2"/>
      <c r="B747" s="2"/>
      <c r="C747" s="2"/>
      <c r="D747" s="2"/>
      <c r="E747" s="2"/>
      <c r="F747" s="2"/>
      <c r="G747" s="2"/>
      <c r="H747" s="2"/>
      <c r="I747" s="2"/>
      <c r="J747" s="2"/>
      <c r="K747" s="2"/>
    </row>
    <row r="748">
      <c r="A748" s="2"/>
      <c r="B748" s="2"/>
      <c r="C748" s="2"/>
      <c r="D748" s="2"/>
      <c r="E748" s="2"/>
      <c r="F748" s="2"/>
      <c r="G748" s="2"/>
      <c r="H748" s="2"/>
      <c r="I748" s="2"/>
      <c r="J748" s="2"/>
      <c r="K748" s="2"/>
    </row>
    <row r="749">
      <c r="A749" s="2"/>
      <c r="B749" s="2"/>
      <c r="C749" s="2"/>
      <c r="D749" s="2"/>
      <c r="E749" s="2"/>
      <c r="F749" s="2"/>
      <c r="G749" s="2"/>
      <c r="H749" s="2"/>
      <c r="I749" s="2"/>
      <c r="J749" s="2"/>
      <c r="K749" s="2"/>
    </row>
    <row r="750">
      <c r="A750" s="2"/>
      <c r="B750" s="2"/>
      <c r="C750" s="2"/>
      <c r="D750" s="2"/>
      <c r="E750" s="2"/>
      <c r="F750" s="2"/>
      <c r="G750" s="2"/>
      <c r="H750" s="2"/>
      <c r="I750" s="2"/>
      <c r="J750" s="2"/>
      <c r="K750" s="2"/>
    </row>
    <row r="751">
      <c r="A751" s="2"/>
      <c r="B751" s="2"/>
      <c r="C751" s="2"/>
      <c r="D751" s="2"/>
      <c r="E751" s="2"/>
      <c r="F751" s="2"/>
      <c r="G751" s="2"/>
      <c r="H751" s="2"/>
      <c r="I751" s="2"/>
      <c r="J751" s="2"/>
      <c r="K751" s="2"/>
    </row>
    <row r="752">
      <c r="A752" s="2"/>
      <c r="B752" s="2"/>
      <c r="C752" s="2"/>
      <c r="D752" s="2"/>
      <c r="E752" s="2"/>
      <c r="F752" s="2"/>
      <c r="G752" s="2"/>
      <c r="H752" s="2"/>
      <c r="I752" s="2"/>
      <c r="J752" s="2"/>
      <c r="K752" s="2"/>
    </row>
    <row r="753">
      <c r="A753" s="2"/>
      <c r="B753" s="2"/>
      <c r="C753" s="2"/>
      <c r="D753" s="2"/>
      <c r="E753" s="2"/>
      <c r="F753" s="2"/>
      <c r="G753" s="2"/>
      <c r="H753" s="2"/>
      <c r="I753" s="2"/>
      <c r="J753" s="2"/>
      <c r="K753" s="2"/>
    </row>
    <row r="754">
      <c r="A754" s="2"/>
      <c r="B754" s="2"/>
      <c r="C754" s="2"/>
      <c r="D754" s="2"/>
      <c r="E754" s="2"/>
      <c r="F754" s="2"/>
      <c r="G754" s="2"/>
      <c r="H754" s="2"/>
      <c r="I754" s="2"/>
      <c r="J754" s="2"/>
      <c r="K754" s="2"/>
    </row>
    <row r="755">
      <c r="A755" s="2"/>
      <c r="B755" s="2"/>
      <c r="C755" s="2"/>
      <c r="D755" s="2"/>
      <c r="E755" s="2"/>
      <c r="F755" s="2"/>
      <c r="G755" s="2"/>
      <c r="H755" s="2"/>
      <c r="I755" s="2"/>
      <c r="J755" s="2"/>
      <c r="K755" s="2"/>
    </row>
    <row r="756">
      <c r="A756" s="2"/>
      <c r="B756" s="2"/>
      <c r="C756" s="2"/>
      <c r="D756" s="2"/>
      <c r="E756" s="2"/>
      <c r="F756" s="2"/>
      <c r="G756" s="2"/>
      <c r="H756" s="2"/>
      <c r="I756" s="2"/>
      <c r="J756" s="2"/>
      <c r="K756" s="2"/>
    </row>
    <row r="757">
      <c r="A757" s="2"/>
      <c r="B757" s="2"/>
      <c r="C757" s="2"/>
      <c r="D757" s="2"/>
      <c r="E757" s="2"/>
      <c r="F757" s="2"/>
      <c r="G757" s="2"/>
      <c r="H757" s="2"/>
      <c r="I757" s="2"/>
      <c r="J757" s="2"/>
      <c r="K757" s="2"/>
    </row>
    <row r="758">
      <c r="A758" s="2"/>
      <c r="B758" s="2"/>
      <c r="C758" s="2"/>
      <c r="D758" s="2"/>
      <c r="E758" s="2"/>
      <c r="F758" s="2"/>
      <c r="G758" s="2"/>
      <c r="H758" s="2"/>
      <c r="I758" s="2"/>
      <c r="J758" s="2"/>
      <c r="K758" s="2"/>
    </row>
    <row r="759">
      <c r="A759" s="2"/>
      <c r="B759" s="2"/>
      <c r="C759" s="2"/>
      <c r="D759" s="2"/>
      <c r="E759" s="2"/>
      <c r="F759" s="2"/>
      <c r="G759" s="2"/>
      <c r="H759" s="2"/>
      <c r="I759" s="2"/>
      <c r="J759" s="2"/>
      <c r="K759" s="2"/>
    </row>
    <row r="760">
      <c r="A760" s="2"/>
      <c r="B760" s="2"/>
      <c r="C760" s="2"/>
      <c r="D760" s="2"/>
      <c r="E760" s="2"/>
      <c r="F760" s="2"/>
      <c r="G760" s="2"/>
      <c r="H760" s="2"/>
      <c r="I760" s="2"/>
      <c r="J760" s="2"/>
      <c r="K760" s="2"/>
    </row>
    <row r="761">
      <c r="A761" s="2"/>
      <c r="B761" s="2"/>
      <c r="C761" s="2"/>
      <c r="D761" s="2"/>
      <c r="E761" s="2"/>
      <c r="F761" s="2"/>
      <c r="G761" s="2"/>
      <c r="H761" s="2"/>
      <c r="I761" s="2"/>
      <c r="J761" s="2"/>
      <c r="K761" s="2"/>
    </row>
    <row r="762">
      <c r="A762" s="2"/>
      <c r="B762" s="2"/>
      <c r="C762" s="2"/>
      <c r="D762" s="2"/>
      <c r="E762" s="2"/>
      <c r="F762" s="2"/>
      <c r="G762" s="2"/>
      <c r="H762" s="2"/>
      <c r="I762" s="2"/>
      <c r="J762" s="2"/>
      <c r="K762" s="2"/>
    </row>
    <row r="763">
      <c r="A763" s="2"/>
      <c r="B763" s="2"/>
      <c r="C763" s="2"/>
      <c r="D763" s="2"/>
      <c r="E763" s="2"/>
      <c r="F763" s="2"/>
      <c r="G763" s="2"/>
      <c r="H763" s="2"/>
      <c r="I763" s="2"/>
      <c r="J763" s="2"/>
      <c r="K763" s="2"/>
    </row>
    <row r="764">
      <c r="A764" s="2"/>
      <c r="B764" s="2"/>
      <c r="C764" s="2"/>
      <c r="D764" s="2"/>
      <c r="E764" s="2"/>
      <c r="F764" s="2"/>
      <c r="G764" s="2"/>
      <c r="H764" s="2"/>
      <c r="I764" s="2"/>
      <c r="J764" s="2"/>
      <c r="K764" s="2"/>
    </row>
    <row r="765">
      <c r="A765" s="2"/>
      <c r="B765" s="2"/>
      <c r="C765" s="2"/>
      <c r="D765" s="2"/>
      <c r="E765" s="2"/>
      <c r="F765" s="2"/>
      <c r="G765" s="2"/>
      <c r="H765" s="2"/>
      <c r="I765" s="2"/>
      <c r="J765" s="2"/>
      <c r="K765" s="2"/>
    </row>
    <row r="766">
      <c r="A766" s="2"/>
      <c r="B766" s="2"/>
      <c r="C766" s="2"/>
      <c r="D766" s="2"/>
      <c r="E766" s="2"/>
      <c r="F766" s="2"/>
      <c r="G766" s="2"/>
      <c r="H766" s="2"/>
      <c r="I766" s="2"/>
      <c r="J766" s="2"/>
      <c r="K766" s="2"/>
    </row>
    <row r="767">
      <c r="A767" s="2"/>
      <c r="B767" s="2"/>
      <c r="C767" s="2"/>
      <c r="D767" s="2"/>
      <c r="E767" s="2"/>
      <c r="F767" s="2"/>
      <c r="G767" s="2"/>
      <c r="H767" s="2"/>
      <c r="I767" s="2"/>
      <c r="J767" s="2"/>
      <c r="K767" s="2"/>
    </row>
    <row r="768">
      <c r="A768" s="2"/>
      <c r="B768" s="2"/>
      <c r="C768" s="2"/>
      <c r="D768" s="2"/>
      <c r="E768" s="2"/>
      <c r="F768" s="2"/>
      <c r="G768" s="2"/>
      <c r="H768" s="2"/>
      <c r="I768" s="2"/>
      <c r="J768" s="2"/>
      <c r="K768" s="2"/>
    </row>
    <row r="769">
      <c r="A769" s="2"/>
      <c r="B769" s="2"/>
      <c r="C769" s="2"/>
      <c r="D769" s="2"/>
      <c r="E769" s="2"/>
      <c r="F769" s="2"/>
      <c r="G769" s="2"/>
      <c r="H769" s="2"/>
      <c r="I769" s="2"/>
      <c r="J769" s="2"/>
      <c r="K769" s="2"/>
    </row>
    <row r="770">
      <c r="A770" s="2"/>
      <c r="B770" s="2"/>
      <c r="C770" s="2"/>
      <c r="D770" s="2"/>
      <c r="E770" s="2"/>
      <c r="F770" s="2"/>
      <c r="G770" s="2"/>
      <c r="H770" s="2"/>
      <c r="I770" s="2"/>
      <c r="J770" s="2"/>
      <c r="K770" s="2"/>
    </row>
    <row r="771">
      <c r="A771" s="2"/>
      <c r="B771" s="2"/>
      <c r="C771" s="2"/>
      <c r="D771" s="2"/>
      <c r="E771" s="2"/>
      <c r="F771" s="2"/>
      <c r="G771" s="2"/>
      <c r="H771" s="2"/>
      <c r="I771" s="2"/>
      <c r="J771" s="2"/>
      <c r="K771" s="2"/>
    </row>
    <row r="772">
      <c r="A772" s="2"/>
      <c r="B772" s="2"/>
      <c r="C772" s="2"/>
      <c r="D772" s="2"/>
      <c r="E772" s="2"/>
      <c r="F772" s="2"/>
      <c r="G772" s="2"/>
      <c r="H772" s="2"/>
      <c r="I772" s="2"/>
      <c r="J772" s="2"/>
      <c r="K772" s="2"/>
    </row>
    <row r="773">
      <c r="A773" s="2"/>
      <c r="B773" s="2"/>
      <c r="C773" s="2"/>
      <c r="D773" s="2"/>
      <c r="E773" s="2"/>
      <c r="F773" s="2"/>
      <c r="G773" s="2"/>
      <c r="H773" s="2"/>
      <c r="I773" s="2"/>
      <c r="J773" s="2"/>
      <c r="K773" s="2"/>
    </row>
    <row r="774">
      <c r="A774" s="2"/>
      <c r="B774" s="2"/>
      <c r="C774" s="2"/>
      <c r="D774" s="2"/>
      <c r="E774" s="2"/>
      <c r="F774" s="2"/>
      <c r="G774" s="2"/>
      <c r="H774" s="2"/>
      <c r="I774" s="2"/>
      <c r="J774" s="2"/>
      <c r="K774" s="2"/>
    </row>
    <row r="775">
      <c r="A775" s="2"/>
      <c r="B775" s="2"/>
      <c r="C775" s="2"/>
      <c r="D775" s="2"/>
      <c r="E775" s="2"/>
      <c r="F775" s="2"/>
      <c r="G775" s="2"/>
      <c r="H775" s="2"/>
      <c r="I775" s="2"/>
      <c r="J775" s="2"/>
      <c r="K775" s="2"/>
    </row>
    <row r="776">
      <c r="A776" s="2"/>
      <c r="B776" s="2"/>
      <c r="C776" s="2"/>
      <c r="D776" s="2"/>
      <c r="E776" s="2"/>
      <c r="F776" s="2"/>
      <c r="G776" s="2"/>
      <c r="H776" s="2"/>
      <c r="I776" s="2"/>
      <c r="J776" s="2"/>
      <c r="K776" s="2"/>
    </row>
    <row r="777">
      <c r="A777" s="2"/>
      <c r="B777" s="2"/>
      <c r="C777" s="2"/>
      <c r="D777" s="2"/>
      <c r="E777" s="2"/>
      <c r="F777" s="2"/>
      <c r="G777" s="2"/>
      <c r="H777" s="2"/>
      <c r="I777" s="2"/>
      <c r="J777" s="2"/>
      <c r="K777" s="2"/>
    </row>
    <row r="778">
      <c r="A778" s="2"/>
      <c r="B778" s="2"/>
      <c r="C778" s="2"/>
      <c r="D778" s="2"/>
      <c r="E778" s="2"/>
      <c r="F778" s="2"/>
      <c r="G778" s="2"/>
      <c r="H778" s="2"/>
      <c r="I778" s="2"/>
      <c r="J778" s="2"/>
      <c r="K778" s="2"/>
    </row>
    <row r="779">
      <c r="A779" s="2"/>
      <c r="B779" s="2"/>
      <c r="C779" s="2"/>
      <c r="D779" s="2"/>
      <c r="E779" s="2"/>
      <c r="F779" s="2"/>
      <c r="G779" s="2"/>
      <c r="H779" s="2"/>
      <c r="I779" s="2"/>
      <c r="J779" s="2"/>
      <c r="K779" s="2"/>
    </row>
    <row r="780">
      <c r="A780" s="2"/>
      <c r="B780" s="2"/>
      <c r="C780" s="2"/>
      <c r="D780" s="2"/>
      <c r="E780" s="2"/>
      <c r="F780" s="2"/>
      <c r="G780" s="2"/>
      <c r="H780" s="2"/>
      <c r="I780" s="2"/>
      <c r="J780" s="2"/>
      <c r="K780" s="2"/>
    </row>
    <row r="781">
      <c r="A781" s="2"/>
      <c r="B781" s="2"/>
      <c r="C781" s="2"/>
      <c r="D781" s="2"/>
      <c r="E781" s="2"/>
      <c r="F781" s="2"/>
      <c r="G781" s="2"/>
      <c r="H781" s="2"/>
      <c r="I781" s="2"/>
      <c r="J781" s="2"/>
      <c r="K781" s="2"/>
    </row>
    <row r="782">
      <c r="A782" s="2"/>
      <c r="B782" s="2"/>
      <c r="C782" s="2"/>
      <c r="D782" s="2"/>
      <c r="E782" s="2"/>
      <c r="F782" s="2"/>
      <c r="G782" s="2"/>
      <c r="H782" s="2"/>
      <c r="I782" s="2"/>
      <c r="J782" s="2"/>
      <c r="K782" s="2"/>
    </row>
    <row r="783">
      <c r="A783" s="2"/>
      <c r="B783" s="2"/>
      <c r="C783" s="2"/>
      <c r="D783" s="2"/>
      <c r="E783" s="2"/>
      <c r="F783" s="2"/>
      <c r="G783" s="2"/>
      <c r="H783" s="2"/>
      <c r="I783" s="2"/>
      <c r="J783" s="2"/>
      <c r="K783" s="2"/>
    </row>
    <row r="784">
      <c r="A784" s="2"/>
      <c r="B784" s="2"/>
      <c r="C784" s="2"/>
      <c r="D784" s="2"/>
      <c r="E784" s="2"/>
      <c r="F784" s="2"/>
      <c r="G784" s="2"/>
      <c r="H784" s="2"/>
      <c r="I784" s="2"/>
      <c r="J784" s="2"/>
      <c r="K784" s="2"/>
    </row>
    <row r="785">
      <c r="A785" s="2"/>
      <c r="B785" s="2"/>
      <c r="C785" s="2"/>
      <c r="D785" s="2"/>
      <c r="E785" s="2"/>
      <c r="F785" s="2"/>
      <c r="G785" s="2"/>
      <c r="H785" s="2"/>
      <c r="I785" s="2"/>
      <c r="J785" s="2"/>
      <c r="K785" s="2"/>
    </row>
    <row r="786">
      <c r="A786" s="2"/>
      <c r="B786" s="2"/>
      <c r="C786" s="2"/>
      <c r="D786" s="2"/>
      <c r="E786" s="2"/>
      <c r="F786" s="2"/>
      <c r="G786" s="2"/>
      <c r="H786" s="2"/>
      <c r="I786" s="2"/>
      <c r="J786" s="2"/>
      <c r="K786" s="2"/>
    </row>
    <row r="787">
      <c r="A787" s="2"/>
      <c r="B787" s="2"/>
      <c r="C787" s="2"/>
      <c r="D787" s="2"/>
      <c r="E787" s="2"/>
      <c r="F787" s="2"/>
      <c r="G787" s="2"/>
      <c r="H787" s="2"/>
      <c r="I787" s="2"/>
      <c r="J787" s="2"/>
      <c r="K787" s="2"/>
    </row>
    <row r="788">
      <c r="A788" s="2"/>
      <c r="B788" s="2"/>
      <c r="C788" s="2"/>
      <c r="D788" s="2"/>
      <c r="E788" s="2"/>
      <c r="F788" s="2"/>
      <c r="G788" s="2"/>
      <c r="H788" s="2"/>
      <c r="I788" s="2"/>
      <c r="J788" s="2"/>
      <c r="K788" s="2"/>
    </row>
    <row r="789">
      <c r="A789" s="2"/>
      <c r="B789" s="2"/>
      <c r="C789" s="2"/>
      <c r="D789" s="2"/>
      <c r="E789" s="2"/>
      <c r="F789" s="2"/>
      <c r="G789" s="2"/>
      <c r="H789" s="2"/>
      <c r="I789" s="2"/>
      <c r="J789" s="2"/>
      <c r="K789" s="2"/>
    </row>
    <row r="790">
      <c r="A790" s="2"/>
      <c r="B790" s="2"/>
      <c r="C790" s="2"/>
      <c r="D790" s="2"/>
      <c r="E790" s="2"/>
      <c r="F790" s="2"/>
      <c r="G790" s="2"/>
      <c r="H790" s="2"/>
      <c r="I790" s="2"/>
      <c r="J790" s="2"/>
      <c r="K790" s="2"/>
    </row>
    <row r="791">
      <c r="A791" s="2"/>
      <c r="B791" s="2"/>
      <c r="C791" s="2"/>
      <c r="D791" s="2"/>
      <c r="E791" s="2"/>
      <c r="F791" s="2"/>
      <c r="G791" s="2"/>
      <c r="H791" s="2"/>
      <c r="I791" s="2"/>
      <c r="J791" s="2"/>
      <c r="K791" s="2"/>
    </row>
    <row r="792">
      <c r="A792" s="2"/>
      <c r="B792" s="2"/>
      <c r="C792" s="2"/>
      <c r="D792" s="2"/>
      <c r="E792" s="2"/>
      <c r="F792" s="2"/>
      <c r="G792" s="2"/>
      <c r="H792" s="2"/>
      <c r="I792" s="2"/>
      <c r="J792" s="2"/>
      <c r="K792" s="2"/>
    </row>
    <row r="793">
      <c r="A793" s="2"/>
      <c r="B793" s="2"/>
      <c r="C793" s="2"/>
      <c r="D793" s="2"/>
      <c r="E793" s="2"/>
      <c r="F793" s="2"/>
      <c r="G793" s="2"/>
      <c r="H793" s="2"/>
      <c r="I793" s="2"/>
      <c r="J793" s="2"/>
      <c r="K793" s="2"/>
    </row>
    <row r="794">
      <c r="A794" s="2"/>
      <c r="B794" s="2"/>
      <c r="C794" s="2"/>
      <c r="D794" s="2"/>
      <c r="E794" s="2"/>
      <c r="F794" s="2"/>
      <c r="G794" s="2"/>
      <c r="H794" s="2"/>
      <c r="I794" s="2"/>
      <c r="J794" s="2"/>
      <c r="K794" s="2"/>
    </row>
    <row r="795">
      <c r="A795" s="2"/>
      <c r="B795" s="2"/>
      <c r="C795" s="2"/>
      <c r="D795" s="2"/>
      <c r="E795" s="2"/>
      <c r="F795" s="2"/>
      <c r="G795" s="2"/>
      <c r="H795" s="2"/>
      <c r="I795" s="2"/>
      <c r="J795" s="2"/>
      <c r="K795" s="2"/>
    </row>
    <row r="796">
      <c r="A796" s="2"/>
      <c r="B796" s="2"/>
      <c r="C796" s="2"/>
      <c r="D796" s="2"/>
      <c r="E796" s="2"/>
      <c r="F796" s="2"/>
      <c r="G796" s="2"/>
      <c r="H796" s="2"/>
      <c r="I796" s="2"/>
      <c r="J796" s="2"/>
      <c r="K796" s="2"/>
    </row>
    <row r="797">
      <c r="A797" s="2"/>
      <c r="B797" s="2"/>
      <c r="C797" s="2"/>
      <c r="D797" s="2"/>
      <c r="E797" s="2"/>
      <c r="F797" s="2"/>
      <c r="G797" s="2"/>
      <c r="H797" s="2"/>
      <c r="I797" s="2"/>
      <c r="J797" s="2"/>
      <c r="K797" s="2"/>
    </row>
    <row r="798">
      <c r="A798" s="2"/>
      <c r="B798" s="2"/>
      <c r="C798" s="2"/>
      <c r="D798" s="2"/>
      <c r="E798" s="2"/>
      <c r="F798" s="2"/>
      <c r="G798" s="2"/>
      <c r="H798" s="2"/>
      <c r="I798" s="2"/>
      <c r="J798" s="2"/>
      <c r="K798" s="2"/>
    </row>
    <row r="799">
      <c r="A799" s="2"/>
      <c r="B799" s="2"/>
      <c r="C799" s="2"/>
      <c r="D799" s="2"/>
      <c r="E799" s="2"/>
      <c r="F799" s="2"/>
      <c r="G799" s="2"/>
      <c r="H799" s="2"/>
      <c r="I799" s="2"/>
      <c r="J799" s="2"/>
      <c r="K799" s="2"/>
    </row>
    <row r="800">
      <c r="A800" s="2"/>
      <c r="B800" s="2"/>
      <c r="C800" s="2"/>
      <c r="D800" s="2"/>
      <c r="E800" s="2"/>
      <c r="F800" s="2"/>
      <c r="G800" s="2"/>
      <c r="H800" s="2"/>
      <c r="I800" s="2"/>
      <c r="J800" s="2"/>
      <c r="K800" s="2"/>
    </row>
    <row r="801">
      <c r="A801" s="2"/>
      <c r="B801" s="2"/>
      <c r="C801" s="2"/>
      <c r="D801" s="2"/>
      <c r="E801" s="2"/>
      <c r="F801" s="2"/>
      <c r="G801" s="2"/>
      <c r="H801" s="2"/>
      <c r="I801" s="2"/>
      <c r="J801" s="2"/>
      <c r="K801" s="2"/>
    </row>
    <row r="802">
      <c r="A802" s="2"/>
      <c r="B802" s="2"/>
      <c r="C802" s="2"/>
      <c r="D802" s="2"/>
      <c r="E802" s="2"/>
      <c r="F802" s="2"/>
      <c r="G802" s="2"/>
      <c r="H802" s="2"/>
      <c r="I802" s="2"/>
      <c r="J802" s="2"/>
      <c r="K802" s="2"/>
    </row>
    <row r="803">
      <c r="A803" s="2"/>
      <c r="B803" s="2"/>
      <c r="C803" s="2"/>
      <c r="D803" s="2"/>
      <c r="E803" s="2"/>
      <c r="F803" s="2"/>
      <c r="G803" s="2"/>
      <c r="H803" s="2"/>
      <c r="I803" s="2"/>
      <c r="J803" s="2"/>
      <c r="K803" s="2"/>
    </row>
    <row r="804">
      <c r="A804" s="2"/>
      <c r="B804" s="2"/>
      <c r="C804" s="2"/>
      <c r="D804" s="2"/>
      <c r="E804" s="2"/>
      <c r="F804" s="2"/>
      <c r="G804" s="2"/>
      <c r="H804" s="2"/>
      <c r="I804" s="2"/>
      <c r="J804" s="2"/>
      <c r="K804" s="2"/>
    </row>
    <row r="805">
      <c r="A805" s="2"/>
      <c r="B805" s="2"/>
      <c r="C805" s="2"/>
      <c r="D805" s="2"/>
      <c r="E805" s="2"/>
      <c r="F805" s="2"/>
      <c r="G805" s="2"/>
      <c r="H805" s="2"/>
      <c r="I805" s="2"/>
      <c r="J805" s="2"/>
      <c r="K805" s="2"/>
    </row>
    <row r="806">
      <c r="A806" s="2"/>
      <c r="B806" s="2"/>
      <c r="C806" s="2"/>
      <c r="D806" s="2"/>
      <c r="E806" s="2"/>
      <c r="F806" s="2"/>
      <c r="G806" s="2"/>
      <c r="H806" s="2"/>
      <c r="I806" s="2"/>
      <c r="J806" s="2"/>
      <c r="K806" s="2"/>
    </row>
    <row r="807">
      <c r="A807" s="2"/>
      <c r="B807" s="2"/>
      <c r="C807" s="2"/>
      <c r="D807" s="2"/>
      <c r="E807" s="2"/>
      <c r="F807" s="2"/>
      <c r="G807" s="2"/>
      <c r="H807" s="2"/>
      <c r="I807" s="2"/>
      <c r="J807" s="2"/>
      <c r="K807" s="2"/>
    </row>
    <row r="808">
      <c r="A808" s="2"/>
      <c r="B808" s="2"/>
      <c r="C808" s="2"/>
      <c r="D808" s="2"/>
      <c r="E808" s="2"/>
      <c r="F808" s="2"/>
      <c r="G808" s="2"/>
      <c r="H808" s="2"/>
      <c r="I808" s="2"/>
      <c r="J808" s="2"/>
      <c r="K808" s="2"/>
    </row>
    <row r="809">
      <c r="A809" s="2"/>
      <c r="B809" s="2"/>
      <c r="C809" s="2"/>
      <c r="D809" s="2"/>
      <c r="E809" s="2"/>
      <c r="F809" s="2"/>
      <c r="G809" s="2"/>
      <c r="H809" s="2"/>
      <c r="I809" s="2"/>
      <c r="J809" s="2"/>
      <c r="K809" s="2"/>
    </row>
    <row r="810">
      <c r="A810" s="2"/>
      <c r="B810" s="2"/>
      <c r="C810" s="2"/>
      <c r="D810" s="2"/>
      <c r="E810" s="2"/>
      <c r="F810" s="2"/>
      <c r="G810" s="2"/>
      <c r="H810" s="2"/>
      <c r="I810" s="2"/>
      <c r="J810" s="2"/>
      <c r="K810" s="2"/>
    </row>
    <row r="811">
      <c r="A811" s="2"/>
      <c r="B811" s="2"/>
      <c r="C811" s="2"/>
      <c r="D811" s="2"/>
      <c r="E811" s="2"/>
      <c r="F811" s="2"/>
      <c r="G811" s="2"/>
      <c r="H811" s="2"/>
      <c r="I811" s="2"/>
      <c r="J811" s="2"/>
      <c r="K811" s="2"/>
    </row>
    <row r="812">
      <c r="A812" s="2"/>
      <c r="B812" s="2"/>
      <c r="C812" s="2"/>
      <c r="D812" s="2"/>
      <c r="E812" s="2"/>
      <c r="F812" s="2"/>
      <c r="G812" s="2"/>
      <c r="H812" s="2"/>
      <c r="I812" s="2"/>
      <c r="J812" s="2"/>
      <c r="K812" s="2"/>
    </row>
    <row r="813">
      <c r="A813" s="2"/>
      <c r="B813" s="2"/>
      <c r="C813" s="2"/>
      <c r="D813" s="2"/>
      <c r="E813" s="2"/>
      <c r="F813" s="2"/>
      <c r="G813" s="2"/>
      <c r="H813" s="2"/>
      <c r="I813" s="2"/>
      <c r="J813" s="2"/>
      <c r="K813" s="2"/>
    </row>
    <row r="814">
      <c r="A814" s="2"/>
      <c r="B814" s="2"/>
      <c r="C814" s="2"/>
      <c r="D814" s="2"/>
      <c r="E814" s="2"/>
      <c r="F814" s="2"/>
      <c r="G814" s="2"/>
      <c r="H814" s="2"/>
      <c r="I814" s="2"/>
      <c r="J814" s="2"/>
      <c r="K814" s="2"/>
    </row>
    <row r="815">
      <c r="A815" s="2"/>
      <c r="B815" s="2"/>
      <c r="C815" s="2"/>
      <c r="D815" s="2"/>
      <c r="E815" s="2"/>
      <c r="F815" s="2"/>
      <c r="G815" s="2"/>
      <c r="H815" s="2"/>
      <c r="I815" s="2"/>
      <c r="J815" s="2"/>
      <c r="K815" s="2"/>
    </row>
    <row r="816">
      <c r="A816" s="2"/>
      <c r="B816" s="2"/>
      <c r="C816" s="2"/>
      <c r="D816" s="2"/>
      <c r="E816" s="2"/>
      <c r="F816" s="2"/>
      <c r="G816" s="2"/>
      <c r="H816" s="2"/>
      <c r="I816" s="2"/>
      <c r="J816" s="2"/>
      <c r="K816" s="2"/>
    </row>
    <row r="817">
      <c r="A817" s="2"/>
      <c r="B817" s="2"/>
      <c r="C817" s="2"/>
      <c r="D817" s="2"/>
      <c r="E817" s="2"/>
      <c r="F817" s="2"/>
      <c r="G817" s="2"/>
      <c r="H817" s="2"/>
      <c r="I817" s="2"/>
      <c r="J817" s="2"/>
      <c r="K817" s="2"/>
    </row>
    <row r="818">
      <c r="A818" s="2"/>
      <c r="B818" s="2"/>
      <c r="C818" s="2"/>
      <c r="D818" s="2"/>
      <c r="E818" s="2"/>
      <c r="F818" s="2"/>
      <c r="G818" s="2"/>
      <c r="H818" s="2"/>
      <c r="I818" s="2"/>
      <c r="J818" s="2"/>
      <c r="K818" s="2"/>
    </row>
    <row r="819">
      <c r="A819" s="2"/>
      <c r="B819" s="2"/>
      <c r="C819" s="2"/>
      <c r="D819" s="2"/>
      <c r="E819" s="2"/>
      <c r="F819" s="2"/>
      <c r="G819" s="2"/>
      <c r="H819" s="2"/>
      <c r="I819" s="2"/>
      <c r="J819" s="2"/>
      <c r="K819" s="2"/>
    </row>
    <row r="820">
      <c r="A820" s="2"/>
      <c r="B820" s="2"/>
      <c r="C820" s="2"/>
      <c r="D820" s="2"/>
      <c r="E820" s="2"/>
      <c r="F820" s="2"/>
      <c r="G820" s="2"/>
      <c r="H820" s="2"/>
      <c r="I820" s="2"/>
      <c r="J820" s="2"/>
      <c r="K820" s="2"/>
    </row>
    <row r="821">
      <c r="A821" s="2"/>
      <c r="B821" s="2"/>
      <c r="C821" s="2"/>
      <c r="D821" s="2"/>
      <c r="E821" s="2"/>
      <c r="F821" s="2"/>
      <c r="G821" s="2"/>
      <c r="H821" s="2"/>
      <c r="I821" s="2"/>
      <c r="J821" s="2"/>
      <c r="K821" s="2"/>
    </row>
    <row r="822">
      <c r="A822" s="2"/>
      <c r="B822" s="2"/>
      <c r="C822" s="2"/>
      <c r="D822" s="2"/>
      <c r="E822" s="2"/>
      <c r="F822" s="2"/>
      <c r="G822" s="2"/>
      <c r="H822" s="2"/>
      <c r="I822" s="2"/>
      <c r="J822" s="2"/>
      <c r="K822" s="2"/>
    </row>
    <row r="823">
      <c r="A823" s="2"/>
      <c r="B823" s="2"/>
      <c r="C823" s="2"/>
      <c r="D823" s="2"/>
      <c r="E823" s="2"/>
      <c r="F823" s="2"/>
      <c r="G823" s="2"/>
      <c r="H823" s="2"/>
      <c r="I823" s="2"/>
      <c r="J823" s="2"/>
      <c r="K823" s="2"/>
    </row>
    <row r="824">
      <c r="A824" s="2"/>
      <c r="B824" s="2"/>
      <c r="C824" s="2"/>
      <c r="D824" s="2"/>
      <c r="E824" s="2"/>
      <c r="F824" s="2"/>
      <c r="G824" s="2"/>
      <c r="H824" s="2"/>
      <c r="I824" s="2"/>
      <c r="J824" s="2"/>
      <c r="K824" s="2"/>
    </row>
    <row r="825">
      <c r="A825" s="2"/>
      <c r="B825" s="2"/>
      <c r="C825" s="2"/>
      <c r="D825" s="2"/>
      <c r="E825" s="2"/>
      <c r="F825" s="2"/>
      <c r="G825" s="2"/>
      <c r="H825" s="2"/>
      <c r="I825" s="2"/>
      <c r="J825" s="2"/>
      <c r="K825" s="2"/>
    </row>
    <row r="826">
      <c r="A826" s="2"/>
      <c r="B826" s="2"/>
      <c r="C826" s="2"/>
      <c r="D826" s="2"/>
      <c r="E826" s="2"/>
      <c r="F826" s="2"/>
      <c r="G826" s="2"/>
      <c r="H826" s="2"/>
      <c r="I826" s="2"/>
      <c r="J826" s="2"/>
      <c r="K826" s="2"/>
    </row>
    <row r="827">
      <c r="A827" s="2"/>
      <c r="B827" s="2"/>
      <c r="C827" s="2"/>
      <c r="D827" s="2"/>
      <c r="E827" s="2"/>
      <c r="F827" s="2"/>
      <c r="G827" s="2"/>
      <c r="H827" s="2"/>
      <c r="I827" s="2"/>
      <c r="J827" s="2"/>
      <c r="K827" s="2"/>
    </row>
    <row r="828">
      <c r="A828" s="2"/>
      <c r="B828" s="2"/>
      <c r="C828" s="2"/>
      <c r="D828" s="2"/>
      <c r="E828" s="2"/>
      <c r="F828" s="2"/>
      <c r="G828" s="2"/>
      <c r="H828" s="2"/>
      <c r="I828" s="2"/>
      <c r="J828" s="2"/>
      <c r="K828" s="2"/>
    </row>
    <row r="829">
      <c r="A829" s="2"/>
      <c r="B829" s="2"/>
      <c r="C829" s="2"/>
      <c r="D829" s="2"/>
      <c r="E829" s="2"/>
      <c r="F829" s="2"/>
      <c r="G829" s="2"/>
      <c r="H829" s="2"/>
      <c r="I829" s="2"/>
      <c r="J829" s="2"/>
      <c r="K829" s="2"/>
    </row>
    <row r="830">
      <c r="A830" s="2"/>
      <c r="B830" s="2"/>
      <c r="C830" s="2"/>
      <c r="D830" s="2"/>
      <c r="E830" s="2"/>
      <c r="F830" s="2"/>
      <c r="G830" s="2"/>
      <c r="H830" s="2"/>
      <c r="I830" s="2"/>
      <c r="J830" s="2"/>
      <c r="K830" s="2"/>
    </row>
    <row r="831">
      <c r="A831" s="2"/>
      <c r="B831" s="2"/>
      <c r="C831" s="2"/>
      <c r="D831" s="2"/>
      <c r="E831" s="2"/>
      <c r="F831" s="2"/>
      <c r="G831" s="2"/>
      <c r="H831" s="2"/>
      <c r="I831" s="2"/>
      <c r="J831" s="2"/>
      <c r="K831" s="2"/>
    </row>
    <row r="832">
      <c r="A832" s="2"/>
      <c r="B832" s="2"/>
      <c r="C832" s="2"/>
      <c r="D832" s="2"/>
      <c r="E832" s="2"/>
      <c r="F832" s="2"/>
      <c r="G832" s="2"/>
      <c r="H832" s="2"/>
      <c r="I832" s="2"/>
      <c r="J832" s="2"/>
      <c r="K832" s="2"/>
    </row>
    <row r="833">
      <c r="A833" s="2"/>
      <c r="B833" s="2"/>
      <c r="C833" s="2"/>
      <c r="D833" s="2"/>
      <c r="E833" s="2"/>
      <c r="F833" s="2"/>
      <c r="G833" s="2"/>
      <c r="H833" s="2"/>
      <c r="I833" s="2"/>
      <c r="J833" s="2"/>
      <c r="K833" s="2"/>
    </row>
    <row r="834">
      <c r="A834" s="2"/>
      <c r="B834" s="2"/>
      <c r="C834" s="2"/>
      <c r="D834" s="2"/>
      <c r="E834" s="2"/>
      <c r="F834" s="2"/>
      <c r="G834" s="2"/>
      <c r="H834" s="2"/>
      <c r="I834" s="2"/>
      <c r="J834" s="2"/>
      <c r="K834" s="2"/>
    </row>
    <row r="835">
      <c r="A835" s="2"/>
      <c r="B835" s="2"/>
      <c r="C835" s="2"/>
      <c r="D835" s="2"/>
      <c r="E835" s="2"/>
      <c r="F835" s="2"/>
      <c r="G835" s="2"/>
      <c r="H835" s="2"/>
      <c r="I835" s="2"/>
      <c r="J835" s="2"/>
      <c r="K835" s="2"/>
    </row>
    <row r="836">
      <c r="A836" s="2"/>
      <c r="B836" s="2"/>
      <c r="C836" s="2"/>
      <c r="D836" s="2"/>
      <c r="E836" s="2"/>
      <c r="F836" s="2"/>
      <c r="G836" s="2"/>
      <c r="H836" s="2"/>
      <c r="I836" s="2"/>
      <c r="J836" s="2"/>
      <c r="K836" s="2"/>
    </row>
    <row r="837">
      <c r="A837" s="2"/>
      <c r="B837" s="2"/>
      <c r="C837" s="2"/>
      <c r="D837" s="2"/>
      <c r="E837" s="2"/>
      <c r="F837" s="2"/>
      <c r="G837" s="2"/>
      <c r="H837" s="2"/>
      <c r="I837" s="2"/>
      <c r="J837" s="2"/>
      <c r="K837" s="2"/>
    </row>
    <row r="838">
      <c r="A838" s="2"/>
      <c r="B838" s="2"/>
      <c r="C838" s="2"/>
      <c r="D838" s="2"/>
      <c r="E838" s="2"/>
      <c r="F838" s="2"/>
      <c r="G838" s="2"/>
      <c r="H838" s="2"/>
      <c r="I838" s="2"/>
      <c r="J838" s="2"/>
      <c r="K838" s="2"/>
    </row>
    <row r="839">
      <c r="A839" s="2"/>
      <c r="B839" s="2"/>
      <c r="C839" s="2"/>
      <c r="D839" s="2"/>
      <c r="E839" s="2"/>
      <c r="F839" s="2"/>
      <c r="G839" s="2"/>
      <c r="H839" s="2"/>
      <c r="I839" s="2"/>
      <c r="J839" s="2"/>
      <c r="K839" s="2"/>
    </row>
    <row r="840">
      <c r="A840" s="2"/>
      <c r="B840" s="2"/>
      <c r="C840" s="2"/>
      <c r="D840" s="2"/>
      <c r="E840" s="2"/>
      <c r="F840" s="2"/>
      <c r="G840" s="2"/>
      <c r="H840" s="2"/>
      <c r="I840" s="2"/>
      <c r="J840" s="2"/>
      <c r="K840" s="2"/>
    </row>
    <row r="841">
      <c r="A841" s="2"/>
      <c r="B841" s="2"/>
      <c r="C841" s="2"/>
      <c r="D841" s="2"/>
      <c r="E841" s="2"/>
      <c r="F841" s="2"/>
      <c r="G841" s="2"/>
      <c r="H841" s="2"/>
      <c r="I841" s="2"/>
      <c r="J841" s="2"/>
      <c r="K841" s="2"/>
    </row>
    <row r="842">
      <c r="A842" s="2"/>
      <c r="B842" s="2"/>
      <c r="C842" s="2"/>
      <c r="D842" s="2"/>
      <c r="E842" s="2"/>
      <c r="F842" s="2"/>
      <c r="G842" s="2"/>
      <c r="H842" s="2"/>
      <c r="I842" s="2"/>
      <c r="J842" s="2"/>
      <c r="K842" s="2"/>
    </row>
    <row r="843">
      <c r="A843" s="2"/>
      <c r="B843" s="2"/>
      <c r="C843" s="2"/>
      <c r="D843" s="2"/>
      <c r="E843" s="2"/>
      <c r="F843" s="2"/>
      <c r="G843" s="2"/>
      <c r="H843" s="2"/>
      <c r="I843" s="2"/>
      <c r="J843" s="2"/>
      <c r="K843" s="2"/>
    </row>
    <row r="844">
      <c r="A844" s="2"/>
      <c r="B844" s="2"/>
      <c r="C844" s="2"/>
      <c r="D844" s="2"/>
      <c r="E844" s="2"/>
      <c r="F844" s="2"/>
      <c r="G844" s="2"/>
      <c r="H844" s="2"/>
      <c r="I844" s="2"/>
      <c r="J844" s="2"/>
      <c r="K844" s="2"/>
    </row>
    <row r="845">
      <c r="A845" s="2"/>
      <c r="B845" s="2"/>
      <c r="C845" s="2"/>
      <c r="D845" s="2"/>
      <c r="E845" s="2"/>
      <c r="F845" s="2"/>
      <c r="G845" s="2"/>
      <c r="H845" s="2"/>
      <c r="I845" s="2"/>
      <c r="J845" s="2"/>
      <c r="K845" s="2"/>
    </row>
    <row r="846">
      <c r="A846" s="2"/>
      <c r="B846" s="2"/>
      <c r="C846" s="2"/>
      <c r="D846" s="2"/>
      <c r="E846" s="2"/>
      <c r="F846" s="2"/>
      <c r="G846" s="2"/>
      <c r="H846" s="2"/>
      <c r="I846" s="2"/>
      <c r="J846" s="2"/>
      <c r="K846" s="2"/>
    </row>
    <row r="847">
      <c r="A847" s="2"/>
      <c r="B847" s="2"/>
      <c r="C847" s="2"/>
      <c r="D847" s="2"/>
      <c r="E847" s="2"/>
      <c r="F847" s="2"/>
      <c r="G847" s="2"/>
      <c r="H847" s="2"/>
      <c r="I847" s="2"/>
      <c r="J847" s="2"/>
      <c r="K847" s="2"/>
    </row>
    <row r="848">
      <c r="A848" s="2"/>
      <c r="B848" s="2"/>
      <c r="C848" s="2"/>
      <c r="D848" s="2"/>
      <c r="E848" s="2"/>
      <c r="F848" s="2"/>
      <c r="G848" s="2"/>
      <c r="H848" s="2"/>
      <c r="I848" s="2"/>
      <c r="J848" s="2"/>
      <c r="K848" s="2"/>
    </row>
    <row r="849">
      <c r="A849" s="2"/>
      <c r="B849" s="2"/>
      <c r="C849" s="2"/>
      <c r="D849" s="2"/>
      <c r="E849" s="2"/>
      <c r="F849" s="2"/>
      <c r="G849" s="2"/>
      <c r="H849" s="2"/>
      <c r="I849" s="2"/>
      <c r="J849" s="2"/>
      <c r="K849" s="2"/>
    </row>
    <row r="850">
      <c r="A850" s="2"/>
      <c r="B850" s="2"/>
      <c r="C850" s="2"/>
      <c r="D850" s="2"/>
      <c r="E850" s="2"/>
      <c r="F850" s="2"/>
      <c r="G850" s="2"/>
      <c r="H850" s="2"/>
      <c r="I850" s="2"/>
      <c r="J850" s="2"/>
      <c r="K850" s="2"/>
    </row>
    <row r="851">
      <c r="A851" s="2"/>
      <c r="B851" s="2"/>
      <c r="C851" s="2"/>
      <c r="D851" s="2"/>
      <c r="E851" s="2"/>
      <c r="F851" s="2"/>
      <c r="G851" s="2"/>
      <c r="H851" s="2"/>
      <c r="I851" s="2"/>
      <c r="J851" s="2"/>
      <c r="K851" s="2"/>
    </row>
    <row r="852">
      <c r="A852" s="2"/>
      <c r="B852" s="2"/>
      <c r="C852" s="2"/>
      <c r="D852" s="2"/>
      <c r="E852" s="2"/>
      <c r="F852" s="2"/>
      <c r="G852" s="2"/>
      <c r="H852" s="2"/>
      <c r="I852" s="2"/>
      <c r="J852" s="2"/>
      <c r="K852" s="2"/>
    </row>
    <row r="853">
      <c r="A853" s="2"/>
      <c r="B853" s="2"/>
      <c r="C853" s="2"/>
      <c r="D853" s="2"/>
      <c r="E853" s="2"/>
      <c r="F853" s="2"/>
      <c r="G853" s="2"/>
      <c r="H853" s="2"/>
      <c r="I853" s="2"/>
      <c r="J853" s="2"/>
      <c r="K853" s="2"/>
    </row>
    <row r="854">
      <c r="A854" s="2"/>
      <c r="B854" s="2"/>
      <c r="C854" s="2"/>
      <c r="D854" s="2"/>
      <c r="E854" s="2"/>
      <c r="F854" s="2"/>
      <c r="G854" s="2"/>
      <c r="H854" s="2"/>
      <c r="I854" s="2"/>
      <c r="J854" s="2"/>
      <c r="K854" s="2"/>
    </row>
    <row r="855">
      <c r="A855" s="2"/>
      <c r="B855" s="2"/>
      <c r="C855" s="2"/>
      <c r="D855" s="2"/>
      <c r="E855" s="2"/>
      <c r="F855" s="2"/>
      <c r="G855" s="2"/>
      <c r="H855" s="2"/>
      <c r="I855" s="2"/>
      <c r="J855" s="2"/>
      <c r="K855" s="2"/>
    </row>
    <row r="856">
      <c r="A856" s="2"/>
      <c r="B856" s="2"/>
      <c r="C856" s="2"/>
      <c r="D856" s="2"/>
      <c r="E856" s="2"/>
      <c r="F856" s="2"/>
      <c r="G856" s="2"/>
      <c r="H856" s="2"/>
      <c r="I856" s="2"/>
      <c r="J856" s="2"/>
      <c r="K856" s="2"/>
    </row>
    <row r="857">
      <c r="A857" s="2"/>
      <c r="B857" s="2"/>
      <c r="C857" s="2"/>
      <c r="D857" s="2"/>
      <c r="E857" s="2"/>
      <c r="F857" s="2"/>
      <c r="G857" s="2"/>
      <c r="H857" s="2"/>
      <c r="I857" s="2"/>
      <c r="J857" s="2"/>
      <c r="K857" s="2"/>
    </row>
    <row r="858">
      <c r="A858" s="2"/>
      <c r="B858" s="2"/>
      <c r="C858" s="2"/>
      <c r="D858" s="2"/>
      <c r="E858" s="2"/>
      <c r="F858" s="2"/>
      <c r="G858" s="2"/>
      <c r="H858" s="2"/>
      <c r="I858" s="2"/>
      <c r="J858" s="2"/>
      <c r="K858" s="2"/>
    </row>
    <row r="859">
      <c r="A859" s="2"/>
      <c r="B859" s="2"/>
      <c r="C859" s="2"/>
      <c r="D859" s="2"/>
      <c r="E859" s="2"/>
      <c r="F859" s="2"/>
      <c r="G859" s="2"/>
      <c r="H859" s="2"/>
      <c r="I859" s="2"/>
      <c r="J859" s="2"/>
      <c r="K859" s="2"/>
    </row>
    <row r="860">
      <c r="A860" s="2"/>
      <c r="B860" s="2"/>
      <c r="C860" s="2"/>
      <c r="D860" s="2"/>
      <c r="E860" s="2"/>
      <c r="F860" s="2"/>
      <c r="G860" s="2"/>
      <c r="H860" s="2"/>
      <c r="I860" s="2"/>
      <c r="J860" s="2"/>
      <c r="K860" s="2"/>
    </row>
    <row r="861">
      <c r="A861" s="2"/>
      <c r="B861" s="2"/>
      <c r="C861" s="2"/>
      <c r="D861" s="2"/>
      <c r="E861" s="2"/>
      <c r="F861" s="2"/>
      <c r="G861" s="2"/>
      <c r="H861" s="2"/>
      <c r="I861" s="2"/>
      <c r="J861" s="2"/>
      <c r="K861" s="2"/>
    </row>
    <row r="862">
      <c r="A862" s="2"/>
      <c r="B862" s="2"/>
      <c r="C862" s="2"/>
      <c r="D862" s="2"/>
      <c r="E862" s="2"/>
      <c r="F862" s="2"/>
      <c r="G862" s="2"/>
      <c r="H862" s="2"/>
      <c r="I862" s="2"/>
      <c r="J862" s="2"/>
      <c r="K862" s="2"/>
    </row>
    <row r="863">
      <c r="A863" s="2"/>
      <c r="B863" s="2"/>
      <c r="C863" s="2"/>
      <c r="D863" s="2"/>
      <c r="E863" s="2"/>
      <c r="F863" s="2"/>
      <c r="G863" s="2"/>
      <c r="H863" s="2"/>
      <c r="I863" s="2"/>
      <c r="J863" s="2"/>
      <c r="K863" s="2"/>
    </row>
    <row r="864">
      <c r="A864" s="2"/>
      <c r="B864" s="2"/>
      <c r="C864" s="2"/>
      <c r="D864" s="2"/>
      <c r="E864" s="2"/>
      <c r="F864" s="2"/>
      <c r="G864" s="2"/>
      <c r="H864" s="2"/>
      <c r="I864" s="2"/>
      <c r="J864" s="2"/>
      <c r="K864" s="2"/>
    </row>
    <row r="865">
      <c r="A865" s="2"/>
      <c r="B865" s="2"/>
      <c r="C865" s="2"/>
      <c r="D865" s="2"/>
      <c r="E865" s="2"/>
      <c r="F865" s="2"/>
      <c r="G865" s="2"/>
      <c r="H865" s="2"/>
      <c r="I865" s="2"/>
      <c r="J865" s="2"/>
      <c r="K865" s="2"/>
    </row>
    <row r="866">
      <c r="A866" s="2"/>
      <c r="B866" s="2"/>
      <c r="C866" s="2"/>
      <c r="D866" s="2"/>
      <c r="E866" s="2"/>
      <c r="F866" s="2"/>
      <c r="G866" s="2"/>
      <c r="H866" s="2"/>
      <c r="I866" s="2"/>
      <c r="J866" s="2"/>
      <c r="K866" s="2"/>
    </row>
    <row r="867">
      <c r="A867" s="2"/>
      <c r="B867" s="2"/>
      <c r="C867" s="2"/>
      <c r="D867" s="2"/>
      <c r="E867" s="2"/>
      <c r="F867" s="2"/>
      <c r="G867" s="2"/>
      <c r="H867" s="2"/>
      <c r="I867" s="2"/>
      <c r="J867" s="2"/>
      <c r="K867" s="2"/>
    </row>
    <row r="868">
      <c r="A868" s="2"/>
      <c r="B868" s="2"/>
      <c r="C868" s="2"/>
      <c r="D868" s="2"/>
      <c r="E868" s="2"/>
      <c r="F868" s="2"/>
      <c r="G868" s="2"/>
      <c r="H868" s="2"/>
      <c r="I868" s="2"/>
      <c r="J868" s="2"/>
      <c r="K868" s="2"/>
    </row>
    <row r="869">
      <c r="A869" s="2"/>
      <c r="B869" s="2"/>
      <c r="C869" s="2"/>
      <c r="D869" s="2"/>
      <c r="E869" s="2"/>
      <c r="F869" s="2"/>
      <c r="G869" s="2"/>
      <c r="H869" s="2"/>
      <c r="I869" s="2"/>
      <c r="J869" s="2"/>
      <c r="K869" s="2"/>
    </row>
    <row r="870">
      <c r="A870" s="2"/>
      <c r="B870" s="2"/>
      <c r="C870" s="2"/>
      <c r="D870" s="2"/>
      <c r="E870" s="2"/>
      <c r="F870" s="2"/>
      <c r="G870" s="2"/>
      <c r="H870" s="2"/>
      <c r="I870" s="2"/>
      <c r="J870" s="2"/>
      <c r="K870" s="2"/>
    </row>
    <row r="871">
      <c r="A871" s="2"/>
      <c r="B871" s="2"/>
      <c r="C871" s="2"/>
      <c r="D871" s="2"/>
      <c r="E871" s="2"/>
      <c r="F871" s="2"/>
      <c r="G871" s="2"/>
      <c r="H871" s="2"/>
      <c r="I871" s="2"/>
      <c r="J871" s="2"/>
      <c r="K871" s="2"/>
    </row>
    <row r="872">
      <c r="A872" s="2"/>
      <c r="B872" s="2"/>
      <c r="C872" s="2"/>
      <c r="D872" s="2"/>
      <c r="E872" s="2"/>
      <c r="F872" s="2"/>
      <c r="G872" s="2"/>
      <c r="H872" s="2"/>
      <c r="I872" s="2"/>
      <c r="J872" s="2"/>
      <c r="K872" s="2"/>
    </row>
    <row r="873">
      <c r="A873" s="2"/>
      <c r="B873" s="2"/>
      <c r="C873" s="2"/>
      <c r="D873" s="2"/>
      <c r="E873" s="2"/>
      <c r="F873" s="2"/>
      <c r="G873" s="2"/>
      <c r="H873" s="2"/>
      <c r="I873" s="2"/>
      <c r="J873" s="2"/>
      <c r="K873" s="2"/>
    </row>
    <row r="874">
      <c r="A874" s="2"/>
      <c r="B874" s="2"/>
      <c r="C874" s="2"/>
      <c r="D874" s="2"/>
      <c r="E874" s="2"/>
      <c r="F874" s="2"/>
      <c r="G874" s="2"/>
      <c r="H874" s="2"/>
      <c r="I874" s="2"/>
      <c r="J874" s="2"/>
      <c r="K874" s="2"/>
    </row>
    <row r="875">
      <c r="A875" s="2"/>
      <c r="B875" s="2"/>
      <c r="C875" s="2"/>
      <c r="D875" s="2"/>
      <c r="E875" s="2"/>
      <c r="F875" s="2"/>
      <c r="G875" s="2"/>
      <c r="H875" s="2"/>
      <c r="I875" s="2"/>
      <c r="J875" s="2"/>
      <c r="K875" s="2"/>
    </row>
    <row r="876">
      <c r="A876" s="2"/>
      <c r="B876" s="2"/>
      <c r="C876" s="2"/>
      <c r="D876" s="2"/>
      <c r="E876" s="2"/>
      <c r="F876" s="2"/>
      <c r="G876" s="2"/>
      <c r="H876" s="2"/>
      <c r="I876" s="2"/>
      <c r="J876" s="2"/>
      <c r="K876" s="2"/>
    </row>
    <row r="877">
      <c r="A877" s="2"/>
      <c r="B877" s="2"/>
      <c r="C877" s="2"/>
      <c r="D877" s="2"/>
      <c r="E877" s="2"/>
      <c r="F877" s="2"/>
      <c r="G877" s="2"/>
      <c r="H877" s="2"/>
      <c r="I877" s="2"/>
      <c r="J877" s="2"/>
      <c r="K877" s="2"/>
    </row>
    <row r="878">
      <c r="A878" s="2"/>
      <c r="B878" s="2"/>
      <c r="C878" s="2"/>
      <c r="D878" s="2"/>
      <c r="E878" s="2"/>
      <c r="F878" s="2"/>
      <c r="G878" s="2"/>
      <c r="H878" s="2"/>
      <c r="I878" s="2"/>
      <c r="J878" s="2"/>
      <c r="K878" s="2"/>
    </row>
    <row r="879">
      <c r="A879" s="2"/>
      <c r="B879" s="2"/>
      <c r="C879" s="2"/>
      <c r="D879" s="2"/>
      <c r="E879" s="2"/>
      <c r="F879" s="2"/>
      <c r="G879" s="2"/>
      <c r="H879" s="2"/>
      <c r="I879" s="2"/>
      <c r="J879" s="2"/>
      <c r="K879" s="2"/>
    </row>
    <row r="880">
      <c r="A880" s="2"/>
      <c r="B880" s="2"/>
      <c r="C880" s="2"/>
      <c r="D880" s="2"/>
      <c r="E880" s="2"/>
      <c r="F880" s="2"/>
      <c r="G880" s="2"/>
      <c r="H880" s="2"/>
      <c r="I880" s="2"/>
      <c r="J880" s="2"/>
      <c r="K880" s="2"/>
    </row>
    <row r="881">
      <c r="A881" s="2"/>
      <c r="B881" s="2"/>
      <c r="C881" s="2"/>
      <c r="D881" s="2"/>
      <c r="E881" s="2"/>
      <c r="F881" s="2"/>
      <c r="G881" s="2"/>
      <c r="H881" s="2"/>
      <c r="I881" s="2"/>
      <c r="J881" s="2"/>
      <c r="K881" s="2"/>
    </row>
    <row r="882">
      <c r="A882" s="2"/>
      <c r="B882" s="2"/>
      <c r="C882" s="2"/>
      <c r="D882" s="2"/>
      <c r="E882" s="2"/>
      <c r="F882" s="2"/>
      <c r="G882" s="2"/>
      <c r="H882" s="2"/>
      <c r="I882" s="2"/>
      <c r="J882" s="2"/>
      <c r="K882" s="2"/>
    </row>
    <row r="883">
      <c r="A883" s="2"/>
      <c r="B883" s="2"/>
      <c r="C883" s="2"/>
      <c r="D883" s="2"/>
      <c r="E883" s="2"/>
      <c r="F883" s="2"/>
      <c r="G883" s="2"/>
      <c r="H883" s="2"/>
      <c r="I883" s="2"/>
      <c r="J883" s="2"/>
      <c r="K883" s="2"/>
    </row>
    <row r="884">
      <c r="A884" s="2"/>
      <c r="B884" s="2"/>
      <c r="C884" s="2"/>
      <c r="D884" s="2"/>
      <c r="E884" s="2"/>
      <c r="F884" s="2"/>
      <c r="G884" s="2"/>
      <c r="H884" s="2"/>
      <c r="I884" s="2"/>
      <c r="J884" s="2"/>
      <c r="K884" s="2"/>
    </row>
    <row r="885">
      <c r="A885" s="2"/>
      <c r="B885" s="2"/>
      <c r="C885" s="2"/>
      <c r="D885" s="2"/>
      <c r="E885" s="2"/>
      <c r="F885" s="2"/>
      <c r="G885" s="2"/>
      <c r="H885" s="2"/>
      <c r="I885" s="2"/>
      <c r="J885" s="2"/>
      <c r="K885" s="2"/>
    </row>
    <row r="886">
      <c r="A886" s="2"/>
      <c r="B886" s="2"/>
      <c r="C886" s="2"/>
      <c r="D886" s="2"/>
      <c r="E886" s="2"/>
      <c r="F886" s="2"/>
      <c r="G886" s="2"/>
      <c r="H886" s="2"/>
      <c r="I886" s="2"/>
      <c r="J886" s="2"/>
      <c r="K886" s="2"/>
    </row>
    <row r="887">
      <c r="A887" s="2"/>
      <c r="B887" s="2"/>
      <c r="C887" s="2"/>
      <c r="D887" s="2"/>
      <c r="E887" s="2"/>
      <c r="F887" s="2"/>
      <c r="G887" s="2"/>
      <c r="H887" s="2"/>
      <c r="I887" s="2"/>
      <c r="J887" s="2"/>
      <c r="K887" s="2"/>
    </row>
    <row r="888">
      <c r="A888" s="2"/>
      <c r="B888" s="2"/>
      <c r="C888" s="2"/>
      <c r="D888" s="2"/>
      <c r="E888" s="2"/>
      <c r="F888" s="2"/>
      <c r="G888" s="2"/>
      <c r="H888" s="2"/>
      <c r="I888" s="2"/>
      <c r="J888" s="2"/>
      <c r="K888" s="2"/>
    </row>
    <row r="889">
      <c r="A889" s="2"/>
      <c r="B889" s="2"/>
      <c r="C889" s="2"/>
      <c r="D889" s="2"/>
      <c r="E889" s="2"/>
      <c r="F889" s="2"/>
      <c r="G889" s="2"/>
      <c r="H889" s="2"/>
      <c r="I889" s="2"/>
      <c r="J889" s="2"/>
      <c r="K889" s="2"/>
    </row>
    <row r="890">
      <c r="A890" s="2"/>
      <c r="B890" s="2"/>
      <c r="C890" s="2"/>
      <c r="D890" s="2"/>
      <c r="E890" s="2"/>
      <c r="F890" s="2"/>
      <c r="G890" s="2"/>
      <c r="H890" s="2"/>
      <c r="I890" s="2"/>
      <c r="J890" s="2"/>
      <c r="K890" s="2"/>
    </row>
    <row r="891">
      <c r="A891" s="2"/>
      <c r="B891" s="2"/>
      <c r="C891" s="2"/>
      <c r="D891" s="2"/>
      <c r="E891" s="2"/>
      <c r="F891" s="2"/>
      <c r="G891" s="2"/>
      <c r="H891" s="2"/>
      <c r="I891" s="2"/>
      <c r="J891" s="2"/>
      <c r="K891" s="2"/>
    </row>
    <row r="892">
      <c r="A892" s="2"/>
      <c r="B892" s="2"/>
      <c r="C892" s="2"/>
      <c r="D892" s="2"/>
      <c r="E892" s="2"/>
      <c r="F892" s="2"/>
      <c r="G892" s="2"/>
      <c r="H892" s="2"/>
      <c r="I892" s="2"/>
      <c r="J892" s="2"/>
      <c r="K892" s="2"/>
    </row>
    <row r="893">
      <c r="A893" s="2"/>
      <c r="B893" s="2"/>
      <c r="C893" s="2"/>
      <c r="D893" s="2"/>
      <c r="E893" s="2"/>
      <c r="F893" s="2"/>
      <c r="G893" s="2"/>
      <c r="H893" s="2"/>
      <c r="I893" s="2"/>
      <c r="J893" s="2"/>
      <c r="K893" s="2"/>
    </row>
    <row r="894">
      <c r="A894" s="2"/>
      <c r="B894" s="2"/>
      <c r="C894" s="2"/>
      <c r="D894" s="2"/>
      <c r="E894" s="2"/>
      <c r="F894" s="2"/>
      <c r="G894" s="2"/>
      <c r="H894" s="2"/>
      <c r="I894" s="2"/>
      <c r="J894" s="2"/>
      <c r="K894" s="2"/>
    </row>
    <row r="895">
      <c r="A895" s="2"/>
      <c r="B895" s="2"/>
      <c r="C895" s="2"/>
      <c r="D895" s="2"/>
      <c r="E895" s="2"/>
      <c r="F895" s="2"/>
      <c r="G895" s="2"/>
      <c r="H895" s="2"/>
      <c r="I895" s="2"/>
      <c r="J895" s="2"/>
      <c r="K895" s="2"/>
    </row>
    <row r="896">
      <c r="A896" s="2"/>
      <c r="B896" s="2"/>
      <c r="C896" s="2"/>
      <c r="D896" s="2"/>
      <c r="E896" s="2"/>
      <c r="F896" s="2"/>
      <c r="G896" s="2"/>
      <c r="H896" s="2"/>
      <c r="I896" s="2"/>
      <c r="J896" s="2"/>
      <c r="K896" s="2"/>
    </row>
    <row r="897">
      <c r="A897" s="2"/>
      <c r="B897" s="2"/>
      <c r="C897" s="2"/>
      <c r="D897" s="2"/>
      <c r="E897" s="2"/>
      <c r="F897" s="2"/>
      <c r="G897" s="2"/>
      <c r="H897" s="2"/>
      <c r="I897" s="2"/>
      <c r="J897" s="2"/>
      <c r="K897" s="2"/>
    </row>
    <row r="898">
      <c r="A898" s="2"/>
      <c r="B898" s="2"/>
      <c r="C898" s="2"/>
      <c r="D898" s="2"/>
      <c r="E898" s="2"/>
      <c r="F898" s="2"/>
      <c r="G898" s="2"/>
      <c r="H898" s="2"/>
      <c r="I898" s="2"/>
      <c r="J898" s="2"/>
      <c r="K898" s="2"/>
    </row>
    <row r="899">
      <c r="A899" s="2"/>
      <c r="B899" s="2"/>
      <c r="C899" s="2"/>
      <c r="D899" s="2"/>
      <c r="E899" s="2"/>
      <c r="F899" s="2"/>
      <c r="G899" s="2"/>
      <c r="H899" s="2"/>
      <c r="I899" s="2"/>
      <c r="J899" s="2"/>
      <c r="K899" s="2"/>
    </row>
    <row r="900">
      <c r="A900" s="2"/>
      <c r="B900" s="2"/>
      <c r="C900" s="2"/>
      <c r="D900" s="2"/>
      <c r="E900" s="2"/>
      <c r="F900" s="2"/>
      <c r="G900" s="2"/>
      <c r="H900" s="2"/>
      <c r="I900" s="2"/>
      <c r="J900" s="2"/>
      <c r="K900" s="2"/>
    </row>
    <row r="901">
      <c r="A901" s="2"/>
      <c r="B901" s="2"/>
      <c r="C901" s="2"/>
      <c r="D901" s="2"/>
      <c r="E901" s="2"/>
      <c r="F901" s="2"/>
      <c r="G901" s="2"/>
      <c r="H901" s="2"/>
      <c r="I901" s="2"/>
      <c r="J901" s="2"/>
      <c r="K901" s="2"/>
    </row>
    <row r="902">
      <c r="A902" s="2"/>
      <c r="B902" s="2"/>
      <c r="C902" s="2"/>
      <c r="D902" s="2"/>
      <c r="E902" s="2"/>
      <c r="F902" s="2"/>
      <c r="G902" s="2"/>
      <c r="H902" s="2"/>
      <c r="I902" s="2"/>
      <c r="J902" s="2"/>
      <c r="K902" s="2"/>
    </row>
    <row r="903">
      <c r="A903" s="2"/>
      <c r="B903" s="2"/>
      <c r="C903" s="2"/>
      <c r="D903" s="2"/>
      <c r="E903" s="2"/>
      <c r="F903" s="2"/>
      <c r="G903" s="2"/>
      <c r="H903" s="2"/>
      <c r="I903" s="2"/>
      <c r="J903" s="2"/>
      <c r="K903" s="2"/>
    </row>
    <row r="904">
      <c r="A904" s="2"/>
      <c r="B904" s="2"/>
      <c r="C904" s="2"/>
      <c r="D904" s="2"/>
      <c r="E904" s="2"/>
      <c r="F904" s="2"/>
      <c r="G904" s="2"/>
      <c r="H904" s="2"/>
      <c r="I904" s="2"/>
      <c r="J904" s="2"/>
      <c r="K904" s="2"/>
    </row>
    <row r="905">
      <c r="A905" s="2"/>
      <c r="B905" s="2"/>
      <c r="C905" s="2"/>
      <c r="D905" s="2"/>
      <c r="E905" s="2"/>
      <c r="F905" s="2"/>
      <c r="G905" s="2"/>
      <c r="H905" s="2"/>
      <c r="I905" s="2"/>
      <c r="J905" s="2"/>
      <c r="K905" s="2"/>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B911" s="2"/>
      <c r="C911" s="2"/>
      <c r="D911" s="2"/>
      <c r="E911" s="2"/>
      <c r="F911" s="2"/>
      <c r="G911" s="2"/>
      <c r="H911" s="2"/>
      <c r="I911" s="2"/>
      <c r="J911" s="2"/>
      <c r="K911" s="2"/>
    </row>
    <row r="912">
      <c r="A912" s="2"/>
      <c r="B912" s="2"/>
      <c r="C912" s="2"/>
      <c r="D912" s="2"/>
      <c r="E912" s="2"/>
      <c r="F912" s="2"/>
      <c r="G912" s="2"/>
      <c r="H912" s="2"/>
      <c r="I912" s="2"/>
      <c r="J912" s="2"/>
      <c r="K912" s="2"/>
    </row>
    <row r="913">
      <c r="A913" s="2"/>
      <c r="B913" s="2"/>
      <c r="C913" s="2"/>
      <c r="D913" s="2"/>
      <c r="E913" s="2"/>
      <c r="F913" s="2"/>
      <c r="G913" s="2"/>
      <c r="H913" s="2"/>
      <c r="I913" s="2"/>
      <c r="J913" s="2"/>
      <c r="K913" s="2"/>
    </row>
    <row r="914">
      <c r="A914" s="2"/>
      <c r="B914" s="2"/>
      <c r="C914" s="2"/>
      <c r="D914" s="2"/>
      <c r="E914" s="2"/>
      <c r="F914" s="2"/>
      <c r="G914" s="2"/>
      <c r="H914" s="2"/>
      <c r="I914" s="2"/>
      <c r="J914" s="2"/>
      <c r="K914" s="2"/>
    </row>
    <row r="915">
      <c r="A915" s="2"/>
      <c r="B915" s="2"/>
      <c r="C915" s="2"/>
      <c r="D915" s="2"/>
      <c r="E915" s="2"/>
      <c r="F915" s="2"/>
      <c r="G915" s="2"/>
      <c r="H915" s="2"/>
      <c r="I915" s="2"/>
      <c r="J915" s="2"/>
      <c r="K915" s="2"/>
    </row>
    <row r="916">
      <c r="A916" s="2"/>
      <c r="B916" s="2"/>
      <c r="C916" s="2"/>
      <c r="D916" s="2"/>
      <c r="E916" s="2"/>
      <c r="F916" s="2"/>
      <c r="G916" s="2"/>
      <c r="H916" s="2"/>
      <c r="I916" s="2"/>
      <c r="J916" s="2"/>
      <c r="K916" s="2"/>
    </row>
    <row r="917">
      <c r="A917" s="2"/>
      <c r="B917" s="2"/>
      <c r="C917" s="2"/>
      <c r="D917" s="2"/>
      <c r="E917" s="2"/>
      <c r="F917" s="2"/>
      <c r="G917" s="2"/>
      <c r="H917" s="2"/>
      <c r="I917" s="2"/>
      <c r="J917" s="2"/>
      <c r="K917" s="2"/>
    </row>
    <row r="918">
      <c r="A918" s="2"/>
      <c r="B918" s="2"/>
      <c r="C918" s="2"/>
      <c r="D918" s="2"/>
      <c r="E918" s="2"/>
      <c r="F918" s="2"/>
      <c r="G918" s="2"/>
      <c r="H918" s="2"/>
      <c r="I918" s="2"/>
      <c r="J918" s="2"/>
      <c r="K918" s="2"/>
    </row>
    <row r="919">
      <c r="A919" s="2"/>
      <c r="B919" s="2"/>
      <c r="C919" s="2"/>
      <c r="D919" s="2"/>
      <c r="E919" s="2"/>
      <c r="F919" s="2"/>
      <c r="G919" s="2"/>
      <c r="H919" s="2"/>
      <c r="I919" s="2"/>
      <c r="J919" s="2"/>
      <c r="K919" s="2"/>
    </row>
    <row r="920">
      <c r="A920" s="2"/>
      <c r="B920" s="2"/>
      <c r="C920" s="2"/>
      <c r="D920" s="2"/>
      <c r="E920" s="2"/>
      <c r="F920" s="2"/>
      <c r="G920" s="2"/>
      <c r="H920" s="2"/>
      <c r="I920" s="2"/>
      <c r="J920" s="2"/>
      <c r="K920" s="2"/>
    </row>
    <row r="921">
      <c r="A921" s="2"/>
      <c r="B921" s="2"/>
      <c r="C921" s="2"/>
      <c r="D921" s="2"/>
      <c r="E921" s="2"/>
      <c r="F921" s="2"/>
      <c r="G921" s="2"/>
      <c r="H921" s="2"/>
      <c r="I921" s="2"/>
      <c r="J921" s="2"/>
      <c r="K921" s="2"/>
    </row>
    <row r="922">
      <c r="A922" s="2"/>
      <c r="B922" s="2"/>
      <c r="C922" s="2"/>
      <c r="D922" s="2"/>
      <c r="E922" s="2"/>
      <c r="F922" s="2"/>
      <c r="G922" s="2"/>
      <c r="H922" s="2"/>
      <c r="I922" s="2"/>
      <c r="J922" s="2"/>
      <c r="K922" s="2"/>
    </row>
    <row r="923">
      <c r="A923" s="2"/>
      <c r="B923" s="2"/>
      <c r="C923" s="2"/>
      <c r="D923" s="2"/>
      <c r="E923" s="2"/>
      <c r="F923" s="2"/>
      <c r="G923" s="2"/>
      <c r="H923" s="2"/>
      <c r="I923" s="2"/>
      <c r="J923" s="2"/>
      <c r="K923" s="2"/>
    </row>
    <row r="924">
      <c r="A924" s="2"/>
      <c r="B924" s="2"/>
      <c r="C924" s="2"/>
      <c r="D924" s="2"/>
      <c r="E924" s="2"/>
      <c r="F924" s="2"/>
      <c r="G924" s="2"/>
      <c r="H924" s="2"/>
      <c r="I924" s="2"/>
      <c r="J924" s="2"/>
      <c r="K924" s="2"/>
    </row>
    <row r="925">
      <c r="A925" s="2"/>
      <c r="B925" s="2"/>
      <c r="C925" s="2"/>
      <c r="D925" s="2"/>
      <c r="E925" s="2"/>
      <c r="F925" s="2"/>
      <c r="G925" s="2"/>
      <c r="H925" s="2"/>
      <c r="I925" s="2"/>
      <c r="J925" s="2"/>
      <c r="K925" s="2"/>
    </row>
    <row r="926">
      <c r="A926" s="2"/>
      <c r="B926" s="2"/>
      <c r="C926" s="2"/>
      <c r="D926" s="2"/>
      <c r="E926" s="2"/>
      <c r="F926" s="2"/>
      <c r="G926" s="2"/>
      <c r="H926" s="2"/>
      <c r="I926" s="2"/>
      <c r="J926" s="2"/>
      <c r="K926" s="2"/>
    </row>
    <row r="927">
      <c r="A927" s="2"/>
      <c r="B927" s="2"/>
      <c r="C927" s="2"/>
      <c r="D927" s="2"/>
      <c r="E927" s="2"/>
      <c r="F927" s="2"/>
      <c r="G927" s="2"/>
      <c r="H927" s="2"/>
      <c r="I927" s="2"/>
      <c r="J927" s="2"/>
      <c r="K927" s="2"/>
    </row>
    <row r="928">
      <c r="A928" s="2"/>
      <c r="B928" s="2"/>
      <c r="C928" s="2"/>
      <c r="D928" s="2"/>
      <c r="E928" s="2"/>
      <c r="F928" s="2"/>
      <c r="G928" s="2"/>
      <c r="H928" s="2"/>
      <c r="I928" s="2"/>
      <c r="J928" s="2"/>
      <c r="K928" s="2"/>
    </row>
    <row r="929">
      <c r="A929" s="2"/>
      <c r="B929" s="2"/>
      <c r="C929" s="2"/>
      <c r="D929" s="2"/>
      <c r="E929" s="2"/>
      <c r="F929" s="2"/>
      <c r="G929" s="2"/>
      <c r="H929" s="2"/>
      <c r="I929" s="2"/>
      <c r="J929" s="2"/>
      <c r="K929" s="2"/>
    </row>
    <row r="930">
      <c r="A930" s="2"/>
      <c r="B930" s="2"/>
      <c r="C930" s="2"/>
      <c r="D930" s="2"/>
      <c r="E930" s="2"/>
      <c r="F930" s="2"/>
      <c r="G930" s="2"/>
      <c r="H930" s="2"/>
      <c r="I930" s="2"/>
      <c r="J930" s="2"/>
      <c r="K930" s="2"/>
    </row>
    <row r="931">
      <c r="A931" s="2"/>
      <c r="B931" s="2"/>
      <c r="C931" s="2"/>
      <c r="D931" s="2"/>
      <c r="E931" s="2"/>
      <c r="F931" s="2"/>
      <c r="G931" s="2"/>
      <c r="H931" s="2"/>
      <c r="I931" s="2"/>
      <c r="J931" s="2"/>
      <c r="K931" s="2"/>
    </row>
    <row r="932">
      <c r="A932" s="2"/>
      <c r="B932" s="2"/>
      <c r="C932" s="2"/>
      <c r="D932" s="2"/>
      <c r="E932" s="2"/>
      <c r="F932" s="2"/>
      <c r="G932" s="2"/>
      <c r="H932" s="2"/>
      <c r="I932" s="2"/>
      <c r="J932" s="2"/>
      <c r="K932" s="2"/>
    </row>
    <row r="933">
      <c r="A933" s="2"/>
      <c r="B933" s="2"/>
      <c r="C933" s="2"/>
      <c r="D933" s="2"/>
      <c r="E933" s="2"/>
      <c r="F933" s="2"/>
      <c r="G933" s="2"/>
      <c r="H933" s="2"/>
      <c r="I933" s="2"/>
      <c r="J933" s="2"/>
      <c r="K933" s="2"/>
    </row>
    <row r="934">
      <c r="A934" s="2"/>
      <c r="B934" s="2"/>
      <c r="C934" s="2"/>
      <c r="D934" s="2"/>
      <c r="E934" s="2"/>
      <c r="F934" s="2"/>
      <c r="G934" s="2"/>
      <c r="H934" s="2"/>
      <c r="I934" s="2"/>
      <c r="J934" s="2"/>
      <c r="K934" s="2"/>
    </row>
    <row r="935">
      <c r="A935" s="2"/>
      <c r="B935" s="2"/>
      <c r="C935" s="2"/>
      <c r="D935" s="2"/>
      <c r="E935" s="2"/>
      <c r="F935" s="2"/>
      <c r="G935" s="2"/>
      <c r="H935" s="2"/>
      <c r="I935" s="2"/>
      <c r="J935" s="2"/>
      <c r="K935" s="2"/>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c r="B951" s="2"/>
      <c r="C951" s="2"/>
      <c r="D951" s="2"/>
      <c r="E951" s="2"/>
      <c r="F951" s="2"/>
      <c r="G951" s="2"/>
      <c r="H951" s="2"/>
      <c r="I951" s="2"/>
      <c r="J951" s="2"/>
      <c r="K951" s="2"/>
    </row>
    <row r="952">
      <c r="A952" s="2"/>
      <c r="B952" s="2"/>
      <c r="C952" s="2"/>
      <c r="D952" s="2"/>
      <c r="E952" s="2"/>
      <c r="F952" s="2"/>
      <c r="G952" s="2"/>
      <c r="H952" s="2"/>
      <c r="I952" s="2"/>
      <c r="J952" s="2"/>
      <c r="K952" s="2"/>
    </row>
    <row r="953">
      <c r="A953" s="2"/>
      <c r="B953" s="2"/>
      <c r="C953" s="2"/>
      <c r="D953" s="2"/>
      <c r="E953" s="2"/>
      <c r="F953" s="2"/>
      <c r="G953" s="2"/>
      <c r="H953" s="2"/>
      <c r="I953" s="2"/>
      <c r="J953" s="2"/>
      <c r="K953" s="2"/>
    </row>
    <row r="954">
      <c r="A954" s="2"/>
      <c r="B954" s="2"/>
      <c r="C954" s="2"/>
      <c r="D954" s="2"/>
      <c r="E954" s="2"/>
      <c r="F954" s="2"/>
      <c r="G954" s="2"/>
      <c r="H954" s="2"/>
      <c r="I954" s="2"/>
      <c r="J954" s="2"/>
      <c r="K954" s="2"/>
    </row>
    <row r="955">
      <c r="A955" s="2"/>
      <c r="B955" s="2"/>
      <c r="C955" s="2"/>
      <c r="D955" s="2"/>
      <c r="E955" s="2"/>
      <c r="F955" s="2"/>
      <c r="G955" s="2"/>
      <c r="H955" s="2"/>
      <c r="I955" s="2"/>
      <c r="J955" s="2"/>
      <c r="K955" s="2"/>
    </row>
    <row r="956">
      <c r="A956" s="2"/>
      <c r="B956" s="2"/>
      <c r="C956" s="2"/>
      <c r="D956" s="2"/>
      <c r="E956" s="2"/>
      <c r="F956" s="2"/>
      <c r="G956" s="2"/>
      <c r="H956" s="2"/>
      <c r="I956" s="2"/>
      <c r="J956" s="2"/>
      <c r="K956" s="2"/>
    </row>
    <row r="957">
      <c r="A957" s="2"/>
      <c r="B957" s="2"/>
      <c r="C957" s="2"/>
      <c r="D957" s="2"/>
      <c r="E957" s="2"/>
      <c r="F957" s="2"/>
      <c r="G957" s="2"/>
      <c r="H957" s="2"/>
      <c r="I957" s="2"/>
      <c r="J957" s="2"/>
      <c r="K957" s="2"/>
    </row>
    <row r="958">
      <c r="A958" s="2"/>
      <c r="B958" s="2"/>
      <c r="C958" s="2"/>
      <c r="D958" s="2"/>
      <c r="E958" s="2"/>
      <c r="F958" s="2"/>
      <c r="G958" s="2"/>
      <c r="H958" s="2"/>
      <c r="I958" s="2"/>
      <c r="J958" s="2"/>
      <c r="K958" s="2"/>
    </row>
    <row r="959">
      <c r="A959" s="2"/>
      <c r="B959" s="2"/>
      <c r="C959" s="2"/>
      <c r="D959" s="2"/>
      <c r="E959" s="2"/>
      <c r="F959" s="2"/>
      <c r="G959" s="2"/>
      <c r="H959" s="2"/>
      <c r="I959" s="2"/>
      <c r="J959" s="2"/>
      <c r="K959" s="2"/>
    </row>
    <row r="960">
      <c r="A960" s="2"/>
      <c r="B960" s="2"/>
      <c r="C960" s="2"/>
      <c r="D960" s="2"/>
      <c r="E960" s="2"/>
      <c r="F960" s="2"/>
      <c r="G960" s="2"/>
      <c r="H960" s="2"/>
      <c r="I960" s="2"/>
      <c r="J960" s="2"/>
      <c r="K960" s="2"/>
    </row>
    <row r="961">
      <c r="A961" s="2"/>
      <c r="B961" s="2"/>
      <c r="C961" s="2"/>
      <c r="D961" s="2"/>
      <c r="E961" s="2"/>
      <c r="F961" s="2"/>
      <c r="G961" s="2"/>
      <c r="H961" s="2"/>
      <c r="I961" s="2"/>
      <c r="J961" s="2"/>
      <c r="K961" s="2"/>
    </row>
    <row r="962">
      <c r="A962" s="2"/>
      <c r="B962" s="2"/>
      <c r="C962" s="2"/>
      <c r="D962" s="2"/>
      <c r="E962" s="2"/>
      <c r="F962" s="2"/>
      <c r="G962" s="2"/>
      <c r="H962" s="2"/>
      <c r="I962" s="2"/>
      <c r="J962" s="2"/>
      <c r="K962" s="2"/>
    </row>
    <row r="963">
      <c r="A963" s="2"/>
      <c r="B963" s="2"/>
      <c r="C963" s="2"/>
      <c r="D963" s="2"/>
      <c r="E963" s="2"/>
      <c r="F963" s="2"/>
      <c r="G963" s="2"/>
      <c r="H963" s="2"/>
      <c r="I963" s="2"/>
      <c r="J963" s="2"/>
      <c r="K963" s="2"/>
    </row>
    <row r="964">
      <c r="A964" s="2"/>
      <c r="B964" s="2"/>
      <c r="C964" s="2"/>
      <c r="D964" s="2"/>
      <c r="E964" s="2"/>
      <c r="F964" s="2"/>
      <c r="G964" s="2"/>
      <c r="H964" s="2"/>
      <c r="I964" s="2"/>
      <c r="J964" s="2"/>
      <c r="K964" s="2"/>
    </row>
    <row r="965">
      <c r="A965" s="2"/>
      <c r="B965" s="2"/>
      <c r="C965" s="2"/>
      <c r="D965" s="2"/>
      <c r="E965" s="2"/>
      <c r="F965" s="2"/>
      <c r="G965" s="2"/>
      <c r="H965" s="2"/>
      <c r="I965" s="2"/>
      <c r="J965" s="2"/>
      <c r="K965" s="2"/>
    </row>
    <row r="966">
      <c r="A966" s="2"/>
      <c r="B966" s="2"/>
      <c r="C966" s="2"/>
      <c r="D966" s="2"/>
      <c r="E966" s="2"/>
      <c r="F966" s="2"/>
      <c r="G966" s="2"/>
      <c r="H966" s="2"/>
      <c r="I966" s="2"/>
      <c r="J966" s="2"/>
      <c r="K966" s="2"/>
    </row>
    <row r="967">
      <c r="A967" s="2"/>
      <c r="B967" s="2"/>
      <c r="C967" s="2"/>
      <c r="D967" s="2"/>
      <c r="E967" s="2"/>
      <c r="F967" s="2"/>
      <c r="G967" s="2"/>
      <c r="H967" s="2"/>
      <c r="I967" s="2"/>
      <c r="J967" s="2"/>
      <c r="K967" s="2"/>
    </row>
    <row r="968">
      <c r="A968" s="2"/>
      <c r="B968" s="2"/>
      <c r="C968" s="2"/>
      <c r="D968" s="2"/>
      <c r="E968" s="2"/>
      <c r="F968" s="2"/>
      <c r="G968" s="2"/>
      <c r="H968" s="2"/>
      <c r="I968" s="2"/>
      <c r="J968" s="2"/>
      <c r="K968" s="2"/>
    </row>
    <row r="969">
      <c r="A969" s="2"/>
      <c r="B969" s="2"/>
      <c r="C969" s="2"/>
      <c r="D969" s="2"/>
      <c r="E969" s="2"/>
      <c r="F969" s="2"/>
      <c r="G969" s="2"/>
      <c r="H969" s="2"/>
      <c r="I969" s="2"/>
      <c r="J969" s="2"/>
      <c r="K969" s="2"/>
    </row>
    <row r="970">
      <c r="A970" s="2"/>
      <c r="B970" s="2"/>
      <c r="C970" s="2"/>
      <c r="D970" s="2"/>
      <c r="E970" s="2"/>
      <c r="F970" s="2"/>
      <c r="G970" s="2"/>
      <c r="H970" s="2"/>
      <c r="I970" s="2"/>
      <c r="J970" s="2"/>
      <c r="K970" s="2"/>
    </row>
    <row r="971">
      <c r="A971" s="2"/>
      <c r="B971" s="2"/>
      <c r="C971" s="2"/>
      <c r="D971" s="2"/>
      <c r="E971" s="2"/>
      <c r="F971" s="2"/>
      <c r="G971" s="2"/>
      <c r="H971" s="2"/>
      <c r="I971" s="2"/>
      <c r="J971" s="2"/>
      <c r="K971" s="2"/>
    </row>
    <row r="972">
      <c r="A972" s="2"/>
      <c r="B972" s="2"/>
      <c r="C972" s="2"/>
      <c r="D972" s="2"/>
      <c r="E972" s="2"/>
      <c r="F972" s="2"/>
      <c r="G972" s="2"/>
      <c r="H972" s="2"/>
      <c r="I972" s="2"/>
      <c r="J972" s="2"/>
      <c r="K972" s="2"/>
    </row>
    <row r="973">
      <c r="A973" s="2"/>
      <c r="B973" s="2"/>
      <c r="C973" s="2"/>
      <c r="D973" s="2"/>
      <c r="E973" s="2"/>
      <c r="F973" s="2"/>
      <c r="G973" s="2"/>
      <c r="H973" s="2"/>
      <c r="I973" s="2"/>
      <c r="J973" s="2"/>
      <c r="K973" s="2"/>
    </row>
    <row r="974">
      <c r="A974" s="2"/>
      <c r="B974" s="2"/>
      <c r="C974" s="2"/>
      <c r="D974" s="2"/>
      <c r="E974" s="2"/>
      <c r="F974" s="2"/>
      <c r="G974" s="2"/>
      <c r="H974" s="2"/>
      <c r="I974" s="2"/>
      <c r="J974" s="2"/>
      <c r="K974" s="2"/>
    </row>
    <row r="975">
      <c r="A975" s="2"/>
      <c r="B975" s="2"/>
      <c r="C975" s="2"/>
      <c r="D975" s="2"/>
      <c r="E975" s="2"/>
      <c r="F975" s="2"/>
      <c r="G975" s="2"/>
      <c r="H975" s="2"/>
      <c r="I975" s="2"/>
      <c r="J975" s="2"/>
      <c r="K975" s="2"/>
    </row>
    <row r="976">
      <c r="A976" s="2"/>
      <c r="B976" s="2"/>
      <c r="C976" s="2"/>
      <c r="D976" s="2"/>
      <c r="E976" s="2"/>
      <c r="F976" s="2"/>
      <c r="G976" s="2"/>
      <c r="H976" s="2"/>
      <c r="I976" s="2"/>
      <c r="J976" s="2"/>
      <c r="K976" s="2"/>
    </row>
    <row r="977">
      <c r="A977" s="2"/>
      <c r="B977" s="2"/>
      <c r="C977" s="2"/>
      <c r="D977" s="2"/>
      <c r="E977" s="2"/>
      <c r="F977" s="2"/>
      <c r="G977" s="2"/>
      <c r="H977" s="2"/>
      <c r="I977" s="2"/>
      <c r="J977" s="2"/>
      <c r="K977" s="2"/>
    </row>
    <row r="978">
      <c r="A978" s="2"/>
      <c r="B978" s="2"/>
      <c r="C978" s="2"/>
      <c r="D978" s="2"/>
      <c r="E978" s="2"/>
      <c r="F978" s="2"/>
      <c r="G978" s="2"/>
      <c r="H978" s="2"/>
      <c r="I978" s="2"/>
      <c r="J978" s="2"/>
      <c r="K978" s="2"/>
    </row>
    <row r="979">
      <c r="A979" s="2"/>
      <c r="B979" s="2"/>
      <c r="C979" s="2"/>
      <c r="D979" s="2"/>
      <c r="E979" s="2"/>
      <c r="F979" s="2"/>
      <c r="G979" s="2"/>
      <c r="H979" s="2"/>
      <c r="I979" s="2"/>
      <c r="J979" s="2"/>
      <c r="K979" s="2"/>
    </row>
    <row r="980">
      <c r="A980" s="2"/>
      <c r="B980" s="2"/>
      <c r="C980" s="2"/>
      <c r="D980" s="2"/>
      <c r="E980" s="2"/>
      <c r="F980" s="2"/>
      <c r="G980" s="2"/>
      <c r="H980" s="2"/>
      <c r="I980" s="2"/>
      <c r="J980" s="2"/>
      <c r="K980" s="2"/>
    </row>
    <row r="981">
      <c r="A981" s="2"/>
      <c r="B981" s="2"/>
      <c r="C981" s="2"/>
      <c r="D981" s="2"/>
      <c r="E981" s="2"/>
      <c r="F981" s="2"/>
      <c r="G981" s="2"/>
      <c r="H981" s="2"/>
      <c r="I981" s="2"/>
      <c r="J981" s="2"/>
      <c r="K981" s="2"/>
    </row>
    <row r="982">
      <c r="A982" s="2"/>
      <c r="B982" s="2"/>
      <c r="C982" s="2"/>
      <c r="D982" s="2"/>
      <c r="E982" s="2"/>
      <c r="F982" s="2"/>
      <c r="G982" s="2"/>
      <c r="H982" s="2"/>
      <c r="I982" s="2"/>
      <c r="J982" s="2"/>
      <c r="K982" s="2"/>
    </row>
    <row r="983">
      <c r="A983" s="2"/>
      <c r="B983" s="2"/>
      <c r="C983" s="2"/>
      <c r="D983" s="2"/>
      <c r="E983" s="2"/>
      <c r="F983" s="2"/>
      <c r="G983" s="2"/>
      <c r="H983" s="2"/>
      <c r="I983" s="2"/>
      <c r="J983" s="2"/>
      <c r="K983" s="2"/>
    </row>
    <row r="984">
      <c r="A984" s="2"/>
      <c r="B984" s="2"/>
      <c r="C984" s="2"/>
      <c r="D984" s="2"/>
      <c r="E984" s="2"/>
      <c r="F984" s="2"/>
      <c r="G984" s="2"/>
      <c r="H984" s="2"/>
      <c r="I984" s="2"/>
      <c r="J984" s="2"/>
      <c r="K984" s="2"/>
    </row>
    <row r="985">
      <c r="A985" s="2"/>
      <c r="B985" s="2"/>
      <c r="C985" s="2"/>
      <c r="D985" s="2"/>
      <c r="E985" s="2"/>
      <c r="F985" s="2"/>
      <c r="G985" s="2"/>
      <c r="H985" s="2"/>
      <c r="I985" s="2"/>
      <c r="J985" s="2"/>
      <c r="K985" s="2"/>
    </row>
    <row r="986">
      <c r="A986" s="2"/>
      <c r="B986" s="2"/>
      <c r="C986" s="2"/>
      <c r="D986" s="2"/>
      <c r="E986" s="2"/>
      <c r="F986" s="2"/>
      <c r="G986" s="2"/>
      <c r="H986" s="2"/>
      <c r="I986" s="2"/>
      <c r="J986" s="2"/>
      <c r="K986" s="2"/>
    </row>
    <row r="987">
      <c r="A987" s="2"/>
      <c r="B987" s="2"/>
      <c r="C987" s="2"/>
      <c r="D987" s="2"/>
      <c r="E987" s="2"/>
      <c r="F987" s="2"/>
      <c r="G987" s="2"/>
      <c r="H987" s="2"/>
      <c r="I987" s="2"/>
      <c r="J987" s="2"/>
      <c r="K987" s="2"/>
    </row>
    <row r="988">
      <c r="A988" s="2"/>
      <c r="B988" s="2"/>
      <c r="C988" s="2"/>
      <c r="D988" s="2"/>
      <c r="E988" s="2"/>
      <c r="F988" s="2"/>
      <c r="G988" s="2"/>
      <c r="H988" s="2"/>
      <c r="I988" s="2"/>
      <c r="J988" s="2"/>
      <c r="K988" s="2"/>
    </row>
    <row r="989">
      <c r="A989" s="2"/>
      <c r="B989" s="2"/>
      <c r="C989" s="2"/>
      <c r="D989" s="2"/>
      <c r="E989" s="2"/>
      <c r="F989" s="2"/>
      <c r="G989" s="2"/>
      <c r="H989" s="2"/>
      <c r="I989" s="2"/>
      <c r="J989" s="2"/>
      <c r="K989" s="2"/>
    </row>
    <row r="990">
      <c r="A990" s="2"/>
      <c r="B990" s="2"/>
      <c r="C990" s="2"/>
      <c r="D990" s="2"/>
      <c r="E990" s="2"/>
      <c r="F990" s="2"/>
      <c r="G990" s="2"/>
      <c r="H990" s="2"/>
      <c r="I990" s="2"/>
      <c r="J990" s="2"/>
      <c r="K990" s="2"/>
    </row>
    <row r="991">
      <c r="A991" s="2"/>
      <c r="B991" s="2"/>
      <c r="C991" s="2"/>
      <c r="D991" s="2"/>
      <c r="E991" s="2"/>
      <c r="F991" s="2"/>
      <c r="G991" s="2"/>
      <c r="H991" s="2"/>
      <c r="I991" s="2"/>
      <c r="J991" s="2"/>
      <c r="K991" s="2"/>
    </row>
    <row r="992">
      <c r="A992" s="2"/>
      <c r="B992" s="2"/>
      <c r="C992" s="2"/>
      <c r="D992" s="2"/>
      <c r="E992" s="2"/>
      <c r="F992" s="2"/>
      <c r="G992" s="2"/>
      <c r="H992" s="2"/>
      <c r="I992" s="2"/>
      <c r="J992" s="2"/>
      <c r="K992" s="2"/>
    </row>
    <row r="993">
      <c r="A993" s="2"/>
      <c r="B993" s="2"/>
      <c r="C993" s="2"/>
      <c r="D993" s="2"/>
      <c r="E993" s="2"/>
      <c r="F993" s="2"/>
      <c r="G993" s="2"/>
      <c r="H993" s="2"/>
      <c r="I993" s="2"/>
      <c r="J993" s="2"/>
      <c r="K993" s="2"/>
    </row>
    <row r="994">
      <c r="A994" s="2"/>
      <c r="B994" s="2"/>
      <c r="C994" s="2"/>
      <c r="D994" s="2"/>
      <c r="E994" s="2"/>
      <c r="F994" s="2"/>
      <c r="G994" s="2"/>
      <c r="H994" s="2"/>
      <c r="I994" s="2"/>
      <c r="J994" s="2"/>
      <c r="K994" s="2"/>
    </row>
    <row r="995">
      <c r="A995" s="2"/>
      <c r="B995" s="2"/>
      <c r="C995" s="2"/>
      <c r="D995" s="2"/>
      <c r="E995" s="2"/>
      <c r="F995" s="2"/>
      <c r="G995" s="2"/>
      <c r="H995" s="2"/>
      <c r="I995" s="2"/>
      <c r="J995" s="2"/>
      <c r="K995" s="2"/>
    </row>
    <row r="996">
      <c r="A996" s="2"/>
      <c r="B996" s="2"/>
      <c r="C996" s="2"/>
      <c r="D996" s="2"/>
      <c r="E996" s="2"/>
      <c r="F996" s="2"/>
      <c r="G996" s="2"/>
      <c r="H996" s="2"/>
      <c r="I996" s="2"/>
      <c r="J996" s="2"/>
      <c r="K996" s="2"/>
    </row>
    <row r="997">
      <c r="A997" s="2"/>
      <c r="B997" s="2"/>
      <c r="C997" s="2"/>
      <c r="D997" s="2"/>
      <c r="E997" s="2"/>
      <c r="F997" s="2"/>
      <c r="G997" s="2"/>
      <c r="H997" s="2"/>
      <c r="I997" s="2"/>
      <c r="J997" s="2"/>
      <c r="K997" s="2"/>
    </row>
    <row r="998">
      <c r="A998" s="2"/>
      <c r="B998" s="2"/>
      <c r="C998" s="2"/>
      <c r="D998" s="2"/>
      <c r="E998" s="2"/>
      <c r="F998" s="2"/>
      <c r="G998" s="2"/>
      <c r="H998" s="2"/>
      <c r="I998" s="2"/>
      <c r="J998" s="2"/>
      <c r="K998" s="2"/>
    </row>
    <row r="999">
      <c r="A999" s="2"/>
      <c r="B999" s="2"/>
      <c r="C999" s="2"/>
      <c r="D999" s="2"/>
      <c r="E999" s="2"/>
      <c r="F999" s="2"/>
      <c r="G999" s="2"/>
      <c r="H999" s="2"/>
      <c r="I999" s="2"/>
      <c r="J999" s="2"/>
      <c r="K999" s="2"/>
    </row>
  </sheetData>
  <mergeCells count="26">
    <mergeCell ref="B1:D2"/>
    <mergeCell ref="H2:J3"/>
    <mergeCell ref="B3:D4"/>
    <mergeCell ref="E6:J6"/>
    <mergeCell ref="E7:J7"/>
    <mergeCell ref="H11:I11"/>
    <mergeCell ref="H16:J16"/>
    <mergeCell ref="B16:C16"/>
    <mergeCell ref="B25:D26"/>
    <mergeCell ref="H25:J26"/>
    <mergeCell ref="B27:D28"/>
    <mergeCell ref="E31:F34"/>
    <mergeCell ref="G36:H36"/>
    <mergeCell ref="I36:J36"/>
    <mergeCell ref="G38:H38"/>
    <mergeCell ref="G39:H39"/>
    <mergeCell ref="I41:J41"/>
    <mergeCell ref="H43:J43"/>
    <mergeCell ref="C36:E36"/>
    <mergeCell ref="C37:E37"/>
    <mergeCell ref="G37:H37"/>
    <mergeCell ref="I37:J37"/>
    <mergeCell ref="C38:E38"/>
    <mergeCell ref="I38:J38"/>
    <mergeCell ref="C39:E39"/>
    <mergeCell ref="I39:J39"/>
  </mergeCells>
  <dataValidations>
    <dataValidation type="list" allowBlank="1" sqref="E6">
      <formula1>Data!$B$2:$B999</formula1>
    </dataValidation>
  </dataValidations>
  <printOptions horizontalCentered="1" verticalCentered="1"/>
  <pageMargins bottom="0.5905511811023622" footer="0.0" header="0.0" left="0.5905511811023622" right="0.9719357720793914" top="0.5905511811023622"/>
  <pageSetup fitToHeight="0" cellComments="atEnd" orientation="landscape" pageOrder="overThenDown" paperHeight="5.511811023622046in" paperWidth="9.448818897637794i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showGridLines="0" workbookViewId="0"/>
  </sheetViews>
  <sheetFormatPr customHeight="1" defaultColWidth="14.43" defaultRowHeight="15.0"/>
  <cols>
    <col customWidth="1" min="1" max="1" width="2.43"/>
    <col customWidth="1" min="2" max="2" width="36.14"/>
    <col customWidth="1" min="3" max="3" width="24.14"/>
    <col customWidth="1" min="4" max="4" width="20.43"/>
    <col customWidth="1" min="5" max="5" width="18.43"/>
    <col customWidth="1" min="6" max="6" width="20.86"/>
  </cols>
  <sheetData>
    <row r="1" ht="21.75" customHeight="1">
      <c r="A1" s="314"/>
      <c r="D1" s="44"/>
      <c r="E1" s="315" t="s">
        <v>73</v>
      </c>
      <c r="F1" s="316"/>
    </row>
    <row r="2" ht="15.75" customHeight="1">
      <c r="E2" s="317" t="s">
        <v>125</v>
      </c>
      <c r="F2" s="318"/>
    </row>
    <row r="3" ht="17.25" customHeight="1">
      <c r="D3" s="319"/>
      <c r="E3" s="320" t="s">
        <v>36</v>
      </c>
      <c r="F3" s="321" t="str">
        <f>IFERROR(__xludf.DUMMYFUNCTION("CHOOSECOLS(INDEX(FILTER('DB RELASI FILLING'!A:F,'DB RELASI FILLING'!F:F=F4),1,5),1)"),"#REF!")</f>
        <v>#REF!</v>
      </c>
    </row>
    <row r="4" ht="17.25" customHeight="1">
      <c r="D4" s="319"/>
      <c r="E4" s="320" t="s">
        <v>35</v>
      </c>
      <c r="F4" s="322" t="s">
        <v>126</v>
      </c>
    </row>
    <row r="5" ht="15.75" customHeight="1">
      <c r="A5" s="323" t="s">
        <v>1</v>
      </c>
      <c r="D5" s="324"/>
      <c r="E5" s="325" t="s">
        <v>37</v>
      </c>
      <c r="F5" s="326" t="s">
        <v>38</v>
      </c>
    </row>
    <row r="6" ht="16.5" customHeight="1">
      <c r="D6" s="324"/>
      <c r="E6" s="325" t="s">
        <v>39</v>
      </c>
      <c r="F6" s="322" t="s">
        <v>40</v>
      </c>
    </row>
    <row r="7" ht="18.0" customHeight="1">
      <c r="D7" s="324"/>
      <c r="E7" s="325" t="s">
        <v>41</v>
      </c>
      <c r="F7" s="327" t="s">
        <v>42</v>
      </c>
    </row>
    <row r="8" ht="14.25" customHeight="1"/>
    <row r="9" ht="29.25" customHeight="1">
      <c r="A9" s="323"/>
      <c r="B9" s="323"/>
      <c r="C9" s="323"/>
    </row>
    <row r="10" ht="19.5" customHeight="1">
      <c r="A10" s="328" t="s">
        <v>43</v>
      </c>
      <c r="B10" s="200"/>
      <c r="C10" s="251"/>
      <c r="D10" s="328" t="s">
        <v>0</v>
      </c>
      <c r="E10" s="200"/>
      <c r="F10" s="251"/>
    </row>
    <row r="11">
      <c r="A11" s="329" t="str">
        <f>IFERROR(__xludf.DUMMYFUNCTION("IFERROR(CHOOSECOLS(INDEX(FILTER(Data!A:F, Data!B:B=D11),1,6),1),"""")"),"")</f>
        <v/>
      </c>
      <c r="D11" s="330" t="str">
        <f>IFERROR(__xludf.DUMMYFUNCTION("Unique(CHOOSECOLS(FILTER('DB RELASI FILLING'!A:F,'DB RELASI FILLING'!F:F=F4),1))"),"#REF!")</f>
        <v>#REF!</v>
      </c>
    </row>
    <row r="12" ht="1.5" customHeight="1">
      <c r="A12" s="329"/>
      <c r="B12" s="329"/>
      <c r="C12" s="329"/>
      <c r="D12" s="330"/>
      <c r="E12" s="330"/>
      <c r="F12" s="330"/>
    </row>
    <row r="13" ht="24.0" customHeight="1">
      <c r="A13" s="331"/>
      <c r="B13" s="332"/>
      <c r="C13" s="331"/>
      <c r="D13" s="333"/>
      <c r="E13" s="333"/>
      <c r="F13" s="333"/>
    </row>
    <row r="14" ht="15.75" customHeight="1">
      <c r="A14" s="334" t="s">
        <v>44</v>
      </c>
      <c r="B14" s="335"/>
      <c r="C14" s="335"/>
      <c r="D14" s="336"/>
      <c r="E14" s="337" t="s">
        <v>12</v>
      </c>
      <c r="F14" s="338" t="s">
        <v>15</v>
      </c>
    </row>
    <row r="15">
      <c r="A15" s="339">
        <f t="array" ref="A15">IFERROR(SEQUENCE(COUNTA(B15:B19),1),"")</f>
        <v>1</v>
      </c>
      <c r="B15" s="340" t="str">
        <f>IFERROR(__xludf.DUMMYFUNCTION("QUERY('DB RELASI FILLING'!A:H,""SELECT G,H WHERE F='""&amp;F4&amp;""'"",)"),"#REF!")</f>
        <v>#REF!</v>
      </c>
      <c r="C15" s="341"/>
      <c r="D15" s="82"/>
      <c r="E15" s="129" t="str">
        <f t="shared" ref="E15:E20" si="1">IF(B15&lt;&gt;"", "Btl", "")</f>
        <v>#REF!</v>
      </c>
      <c r="F15" s="342" t="str">
        <f>IFERROR(__xludf.DUMMYFUNCTION("QUERY('DB RELASI FILLING'!A:J,""SELECT I WHERE F='""&amp;F4&amp;""'"",)"),"#REF!")</f>
        <v>#REF!</v>
      </c>
    </row>
    <row r="16">
      <c r="A16" s="343"/>
      <c r="B16" s="344"/>
      <c r="C16" s="341"/>
      <c r="D16" s="82"/>
      <c r="E16" s="129" t="str">
        <f t="shared" si="1"/>
        <v/>
      </c>
      <c r="F16" s="342"/>
    </row>
    <row r="17">
      <c r="A17" s="339"/>
      <c r="B17" s="345"/>
      <c r="C17" s="81"/>
      <c r="D17" s="82"/>
      <c r="E17" s="129" t="str">
        <f t="shared" si="1"/>
        <v/>
      </c>
      <c r="F17" s="80"/>
    </row>
    <row r="18" ht="30.0" customHeight="1">
      <c r="A18" s="339"/>
      <c r="B18" s="345"/>
      <c r="C18" s="81"/>
      <c r="D18" s="82"/>
      <c r="E18" s="129" t="str">
        <f t="shared" si="1"/>
        <v/>
      </c>
      <c r="F18" s="80"/>
    </row>
    <row r="19">
      <c r="A19" s="339"/>
      <c r="B19" s="345"/>
      <c r="C19" s="81"/>
      <c r="D19" s="82"/>
      <c r="E19" s="129" t="str">
        <f t="shared" si="1"/>
        <v/>
      </c>
      <c r="F19" s="80"/>
    </row>
    <row r="20">
      <c r="A20" s="346" t="s">
        <v>45</v>
      </c>
      <c r="B20" s="345"/>
      <c r="C20" s="81"/>
      <c r="D20" s="82"/>
      <c r="E20" s="129" t="str">
        <f t="shared" si="1"/>
        <v/>
      </c>
      <c r="F20" s="80"/>
    </row>
    <row r="21">
      <c r="A21" s="347" t="s">
        <v>127</v>
      </c>
      <c r="D21" s="348"/>
      <c r="E21" s="349"/>
      <c r="F21" s="350"/>
    </row>
    <row r="22" ht="18.75" customHeight="1">
      <c r="A22" s="351"/>
      <c r="B22" s="351"/>
      <c r="C22" s="351"/>
      <c r="D22" s="351"/>
      <c r="E22" s="351"/>
      <c r="F22" s="351"/>
    </row>
    <row r="23" ht="94.5" customHeight="1">
      <c r="A23" s="351"/>
      <c r="B23" s="352" t="s">
        <v>47</v>
      </c>
      <c r="C23" s="352" t="s">
        <v>128</v>
      </c>
      <c r="E23" s="352" t="s">
        <v>49</v>
      </c>
    </row>
    <row r="24" ht="15.75" customHeight="1">
      <c r="A24" s="351"/>
      <c r="B24" s="353" t="s">
        <v>50</v>
      </c>
      <c r="C24" s="352" t="s">
        <v>129</v>
      </c>
      <c r="E24" s="352" t="s">
        <v>130</v>
      </c>
    </row>
    <row r="25" ht="23.25" customHeight="1"/>
    <row r="26" ht="24.75" customHeight="1">
      <c r="A26" s="354"/>
    </row>
    <row r="27" ht="150.0" customHeight="1">
      <c r="A27" s="355"/>
      <c r="D27" s="355"/>
      <c r="F27" s="93"/>
    </row>
    <row r="28">
      <c r="A28" s="355"/>
      <c r="C28" s="356"/>
      <c r="D28" s="357" t="s">
        <v>131</v>
      </c>
      <c r="E28" s="92"/>
      <c r="F28" s="161"/>
      <c r="G28" s="94"/>
    </row>
    <row r="29">
      <c r="A29" s="355"/>
      <c r="C29" s="356"/>
      <c r="D29" s="162"/>
      <c r="F29" s="163"/>
      <c r="G29" s="94"/>
    </row>
    <row r="30">
      <c r="A30" s="355"/>
      <c r="C30" s="356"/>
      <c r="D30" s="162"/>
      <c r="F30" s="163"/>
      <c r="G30" s="94"/>
    </row>
    <row r="31">
      <c r="A31" s="355"/>
      <c r="C31" s="356"/>
      <c r="D31" s="162"/>
      <c r="F31" s="163"/>
      <c r="G31" s="94"/>
    </row>
    <row r="32">
      <c r="A32" s="355"/>
      <c r="C32" s="356"/>
      <c r="D32" s="162"/>
      <c r="F32" s="163"/>
      <c r="G32" s="94"/>
    </row>
    <row r="33" ht="19.5" customHeight="1">
      <c r="A33" s="358"/>
      <c r="D33" s="162"/>
      <c r="F33" s="163"/>
      <c r="G33" s="94"/>
    </row>
    <row r="34" ht="19.5" customHeight="1">
      <c r="D34" s="167"/>
      <c r="E34" s="16"/>
      <c r="F34" s="172"/>
    </row>
  </sheetData>
  <mergeCells count="29">
    <mergeCell ref="A1:C4"/>
    <mergeCell ref="E1:F1"/>
    <mergeCell ref="A5:C8"/>
    <mergeCell ref="A10:C10"/>
    <mergeCell ref="D10:F10"/>
    <mergeCell ref="A11:C11"/>
    <mergeCell ref="D11:F11"/>
    <mergeCell ref="A14:D14"/>
    <mergeCell ref="C15:D15"/>
    <mergeCell ref="C16:D16"/>
    <mergeCell ref="C17:D17"/>
    <mergeCell ref="C18:D18"/>
    <mergeCell ref="C19:D19"/>
    <mergeCell ref="A21:C21"/>
    <mergeCell ref="A27:C27"/>
    <mergeCell ref="A28:B28"/>
    <mergeCell ref="D27:F27"/>
    <mergeCell ref="A29:B29"/>
    <mergeCell ref="A30:B30"/>
    <mergeCell ref="A31:B31"/>
    <mergeCell ref="A32:B32"/>
    <mergeCell ref="A33:C33"/>
    <mergeCell ref="C20:D20"/>
    <mergeCell ref="C23:D23"/>
    <mergeCell ref="E23:F23"/>
    <mergeCell ref="C24:D24"/>
    <mergeCell ref="E24:F24"/>
    <mergeCell ref="A26:F26"/>
    <mergeCell ref="D28:F34"/>
  </mergeCells>
  <dataValidations>
    <dataValidation type="list" allowBlank="1" showErrorMessage="1" sqref="F4">
      <formula1>'DB RELASI FILLING'!$F$2:$F34</formula1>
    </dataValidation>
  </dataValidations>
  <printOptions horizontalCentered="1"/>
  <pageMargins bottom="0.39370078740157477" footer="0.0" header="0.0" left="0.5905511811023622" right="0.984251968503937" top="0.6692913385826771"/>
  <pageSetup orientation="portrait" pageOrder="overThenDown" paperHeight="11.023622047244093in" paperWidth="9.448818897637794in"/>
  <drawing r:id="rId1"/>
</worksheet>
</file>